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https://pecom-my.sharepoint.com/personal/veronica_piro_pecomenergia_com_ar/Documents/Doc. Importantes/Bombas API/API EXTERIOR/Planillas/"/>
    </mc:Choice>
  </mc:AlternateContent>
  <xr:revisionPtr revIDLastSave="0" documentId="8_{F06A5F3F-1C37-42B9-A4D0-284009C81E4F}" xr6:coauthVersionLast="47" xr6:coauthVersionMax="47" xr10:uidLastSave="{00000000-0000-0000-0000-000000000000}"/>
  <bookViews>
    <workbookView xWindow="-120" yWindow="-120" windowWidth="20730" windowHeight="11040" tabRatio="805" xr2:uid="{00000000-000D-0000-FFFF-FFFF00000000}"/>
  </bookViews>
  <sheets>
    <sheet name="o.c." sheetId="1" r:id="rId1"/>
    <sheet name="Grafico de o.c." sheetId="36131" r:id="rId2"/>
    <sheet name="Pagos pendientes" sheetId="36135" state="hidden" r:id="rId3"/>
    <sheet name="Brasil" sheetId="36112" state="hidden" r:id="rId4"/>
    <sheet name="Colombia" sheetId="60" state="hidden" r:id="rId5"/>
    <sheet name="Vzla" sheetId="114" state="hidden" r:id="rId6"/>
    <sheet name="Bolivia" sheetId="97" state="hidden" r:id="rId7"/>
    <sheet name="Ecuador" sheetId="102" state="hidden" r:id="rId8"/>
    <sheet name="Peru" sheetId="105" state="hidden" r:id="rId9"/>
    <sheet name="Mexico" sheetId="36113" state="hidden" r:id="rId10"/>
    <sheet name="T&amp;T" sheetId="111" state="hidden" r:id="rId11"/>
    <sheet name="Indonesia" sheetId="32" state="hidden" r:id="rId12"/>
    <sheet name="España" sheetId="36124" state="hidden" r:id="rId13"/>
    <sheet name="Chile" sheetId="46" state="hidden" r:id="rId14"/>
    <sheet name="Egipto" sheetId="36125" state="hidden" r:id="rId15"/>
    <sheet name="Turquia" sheetId="36114" state="hidden" r:id="rId16"/>
    <sheet name="Arg." sheetId="99" state="hidden" r:id="rId17"/>
    <sheet name="Polonia" sheetId="100" state="hidden" r:id="rId18"/>
    <sheet name="USA" sheetId="36126" state="hidden" r:id="rId19"/>
    <sheet name="Myanmar" sheetId="101" state="hidden" r:id="rId20"/>
    <sheet name="Bielorrusia" sheetId="36116" state="hidden" r:id="rId21"/>
    <sheet name="India" sheetId="36127" state="hidden" r:id="rId22"/>
    <sheet name="Grafico" sheetId="36128" r:id="rId23"/>
    <sheet name="Grafico de o.c.(2007 a 2024)" sheetId="36134" r:id="rId24"/>
    <sheet name="T.Dinam.(U$S)" sheetId="36118" r:id="rId25"/>
    <sheet name="T.Dinam.(promedio adel.-atraso)" sheetId="36119" r:id="rId26"/>
    <sheet name="T.Dinam.(Suma PO en termino)" sheetId="36123" r:id="rId27"/>
  </sheets>
  <externalReferences>
    <externalReference r:id="rId28"/>
  </externalReferences>
  <definedNames>
    <definedName name="_xlnm._FilterDatabase" localSheetId="3" hidden="1">Brasil!$B$2253:$AC$2253</definedName>
    <definedName name="_xlnm._FilterDatabase" localSheetId="4" hidden="1">Colombia!$B$651:$AC$668</definedName>
    <definedName name="_xlnm._FilterDatabase" localSheetId="22" hidden="1">Grafico!$B$1:$M$22</definedName>
    <definedName name="_xlnm._FilterDatabase" localSheetId="23" hidden="1">'Grafico de o.c.(2007 a 2024)'!$A$65:$V$1481</definedName>
    <definedName name="_xlnm._FilterDatabase" localSheetId="0" hidden="1">'o.c.'!$B$1:$AC$46</definedName>
    <definedName name="a" localSheetId="20">Brasil!#REF!</definedName>
    <definedName name="a" localSheetId="1">[1]Brasil!#REF!</definedName>
    <definedName name="a" localSheetId="23">#REF!</definedName>
    <definedName name="a" localSheetId="26">Brasil!#REF!</definedName>
    <definedName name="a">Brasil!#REF!</definedName>
    <definedName name="_xlnm.Print_Area" localSheetId="16">Arg.!$B$5:$AC$31</definedName>
    <definedName name="_xlnm.Print_Area" localSheetId="20">Bielorrusia!$B$1:$AC$13</definedName>
    <definedName name="_xlnm.Print_Area" localSheetId="6">Bolivia!$B$5:$AC$41</definedName>
    <definedName name="_xlnm.Print_Area" localSheetId="3">Brasil!$B$2457:$AC$2506</definedName>
    <definedName name="_xlnm.Print_Area" localSheetId="13">Chile!$B$194:$AC$206</definedName>
    <definedName name="_xlnm.Print_Area" localSheetId="4">Colombia!$B$747:$AC$762</definedName>
    <definedName name="_xlnm.Print_Area" localSheetId="7">Ecuador!$B$185:$AC$188</definedName>
    <definedName name="_xlnm.Print_Area" localSheetId="14">Egipto!$B$65:$AC$74</definedName>
    <definedName name="_xlnm.Print_Area" localSheetId="12">España!$B$66:$AC$91</definedName>
    <definedName name="_xlnm.Print_Area" localSheetId="22">Grafico!$B$1:$JF$40</definedName>
    <definedName name="_xlnm.Print_Area" localSheetId="23">'Grafico de o.c.(2007 a 2024)'!$A$1262:$W$1355</definedName>
    <definedName name="_xlnm.Print_Area" localSheetId="21">India!$B$1:$AC$20</definedName>
    <definedName name="_xlnm.Print_Area" localSheetId="11">Indonesia!$B$68:$AC$115</definedName>
    <definedName name="_xlnm.Print_Area" localSheetId="9">Mexico!$B$1:$AC$16</definedName>
    <definedName name="_xlnm.Print_Area" localSheetId="19">Myanmar!$B$46:$AC$83</definedName>
    <definedName name="_xlnm.Print_Area" localSheetId="0">'o.c.'!$A$1:$AC$44</definedName>
    <definedName name="_xlnm.Print_Area" localSheetId="8">Peru!$B$162:$AC$191</definedName>
    <definedName name="_xlnm.Print_Area" localSheetId="17">Polonia!$B$1:$AC$90</definedName>
    <definedName name="_xlnm.Print_Area" localSheetId="10">'T&amp;T'!$B$333:$AC$337</definedName>
    <definedName name="_xlnm.Print_Area" localSheetId="18">USA!$B$185:$AC$192</definedName>
    <definedName name="_xlnm.Print_Area" localSheetId="5">Vzla!$B$615:$AC$679</definedName>
    <definedName name="_xlnm.Print_Titles" localSheetId="16">Arg.!$1:$3</definedName>
    <definedName name="_xlnm.Print_Titles" localSheetId="20">Bielorrusia!$1:$4</definedName>
    <definedName name="_xlnm.Print_Titles" localSheetId="6">Bolivia!$1:$6</definedName>
    <definedName name="_xlnm.Print_Titles" localSheetId="3">Brasil!$1:$4</definedName>
    <definedName name="_xlnm.Print_Titles" localSheetId="13">Chile!$1:$3</definedName>
    <definedName name="_xlnm.Print_Titles" localSheetId="4">Colombia!$1:$4</definedName>
    <definedName name="_xlnm.Print_Titles" localSheetId="7">Ecuador!$1:$4</definedName>
    <definedName name="_xlnm.Print_Titles" localSheetId="14">Egipto!$1:$3</definedName>
    <definedName name="_xlnm.Print_Titles" localSheetId="12">España!$1:$3</definedName>
    <definedName name="_xlnm.Print_Titles" localSheetId="21">India!$1:$4</definedName>
    <definedName name="_xlnm.Print_Titles" localSheetId="9">Mexico!$1:$3</definedName>
    <definedName name="_xlnm.Print_Titles" localSheetId="19">Myanmar!$1:$4</definedName>
    <definedName name="_xlnm.Print_Titles" localSheetId="0">'o.c.'!$3:$3</definedName>
    <definedName name="_xlnm.Print_Titles" localSheetId="8">Peru!$1:$4</definedName>
    <definedName name="_xlnm.Print_Titles" localSheetId="17">Polonia!$1:$4</definedName>
    <definedName name="_xlnm.Print_Titles" localSheetId="10">'T&amp;T'!$1:$4</definedName>
    <definedName name="_xlnm.Print_Titles" localSheetId="18">USA!$1:$2</definedName>
    <definedName name="_xlnm.Print_Titles" localSheetId="5">Vzla!$1:$4</definedName>
    <definedName name="Z_4C4B61E0_A90E_11D1_A823_006097B607DD_.wvu.Cols" localSheetId="0" hidden="1">'o.c.'!#REF!</definedName>
    <definedName name="Z_4C4B61E0_A90E_11D1_A823_006097B607DD_.wvu.PrintArea" localSheetId="0" hidden="1">'o.c.'!$1:$1048576</definedName>
  </definedNames>
  <calcPr calcId="191028"/>
  <customWorkbookViews>
    <customWorkbookView name="GERENCIA DE SISTEMAS - Vista personalizada" guid="{4C4B61E0-A90E-11D1-A823-006097B607DD}" mergeInterval="0" personalView="1" maximized="1" windowWidth="636" windowHeight="315" activeSheetId="1"/>
  </customWorkbookViews>
  <pivotCaches>
    <pivotCache cacheId="1"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37" i="1" l="1"/>
  <c r="AB37" i="1"/>
  <c r="U37" i="1"/>
  <c r="P37" i="1"/>
  <c r="AD37" i="1" s="1"/>
  <c r="K37" i="1"/>
  <c r="AE37" i="1" l="1"/>
  <c r="T12" i="1"/>
  <c r="T14" i="1" l="1"/>
  <c r="T13" i="1"/>
  <c r="L43" i="1" l="1"/>
  <c r="U43" i="1"/>
  <c r="P43" i="1"/>
  <c r="AE43" i="1" s="1"/>
  <c r="AB36" i="1" l="1"/>
  <c r="U36" i="1"/>
  <c r="P36" i="1"/>
  <c r="AD36" i="1" s="1"/>
  <c r="K36" i="1"/>
  <c r="AE36" i="1" l="1"/>
  <c r="V1424" i="36134"/>
  <c r="V1425" i="36134"/>
  <c r="V1426" i="36134"/>
  <c r="V1427" i="36134"/>
  <c r="V1428" i="36134"/>
  <c r="V1429" i="36134"/>
  <c r="V1430" i="36134"/>
  <c r="V1431" i="36134"/>
  <c r="V1432" i="36134"/>
  <c r="V1433" i="36134"/>
  <c r="V1434" i="36134"/>
  <c r="V1435" i="36134"/>
  <c r="V1436" i="36134"/>
  <c r="V1437" i="36134"/>
  <c r="V1438" i="36134"/>
  <c r="V1439" i="36134"/>
  <c r="V1440" i="36134"/>
  <c r="V1441" i="36134"/>
  <c r="V1442" i="36134"/>
  <c r="V1443" i="36134"/>
  <c r="V1444" i="36134"/>
  <c r="V1445" i="36134"/>
  <c r="V1446" i="36134"/>
  <c r="V1447" i="36134"/>
  <c r="V1448" i="36134"/>
  <c r="V1449" i="36134"/>
  <c r="V1450" i="36134"/>
  <c r="V1451" i="36134"/>
  <c r="V1452" i="36134"/>
  <c r="V1453" i="36134"/>
  <c r="V1454" i="36134"/>
  <c r="V1455" i="36134"/>
  <c r="V1456" i="36134"/>
  <c r="V1457" i="36134"/>
  <c r="V1458" i="36134"/>
  <c r="V1459" i="36134"/>
  <c r="V1460" i="36134"/>
  <c r="V1461" i="36134"/>
  <c r="V1462" i="36134"/>
  <c r="V1463" i="36134"/>
  <c r="V1464" i="36134"/>
  <c r="V1465" i="36134"/>
  <c r="V1466" i="36134"/>
  <c r="V1467" i="36134"/>
  <c r="V1468" i="36134"/>
  <c r="V1469" i="36134"/>
  <c r="V1470" i="36134"/>
  <c r="V1471" i="36134"/>
  <c r="V1472" i="36134"/>
  <c r="V1473" i="36134"/>
  <c r="V1474" i="36134"/>
  <c r="V1475" i="36134"/>
  <c r="V1476" i="36134"/>
  <c r="V1477" i="36134"/>
  <c r="V1478" i="36134"/>
  <c r="V1479" i="36134"/>
  <c r="V1480" i="36134"/>
  <c r="V1481" i="36134"/>
  <c r="Q1481" i="36134"/>
  <c r="R1481" i="36134" s="1"/>
  <c r="N1481" i="36134"/>
  <c r="U1481" i="36134" s="1"/>
  <c r="W1481" i="36134" s="1"/>
  <c r="K1481" i="36134"/>
  <c r="R1480" i="36134"/>
  <c r="K1480" i="36134"/>
  <c r="N1480" i="36134" s="1"/>
  <c r="U1480" i="36134" s="1"/>
  <c r="W1480" i="36134" s="1"/>
  <c r="R1479" i="36134"/>
  <c r="N1479" i="36134"/>
  <c r="U1479" i="36134" s="1"/>
  <c r="W1479" i="36134" s="1"/>
  <c r="R1478" i="36134"/>
  <c r="N1478" i="36134"/>
  <c r="U1478" i="36134" s="1"/>
  <c r="W1478" i="36134" s="1"/>
  <c r="J1478" i="36134"/>
  <c r="R1477" i="36134"/>
  <c r="N1477" i="36134"/>
  <c r="U1477" i="36134" s="1"/>
  <c r="W1477" i="36134" s="1"/>
  <c r="J1477" i="36134"/>
  <c r="R1476" i="36134"/>
  <c r="N1476" i="36134"/>
  <c r="U1476" i="36134" s="1"/>
  <c r="W1476" i="36134" s="1"/>
  <c r="J1476" i="36134"/>
  <c r="R1475" i="36134"/>
  <c r="N1475" i="36134"/>
  <c r="U1475" i="36134" s="1"/>
  <c r="W1475" i="36134" s="1"/>
  <c r="J1475" i="36134"/>
  <c r="R1474" i="36134"/>
  <c r="N1474" i="36134"/>
  <c r="U1474" i="36134" s="1"/>
  <c r="W1474" i="36134" s="1"/>
  <c r="J1474" i="36134"/>
  <c r="Q1473" i="36134"/>
  <c r="R1473" i="36134" s="1"/>
  <c r="N1473" i="36134"/>
  <c r="U1473" i="36134" s="1"/>
  <c r="W1473" i="36134" s="1"/>
  <c r="J1473" i="36134"/>
  <c r="Q1472" i="36134"/>
  <c r="R1472" i="36134" s="1"/>
  <c r="N1472" i="36134"/>
  <c r="U1472" i="36134" s="1"/>
  <c r="W1472" i="36134" s="1"/>
  <c r="J1472" i="36134"/>
  <c r="R1471" i="36134"/>
  <c r="N1471" i="36134"/>
  <c r="U1471" i="36134" s="1"/>
  <c r="W1471" i="36134" s="1"/>
  <c r="J1471" i="36134"/>
  <c r="R1470" i="36134"/>
  <c r="N1470" i="36134"/>
  <c r="U1470" i="36134" s="1"/>
  <c r="W1470" i="36134" s="1"/>
  <c r="J1470" i="36134"/>
  <c r="R1469" i="36134"/>
  <c r="N1469" i="36134"/>
  <c r="U1469" i="36134" s="1"/>
  <c r="W1469" i="36134" s="1"/>
  <c r="J1469" i="36134"/>
  <c r="R1468" i="36134"/>
  <c r="N1468" i="36134"/>
  <c r="U1468" i="36134" s="1"/>
  <c r="W1468" i="36134" s="1"/>
  <c r="J1468" i="36134"/>
  <c r="R1467" i="36134"/>
  <c r="N1467" i="36134"/>
  <c r="U1467" i="36134" s="1"/>
  <c r="W1467" i="36134" s="1"/>
  <c r="J1467" i="36134"/>
  <c r="R1466" i="36134"/>
  <c r="N1466" i="36134"/>
  <c r="U1466" i="36134" s="1"/>
  <c r="W1466" i="36134" s="1"/>
  <c r="J1466" i="36134"/>
  <c r="R1465" i="36134"/>
  <c r="N1465" i="36134"/>
  <c r="U1465" i="36134" s="1"/>
  <c r="W1465" i="36134" s="1"/>
  <c r="J1465" i="36134"/>
  <c r="R1464" i="36134"/>
  <c r="N1464" i="36134"/>
  <c r="U1464" i="36134" s="1"/>
  <c r="W1464" i="36134" s="1"/>
  <c r="J1464" i="36134"/>
  <c r="R1463" i="36134"/>
  <c r="N1463" i="36134"/>
  <c r="U1463" i="36134" s="1"/>
  <c r="W1463" i="36134" s="1"/>
  <c r="J1463" i="36134"/>
  <c r="R1462" i="36134"/>
  <c r="N1462" i="36134"/>
  <c r="U1462" i="36134" s="1"/>
  <c r="W1462" i="36134" s="1"/>
  <c r="J1462" i="36134"/>
  <c r="R1461" i="36134"/>
  <c r="N1461" i="36134"/>
  <c r="U1461" i="36134" s="1"/>
  <c r="W1461" i="36134" s="1"/>
  <c r="J1461" i="36134"/>
  <c r="R1460" i="36134"/>
  <c r="N1460" i="36134"/>
  <c r="U1460" i="36134" s="1"/>
  <c r="W1460" i="36134" s="1"/>
  <c r="J1460" i="36134"/>
  <c r="R1459" i="36134"/>
  <c r="N1459" i="36134"/>
  <c r="U1459" i="36134" s="1"/>
  <c r="W1459" i="36134" s="1"/>
  <c r="J1459" i="36134"/>
  <c r="R1458" i="36134"/>
  <c r="N1458" i="36134"/>
  <c r="U1458" i="36134" s="1"/>
  <c r="W1458" i="36134" s="1"/>
  <c r="J1458" i="36134"/>
  <c r="R1457" i="36134"/>
  <c r="N1457" i="36134"/>
  <c r="U1457" i="36134" s="1"/>
  <c r="W1457" i="36134" s="1"/>
  <c r="J1457" i="36134"/>
  <c r="R1456" i="36134"/>
  <c r="N1456" i="36134"/>
  <c r="U1456" i="36134" s="1"/>
  <c r="W1456" i="36134" s="1"/>
  <c r="J1456" i="36134"/>
  <c r="R1455" i="36134"/>
  <c r="N1455" i="36134"/>
  <c r="U1455" i="36134" s="1"/>
  <c r="W1455" i="36134" s="1"/>
  <c r="J1455" i="36134"/>
  <c r="R1454" i="36134"/>
  <c r="N1454" i="36134"/>
  <c r="U1454" i="36134" s="1"/>
  <c r="W1454" i="36134" s="1"/>
  <c r="J1454" i="36134"/>
  <c r="R1453" i="36134"/>
  <c r="N1453" i="36134"/>
  <c r="U1453" i="36134" s="1"/>
  <c r="W1453" i="36134" s="1"/>
  <c r="J1453" i="36134"/>
  <c r="R1452" i="36134"/>
  <c r="N1452" i="36134"/>
  <c r="U1452" i="36134" s="1"/>
  <c r="W1452" i="36134" s="1"/>
  <c r="J1452" i="36134"/>
  <c r="R1451" i="36134"/>
  <c r="N1451" i="36134"/>
  <c r="U1451" i="36134" s="1"/>
  <c r="W1451" i="36134" s="1"/>
  <c r="J1451" i="36134"/>
  <c r="R1450" i="36134"/>
  <c r="N1450" i="36134"/>
  <c r="U1450" i="36134" s="1"/>
  <c r="W1450" i="36134" s="1"/>
  <c r="J1450" i="36134"/>
  <c r="R1449" i="36134"/>
  <c r="N1449" i="36134"/>
  <c r="U1449" i="36134" s="1"/>
  <c r="W1449" i="36134" s="1"/>
  <c r="J1449" i="36134"/>
  <c r="R1448" i="36134"/>
  <c r="N1448" i="36134"/>
  <c r="U1448" i="36134" s="1"/>
  <c r="W1448" i="36134" s="1"/>
  <c r="J1448" i="36134"/>
  <c r="R1447" i="36134"/>
  <c r="N1447" i="36134"/>
  <c r="U1447" i="36134" s="1"/>
  <c r="W1447" i="36134" s="1"/>
  <c r="J1447" i="36134"/>
  <c r="R1446" i="36134"/>
  <c r="N1446" i="36134"/>
  <c r="U1446" i="36134" s="1"/>
  <c r="W1446" i="36134" s="1"/>
  <c r="J1446" i="36134"/>
  <c r="R1445" i="36134"/>
  <c r="N1445" i="36134"/>
  <c r="U1445" i="36134" s="1"/>
  <c r="W1445" i="36134" s="1"/>
  <c r="J1445" i="36134"/>
  <c r="R1444" i="36134"/>
  <c r="N1444" i="36134"/>
  <c r="U1444" i="36134" s="1"/>
  <c r="W1444" i="36134" s="1"/>
  <c r="J1444" i="36134"/>
  <c r="R1443" i="36134"/>
  <c r="N1443" i="36134"/>
  <c r="U1443" i="36134" s="1"/>
  <c r="W1443" i="36134" s="1"/>
  <c r="J1443" i="36134"/>
  <c r="R1442" i="36134"/>
  <c r="N1442" i="36134"/>
  <c r="U1442" i="36134" s="1"/>
  <c r="W1442" i="36134" s="1"/>
  <c r="J1442" i="36134"/>
  <c r="R1441" i="36134"/>
  <c r="N1441" i="36134"/>
  <c r="U1441" i="36134" s="1"/>
  <c r="W1441" i="36134" s="1"/>
  <c r="J1441" i="36134"/>
  <c r="R1440" i="36134"/>
  <c r="N1440" i="36134"/>
  <c r="U1440" i="36134" s="1"/>
  <c r="W1440" i="36134" s="1"/>
  <c r="J1440" i="36134"/>
  <c r="R1439" i="36134"/>
  <c r="N1439" i="36134"/>
  <c r="U1439" i="36134" s="1"/>
  <c r="W1439" i="36134" s="1"/>
  <c r="J1439" i="36134"/>
  <c r="R1438" i="36134"/>
  <c r="N1438" i="36134"/>
  <c r="U1438" i="36134" s="1"/>
  <c r="W1438" i="36134" s="1"/>
  <c r="J1438" i="36134"/>
  <c r="R1437" i="36134"/>
  <c r="N1437" i="36134"/>
  <c r="U1437" i="36134" s="1"/>
  <c r="W1437" i="36134" s="1"/>
  <c r="J1437" i="36134"/>
  <c r="R1436" i="36134"/>
  <c r="N1436" i="36134"/>
  <c r="U1436" i="36134" s="1"/>
  <c r="W1436" i="36134" s="1"/>
  <c r="J1436" i="36134"/>
  <c r="R1435" i="36134"/>
  <c r="N1435" i="36134"/>
  <c r="U1435" i="36134" s="1"/>
  <c r="W1435" i="36134" s="1"/>
  <c r="J1435" i="36134"/>
  <c r="R1434" i="36134"/>
  <c r="N1434" i="36134"/>
  <c r="U1434" i="36134" s="1"/>
  <c r="W1434" i="36134" s="1"/>
  <c r="J1434" i="36134"/>
  <c r="R1433" i="36134"/>
  <c r="N1433" i="36134"/>
  <c r="U1433" i="36134" s="1"/>
  <c r="W1433" i="36134" s="1"/>
  <c r="J1433" i="36134"/>
  <c r="R1432" i="36134"/>
  <c r="N1432" i="36134"/>
  <c r="U1432" i="36134" s="1"/>
  <c r="W1432" i="36134" s="1"/>
  <c r="J1432" i="36134"/>
  <c r="R1431" i="36134"/>
  <c r="N1431" i="36134"/>
  <c r="U1431" i="36134" s="1"/>
  <c r="W1431" i="36134" s="1"/>
  <c r="J1431" i="36134"/>
  <c r="R1430" i="36134"/>
  <c r="N1430" i="36134"/>
  <c r="U1430" i="36134" s="1"/>
  <c r="W1430" i="36134" s="1"/>
  <c r="J1430" i="36134"/>
  <c r="R1429" i="36134"/>
  <c r="N1429" i="36134"/>
  <c r="U1429" i="36134" s="1"/>
  <c r="W1429" i="36134" s="1"/>
  <c r="J1429" i="36134"/>
  <c r="R1428" i="36134"/>
  <c r="N1428" i="36134"/>
  <c r="U1428" i="36134" s="1"/>
  <c r="W1428" i="36134" s="1"/>
  <c r="J1428" i="36134"/>
  <c r="R1427" i="36134"/>
  <c r="N1427" i="36134"/>
  <c r="U1427" i="36134" s="1"/>
  <c r="W1427" i="36134" s="1"/>
  <c r="J1427" i="36134"/>
  <c r="R1426" i="36134"/>
  <c r="N1426" i="36134"/>
  <c r="U1426" i="36134" s="1"/>
  <c r="W1426" i="36134" s="1"/>
  <c r="J1426" i="36134"/>
  <c r="R1425" i="36134"/>
  <c r="N1425" i="36134"/>
  <c r="U1425" i="36134" s="1"/>
  <c r="W1425" i="36134" s="1"/>
  <c r="J1425" i="36134"/>
  <c r="R1424" i="36134"/>
  <c r="N1424" i="36134"/>
  <c r="U1424" i="36134" s="1"/>
  <c r="W1424" i="36134" s="1"/>
  <c r="J1424" i="36134"/>
  <c r="LU39" i="36128"/>
  <c r="LU40" i="36128" s="1"/>
  <c r="LU38" i="36128"/>
  <c r="LT38" i="36128"/>
  <c r="LS39" i="36128"/>
  <c r="LS40" i="36128" s="1"/>
  <c r="LS38" i="36128"/>
  <c r="LR39" i="36128"/>
  <c r="LR40" i="36128" s="1"/>
  <c r="LR38" i="36128"/>
  <c r="LQ39" i="36128"/>
  <c r="LQ40" i="36128" s="1"/>
  <c r="LQ38" i="36128"/>
  <c r="LR6" i="36128"/>
  <c r="LR5" i="36128"/>
  <c r="LP6" i="36128"/>
  <c r="LP5" i="36128"/>
  <c r="LU3" i="36128"/>
  <c r="LU2" i="36128"/>
  <c r="LS3" i="36128"/>
  <c r="LS2" i="36128"/>
  <c r="LR3" i="36128"/>
  <c r="LR2" i="36128"/>
  <c r="LQ3" i="36128"/>
  <c r="LQ2" i="36128"/>
  <c r="JF35" i="36128"/>
  <c r="JF32" i="36128"/>
  <c r="JF29" i="36128"/>
  <c r="JF26" i="36128"/>
  <c r="JF23" i="36128"/>
  <c r="JF20" i="36128"/>
  <c r="JF17" i="36128"/>
  <c r="JF14" i="36128"/>
  <c r="JF11" i="36128"/>
  <c r="JF8" i="36128"/>
  <c r="AG2568" i="36112"/>
  <c r="AH2568" i="36112" s="1"/>
  <c r="AI2568" i="36112" s="1"/>
  <c r="K2568" i="36112"/>
  <c r="P2568" i="36112"/>
  <c r="AD2568" i="36112" s="1"/>
  <c r="T2568" i="36112"/>
  <c r="U2568" i="36112" s="1"/>
  <c r="U41" i="1" l="1"/>
  <c r="P41" i="1"/>
  <c r="AE41" i="1" s="1"/>
  <c r="K41" i="1"/>
  <c r="U13" i="1"/>
  <c r="P13" i="1"/>
  <c r="AE13" i="1" s="1"/>
  <c r="K13" i="1"/>
  <c r="AB35" i="1"/>
  <c r="U35" i="1"/>
  <c r="P35" i="1"/>
  <c r="AE35" i="1" s="1"/>
  <c r="K35" i="1"/>
  <c r="AB34" i="1"/>
  <c r="U34" i="1"/>
  <c r="P34" i="1"/>
  <c r="AE34" i="1" s="1"/>
  <c r="K34" i="1"/>
  <c r="AB33" i="1"/>
  <c r="U33" i="1"/>
  <c r="P33" i="1"/>
  <c r="AE33" i="1" s="1"/>
  <c r="K33" i="1"/>
  <c r="AB32" i="1"/>
  <c r="U32" i="1"/>
  <c r="P32" i="1"/>
  <c r="AE32" i="1" s="1"/>
  <c r="K32" i="1"/>
  <c r="AB31" i="1"/>
  <c r="U31" i="1"/>
  <c r="P31" i="1"/>
  <c r="AE31" i="1" s="1"/>
  <c r="K31" i="1"/>
  <c r="AB30" i="1"/>
  <c r="U30" i="1"/>
  <c r="P30" i="1"/>
  <c r="AE30" i="1" s="1"/>
  <c r="K30" i="1"/>
  <c r="AB29" i="1"/>
  <c r="U29" i="1"/>
  <c r="P29" i="1"/>
  <c r="AE29" i="1" s="1"/>
  <c r="K29" i="1"/>
  <c r="JC6" i="36128" l="1"/>
  <c r="JC5" i="36128"/>
  <c r="JE6" i="36128"/>
  <c r="JE5" i="36128"/>
  <c r="AB28" i="1"/>
  <c r="AI28" i="1"/>
  <c r="U28" i="1"/>
  <c r="P28" i="1"/>
  <c r="AD28" i="1" s="1"/>
  <c r="K28" i="1"/>
  <c r="JE7" i="36128" l="1"/>
  <c r="AE28" i="1"/>
  <c r="AB27" i="1"/>
  <c r="U27" i="1"/>
  <c r="P27" i="1"/>
  <c r="AE27" i="1" s="1"/>
  <c r="K27" i="1"/>
  <c r="AB26" i="1"/>
  <c r="U26" i="1"/>
  <c r="P26" i="1"/>
  <c r="AE26" i="1" s="1"/>
  <c r="K26" i="1"/>
  <c r="AB25" i="1"/>
  <c r="U25" i="1"/>
  <c r="P25" i="1"/>
  <c r="AE25" i="1" s="1"/>
  <c r="K25" i="1"/>
  <c r="AB24" i="1" l="1"/>
  <c r="U24" i="1"/>
  <c r="P24" i="1"/>
  <c r="AE24" i="1" s="1"/>
  <c r="K24" i="1"/>
  <c r="AB23" i="1"/>
  <c r="U23" i="1"/>
  <c r="P23" i="1"/>
  <c r="AE23" i="1" s="1"/>
  <c r="K23" i="1"/>
  <c r="AB22" i="1"/>
  <c r="U22" i="1"/>
  <c r="P22" i="1"/>
  <c r="AE22" i="1" s="1"/>
  <c r="K22" i="1"/>
  <c r="AB21" i="1"/>
  <c r="U21" i="1"/>
  <c r="P21" i="1"/>
  <c r="AE21" i="1" s="1"/>
  <c r="K21" i="1"/>
  <c r="AB20" i="1" l="1"/>
  <c r="U20" i="1"/>
  <c r="P20" i="1"/>
  <c r="AE20" i="1" s="1"/>
  <c r="K20" i="1"/>
  <c r="AB19" i="1" l="1"/>
  <c r="U19" i="1"/>
  <c r="P19" i="1"/>
  <c r="AE19" i="1" s="1"/>
  <c r="K19" i="1"/>
  <c r="AB18" i="1" l="1"/>
  <c r="U18" i="1"/>
  <c r="P18" i="1"/>
  <c r="AE18" i="1" s="1"/>
  <c r="K18" i="1"/>
  <c r="AB17" i="1"/>
  <c r="U17" i="1"/>
  <c r="P17" i="1"/>
  <c r="AE17" i="1" s="1"/>
  <c r="K17" i="1"/>
  <c r="U40" i="1" l="1"/>
  <c r="P40" i="1"/>
  <c r="AE40" i="1" s="1"/>
  <c r="K40" i="1"/>
  <c r="JD6" i="36128" l="1"/>
  <c r="JD5" i="36128"/>
  <c r="JF5" i="36128" s="1"/>
  <c r="AG2566" i="36112"/>
  <c r="AH2566" i="36112" s="1"/>
  <c r="AI2566" i="36112" s="1"/>
  <c r="AG2567" i="36112"/>
  <c r="AH2567" i="36112" s="1"/>
  <c r="AI2567" i="36112" s="1"/>
  <c r="K2567" i="36112"/>
  <c r="P2567" i="36112"/>
  <c r="AD2567" i="36112" s="1"/>
  <c r="U2567" i="36112"/>
  <c r="K2566" i="36112"/>
  <c r="P2566" i="36112"/>
  <c r="AD2566" i="36112" s="1"/>
  <c r="U2566" i="36112"/>
  <c r="JD7" i="36128" l="1"/>
  <c r="K209" i="36126"/>
  <c r="P209" i="36126"/>
  <c r="AD209" i="36126" s="1"/>
  <c r="T209" i="36126"/>
  <c r="U209" i="36126" s="1"/>
  <c r="U5" i="1" l="1"/>
  <c r="AG798" i="60"/>
  <c r="AH798" i="60"/>
  <c r="AI798" i="60" s="1"/>
  <c r="K798" i="60"/>
  <c r="P798" i="60"/>
  <c r="AD798" i="60" s="1"/>
  <c r="U798" i="60"/>
  <c r="AB16" i="1" l="1"/>
  <c r="U16" i="1"/>
  <c r="P16" i="1"/>
  <c r="AE16" i="1" s="1"/>
  <c r="K16" i="1"/>
  <c r="AB15" i="1"/>
  <c r="U15" i="1"/>
  <c r="P15" i="1"/>
  <c r="AE15" i="1" s="1"/>
  <c r="K15" i="1"/>
  <c r="U14" i="1"/>
  <c r="P14" i="1"/>
  <c r="AE14" i="1" s="1"/>
  <c r="K14" i="1"/>
  <c r="U39" i="1"/>
  <c r="P39" i="1"/>
  <c r="AE39" i="1" s="1"/>
  <c r="K39" i="1"/>
  <c r="U6" i="1"/>
  <c r="P6" i="1"/>
  <c r="AE6" i="1" s="1"/>
  <c r="K6" i="1"/>
  <c r="U12" i="1" l="1"/>
  <c r="P12" i="1"/>
  <c r="AE12" i="1" s="1"/>
  <c r="K12" i="1"/>
  <c r="AG2561" i="36112"/>
  <c r="AH2561" i="36112" s="1"/>
  <c r="AI2561" i="36112" s="1"/>
  <c r="AG2562" i="36112"/>
  <c r="AH2562" i="36112" s="1"/>
  <c r="AI2562" i="36112" s="1"/>
  <c r="K2561" i="36112"/>
  <c r="P2561" i="36112"/>
  <c r="AD2561" i="36112" s="1"/>
  <c r="U2561" i="36112"/>
  <c r="K2562" i="36112"/>
  <c r="P2562" i="36112"/>
  <c r="AD2562" i="36112" s="1"/>
  <c r="U2562" i="36112"/>
  <c r="JE3" i="36128" l="1"/>
  <c r="JE2" i="36128"/>
  <c r="JE38" i="36128" s="1"/>
  <c r="JC7" i="36128"/>
  <c r="AG2559" i="36112"/>
  <c r="AH2559" i="36112" s="1"/>
  <c r="AI2559" i="36112" s="1"/>
  <c r="AG2560" i="36112"/>
  <c r="AH2560" i="36112" s="1"/>
  <c r="AI2560" i="36112" s="1"/>
  <c r="K2560" i="36112"/>
  <c r="P2560" i="36112"/>
  <c r="AD2560" i="36112" s="1"/>
  <c r="U2560" i="36112"/>
  <c r="K2559" i="36112"/>
  <c r="P2559" i="36112"/>
  <c r="AD2559" i="36112" s="1"/>
  <c r="U2559" i="36112"/>
  <c r="JE39" i="36128" l="1"/>
  <c r="JE40" i="36128" s="1"/>
  <c r="JE4" i="36128"/>
  <c r="AG2533" i="36112"/>
  <c r="AG2507" i="36112" l="1"/>
  <c r="AH2507" i="36112" s="1"/>
  <c r="AG2530" i="36112"/>
  <c r="AG2558" i="36112" l="1"/>
  <c r="AH2558" i="36112" s="1"/>
  <c r="AI2558" i="36112" s="1"/>
  <c r="AG2552" i="36112"/>
  <c r="AH2552" i="36112" s="1"/>
  <c r="AI2552" i="36112" s="1"/>
  <c r="AG2553" i="36112"/>
  <c r="AH2553" i="36112" s="1"/>
  <c r="AI2553" i="36112" s="1"/>
  <c r="AG2554" i="36112"/>
  <c r="AH2554" i="36112" s="1"/>
  <c r="AI2554" i="36112" s="1"/>
  <c r="AG2555" i="36112"/>
  <c r="AH2555" i="36112" s="1"/>
  <c r="AI2555" i="36112" s="1"/>
  <c r="AG2556" i="36112"/>
  <c r="AH2556" i="36112" s="1"/>
  <c r="AI2556" i="36112" s="1"/>
  <c r="AG2557" i="36112"/>
  <c r="AH2557" i="36112" s="1"/>
  <c r="AI2557" i="36112" s="1"/>
  <c r="K2557" i="36112"/>
  <c r="P2557" i="36112"/>
  <c r="AD2557" i="36112" s="1"/>
  <c r="U2557" i="36112"/>
  <c r="K2558" i="36112"/>
  <c r="P2558" i="36112"/>
  <c r="AD2558" i="36112" s="1"/>
  <c r="U2558" i="36112"/>
  <c r="K2552" i="36112"/>
  <c r="P2552" i="36112"/>
  <c r="AD2552" i="36112" s="1"/>
  <c r="U2552" i="36112"/>
  <c r="K2553" i="36112"/>
  <c r="P2553" i="36112"/>
  <c r="AD2553" i="36112" s="1"/>
  <c r="U2553" i="36112"/>
  <c r="K2554" i="36112"/>
  <c r="P2554" i="36112"/>
  <c r="AD2554" i="36112" s="1"/>
  <c r="U2554" i="36112"/>
  <c r="K2555" i="36112"/>
  <c r="P2555" i="36112"/>
  <c r="AD2555" i="36112" s="1"/>
  <c r="U2555" i="36112"/>
  <c r="K2556" i="36112"/>
  <c r="P2556" i="36112"/>
  <c r="AD2556" i="36112" s="1"/>
  <c r="U2556" i="36112"/>
  <c r="AG2551" i="36112"/>
  <c r="AH2551" i="36112" s="1"/>
  <c r="AI2551" i="36112" s="1"/>
  <c r="K2551" i="36112"/>
  <c r="P2551" i="36112"/>
  <c r="AD2551" i="36112" s="1"/>
  <c r="U2551" i="36112"/>
  <c r="AG2547" i="36112"/>
  <c r="AG2548" i="36112"/>
  <c r="AH2548" i="36112" s="1"/>
  <c r="AI2548" i="36112" s="1"/>
  <c r="AG2549" i="36112"/>
  <c r="AH2549" i="36112" s="1"/>
  <c r="AI2549" i="36112" s="1"/>
  <c r="AG2550" i="36112"/>
  <c r="AH2550" i="36112" s="1"/>
  <c r="AI2550" i="36112" s="1"/>
  <c r="K2547" i="36112"/>
  <c r="P2547" i="36112"/>
  <c r="AD2547" i="36112" s="1"/>
  <c r="U2547" i="36112"/>
  <c r="K2548" i="36112"/>
  <c r="P2548" i="36112"/>
  <c r="AD2548" i="36112" s="1"/>
  <c r="U2548" i="36112"/>
  <c r="K2549" i="36112"/>
  <c r="P2549" i="36112"/>
  <c r="AD2549" i="36112" s="1"/>
  <c r="U2549" i="36112"/>
  <c r="K2550" i="36112"/>
  <c r="P2550" i="36112"/>
  <c r="AD2550" i="36112" s="1"/>
  <c r="U2550" i="36112"/>
  <c r="AG797" i="60"/>
  <c r="AH797" i="60"/>
  <c r="AI797" i="60" s="1"/>
  <c r="K797" i="60"/>
  <c r="P797" i="60"/>
  <c r="AD797" i="60" s="1"/>
  <c r="U797" i="60"/>
  <c r="AH2547" i="36112" l="1"/>
  <c r="AI2547" i="36112" s="1"/>
  <c r="LP3" i="36128" s="1"/>
  <c r="LP39" i="36128" s="1"/>
  <c r="LP2" i="36128"/>
  <c r="LP38" i="36128" s="1"/>
  <c r="IX3" i="36128"/>
  <c r="IX2" i="36128"/>
  <c r="U11" i="1"/>
  <c r="P11" i="1"/>
  <c r="AE11" i="1" s="1"/>
  <c r="K11" i="1"/>
  <c r="U10" i="1"/>
  <c r="P10" i="1"/>
  <c r="AE10" i="1" s="1"/>
  <c r="K10" i="1"/>
  <c r="JD3" i="36128" l="1"/>
  <c r="JD2" i="36128"/>
  <c r="JD38" i="36128" s="1"/>
  <c r="LP40" i="36128"/>
  <c r="IZ3" i="36128"/>
  <c r="IZ2" i="36128"/>
  <c r="AG796" i="60"/>
  <c r="AH796" i="60" s="1"/>
  <c r="AI796" i="60" s="1"/>
  <c r="K796" i="60"/>
  <c r="P796" i="60"/>
  <c r="AD796" i="60" s="1"/>
  <c r="U796" i="60"/>
  <c r="IW5" i="36128" l="1"/>
  <c r="IW6" i="36128"/>
  <c r="JA9" i="36128"/>
  <c r="JA10" i="36128" s="1"/>
  <c r="JA8" i="36128"/>
  <c r="JB3" i="36128"/>
  <c r="JB2" i="36128"/>
  <c r="JB38" i="36128" s="1"/>
  <c r="JD39" i="36128"/>
  <c r="JD40" i="36128" s="1"/>
  <c r="JD4" i="36128"/>
  <c r="JB39" i="36128" l="1"/>
  <c r="JB40" i="36128" s="1"/>
  <c r="JB4" i="36128"/>
  <c r="IY5" i="36128"/>
  <c r="IY6" i="36128"/>
  <c r="P5" i="1"/>
  <c r="AE5" i="1" s="1"/>
  <c r="K5" i="1"/>
  <c r="JC3" i="36128" l="1"/>
  <c r="JC2" i="36128"/>
  <c r="IY7" i="36128"/>
  <c r="IZ38" i="36128"/>
  <c r="AG794" i="60"/>
  <c r="AH794" i="60" s="1"/>
  <c r="AI794" i="60" s="1"/>
  <c r="LO6" i="36128" s="1"/>
  <c r="LO39" i="36128" s="1"/>
  <c r="AG795" i="60"/>
  <c r="AH795" i="60" s="1"/>
  <c r="AI795" i="60" s="1"/>
  <c r="K794" i="60"/>
  <c r="P794" i="60"/>
  <c r="AD794" i="60" s="1"/>
  <c r="U794" i="60"/>
  <c r="K795" i="60"/>
  <c r="P795" i="60"/>
  <c r="AD795" i="60" s="1"/>
  <c r="U795" i="60"/>
  <c r="LN33" i="36128"/>
  <c r="LN39" i="36128" s="1"/>
  <c r="LN32" i="36128"/>
  <c r="LN38" i="36128" s="1"/>
  <c r="AG103" i="36125"/>
  <c r="AH103" i="36125"/>
  <c r="AI103" i="36125"/>
  <c r="IU6" i="36128"/>
  <c r="IU5" i="36128"/>
  <c r="L103" i="36125"/>
  <c r="P103" i="36125"/>
  <c r="AD103" i="36125"/>
  <c r="T103" i="36125"/>
  <c r="U103" i="36125"/>
  <c r="AG2543" i="36112"/>
  <c r="AH2543" i="36112" s="1"/>
  <c r="AI2543" i="36112" s="1"/>
  <c r="AG2544" i="36112"/>
  <c r="AH2544" i="36112" s="1"/>
  <c r="AI2544" i="36112" s="1"/>
  <c r="AG2545" i="36112"/>
  <c r="AH2545" i="36112" s="1"/>
  <c r="AI2545" i="36112" s="1"/>
  <c r="AG2546" i="36112"/>
  <c r="AH2546" i="36112" s="1"/>
  <c r="AI2546" i="36112" s="1"/>
  <c r="K2545" i="36112"/>
  <c r="P2545" i="36112"/>
  <c r="AD2545" i="36112" s="1"/>
  <c r="U2545" i="36112"/>
  <c r="K2546" i="36112"/>
  <c r="P2546" i="36112"/>
  <c r="AD2546" i="36112" s="1"/>
  <c r="U2546" i="36112"/>
  <c r="K2543" i="36112"/>
  <c r="P2543" i="36112"/>
  <c r="AD2543" i="36112" s="1"/>
  <c r="U2543" i="36112"/>
  <c r="K2544" i="36112"/>
  <c r="P2544" i="36112"/>
  <c r="AD2544" i="36112" s="1"/>
  <c r="U2544" i="36112"/>
  <c r="AG2534" i="36112"/>
  <c r="AG2535" i="36112"/>
  <c r="AH2535" i="36112" s="1"/>
  <c r="AI2535" i="36112" s="1"/>
  <c r="AG2536" i="36112"/>
  <c r="AH2536" i="36112" s="1"/>
  <c r="AI2536" i="36112" s="1"/>
  <c r="AG2537" i="36112"/>
  <c r="AH2537" i="36112" s="1"/>
  <c r="AI2537" i="36112" s="1"/>
  <c r="AG2538" i="36112"/>
  <c r="AH2538" i="36112" s="1"/>
  <c r="AI2538" i="36112" s="1"/>
  <c r="AG2539" i="36112"/>
  <c r="AH2539" i="36112" s="1"/>
  <c r="AI2539" i="36112" s="1"/>
  <c r="AG2540" i="36112"/>
  <c r="AH2540" i="36112" s="1"/>
  <c r="AI2540" i="36112" s="1"/>
  <c r="AG2541" i="36112"/>
  <c r="AH2541" i="36112" s="1"/>
  <c r="AI2541" i="36112" s="1"/>
  <c r="AG2542" i="36112"/>
  <c r="AH2542" i="36112" s="1"/>
  <c r="AI2542" i="36112" s="1"/>
  <c r="K2542" i="36112"/>
  <c r="P2542" i="36112"/>
  <c r="AD2542" i="36112" s="1"/>
  <c r="U2542" i="36112"/>
  <c r="K2537" i="36112"/>
  <c r="P2537" i="36112"/>
  <c r="AD2537" i="36112" s="1"/>
  <c r="U2537" i="36112"/>
  <c r="K2538" i="36112"/>
  <c r="P2538" i="36112"/>
  <c r="AD2538" i="36112" s="1"/>
  <c r="U2538" i="36112"/>
  <c r="K2539" i="36112"/>
  <c r="P2539" i="36112"/>
  <c r="AD2539" i="36112" s="1"/>
  <c r="U2539" i="36112"/>
  <c r="K2540" i="36112"/>
  <c r="P2540" i="36112"/>
  <c r="AD2540" i="36112" s="1"/>
  <c r="U2540" i="36112"/>
  <c r="K2541" i="36112"/>
  <c r="P2541" i="36112"/>
  <c r="AD2541" i="36112" s="1"/>
  <c r="U2541" i="36112"/>
  <c r="K2534" i="36112"/>
  <c r="P2534" i="36112"/>
  <c r="AD2534" i="36112" s="1"/>
  <c r="U2534" i="36112"/>
  <c r="K2535" i="36112"/>
  <c r="P2535" i="36112"/>
  <c r="AD2535" i="36112" s="1"/>
  <c r="U2535" i="36112"/>
  <c r="K2536" i="36112"/>
  <c r="P2536" i="36112"/>
  <c r="AD2536" i="36112" s="1"/>
  <c r="U2536" i="36112"/>
  <c r="U9" i="1"/>
  <c r="P9" i="1"/>
  <c r="AE9" i="1" s="1"/>
  <c r="K9" i="1"/>
  <c r="U8" i="1"/>
  <c r="P8" i="1"/>
  <c r="AE8" i="1" s="1"/>
  <c r="K8" i="1"/>
  <c r="U7" i="1"/>
  <c r="P7" i="1"/>
  <c r="AE7" i="1" s="1"/>
  <c r="K7" i="1"/>
  <c r="K791" i="60"/>
  <c r="P791" i="60"/>
  <c r="U791" i="60"/>
  <c r="K792" i="60"/>
  <c r="P792" i="60"/>
  <c r="U792" i="60"/>
  <c r="AG789" i="60"/>
  <c r="LL5" i="36128" s="1"/>
  <c r="K789" i="60"/>
  <c r="P789" i="60"/>
  <c r="AD789" i="60" s="1"/>
  <c r="T789" i="60"/>
  <c r="U789" i="60" s="1"/>
  <c r="LJ33" i="36128"/>
  <c r="LJ32" i="36128"/>
  <c r="LJ27" i="36128"/>
  <c r="LJ26" i="36128"/>
  <c r="AH2530" i="36112"/>
  <c r="AI2530" i="36112" s="1"/>
  <c r="AH102" i="36125"/>
  <c r="AI102" i="36125"/>
  <c r="AH132" i="32"/>
  <c r="AI132" i="32"/>
  <c r="AH124" i="32"/>
  <c r="AG2531" i="36112"/>
  <c r="AH2531" i="36112" s="1"/>
  <c r="AI2531" i="36112" s="1"/>
  <c r="AG2532" i="36112"/>
  <c r="AH2532" i="36112" s="1"/>
  <c r="AI2532" i="36112" s="1"/>
  <c r="AH2533" i="36112"/>
  <c r="AI2533" i="36112" s="1"/>
  <c r="K2533" i="36112"/>
  <c r="P2533" i="36112"/>
  <c r="AD2533" i="36112" s="1"/>
  <c r="U2533" i="36112"/>
  <c r="K2530" i="36112"/>
  <c r="P2530" i="36112"/>
  <c r="AD2530" i="36112" s="1"/>
  <c r="U2530" i="36112"/>
  <c r="K2531" i="36112"/>
  <c r="P2531" i="36112"/>
  <c r="AD2531" i="36112" s="1"/>
  <c r="U2531" i="36112"/>
  <c r="K2532" i="36112"/>
  <c r="P2532" i="36112"/>
  <c r="AD2532" i="36112" s="1"/>
  <c r="U2532" i="36112"/>
  <c r="P132" i="32"/>
  <c r="AD132" i="32"/>
  <c r="U132" i="32"/>
  <c r="L102" i="36125"/>
  <c r="P102" i="36125"/>
  <c r="AD102" i="36125"/>
  <c r="U102" i="36125"/>
  <c r="AG788" i="60"/>
  <c r="LK5" i="36128" s="1"/>
  <c r="K788" i="60"/>
  <c r="P788" i="60"/>
  <c r="AD788" i="60" s="1"/>
  <c r="T788" i="60"/>
  <c r="U788" i="60" s="1"/>
  <c r="AG2526" i="36112"/>
  <c r="AH2526" i="36112" s="1"/>
  <c r="AI2526" i="36112" s="1"/>
  <c r="AG2527" i="36112"/>
  <c r="AH2527" i="36112" s="1"/>
  <c r="AI2527" i="36112" s="1"/>
  <c r="AG2528" i="36112"/>
  <c r="AH2528" i="36112" s="1"/>
  <c r="AI2528" i="36112" s="1"/>
  <c r="AG2529" i="36112"/>
  <c r="AH2529" i="36112" s="1"/>
  <c r="AI2529" i="36112" s="1"/>
  <c r="K2529" i="36112"/>
  <c r="P2529" i="36112"/>
  <c r="AD2529" i="36112" s="1"/>
  <c r="U2529" i="36112"/>
  <c r="K2526" i="36112"/>
  <c r="P2526" i="36112"/>
  <c r="AD2526" i="36112" s="1"/>
  <c r="U2526" i="36112"/>
  <c r="K2527" i="36112"/>
  <c r="P2527" i="36112"/>
  <c r="AD2527" i="36112" s="1"/>
  <c r="U2527" i="36112"/>
  <c r="K2528" i="36112"/>
  <c r="P2528" i="36112"/>
  <c r="AD2528" i="36112" s="1"/>
  <c r="U2528" i="36112"/>
  <c r="IW2" i="36128"/>
  <c r="AG2518" i="36112"/>
  <c r="AH2518" i="36112" s="1"/>
  <c r="AI2518" i="36112" s="1"/>
  <c r="AG2519" i="36112"/>
  <c r="AH2519" i="36112" s="1"/>
  <c r="AI2519" i="36112" s="1"/>
  <c r="AG2520" i="36112"/>
  <c r="AH2520" i="36112" s="1"/>
  <c r="AI2520" i="36112" s="1"/>
  <c r="AG2521" i="36112"/>
  <c r="AH2521" i="36112" s="1"/>
  <c r="AI2521" i="36112" s="1"/>
  <c r="AG2522" i="36112"/>
  <c r="AH2522" i="36112" s="1"/>
  <c r="AI2522" i="36112" s="1"/>
  <c r="AG2523" i="36112"/>
  <c r="AH2523" i="36112" s="1"/>
  <c r="AI2523" i="36112" s="1"/>
  <c r="AG2524" i="36112"/>
  <c r="AH2524" i="36112" s="1"/>
  <c r="AI2524" i="36112" s="1"/>
  <c r="AG2525" i="36112"/>
  <c r="AH2525" i="36112" s="1"/>
  <c r="AI2525" i="36112" s="1"/>
  <c r="AG2517" i="36112"/>
  <c r="K2517" i="36112"/>
  <c r="P2517" i="36112"/>
  <c r="AD2517" i="36112" s="1"/>
  <c r="U2517" i="36112"/>
  <c r="K2518" i="36112"/>
  <c r="P2518" i="36112"/>
  <c r="AD2518" i="36112" s="1"/>
  <c r="U2518" i="36112"/>
  <c r="K2519" i="36112"/>
  <c r="P2519" i="36112"/>
  <c r="AD2519" i="36112" s="1"/>
  <c r="U2519" i="36112"/>
  <c r="K2520" i="36112"/>
  <c r="P2520" i="36112"/>
  <c r="AD2520" i="36112" s="1"/>
  <c r="U2520" i="36112"/>
  <c r="K2521" i="36112"/>
  <c r="P2521" i="36112"/>
  <c r="AD2521" i="36112" s="1"/>
  <c r="U2521" i="36112"/>
  <c r="K2522" i="36112"/>
  <c r="P2522" i="36112"/>
  <c r="AD2522" i="36112" s="1"/>
  <c r="U2522" i="36112"/>
  <c r="K2523" i="36112"/>
  <c r="P2523" i="36112"/>
  <c r="AD2523" i="36112" s="1"/>
  <c r="U2523" i="36112"/>
  <c r="K2524" i="36112"/>
  <c r="P2524" i="36112"/>
  <c r="AD2524" i="36112" s="1"/>
  <c r="U2524" i="36112"/>
  <c r="K2525" i="36112"/>
  <c r="P2525" i="36112"/>
  <c r="AD2525" i="36112" s="1"/>
  <c r="U2525" i="36112"/>
  <c r="K2515" i="36112"/>
  <c r="P2515" i="36112"/>
  <c r="U2515" i="36112"/>
  <c r="AB2515" i="36112"/>
  <c r="K2516" i="36112"/>
  <c r="P2516" i="36112"/>
  <c r="U2516" i="36112"/>
  <c r="AB2516" i="36112"/>
  <c r="R1423" i="36134"/>
  <c r="N1423" i="36134"/>
  <c r="U1423" i="36134" s="1"/>
  <c r="W1423" i="36134" s="1"/>
  <c r="T131" i="32"/>
  <c r="U131" i="32"/>
  <c r="AD131" i="32"/>
  <c r="AG787" i="60"/>
  <c r="LI5" i="36128" s="1"/>
  <c r="LI38" i="36128" s="1"/>
  <c r="K787" i="60"/>
  <c r="P787" i="60"/>
  <c r="AD787" i="60" s="1"/>
  <c r="U787" i="60"/>
  <c r="P38" i="1"/>
  <c r="U38" i="1"/>
  <c r="AG786" i="60"/>
  <c r="AH786" i="60" s="1"/>
  <c r="AI786" i="60" s="1"/>
  <c r="LH6" i="36128" s="1"/>
  <c r="LH39" i="36128" s="1"/>
  <c r="K786" i="60"/>
  <c r="P786" i="60"/>
  <c r="AD786" i="60" s="1"/>
  <c r="IO6" i="36128" s="1"/>
  <c r="U786" i="60"/>
  <c r="AG779" i="60"/>
  <c r="LG5" i="36128" s="1"/>
  <c r="LG38" i="36128" s="1"/>
  <c r="K779" i="60"/>
  <c r="P779" i="60"/>
  <c r="AD779" i="60" s="1"/>
  <c r="U779" i="60"/>
  <c r="AG778" i="60"/>
  <c r="AH778" i="60" s="1"/>
  <c r="AI778" i="60" s="1"/>
  <c r="LF6" i="36128" s="1"/>
  <c r="LF39" i="36128" s="1"/>
  <c r="K778" i="60"/>
  <c r="P778" i="60"/>
  <c r="AD778" i="60" s="1"/>
  <c r="IM6" i="36128" s="1"/>
  <c r="T778" i="60"/>
  <c r="U778" i="60" s="1"/>
  <c r="AG2508" i="36112"/>
  <c r="AH2508" i="36112" s="1"/>
  <c r="AI2508" i="36112" s="1"/>
  <c r="K2507" i="36112"/>
  <c r="P2507" i="36112"/>
  <c r="AD2507" i="36112" s="1"/>
  <c r="U2507" i="36112"/>
  <c r="K2508" i="36112"/>
  <c r="P2508" i="36112"/>
  <c r="AD2508" i="36112" s="1"/>
  <c r="U2508" i="36112"/>
  <c r="V1417" i="36134"/>
  <c r="V1418" i="36134"/>
  <c r="V1419" i="36134"/>
  <c r="R1419" i="36134"/>
  <c r="N1419" i="36134"/>
  <c r="U1419" i="36134" s="1"/>
  <c r="W1419" i="36134" s="1"/>
  <c r="J1419" i="36134"/>
  <c r="R1418" i="36134"/>
  <c r="N1418" i="36134"/>
  <c r="U1418" i="36134" s="1"/>
  <c r="W1418" i="36134" s="1"/>
  <c r="J1418" i="36134"/>
  <c r="Q1417" i="36134"/>
  <c r="R1417" i="36134" s="1"/>
  <c r="N1417" i="36134"/>
  <c r="U1417" i="36134" s="1"/>
  <c r="W1417" i="36134" s="1"/>
  <c r="J1417" i="36134"/>
  <c r="N1406" i="36134"/>
  <c r="U1406" i="36134" s="1"/>
  <c r="W1406" i="36134" s="1"/>
  <c r="LC26" i="36128"/>
  <c r="AI124" i="32"/>
  <c r="LC27" i="36128"/>
  <c r="KZ12" i="36128"/>
  <c r="KZ11" i="36128"/>
  <c r="L16" i="36135"/>
  <c r="P16" i="36135"/>
  <c r="AE16" i="36135"/>
  <c r="U16" i="36135"/>
  <c r="L17" i="36135"/>
  <c r="P17" i="36135"/>
  <c r="AE17" i="36135"/>
  <c r="U17" i="36135"/>
  <c r="L18" i="36135"/>
  <c r="P18" i="36135"/>
  <c r="AE18" i="36135"/>
  <c r="U18" i="36135"/>
  <c r="L19" i="36135"/>
  <c r="P19" i="36135"/>
  <c r="AE19" i="36135"/>
  <c r="U19" i="36135"/>
  <c r="L20" i="36135"/>
  <c r="P20" i="36135"/>
  <c r="AE20" i="36135"/>
  <c r="U20" i="36135"/>
  <c r="L21" i="36135"/>
  <c r="P21" i="36135"/>
  <c r="AE21" i="36135"/>
  <c r="U21" i="36135"/>
  <c r="L22" i="36135"/>
  <c r="P22" i="36135"/>
  <c r="AE22" i="36135"/>
  <c r="U22" i="36135"/>
  <c r="L23" i="36135"/>
  <c r="P23" i="36135"/>
  <c r="AE23" i="36135"/>
  <c r="U23" i="36135"/>
  <c r="L24" i="36135"/>
  <c r="P24" i="36135"/>
  <c r="AE24" i="36135"/>
  <c r="U24" i="36135"/>
  <c r="L25" i="36135"/>
  <c r="P25" i="36135"/>
  <c r="AE25" i="36135"/>
  <c r="U25" i="36135"/>
  <c r="L26" i="36135"/>
  <c r="P26" i="36135"/>
  <c r="AE26" i="36135"/>
  <c r="U26" i="36135"/>
  <c r="L27" i="36135"/>
  <c r="P27" i="36135"/>
  <c r="AE27" i="36135"/>
  <c r="U27" i="36135"/>
  <c r="L28" i="36135"/>
  <c r="P28" i="36135"/>
  <c r="AE28" i="36135"/>
  <c r="U28" i="36135"/>
  <c r="U12" i="36135"/>
  <c r="P12" i="36135"/>
  <c r="AE12" i="36135"/>
  <c r="K12" i="36135"/>
  <c r="H12" i="36135"/>
  <c r="U11" i="36135"/>
  <c r="P11" i="36135"/>
  <c r="AE11" i="36135"/>
  <c r="K11" i="36135"/>
  <c r="U10" i="36135"/>
  <c r="P10" i="36135"/>
  <c r="AE10" i="36135"/>
  <c r="K10" i="36135"/>
  <c r="U9" i="36135"/>
  <c r="P9" i="36135"/>
  <c r="AE9" i="36135"/>
  <c r="K9" i="36135"/>
  <c r="U8" i="36135"/>
  <c r="P8" i="36135"/>
  <c r="AE8" i="36135"/>
  <c r="K8" i="36135"/>
  <c r="H8" i="36135"/>
  <c r="U7" i="36135"/>
  <c r="P7" i="36135"/>
  <c r="AE7" i="36135"/>
  <c r="K7" i="36135"/>
  <c r="U6" i="36135"/>
  <c r="P6" i="36135"/>
  <c r="AE6" i="36135"/>
  <c r="K6" i="36135"/>
  <c r="U5" i="36135"/>
  <c r="P5" i="36135"/>
  <c r="AE5" i="36135"/>
  <c r="K5" i="36135"/>
  <c r="H5" i="36135"/>
  <c r="U4" i="36135"/>
  <c r="P4" i="36135"/>
  <c r="AE4" i="36135"/>
  <c r="K4" i="36135"/>
  <c r="AG777" i="60"/>
  <c r="K777" i="60"/>
  <c r="P777" i="60"/>
  <c r="AD777" i="60" s="1"/>
  <c r="T777" i="60"/>
  <c r="U777" i="60" s="1"/>
  <c r="P124" i="32"/>
  <c r="AD124" i="32"/>
  <c r="IM26" i="36128"/>
  <c r="U124" i="32"/>
  <c r="AG776" i="60"/>
  <c r="AH776" i="60" s="1"/>
  <c r="AI776" i="60" s="1"/>
  <c r="K776" i="60"/>
  <c r="P776" i="60"/>
  <c r="AD776" i="60" s="1"/>
  <c r="U776" i="60"/>
  <c r="L677" i="114"/>
  <c r="P677" i="114"/>
  <c r="AE677" i="114"/>
  <c r="U677" i="114"/>
  <c r="AG2506" i="36112"/>
  <c r="AH2506" i="36112" s="1"/>
  <c r="AI2506" i="36112" s="1"/>
  <c r="AH351" i="111"/>
  <c r="AI351" i="111"/>
  <c r="AH352" i="111"/>
  <c r="AI352" i="111"/>
  <c r="K351" i="111"/>
  <c r="P351" i="111"/>
  <c r="AD351" i="111"/>
  <c r="T351" i="111"/>
  <c r="U351" i="111"/>
  <c r="K352" i="111"/>
  <c r="P352" i="111"/>
  <c r="AD352" i="111"/>
  <c r="T352" i="111"/>
  <c r="U352" i="111"/>
  <c r="AG2497" i="36112"/>
  <c r="AH2497" i="36112" s="1"/>
  <c r="AI2497" i="36112" s="1"/>
  <c r="AG2498" i="36112"/>
  <c r="AH2498" i="36112" s="1"/>
  <c r="AI2498" i="36112" s="1"/>
  <c r="AG2499" i="36112"/>
  <c r="AH2499" i="36112" s="1"/>
  <c r="AI2499" i="36112" s="1"/>
  <c r="AG2500" i="36112"/>
  <c r="AH2500" i="36112" s="1"/>
  <c r="AI2500" i="36112" s="1"/>
  <c r="AG2501" i="36112"/>
  <c r="AH2501" i="36112" s="1"/>
  <c r="AI2501" i="36112" s="1"/>
  <c r="AG2502" i="36112"/>
  <c r="AH2502" i="36112" s="1"/>
  <c r="AI2502" i="36112" s="1"/>
  <c r="AG2503" i="36112"/>
  <c r="AH2503" i="36112" s="1"/>
  <c r="AI2503" i="36112" s="1"/>
  <c r="AG2504" i="36112"/>
  <c r="AH2504" i="36112" s="1"/>
  <c r="AI2504" i="36112" s="1"/>
  <c r="AG2505" i="36112"/>
  <c r="AH2505" i="36112" s="1"/>
  <c r="AI2505" i="36112" s="1"/>
  <c r="K2499" i="36112"/>
  <c r="P2499" i="36112"/>
  <c r="AD2499" i="36112" s="1"/>
  <c r="U2499" i="36112"/>
  <c r="K2500" i="36112"/>
  <c r="P2500" i="36112"/>
  <c r="AD2500" i="36112" s="1"/>
  <c r="U2500" i="36112"/>
  <c r="K2501" i="36112"/>
  <c r="P2501" i="36112"/>
  <c r="AD2501" i="36112" s="1"/>
  <c r="U2501" i="36112"/>
  <c r="K2502" i="36112"/>
  <c r="P2502" i="36112"/>
  <c r="AD2502" i="36112" s="1"/>
  <c r="U2502" i="36112"/>
  <c r="H2503" i="36112"/>
  <c r="K2503" i="36112"/>
  <c r="P2503" i="36112"/>
  <c r="AD2503" i="36112" s="1"/>
  <c r="U2503" i="36112"/>
  <c r="K2504" i="36112"/>
  <c r="P2504" i="36112"/>
  <c r="AD2504" i="36112" s="1"/>
  <c r="U2504" i="36112"/>
  <c r="K2505" i="36112"/>
  <c r="P2505" i="36112"/>
  <c r="AD2505" i="36112" s="1"/>
  <c r="U2505" i="36112"/>
  <c r="K2506" i="36112"/>
  <c r="P2506" i="36112"/>
  <c r="AD2506" i="36112" s="1"/>
  <c r="U2506" i="36112"/>
  <c r="K2498" i="36112"/>
  <c r="P2498" i="36112"/>
  <c r="AD2498" i="36112" s="1"/>
  <c r="U2498" i="36112"/>
  <c r="K2497" i="36112"/>
  <c r="P2497" i="36112"/>
  <c r="AD2497" i="36112" s="1"/>
  <c r="U2497" i="36112"/>
  <c r="AG775" i="60"/>
  <c r="AH775" i="60" s="1"/>
  <c r="AI775" i="60" s="1"/>
  <c r="LC6" i="36128" s="1"/>
  <c r="K775" i="60"/>
  <c r="P775" i="60"/>
  <c r="AD775" i="60" s="1"/>
  <c r="U775" i="60"/>
  <c r="V1421" i="36134"/>
  <c r="V1422" i="36134"/>
  <c r="V1423" i="36134"/>
  <c r="Q1422" i="36134"/>
  <c r="R1422" i="36134" s="1"/>
  <c r="N1422" i="36134"/>
  <c r="U1422" i="36134" s="1"/>
  <c r="W1422" i="36134" s="1"/>
  <c r="J1422" i="36134"/>
  <c r="Q1421" i="36134"/>
  <c r="R1421" i="36134" s="1"/>
  <c r="N1421" i="36134"/>
  <c r="U1421" i="36134" s="1"/>
  <c r="W1421" i="36134" s="1"/>
  <c r="J1421" i="36134"/>
  <c r="V1414" i="36134"/>
  <c r="V1415" i="36134"/>
  <c r="V1416" i="36134"/>
  <c r="R1416" i="36134"/>
  <c r="N1416" i="36134"/>
  <c r="U1416" i="36134" s="1"/>
  <c r="W1416" i="36134" s="1"/>
  <c r="J1416" i="36134"/>
  <c r="R1415" i="36134"/>
  <c r="N1415" i="36134"/>
  <c r="U1415" i="36134" s="1"/>
  <c r="W1415" i="36134" s="1"/>
  <c r="J1415" i="36134"/>
  <c r="R1414" i="36134"/>
  <c r="N1414" i="36134"/>
  <c r="U1414" i="36134" s="1"/>
  <c r="W1414" i="36134" s="1"/>
  <c r="J1414" i="36134"/>
  <c r="V1404" i="36134"/>
  <c r="V1405" i="36134"/>
  <c r="V1406" i="36134"/>
  <c r="R1406" i="36134"/>
  <c r="J1406" i="36134"/>
  <c r="R1405" i="36134"/>
  <c r="N1405" i="36134"/>
  <c r="U1405" i="36134" s="1"/>
  <c r="W1405" i="36134" s="1"/>
  <c r="J1405" i="36134"/>
  <c r="R1404" i="36134"/>
  <c r="N1404" i="36134"/>
  <c r="U1404" i="36134" s="1"/>
  <c r="W1404" i="36134" s="1"/>
  <c r="J1404" i="36134"/>
  <c r="AG774" i="60"/>
  <c r="AH774" i="60" s="1"/>
  <c r="AI774" i="60" s="1"/>
  <c r="LA6" i="36128" s="1"/>
  <c r="K774" i="60"/>
  <c r="P774" i="60"/>
  <c r="AD774" i="60" s="1"/>
  <c r="U774" i="60"/>
  <c r="AG2493" i="36112"/>
  <c r="AH2493" i="36112" s="1"/>
  <c r="AI2493" i="36112" s="1"/>
  <c r="AG2494" i="36112"/>
  <c r="AH2494" i="36112" s="1"/>
  <c r="AI2494" i="36112" s="1"/>
  <c r="AG2495" i="36112"/>
  <c r="AH2495" i="36112" s="1"/>
  <c r="AI2495" i="36112" s="1"/>
  <c r="AG2496" i="36112"/>
  <c r="AH2496" i="36112" s="1"/>
  <c r="AI2496" i="36112" s="1"/>
  <c r="K2495" i="36112"/>
  <c r="P2495" i="36112"/>
  <c r="AD2495" i="36112" s="1"/>
  <c r="U2495" i="36112"/>
  <c r="K2496" i="36112"/>
  <c r="P2496" i="36112"/>
  <c r="AD2496" i="36112" s="1"/>
  <c r="IH2" i="36128" s="1"/>
  <c r="U2496" i="36112"/>
  <c r="K2493" i="36112"/>
  <c r="P2493" i="36112"/>
  <c r="AD2493" i="36112" s="1"/>
  <c r="U2493" i="36112"/>
  <c r="K2494" i="36112"/>
  <c r="P2494" i="36112"/>
  <c r="AD2494" i="36112" s="1"/>
  <c r="U2494" i="36112"/>
  <c r="AG2491" i="36112"/>
  <c r="AH2491" i="36112" s="1"/>
  <c r="AI2491" i="36112" s="1"/>
  <c r="AG2492" i="36112"/>
  <c r="AH2492" i="36112" s="1"/>
  <c r="AI2492" i="36112" s="1"/>
  <c r="K2491" i="36112"/>
  <c r="P2491" i="36112"/>
  <c r="AD2491" i="36112" s="1"/>
  <c r="U2491" i="36112"/>
  <c r="K2492" i="36112"/>
  <c r="P2492" i="36112"/>
  <c r="AD2492" i="36112" s="1"/>
  <c r="U2492" i="36112"/>
  <c r="AG773" i="60"/>
  <c r="AH773" i="60" s="1"/>
  <c r="AI773" i="60" s="1"/>
  <c r="KZ6" i="36128" s="1"/>
  <c r="K773" i="60"/>
  <c r="P773" i="60"/>
  <c r="AD773" i="60" s="1"/>
  <c r="IG6" i="36128" s="1"/>
  <c r="U773" i="60"/>
  <c r="AG2479" i="36112"/>
  <c r="AH2479" i="36112" s="1"/>
  <c r="AI2479" i="36112" s="1"/>
  <c r="AG2480" i="36112"/>
  <c r="AH2480" i="36112" s="1"/>
  <c r="AI2480" i="36112" s="1"/>
  <c r="AG2481" i="36112"/>
  <c r="AH2481" i="36112" s="1"/>
  <c r="AI2481" i="36112" s="1"/>
  <c r="AG2482" i="36112"/>
  <c r="AH2482" i="36112" s="1"/>
  <c r="AI2482" i="36112" s="1"/>
  <c r="AG2483" i="36112"/>
  <c r="AH2483" i="36112" s="1"/>
  <c r="AI2483" i="36112" s="1"/>
  <c r="AG2484" i="36112"/>
  <c r="AH2484" i="36112" s="1"/>
  <c r="AI2484" i="36112" s="1"/>
  <c r="K2480" i="36112"/>
  <c r="P2480" i="36112"/>
  <c r="AD2480" i="36112" s="1"/>
  <c r="U2480" i="36112"/>
  <c r="K2481" i="36112"/>
  <c r="P2481" i="36112"/>
  <c r="AD2481" i="36112" s="1"/>
  <c r="U2481" i="36112"/>
  <c r="K2482" i="36112"/>
  <c r="P2482" i="36112"/>
  <c r="AD2482" i="36112" s="1"/>
  <c r="U2482" i="36112"/>
  <c r="K2483" i="36112"/>
  <c r="P2483" i="36112"/>
  <c r="AD2483" i="36112" s="1"/>
  <c r="U2483" i="36112"/>
  <c r="K2484" i="36112"/>
  <c r="P2484" i="36112"/>
  <c r="AD2484" i="36112" s="1"/>
  <c r="IF2" i="36128" s="1"/>
  <c r="IF38" i="36128" s="1"/>
  <c r="U2484" i="36112"/>
  <c r="K2479" i="36112"/>
  <c r="P2479" i="36112"/>
  <c r="AD2479" i="36112" s="1"/>
  <c r="U2479" i="36112"/>
  <c r="V1357" i="36134"/>
  <c r="V1358" i="36134"/>
  <c r="V1359" i="36134"/>
  <c r="V1360" i="36134"/>
  <c r="V1361" i="36134"/>
  <c r="V1362" i="36134"/>
  <c r="V1363" i="36134"/>
  <c r="V1364" i="36134"/>
  <c r="V1365" i="36134"/>
  <c r="V1366" i="36134"/>
  <c r="V1367" i="36134"/>
  <c r="V1368" i="36134"/>
  <c r="V1369" i="36134"/>
  <c r="V1370" i="36134"/>
  <c r="V1371" i="36134"/>
  <c r="V1372" i="36134"/>
  <c r="V1373" i="36134"/>
  <c r="V1374" i="36134"/>
  <c r="V1375" i="36134"/>
  <c r="V1376" i="36134"/>
  <c r="V1377" i="36134"/>
  <c r="V1378" i="36134"/>
  <c r="V1379" i="36134"/>
  <c r="V1380" i="36134"/>
  <c r="V1381" i="36134"/>
  <c r="V1382" i="36134"/>
  <c r="V1383" i="36134"/>
  <c r="V1384" i="36134"/>
  <c r="V1385" i="36134"/>
  <c r="V1386" i="36134"/>
  <c r="V1387" i="36134"/>
  <c r="V1388" i="36134"/>
  <c r="V1389" i="36134"/>
  <c r="V1390" i="36134"/>
  <c r="V1391" i="36134"/>
  <c r="V1392" i="36134"/>
  <c r="V1393" i="36134"/>
  <c r="V1394" i="36134"/>
  <c r="V1395" i="36134"/>
  <c r="V1396" i="36134"/>
  <c r="V1397" i="36134"/>
  <c r="V1398" i="36134"/>
  <c r="V1399" i="36134"/>
  <c r="V1400" i="36134"/>
  <c r="V1401" i="36134"/>
  <c r="V1402" i="36134"/>
  <c r="V1403" i="36134"/>
  <c r="V1407" i="36134"/>
  <c r="V1408" i="36134"/>
  <c r="V1409" i="36134"/>
  <c r="V1410" i="36134"/>
  <c r="V1411" i="36134"/>
  <c r="V1412" i="36134"/>
  <c r="V1413" i="36134"/>
  <c r="V1420" i="36134"/>
  <c r="W1420" i="36134"/>
  <c r="R1420" i="36134"/>
  <c r="N1420" i="36134"/>
  <c r="K1420" i="36134"/>
  <c r="Q1413" i="36134"/>
  <c r="R1413" i="36134" s="1"/>
  <c r="N1413" i="36134"/>
  <c r="U1413" i="36134" s="1"/>
  <c r="W1413" i="36134" s="1"/>
  <c r="J1413" i="36134"/>
  <c r="R1412" i="36134"/>
  <c r="N1412" i="36134"/>
  <c r="U1412" i="36134" s="1"/>
  <c r="W1412" i="36134" s="1"/>
  <c r="J1412" i="36134"/>
  <c r="R1411" i="36134"/>
  <c r="N1411" i="36134"/>
  <c r="U1411" i="36134" s="1"/>
  <c r="W1411" i="36134" s="1"/>
  <c r="J1411" i="36134"/>
  <c r="R1410" i="36134"/>
  <c r="N1410" i="36134"/>
  <c r="U1410" i="36134" s="1"/>
  <c r="W1410" i="36134" s="1"/>
  <c r="J1410" i="36134"/>
  <c r="Q1409" i="36134"/>
  <c r="R1409" i="36134" s="1"/>
  <c r="N1409" i="36134"/>
  <c r="U1409" i="36134" s="1"/>
  <c r="W1409" i="36134" s="1"/>
  <c r="J1409" i="36134"/>
  <c r="R1408" i="36134"/>
  <c r="N1408" i="36134"/>
  <c r="U1408" i="36134" s="1"/>
  <c r="W1408" i="36134" s="1"/>
  <c r="J1408" i="36134"/>
  <c r="R1407" i="36134"/>
  <c r="N1407" i="36134"/>
  <c r="U1407" i="36134" s="1"/>
  <c r="W1407" i="36134" s="1"/>
  <c r="J1407" i="36134"/>
  <c r="Q1403" i="36134"/>
  <c r="R1403" i="36134" s="1"/>
  <c r="N1403" i="36134"/>
  <c r="U1403" i="36134" s="1"/>
  <c r="W1403" i="36134" s="1"/>
  <c r="J1403" i="36134"/>
  <c r="R1402" i="36134"/>
  <c r="N1402" i="36134"/>
  <c r="U1402" i="36134" s="1"/>
  <c r="W1402" i="36134" s="1"/>
  <c r="J1402" i="36134"/>
  <c r="R1401" i="36134"/>
  <c r="N1401" i="36134"/>
  <c r="U1401" i="36134" s="1"/>
  <c r="W1401" i="36134" s="1"/>
  <c r="J1401" i="36134"/>
  <c r="H1401" i="36134"/>
  <c r="R1400" i="36134"/>
  <c r="N1400" i="36134"/>
  <c r="U1400" i="36134" s="1"/>
  <c r="W1400" i="36134" s="1"/>
  <c r="J1400" i="36134"/>
  <c r="R1399" i="36134"/>
  <c r="N1399" i="36134"/>
  <c r="U1399" i="36134" s="1"/>
  <c r="W1399" i="36134" s="1"/>
  <c r="J1399" i="36134"/>
  <c r="R1398" i="36134"/>
  <c r="N1398" i="36134"/>
  <c r="U1398" i="36134" s="1"/>
  <c r="W1398" i="36134" s="1"/>
  <c r="J1398" i="36134"/>
  <c r="R1397" i="36134"/>
  <c r="N1397" i="36134"/>
  <c r="U1397" i="36134" s="1"/>
  <c r="W1397" i="36134" s="1"/>
  <c r="J1397" i="36134"/>
  <c r="R1396" i="36134"/>
  <c r="N1396" i="36134"/>
  <c r="U1396" i="36134" s="1"/>
  <c r="W1396" i="36134" s="1"/>
  <c r="J1396" i="36134"/>
  <c r="R1395" i="36134"/>
  <c r="N1395" i="36134"/>
  <c r="U1395" i="36134" s="1"/>
  <c r="W1395" i="36134" s="1"/>
  <c r="J1395" i="36134"/>
  <c r="R1394" i="36134"/>
  <c r="N1394" i="36134"/>
  <c r="U1394" i="36134" s="1"/>
  <c r="W1394" i="36134" s="1"/>
  <c r="J1394" i="36134"/>
  <c r="R1393" i="36134"/>
  <c r="N1393" i="36134"/>
  <c r="U1393" i="36134" s="1"/>
  <c r="W1393" i="36134" s="1"/>
  <c r="J1393" i="36134"/>
  <c r="R1392" i="36134"/>
  <c r="N1392" i="36134"/>
  <c r="U1392" i="36134" s="1"/>
  <c r="W1392" i="36134" s="1"/>
  <c r="J1392" i="36134"/>
  <c r="R1391" i="36134"/>
  <c r="N1391" i="36134"/>
  <c r="U1391" i="36134" s="1"/>
  <c r="W1391" i="36134" s="1"/>
  <c r="J1391" i="36134"/>
  <c r="R1390" i="36134"/>
  <c r="N1390" i="36134"/>
  <c r="U1390" i="36134" s="1"/>
  <c r="W1390" i="36134" s="1"/>
  <c r="J1390" i="36134"/>
  <c r="R1389" i="36134"/>
  <c r="N1389" i="36134"/>
  <c r="U1389" i="36134" s="1"/>
  <c r="W1389" i="36134" s="1"/>
  <c r="J1389" i="36134"/>
  <c r="R1388" i="36134"/>
  <c r="N1388" i="36134"/>
  <c r="U1388" i="36134" s="1"/>
  <c r="W1388" i="36134" s="1"/>
  <c r="J1388" i="36134"/>
  <c r="R1387" i="36134"/>
  <c r="N1387" i="36134"/>
  <c r="U1387" i="36134" s="1"/>
  <c r="W1387" i="36134" s="1"/>
  <c r="J1387" i="36134"/>
  <c r="R1386" i="36134"/>
  <c r="N1386" i="36134"/>
  <c r="U1386" i="36134"/>
  <c r="W1386" i="36134" s="1"/>
  <c r="J1386" i="36134"/>
  <c r="R1385" i="36134"/>
  <c r="N1385" i="36134"/>
  <c r="U1385" i="36134" s="1"/>
  <c r="W1385" i="36134" s="1"/>
  <c r="J1385" i="36134"/>
  <c r="R1384" i="36134"/>
  <c r="N1384" i="36134"/>
  <c r="U1384" i="36134" s="1"/>
  <c r="W1384" i="36134" s="1"/>
  <c r="J1384" i="36134"/>
  <c r="R1383" i="36134"/>
  <c r="N1383" i="36134"/>
  <c r="U1383" i="36134" s="1"/>
  <c r="W1383" i="36134" s="1"/>
  <c r="J1383" i="36134"/>
  <c r="R1382" i="36134"/>
  <c r="N1382" i="36134"/>
  <c r="U1382" i="36134" s="1"/>
  <c r="W1382" i="36134" s="1"/>
  <c r="J1382" i="36134"/>
  <c r="R1381" i="36134"/>
  <c r="N1381" i="36134"/>
  <c r="U1381" i="36134" s="1"/>
  <c r="W1381" i="36134" s="1"/>
  <c r="J1381" i="36134"/>
  <c r="R1380" i="36134"/>
  <c r="N1380" i="36134"/>
  <c r="U1380" i="36134" s="1"/>
  <c r="W1380" i="36134" s="1"/>
  <c r="J1380" i="36134"/>
  <c r="R1379" i="36134"/>
  <c r="N1379" i="36134"/>
  <c r="U1379" i="36134" s="1"/>
  <c r="W1379" i="36134" s="1"/>
  <c r="J1379" i="36134"/>
  <c r="R1378" i="36134"/>
  <c r="N1378" i="36134"/>
  <c r="U1378" i="36134" s="1"/>
  <c r="W1378" i="36134" s="1"/>
  <c r="J1378" i="36134"/>
  <c r="R1377" i="36134"/>
  <c r="N1377" i="36134"/>
  <c r="U1377" i="36134" s="1"/>
  <c r="W1377" i="36134" s="1"/>
  <c r="J1377" i="36134"/>
  <c r="R1376" i="36134"/>
  <c r="N1376" i="36134"/>
  <c r="U1376" i="36134" s="1"/>
  <c r="W1376" i="36134" s="1"/>
  <c r="J1376" i="36134"/>
  <c r="R1375" i="36134"/>
  <c r="N1375" i="36134"/>
  <c r="U1375" i="36134" s="1"/>
  <c r="W1375" i="36134" s="1"/>
  <c r="J1375" i="36134"/>
  <c r="R1374" i="36134"/>
  <c r="N1374" i="36134"/>
  <c r="U1374" i="36134" s="1"/>
  <c r="W1374" i="36134" s="1"/>
  <c r="J1374" i="36134"/>
  <c r="R1373" i="36134"/>
  <c r="N1373" i="36134"/>
  <c r="U1373" i="36134" s="1"/>
  <c r="W1373" i="36134" s="1"/>
  <c r="J1373" i="36134"/>
  <c r="R1372" i="36134"/>
  <c r="N1372" i="36134"/>
  <c r="U1372" i="36134" s="1"/>
  <c r="W1372" i="36134" s="1"/>
  <c r="J1372" i="36134"/>
  <c r="R1371" i="36134"/>
  <c r="N1371" i="36134"/>
  <c r="U1371" i="36134" s="1"/>
  <c r="W1371" i="36134" s="1"/>
  <c r="J1371" i="36134"/>
  <c r="R1370" i="36134"/>
  <c r="N1370" i="36134"/>
  <c r="U1370" i="36134" s="1"/>
  <c r="W1370" i="36134" s="1"/>
  <c r="J1370" i="36134"/>
  <c r="R1369" i="36134"/>
  <c r="N1369" i="36134"/>
  <c r="U1369" i="36134" s="1"/>
  <c r="W1369" i="36134" s="1"/>
  <c r="J1369" i="36134"/>
  <c r="R1368" i="36134"/>
  <c r="N1368" i="36134"/>
  <c r="U1368" i="36134" s="1"/>
  <c r="W1368" i="36134" s="1"/>
  <c r="J1368" i="36134"/>
  <c r="Q1367" i="36134"/>
  <c r="R1367" i="36134" s="1"/>
  <c r="N1367" i="36134"/>
  <c r="U1367" i="36134" s="1"/>
  <c r="W1367" i="36134" s="1"/>
  <c r="J1367" i="36134"/>
  <c r="Q1366" i="36134"/>
  <c r="R1366" i="36134" s="1"/>
  <c r="N1366" i="36134"/>
  <c r="U1366" i="36134" s="1"/>
  <c r="W1366" i="36134" s="1"/>
  <c r="J1366" i="36134"/>
  <c r="Q1365" i="36134"/>
  <c r="R1365" i="36134" s="1"/>
  <c r="N1365" i="36134"/>
  <c r="U1365" i="36134" s="1"/>
  <c r="W1365" i="36134" s="1"/>
  <c r="J1365" i="36134"/>
  <c r="Q1364" i="36134"/>
  <c r="R1364" i="36134" s="1"/>
  <c r="N1364" i="36134"/>
  <c r="U1364" i="36134" s="1"/>
  <c r="W1364" i="36134" s="1"/>
  <c r="J1364" i="36134"/>
  <c r="R1363" i="36134"/>
  <c r="N1363" i="36134"/>
  <c r="U1363" i="36134" s="1"/>
  <c r="W1363" i="36134" s="1"/>
  <c r="J1363" i="36134"/>
  <c r="R1362" i="36134"/>
  <c r="N1362" i="36134"/>
  <c r="U1362" i="36134" s="1"/>
  <c r="W1362" i="36134" s="1"/>
  <c r="J1362" i="36134"/>
  <c r="R1361" i="36134"/>
  <c r="N1361" i="36134"/>
  <c r="U1361" i="36134" s="1"/>
  <c r="W1361" i="36134" s="1"/>
  <c r="J1361" i="36134"/>
  <c r="R1360" i="36134"/>
  <c r="N1360" i="36134"/>
  <c r="U1360" i="36134" s="1"/>
  <c r="W1360" i="36134" s="1"/>
  <c r="J1360" i="36134"/>
  <c r="R1359" i="36134"/>
  <c r="N1359" i="36134"/>
  <c r="U1359" i="36134" s="1"/>
  <c r="W1359" i="36134" s="1"/>
  <c r="J1359" i="36134"/>
  <c r="R1358" i="36134"/>
  <c r="N1358" i="36134"/>
  <c r="U1358" i="36134"/>
  <c r="W1358" i="36134" s="1"/>
  <c r="J1358" i="36134"/>
  <c r="R1357" i="36134"/>
  <c r="N1357" i="36134"/>
  <c r="U1357" i="36134" s="1"/>
  <c r="W1357" i="36134" s="1"/>
  <c r="J1357" i="36134"/>
  <c r="KX38" i="36128"/>
  <c r="AG2485" i="36112"/>
  <c r="AH2485" i="36112" s="1"/>
  <c r="AI2485" i="36112" s="1"/>
  <c r="AG2486" i="36112"/>
  <c r="AH2486" i="36112" s="1"/>
  <c r="AI2486" i="36112" s="1"/>
  <c r="AG2487" i="36112"/>
  <c r="AH2487" i="36112" s="1"/>
  <c r="AI2487" i="36112" s="1"/>
  <c r="AG2488" i="36112"/>
  <c r="AH2488" i="36112" s="1"/>
  <c r="AI2488" i="36112" s="1"/>
  <c r="AG2489" i="36112"/>
  <c r="AH2489" i="36112" s="1"/>
  <c r="AI2489" i="36112" s="1"/>
  <c r="AG2490" i="36112"/>
  <c r="AH2490" i="36112" s="1"/>
  <c r="AI2490" i="36112" s="1"/>
  <c r="K2489" i="36112"/>
  <c r="P2489" i="36112"/>
  <c r="AD2489" i="36112" s="1"/>
  <c r="U2489" i="36112"/>
  <c r="K2490" i="36112"/>
  <c r="P2490" i="36112"/>
  <c r="AD2490" i="36112" s="1"/>
  <c r="U2490" i="36112"/>
  <c r="K2487" i="36112"/>
  <c r="P2487" i="36112"/>
  <c r="AD2487" i="36112" s="1"/>
  <c r="U2487" i="36112"/>
  <c r="K2488" i="36112"/>
  <c r="P2488" i="36112"/>
  <c r="AD2488" i="36112" s="1"/>
  <c r="U2488" i="36112"/>
  <c r="K2485" i="36112"/>
  <c r="P2485" i="36112"/>
  <c r="AD2485" i="36112" s="1"/>
  <c r="U2485" i="36112"/>
  <c r="K2486" i="36112"/>
  <c r="P2486" i="36112"/>
  <c r="AD2486" i="36112" s="1"/>
  <c r="U2486" i="36112"/>
  <c r="K772" i="60"/>
  <c r="P772" i="60"/>
  <c r="AD772" i="60" s="1"/>
  <c r="U772" i="60"/>
  <c r="AG2470" i="36112"/>
  <c r="AH2470" i="36112" s="1"/>
  <c r="AI2470" i="36112" s="1"/>
  <c r="AG2471" i="36112"/>
  <c r="AH2471" i="36112" s="1"/>
  <c r="AI2471" i="36112" s="1"/>
  <c r="AG2472" i="36112"/>
  <c r="AH2472" i="36112" s="1"/>
  <c r="AI2472" i="36112" s="1"/>
  <c r="AG2473" i="36112"/>
  <c r="AH2473" i="36112" s="1"/>
  <c r="AI2473" i="36112" s="1"/>
  <c r="AG2474" i="36112"/>
  <c r="AH2474" i="36112" s="1"/>
  <c r="AI2474" i="36112" s="1"/>
  <c r="AG2475" i="36112"/>
  <c r="AH2475" i="36112" s="1"/>
  <c r="AI2475" i="36112" s="1"/>
  <c r="AG2476" i="36112"/>
  <c r="AH2476" i="36112" s="1"/>
  <c r="AI2476" i="36112" s="1"/>
  <c r="AG2477" i="36112"/>
  <c r="AG2478" i="36112"/>
  <c r="AH2478" i="36112" s="1"/>
  <c r="AI2478" i="36112" s="1"/>
  <c r="K2471" i="36112"/>
  <c r="P2471" i="36112"/>
  <c r="AD2471" i="36112" s="1"/>
  <c r="U2471" i="36112"/>
  <c r="K2472" i="36112"/>
  <c r="P2472" i="36112"/>
  <c r="AD2472" i="36112" s="1"/>
  <c r="U2472" i="36112"/>
  <c r="K2473" i="36112"/>
  <c r="P2473" i="36112"/>
  <c r="AD2473" i="36112" s="1"/>
  <c r="U2473" i="36112"/>
  <c r="K2474" i="36112"/>
  <c r="P2474" i="36112"/>
  <c r="AD2474" i="36112" s="1"/>
  <c r="U2474" i="36112"/>
  <c r="K2475" i="36112"/>
  <c r="P2475" i="36112"/>
  <c r="AD2475" i="36112" s="1"/>
  <c r="U2475" i="36112"/>
  <c r="K2476" i="36112"/>
  <c r="P2476" i="36112"/>
  <c r="AD2476" i="36112" s="1"/>
  <c r="U2476" i="36112"/>
  <c r="K2477" i="36112"/>
  <c r="P2477" i="36112"/>
  <c r="AD2477" i="36112" s="1"/>
  <c r="U2477" i="36112"/>
  <c r="K2478" i="36112"/>
  <c r="P2478" i="36112"/>
  <c r="AD2478" i="36112" s="1"/>
  <c r="U2478" i="36112"/>
  <c r="K2470" i="36112"/>
  <c r="P2470" i="36112"/>
  <c r="AD2470" i="36112" s="1"/>
  <c r="U2470" i="36112"/>
  <c r="AG769" i="60"/>
  <c r="AH769" i="60" s="1"/>
  <c r="AI769" i="60" s="1"/>
  <c r="AG770" i="60"/>
  <c r="AH770" i="60"/>
  <c r="AI770" i="60" s="1"/>
  <c r="AG771" i="60"/>
  <c r="KW5" i="36128" s="1"/>
  <c r="AG768" i="60"/>
  <c r="AH768" i="60" s="1"/>
  <c r="AI768" i="60" s="1"/>
  <c r="AG744" i="60"/>
  <c r="AH744" i="60" s="1"/>
  <c r="AI744" i="60" s="1"/>
  <c r="K744" i="60"/>
  <c r="P744" i="60"/>
  <c r="AD744" i="60" s="1"/>
  <c r="U744" i="60"/>
  <c r="K768" i="60"/>
  <c r="P768" i="60"/>
  <c r="AD768" i="60" s="1"/>
  <c r="U768" i="60"/>
  <c r="K769" i="60"/>
  <c r="P769" i="60"/>
  <c r="AD769" i="60" s="1"/>
  <c r="U769" i="60"/>
  <c r="K770" i="60"/>
  <c r="P770" i="60"/>
  <c r="AD770" i="60" s="1"/>
  <c r="IC6" i="36128" s="1"/>
  <c r="T770" i="60"/>
  <c r="U770" i="60" s="1"/>
  <c r="K771" i="60"/>
  <c r="P771" i="60"/>
  <c r="AD771" i="60" s="1"/>
  <c r="IE5" i="36128" s="1"/>
  <c r="U771" i="60"/>
  <c r="IJ12" i="36128"/>
  <c r="IJ11" i="36128"/>
  <c r="AG2466" i="36112"/>
  <c r="AH2466" i="36112" s="1"/>
  <c r="AI2466" i="36112" s="1"/>
  <c r="AG2467" i="36112"/>
  <c r="AH2467" i="36112" s="1"/>
  <c r="AI2467" i="36112" s="1"/>
  <c r="AG2468" i="36112"/>
  <c r="AH2468" i="36112" s="1"/>
  <c r="AI2468" i="36112" s="1"/>
  <c r="AG2469" i="36112"/>
  <c r="AH2469" i="36112" s="1"/>
  <c r="AI2469" i="36112" s="1"/>
  <c r="K2466" i="36112"/>
  <c r="P2466" i="36112"/>
  <c r="AD2466" i="36112" s="1"/>
  <c r="T2466" i="36112"/>
  <c r="U2466" i="36112" s="1"/>
  <c r="K2467" i="36112"/>
  <c r="P2467" i="36112"/>
  <c r="AD2467" i="36112" s="1"/>
  <c r="ID2" i="36128" s="1"/>
  <c r="T2467" i="36112"/>
  <c r="U2467" i="36112" s="1"/>
  <c r="K2468" i="36112"/>
  <c r="P2468" i="36112"/>
  <c r="AD2468" i="36112" s="1"/>
  <c r="T2468" i="36112"/>
  <c r="U2468" i="36112" s="1"/>
  <c r="K2469" i="36112"/>
  <c r="P2469" i="36112"/>
  <c r="AD2469" i="36112" s="1"/>
  <c r="T2469" i="36112"/>
  <c r="U2469" i="36112" s="1"/>
  <c r="K2451" i="36112"/>
  <c r="P2451" i="36112"/>
  <c r="U2451" i="36112"/>
  <c r="AB2451" i="36112"/>
  <c r="H2452" i="36112"/>
  <c r="K2452" i="36112"/>
  <c r="P2452" i="36112"/>
  <c r="U2452" i="36112"/>
  <c r="AB2452" i="36112"/>
  <c r="K2453" i="36112"/>
  <c r="P2453" i="36112"/>
  <c r="U2453" i="36112"/>
  <c r="AB2453" i="36112"/>
  <c r="K2454" i="36112"/>
  <c r="P2454" i="36112"/>
  <c r="U2454" i="36112"/>
  <c r="AB2454" i="36112"/>
  <c r="J1353" i="36134"/>
  <c r="V1356" i="36134"/>
  <c r="Q1356" i="36134"/>
  <c r="R1356" i="36134" s="1"/>
  <c r="K1356" i="36134"/>
  <c r="N1356" i="36134" s="1"/>
  <c r="U1356" i="36134" s="1"/>
  <c r="W1356" i="36134" s="1"/>
  <c r="R1353" i="36134"/>
  <c r="N1353" i="36134"/>
  <c r="U1353" i="36134" s="1"/>
  <c r="W1353" i="36134" s="1"/>
  <c r="V1353" i="36134"/>
  <c r="V1354" i="36134"/>
  <c r="R1354" i="36134"/>
  <c r="N1354" i="36134"/>
  <c r="U1354" i="36134" s="1"/>
  <c r="W1354" i="36134" s="1"/>
  <c r="J1354" i="36134"/>
  <c r="V1335" i="36134"/>
  <c r="V1336" i="36134"/>
  <c r="V1337" i="36134"/>
  <c r="V1338" i="36134"/>
  <c r="Q1338" i="36134"/>
  <c r="R1338" i="36134" s="1"/>
  <c r="N1338" i="36134"/>
  <c r="U1338" i="36134" s="1"/>
  <c r="W1338" i="36134" s="1"/>
  <c r="J1338" i="36134"/>
  <c r="Q1337" i="36134"/>
  <c r="R1337" i="36134" s="1"/>
  <c r="N1337" i="36134"/>
  <c r="U1337" i="36134" s="1"/>
  <c r="W1337" i="36134" s="1"/>
  <c r="J1337" i="36134"/>
  <c r="Q1336" i="36134"/>
  <c r="R1336" i="36134" s="1"/>
  <c r="N1336" i="36134"/>
  <c r="U1336" i="36134" s="1"/>
  <c r="W1336" i="36134" s="1"/>
  <c r="J1336" i="36134"/>
  <c r="R1335" i="36134"/>
  <c r="N1335" i="36134"/>
  <c r="U1335" i="36134" s="1"/>
  <c r="W1335" i="36134" s="1"/>
  <c r="J1335" i="36134"/>
  <c r="K2462" i="36112"/>
  <c r="AG2459" i="36112"/>
  <c r="AG2460" i="36112"/>
  <c r="AH2460" i="36112" s="1"/>
  <c r="AI2460" i="36112" s="1"/>
  <c r="AG2461" i="36112"/>
  <c r="AH2461" i="36112" s="1"/>
  <c r="AI2461" i="36112" s="1"/>
  <c r="AG2462" i="36112"/>
  <c r="AH2462" i="36112" s="1"/>
  <c r="AI2462" i="36112" s="1"/>
  <c r="AG2463" i="36112"/>
  <c r="AH2463" i="36112" s="1"/>
  <c r="AI2463" i="36112" s="1"/>
  <c r="AG2464" i="36112"/>
  <c r="AH2464" i="36112" s="1"/>
  <c r="AI2464" i="36112" s="1"/>
  <c r="AG2465" i="36112"/>
  <c r="AH2465" i="36112" s="1"/>
  <c r="AI2465" i="36112" s="1"/>
  <c r="K2463" i="36112"/>
  <c r="P2463" i="36112"/>
  <c r="AD2463" i="36112" s="1"/>
  <c r="U2463" i="36112"/>
  <c r="K2464" i="36112"/>
  <c r="P2464" i="36112"/>
  <c r="AD2464" i="36112" s="1"/>
  <c r="U2464" i="36112"/>
  <c r="K2465" i="36112"/>
  <c r="P2465" i="36112"/>
  <c r="AD2465" i="36112" s="1"/>
  <c r="U2465" i="36112"/>
  <c r="K2459" i="36112"/>
  <c r="P2459" i="36112"/>
  <c r="AD2459" i="36112" s="1"/>
  <c r="U2459" i="36112"/>
  <c r="K2460" i="36112"/>
  <c r="P2460" i="36112"/>
  <c r="AD2460" i="36112" s="1"/>
  <c r="U2460" i="36112"/>
  <c r="K2461" i="36112"/>
  <c r="P2461" i="36112"/>
  <c r="AD2461" i="36112" s="1"/>
  <c r="U2461" i="36112"/>
  <c r="P2462" i="36112"/>
  <c r="AD2462" i="36112" s="1"/>
  <c r="U2462" i="36112"/>
  <c r="AG2448" i="36112"/>
  <c r="AH2448" i="36112" s="1"/>
  <c r="AI2448" i="36112" s="1"/>
  <c r="AG2449" i="36112"/>
  <c r="AH2449" i="36112" s="1"/>
  <c r="AI2449" i="36112" s="1"/>
  <c r="AG2450" i="36112"/>
  <c r="AH2450" i="36112" s="1"/>
  <c r="AI2450" i="36112" s="1"/>
  <c r="K2448" i="36112"/>
  <c r="P2448" i="36112"/>
  <c r="AD2448" i="36112" s="1"/>
  <c r="T2448" i="36112"/>
  <c r="U2448" i="36112" s="1"/>
  <c r="K2449" i="36112"/>
  <c r="P2449" i="36112"/>
  <c r="AD2449" i="36112" s="1"/>
  <c r="IB3" i="36128" s="1"/>
  <c r="T2449" i="36112"/>
  <c r="U2449" i="36112" s="1"/>
  <c r="K2450" i="36112"/>
  <c r="P2450" i="36112"/>
  <c r="AD2450" i="36112" s="1"/>
  <c r="T2450" i="36112"/>
  <c r="U2450" i="36112" s="1"/>
  <c r="AG2221" i="36112"/>
  <c r="AH2221" i="36112" s="1"/>
  <c r="V1351" i="36134"/>
  <c r="V1352" i="36134"/>
  <c r="Q1352" i="36134"/>
  <c r="R1352" i="36134" s="1"/>
  <c r="N1352" i="36134"/>
  <c r="U1352" i="36134" s="1"/>
  <c r="W1352" i="36134" s="1"/>
  <c r="J1352" i="36134"/>
  <c r="H1352" i="36134"/>
  <c r="Q1351" i="36134"/>
  <c r="R1351" i="36134" s="1"/>
  <c r="N1351" i="36134"/>
  <c r="U1351" i="36134" s="1"/>
  <c r="W1351" i="36134" s="1"/>
  <c r="J1351" i="36134"/>
  <c r="V1328" i="36134"/>
  <c r="V1329" i="36134"/>
  <c r="V1330" i="36134"/>
  <c r="V1331" i="36134"/>
  <c r="V1332" i="36134"/>
  <c r="V1333" i="36134"/>
  <c r="V1334" i="36134"/>
  <c r="R1334" i="36134"/>
  <c r="N1334" i="36134"/>
  <c r="U1334" i="36134" s="1"/>
  <c r="W1334" i="36134" s="1"/>
  <c r="J1334" i="36134"/>
  <c r="R1333" i="36134"/>
  <c r="N1333" i="36134"/>
  <c r="U1333" i="36134" s="1"/>
  <c r="W1333" i="36134" s="1"/>
  <c r="J1333" i="36134"/>
  <c r="R1332" i="36134"/>
  <c r="N1332" i="36134"/>
  <c r="U1332" i="36134" s="1"/>
  <c r="W1332" i="36134" s="1"/>
  <c r="J1332" i="36134"/>
  <c r="R1331" i="36134"/>
  <c r="N1331" i="36134"/>
  <c r="U1331" i="36134" s="1"/>
  <c r="W1331" i="36134" s="1"/>
  <c r="J1331" i="36134"/>
  <c r="R1330" i="36134"/>
  <c r="N1330" i="36134"/>
  <c r="U1330" i="36134" s="1"/>
  <c r="W1330" i="36134" s="1"/>
  <c r="J1330" i="36134"/>
  <c r="R1329" i="36134"/>
  <c r="N1329" i="36134"/>
  <c r="U1329" i="36134" s="1"/>
  <c r="W1329" i="36134" s="1"/>
  <c r="J1329" i="36134"/>
  <c r="R1328" i="36134"/>
  <c r="N1328" i="36134"/>
  <c r="U1328" i="36134" s="1"/>
  <c r="W1328" i="36134" s="1"/>
  <c r="J1328" i="36134"/>
  <c r="AH2433" i="36112"/>
  <c r="AI2433" i="36112" s="1"/>
  <c r="AG2446" i="36112"/>
  <c r="AH2446" i="36112" s="1"/>
  <c r="AI2446" i="36112" s="1"/>
  <c r="AG2447" i="36112"/>
  <c r="AH2447" i="36112" s="1"/>
  <c r="AI2447" i="36112" s="1"/>
  <c r="K2446" i="36112"/>
  <c r="P2446" i="36112"/>
  <c r="AD2446" i="36112" s="1"/>
  <c r="U2446" i="36112"/>
  <c r="K2447" i="36112"/>
  <c r="P2447" i="36112"/>
  <c r="AD2447" i="36112" s="1"/>
  <c r="U2447" i="36112"/>
  <c r="AG759" i="60"/>
  <c r="AG760" i="60"/>
  <c r="AH760" i="60" s="1"/>
  <c r="AI760" i="60" s="1"/>
  <c r="K759" i="60"/>
  <c r="P759" i="60"/>
  <c r="AD759" i="60" s="1"/>
  <c r="U759" i="60"/>
  <c r="K760" i="60"/>
  <c r="P760" i="60"/>
  <c r="AD760" i="60" s="1"/>
  <c r="U760" i="60"/>
  <c r="AG761" i="60"/>
  <c r="AH761" i="60" s="1"/>
  <c r="AI761" i="60" s="1"/>
  <c r="KS6" i="36128" s="1"/>
  <c r="AG762" i="60"/>
  <c r="AH762" i="60" s="1"/>
  <c r="AI762" i="60" s="1"/>
  <c r="K761" i="60"/>
  <c r="P761" i="60"/>
  <c r="AD761" i="60" s="1"/>
  <c r="HZ6" i="36128" s="1"/>
  <c r="T761" i="60"/>
  <c r="U761" i="60" s="1"/>
  <c r="H762" i="60"/>
  <c r="K762" i="60"/>
  <c r="P762" i="60"/>
  <c r="AD762" i="60" s="1"/>
  <c r="T762" i="60"/>
  <c r="U762" i="60" s="1"/>
  <c r="AG2442" i="36112"/>
  <c r="AH2442" i="36112" s="1"/>
  <c r="AI2442" i="36112" s="1"/>
  <c r="AG2443" i="36112"/>
  <c r="AH2443" i="36112" s="1"/>
  <c r="AI2443" i="36112" s="1"/>
  <c r="AG2444" i="36112"/>
  <c r="AH2444" i="36112" s="1"/>
  <c r="AI2444" i="36112" s="1"/>
  <c r="AG2445" i="36112"/>
  <c r="AH2445" i="36112" s="1"/>
  <c r="AI2445" i="36112" s="1"/>
  <c r="K2442" i="36112"/>
  <c r="P2442" i="36112"/>
  <c r="AD2442" i="36112" s="1"/>
  <c r="U2442" i="36112"/>
  <c r="K2443" i="36112"/>
  <c r="P2443" i="36112"/>
  <c r="AD2443" i="36112" s="1"/>
  <c r="IA2" i="36128" s="1"/>
  <c r="U2443" i="36112"/>
  <c r="K2444" i="36112"/>
  <c r="P2444" i="36112"/>
  <c r="AD2444" i="36112" s="1"/>
  <c r="U2444" i="36112"/>
  <c r="K2445" i="36112"/>
  <c r="P2445" i="36112"/>
  <c r="AD2445" i="36112" s="1"/>
  <c r="U2445" i="36112"/>
  <c r="AG2439" i="36112"/>
  <c r="AH2439" i="36112" s="1"/>
  <c r="AI2439" i="36112" s="1"/>
  <c r="AG2440" i="36112"/>
  <c r="KS2" i="36128" s="1"/>
  <c r="AG2441" i="36112"/>
  <c r="AH2441" i="36112" s="1"/>
  <c r="AI2441" i="36112" s="1"/>
  <c r="K2439" i="36112"/>
  <c r="P2439" i="36112"/>
  <c r="AD2439" i="36112" s="1"/>
  <c r="U2439" i="36112"/>
  <c r="K2440" i="36112"/>
  <c r="P2440" i="36112"/>
  <c r="AD2440" i="36112" s="1"/>
  <c r="U2440" i="36112"/>
  <c r="K2441" i="36112"/>
  <c r="P2441" i="36112"/>
  <c r="AD2441" i="36112" s="1"/>
  <c r="U2441" i="36112"/>
  <c r="AG2434" i="36112"/>
  <c r="AH2434" i="36112" s="1"/>
  <c r="AI2434" i="36112" s="1"/>
  <c r="AG2438" i="36112"/>
  <c r="AH2438" i="36112" s="1"/>
  <c r="AI2438" i="36112" s="1"/>
  <c r="AG2437" i="36112"/>
  <c r="AH2437" i="36112" s="1"/>
  <c r="AI2437" i="36112" s="1"/>
  <c r="AG2436" i="36112"/>
  <c r="AH2436" i="36112" s="1"/>
  <c r="AI2436" i="36112" s="1"/>
  <c r="AG2435" i="36112"/>
  <c r="AH2435" i="36112" s="1"/>
  <c r="AI2435" i="36112" s="1"/>
  <c r="KR3" i="36128" s="1"/>
  <c r="K2434" i="36112"/>
  <c r="P2434" i="36112"/>
  <c r="AD2434" i="36112" s="1"/>
  <c r="U2434" i="36112"/>
  <c r="K2435" i="36112"/>
  <c r="P2435" i="36112"/>
  <c r="AD2435" i="36112" s="1"/>
  <c r="U2435" i="36112"/>
  <c r="K2436" i="36112"/>
  <c r="P2436" i="36112"/>
  <c r="AD2436" i="36112" s="1"/>
  <c r="U2436" i="36112"/>
  <c r="K2437" i="36112"/>
  <c r="P2437" i="36112"/>
  <c r="AD2437" i="36112" s="1"/>
  <c r="U2437" i="36112"/>
  <c r="K2438" i="36112"/>
  <c r="P2438" i="36112"/>
  <c r="AD2438" i="36112" s="1"/>
  <c r="U2438" i="36112"/>
  <c r="L90" i="36125"/>
  <c r="P90" i="36125"/>
  <c r="AD90" i="36125"/>
  <c r="T90" i="36125"/>
  <c r="U90" i="36125"/>
  <c r="AG2431" i="36112"/>
  <c r="AG2432" i="36112"/>
  <c r="AH2432" i="36112" s="1"/>
  <c r="AI2432" i="36112" s="1"/>
  <c r="K2432" i="36112"/>
  <c r="P2432" i="36112"/>
  <c r="AD2432" i="36112" s="1"/>
  <c r="U2432" i="36112"/>
  <c r="U2431" i="36112"/>
  <c r="P2431" i="36112"/>
  <c r="AD2431" i="36112" s="1"/>
  <c r="K2431" i="36112"/>
  <c r="AG2433" i="36112"/>
  <c r="U2433" i="36112"/>
  <c r="P2433" i="36112"/>
  <c r="AD2433" i="36112" s="1"/>
  <c r="K2433" i="36112"/>
  <c r="AG756" i="60"/>
  <c r="AH756" i="60" s="1"/>
  <c r="AI756" i="60" s="1"/>
  <c r="AG757" i="60"/>
  <c r="AH757" i="60"/>
  <c r="AI757" i="60" s="1"/>
  <c r="AG758" i="60"/>
  <c r="AH758" i="60" s="1"/>
  <c r="AI758" i="60" s="1"/>
  <c r="K756" i="60"/>
  <c r="P756" i="60"/>
  <c r="AD756" i="60" s="1"/>
  <c r="U756" i="60"/>
  <c r="K757" i="60"/>
  <c r="P757" i="60"/>
  <c r="AD757" i="60" s="1"/>
  <c r="HW5" i="36128" s="1"/>
  <c r="U757" i="60"/>
  <c r="K758" i="60"/>
  <c r="P758" i="60"/>
  <c r="AD758" i="60" s="1"/>
  <c r="T758" i="60"/>
  <c r="U758" i="60" s="1"/>
  <c r="AG2427" i="36112"/>
  <c r="AH2427" i="36112" s="1"/>
  <c r="AI2427" i="36112" s="1"/>
  <c r="AG2428" i="36112"/>
  <c r="AH2428" i="36112" s="1"/>
  <c r="AI2428" i="36112" s="1"/>
  <c r="AG2429" i="36112"/>
  <c r="AH2429" i="36112" s="1"/>
  <c r="AI2429" i="36112" s="1"/>
  <c r="AG2430" i="36112"/>
  <c r="AH2430" i="36112" s="1"/>
  <c r="AI2430" i="36112" s="1"/>
  <c r="K2427" i="36112"/>
  <c r="P2427" i="36112"/>
  <c r="AD2427" i="36112" s="1"/>
  <c r="U2427" i="36112"/>
  <c r="K2428" i="36112"/>
  <c r="P2428" i="36112"/>
  <c r="AD2428" i="36112" s="1"/>
  <c r="U2428" i="36112"/>
  <c r="K2429" i="36112"/>
  <c r="P2429" i="36112"/>
  <c r="AD2429" i="36112" s="1"/>
  <c r="U2429" i="36112"/>
  <c r="K2430" i="36112"/>
  <c r="P2430" i="36112"/>
  <c r="AD2430" i="36112" s="1"/>
  <c r="U2430" i="36112"/>
  <c r="JT35" i="36128"/>
  <c r="JT36" i="36128"/>
  <c r="AG2421" i="36112"/>
  <c r="AH2421" i="36112"/>
  <c r="AI2421" i="36112" s="1"/>
  <c r="AG2422" i="36112"/>
  <c r="AH2422" i="36112" s="1"/>
  <c r="AI2422" i="36112" s="1"/>
  <c r="AG2423" i="36112"/>
  <c r="AH2423" i="36112" s="1"/>
  <c r="AI2423" i="36112" s="1"/>
  <c r="AG2424" i="36112"/>
  <c r="AH2424" i="36112" s="1"/>
  <c r="AI2424" i="36112" s="1"/>
  <c r="AG2425" i="36112"/>
  <c r="AH2425" i="36112" s="1"/>
  <c r="AI2425" i="36112" s="1"/>
  <c r="AG2426" i="36112"/>
  <c r="AH2426" i="36112" s="1"/>
  <c r="AI2426" i="36112" s="1"/>
  <c r="K2424" i="36112"/>
  <c r="P2424" i="36112"/>
  <c r="AD2424" i="36112" s="1"/>
  <c r="U2424" i="36112"/>
  <c r="K2425" i="36112"/>
  <c r="P2425" i="36112"/>
  <c r="AD2425" i="36112" s="1"/>
  <c r="U2425" i="36112"/>
  <c r="K2426" i="36112"/>
  <c r="P2426" i="36112"/>
  <c r="AD2426" i="36112" s="1"/>
  <c r="U2426" i="36112"/>
  <c r="K2423" i="36112"/>
  <c r="P2423" i="36112"/>
  <c r="AD2423" i="36112" s="1"/>
  <c r="U2423" i="36112"/>
  <c r="K2421" i="36112"/>
  <c r="P2421" i="36112"/>
  <c r="AD2421" i="36112" s="1"/>
  <c r="U2421" i="36112"/>
  <c r="K2422" i="36112"/>
  <c r="P2422" i="36112"/>
  <c r="AD2422" i="36112" s="1"/>
  <c r="U2422" i="36112"/>
  <c r="V1355" i="36134"/>
  <c r="R1355" i="36134"/>
  <c r="K1355" i="36134"/>
  <c r="N1355" i="36134" s="1"/>
  <c r="U1355" i="36134" s="1"/>
  <c r="W1355" i="36134" s="1"/>
  <c r="V1350" i="36134"/>
  <c r="R1350" i="36134"/>
  <c r="N1350" i="36134"/>
  <c r="U1350" i="36134" s="1"/>
  <c r="W1350" i="36134" s="1"/>
  <c r="J1350" i="36134"/>
  <c r="V1349" i="36134"/>
  <c r="R1349" i="36134"/>
  <c r="N1349" i="36134"/>
  <c r="U1349" i="36134" s="1"/>
  <c r="W1349" i="36134" s="1"/>
  <c r="J1349" i="36134"/>
  <c r="V1348" i="36134"/>
  <c r="Q1348" i="36134"/>
  <c r="R1348" i="36134" s="1"/>
  <c r="N1348" i="36134"/>
  <c r="U1348" i="36134" s="1"/>
  <c r="W1348" i="36134" s="1"/>
  <c r="J1348" i="36134"/>
  <c r="V1347" i="36134"/>
  <c r="R1347" i="36134"/>
  <c r="N1347" i="36134"/>
  <c r="U1347" i="36134" s="1"/>
  <c r="W1347" i="36134" s="1"/>
  <c r="J1347" i="36134"/>
  <c r="V1346" i="36134"/>
  <c r="R1346" i="36134"/>
  <c r="N1346" i="36134"/>
  <c r="U1346" i="36134" s="1"/>
  <c r="W1346" i="36134" s="1"/>
  <c r="J1346" i="36134"/>
  <c r="V1345" i="36134"/>
  <c r="R1345" i="36134"/>
  <c r="N1345" i="36134"/>
  <c r="U1345" i="36134" s="1"/>
  <c r="W1345" i="36134" s="1"/>
  <c r="J1345" i="36134"/>
  <c r="V1344" i="36134"/>
  <c r="R1344" i="36134"/>
  <c r="N1344" i="36134"/>
  <c r="U1344" i="36134" s="1"/>
  <c r="W1344" i="36134" s="1"/>
  <c r="J1344" i="36134"/>
  <c r="V1343" i="36134"/>
  <c r="R1343" i="36134"/>
  <c r="N1343" i="36134"/>
  <c r="U1343" i="36134" s="1"/>
  <c r="W1343" i="36134" s="1"/>
  <c r="J1343" i="36134"/>
  <c r="V1342" i="36134"/>
  <c r="R1342" i="36134"/>
  <c r="N1342" i="36134"/>
  <c r="U1342" i="36134" s="1"/>
  <c r="W1342" i="36134" s="1"/>
  <c r="J1342" i="36134"/>
  <c r="V1341" i="36134"/>
  <c r="Q1341" i="36134"/>
  <c r="R1341" i="36134" s="1"/>
  <c r="N1341" i="36134"/>
  <c r="U1341" i="36134" s="1"/>
  <c r="W1341" i="36134" s="1"/>
  <c r="J1341" i="36134"/>
  <c r="V1340" i="36134"/>
  <c r="R1340" i="36134"/>
  <c r="N1340" i="36134"/>
  <c r="U1340" i="36134" s="1"/>
  <c r="W1340" i="36134" s="1"/>
  <c r="J1340" i="36134"/>
  <c r="V1339" i="36134"/>
  <c r="R1339" i="36134"/>
  <c r="N1339" i="36134"/>
  <c r="U1339" i="36134" s="1"/>
  <c r="W1339" i="36134" s="1"/>
  <c r="J1339" i="36134"/>
  <c r="V1327" i="36134"/>
  <c r="R1327" i="36134"/>
  <c r="N1327" i="36134"/>
  <c r="U1327" i="36134" s="1"/>
  <c r="W1327" i="36134" s="1"/>
  <c r="J1327" i="36134"/>
  <c r="V1326" i="36134"/>
  <c r="R1326" i="36134"/>
  <c r="N1326" i="36134"/>
  <c r="U1326" i="36134" s="1"/>
  <c r="W1326" i="36134" s="1"/>
  <c r="J1326" i="36134"/>
  <c r="V1325" i="36134"/>
  <c r="R1325" i="36134"/>
  <c r="N1325" i="36134"/>
  <c r="U1325" i="36134" s="1"/>
  <c r="W1325" i="36134" s="1"/>
  <c r="J1325" i="36134"/>
  <c r="V1324" i="36134"/>
  <c r="R1324" i="36134"/>
  <c r="N1324" i="36134"/>
  <c r="U1324" i="36134" s="1"/>
  <c r="W1324" i="36134" s="1"/>
  <c r="J1324" i="36134"/>
  <c r="V1323" i="36134"/>
  <c r="R1323" i="36134"/>
  <c r="N1323" i="36134"/>
  <c r="U1323" i="36134" s="1"/>
  <c r="W1323" i="36134" s="1"/>
  <c r="J1323" i="36134"/>
  <c r="V1322" i="36134"/>
  <c r="R1322" i="36134"/>
  <c r="N1322" i="36134"/>
  <c r="U1322" i="36134" s="1"/>
  <c r="W1322" i="36134" s="1"/>
  <c r="J1322" i="36134"/>
  <c r="V1321" i="36134"/>
  <c r="R1321" i="36134"/>
  <c r="N1321" i="36134"/>
  <c r="U1321" i="36134" s="1"/>
  <c r="W1321" i="36134" s="1"/>
  <c r="J1321" i="36134"/>
  <c r="V1320" i="36134"/>
  <c r="R1320" i="36134"/>
  <c r="N1320" i="36134"/>
  <c r="U1320" i="36134" s="1"/>
  <c r="W1320" i="36134" s="1"/>
  <c r="J1320" i="36134"/>
  <c r="V1319" i="36134"/>
  <c r="R1319" i="36134"/>
  <c r="N1319" i="36134"/>
  <c r="U1319" i="36134" s="1"/>
  <c r="W1319" i="36134" s="1"/>
  <c r="J1319" i="36134"/>
  <c r="V1318" i="36134"/>
  <c r="R1318" i="36134"/>
  <c r="N1318" i="36134"/>
  <c r="U1318" i="36134" s="1"/>
  <c r="W1318" i="36134" s="1"/>
  <c r="J1318" i="36134"/>
  <c r="V1317" i="36134"/>
  <c r="R1317" i="36134"/>
  <c r="N1317" i="36134"/>
  <c r="U1317" i="36134" s="1"/>
  <c r="W1317" i="36134" s="1"/>
  <c r="J1317" i="36134"/>
  <c r="V1316" i="36134"/>
  <c r="R1316" i="36134"/>
  <c r="N1316" i="36134"/>
  <c r="U1316" i="36134" s="1"/>
  <c r="W1316" i="36134" s="1"/>
  <c r="J1316" i="36134"/>
  <c r="V1315" i="36134"/>
  <c r="R1315" i="36134"/>
  <c r="N1315" i="36134"/>
  <c r="U1315" i="36134" s="1"/>
  <c r="W1315" i="36134" s="1"/>
  <c r="J1315" i="36134"/>
  <c r="V1314" i="36134"/>
  <c r="R1314" i="36134"/>
  <c r="N1314" i="36134"/>
  <c r="U1314" i="36134" s="1"/>
  <c r="W1314" i="36134" s="1"/>
  <c r="J1314" i="36134"/>
  <c r="V1313" i="36134"/>
  <c r="R1313" i="36134"/>
  <c r="N1313" i="36134"/>
  <c r="U1313" i="36134" s="1"/>
  <c r="W1313" i="36134" s="1"/>
  <c r="J1313" i="36134"/>
  <c r="V1312" i="36134"/>
  <c r="R1312" i="36134"/>
  <c r="N1312" i="36134"/>
  <c r="U1312" i="36134" s="1"/>
  <c r="W1312" i="36134" s="1"/>
  <c r="J1312" i="36134"/>
  <c r="V1311" i="36134"/>
  <c r="R1311" i="36134"/>
  <c r="N1311" i="36134"/>
  <c r="U1311" i="36134" s="1"/>
  <c r="W1311" i="36134" s="1"/>
  <c r="J1311" i="36134"/>
  <c r="V1310" i="36134"/>
  <c r="R1310" i="36134"/>
  <c r="N1310" i="36134"/>
  <c r="U1310" i="36134" s="1"/>
  <c r="W1310" i="36134" s="1"/>
  <c r="J1310" i="36134"/>
  <c r="V1309" i="36134"/>
  <c r="R1309" i="36134"/>
  <c r="N1309" i="36134"/>
  <c r="U1309" i="36134" s="1"/>
  <c r="W1309" i="36134" s="1"/>
  <c r="J1309" i="36134"/>
  <c r="V1308" i="36134"/>
  <c r="R1308" i="36134"/>
  <c r="N1308" i="36134"/>
  <c r="U1308" i="36134" s="1"/>
  <c r="W1308" i="36134" s="1"/>
  <c r="J1308" i="36134"/>
  <c r="V1307" i="36134"/>
  <c r="R1307" i="36134"/>
  <c r="N1307" i="36134"/>
  <c r="U1307" i="36134" s="1"/>
  <c r="W1307" i="36134" s="1"/>
  <c r="J1307" i="36134"/>
  <c r="V1306" i="36134"/>
  <c r="R1306" i="36134"/>
  <c r="N1306" i="36134"/>
  <c r="U1306" i="36134" s="1"/>
  <c r="W1306" i="36134" s="1"/>
  <c r="J1306" i="36134"/>
  <c r="V1305" i="36134"/>
  <c r="R1305" i="36134"/>
  <c r="N1305" i="36134"/>
  <c r="U1305" i="36134" s="1"/>
  <c r="W1305" i="36134" s="1"/>
  <c r="J1305" i="36134"/>
  <c r="V1304" i="36134"/>
  <c r="R1304" i="36134"/>
  <c r="N1304" i="36134"/>
  <c r="U1304" i="36134" s="1"/>
  <c r="W1304" i="36134" s="1"/>
  <c r="J1304" i="36134"/>
  <c r="V1303" i="36134"/>
  <c r="R1303" i="36134"/>
  <c r="N1303" i="36134"/>
  <c r="U1303" i="36134" s="1"/>
  <c r="W1303" i="36134" s="1"/>
  <c r="J1303" i="36134"/>
  <c r="V1302" i="36134"/>
  <c r="R1302" i="36134"/>
  <c r="N1302" i="36134"/>
  <c r="U1302" i="36134" s="1"/>
  <c r="W1302" i="36134" s="1"/>
  <c r="J1302" i="36134"/>
  <c r="V1301" i="36134"/>
  <c r="R1301" i="36134"/>
  <c r="N1301" i="36134"/>
  <c r="U1301" i="36134" s="1"/>
  <c r="W1301" i="36134" s="1"/>
  <c r="J1301" i="36134"/>
  <c r="V1300" i="36134"/>
  <c r="R1300" i="36134"/>
  <c r="N1300" i="36134"/>
  <c r="U1300" i="36134" s="1"/>
  <c r="W1300" i="36134" s="1"/>
  <c r="J1300" i="36134"/>
  <c r="V1299" i="36134"/>
  <c r="R1299" i="36134"/>
  <c r="N1299" i="36134"/>
  <c r="U1299" i="36134" s="1"/>
  <c r="W1299" i="36134" s="1"/>
  <c r="J1299" i="36134"/>
  <c r="V1298" i="36134"/>
  <c r="R1298" i="36134"/>
  <c r="N1298" i="36134"/>
  <c r="U1298" i="36134" s="1"/>
  <c r="W1298" i="36134" s="1"/>
  <c r="J1298" i="36134"/>
  <c r="V1297" i="36134"/>
  <c r="R1297" i="36134"/>
  <c r="N1297" i="36134"/>
  <c r="U1297" i="36134" s="1"/>
  <c r="W1297" i="36134" s="1"/>
  <c r="J1297" i="36134"/>
  <c r="V1296" i="36134"/>
  <c r="R1296" i="36134"/>
  <c r="N1296" i="36134"/>
  <c r="U1296" i="36134" s="1"/>
  <c r="W1296" i="36134" s="1"/>
  <c r="J1296" i="36134"/>
  <c r="V1295" i="36134"/>
  <c r="R1295" i="36134"/>
  <c r="N1295" i="36134"/>
  <c r="U1295" i="36134" s="1"/>
  <c r="W1295" i="36134" s="1"/>
  <c r="J1295" i="36134"/>
  <c r="V1294" i="36134"/>
  <c r="R1294" i="36134"/>
  <c r="N1294" i="36134"/>
  <c r="U1294" i="36134" s="1"/>
  <c r="W1294" i="36134" s="1"/>
  <c r="J1294" i="36134"/>
  <c r="V1293" i="36134"/>
  <c r="R1293" i="36134"/>
  <c r="N1293" i="36134"/>
  <c r="U1293" i="36134" s="1"/>
  <c r="W1293" i="36134" s="1"/>
  <c r="J1293" i="36134"/>
  <c r="V1292" i="36134"/>
  <c r="R1292" i="36134"/>
  <c r="N1292" i="36134"/>
  <c r="U1292" i="36134" s="1"/>
  <c r="W1292" i="36134" s="1"/>
  <c r="J1292" i="36134"/>
  <c r="V1291" i="36134"/>
  <c r="R1291" i="36134"/>
  <c r="N1291" i="36134"/>
  <c r="U1291" i="36134" s="1"/>
  <c r="W1291" i="36134" s="1"/>
  <c r="J1291" i="36134"/>
  <c r="V1290" i="36134"/>
  <c r="R1290" i="36134"/>
  <c r="N1290" i="36134"/>
  <c r="U1290" i="36134" s="1"/>
  <c r="W1290" i="36134" s="1"/>
  <c r="J1290" i="36134"/>
  <c r="V1289" i="36134"/>
  <c r="R1289" i="36134"/>
  <c r="N1289" i="36134"/>
  <c r="U1289" i="36134" s="1"/>
  <c r="W1289" i="36134" s="1"/>
  <c r="J1289" i="36134"/>
  <c r="V1288" i="36134"/>
  <c r="R1288" i="36134"/>
  <c r="N1288" i="36134"/>
  <c r="U1288" i="36134" s="1"/>
  <c r="W1288" i="36134" s="1"/>
  <c r="J1288" i="36134"/>
  <c r="H1288" i="36134"/>
  <c r="V1287" i="36134"/>
  <c r="R1287" i="36134"/>
  <c r="N1287" i="36134"/>
  <c r="U1287" i="36134" s="1"/>
  <c r="W1287" i="36134" s="1"/>
  <c r="J1287" i="36134"/>
  <c r="V1286" i="36134"/>
  <c r="R1286" i="36134"/>
  <c r="N1286" i="36134"/>
  <c r="U1286" i="36134" s="1"/>
  <c r="W1286" i="36134" s="1"/>
  <c r="J1286" i="36134"/>
  <c r="V1285" i="36134"/>
  <c r="R1285" i="36134"/>
  <c r="N1285" i="36134"/>
  <c r="U1285" i="36134" s="1"/>
  <c r="W1285" i="36134" s="1"/>
  <c r="J1285" i="36134"/>
  <c r="V1284" i="36134"/>
  <c r="R1284" i="36134"/>
  <c r="N1284" i="36134"/>
  <c r="U1284" i="36134" s="1"/>
  <c r="W1284" i="36134" s="1"/>
  <c r="J1284" i="36134"/>
  <c r="V1283" i="36134"/>
  <c r="R1283" i="36134"/>
  <c r="N1283" i="36134"/>
  <c r="U1283" i="36134" s="1"/>
  <c r="W1283" i="36134" s="1"/>
  <c r="J1283" i="36134"/>
  <c r="V1282" i="36134"/>
  <c r="R1282" i="36134"/>
  <c r="N1282" i="36134"/>
  <c r="U1282" i="36134" s="1"/>
  <c r="W1282" i="36134" s="1"/>
  <c r="J1282" i="36134"/>
  <c r="V1281" i="36134"/>
  <c r="R1281" i="36134"/>
  <c r="N1281" i="36134"/>
  <c r="U1281" i="36134" s="1"/>
  <c r="W1281" i="36134" s="1"/>
  <c r="J1281" i="36134"/>
  <c r="V1280" i="36134"/>
  <c r="R1280" i="36134"/>
  <c r="N1280" i="36134"/>
  <c r="U1280" i="36134" s="1"/>
  <c r="W1280" i="36134" s="1"/>
  <c r="J1280" i="36134"/>
  <c r="V1279" i="36134"/>
  <c r="R1279" i="36134"/>
  <c r="N1279" i="36134"/>
  <c r="U1279" i="36134" s="1"/>
  <c r="W1279" i="36134" s="1"/>
  <c r="J1279" i="36134"/>
  <c r="V1278" i="36134"/>
  <c r="R1278" i="36134"/>
  <c r="N1278" i="36134"/>
  <c r="U1278" i="36134" s="1"/>
  <c r="W1278" i="36134" s="1"/>
  <c r="J1278" i="36134"/>
  <c r="V1277" i="36134"/>
  <c r="R1277" i="36134"/>
  <c r="N1277" i="36134"/>
  <c r="U1277" i="36134" s="1"/>
  <c r="W1277" i="36134" s="1"/>
  <c r="J1277" i="36134"/>
  <c r="V1276" i="36134"/>
  <c r="R1276" i="36134"/>
  <c r="N1276" i="36134"/>
  <c r="U1276" i="36134" s="1"/>
  <c r="W1276" i="36134" s="1"/>
  <c r="J1276" i="36134"/>
  <c r="V1275" i="36134"/>
  <c r="R1275" i="36134"/>
  <c r="N1275" i="36134"/>
  <c r="U1275" i="36134" s="1"/>
  <c r="W1275" i="36134" s="1"/>
  <c r="J1275" i="36134"/>
  <c r="V1274" i="36134"/>
  <c r="R1274" i="36134"/>
  <c r="N1274" i="36134"/>
  <c r="U1274" i="36134" s="1"/>
  <c r="W1274" i="36134" s="1"/>
  <c r="J1274" i="36134"/>
  <c r="V1273" i="36134"/>
  <c r="R1273" i="36134"/>
  <c r="N1273" i="36134"/>
  <c r="U1273" i="36134" s="1"/>
  <c r="W1273" i="36134" s="1"/>
  <c r="J1273" i="36134"/>
  <c r="V1272" i="36134"/>
  <c r="R1272" i="36134"/>
  <c r="N1272" i="36134"/>
  <c r="U1272" i="36134" s="1"/>
  <c r="W1272" i="36134" s="1"/>
  <c r="J1272" i="36134"/>
  <c r="V1271" i="36134"/>
  <c r="R1271" i="36134"/>
  <c r="N1271" i="36134"/>
  <c r="U1271" i="36134" s="1"/>
  <c r="W1271" i="36134" s="1"/>
  <c r="J1271" i="36134"/>
  <c r="V1270" i="36134"/>
  <c r="R1270" i="36134"/>
  <c r="N1270" i="36134"/>
  <c r="U1270" i="36134" s="1"/>
  <c r="W1270" i="36134" s="1"/>
  <c r="J1270" i="36134"/>
  <c r="V1269" i="36134"/>
  <c r="R1269" i="36134"/>
  <c r="N1269" i="36134"/>
  <c r="U1269" i="36134" s="1"/>
  <c r="W1269" i="36134" s="1"/>
  <c r="J1269" i="36134"/>
  <c r="V1268" i="36134"/>
  <c r="R1268" i="36134"/>
  <c r="N1268" i="36134"/>
  <c r="U1268" i="36134" s="1"/>
  <c r="W1268" i="36134" s="1"/>
  <c r="J1268" i="36134"/>
  <c r="V1267" i="36134"/>
  <c r="R1267" i="36134"/>
  <c r="N1267" i="36134"/>
  <c r="U1267" i="36134" s="1"/>
  <c r="W1267" i="36134" s="1"/>
  <c r="J1267" i="36134"/>
  <c r="V1266" i="36134"/>
  <c r="R1266" i="36134"/>
  <c r="N1266" i="36134"/>
  <c r="U1266" i="36134" s="1"/>
  <c r="W1266" i="36134" s="1"/>
  <c r="J1266" i="36134"/>
  <c r="V1265" i="36134"/>
  <c r="R1265" i="36134"/>
  <c r="N1265" i="36134"/>
  <c r="U1265" i="36134" s="1"/>
  <c r="W1265" i="36134" s="1"/>
  <c r="J1265" i="36134"/>
  <c r="V1264" i="36134"/>
  <c r="R1264" i="36134"/>
  <c r="N1264" i="36134"/>
  <c r="U1264" i="36134" s="1"/>
  <c r="W1264" i="36134" s="1"/>
  <c r="J1264" i="36134"/>
  <c r="V1263" i="36134"/>
  <c r="R1263" i="36134"/>
  <c r="N1263" i="36134"/>
  <c r="U1263" i="36134" s="1"/>
  <c r="W1263" i="36134" s="1"/>
  <c r="J1263" i="36134"/>
  <c r="V1262" i="36134"/>
  <c r="R1262" i="36134"/>
  <c r="N1262" i="36134"/>
  <c r="U1262" i="36134" s="1"/>
  <c r="W1262" i="36134" s="1"/>
  <c r="J1262" i="36134"/>
  <c r="K66" i="36134"/>
  <c r="N66" i="36134" s="1"/>
  <c r="U66" i="36134" s="1"/>
  <c r="W66" i="36134" s="1"/>
  <c r="Q66" i="36134"/>
  <c r="R66" i="36134" s="1"/>
  <c r="V66" i="36134"/>
  <c r="K67" i="36134"/>
  <c r="N67" i="36134" s="1"/>
  <c r="U67" i="36134" s="1"/>
  <c r="W67" i="36134" s="1"/>
  <c r="Q67" i="36134"/>
  <c r="R67" i="36134" s="1"/>
  <c r="V67" i="36134"/>
  <c r="K68" i="36134"/>
  <c r="N68" i="36134" s="1"/>
  <c r="U68" i="36134" s="1"/>
  <c r="W68" i="36134" s="1"/>
  <c r="Q68" i="36134"/>
  <c r="R68" i="36134" s="1"/>
  <c r="V68" i="36134"/>
  <c r="K69" i="36134"/>
  <c r="N69" i="36134" s="1"/>
  <c r="U69" i="36134" s="1"/>
  <c r="W69" i="36134" s="1"/>
  <c r="Q69" i="36134"/>
  <c r="R69" i="36134" s="1"/>
  <c r="V69" i="36134"/>
  <c r="K70" i="36134"/>
  <c r="N70" i="36134" s="1"/>
  <c r="U70" i="36134" s="1"/>
  <c r="W70" i="36134" s="1"/>
  <c r="Q70" i="36134"/>
  <c r="R70" i="36134" s="1"/>
  <c r="V70" i="36134"/>
  <c r="K71" i="36134"/>
  <c r="N71" i="36134" s="1"/>
  <c r="U71" i="36134" s="1"/>
  <c r="W71" i="36134" s="1"/>
  <c r="R71" i="36134"/>
  <c r="V71" i="36134"/>
  <c r="K72" i="36134"/>
  <c r="N72" i="36134" s="1"/>
  <c r="U72" i="36134" s="1"/>
  <c r="W72" i="36134" s="1"/>
  <c r="R72" i="36134"/>
  <c r="V72" i="36134"/>
  <c r="K73" i="36134"/>
  <c r="N73" i="36134" s="1"/>
  <c r="U73" i="36134" s="1"/>
  <c r="W73" i="36134" s="1"/>
  <c r="R73" i="36134"/>
  <c r="V73" i="36134"/>
  <c r="K74" i="36134"/>
  <c r="N74" i="36134" s="1"/>
  <c r="U74" i="36134" s="1"/>
  <c r="W74" i="36134" s="1"/>
  <c r="Q74" i="36134"/>
  <c r="R74" i="36134" s="1"/>
  <c r="V74" i="36134"/>
  <c r="K75" i="36134"/>
  <c r="N75" i="36134" s="1"/>
  <c r="U75" i="36134" s="1"/>
  <c r="W75" i="36134" s="1"/>
  <c r="Q75" i="36134"/>
  <c r="R75" i="36134" s="1"/>
  <c r="V75" i="36134"/>
  <c r="K76" i="36134"/>
  <c r="N76" i="36134" s="1"/>
  <c r="U76" i="36134" s="1"/>
  <c r="W76" i="36134" s="1"/>
  <c r="Q76" i="36134"/>
  <c r="R76" i="36134" s="1"/>
  <c r="V76" i="36134"/>
  <c r="K77" i="36134"/>
  <c r="N77" i="36134" s="1"/>
  <c r="U77" i="36134" s="1"/>
  <c r="W77" i="36134" s="1"/>
  <c r="R77" i="36134"/>
  <c r="V77" i="36134"/>
  <c r="K78" i="36134"/>
  <c r="N78" i="36134" s="1"/>
  <c r="U78" i="36134" s="1"/>
  <c r="W78" i="36134"/>
  <c r="R78" i="36134"/>
  <c r="V78" i="36134"/>
  <c r="K79" i="36134"/>
  <c r="N79" i="36134" s="1"/>
  <c r="U79" i="36134" s="1"/>
  <c r="W79" i="36134" s="1"/>
  <c r="Q79" i="36134"/>
  <c r="R79" i="36134" s="1"/>
  <c r="V79" i="36134"/>
  <c r="K80" i="36134"/>
  <c r="N80" i="36134" s="1"/>
  <c r="U80" i="36134" s="1"/>
  <c r="W80" i="36134" s="1"/>
  <c r="Q80" i="36134"/>
  <c r="R80" i="36134" s="1"/>
  <c r="V80" i="36134"/>
  <c r="K81" i="36134"/>
  <c r="N81" i="36134" s="1"/>
  <c r="U81" i="36134" s="1"/>
  <c r="W81" i="36134" s="1"/>
  <c r="Q81" i="36134"/>
  <c r="R81" i="36134" s="1"/>
  <c r="V81" i="36134"/>
  <c r="K82" i="36134"/>
  <c r="N82" i="36134" s="1"/>
  <c r="U82" i="36134" s="1"/>
  <c r="W82" i="36134" s="1"/>
  <c r="Q82" i="36134"/>
  <c r="R82" i="36134" s="1"/>
  <c r="V82" i="36134"/>
  <c r="K83" i="36134"/>
  <c r="N83" i="36134"/>
  <c r="U83" i="36134" s="1"/>
  <c r="W83" i="36134" s="1"/>
  <c r="Q83" i="36134"/>
  <c r="R83" i="36134" s="1"/>
  <c r="V83" i="36134"/>
  <c r="K84" i="36134"/>
  <c r="N84" i="36134" s="1"/>
  <c r="U84" i="36134" s="1"/>
  <c r="W84" i="36134" s="1"/>
  <c r="Q84" i="36134"/>
  <c r="R84" i="36134" s="1"/>
  <c r="V84" i="36134"/>
  <c r="K85" i="36134"/>
  <c r="N85" i="36134" s="1"/>
  <c r="U85" i="36134" s="1"/>
  <c r="W85" i="36134" s="1"/>
  <c r="Q85" i="36134"/>
  <c r="R85" i="36134" s="1"/>
  <c r="V85" i="36134"/>
  <c r="K86" i="36134"/>
  <c r="N86" i="36134" s="1"/>
  <c r="U86" i="36134" s="1"/>
  <c r="W86" i="36134" s="1"/>
  <c r="R86" i="36134"/>
  <c r="V86" i="36134"/>
  <c r="K87" i="36134"/>
  <c r="N87" i="36134" s="1"/>
  <c r="U87" i="36134" s="1"/>
  <c r="W87" i="36134" s="1"/>
  <c r="Q87" i="36134"/>
  <c r="R87" i="36134" s="1"/>
  <c r="V87" i="36134"/>
  <c r="K88" i="36134"/>
  <c r="N88" i="36134" s="1"/>
  <c r="U88" i="36134" s="1"/>
  <c r="W88" i="36134" s="1"/>
  <c r="Q88" i="36134"/>
  <c r="R88" i="36134" s="1"/>
  <c r="V88" i="36134"/>
  <c r="K89" i="36134"/>
  <c r="N89" i="36134" s="1"/>
  <c r="U89" i="36134" s="1"/>
  <c r="W89" i="36134" s="1"/>
  <c r="Q89" i="36134"/>
  <c r="R89" i="36134" s="1"/>
  <c r="V89" i="36134"/>
  <c r="K90" i="36134"/>
  <c r="N90" i="36134" s="1"/>
  <c r="U90" i="36134" s="1"/>
  <c r="W90" i="36134" s="1"/>
  <c r="Q90" i="36134"/>
  <c r="R90" i="36134" s="1"/>
  <c r="V90" i="36134"/>
  <c r="H91" i="36134"/>
  <c r="K91" i="36134"/>
  <c r="N91" i="36134" s="1"/>
  <c r="U91" i="36134" s="1"/>
  <c r="W91" i="36134" s="1"/>
  <c r="Q91" i="36134"/>
  <c r="R91" i="36134" s="1"/>
  <c r="V91" i="36134"/>
  <c r="K92" i="36134"/>
  <c r="N92" i="36134" s="1"/>
  <c r="U92" i="36134" s="1"/>
  <c r="W92" i="36134" s="1"/>
  <c r="R92" i="36134"/>
  <c r="V92" i="36134"/>
  <c r="K93" i="36134"/>
  <c r="N93" i="36134" s="1"/>
  <c r="U93" i="36134" s="1"/>
  <c r="W93" i="36134" s="1"/>
  <c r="R93" i="36134"/>
  <c r="V93" i="36134"/>
  <c r="K94" i="36134"/>
  <c r="N94" i="36134" s="1"/>
  <c r="U94" i="36134" s="1"/>
  <c r="W94" i="36134" s="1"/>
  <c r="R94" i="36134"/>
  <c r="V94" i="36134"/>
  <c r="K95" i="36134"/>
  <c r="N95" i="36134" s="1"/>
  <c r="U95" i="36134" s="1"/>
  <c r="W95" i="36134" s="1"/>
  <c r="R95" i="36134"/>
  <c r="V95" i="36134"/>
  <c r="K96" i="36134"/>
  <c r="N96" i="36134" s="1"/>
  <c r="U96" i="36134" s="1"/>
  <c r="W96" i="36134" s="1"/>
  <c r="R96" i="36134"/>
  <c r="V96" i="36134"/>
  <c r="K97" i="36134"/>
  <c r="N97" i="36134" s="1"/>
  <c r="U97" i="36134" s="1"/>
  <c r="W97" i="36134" s="1"/>
  <c r="R97" i="36134"/>
  <c r="V97" i="36134"/>
  <c r="K98" i="36134"/>
  <c r="N98" i="36134" s="1"/>
  <c r="U98" i="36134" s="1"/>
  <c r="W98" i="36134" s="1"/>
  <c r="R98" i="36134"/>
  <c r="V98" i="36134"/>
  <c r="K99" i="36134"/>
  <c r="N99" i="36134" s="1"/>
  <c r="U99" i="36134" s="1"/>
  <c r="W99" i="36134" s="1"/>
  <c r="R99" i="36134"/>
  <c r="V99" i="36134"/>
  <c r="K100" i="36134"/>
  <c r="N100" i="36134" s="1"/>
  <c r="U100" i="36134" s="1"/>
  <c r="W100" i="36134" s="1"/>
  <c r="R100" i="36134"/>
  <c r="V100" i="36134"/>
  <c r="H101" i="36134"/>
  <c r="K101" i="36134"/>
  <c r="N101" i="36134" s="1"/>
  <c r="U101" i="36134" s="1"/>
  <c r="W101" i="36134"/>
  <c r="R101" i="36134"/>
  <c r="V101" i="36134"/>
  <c r="K102" i="36134"/>
  <c r="N102" i="36134" s="1"/>
  <c r="U102" i="36134" s="1"/>
  <c r="W102" i="36134" s="1"/>
  <c r="R102" i="36134"/>
  <c r="V102" i="36134"/>
  <c r="H103" i="36134"/>
  <c r="K103" i="36134"/>
  <c r="N103" i="36134" s="1"/>
  <c r="U103" i="36134" s="1"/>
  <c r="W103" i="36134" s="1"/>
  <c r="R103" i="36134"/>
  <c r="V103" i="36134"/>
  <c r="K104" i="36134"/>
  <c r="N104" i="36134" s="1"/>
  <c r="U104" i="36134" s="1"/>
  <c r="W104" i="36134" s="1"/>
  <c r="R104" i="36134"/>
  <c r="V104" i="36134"/>
  <c r="K105" i="36134"/>
  <c r="N105" i="36134" s="1"/>
  <c r="U105" i="36134" s="1"/>
  <c r="W105" i="36134" s="1"/>
  <c r="R105" i="36134"/>
  <c r="V105" i="36134"/>
  <c r="K106" i="36134"/>
  <c r="N106" i="36134" s="1"/>
  <c r="U106" i="36134" s="1"/>
  <c r="W106" i="36134" s="1"/>
  <c r="R106" i="36134"/>
  <c r="V106" i="36134"/>
  <c r="K107" i="36134"/>
  <c r="N107" i="36134" s="1"/>
  <c r="U107" i="36134" s="1"/>
  <c r="W107" i="36134" s="1"/>
  <c r="R107" i="36134"/>
  <c r="V107" i="36134"/>
  <c r="K108" i="36134"/>
  <c r="N108" i="36134" s="1"/>
  <c r="U108" i="36134" s="1"/>
  <c r="W108" i="36134" s="1"/>
  <c r="R108" i="36134"/>
  <c r="V108" i="36134"/>
  <c r="K109" i="36134"/>
  <c r="N109" i="36134" s="1"/>
  <c r="U109" i="36134" s="1"/>
  <c r="W109" i="36134" s="1"/>
  <c r="R109" i="36134"/>
  <c r="V109" i="36134"/>
  <c r="K110" i="36134"/>
  <c r="N110" i="36134" s="1"/>
  <c r="U110" i="36134" s="1"/>
  <c r="W110" i="36134" s="1"/>
  <c r="R110" i="36134"/>
  <c r="V110" i="36134"/>
  <c r="K111" i="36134"/>
  <c r="N111" i="36134" s="1"/>
  <c r="U111" i="36134" s="1"/>
  <c r="W111" i="36134" s="1"/>
  <c r="R111" i="36134"/>
  <c r="V111" i="36134"/>
  <c r="K112" i="36134"/>
  <c r="N112" i="36134" s="1"/>
  <c r="U112" i="36134" s="1"/>
  <c r="W112" i="36134" s="1"/>
  <c r="R112" i="36134"/>
  <c r="V112" i="36134"/>
  <c r="K113" i="36134"/>
  <c r="N113" i="36134" s="1"/>
  <c r="U113" i="36134" s="1"/>
  <c r="W113" i="36134" s="1"/>
  <c r="R113" i="36134"/>
  <c r="V113" i="36134"/>
  <c r="K114" i="36134"/>
  <c r="N114" i="36134" s="1"/>
  <c r="U114" i="36134" s="1"/>
  <c r="W114" i="36134" s="1"/>
  <c r="Q114" i="36134"/>
  <c r="R114" i="36134" s="1"/>
  <c r="V114" i="36134"/>
  <c r="K115" i="36134"/>
  <c r="N115" i="36134" s="1"/>
  <c r="U115" i="36134" s="1"/>
  <c r="W115" i="36134" s="1"/>
  <c r="R115" i="36134"/>
  <c r="V115" i="36134"/>
  <c r="K116" i="36134"/>
  <c r="N116" i="36134" s="1"/>
  <c r="U116" i="36134" s="1"/>
  <c r="W116" i="36134" s="1"/>
  <c r="R116" i="36134"/>
  <c r="V116" i="36134"/>
  <c r="K117" i="36134"/>
  <c r="N117" i="36134" s="1"/>
  <c r="U117" i="36134" s="1"/>
  <c r="W117" i="36134" s="1"/>
  <c r="R117" i="36134"/>
  <c r="V117" i="36134"/>
  <c r="K118" i="36134"/>
  <c r="N118" i="36134" s="1"/>
  <c r="U118" i="36134" s="1"/>
  <c r="W118" i="36134" s="1"/>
  <c r="Q118" i="36134"/>
  <c r="R118" i="36134" s="1"/>
  <c r="V118" i="36134"/>
  <c r="K119" i="36134"/>
  <c r="N119" i="36134" s="1"/>
  <c r="U119" i="36134" s="1"/>
  <c r="W119" i="36134" s="1"/>
  <c r="R119" i="36134"/>
  <c r="V119" i="36134"/>
  <c r="K120" i="36134"/>
  <c r="N120" i="36134" s="1"/>
  <c r="U120" i="36134" s="1"/>
  <c r="W120" i="36134" s="1"/>
  <c r="R120" i="36134"/>
  <c r="V120" i="36134"/>
  <c r="K121" i="36134"/>
  <c r="N121" i="36134" s="1"/>
  <c r="U121" i="36134" s="1"/>
  <c r="W121" i="36134" s="1"/>
  <c r="R121" i="36134"/>
  <c r="V121" i="36134"/>
  <c r="K122" i="36134"/>
  <c r="N122" i="36134" s="1"/>
  <c r="U122" i="36134" s="1"/>
  <c r="W122" i="36134" s="1"/>
  <c r="R122" i="36134"/>
  <c r="V122" i="36134"/>
  <c r="K123" i="36134"/>
  <c r="N123" i="36134" s="1"/>
  <c r="U123" i="36134" s="1"/>
  <c r="W123" i="36134" s="1"/>
  <c r="R123" i="36134"/>
  <c r="V123" i="36134"/>
  <c r="K124" i="36134"/>
  <c r="N124" i="36134" s="1"/>
  <c r="U124" i="36134" s="1"/>
  <c r="W124" i="36134" s="1"/>
  <c r="R124" i="36134"/>
  <c r="V124" i="36134"/>
  <c r="K125" i="36134"/>
  <c r="N125" i="36134" s="1"/>
  <c r="U125" i="36134" s="1"/>
  <c r="W125" i="36134" s="1"/>
  <c r="R125" i="36134"/>
  <c r="V125" i="36134"/>
  <c r="K126" i="36134"/>
  <c r="N126" i="36134" s="1"/>
  <c r="U126" i="36134" s="1"/>
  <c r="W126" i="36134" s="1"/>
  <c r="R126" i="36134"/>
  <c r="V126" i="36134"/>
  <c r="K127" i="36134"/>
  <c r="N127" i="36134" s="1"/>
  <c r="U127" i="36134" s="1"/>
  <c r="W127" i="36134" s="1"/>
  <c r="Q127" i="36134"/>
  <c r="R127" i="36134" s="1"/>
  <c r="V127" i="36134"/>
  <c r="K128" i="36134"/>
  <c r="N128" i="36134" s="1"/>
  <c r="U128" i="36134" s="1"/>
  <c r="W128" i="36134" s="1"/>
  <c r="R128" i="36134"/>
  <c r="V128" i="36134"/>
  <c r="K129" i="36134"/>
  <c r="N129" i="36134" s="1"/>
  <c r="U129" i="36134" s="1"/>
  <c r="W129" i="36134" s="1"/>
  <c r="R129" i="36134"/>
  <c r="V129" i="36134"/>
  <c r="K130" i="36134"/>
  <c r="N130" i="36134" s="1"/>
  <c r="U130" i="36134" s="1"/>
  <c r="W130" i="36134" s="1"/>
  <c r="R130" i="36134"/>
  <c r="V130" i="36134"/>
  <c r="K131" i="36134"/>
  <c r="Q131" i="36134"/>
  <c r="R131" i="36134" s="1"/>
  <c r="U131" i="36134"/>
  <c r="W131" i="36134" s="1"/>
  <c r="V131" i="36134"/>
  <c r="K132" i="36134"/>
  <c r="Q132" i="36134"/>
  <c r="R132" i="36134" s="1"/>
  <c r="U132" i="36134"/>
  <c r="W132" i="36134" s="1"/>
  <c r="V132" i="36134"/>
  <c r="K133" i="36134"/>
  <c r="Q133" i="36134"/>
  <c r="R133" i="36134" s="1"/>
  <c r="U133" i="36134"/>
  <c r="W133" i="36134" s="1"/>
  <c r="V133" i="36134"/>
  <c r="K134" i="36134"/>
  <c r="Q134" i="36134"/>
  <c r="R134" i="36134" s="1"/>
  <c r="U134" i="36134"/>
  <c r="W134" i="36134" s="1"/>
  <c r="V134" i="36134"/>
  <c r="K135" i="36134"/>
  <c r="N135" i="36134" s="1"/>
  <c r="U135" i="36134" s="1"/>
  <c r="W135" i="36134" s="1"/>
  <c r="Q135" i="36134"/>
  <c r="R135" i="36134" s="1"/>
  <c r="V135" i="36134"/>
  <c r="K136" i="36134"/>
  <c r="N136" i="36134" s="1"/>
  <c r="U136" i="36134" s="1"/>
  <c r="W136" i="36134" s="1"/>
  <c r="Q136" i="36134"/>
  <c r="R136" i="36134" s="1"/>
  <c r="V136" i="36134"/>
  <c r="K137" i="36134"/>
  <c r="N137" i="36134" s="1"/>
  <c r="U137" i="36134" s="1"/>
  <c r="W137" i="36134" s="1"/>
  <c r="Q137" i="36134"/>
  <c r="R137" i="36134" s="1"/>
  <c r="V137" i="36134"/>
  <c r="K138" i="36134"/>
  <c r="N138" i="36134" s="1"/>
  <c r="U138" i="36134" s="1"/>
  <c r="W138" i="36134" s="1"/>
  <c r="R138" i="36134"/>
  <c r="V138" i="36134"/>
  <c r="K139" i="36134"/>
  <c r="N139" i="36134" s="1"/>
  <c r="U139" i="36134" s="1"/>
  <c r="W139" i="36134" s="1"/>
  <c r="Q139" i="36134"/>
  <c r="R139" i="36134" s="1"/>
  <c r="V139" i="36134"/>
  <c r="K140" i="36134"/>
  <c r="N140" i="36134" s="1"/>
  <c r="U140" i="36134" s="1"/>
  <c r="W140" i="36134" s="1"/>
  <c r="R140" i="36134"/>
  <c r="V140" i="36134"/>
  <c r="K141" i="36134"/>
  <c r="N141" i="36134" s="1"/>
  <c r="U141" i="36134" s="1"/>
  <c r="W141" i="36134" s="1"/>
  <c r="R141" i="36134"/>
  <c r="V141" i="36134"/>
  <c r="K142" i="36134"/>
  <c r="N142" i="36134" s="1"/>
  <c r="U142" i="36134" s="1"/>
  <c r="W142" i="36134" s="1"/>
  <c r="Q142" i="36134"/>
  <c r="R142" i="36134" s="1"/>
  <c r="V142" i="36134"/>
  <c r="K143" i="36134"/>
  <c r="N143" i="36134" s="1"/>
  <c r="U143" i="36134" s="1"/>
  <c r="W143" i="36134" s="1"/>
  <c r="Q143" i="36134"/>
  <c r="R143" i="36134" s="1"/>
  <c r="V143" i="36134"/>
  <c r="K144" i="36134"/>
  <c r="N144" i="36134" s="1"/>
  <c r="U144" i="36134" s="1"/>
  <c r="W144" i="36134" s="1"/>
  <c r="Q144" i="36134"/>
  <c r="R144" i="36134" s="1"/>
  <c r="V144" i="36134"/>
  <c r="K145" i="36134"/>
  <c r="N145" i="36134" s="1"/>
  <c r="U145" i="36134" s="1"/>
  <c r="W145" i="36134" s="1"/>
  <c r="R145" i="36134"/>
  <c r="V145" i="36134"/>
  <c r="K146" i="36134"/>
  <c r="N146" i="36134" s="1"/>
  <c r="U146" i="36134" s="1"/>
  <c r="W146" i="36134" s="1"/>
  <c r="R146" i="36134"/>
  <c r="V146" i="36134"/>
  <c r="K147" i="36134"/>
  <c r="R147" i="36134"/>
  <c r="U147" i="36134"/>
  <c r="W147" i="36134" s="1"/>
  <c r="V147" i="36134"/>
  <c r="K148" i="36134"/>
  <c r="N148" i="36134" s="1"/>
  <c r="U148" i="36134" s="1"/>
  <c r="W148" i="36134" s="1"/>
  <c r="Q148" i="36134"/>
  <c r="R148" i="36134" s="1"/>
  <c r="V148" i="36134"/>
  <c r="K149" i="36134"/>
  <c r="N149" i="36134" s="1"/>
  <c r="U149" i="36134" s="1"/>
  <c r="W149" i="36134" s="1"/>
  <c r="Q149" i="36134"/>
  <c r="R149" i="36134" s="1"/>
  <c r="V149" i="36134"/>
  <c r="K150" i="36134"/>
  <c r="N150" i="36134" s="1"/>
  <c r="U150" i="36134" s="1"/>
  <c r="W150" i="36134" s="1"/>
  <c r="Q150" i="36134"/>
  <c r="R150" i="36134" s="1"/>
  <c r="V150" i="36134"/>
  <c r="K151" i="36134"/>
  <c r="N151" i="36134" s="1"/>
  <c r="U151" i="36134" s="1"/>
  <c r="W151" i="36134" s="1"/>
  <c r="Q151" i="36134"/>
  <c r="R151" i="36134" s="1"/>
  <c r="V151" i="36134"/>
  <c r="K152" i="36134"/>
  <c r="N152" i="36134" s="1"/>
  <c r="U152" i="36134" s="1"/>
  <c r="W152" i="36134" s="1"/>
  <c r="Q152" i="36134"/>
  <c r="R152" i="36134" s="1"/>
  <c r="V152" i="36134"/>
  <c r="K153" i="36134"/>
  <c r="N153" i="36134" s="1"/>
  <c r="U153" i="36134" s="1"/>
  <c r="W153" i="36134" s="1"/>
  <c r="Q153" i="36134"/>
  <c r="R153" i="36134" s="1"/>
  <c r="V153" i="36134"/>
  <c r="H154" i="36134"/>
  <c r="K154" i="36134"/>
  <c r="N154" i="36134" s="1"/>
  <c r="U154" i="36134" s="1"/>
  <c r="W154" i="36134" s="1"/>
  <c r="Q154" i="36134"/>
  <c r="R154" i="36134" s="1"/>
  <c r="V154" i="36134"/>
  <c r="H155" i="36134"/>
  <c r="K155" i="36134"/>
  <c r="N155" i="36134" s="1"/>
  <c r="U155" i="36134" s="1"/>
  <c r="W155" i="36134" s="1"/>
  <c r="Q155" i="36134"/>
  <c r="R155" i="36134" s="1"/>
  <c r="V155" i="36134"/>
  <c r="K156" i="36134"/>
  <c r="N156" i="36134" s="1"/>
  <c r="U156" i="36134" s="1"/>
  <c r="W156" i="36134" s="1"/>
  <c r="R156" i="36134"/>
  <c r="V156" i="36134"/>
  <c r="K157" i="36134"/>
  <c r="N157" i="36134" s="1"/>
  <c r="U157" i="36134" s="1"/>
  <c r="W157" i="36134" s="1"/>
  <c r="R157" i="36134"/>
  <c r="V157" i="36134"/>
  <c r="K158" i="36134"/>
  <c r="N158" i="36134" s="1"/>
  <c r="U158" i="36134" s="1"/>
  <c r="W158" i="36134" s="1"/>
  <c r="R158" i="36134"/>
  <c r="V158" i="36134"/>
  <c r="K159" i="36134"/>
  <c r="N159" i="36134" s="1"/>
  <c r="U159" i="36134" s="1"/>
  <c r="W159" i="36134" s="1"/>
  <c r="R159" i="36134"/>
  <c r="V159" i="36134"/>
  <c r="K160" i="36134"/>
  <c r="N160" i="36134" s="1"/>
  <c r="U160" i="36134" s="1"/>
  <c r="W160" i="36134" s="1"/>
  <c r="R160" i="36134"/>
  <c r="V160" i="36134"/>
  <c r="K161" i="36134"/>
  <c r="N161" i="36134" s="1"/>
  <c r="U161" i="36134" s="1"/>
  <c r="W161" i="36134" s="1"/>
  <c r="R161" i="36134"/>
  <c r="V161" i="36134"/>
  <c r="K162" i="36134"/>
  <c r="N162" i="36134" s="1"/>
  <c r="U162" i="36134" s="1"/>
  <c r="W162" i="36134" s="1"/>
  <c r="R162" i="36134"/>
  <c r="V162" i="36134"/>
  <c r="K163" i="36134"/>
  <c r="N163" i="36134" s="1"/>
  <c r="U163" i="36134" s="1"/>
  <c r="W163" i="36134" s="1"/>
  <c r="Q163" i="36134"/>
  <c r="R163" i="36134" s="1"/>
  <c r="V163" i="36134"/>
  <c r="K164" i="36134"/>
  <c r="N164" i="36134" s="1"/>
  <c r="U164" i="36134" s="1"/>
  <c r="W164" i="36134" s="1"/>
  <c r="Q164" i="36134"/>
  <c r="R164" i="36134" s="1"/>
  <c r="V164" i="36134"/>
  <c r="K165" i="36134"/>
  <c r="N165" i="36134" s="1"/>
  <c r="U165" i="36134" s="1"/>
  <c r="W165" i="36134" s="1"/>
  <c r="Q165" i="36134"/>
  <c r="R165" i="36134" s="1"/>
  <c r="V165" i="36134"/>
  <c r="K166" i="36134"/>
  <c r="N166" i="36134" s="1"/>
  <c r="U166" i="36134" s="1"/>
  <c r="W166" i="36134" s="1"/>
  <c r="Q166" i="36134"/>
  <c r="R166" i="36134" s="1"/>
  <c r="V166" i="36134"/>
  <c r="K167" i="36134"/>
  <c r="N167" i="36134" s="1"/>
  <c r="U167" i="36134" s="1"/>
  <c r="W167" i="36134" s="1"/>
  <c r="Q167" i="36134"/>
  <c r="R167" i="36134" s="1"/>
  <c r="V167" i="36134"/>
  <c r="K168" i="36134"/>
  <c r="N168" i="36134" s="1"/>
  <c r="U168" i="36134" s="1"/>
  <c r="W168" i="36134" s="1"/>
  <c r="Q168" i="36134"/>
  <c r="R168" i="36134" s="1"/>
  <c r="V168" i="36134"/>
  <c r="K169" i="36134"/>
  <c r="N169" i="36134" s="1"/>
  <c r="U169" i="36134" s="1"/>
  <c r="W169" i="36134" s="1"/>
  <c r="Q169" i="36134"/>
  <c r="R169" i="36134" s="1"/>
  <c r="V169" i="36134"/>
  <c r="K170" i="36134"/>
  <c r="N170" i="36134" s="1"/>
  <c r="U170" i="36134" s="1"/>
  <c r="W170" i="36134" s="1"/>
  <c r="Q170" i="36134"/>
  <c r="R170" i="36134" s="1"/>
  <c r="V170" i="36134"/>
  <c r="K171" i="36134"/>
  <c r="N171" i="36134" s="1"/>
  <c r="U171" i="36134" s="1"/>
  <c r="W171" i="36134" s="1"/>
  <c r="Q171" i="36134"/>
  <c r="R171" i="36134" s="1"/>
  <c r="V171" i="36134"/>
  <c r="K172" i="36134"/>
  <c r="N172" i="36134" s="1"/>
  <c r="U172" i="36134" s="1"/>
  <c r="W172" i="36134" s="1"/>
  <c r="Q172" i="36134"/>
  <c r="R172" i="36134" s="1"/>
  <c r="V172" i="36134"/>
  <c r="K173" i="36134"/>
  <c r="N173" i="36134" s="1"/>
  <c r="U173" i="36134" s="1"/>
  <c r="W173" i="36134" s="1"/>
  <c r="Q173" i="36134"/>
  <c r="R173" i="36134" s="1"/>
  <c r="V173" i="36134"/>
  <c r="K174" i="36134"/>
  <c r="N174" i="36134" s="1"/>
  <c r="U174" i="36134" s="1"/>
  <c r="W174" i="36134" s="1"/>
  <c r="Q174" i="36134"/>
  <c r="R174" i="36134" s="1"/>
  <c r="V174" i="36134"/>
  <c r="K175" i="36134"/>
  <c r="N175" i="36134" s="1"/>
  <c r="U175" i="36134" s="1"/>
  <c r="W175" i="36134" s="1"/>
  <c r="Q175" i="36134"/>
  <c r="R175" i="36134" s="1"/>
  <c r="V175" i="36134"/>
  <c r="N176" i="36134"/>
  <c r="U176" i="36134" s="1"/>
  <c r="W176" i="36134" s="1"/>
  <c r="R176" i="36134"/>
  <c r="V176" i="36134"/>
  <c r="K177" i="36134"/>
  <c r="N177" i="36134" s="1"/>
  <c r="U177" i="36134" s="1"/>
  <c r="W177" i="36134" s="1"/>
  <c r="R177" i="36134"/>
  <c r="V177" i="36134"/>
  <c r="K178" i="36134"/>
  <c r="N178" i="36134" s="1"/>
  <c r="U178" i="36134" s="1"/>
  <c r="W178" i="36134" s="1"/>
  <c r="R178" i="36134"/>
  <c r="V178" i="36134"/>
  <c r="K179" i="36134"/>
  <c r="N179" i="36134" s="1"/>
  <c r="U179" i="36134" s="1"/>
  <c r="W179" i="36134" s="1"/>
  <c r="R179" i="36134"/>
  <c r="V179" i="36134"/>
  <c r="K180" i="36134"/>
  <c r="N180" i="36134" s="1"/>
  <c r="U180" i="36134" s="1"/>
  <c r="W180" i="36134" s="1"/>
  <c r="R180" i="36134"/>
  <c r="V180" i="36134"/>
  <c r="K181" i="36134"/>
  <c r="N181" i="36134" s="1"/>
  <c r="U181" i="36134" s="1"/>
  <c r="W181" i="36134" s="1"/>
  <c r="R181" i="36134"/>
  <c r="V181" i="36134"/>
  <c r="K182" i="36134"/>
  <c r="N182" i="36134" s="1"/>
  <c r="U182" i="36134" s="1"/>
  <c r="W182" i="36134" s="1"/>
  <c r="R182" i="36134"/>
  <c r="V182" i="36134"/>
  <c r="K183" i="36134"/>
  <c r="N183" i="36134" s="1"/>
  <c r="U183" i="36134" s="1"/>
  <c r="W183" i="36134" s="1"/>
  <c r="R183" i="36134"/>
  <c r="V183" i="36134"/>
  <c r="K184" i="36134"/>
  <c r="N184" i="36134" s="1"/>
  <c r="U184" i="36134" s="1"/>
  <c r="W184" i="36134" s="1"/>
  <c r="R184" i="36134"/>
  <c r="V184" i="36134"/>
  <c r="K185" i="36134"/>
  <c r="N185" i="36134" s="1"/>
  <c r="U185" i="36134" s="1"/>
  <c r="W185" i="36134" s="1"/>
  <c r="R185" i="36134"/>
  <c r="V185" i="36134"/>
  <c r="K186" i="36134"/>
  <c r="N186" i="36134" s="1"/>
  <c r="U186" i="36134" s="1"/>
  <c r="W186" i="36134" s="1"/>
  <c r="R186" i="36134"/>
  <c r="V186" i="36134"/>
  <c r="K187" i="36134"/>
  <c r="N187" i="36134" s="1"/>
  <c r="U187" i="36134" s="1"/>
  <c r="W187" i="36134" s="1"/>
  <c r="R187" i="36134"/>
  <c r="V187" i="36134"/>
  <c r="K188" i="36134"/>
  <c r="N188" i="36134" s="1"/>
  <c r="U188" i="36134" s="1"/>
  <c r="W188" i="36134" s="1"/>
  <c r="R188" i="36134"/>
  <c r="V188" i="36134"/>
  <c r="K189" i="36134"/>
  <c r="N189" i="36134" s="1"/>
  <c r="U189" i="36134" s="1"/>
  <c r="W189" i="36134" s="1"/>
  <c r="R189" i="36134"/>
  <c r="V189" i="36134"/>
  <c r="K190" i="36134"/>
  <c r="N190" i="36134" s="1"/>
  <c r="U190" i="36134" s="1"/>
  <c r="W190" i="36134" s="1"/>
  <c r="R190" i="36134"/>
  <c r="V190" i="36134"/>
  <c r="K191" i="36134"/>
  <c r="N191" i="36134" s="1"/>
  <c r="U191" i="36134" s="1"/>
  <c r="W191" i="36134" s="1"/>
  <c r="R191" i="36134"/>
  <c r="V191" i="36134"/>
  <c r="K192" i="36134"/>
  <c r="N192" i="36134" s="1"/>
  <c r="U192" i="36134" s="1"/>
  <c r="W192" i="36134" s="1"/>
  <c r="R192" i="36134"/>
  <c r="V192" i="36134"/>
  <c r="K193" i="36134"/>
  <c r="N193" i="36134" s="1"/>
  <c r="U193" i="36134" s="1"/>
  <c r="W193" i="36134" s="1"/>
  <c r="R193" i="36134"/>
  <c r="V193" i="36134"/>
  <c r="K194" i="36134"/>
  <c r="N194" i="36134" s="1"/>
  <c r="U194" i="36134" s="1"/>
  <c r="W194" i="36134" s="1"/>
  <c r="R194" i="36134"/>
  <c r="V194" i="36134"/>
  <c r="K195" i="36134"/>
  <c r="N195" i="36134" s="1"/>
  <c r="U195" i="36134" s="1"/>
  <c r="W195" i="36134" s="1"/>
  <c r="R195" i="36134"/>
  <c r="V195" i="36134"/>
  <c r="H196" i="36134"/>
  <c r="K196" i="36134"/>
  <c r="N196" i="36134" s="1"/>
  <c r="U196" i="36134" s="1"/>
  <c r="W196" i="36134" s="1"/>
  <c r="R196" i="36134"/>
  <c r="V196" i="36134"/>
  <c r="K197" i="36134"/>
  <c r="N197" i="36134" s="1"/>
  <c r="U197" i="36134" s="1"/>
  <c r="W197" i="36134" s="1"/>
  <c r="R197" i="36134"/>
  <c r="V197" i="36134"/>
  <c r="K198" i="36134"/>
  <c r="N198" i="36134" s="1"/>
  <c r="U198" i="36134" s="1"/>
  <c r="W198" i="36134" s="1"/>
  <c r="R198" i="36134"/>
  <c r="V198" i="36134"/>
  <c r="K199" i="36134"/>
  <c r="N199" i="36134" s="1"/>
  <c r="U199" i="36134" s="1"/>
  <c r="W199" i="36134" s="1"/>
  <c r="R199" i="36134"/>
  <c r="V199" i="36134"/>
  <c r="K200" i="36134"/>
  <c r="N200" i="36134" s="1"/>
  <c r="U200" i="36134" s="1"/>
  <c r="W200" i="36134" s="1"/>
  <c r="R200" i="36134"/>
  <c r="V200" i="36134"/>
  <c r="K201" i="36134"/>
  <c r="N201" i="36134" s="1"/>
  <c r="U201" i="36134" s="1"/>
  <c r="W201" i="36134" s="1"/>
  <c r="R201" i="36134"/>
  <c r="V201" i="36134"/>
  <c r="K202" i="36134"/>
  <c r="N202" i="36134" s="1"/>
  <c r="U202" i="36134" s="1"/>
  <c r="W202" i="36134" s="1"/>
  <c r="R202" i="36134"/>
  <c r="V202" i="36134"/>
  <c r="K203" i="36134"/>
  <c r="N203" i="36134" s="1"/>
  <c r="U203" i="36134" s="1"/>
  <c r="W203" i="36134" s="1"/>
  <c r="Q203" i="36134"/>
  <c r="R203" i="36134" s="1"/>
  <c r="V203" i="36134"/>
  <c r="K204" i="36134"/>
  <c r="N204" i="36134" s="1"/>
  <c r="U204" i="36134" s="1"/>
  <c r="W204" i="36134" s="1"/>
  <c r="Q204" i="36134"/>
  <c r="R204" i="36134" s="1"/>
  <c r="V204" i="36134"/>
  <c r="K205" i="36134"/>
  <c r="N205" i="36134" s="1"/>
  <c r="U205" i="36134" s="1"/>
  <c r="W205" i="36134" s="1"/>
  <c r="Q205" i="36134"/>
  <c r="R205" i="36134" s="1"/>
  <c r="V205" i="36134"/>
  <c r="K206" i="36134"/>
  <c r="N206" i="36134" s="1"/>
  <c r="U206" i="36134" s="1"/>
  <c r="W206" i="36134" s="1"/>
  <c r="Q206" i="36134"/>
  <c r="R206" i="36134" s="1"/>
  <c r="V206" i="36134"/>
  <c r="K207" i="36134"/>
  <c r="N207" i="36134" s="1"/>
  <c r="U207" i="36134" s="1"/>
  <c r="W207" i="36134" s="1"/>
  <c r="Q207" i="36134"/>
  <c r="R207" i="36134" s="1"/>
  <c r="V207" i="36134"/>
  <c r="K208" i="36134"/>
  <c r="N208" i="36134" s="1"/>
  <c r="U208" i="36134" s="1"/>
  <c r="W208" i="36134" s="1"/>
  <c r="Q208" i="36134"/>
  <c r="R208" i="36134" s="1"/>
  <c r="V208" i="36134"/>
  <c r="K209" i="36134"/>
  <c r="N209" i="36134" s="1"/>
  <c r="U209" i="36134" s="1"/>
  <c r="W209" i="36134" s="1"/>
  <c r="R209" i="36134"/>
  <c r="V209" i="36134"/>
  <c r="H210" i="36134"/>
  <c r="K210" i="36134"/>
  <c r="N210" i="36134" s="1"/>
  <c r="U210" i="36134"/>
  <c r="W210" i="36134" s="1"/>
  <c r="R210" i="36134"/>
  <c r="V210" i="36134"/>
  <c r="K211" i="36134"/>
  <c r="N211" i="36134" s="1"/>
  <c r="U211" i="36134" s="1"/>
  <c r="W211" i="36134" s="1"/>
  <c r="Q211" i="36134"/>
  <c r="R211" i="36134" s="1"/>
  <c r="V211" i="36134"/>
  <c r="K212" i="36134"/>
  <c r="Q212" i="36134"/>
  <c r="R212" i="36134" s="1"/>
  <c r="U212" i="36134"/>
  <c r="W212" i="36134" s="1"/>
  <c r="V212" i="36134"/>
  <c r="H213" i="36134"/>
  <c r="K213" i="36134"/>
  <c r="N213" i="36134" s="1"/>
  <c r="U213" i="36134" s="1"/>
  <c r="W213" i="36134" s="1"/>
  <c r="Q213" i="36134"/>
  <c r="R213" i="36134" s="1"/>
  <c r="V213" i="36134"/>
  <c r="K214" i="36134"/>
  <c r="N214" i="36134" s="1"/>
  <c r="U214" i="36134" s="1"/>
  <c r="W214" i="36134" s="1"/>
  <c r="Q214" i="36134"/>
  <c r="R214" i="36134" s="1"/>
  <c r="V214" i="36134"/>
  <c r="K215" i="36134"/>
  <c r="N215" i="36134" s="1"/>
  <c r="U215" i="36134" s="1"/>
  <c r="W215" i="36134" s="1"/>
  <c r="R215" i="36134"/>
  <c r="V215" i="36134"/>
  <c r="K216" i="36134"/>
  <c r="N216" i="36134" s="1"/>
  <c r="U216" i="36134" s="1"/>
  <c r="W216" i="36134" s="1"/>
  <c r="Q216" i="36134"/>
  <c r="R216" i="36134" s="1"/>
  <c r="V216" i="36134"/>
  <c r="K217" i="36134"/>
  <c r="N217" i="36134" s="1"/>
  <c r="U217" i="36134" s="1"/>
  <c r="W217" i="36134" s="1"/>
  <c r="Q217" i="36134"/>
  <c r="R217" i="36134" s="1"/>
  <c r="V217" i="36134"/>
  <c r="K218" i="36134"/>
  <c r="N218" i="36134" s="1"/>
  <c r="U218" i="36134" s="1"/>
  <c r="W218" i="36134" s="1"/>
  <c r="R218" i="36134"/>
  <c r="V218" i="36134"/>
  <c r="K219" i="36134"/>
  <c r="N219" i="36134" s="1"/>
  <c r="U219" i="36134" s="1"/>
  <c r="W219" i="36134" s="1"/>
  <c r="Q219" i="36134"/>
  <c r="R219" i="36134" s="1"/>
  <c r="V219" i="36134"/>
  <c r="K220" i="36134"/>
  <c r="N220" i="36134" s="1"/>
  <c r="U220" i="36134" s="1"/>
  <c r="W220" i="36134" s="1"/>
  <c r="Q220" i="36134"/>
  <c r="R220" i="36134" s="1"/>
  <c r="V220" i="36134"/>
  <c r="K221" i="36134"/>
  <c r="N221" i="36134" s="1"/>
  <c r="U221" i="36134" s="1"/>
  <c r="W221" i="36134" s="1"/>
  <c r="Q221" i="36134"/>
  <c r="R221" i="36134" s="1"/>
  <c r="V221" i="36134"/>
  <c r="K222" i="36134"/>
  <c r="N222" i="36134" s="1"/>
  <c r="U222" i="36134" s="1"/>
  <c r="W222" i="36134" s="1"/>
  <c r="R222" i="36134"/>
  <c r="V222" i="36134"/>
  <c r="K223" i="36134"/>
  <c r="N223" i="36134" s="1"/>
  <c r="U223" i="36134" s="1"/>
  <c r="W223" i="36134" s="1"/>
  <c r="Q223" i="36134"/>
  <c r="R223" i="36134" s="1"/>
  <c r="V223" i="36134"/>
  <c r="K224" i="36134"/>
  <c r="N224" i="36134" s="1"/>
  <c r="U224" i="36134" s="1"/>
  <c r="W224" i="36134" s="1"/>
  <c r="Q224" i="36134"/>
  <c r="R224" i="36134" s="1"/>
  <c r="V224" i="36134"/>
  <c r="K225" i="36134"/>
  <c r="N225" i="36134" s="1"/>
  <c r="U225" i="36134" s="1"/>
  <c r="W225" i="36134" s="1"/>
  <c r="Q225" i="36134"/>
  <c r="R225" i="36134" s="1"/>
  <c r="V225" i="36134"/>
  <c r="K226" i="36134"/>
  <c r="N226" i="36134" s="1"/>
  <c r="U226" i="36134" s="1"/>
  <c r="W226" i="36134" s="1"/>
  <c r="Q226" i="36134"/>
  <c r="R226" i="36134" s="1"/>
  <c r="V226" i="36134"/>
  <c r="K227" i="36134"/>
  <c r="N227" i="36134" s="1"/>
  <c r="U227" i="36134" s="1"/>
  <c r="W227" i="36134" s="1"/>
  <c r="Q227" i="36134"/>
  <c r="R227" i="36134" s="1"/>
  <c r="V227" i="36134"/>
  <c r="K228" i="36134"/>
  <c r="N228" i="36134" s="1"/>
  <c r="U228" i="36134" s="1"/>
  <c r="W228" i="36134" s="1"/>
  <c r="R228" i="36134"/>
  <c r="V228" i="36134"/>
  <c r="K229" i="36134"/>
  <c r="N229" i="36134" s="1"/>
  <c r="U229" i="36134" s="1"/>
  <c r="W229" i="36134" s="1"/>
  <c r="Q229" i="36134"/>
  <c r="R229" i="36134" s="1"/>
  <c r="V229" i="36134"/>
  <c r="K230" i="36134"/>
  <c r="N230" i="36134" s="1"/>
  <c r="U230" i="36134" s="1"/>
  <c r="W230" i="36134" s="1"/>
  <c r="Q230" i="36134"/>
  <c r="R230" i="36134" s="1"/>
  <c r="V230" i="36134"/>
  <c r="K231" i="36134"/>
  <c r="N231" i="36134" s="1"/>
  <c r="U231" i="36134" s="1"/>
  <c r="W231" i="36134" s="1"/>
  <c r="R231" i="36134"/>
  <c r="V231" i="36134"/>
  <c r="K232" i="36134"/>
  <c r="N232" i="36134" s="1"/>
  <c r="U232" i="36134" s="1"/>
  <c r="W232" i="36134" s="1"/>
  <c r="R232" i="36134"/>
  <c r="V232" i="36134"/>
  <c r="K233" i="36134"/>
  <c r="N233" i="36134" s="1"/>
  <c r="U233" i="36134" s="1"/>
  <c r="W233" i="36134" s="1"/>
  <c r="Q233" i="36134"/>
  <c r="R233" i="36134" s="1"/>
  <c r="V233" i="36134"/>
  <c r="K234" i="36134"/>
  <c r="N234" i="36134" s="1"/>
  <c r="U234" i="36134" s="1"/>
  <c r="W234" i="36134" s="1"/>
  <c r="Q234" i="36134"/>
  <c r="R234" i="36134" s="1"/>
  <c r="V234" i="36134"/>
  <c r="K235" i="36134"/>
  <c r="N235" i="36134" s="1"/>
  <c r="U235" i="36134" s="1"/>
  <c r="W235" i="36134" s="1"/>
  <c r="Q235" i="36134"/>
  <c r="R235" i="36134" s="1"/>
  <c r="V235" i="36134"/>
  <c r="K236" i="36134"/>
  <c r="N236" i="36134" s="1"/>
  <c r="U236" i="36134" s="1"/>
  <c r="W236" i="36134" s="1"/>
  <c r="Q236" i="36134"/>
  <c r="R236" i="36134" s="1"/>
  <c r="V236" i="36134"/>
  <c r="K237" i="36134"/>
  <c r="N237" i="36134" s="1"/>
  <c r="U237" i="36134" s="1"/>
  <c r="W237" i="36134" s="1"/>
  <c r="Q237" i="36134"/>
  <c r="R237" i="36134" s="1"/>
  <c r="V237" i="36134"/>
  <c r="K238" i="36134"/>
  <c r="N238" i="36134" s="1"/>
  <c r="U238" i="36134" s="1"/>
  <c r="W238" i="36134" s="1"/>
  <c r="Q238" i="36134"/>
  <c r="R238" i="36134" s="1"/>
  <c r="V238" i="36134"/>
  <c r="K239" i="36134"/>
  <c r="N239" i="36134" s="1"/>
  <c r="U239" i="36134" s="1"/>
  <c r="W239" i="36134" s="1"/>
  <c r="Q239" i="36134"/>
  <c r="R239" i="36134" s="1"/>
  <c r="V239" i="36134"/>
  <c r="K240" i="36134"/>
  <c r="N240" i="36134" s="1"/>
  <c r="U240" i="36134" s="1"/>
  <c r="W240" i="36134" s="1"/>
  <c r="R240" i="36134"/>
  <c r="V240" i="36134"/>
  <c r="K241" i="36134"/>
  <c r="N241" i="36134" s="1"/>
  <c r="U241" i="36134" s="1"/>
  <c r="W241" i="36134" s="1"/>
  <c r="Q241" i="36134"/>
  <c r="R241" i="36134" s="1"/>
  <c r="V241" i="36134"/>
  <c r="K242" i="36134"/>
  <c r="N242" i="36134" s="1"/>
  <c r="U242" i="36134" s="1"/>
  <c r="W242" i="36134" s="1"/>
  <c r="Q242" i="36134"/>
  <c r="R242" i="36134" s="1"/>
  <c r="V242" i="36134"/>
  <c r="K243" i="36134"/>
  <c r="N243" i="36134" s="1"/>
  <c r="U243" i="36134" s="1"/>
  <c r="W243" i="36134" s="1"/>
  <c r="Q243" i="36134"/>
  <c r="R243" i="36134" s="1"/>
  <c r="V243" i="36134"/>
  <c r="K244" i="36134"/>
  <c r="Q244" i="36134"/>
  <c r="R244" i="36134" s="1"/>
  <c r="U244" i="36134"/>
  <c r="W244" i="36134" s="1"/>
  <c r="V244" i="36134"/>
  <c r="K245" i="36134"/>
  <c r="N245" i="36134" s="1"/>
  <c r="U245" i="36134" s="1"/>
  <c r="W245" i="36134" s="1"/>
  <c r="R245" i="36134"/>
  <c r="V245" i="36134"/>
  <c r="K246" i="36134"/>
  <c r="N246" i="36134" s="1"/>
  <c r="U246" i="36134" s="1"/>
  <c r="W246" i="36134" s="1"/>
  <c r="R246" i="36134"/>
  <c r="V246" i="36134"/>
  <c r="H247" i="36134"/>
  <c r="K247" i="36134"/>
  <c r="N247" i="36134" s="1"/>
  <c r="U247" i="36134" s="1"/>
  <c r="W247" i="36134" s="1"/>
  <c r="R247" i="36134"/>
  <c r="V247" i="36134"/>
  <c r="K248" i="36134"/>
  <c r="N248" i="36134" s="1"/>
  <c r="U248" i="36134" s="1"/>
  <c r="W248" i="36134" s="1"/>
  <c r="R248" i="36134"/>
  <c r="V248" i="36134"/>
  <c r="K249" i="36134"/>
  <c r="N249" i="36134" s="1"/>
  <c r="U249" i="36134" s="1"/>
  <c r="W249" i="36134" s="1"/>
  <c r="R249" i="36134"/>
  <c r="V249" i="36134"/>
  <c r="K250" i="36134"/>
  <c r="N250" i="36134" s="1"/>
  <c r="U250" i="36134" s="1"/>
  <c r="W250" i="36134" s="1"/>
  <c r="R250" i="36134"/>
  <c r="V250" i="36134"/>
  <c r="K251" i="36134"/>
  <c r="N251" i="36134"/>
  <c r="U251" i="36134" s="1"/>
  <c r="W251" i="36134" s="1"/>
  <c r="R251" i="36134"/>
  <c r="V251" i="36134"/>
  <c r="K252" i="36134"/>
  <c r="N252" i="36134" s="1"/>
  <c r="U252" i="36134" s="1"/>
  <c r="W252" i="36134" s="1"/>
  <c r="R252" i="36134"/>
  <c r="V252" i="36134"/>
  <c r="K253" i="36134"/>
  <c r="N253" i="36134" s="1"/>
  <c r="U253" i="36134" s="1"/>
  <c r="W253" i="36134" s="1"/>
  <c r="R253" i="36134"/>
  <c r="V253" i="36134"/>
  <c r="K254" i="36134"/>
  <c r="N254" i="36134" s="1"/>
  <c r="U254" i="36134" s="1"/>
  <c r="W254" i="36134" s="1"/>
  <c r="R254" i="36134"/>
  <c r="V254" i="36134"/>
  <c r="K255" i="36134"/>
  <c r="N255" i="36134" s="1"/>
  <c r="U255" i="36134" s="1"/>
  <c r="W255" i="36134" s="1"/>
  <c r="R255" i="36134"/>
  <c r="V255" i="36134"/>
  <c r="K256" i="36134"/>
  <c r="N256" i="36134" s="1"/>
  <c r="U256" i="36134" s="1"/>
  <c r="W256" i="36134" s="1"/>
  <c r="R256" i="36134"/>
  <c r="V256" i="36134"/>
  <c r="K257" i="36134"/>
  <c r="N257" i="36134" s="1"/>
  <c r="U257" i="36134" s="1"/>
  <c r="W257" i="36134" s="1"/>
  <c r="R257" i="36134"/>
  <c r="V257" i="36134"/>
  <c r="K258" i="36134"/>
  <c r="N258" i="36134" s="1"/>
  <c r="U258" i="36134" s="1"/>
  <c r="W258" i="36134" s="1"/>
  <c r="R258" i="36134"/>
  <c r="V258" i="36134"/>
  <c r="H259" i="36134"/>
  <c r="K259" i="36134"/>
  <c r="N259" i="36134" s="1"/>
  <c r="U259" i="36134" s="1"/>
  <c r="W259" i="36134" s="1"/>
  <c r="R259" i="36134"/>
  <c r="V259" i="36134"/>
  <c r="K260" i="36134"/>
  <c r="N260" i="36134" s="1"/>
  <c r="U260" i="36134" s="1"/>
  <c r="W260" i="36134" s="1"/>
  <c r="R260" i="36134"/>
  <c r="V260" i="36134"/>
  <c r="K261" i="36134"/>
  <c r="N261" i="36134" s="1"/>
  <c r="U261" i="36134" s="1"/>
  <c r="W261" i="36134" s="1"/>
  <c r="R261" i="36134"/>
  <c r="V261" i="36134"/>
  <c r="K262" i="36134"/>
  <c r="N262" i="36134" s="1"/>
  <c r="U262" i="36134" s="1"/>
  <c r="W262" i="36134" s="1"/>
  <c r="R262" i="36134"/>
  <c r="V262" i="36134"/>
  <c r="K263" i="36134"/>
  <c r="N263" i="36134" s="1"/>
  <c r="U263" i="36134" s="1"/>
  <c r="W263" i="36134" s="1"/>
  <c r="R263" i="36134"/>
  <c r="V263" i="36134"/>
  <c r="K264" i="36134"/>
  <c r="N264" i="36134" s="1"/>
  <c r="U264" i="36134" s="1"/>
  <c r="W264" i="36134" s="1"/>
  <c r="R264" i="36134"/>
  <c r="V264" i="36134"/>
  <c r="K265" i="36134"/>
  <c r="N265" i="36134" s="1"/>
  <c r="U265" i="36134" s="1"/>
  <c r="W265" i="36134" s="1"/>
  <c r="R265" i="36134"/>
  <c r="V265" i="36134"/>
  <c r="K266" i="36134"/>
  <c r="N266" i="36134" s="1"/>
  <c r="U266" i="36134" s="1"/>
  <c r="W266" i="36134" s="1"/>
  <c r="R266" i="36134"/>
  <c r="V266" i="36134"/>
  <c r="K267" i="36134"/>
  <c r="N267" i="36134" s="1"/>
  <c r="U267" i="36134" s="1"/>
  <c r="W267" i="36134" s="1"/>
  <c r="R267" i="36134"/>
  <c r="V267" i="36134"/>
  <c r="K268" i="36134"/>
  <c r="N268" i="36134" s="1"/>
  <c r="U268" i="36134" s="1"/>
  <c r="W268" i="36134" s="1"/>
  <c r="R268" i="36134"/>
  <c r="V268" i="36134"/>
  <c r="K269" i="36134"/>
  <c r="N269" i="36134" s="1"/>
  <c r="U269" i="36134" s="1"/>
  <c r="W269" i="36134" s="1"/>
  <c r="R269" i="36134"/>
  <c r="V269" i="36134"/>
  <c r="K270" i="36134"/>
  <c r="N270" i="36134" s="1"/>
  <c r="U270" i="36134"/>
  <c r="W270" i="36134" s="1"/>
  <c r="R270" i="36134"/>
  <c r="V270" i="36134"/>
  <c r="K271" i="36134"/>
  <c r="N271" i="36134" s="1"/>
  <c r="U271" i="36134" s="1"/>
  <c r="W271" i="36134" s="1"/>
  <c r="R271" i="36134"/>
  <c r="V271" i="36134"/>
  <c r="H272" i="36134"/>
  <c r="K272" i="36134"/>
  <c r="N272" i="36134"/>
  <c r="U272" i="36134" s="1"/>
  <c r="W272" i="36134" s="1"/>
  <c r="R272" i="36134"/>
  <c r="V272" i="36134"/>
  <c r="K273" i="36134"/>
  <c r="N273" i="36134" s="1"/>
  <c r="U273" i="36134" s="1"/>
  <c r="W273" i="36134" s="1"/>
  <c r="R273" i="36134"/>
  <c r="V273" i="36134"/>
  <c r="K274" i="36134"/>
  <c r="N274" i="36134" s="1"/>
  <c r="U274" i="36134" s="1"/>
  <c r="W274" i="36134" s="1"/>
  <c r="R274" i="36134"/>
  <c r="V274" i="36134"/>
  <c r="K275" i="36134"/>
  <c r="N275" i="36134" s="1"/>
  <c r="U275" i="36134" s="1"/>
  <c r="W275" i="36134" s="1"/>
  <c r="R275" i="36134"/>
  <c r="V275" i="36134"/>
  <c r="K276" i="36134"/>
  <c r="N276" i="36134" s="1"/>
  <c r="U276" i="36134" s="1"/>
  <c r="W276" i="36134" s="1"/>
  <c r="R276" i="36134"/>
  <c r="V276" i="36134"/>
  <c r="K277" i="36134"/>
  <c r="N277" i="36134" s="1"/>
  <c r="U277" i="36134" s="1"/>
  <c r="W277" i="36134" s="1"/>
  <c r="R277" i="36134"/>
  <c r="V277" i="36134"/>
  <c r="K278" i="36134"/>
  <c r="N278" i="36134" s="1"/>
  <c r="U278" i="36134" s="1"/>
  <c r="W278" i="36134" s="1"/>
  <c r="R278" i="36134"/>
  <c r="V278" i="36134"/>
  <c r="K279" i="36134"/>
  <c r="N279" i="36134" s="1"/>
  <c r="U279" i="36134" s="1"/>
  <c r="W279" i="36134" s="1"/>
  <c r="R279" i="36134"/>
  <c r="V279" i="36134"/>
  <c r="K280" i="36134"/>
  <c r="N280" i="36134"/>
  <c r="U280" i="36134" s="1"/>
  <c r="W280" i="36134" s="1"/>
  <c r="R280" i="36134"/>
  <c r="V280" i="36134"/>
  <c r="K281" i="36134"/>
  <c r="N281" i="36134" s="1"/>
  <c r="U281" i="36134" s="1"/>
  <c r="W281" i="36134" s="1"/>
  <c r="R281" i="36134"/>
  <c r="V281" i="36134"/>
  <c r="K282" i="36134"/>
  <c r="N282" i="36134" s="1"/>
  <c r="U282" i="36134" s="1"/>
  <c r="W282" i="36134" s="1"/>
  <c r="R282" i="36134"/>
  <c r="V282" i="36134"/>
  <c r="K283" i="36134"/>
  <c r="N283" i="36134" s="1"/>
  <c r="U283" i="36134" s="1"/>
  <c r="W283" i="36134" s="1"/>
  <c r="R283" i="36134"/>
  <c r="V283" i="36134"/>
  <c r="K284" i="36134"/>
  <c r="N284" i="36134" s="1"/>
  <c r="U284" i="36134" s="1"/>
  <c r="W284" i="36134" s="1"/>
  <c r="R284" i="36134"/>
  <c r="V284" i="36134"/>
  <c r="K285" i="36134"/>
  <c r="N285" i="36134" s="1"/>
  <c r="U285" i="36134" s="1"/>
  <c r="W285" i="36134" s="1"/>
  <c r="R285" i="36134"/>
  <c r="V285" i="36134"/>
  <c r="K286" i="36134"/>
  <c r="N286" i="36134" s="1"/>
  <c r="U286" i="36134" s="1"/>
  <c r="W286" i="36134" s="1"/>
  <c r="R286" i="36134"/>
  <c r="V286" i="36134"/>
  <c r="K287" i="36134"/>
  <c r="N287" i="36134" s="1"/>
  <c r="U287" i="36134" s="1"/>
  <c r="W287" i="36134" s="1"/>
  <c r="R287" i="36134"/>
  <c r="V287" i="36134"/>
  <c r="K288" i="36134"/>
  <c r="N288" i="36134"/>
  <c r="U288" i="36134" s="1"/>
  <c r="W288" i="36134" s="1"/>
  <c r="R288" i="36134"/>
  <c r="V288" i="36134"/>
  <c r="K289" i="36134"/>
  <c r="N289" i="36134" s="1"/>
  <c r="U289" i="36134" s="1"/>
  <c r="W289" i="36134" s="1"/>
  <c r="R289" i="36134"/>
  <c r="V289" i="36134"/>
  <c r="K290" i="36134"/>
  <c r="N290" i="36134"/>
  <c r="U290" i="36134" s="1"/>
  <c r="W290" i="36134" s="1"/>
  <c r="R290" i="36134"/>
  <c r="V290" i="36134"/>
  <c r="K291" i="36134"/>
  <c r="N291" i="36134" s="1"/>
  <c r="U291" i="36134" s="1"/>
  <c r="W291" i="36134" s="1"/>
  <c r="R291" i="36134"/>
  <c r="V291" i="36134"/>
  <c r="K292" i="36134"/>
  <c r="N292" i="36134" s="1"/>
  <c r="U292" i="36134" s="1"/>
  <c r="W292" i="36134" s="1"/>
  <c r="R292" i="36134"/>
  <c r="V292" i="36134"/>
  <c r="K293" i="36134"/>
  <c r="N293" i="36134" s="1"/>
  <c r="U293" i="36134" s="1"/>
  <c r="W293" i="36134" s="1"/>
  <c r="R293" i="36134"/>
  <c r="V293" i="36134"/>
  <c r="K294" i="36134"/>
  <c r="N294" i="36134" s="1"/>
  <c r="U294" i="36134" s="1"/>
  <c r="W294" i="36134" s="1"/>
  <c r="R294" i="36134"/>
  <c r="V294" i="36134"/>
  <c r="K295" i="36134"/>
  <c r="N295" i="36134" s="1"/>
  <c r="U295" i="36134" s="1"/>
  <c r="W295" i="36134" s="1"/>
  <c r="Q295" i="36134"/>
  <c r="R295" i="36134" s="1"/>
  <c r="V295" i="36134"/>
  <c r="K296" i="36134"/>
  <c r="N296" i="36134" s="1"/>
  <c r="U296" i="36134" s="1"/>
  <c r="W296" i="36134" s="1"/>
  <c r="R296" i="36134"/>
  <c r="V296" i="36134"/>
  <c r="K297" i="36134"/>
  <c r="N297" i="36134" s="1"/>
  <c r="U297" i="36134" s="1"/>
  <c r="W297" i="36134" s="1"/>
  <c r="R297" i="36134"/>
  <c r="V297" i="36134"/>
  <c r="K298" i="36134"/>
  <c r="N298" i="36134" s="1"/>
  <c r="U298" i="36134" s="1"/>
  <c r="W298" i="36134" s="1"/>
  <c r="R298" i="36134"/>
  <c r="V298" i="36134"/>
  <c r="K299" i="36134"/>
  <c r="N299" i="36134" s="1"/>
  <c r="U299" i="36134" s="1"/>
  <c r="W299" i="36134" s="1"/>
  <c r="R299" i="36134"/>
  <c r="V299" i="36134"/>
  <c r="K300" i="36134"/>
  <c r="N300" i="36134" s="1"/>
  <c r="U300" i="36134" s="1"/>
  <c r="W300" i="36134" s="1"/>
  <c r="R300" i="36134"/>
  <c r="V300" i="36134"/>
  <c r="K301" i="36134"/>
  <c r="R301" i="36134"/>
  <c r="U301" i="36134"/>
  <c r="W301" i="36134" s="1"/>
  <c r="V301" i="36134"/>
  <c r="K302" i="36134"/>
  <c r="N302" i="36134" s="1"/>
  <c r="U302" i="36134" s="1"/>
  <c r="W302" i="36134" s="1"/>
  <c r="R302" i="36134"/>
  <c r="V302" i="36134"/>
  <c r="K303" i="36134"/>
  <c r="N303" i="36134"/>
  <c r="U303" i="36134" s="1"/>
  <c r="W303" i="36134" s="1"/>
  <c r="Q303" i="36134"/>
  <c r="R303" i="36134" s="1"/>
  <c r="V303" i="36134"/>
  <c r="K304" i="36134"/>
  <c r="N304" i="36134" s="1"/>
  <c r="U304" i="36134" s="1"/>
  <c r="W304" i="36134" s="1"/>
  <c r="R304" i="36134"/>
  <c r="V304" i="36134"/>
  <c r="K305" i="36134"/>
  <c r="R305" i="36134"/>
  <c r="U305" i="36134"/>
  <c r="W305" i="36134" s="1"/>
  <c r="V305" i="36134"/>
  <c r="K306" i="36134"/>
  <c r="R306" i="36134"/>
  <c r="U306" i="36134"/>
  <c r="W306" i="36134" s="1"/>
  <c r="V306" i="36134"/>
  <c r="K307" i="36134"/>
  <c r="N307" i="36134" s="1"/>
  <c r="U307" i="36134" s="1"/>
  <c r="W307" i="36134" s="1"/>
  <c r="Q307" i="36134"/>
  <c r="R307" i="36134" s="1"/>
  <c r="V307" i="36134"/>
  <c r="K308" i="36134"/>
  <c r="N308" i="36134" s="1"/>
  <c r="U308" i="36134" s="1"/>
  <c r="W308" i="36134" s="1"/>
  <c r="Q308" i="36134"/>
  <c r="R308" i="36134" s="1"/>
  <c r="V308" i="36134"/>
  <c r="K309" i="36134"/>
  <c r="N309" i="36134" s="1"/>
  <c r="U309" i="36134" s="1"/>
  <c r="W309" i="36134" s="1"/>
  <c r="R309" i="36134"/>
  <c r="V309" i="36134"/>
  <c r="K310" i="36134"/>
  <c r="N310" i="36134" s="1"/>
  <c r="U310" i="36134" s="1"/>
  <c r="W310" i="36134" s="1"/>
  <c r="R310" i="36134"/>
  <c r="V310" i="36134"/>
  <c r="K311" i="36134"/>
  <c r="N311" i="36134" s="1"/>
  <c r="U311" i="36134" s="1"/>
  <c r="W311" i="36134" s="1"/>
  <c r="Q311" i="36134"/>
  <c r="R311" i="36134" s="1"/>
  <c r="V311" i="36134"/>
  <c r="K312" i="36134"/>
  <c r="N312" i="36134" s="1"/>
  <c r="U312" i="36134" s="1"/>
  <c r="W312" i="36134" s="1"/>
  <c r="R312" i="36134"/>
  <c r="V312" i="36134"/>
  <c r="K313" i="36134"/>
  <c r="N313" i="36134" s="1"/>
  <c r="U313" i="36134" s="1"/>
  <c r="W313" i="36134" s="1"/>
  <c r="R313" i="36134"/>
  <c r="V313" i="36134"/>
  <c r="K314" i="36134"/>
  <c r="N314" i="36134"/>
  <c r="U314" i="36134" s="1"/>
  <c r="W314" i="36134" s="1"/>
  <c r="R314" i="36134"/>
  <c r="V314" i="36134"/>
  <c r="K315" i="36134"/>
  <c r="N315" i="36134" s="1"/>
  <c r="U315" i="36134" s="1"/>
  <c r="W315" i="36134" s="1"/>
  <c r="R315" i="36134"/>
  <c r="V315" i="36134"/>
  <c r="K316" i="36134"/>
  <c r="N316" i="36134" s="1"/>
  <c r="U316" i="36134" s="1"/>
  <c r="W316" i="36134" s="1"/>
  <c r="Q316" i="36134"/>
  <c r="R316" i="36134" s="1"/>
  <c r="V316" i="36134"/>
  <c r="K317" i="36134"/>
  <c r="N317" i="36134"/>
  <c r="U317" i="36134" s="1"/>
  <c r="W317" i="36134" s="1"/>
  <c r="Q317" i="36134"/>
  <c r="R317" i="36134" s="1"/>
  <c r="V317" i="36134"/>
  <c r="K318" i="36134"/>
  <c r="N318" i="36134" s="1"/>
  <c r="U318" i="36134" s="1"/>
  <c r="W318" i="36134" s="1"/>
  <c r="Q318" i="36134"/>
  <c r="R318" i="36134"/>
  <c r="V318" i="36134"/>
  <c r="K319" i="36134"/>
  <c r="N319" i="36134" s="1"/>
  <c r="U319" i="36134"/>
  <c r="W319" i="36134" s="1"/>
  <c r="R319" i="36134"/>
  <c r="V319" i="36134"/>
  <c r="K320" i="36134"/>
  <c r="N320" i="36134" s="1"/>
  <c r="U320" i="36134" s="1"/>
  <c r="W320" i="36134" s="1"/>
  <c r="Q320" i="36134"/>
  <c r="R320" i="36134" s="1"/>
  <c r="V320" i="36134"/>
  <c r="K321" i="36134"/>
  <c r="R321" i="36134"/>
  <c r="U321" i="36134"/>
  <c r="W321" i="36134" s="1"/>
  <c r="V321" i="36134"/>
  <c r="K322" i="36134"/>
  <c r="N322" i="36134" s="1"/>
  <c r="U322" i="36134" s="1"/>
  <c r="W322" i="36134" s="1"/>
  <c r="Q322" i="36134"/>
  <c r="R322" i="36134" s="1"/>
  <c r="V322" i="36134"/>
  <c r="K323" i="36134"/>
  <c r="R323" i="36134"/>
  <c r="U323" i="36134"/>
  <c r="W323" i="36134" s="1"/>
  <c r="V323" i="36134"/>
  <c r="K324" i="36134"/>
  <c r="N324" i="36134" s="1"/>
  <c r="U324" i="36134" s="1"/>
  <c r="W324" i="36134" s="1"/>
  <c r="Q324" i="36134"/>
  <c r="R324" i="36134" s="1"/>
  <c r="V324" i="36134"/>
  <c r="K325" i="36134"/>
  <c r="N325" i="36134" s="1"/>
  <c r="U325" i="36134" s="1"/>
  <c r="W325" i="36134" s="1"/>
  <c r="Q325" i="36134"/>
  <c r="R325" i="36134" s="1"/>
  <c r="V325" i="36134"/>
  <c r="K326" i="36134"/>
  <c r="N326" i="36134" s="1"/>
  <c r="U326" i="36134" s="1"/>
  <c r="W326" i="36134" s="1"/>
  <c r="R326" i="36134"/>
  <c r="V326" i="36134"/>
  <c r="K327" i="36134"/>
  <c r="N327" i="36134" s="1"/>
  <c r="U327" i="36134" s="1"/>
  <c r="W327" i="36134" s="1"/>
  <c r="R327" i="36134"/>
  <c r="V327" i="36134"/>
  <c r="K328" i="36134"/>
  <c r="R328" i="36134"/>
  <c r="U328" i="36134"/>
  <c r="W328" i="36134" s="1"/>
  <c r="V328" i="36134"/>
  <c r="K329" i="36134"/>
  <c r="Q329" i="36134"/>
  <c r="R329" i="36134" s="1"/>
  <c r="U329" i="36134"/>
  <c r="W329" i="36134" s="1"/>
  <c r="V329" i="36134"/>
  <c r="K330" i="36134"/>
  <c r="Q330" i="36134"/>
  <c r="R330" i="36134" s="1"/>
  <c r="U330" i="36134"/>
  <c r="W330" i="36134" s="1"/>
  <c r="V330" i="36134"/>
  <c r="K331" i="36134"/>
  <c r="R331" i="36134"/>
  <c r="U331" i="36134"/>
  <c r="W331" i="36134" s="1"/>
  <c r="V331" i="36134"/>
  <c r="K332" i="36134"/>
  <c r="N332" i="36134" s="1"/>
  <c r="U332" i="36134" s="1"/>
  <c r="W332" i="36134" s="1"/>
  <c r="R332" i="36134"/>
  <c r="V332" i="36134"/>
  <c r="K333" i="36134"/>
  <c r="N333" i="36134" s="1"/>
  <c r="U333" i="36134" s="1"/>
  <c r="W333" i="36134" s="1"/>
  <c r="Q333" i="36134"/>
  <c r="R333" i="36134" s="1"/>
  <c r="V333" i="36134"/>
  <c r="K334" i="36134"/>
  <c r="N334" i="36134" s="1"/>
  <c r="U334" i="36134" s="1"/>
  <c r="W334" i="36134" s="1"/>
  <c r="Q334" i="36134"/>
  <c r="R334" i="36134" s="1"/>
  <c r="V334" i="36134"/>
  <c r="K335" i="36134"/>
  <c r="N335" i="36134" s="1"/>
  <c r="U335" i="36134" s="1"/>
  <c r="W335" i="36134" s="1"/>
  <c r="Q335" i="36134"/>
  <c r="R335" i="36134" s="1"/>
  <c r="V335" i="36134"/>
  <c r="K336" i="36134"/>
  <c r="N336" i="36134" s="1"/>
  <c r="U336" i="36134" s="1"/>
  <c r="W336" i="36134" s="1"/>
  <c r="R336" i="36134"/>
  <c r="V336" i="36134"/>
  <c r="K337" i="36134"/>
  <c r="N337" i="36134"/>
  <c r="U337" i="36134" s="1"/>
  <c r="W337" i="36134" s="1"/>
  <c r="R337" i="36134"/>
  <c r="V337" i="36134"/>
  <c r="K338" i="36134"/>
  <c r="N338" i="36134" s="1"/>
  <c r="U338" i="36134" s="1"/>
  <c r="W338" i="36134" s="1"/>
  <c r="Q338" i="36134"/>
  <c r="R338" i="36134" s="1"/>
  <c r="V338" i="36134"/>
  <c r="K339" i="36134"/>
  <c r="N339" i="36134" s="1"/>
  <c r="U339" i="36134" s="1"/>
  <c r="W339" i="36134" s="1"/>
  <c r="R339" i="36134"/>
  <c r="V339" i="36134"/>
  <c r="K340" i="36134"/>
  <c r="N340" i="36134" s="1"/>
  <c r="U340" i="36134" s="1"/>
  <c r="W340" i="36134" s="1"/>
  <c r="Q340" i="36134"/>
  <c r="R340" i="36134" s="1"/>
  <c r="V340" i="36134"/>
  <c r="K341" i="36134"/>
  <c r="N341" i="36134" s="1"/>
  <c r="U341" i="36134" s="1"/>
  <c r="W341" i="36134" s="1"/>
  <c r="Q341" i="36134"/>
  <c r="R341" i="36134" s="1"/>
  <c r="V341" i="36134"/>
  <c r="K342" i="36134"/>
  <c r="N342" i="36134" s="1"/>
  <c r="U342" i="36134" s="1"/>
  <c r="W342" i="36134" s="1"/>
  <c r="Q342" i="36134"/>
  <c r="R342" i="36134" s="1"/>
  <c r="V342" i="36134"/>
  <c r="K343" i="36134"/>
  <c r="N343" i="36134" s="1"/>
  <c r="U343" i="36134" s="1"/>
  <c r="W343" i="36134" s="1"/>
  <c r="Q343" i="36134"/>
  <c r="R343" i="36134"/>
  <c r="V343" i="36134"/>
  <c r="K344" i="36134"/>
  <c r="N344" i="36134" s="1"/>
  <c r="U344" i="36134" s="1"/>
  <c r="W344" i="36134" s="1"/>
  <c r="Q344" i="36134"/>
  <c r="R344" i="36134" s="1"/>
  <c r="V344" i="36134"/>
  <c r="K345" i="36134"/>
  <c r="N345" i="36134" s="1"/>
  <c r="U345" i="36134" s="1"/>
  <c r="W345" i="36134" s="1"/>
  <c r="Q345" i="36134"/>
  <c r="R345" i="36134" s="1"/>
  <c r="V345" i="36134"/>
  <c r="J346" i="36134"/>
  <c r="N346" i="36134"/>
  <c r="U346" i="36134" s="1"/>
  <c r="W346" i="36134" s="1"/>
  <c r="Q346" i="36134"/>
  <c r="R346" i="36134" s="1"/>
  <c r="V346" i="36134"/>
  <c r="J347" i="36134"/>
  <c r="N347" i="36134"/>
  <c r="U347" i="36134" s="1"/>
  <c r="W347" i="36134" s="1"/>
  <c r="Q347" i="36134"/>
  <c r="R347" i="36134"/>
  <c r="V347" i="36134"/>
  <c r="K348" i="36134"/>
  <c r="N348" i="36134" s="1"/>
  <c r="U348" i="36134" s="1"/>
  <c r="W348" i="36134" s="1"/>
  <c r="R348" i="36134"/>
  <c r="V348" i="36134"/>
  <c r="K349" i="36134"/>
  <c r="N349" i="36134" s="1"/>
  <c r="U349" i="36134" s="1"/>
  <c r="W349" i="36134" s="1"/>
  <c r="R349" i="36134"/>
  <c r="V349" i="36134"/>
  <c r="K350" i="36134"/>
  <c r="N350" i="36134" s="1"/>
  <c r="U350" i="36134" s="1"/>
  <c r="W350" i="36134" s="1"/>
  <c r="R350" i="36134"/>
  <c r="V350" i="36134"/>
  <c r="K351" i="36134"/>
  <c r="N351" i="36134" s="1"/>
  <c r="U351" i="36134" s="1"/>
  <c r="W351" i="36134" s="1"/>
  <c r="Q351" i="36134"/>
  <c r="R351" i="36134" s="1"/>
  <c r="V351" i="36134"/>
  <c r="J352" i="36134"/>
  <c r="N352" i="36134"/>
  <c r="U352" i="36134" s="1"/>
  <c r="W352" i="36134" s="1"/>
  <c r="Q352" i="36134"/>
  <c r="R352" i="36134" s="1"/>
  <c r="V352" i="36134"/>
  <c r="J353" i="36134"/>
  <c r="N353" i="36134"/>
  <c r="U353" i="36134" s="1"/>
  <c r="W353" i="36134" s="1"/>
  <c r="Q353" i="36134"/>
  <c r="R353" i="36134" s="1"/>
  <c r="V353" i="36134"/>
  <c r="J354" i="36134"/>
  <c r="N354" i="36134"/>
  <c r="U354" i="36134" s="1"/>
  <c r="W354" i="36134" s="1"/>
  <c r="Q354" i="36134"/>
  <c r="R354" i="36134" s="1"/>
  <c r="V354" i="36134"/>
  <c r="K355" i="36134"/>
  <c r="N355" i="36134" s="1"/>
  <c r="U355" i="36134" s="1"/>
  <c r="W355" i="36134" s="1"/>
  <c r="R355" i="36134"/>
  <c r="V355" i="36134"/>
  <c r="K356" i="36134"/>
  <c r="N356" i="36134" s="1"/>
  <c r="U356" i="36134" s="1"/>
  <c r="W356" i="36134" s="1"/>
  <c r="R356" i="36134"/>
  <c r="V356" i="36134"/>
  <c r="K357" i="36134"/>
  <c r="N357" i="36134" s="1"/>
  <c r="U357" i="36134" s="1"/>
  <c r="W357" i="36134" s="1"/>
  <c r="Q357" i="36134"/>
  <c r="R357" i="36134" s="1"/>
  <c r="V357" i="36134"/>
  <c r="K358" i="36134"/>
  <c r="N358" i="36134" s="1"/>
  <c r="U358" i="36134" s="1"/>
  <c r="W358" i="36134" s="1"/>
  <c r="Q358" i="36134"/>
  <c r="R358" i="36134" s="1"/>
  <c r="V358" i="36134"/>
  <c r="K359" i="36134"/>
  <c r="N359" i="36134" s="1"/>
  <c r="U359" i="36134" s="1"/>
  <c r="W359" i="36134" s="1"/>
  <c r="Q359" i="36134"/>
  <c r="R359" i="36134" s="1"/>
  <c r="V359" i="36134"/>
  <c r="K360" i="36134"/>
  <c r="N360" i="36134" s="1"/>
  <c r="U360" i="36134" s="1"/>
  <c r="W360" i="36134" s="1"/>
  <c r="Q360" i="36134"/>
  <c r="R360" i="36134" s="1"/>
  <c r="V360" i="36134"/>
  <c r="K361" i="36134"/>
  <c r="N361" i="36134" s="1"/>
  <c r="U361" i="36134" s="1"/>
  <c r="W361" i="36134" s="1"/>
  <c r="R361" i="36134"/>
  <c r="V361" i="36134"/>
  <c r="K362" i="36134"/>
  <c r="N362" i="36134" s="1"/>
  <c r="U362" i="36134" s="1"/>
  <c r="W362" i="36134" s="1"/>
  <c r="Q362" i="36134"/>
  <c r="R362" i="36134" s="1"/>
  <c r="V362" i="36134"/>
  <c r="K363" i="36134"/>
  <c r="N363" i="36134" s="1"/>
  <c r="U363" i="36134" s="1"/>
  <c r="W363" i="36134" s="1"/>
  <c r="Q363" i="36134"/>
  <c r="R363" i="36134" s="1"/>
  <c r="V363" i="36134"/>
  <c r="K364" i="36134"/>
  <c r="N364" i="36134" s="1"/>
  <c r="U364" i="36134" s="1"/>
  <c r="W364" i="36134" s="1"/>
  <c r="Q364" i="36134"/>
  <c r="R364" i="36134" s="1"/>
  <c r="V364" i="36134"/>
  <c r="K365" i="36134"/>
  <c r="N365" i="36134" s="1"/>
  <c r="U365" i="36134" s="1"/>
  <c r="W365" i="36134" s="1"/>
  <c r="Q365" i="36134"/>
  <c r="R365" i="36134" s="1"/>
  <c r="V365" i="36134"/>
  <c r="K366" i="36134"/>
  <c r="N366" i="36134" s="1"/>
  <c r="U366" i="36134" s="1"/>
  <c r="W366" i="36134" s="1"/>
  <c r="Q366" i="36134"/>
  <c r="R366" i="36134" s="1"/>
  <c r="V366" i="36134"/>
  <c r="K367" i="36134"/>
  <c r="N367" i="36134" s="1"/>
  <c r="U367" i="36134" s="1"/>
  <c r="W367" i="36134" s="1"/>
  <c r="Q367" i="36134"/>
  <c r="R367" i="36134" s="1"/>
  <c r="V367" i="36134"/>
  <c r="K368" i="36134"/>
  <c r="N368" i="36134"/>
  <c r="U368" i="36134" s="1"/>
  <c r="W368" i="36134" s="1"/>
  <c r="Q368" i="36134"/>
  <c r="R368" i="36134" s="1"/>
  <c r="V368" i="36134"/>
  <c r="K369" i="36134"/>
  <c r="N369" i="36134" s="1"/>
  <c r="U369" i="36134" s="1"/>
  <c r="W369" i="36134" s="1"/>
  <c r="Q369" i="36134"/>
  <c r="R369" i="36134" s="1"/>
  <c r="V369" i="36134"/>
  <c r="N370" i="36134"/>
  <c r="U370" i="36134" s="1"/>
  <c r="W370" i="36134" s="1"/>
  <c r="Q370" i="36134"/>
  <c r="R370" i="36134" s="1"/>
  <c r="V370" i="36134"/>
  <c r="N371" i="36134"/>
  <c r="U371" i="36134" s="1"/>
  <c r="W371" i="36134" s="1"/>
  <c r="Q371" i="36134"/>
  <c r="R371" i="36134" s="1"/>
  <c r="V371" i="36134"/>
  <c r="J372" i="36134"/>
  <c r="N372" i="36134"/>
  <c r="U372" i="36134" s="1"/>
  <c r="W372" i="36134" s="1"/>
  <c r="Q372" i="36134"/>
  <c r="R372" i="36134" s="1"/>
  <c r="V372" i="36134"/>
  <c r="N373" i="36134"/>
  <c r="U373" i="36134" s="1"/>
  <c r="W373" i="36134" s="1"/>
  <c r="Q373" i="36134"/>
  <c r="R373" i="36134" s="1"/>
  <c r="V373" i="36134"/>
  <c r="N374" i="36134"/>
  <c r="U374" i="36134" s="1"/>
  <c r="W374" i="36134" s="1"/>
  <c r="Q374" i="36134"/>
  <c r="R374" i="36134" s="1"/>
  <c r="V374" i="36134"/>
  <c r="N375" i="36134"/>
  <c r="U375" i="36134" s="1"/>
  <c r="W375" i="36134" s="1"/>
  <c r="Q375" i="36134"/>
  <c r="R375" i="36134" s="1"/>
  <c r="V375" i="36134"/>
  <c r="J376" i="36134"/>
  <c r="N376" i="36134"/>
  <c r="U376" i="36134" s="1"/>
  <c r="W376" i="36134" s="1"/>
  <c r="Q376" i="36134"/>
  <c r="R376" i="36134" s="1"/>
  <c r="V376" i="36134"/>
  <c r="J377" i="36134"/>
  <c r="N377" i="36134"/>
  <c r="U377" i="36134" s="1"/>
  <c r="W377" i="36134" s="1"/>
  <c r="Q377" i="36134"/>
  <c r="R377" i="36134" s="1"/>
  <c r="V377" i="36134"/>
  <c r="J378" i="36134"/>
  <c r="N378" i="36134"/>
  <c r="U378" i="36134" s="1"/>
  <c r="W378" i="36134" s="1"/>
  <c r="Q378" i="36134"/>
  <c r="R378" i="36134" s="1"/>
  <c r="V378" i="36134"/>
  <c r="K379" i="36134"/>
  <c r="N379" i="36134" s="1"/>
  <c r="U379" i="36134" s="1"/>
  <c r="W379" i="36134" s="1"/>
  <c r="R379" i="36134"/>
  <c r="V379" i="36134"/>
  <c r="K380" i="36134"/>
  <c r="N380" i="36134" s="1"/>
  <c r="U380" i="36134" s="1"/>
  <c r="W380" i="36134" s="1"/>
  <c r="R380" i="36134"/>
  <c r="V380" i="36134"/>
  <c r="K381" i="36134"/>
  <c r="N381" i="36134" s="1"/>
  <c r="U381" i="36134" s="1"/>
  <c r="W381" i="36134" s="1"/>
  <c r="R381" i="36134"/>
  <c r="V381" i="36134"/>
  <c r="K382" i="36134"/>
  <c r="N382" i="36134" s="1"/>
  <c r="U382" i="36134" s="1"/>
  <c r="W382" i="36134" s="1"/>
  <c r="R382" i="36134"/>
  <c r="V382" i="36134"/>
  <c r="K383" i="36134"/>
  <c r="N383" i="36134" s="1"/>
  <c r="U383" i="36134" s="1"/>
  <c r="W383" i="36134" s="1"/>
  <c r="R383" i="36134"/>
  <c r="V383" i="36134"/>
  <c r="K384" i="36134"/>
  <c r="N384" i="36134" s="1"/>
  <c r="U384" i="36134" s="1"/>
  <c r="W384" i="36134" s="1"/>
  <c r="R384" i="36134"/>
  <c r="V384" i="36134"/>
  <c r="K385" i="36134"/>
  <c r="N385" i="36134" s="1"/>
  <c r="U385" i="36134" s="1"/>
  <c r="W385" i="36134" s="1"/>
  <c r="R385" i="36134"/>
  <c r="V385" i="36134"/>
  <c r="K386" i="36134"/>
  <c r="N386" i="36134" s="1"/>
  <c r="U386" i="36134" s="1"/>
  <c r="W386" i="36134" s="1"/>
  <c r="R386" i="36134"/>
  <c r="V386" i="36134"/>
  <c r="K387" i="36134"/>
  <c r="N387" i="36134" s="1"/>
  <c r="U387" i="36134" s="1"/>
  <c r="W387" i="36134" s="1"/>
  <c r="R387" i="36134"/>
  <c r="V387" i="36134"/>
  <c r="K388" i="36134"/>
  <c r="N388" i="36134" s="1"/>
  <c r="U388" i="36134" s="1"/>
  <c r="W388" i="36134" s="1"/>
  <c r="R388" i="36134"/>
  <c r="V388" i="36134"/>
  <c r="K389" i="36134"/>
  <c r="N389" i="36134" s="1"/>
  <c r="U389" i="36134" s="1"/>
  <c r="W389" i="36134" s="1"/>
  <c r="R389" i="36134"/>
  <c r="V389" i="36134"/>
  <c r="K390" i="36134"/>
  <c r="N390" i="36134" s="1"/>
  <c r="U390" i="36134" s="1"/>
  <c r="W390" i="36134" s="1"/>
  <c r="R390" i="36134"/>
  <c r="V390" i="36134"/>
  <c r="K391" i="36134"/>
  <c r="N391" i="36134"/>
  <c r="U391" i="36134" s="1"/>
  <c r="W391" i="36134" s="1"/>
  <c r="R391" i="36134"/>
  <c r="V391" i="36134"/>
  <c r="K392" i="36134"/>
  <c r="N392" i="36134" s="1"/>
  <c r="U392" i="36134" s="1"/>
  <c r="W392" i="36134" s="1"/>
  <c r="R392" i="36134"/>
  <c r="V392" i="36134"/>
  <c r="K393" i="36134"/>
  <c r="N393" i="36134" s="1"/>
  <c r="U393" i="36134" s="1"/>
  <c r="W393" i="36134" s="1"/>
  <c r="R393" i="36134"/>
  <c r="V393" i="36134"/>
  <c r="K394" i="36134"/>
  <c r="N394" i="36134" s="1"/>
  <c r="U394" i="36134" s="1"/>
  <c r="W394" i="36134" s="1"/>
  <c r="R394" i="36134"/>
  <c r="V394" i="36134"/>
  <c r="K395" i="36134"/>
  <c r="N395" i="36134" s="1"/>
  <c r="U395" i="36134" s="1"/>
  <c r="W395" i="36134" s="1"/>
  <c r="R395" i="36134"/>
  <c r="V395" i="36134"/>
  <c r="K396" i="36134"/>
  <c r="N396" i="36134" s="1"/>
  <c r="U396" i="36134" s="1"/>
  <c r="W396" i="36134" s="1"/>
  <c r="R396" i="36134"/>
  <c r="V396" i="36134"/>
  <c r="K397" i="36134"/>
  <c r="N397" i="36134" s="1"/>
  <c r="U397" i="36134" s="1"/>
  <c r="W397" i="36134" s="1"/>
  <c r="R397" i="36134"/>
  <c r="V397" i="36134"/>
  <c r="K398" i="36134"/>
  <c r="N398" i="36134"/>
  <c r="U398" i="36134" s="1"/>
  <c r="W398" i="36134" s="1"/>
  <c r="R398" i="36134"/>
  <c r="V398" i="36134"/>
  <c r="K399" i="36134"/>
  <c r="N399" i="36134" s="1"/>
  <c r="U399" i="36134" s="1"/>
  <c r="W399" i="36134" s="1"/>
  <c r="R399" i="36134"/>
  <c r="V399" i="36134"/>
  <c r="K400" i="36134"/>
  <c r="N400" i="36134" s="1"/>
  <c r="U400" i="36134" s="1"/>
  <c r="W400" i="36134" s="1"/>
  <c r="R400" i="36134"/>
  <c r="V400" i="36134"/>
  <c r="K401" i="36134"/>
  <c r="N401" i="36134" s="1"/>
  <c r="U401" i="36134" s="1"/>
  <c r="W401" i="36134" s="1"/>
  <c r="R401" i="36134"/>
  <c r="V401" i="36134"/>
  <c r="K402" i="36134"/>
  <c r="N402" i="36134" s="1"/>
  <c r="U402" i="36134" s="1"/>
  <c r="W402" i="36134" s="1"/>
  <c r="R402" i="36134"/>
  <c r="V402" i="36134"/>
  <c r="K403" i="36134"/>
  <c r="N403" i="36134" s="1"/>
  <c r="U403" i="36134" s="1"/>
  <c r="W403" i="36134" s="1"/>
  <c r="R403" i="36134"/>
  <c r="V403" i="36134"/>
  <c r="K404" i="36134"/>
  <c r="N404" i="36134" s="1"/>
  <c r="U404" i="36134" s="1"/>
  <c r="W404" i="36134" s="1"/>
  <c r="R404" i="36134"/>
  <c r="V404" i="36134"/>
  <c r="K405" i="36134"/>
  <c r="N405" i="36134" s="1"/>
  <c r="U405" i="36134" s="1"/>
  <c r="W405" i="36134" s="1"/>
  <c r="R405" i="36134"/>
  <c r="V405" i="36134"/>
  <c r="K406" i="36134"/>
  <c r="N406" i="36134" s="1"/>
  <c r="U406" i="36134" s="1"/>
  <c r="W406" i="36134" s="1"/>
  <c r="R406" i="36134"/>
  <c r="V406" i="36134"/>
  <c r="K407" i="36134"/>
  <c r="N407" i="36134" s="1"/>
  <c r="U407" i="36134" s="1"/>
  <c r="W407" i="36134" s="1"/>
  <c r="R407" i="36134"/>
  <c r="V407" i="36134"/>
  <c r="K408" i="36134"/>
  <c r="N408" i="36134" s="1"/>
  <c r="U408" i="36134" s="1"/>
  <c r="W408" i="36134" s="1"/>
  <c r="R408" i="36134"/>
  <c r="V408" i="36134"/>
  <c r="K409" i="36134"/>
  <c r="N409" i="36134" s="1"/>
  <c r="U409" i="36134" s="1"/>
  <c r="W409" i="36134" s="1"/>
  <c r="R409" i="36134"/>
  <c r="V409" i="36134"/>
  <c r="K410" i="36134"/>
  <c r="N410" i="36134" s="1"/>
  <c r="U410" i="36134" s="1"/>
  <c r="W410" i="36134" s="1"/>
  <c r="R410" i="36134"/>
  <c r="V410" i="36134"/>
  <c r="K411" i="36134"/>
  <c r="N411" i="36134" s="1"/>
  <c r="U411" i="36134" s="1"/>
  <c r="W411" i="36134" s="1"/>
  <c r="R411" i="36134"/>
  <c r="V411" i="36134"/>
  <c r="K412" i="36134"/>
  <c r="N412" i="36134" s="1"/>
  <c r="U412" i="36134" s="1"/>
  <c r="W412" i="36134" s="1"/>
  <c r="R412" i="36134"/>
  <c r="V412" i="36134"/>
  <c r="K413" i="36134"/>
  <c r="N413" i="36134" s="1"/>
  <c r="U413" i="36134" s="1"/>
  <c r="W413" i="36134" s="1"/>
  <c r="R413" i="36134"/>
  <c r="V413" i="36134"/>
  <c r="K414" i="36134"/>
  <c r="N414" i="36134"/>
  <c r="U414" i="36134" s="1"/>
  <c r="W414" i="36134" s="1"/>
  <c r="R414" i="36134"/>
  <c r="V414" i="36134"/>
  <c r="K415" i="36134"/>
  <c r="N415" i="36134" s="1"/>
  <c r="U415" i="36134" s="1"/>
  <c r="W415" i="36134" s="1"/>
  <c r="R415" i="36134"/>
  <c r="V415" i="36134"/>
  <c r="K416" i="36134"/>
  <c r="N416" i="36134" s="1"/>
  <c r="U416" i="36134" s="1"/>
  <c r="W416" i="36134" s="1"/>
  <c r="R416" i="36134"/>
  <c r="V416" i="36134"/>
  <c r="K417" i="36134"/>
  <c r="N417" i="36134" s="1"/>
  <c r="U417" i="36134" s="1"/>
  <c r="W417" i="36134" s="1"/>
  <c r="R417" i="36134"/>
  <c r="V417" i="36134"/>
  <c r="K418" i="36134"/>
  <c r="N418" i="36134" s="1"/>
  <c r="U418" i="36134" s="1"/>
  <c r="W418" i="36134" s="1"/>
  <c r="R418" i="36134"/>
  <c r="V418" i="36134"/>
  <c r="K419" i="36134"/>
  <c r="N419" i="36134" s="1"/>
  <c r="U419" i="36134" s="1"/>
  <c r="W419" i="36134" s="1"/>
  <c r="R419" i="36134"/>
  <c r="V419" i="36134"/>
  <c r="K420" i="36134"/>
  <c r="N420" i="36134" s="1"/>
  <c r="U420" i="36134" s="1"/>
  <c r="W420" i="36134" s="1"/>
  <c r="R420" i="36134"/>
  <c r="V420" i="36134"/>
  <c r="K421" i="36134"/>
  <c r="N421" i="36134" s="1"/>
  <c r="U421" i="36134" s="1"/>
  <c r="W421" i="36134" s="1"/>
  <c r="R421" i="36134"/>
  <c r="V421" i="36134"/>
  <c r="K422" i="36134"/>
  <c r="N422" i="36134" s="1"/>
  <c r="U422" i="36134" s="1"/>
  <c r="W422" i="36134" s="1"/>
  <c r="R422" i="36134"/>
  <c r="V422" i="36134"/>
  <c r="K423" i="36134"/>
  <c r="N423" i="36134" s="1"/>
  <c r="U423" i="36134" s="1"/>
  <c r="W423" i="36134" s="1"/>
  <c r="R423" i="36134"/>
  <c r="V423" i="36134"/>
  <c r="K424" i="36134"/>
  <c r="N424" i="36134" s="1"/>
  <c r="U424" i="36134" s="1"/>
  <c r="W424" i="36134" s="1"/>
  <c r="R424" i="36134"/>
  <c r="V424" i="36134"/>
  <c r="K425" i="36134"/>
  <c r="N425" i="36134" s="1"/>
  <c r="U425" i="36134" s="1"/>
  <c r="W425" i="36134" s="1"/>
  <c r="R425" i="36134"/>
  <c r="V425" i="36134"/>
  <c r="K426" i="36134"/>
  <c r="N426" i="36134" s="1"/>
  <c r="U426" i="36134" s="1"/>
  <c r="W426" i="36134" s="1"/>
  <c r="R426" i="36134"/>
  <c r="V426" i="36134"/>
  <c r="K427" i="36134"/>
  <c r="N427" i="36134" s="1"/>
  <c r="U427" i="36134" s="1"/>
  <c r="W427" i="36134" s="1"/>
  <c r="R427" i="36134"/>
  <c r="V427" i="36134"/>
  <c r="K428" i="36134"/>
  <c r="N428" i="36134" s="1"/>
  <c r="U428" i="36134" s="1"/>
  <c r="W428" i="36134" s="1"/>
  <c r="Q428" i="36134"/>
  <c r="R428" i="36134" s="1"/>
  <c r="V428" i="36134"/>
  <c r="K429" i="36134"/>
  <c r="N429" i="36134" s="1"/>
  <c r="U429" i="36134" s="1"/>
  <c r="W429" i="36134" s="1"/>
  <c r="Q429" i="36134"/>
  <c r="R429" i="36134" s="1"/>
  <c r="V429" i="36134"/>
  <c r="K430" i="36134"/>
  <c r="N430" i="36134" s="1"/>
  <c r="U430" i="36134" s="1"/>
  <c r="W430" i="36134" s="1"/>
  <c r="Q430" i="36134"/>
  <c r="R430" i="36134" s="1"/>
  <c r="V430" i="36134"/>
  <c r="K431" i="36134"/>
  <c r="N431" i="36134" s="1"/>
  <c r="U431" i="36134" s="1"/>
  <c r="W431" i="36134" s="1"/>
  <c r="Q431" i="36134"/>
  <c r="R431" i="36134" s="1"/>
  <c r="V431" i="36134"/>
  <c r="K432" i="36134"/>
  <c r="N432" i="36134" s="1"/>
  <c r="U432" i="36134" s="1"/>
  <c r="W432" i="36134" s="1"/>
  <c r="Q432" i="36134"/>
  <c r="R432" i="36134" s="1"/>
  <c r="V432" i="36134"/>
  <c r="K433" i="36134"/>
  <c r="N433" i="36134" s="1"/>
  <c r="U433" i="36134" s="1"/>
  <c r="W433" i="36134" s="1"/>
  <c r="R433" i="36134"/>
  <c r="V433" i="36134"/>
  <c r="K434" i="36134"/>
  <c r="N434" i="36134" s="1"/>
  <c r="U434" i="36134" s="1"/>
  <c r="W434" i="36134" s="1"/>
  <c r="R434" i="36134"/>
  <c r="V434" i="36134"/>
  <c r="H435" i="36134"/>
  <c r="K435" i="36134"/>
  <c r="N435" i="36134" s="1"/>
  <c r="U435" i="36134" s="1"/>
  <c r="W435" i="36134" s="1"/>
  <c r="R435" i="36134"/>
  <c r="V435" i="36134"/>
  <c r="J436" i="36134"/>
  <c r="N436" i="36134"/>
  <c r="U436" i="36134" s="1"/>
  <c r="W436" i="36134" s="1"/>
  <c r="R436" i="36134"/>
  <c r="V436" i="36134"/>
  <c r="N437" i="36134"/>
  <c r="U437" i="36134" s="1"/>
  <c r="W437" i="36134" s="1"/>
  <c r="R437" i="36134"/>
  <c r="V437" i="36134"/>
  <c r="K438" i="36134"/>
  <c r="N438" i="36134" s="1"/>
  <c r="U438" i="36134" s="1"/>
  <c r="W438" i="36134" s="1"/>
  <c r="R438" i="36134"/>
  <c r="V438" i="36134"/>
  <c r="K439" i="36134"/>
  <c r="N439" i="36134" s="1"/>
  <c r="U439" i="36134" s="1"/>
  <c r="W439" i="36134" s="1"/>
  <c r="R439" i="36134"/>
  <c r="V439" i="36134"/>
  <c r="J440" i="36134"/>
  <c r="N440" i="36134"/>
  <c r="U440" i="36134" s="1"/>
  <c r="W440" i="36134" s="1"/>
  <c r="R440" i="36134"/>
  <c r="V440" i="36134"/>
  <c r="J441" i="36134"/>
  <c r="N441" i="36134"/>
  <c r="U441" i="36134" s="1"/>
  <c r="W441" i="36134" s="1"/>
  <c r="R441" i="36134"/>
  <c r="V441" i="36134"/>
  <c r="J442" i="36134"/>
  <c r="N442" i="36134"/>
  <c r="U442" i="36134" s="1"/>
  <c r="W442" i="36134" s="1"/>
  <c r="R442" i="36134"/>
  <c r="V442" i="36134"/>
  <c r="N443" i="36134"/>
  <c r="U443" i="36134" s="1"/>
  <c r="W443" i="36134" s="1"/>
  <c r="R443" i="36134"/>
  <c r="V443" i="36134"/>
  <c r="J444" i="36134"/>
  <c r="N444" i="36134"/>
  <c r="U444" i="36134" s="1"/>
  <c r="W444" i="36134" s="1"/>
  <c r="Q444" i="36134"/>
  <c r="R444" i="36134" s="1"/>
  <c r="V444" i="36134"/>
  <c r="J445" i="36134"/>
  <c r="N445" i="36134"/>
  <c r="U445" i="36134" s="1"/>
  <c r="W445" i="36134" s="1"/>
  <c r="R445" i="36134"/>
  <c r="V445" i="36134"/>
  <c r="J446" i="36134"/>
  <c r="N446" i="36134"/>
  <c r="U446" i="36134" s="1"/>
  <c r="W446" i="36134" s="1"/>
  <c r="R446" i="36134"/>
  <c r="V446" i="36134"/>
  <c r="J447" i="36134"/>
  <c r="N447" i="36134"/>
  <c r="U447" i="36134" s="1"/>
  <c r="W447" i="36134" s="1"/>
  <c r="R447" i="36134"/>
  <c r="V447" i="36134"/>
  <c r="J448" i="36134"/>
  <c r="N448" i="36134"/>
  <c r="U448" i="36134" s="1"/>
  <c r="W448" i="36134" s="1"/>
  <c r="R448" i="36134"/>
  <c r="V448" i="36134"/>
  <c r="J449" i="36134"/>
  <c r="N449" i="36134"/>
  <c r="U449" i="36134" s="1"/>
  <c r="W449" i="36134" s="1"/>
  <c r="R449" i="36134"/>
  <c r="V449" i="36134"/>
  <c r="J450" i="36134"/>
  <c r="N450" i="36134"/>
  <c r="U450" i="36134" s="1"/>
  <c r="W450" i="36134" s="1"/>
  <c r="R450" i="36134"/>
  <c r="V450" i="36134"/>
  <c r="J451" i="36134"/>
  <c r="N451" i="36134"/>
  <c r="U451" i="36134" s="1"/>
  <c r="W451" i="36134" s="1"/>
  <c r="R451" i="36134"/>
  <c r="V451" i="36134"/>
  <c r="J452" i="36134"/>
  <c r="N452" i="36134"/>
  <c r="U452" i="36134" s="1"/>
  <c r="W452" i="36134" s="1"/>
  <c r="R452" i="36134"/>
  <c r="V452" i="36134"/>
  <c r="J453" i="36134"/>
  <c r="N453" i="36134"/>
  <c r="U453" i="36134"/>
  <c r="W453" i="36134" s="1"/>
  <c r="R453" i="36134"/>
  <c r="V453" i="36134"/>
  <c r="K454" i="36134"/>
  <c r="N454" i="36134" s="1"/>
  <c r="U454" i="36134" s="1"/>
  <c r="W454" i="36134" s="1"/>
  <c r="R454" i="36134"/>
  <c r="V454" i="36134"/>
  <c r="J455" i="36134"/>
  <c r="N455" i="36134"/>
  <c r="U455" i="36134" s="1"/>
  <c r="W455" i="36134" s="1"/>
  <c r="R455" i="36134"/>
  <c r="V455" i="36134"/>
  <c r="J456" i="36134"/>
  <c r="N456" i="36134"/>
  <c r="U456" i="36134" s="1"/>
  <c r="W456" i="36134" s="1"/>
  <c r="R456" i="36134"/>
  <c r="V456" i="36134"/>
  <c r="J457" i="36134"/>
  <c r="N457" i="36134"/>
  <c r="U457" i="36134"/>
  <c r="W457" i="36134" s="1"/>
  <c r="R457" i="36134"/>
  <c r="V457" i="36134"/>
  <c r="J458" i="36134"/>
  <c r="N458" i="36134"/>
  <c r="U458" i="36134" s="1"/>
  <c r="W458" i="36134" s="1"/>
  <c r="R458" i="36134"/>
  <c r="V458" i="36134"/>
  <c r="J459" i="36134"/>
  <c r="N459" i="36134"/>
  <c r="U459" i="36134" s="1"/>
  <c r="W459" i="36134" s="1"/>
  <c r="R459" i="36134"/>
  <c r="V459" i="36134"/>
  <c r="N460" i="36134"/>
  <c r="U460" i="36134" s="1"/>
  <c r="W460" i="36134" s="1"/>
  <c r="Q460" i="36134"/>
  <c r="R460" i="36134" s="1"/>
  <c r="V460" i="36134"/>
  <c r="N461" i="36134"/>
  <c r="U461" i="36134" s="1"/>
  <c r="W461" i="36134" s="1"/>
  <c r="R461" i="36134"/>
  <c r="V461" i="36134"/>
  <c r="N462" i="36134"/>
  <c r="U462" i="36134" s="1"/>
  <c r="W462" i="36134" s="1"/>
  <c r="Q462" i="36134"/>
  <c r="R462" i="36134" s="1"/>
  <c r="V462" i="36134"/>
  <c r="N463" i="36134"/>
  <c r="U463" i="36134" s="1"/>
  <c r="W463" i="36134" s="1"/>
  <c r="Q463" i="36134"/>
  <c r="R463" i="36134" s="1"/>
  <c r="V463" i="36134"/>
  <c r="N464" i="36134"/>
  <c r="U464" i="36134" s="1"/>
  <c r="W464" i="36134" s="1"/>
  <c r="Q464" i="36134"/>
  <c r="R464" i="36134" s="1"/>
  <c r="V464" i="36134"/>
  <c r="N465" i="36134"/>
  <c r="U465" i="36134" s="1"/>
  <c r="W465" i="36134" s="1"/>
  <c r="Q465" i="36134"/>
  <c r="R465" i="36134" s="1"/>
  <c r="V465" i="36134"/>
  <c r="J466" i="36134"/>
  <c r="N466" i="36134"/>
  <c r="U466" i="36134" s="1"/>
  <c r="W466" i="36134" s="1"/>
  <c r="Q466" i="36134"/>
  <c r="R466" i="36134"/>
  <c r="V466" i="36134"/>
  <c r="J467" i="36134"/>
  <c r="N467" i="36134"/>
  <c r="U467" i="36134" s="1"/>
  <c r="W467" i="36134" s="1"/>
  <c r="Q467" i="36134"/>
  <c r="R467" i="36134" s="1"/>
  <c r="V467" i="36134"/>
  <c r="J468" i="36134"/>
  <c r="N468" i="36134"/>
  <c r="U468" i="36134"/>
  <c r="W468" i="36134" s="1"/>
  <c r="Q468" i="36134"/>
  <c r="R468" i="36134" s="1"/>
  <c r="V468" i="36134"/>
  <c r="J469" i="36134"/>
  <c r="N469" i="36134"/>
  <c r="U469" i="36134" s="1"/>
  <c r="W469" i="36134" s="1"/>
  <c r="Q469" i="36134"/>
  <c r="R469" i="36134" s="1"/>
  <c r="V469" i="36134"/>
  <c r="J470" i="36134"/>
  <c r="N470" i="36134"/>
  <c r="U470" i="36134" s="1"/>
  <c r="W470" i="36134" s="1"/>
  <c r="R470" i="36134"/>
  <c r="V470" i="36134"/>
  <c r="J471" i="36134"/>
  <c r="N471" i="36134"/>
  <c r="U471" i="36134" s="1"/>
  <c r="W471" i="36134" s="1"/>
  <c r="R471" i="36134"/>
  <c r="V471" i="36134"/>
  <c r="J472" i="36134"/>
  <c r="N472" i="36134"/>
  <c r="U472" i="36134" s="1"/>
  <c r="W472" i="36134" s="1"/>
  <c r="R472" i="36134"/>
  <c r="V472" i="36134"/>
  <c r="J473" i="36134"/>
  <c r="N473" i="36134"/>
  <c r="U473" i="36134" s="1"/>
  <c r="W473" i="36134" s="1"/>
  <c r="Q473" i="36134"/>
  <c r="R473" i="36134" s="1"/>
  <c r="V473" i="36134"/>
  <c r="K474" i="36134"/>
  <c r="N474" i="36134" s="1"/>
  <c r="Q474" i="36134"/>
  <c r="R474" i="36134" s="1"/>
  <c r="U474" i="36134"/>
  <c r="W474" i="36134" s="1"/>
  <c r="V474" i="36134"/>
  <c r="J475" i="36134"/>
  <c r="N475" i="36134"/>
  <c r="U475" i="36134" s="1"/>
  <c r="W475" i="36134" s="1"/>
  <c r="R475" i="36134"/>
  <c r="V475" i="36134"/>
  <c r="N476" i="36134"/>
  <c r="U476" i="36134" s="1"/>
  <c r="W476" i="36134" s="1"/>
  <c r="Q476" i="36134"/>
  <c r="R476" i="36134" s="1"/>
  <c r="V476" i="36134"/>
  <c r="J477" i="36134"/>
  <c r="N477" i="36134"/>
  <c r="Q477" i="36134"/>
  <c r="R477" i="36134" s="1"/>
  <c r="U477" i="36134"/>
  <c r="W477" i="36134" s="1"/>
  <c r="V477" i="36134"/>
  <c r="J478" i="36134"/>
  <c r="N478" i="36134"/>
  <c r="R478" i="36134"/>
  <c r="U478" i="36134"/>
  <c r="W478" i="36134" s="1"/>
  <c r="V478" i="36134"/>
  <c r="J479" i="36134"/>
  <c r="N479" i="36134"/>
  <c r="U479" i="36134" s="1"/>
  <c r="W479" i="36134" s="1"/>
  <c r="Q479" i="36134"/>
  <c r="R479" i="36134" s="1"/>
  <c r="V479" i="36134"/>
  <c r="J480" i="36134"/>
  <c r="N480" i="36134"/>
  <c r="U480" i="36134" s="1"/>
  <c r="W480" i="36134" s="1"/>
  <c r="Q480" i="36134"/>
  <c r="R480" i="36134" s="1"/>
  <c r="V480" i="36134"/>
  <c r="J481" i="36134"/>
  <c r="N481" i="36134"/>
  <c r="U481" i="36134" s="1"/>
  <c r="W481" i="36134" s="1"/>
  <c r="Q481" i="36134"/>
  <c r="R481" i="36134" s="1"/>
  <c r="V481" i="36134"/>
  <c r="J482" i="36134"/>
  <c r="N482" i="36134"/>
  <c r="U482" i="36134" s="1"/>
  <c r="W482" i="36134" s="1"/>
  <c r="Q482" i="36134"/>
  <c r="R482" i="36134" s="1"/>
  <c r="V482" i="36134"/>
  <c r="K483" i="36134"/>
  <c r="N483" i="36134" s="1"/>
  <c r="U483" i="36134" s="1"/>
  <c r="W483" i="36134" s="1"/>
  <c r="Q483" i="36134"/>
  <c r="R483" i="36134" s="1"/>
  <c r="V483" i="36134"/>
  <c r="K484" i="36134"/>
  <c r="N484" i="36134" s="1"/>
  <c r="U484" i="36134"/>
  <c r="W484" i="36134" s="1"/>
  <c r="Q484" i="36134"/>
  <c r="R484" i="36134" s="1"/>
  <c r="V484" i="36134"/>
  <c r="J485" i="36134"/>
  <c r="N485" i="36134"/>
  <c r="U485" i="36134" s="1"/>
  <c r="W485" i="36134" s="1"/>
  <c r="R485" i="36134"/>
  <c r="V485" i="36134"/>
  <c r="J486" i="36134"/>
  <c r="N486" i="36134"/>
  <c r="U486" i="36134" s="1"/>
  <c r="W486" i="36134" s="1"/>
  <c r="R486" i="36134"/>
  <c r="V486" i="36134"/>
  <c r="J487" i="36134"/>
  <c r="N487" i="36134"/>
  <c r="U487" i="36134" s="1"/>
  <c r="W487" i="36134" s="1"/>
  <c r="R487" i="36134"/>
  <c r="V487" i="36134"/>
  <c r="J488" i="36134"/>
  <c r="N488" i="36134"/>
  <c r="U488" i="36134" s="1"/>
  <c r="W488" i="36134" s="1"/>
  <c r="R488" i="36134"/>
  <c r="V488" i="36134"/>
  <c r="J489" i="36134"/>
  <c r="N489" i="36134"/>
  <c r="U489" i="36134" s="1"/>
  <c r="W489" i="36134" s="1"/>
  <c r="R489" i="36134"/>
  <c r="V489" i="36134"/>
  <c r="J490" i="36134"/>
  <c r="N490" i="36134"/>
  <c r="U490" i="36134" s="1"/>
  <c r="W490" i="36134" s="1"/>
  <c r="R490" i="36134"/>
  <c r="V490" i="36134"/>
  <c r="J491" i="36134"/>
  <c r="N491" i="36134"/>
  <c r="U491" i="36134" s="1"/>
  <c r="W491" i="36134" s="1"/>
  <c r="R491" i="36134"/>
  <c r="V491" i="36134"/>
  <c r="J492" i="36134"/>
  <c r="N492" i="36134"/>
  <c r="U492" i="36134" s="1"/>
  <c r="W492" i="36134" s="1"/>
  <c r="R492" i="36134"/>
  <c r="V492" i="36134"/>
  <c r="J493" i="36134"/>
  <c r="N493" i="36134"/>
  <c r="U493" i="36134" s="1"/>
  <c r="W493" i="36134" s="1"/>
  <c r="R493" i="36134"/>
  <c r="V493" i="36134"/>
  <c r="J494" i="36134"/>
  <c r="N494" i="36134"/>
  <c r="U494" i="36134" s="1"/>
  <c r="W494" i="36134" s="1"/>
  <c r="R494" i="36134"/>
  <c r="V494" i="36134"/>
  <c r="J495" i="36134"/>
  <c r="N495" i="36134"/>
  <c r="U495" i="36134" s="1"/>
  <c r="W495" i="36134" s="1"/>
  <c r="Q495" i="36134"/>
  <c r="R495" i="36134" s="1"/>
  <c r="V495" i="36134"/>
  <c r="J496" i="36134"/>
  <c r="N496" i="36134"/>
  <c r="U496" i="36134" s="1"/>
  <c r="W496" i="36134" s="1"/>
  <c r="Q496" i="36134"/>
  <c r="R496" i="36134" s="1"/>
  <c r="V496" i="36134"/>
  <c r="J497" i="36134"/>
  <c r="N497" i="36134"/>
  <c r="U497" i="36134" s="1"/>
  <c r="W497" i="36134" s="1"/>
  <c r="R497" i="36134"/>
  <c r="V497" i="36134"/>
  <c r="J498" i="36134"/>
  <c r="N498" i="36134"/>
  <c r="U498" i="36134" s="1"/>
  <c r="W498" i="36134" s="1"/>
  <c r="R498" i="36134"/>
  <c r="V498" i="36134"/>
  <c r="J499" i="36134"/>
  <c r="N499" i="36134"/>
  <c r="U499" i="36134" s="1"/>
  <c r="W499" i="36134" s="1"/>
  <c r="Q499" i="36134"/>
  <c r="R499" i="36134" s="1"/>
  <c r="V499" i="36134"/>
  <c r="J500" i="36134"/>
  <c r="N500" i="36134"/>
  <c r="U500" i="36134" s="1"/>
  <c r="W500" i="36134" s="1"/>
  <c r="Q500" i="36134"/>
  <c r="R500" i="36134" s="1"/>
  <c r="V500" i="36134"/>
  <c r="J501" i="36134"/>
  <c r="N501" i="36134"/>
  <c r="U501" i="36134" s="1"/>
  <c r="W501" i="36134" s="1"/>
  <c r="R501" i="36134"/>
  <c r="V501" i="36134"/>
  <c r="K502" i="36134"/>
  <c r="N502" i="36134" s="1"/>
  <c r="Q502" i="36134"/>
  <c r="R502" i="36134" s="1"/>
  <c r="U502" i="36134"/>
  <c r="W502" i="36134" s="1"/>
  <c r="V502" i="36134"/>
  <c r="J503" i="36134"/>
  <c r="N503" i="36134"/>
  <c r="U503" i="36134" s="1"/>
  <c r="W503" i="36134" s="1"/>
  <c r="R503" i="36134"/>
  <c r="V503" i="36134"/>
  <c r="J504" i="36134"/>
  <c r="N504" i="36134"/>
  <c r="U504" i="36134" s="1"/>
  <c r="W504" i="36134" s="1"/>
  <c r="R504" i="36134"/>
  <c r="V504" i="36134"/>
  <c r="J505" i="36134"/>
  <c r="N505" i="36134"/>
  <c r="U505" i="36134" s="1"/>
  <c r="W505" i="36134" s="1"/>
  <c r="R505" i="36134"/>
  <c r="V505" i="36134"/>
  <c r="J506" i="36134"/>
  <c r="N506" i="36134"/>
  <c r="U506" i="36134" s="1"/>
  <c r="W506" i="36134" s="1"/>
  <c r="R506" i="36134"/>
  <c r="V506" i="36134"/>
  <c r="J507" i="36134"/>
  <c r="N507" i="36134"/>
  <c r="U507" i="36134" s="1"/>
  <c r="W507" i="36134" s="1"/>
  <c r="R507" i="36134"/>
  <c r="V507" i="36134"/>
  <c r="J508" i="36134"/>
  <c r="N508" i="36134"/>
  <c r="U508" i="36134" s="1"/>
  <c r="W508" i="36134" s="1"/>
  <c r="R508" i="36134"/>
  <c r="V508" i="36134"/>
  <c r="J509" i="36134"/>
  <c r="N509" i="36134"/>
  <c r="U509" i="36134" s="1"/>
  <c r="W509" i="36134" s="1"/>
  <c r="R509" i="36134"/>
  <c r="V509" i="36134"/>
  <c r="J510" i="36134"/>
  <c r="N510" i="36134"/>
  <c r="U510" i="36134" s="1"/>
  <c r="W510" i="36134" s="1"/>
  <c r="R510" i="36134"/>
  <c r="V510" i="36134"/>
  <c r="J511" i="36134"/>
  <c r="N511" i="36134"/>
  <c r="U511" i="36134" s="1"/>
  <c r="W511" i="36134" s="1"/>
  <c r="R511" i="36134"/>
  <c r="V511" i="36134"/>
  <c r="J512" i="36134"/>
  <c r="N512" i="36134"/>
  <c r="U512" i="36134" s="1"/>
  <c r="W512" i="36134" s="1"/>
  <c r="R512" i="36134"/>
  <c r="V512" i="36134"/>
  <c r="J513" i="36134"/>
  <c r="N513" i="36134"/>
  <c r="U513" i="36134" s="1"/>
  <c r="W513" i="36134" s="1"/>
  <c r="R513" i="36134"/>
  <c r="V513" i="36134"/>
  <c r="J514" i="36134"/>
  <c r="N514" i="36134"/>
  <c r="U514" i="36134" s="1"/>
  <c r="W514" i="36134" s="1"/>
  <c r="R514" i="36134"/>
  <c r="V514" i="36134"/>
  <c r="J515" i="36134"/>
  <c r="N515" i="36134"/>
  <c r="U515" i="36134" s="1"/>
  <c r="W515" i="36134" s="1"/>
  <c r="R515" i="36134"/>
  <c r="V515" i="36134"/>
  <c r="J516" i="36134"/>
  <c r="N516" i="36134"/>
  <c r="U516" i="36134" s="1"/>
  <c r="W516" i="36134" s="1"/>
  <c r="R516" i="36134"/>
  <c r="V516" i="36134"/>
  <c r="J517" i="36134"/>
  <c r="N517" i="36134"/>
  <c r="U517" i="36134" s="1"/>
  <c r="W517" i="36134" s="1"/>
  <c r="R517" i="36134"/>
  <c r="V517" i="36134"/>
  <c r="J518" i="36134"/>
  <c r="N518" i="36134"/>
  <c r="U518" i="36134" s="1"/>
  <c r="W518" i="36134" s="1"/>
  <c r="R518" i="36134"/>
  <c r="V518" i="36134"/>
  <c r="J519" i="36134"/>
  <c r="N519" i="36134"/>
  <c r="U519" i="36134" s="1"/>
  <c r="W519" i="36134" s="1"/>
  <c r="R519" i="36134"/>
  <c r="V519" i="36134"/>
  <c r="J520" i="36134"/>
  <c r="N520" i="36134"/>
  <c r="U520" i="36134" s="1"/>
  <c r="W520" i="36134" s="1"/>
  <c r="R520" i="36134"/>
  <c r="V520" i="36134"/>
  <c r="J521" i="36134"/>
  <c r="N521" i="36134"/>
  <c r="U521" i="36134" s="1"/>
  <c r="W521" i="36134" s="1"/>
  <c r="R521" i="36134"/>
  <c r="V521" i="36134"/>
  <c r="J522" i="36134"/>
  <c r="N522" i="36134"/>
  <c r="U522" i="36134" s="1"/>
  <c r="W522" i="36134" s="1"/>
  <c r="R522" i="36134"/>
  <c r="V522" i="36134"/>
  <c r="J523" i="36134"/>
  <c r="N523" i="36134"/>
  <c r="U523" i="36134" s="1"/>
  <c r="W523" i="36134" s="1"/>
  <c r="R523" i="36134"/>
  <c r="V523" i="36134"/>
  <c r="J524" i="36134"/>
  <c r="N524" i="36134"/>
  <c r="U524" i="36134" s="1"/>
  <c r="W524" i="36134" s="1"/>
  <c r="R524" i="36134"/>
  <c r="V524" i="36134"/>
  <c r="J525" i="36134"/>
  <c r="N525" i="36134"/>
  <c r="U525" i="36134" s="1"/>
  <c r="W525" i="36134" s="1"/>
  <c r="R525" i="36134"/>
  <c r="V525" i="36134"/>
  <c r="J526" i="36134"/>
  <c r="N526" i="36134"/>
  <c r="U526" i="36134" s="1"/>
  <c r="W526" i="36134" s="1"/>
  <c r="R526" i="36134"/>
  <c r="V526" i="36134"/>
  <c r="J527" i="36134"/>
  <c r="N527" i="36134"/>
  <c r="U527" i="36134" s="1"/>
  <c r="W527" i="36134" s="1"/>
  <c r="R527" i="36134"/>
  <c r="V527" i="36134"/>
  <c r="J528" i="36134"/>
  <c r="N528" i="36134"/>
  <c r="U528" i="36134" s="1"/>
  <c r="W528" i="36134" s="1"/>
  <c r="R528" i="36134"/>
  <c r="V528" i="36134"/>
  <c r="J529" i="36134"/>
  <c r="N529" i="36134"/>
  <c r="U529" i="36134" s="1"/>
  <c r="W529" i="36134" s="1"/>
  <c r="R529" i="36134"/>
  <c r="V529" i="36134"/>
  <c r="J530" i="36134"/>
  <c r="N530" i="36134"/>
  <c r="U530" i="36134" s="1"/>
  <c r="W530" i="36134" s="1"/>
  <c r="R530" i="36134"/>
  <c r="V530" i="36134"/>
  <c r="J531" i="36134"/>
  <c r="N531" i="36134"/>
  <c r="U531" i="36134" s="1"/>
  <c r="W531" i="36134" s="1"/>
  <c r="R531" i="36134"/>
  <c r="V531" i="36134"/>
  <c r="J532" i="36134"/>
  <c r="N532" i="36134"/>
  <c r="U532" i="36134" s="1"/>
  <c r="W532" i="36134" s="1"/>
  <c r="R532" i="36134"/>
  <c r="V532" i="36134"/>
  <c r="J533" i="36134"/>
  <c r="N533" i="36134"/>
  <c r="U533" i="36134" s="1"/>
  <c r="W533" i="36134" s="1"/>
  <c r="R533" i="36134"/>
  <c r="V533" i="36134"/>
  <c r="J534" i="36134"/>
  <c r="N534" i="36134"/>
  <c r="U534" i="36134" s="1"/>
  <c r="W534" i="36134" s="1"/>
  <c r="R534" i="36134"/>
  <c r="V534" i="36134"/>
  <c r="J535" i="36134"/>
  <c r="N535" i="36134"/>
  <c r="U535" i="36134" s="1"/>
  <c r="W535" i="36134" s="1"/>
  <c r="R535" i="36134"/>
  <c r="V535" i="36134"/>
  <c r="J536" i="36134"/>
  <c r="N536" i="36134"/>
  <c r="U536" i="36134"/>
  <c r="W536" i="36134" s="1"/>
  <c r="R536" i="36134"/>
  <c r="V536" i="36134"/>
  <c r="J537" i="36134"/>
  <c r="N537" i="36134"/>
  <c r="U537" i="36134" s="1"/>
  <c r="W537" i="36134" s="1"/>
  <c r="R537" i="36134"/>
  <c r="V537" i="36134"/>
  <c r="J538" i="36134"/>
  <c r="N538" i="36134"/>
  <c r="U538" i="36134" s="1"/>
  <c r="W538" i="36134" s="1"/>
  <c r="R538" i="36134"/>
  <c r="V538" i="36134"/>
  <c r="J539" i="36134"/>
  <c r="N539" i="36134"/>
  <c r="U539" i="36134" s="1"/>
  <c r="W539" i="36134" s="1"/>
  <c r="R539" i="36134"/>
  <c r="V539" i="36134"/>
  <c r="J540" i="36134"/>
  <c r="N540" i="36134"/>
  <c r="U540" i="36134" s="1"/>
  <c r="W540" i="36134" s="1"/>
  <c r="R540" i="36134"/>
  <c r="V540" i="36134"/>
  <c r="J541" i="36134"/>
  <c r="N541" i="36134"/>
  <c r="U541" i="36134" s="1"/>
  <c r="W541" i="36134" s="1"/>
  <c r="R541" i="36134"/>
  <c r="V541" i="36134"/>
  <c r="J542" i="36134"/>
  <c r="N542" i="36134"/>
  <c r="U542" i="36134" s="1"/>
  <c r="W542" i="36134" s="1"/>
  <c r="R542" i="36134"/>
  <c r="V542" i="36134"/>
  <c r="J543" i="36134"/>
  <c r="N543" i="36134"/>
  <c r="U543" i="36134" s="1"/>
  <c r="W543" i="36134" s="1"/>
  <c r="R543" i="36134"/>
  <c r="V543" i="36134"/>
  <c r="J544" i="36134"/>
  <c r="N544" i="36134"/>
  <c r="U544" i="36134" s="1"/>
  <c r="W544" i="36134" s="1"/>
  <c r="R544" i="36134"/>
  <c r="V544" i="36134"/>
  <c r="J545" i="36134"/>
  <c r="N545" i="36134"/>
  <c r="U545" i="36134" s="1"/>
  <c r="W545" i="36134" s="1"/>
  <c r="R545" i="36134"/>
  <c r="V545" i="36134"/>
  <c r="J546" i="36134"/>
  <c r="N546" i="36134"/>
  <c r="U546" i="36134" s="1"/>
  <c r="W546" i="36134" s="1"/>
  <c r="R546" i="36134"/>
  <c r="V546" i="36134"/>
  <c r="J547" i="36134"/>
  <c r="N547" i="36134"/>
  <c r="U547" i="36134" s="1"/>
  <c r="W547" i="36134" s="1"/>
  <c r="R547" i="36134"/>
  <c r="V547" i="36134"/>
  <c r="J548" i="36134"/>
  <c r="N548" i="36134"/>
  <c r="U548" i="36134" s="1"/>
  <c r="W548" i="36134" s="1"/>
  <c r="R548" i="36134"/>
  <c r="V548" i="36134"/>
  <c r="J549" i="36134"/>
  <c r="N549" i="36134"/>
  <c r="U549" i="36134" s="1"/>
  <c r="W549" i="36134" s="1"/>
  <c r="R549" i="36134"/>
  <c r="V549" i="36134"/>
  <c r="J550" i="36134"/>
  <c r="N550" i="36134"/>
  <c r="U550" i="36134" s="1"/>
  <c r="W550" i="36134" s="1"/>
  <c r="R550" i="36134"/>
  <c r="V550" i="36134"/>
  <c r="J551" i="36134"/>
  <c r="N551" i="36134"/>
  <c r="U551" i="36134" s="1"/>
  <c r="W551" i="36134" s="1"/>
  <c r="R551" i="36134"/>
  <c r="V551" i="36134"/>
  <c r="J552" i="36134"/>
  <c r="N552" i="36134"/>
  <c r="U552" i="36134" s="1"/>
  <c r="W552" i="36134" s="1"/>
  <c r="R552" i="36134"/>
  <c r="V552" i="36134"/>
  <c r="J553" i="36134"/>
  <c r="N553" i="36134"/>
  <c r="U553" i="36134" s="1"/>
  <c r="W553" i="36134" s="1"/>
  <c r="R553" i="36134"/>
  <c r="V553" i="36134"/>
  <c r="J554" i="36134"/>
  <c r="N554" i="36134"/>
  <c r="U554" i="36134" s="1"/>
  <c r="W554" i="36134" s="1"/>
  <c r="R554" i="36134"/>
  <c r="V554" i="36134"/>
  <c r="J555" i="36134"/>
  <c r="N555" i="36134"/>
  <c r="U555" i="36134" s="1"/>
  <c r="W555" i="36134" s="1"/>
  <c r="R555" i="36134"/>
  <c r="V555" i="36134"/>
  <c r="J556" i="36134"/>
  <c r="N556" i="36134"/>
  <c r="U556" i="36134" s="1"/>
  <c r="W556" i="36134" s="1"/>
  <c r="R556" i="36134"/>
  <c r="V556" i="36134"/>
  <c r="J557" i="36134"/>
  <c r="N557" i="36134"/>
  <c r="U557" i="36134" s="1"/>
  <c r="W557" i="36134" s="1"/>
  <c r="R557" i="36134"/>
  <c r="V557" i="36134"/>
  <c r="J558" i="36134"/>
  <c r="N558" i="36134"/>
  <c r="U558" i="36134" s="1"/>
  <c r="W558" i="36134" s="1"/>
  <c r="R558" i="36134"/>
  <c r="V558" i="36134"/>
  <c r="J559" i="36134"/>
  <c r="N559" i="36134"/>
  <c r="U559" i="36134" s="1"/>
  <c r="W559" i="36134" s="1"/>
  <c r="R559" i="36134"/>
  <c r="V559" i="36134"/>
  <c r="J560" i="36134"/>
  <c r="N560" i="36134"/>
  <c r="U560" i="36134" s="1"/>
  <c r="W560" i="36134" s="1"/>
  <c r="R560" i="36134"/>
  <c r="V560" i="36134"/>
  <c r="J561" i="36134"/>
  <c r="N561" i="36134"/>
  <c r="U561" i="36134" s="1"/>
  <c r="W561" i="36134" s="1"/>
  <c r="R561" i="36134"/>
  <c r="V561" i="36134"/>
  <c r="K562" i="36134"/>
  <c r="N562" i="36134" s="1"/>
  <c r="U562" i="36134" s="1"/>
  <c r="W562" i="36134" s="1"/>
  <c r="R562" i="36134"/>
  <c r="V562" i="36134"/>
  <c r="J563" i="36134"/>
  <c r="N563" i="36134"/>
  <c r="U563" i="36134" s="1"/>
  <c r="W563" i="36134" s="1"/>
  <c r="R563" i="36134"/>
  <c r="V563" i="36134"/>
  <c r="J564" i="36134"/>
  <c r="N564" i="36134"/>
  <c r="U564" i="36134" s="1"/>
  <c r="W564" i="36134" s="1"/>
  <c r="R564" i="36134"/>
  <c r="V564" i="36134"/>
  <c r="J565" i="36134"/>
  <c r="N565" i="36134"/>
  <c r="U565" i="36134" s="1"/>
  <c r="W565" i="36134" s="1"/>
  <c r="R565" i="36134"/>
  <c r="V565" i="36134"/>
  <c r="J566" i="36134"/>
  <c r="N566" i="36134"/>
  <c r="U566" i="36134" s="1"/>
  <c r="W566" i="36134" s="1"/>
  <c r="R566" i="36134"/>
  <c r="V566" i="36134"/>
  <c r="J567" i="36134"/>
  <c r="N567" i="36134"/>
  <c r="U567" i="36134" s="1"/>
  <c r="W567" i="36134" s="1"/>
  <c r="R567" i="36134"/>
  <c r="V567" i="36134"/>
  <c r="J568" i="36134"/>
  <c r="N568" i="36134"/>
  <c r="U568" i="36134" s="1"/>
  <c r="W568" i="36134" s="1"/>
  <c r="R568" i="36134"/>
  <c r="V568" i="36134"/>
  <c r="J569" i="36134"/>
  <c r="N569" i="36134"/>
  <c r="U569" i="36134" s="1"/>
  <c r="W569" i="36134" s="1"/>
  <c r="R569" i="36134"/>
  <c r="V569" i="36134"/>
  <c r="J570" i="36134"/>
  <c r="N570" i="36134"/>
  <c r="U570" i="36134" s="1"/>
  <c r="W570" i="36134" s="1"/>
  <c r="R570" i="36134"/>
  <c r="V570" i="36134"/>
  <c r="J571" i="36134"/>
  <c r="N571" i="36134"/>
  <c r="U571" i="36134" s="1"/>
  <c r="W571" i="36134" s="1"/>
  <c r="R571" i="36134"/>
  <c r="V571" i="36134"/>
  <c r="J572" i="36134"/>
  <c r="N572" i="36134"/>
  <c r="U572" i="36134" s="1"/>
  <c r="W572" i="36134" s="1"/>
  <c r="R572" i="36134"/>
  <c r="V572" i="36134"/>
  <c r="J573" i="36134"/>
  <c r="N573" i="36134"/>
  <c r="U573" i="36134" s="1"/>
  <c r="W573" i="36134" s="1"/>
  <c r="R573" i="36134"/>
  <c r="V573" i="36134"/>
  <c r="J574" i="36134"/>
  <c r="N574" i="36134"/>
  <c r="U574" i="36134" s="1"/>
  <c r="W574" i="36134" s="1"/>
  <c r="R574" i="36134"/>
  <c r="V574" i="36134"/>
  <c r="J575" i="36134"/>
  <c r="N575" i="36134"/>
  <c r="U575" i="36134" s="1"/>
  <c r="W575" i="36134" s="1"/>
  <c r="R575" i="36134"/>
  <c r="V575" i="36134"/>
  <c r="J576" i="36134"/>
  <c r="N576" i="36134"/>
  <c r="U576" i="36134" s="1"/>
  <c r="W576" i="36134" s="1"/>
  <c r="R576" i="36134"/>
  <c r="V576" i="36134"/>
  <c r="J577" i="36134"/>
  <c r="N577" i="36134"/>
  <c r="U577" i="36134" s="1"/>
  <c r="W577" i="36134" s="1"/>
  <c r="R577" i="36134"/>
  <c r="V577" i="36134"/>
  <c r="J578" i="36134"/>
  <c r="N578" i="36134"/>
  <c r="U578" i="36134" s="1"/>
  <c r="W578" i="36134" s="1"/>
  <c r="R578" i="36134"/>
  <c r="V578" i="36134"/>
  <c r="J579" i="36134"/>
  <c r="N579" i="36134"/>
  <c r="U579" i="36134" s="1"/>
  <c r="W579" i="36134" s="1"/>
  <c r="R579" i="36134"/>
  <c r="V579" i="36134"/>
  <c r="J580" i="36134"/>
  <c r="N580" i="36134"/>
  <c r="U580" i="36134" s="1"/>
  <c r="W580" i="36134" s="1"/>
  <c r="R580" i="36134"/>
  <c r="V580" i="36134"/>
  <c r="J581" i="36134"/>
  <c r="N581" i="36134"/>
  <c r="U581" i="36134" s="1"/>
  <c r="W581" i="36134" s="1"/>
  <c r="R581" i="36134"/>
  <c r="V581" i="36134"/>
  <c r="J582" i="36134"/>
  <c r="N582" i="36134"/>
  <c r="U582" i="36134" s="1"/>
  <c r="W582" i="36134" s="1"/>
  <c r="R582" i="36134"/>
  <c r="V582" i="36134"/>
  <c r="J583" i="36134"/>
  <c r="N583" i="36134"/>
  <c r="U583" i="36134" s="1"/>
  <c r="W583" i="36134" s="1"/>
  <c r="Q583" i="36134"/>
  <c r="R583" i="36134" s="1"/>
  <c r="V583" i="36134"/>
  <c r="J584" i="36134"/>
  <c r="N584" i="36134"/>
  <c r="U584" i="36134" s="1"/>
  <c r="W584" i="36134" s="1"/>
  <c r="Q584" i="36134"/>
  <c r="R584" i="36134" s="1"/>
  <c r="V584" i="36134"/>
  <c r="J585" i="36134"/>
  <c r="N585" i="36134"/>
  <c r="U585" i="36134" s="1"/>
  <c r="W585" i="36134" s="1"/>
  <c r="Q585" i="36134"/>
  <c r="R585" i="36134" s="1"/>
  <c r="V585" i="36134"/>
  <c r="J586" i="36134"/>
  <c r="N586" i="36134"/>
  <c r="U586" i="36134" s="1"/>
  <c r="W586" i="36134" s="1"/>
  <c r="Q586" i="36134"/>
  <c r="R586" i="36134" s="1"/>
  <c r="V586" i="36134"/>
  <c r="J587" i="36134"/>
  <c r="N587" i="36134"/>
  <c r="U587" i="36134" s="1"/>
  <c r="W587" i="36134" s="1"/>
  <c r="Q587" i="36134"/>
  <c r="R587" i="36134" s="1"/>
  <c r="V587" i="36134"/>
  <c r="J588" i="36134"/>
  <c r="N588" i="36134"/>
  <c r="U588" i="36134" s="1"/>
  <c r="W588" i="36134" s="1"/>
  <c r="Q588" i="36134"/>
  <c r="R588" i="36134" s="1"/>
  <c r="V588" i="36134"/>
  <c r="K589" i="36134"/>
  <c r="N589" i="36134" s="1"/>
  <c r="U589" i="36134" s="1"/>
  <c r="W589" i="36134" s="1"/>
  <c r="Q589" i="36134"/>
  <c r="R589" i="36134" s="1"/>
  <c r="V589" i="36134"/>
  <c r="K590" i="36134"/>
  <c r="N590" i="36134" s="1"/>
  <c r="U590" i="36134" s="1"/>
  <c r="W590" i="36134" s="1"/>
  <c r="Q590" i="36134"/>
  <c r="R590" i="36134" s="1"/>
  <c r="V590" i="36134"/>
  <c r="K591" i="36134"/>
  <c r="N591" i="36134" s="1"/>
  <c r="U591" i="36134" s="1"/>
  <c r="W591" i="36134" s="1"/>
  <c r="Q591" i="36134"/>
  <c r="R591" i="36134" s="1"/>
  <c r="V591" i="36134"/>
  <c r="K592" i="36134"/>
  <c r="N592" i="36134"/>
  <c r="U592" i="36134" s="1"/>
  <c r="W592" i="36134" s="1"/>
  <c r="Q592" i="36134"/>
  <c r="R592" i="36134" s="1"/>
  <c r="V592" i="36134"/>
  <c r="K593" i="36134"/>
  <c r="N593" i="36134" s="1"/>
  <c r="U593" i="36134" s="1"/>
  <c r="W593" i="36134" s="1"/>
  <c r="Q593" i="36134"/>
  <c r="R593" i="36134"/>
  <c r="V593" i="36134"/>
  <c r="K594" i="36134"/>
  <c r="N594" i="36134" s="1"/>
  <c r="U594" i="36134" s="1"/>
  <c r="W594" i="36134" s="1"/>
  <c r="Q594" i="36134"/>
  <c r="R594" i="36134" s="1"/>
  <c r="V594" i="36134"/>
  <c r="K595" i="36134"/>
  <c r="N595" i="36134" s="1"/>
  <c r="U595" i="36134" s="1"/>
  <c r="W595" i="36134" s="1"/>
  <c r="Q595" i="36134"/>
  <c r="R595" i="36134" s="1"/>
  <c r="V595" i="36134"/>
  <c r="K596" i="36134"/>
  <c r="N596" i="36134" s="1"/>
  <c r="U596" i="36134" s="1"/>
  <c r="W596" i="36134" s="1"/>
  <c r="Q596" i="36134"/>
  <c r="R596" i="36134" s="1"/>
  <c r="V596" i="36134"/>
  <c r="K597" i="36134"/>
  <c r="N597" i="36134" s="1"/>
  <c r="U597" i="36134" s="1"/>
  <c r="W597" i="36134" s="1"/>
  <c r="Q597" i="36134"/>
  <c r="R597" i="36134" s="1"/>
  <c r="V597" i="36134"/>
  <c r="K598" i="36134"/>
  <c r="N598" i="36134" s="1"/>
  <c r="U598" i="36134" s="1"/>
  <c r="W598" i="36134" s="1"/>
  <c r="Q598" i="36134"/>
  <c r="R598" i="36134" s="1"/>
  <c r="V598" i="36134"/>
  <c r="K599" i="36134"/>
  <c r="N599" i="36134" s="1"/>
  <c r="U599" i="36134" s="1"/>
  <c r="W599" i="36134" s="1"/>
  <c r="Q599" i="36134"/>
  <c r="R599" i="36134" s="1"/>
  <c r="V599" i="36134"/>
  <c r="N600" i="36134"/>
  <c r="U600" i="36134" s="1"/>
  <c r="W600" i="36134" s="1"/>
  <c r="Q600" i="36134"/>
  <c r="R600" i="36134" s="1"/>
  <c r="V600" i="36134"/>
  <c r="K601" i="36134"/>
  <c r="N601" i="36134" s="1"/>
  <c r="U601" i="36134" s="1"/>
  <c r="W601" i="36134" s="1"/>
  <c r="R601" i="36134"/>
  <c r="V601" i="36134"/>
  <c r="K602" i="36134"/>
  <c r="N602" i="36134" s="1"/>
  <c r="U602" i="36134" s="1"/>
  <c r="W602" i="36134" s="1"/>
  <c r="R602" i="36134"/>
  <c r="V602" i="36134"/>
  <c r="J603" i="36134"/>
  <c r="N603" i="36134"/>
  <c r="U603" i="36134"/>
  <c r="W603" i="36134" s="1"/>
  <c r="Q603" i="36134"/>
  <c r="R603" i="36134" s="1"/>
  <c r="V603" i="36134"/>
  <c r="J604" i="36134"/>
  <c r="N604" i="36134"/>
  <c r="U604" i="36134" s="1"/>
  <c r="W604" i="36134" s="1"/>
  <c r="Q604" i="36134"/>
  <c r="R604" i="36134" s="1"/>
  <c r="V604" i="36134"/>
  <c r="J605" i="36134"/>
  <c r="N605" i="36134"/>
  <c r="U605" i="36134" s="1"/>
  <c r="W605" i="36134" s="1"/>
  <c r="Q605" i="36134"/>
  <c r="R605" i="36134" s="1"/>
  <c r="V605" i="36134"/>
  <c r="J606" i="36134"/>
  <c r="N606" i="36134"/>
  <c r="U606" i="36134" s="1"/>
  <c r="W606" i="36134" s="1"/>
  <c r="Q606" i="36134"/>
  <c r="R606" i="36134" s="1"/>
  <c r="V606" i="36134"/>
  <c r="J607" i="36134"/>
  <c r="N607" i="36134"/>
  <c r="U607" i="36134" s="1"/>
  <c r="W607" i="36134" s="1"/>
  <c r="Q607" i="36134"/>
  <c r="R607" i="36134" s="1"/>
  <c r="V607" i="36134"/>
  <c r="J608" i="36134"/>
  <c r="N608" i="36134"/>
  <c r="U608" i="36134" s="1"/>
  <c r="W608" i="36134" s="1"/>
  <c r="Q608" i="36134"/>
  <c r="R608" i="36134" s="1"/>
  <c r="V608" i="36134"/>
  <c r="K609" i="36134"/>
  <c r="N609" i="36134" s="1"/>
  <c r="U609" i="36134" s="1"/>
  <c r="W609" i="36134" s="1"/>
  <c r="Q609" i="36134"/>
  <c r="R609" i="36134" s="1"/>
  <c r="V609" i="36134"/>
  <c r="J610" i="36134"/>
  <c r="N610" i="36134"/>
  <c r="U610" i="36134" s="1"/>
  <c r="W610" i="36134" s="1"/>
  <c r="Q610" i="36134"/>
  <c r="R610" i="36134" s="1"/>
  <c r="V610" i="36134"/>
  <c r="J611" i="36134"/>
  <c r="N611" i="36134"/>
  <c r="U611" i="36134" s="1"/>
  <c r="W611" i="36134" s="1"/>
  <c r="Q611" i="36134"/>
  <c r="R611" i="36134" s="1"/>
  <c r="V611" i="36134"/>
  <c r="J612" i="36134"/>
  <c r="N612" i="36134"/>
  <c r="U612" i="36134" s="1"/>
  <c r="W612" i="36134" s="1"/>
  <c r="Q612" i="36134"/>
  <c r="R612" i="36134" s="1"/>
  <c r="V612" i="36134"/>
  <c r="J613" i="36134"/>
  <c r="N613" i="36134"/>
  <c r="U613" i="36134" s="1"/>
  <c r="W613" i="36134" s="1"/>
  <c r="Q613" i="36134"/>
  <c r="R613" i="36134" s="1"/>
  <c r="V613" i="36134"/>
  <c r="J614" i="36134"/>
  <c r="N614" i="36134"/>
  <c r="U614" i="36134" s="1"/>
  <c r="W614" i="36134" s="1"/>
  <c r="Q614" i="36134"/>
  <c r="R614" i="36134" s="1"/>
  <c r="V614" i="36134"/>
  <c r="J615" i="36134"/>
  <c r="N615" i="36134"/>
  <c r="U615" i="36134" s="1"/>
  <c r="W615" i="36134" s="1"/>
  <c r="Q615" i="36134"/>
  <c r="R615" i="36134" s="1"/>
  <c r="V615" i="36134"/>
  <c r="J616" i="36134"/>
  <c r="N616" i="36134"/>
  <c r="U616" i="36134" s="1"/>
  <c r="W616" i="36134" s="1"/>
  <c r="Q616" i="36134"/>
  <c r="R616" i="36134" s="1"/>
  <c r="V616" i="36134"/>
  <c r="J617" i="36134"/>
  <c r="N617" i="36134"/>
  <c r="U617" i="36134" s="1"/>
  <c r="W617" i="36134" s="1"/>
  <c r="Q617" i="36134"/>
  <c r="R617" i="36134" s="1"/>
  <c r="V617" i="36134"/>
  <c r="J618" i="36134"/>
  <c r="N618" i="36134"/>
  <c r="U618" i="36134" s="1"/>
  <c r="W618" i="36134" s="1"/>
  <c r="Q618" i="36134"/>
  <c r="R618" i="36134" s="1"/>
  <c r="V618" i="36134"/>
  <c r="J619" i="36134"/>
  <c r="N619" i="36134"/>
  <c r="U619" i="36134" s="1"/>
  <c r="W619" i="36134" s="1"/>
  <c r="Q619" i="36134"/>
  <c r="R619" i="36134" s="1"/>
  <c r="V619" i="36134"/>
  <c r="J620" i="36134"/>
  <c r="N620" i="36134"/>
  <c r="U620" i="36134" s="1"/>
  <c r="W620" i="36134" s="1"/>
  <c r="R620" i="36134"/>
  <c r="V620" i="36134"/>
  <c r="J621" i="36134"/>
  <c r="N621" i="36134"/>
  <c r="U621" i="36134" s="1"/>
  <c r="W621" i="36134" s="1"/>
  <c r="R621" i="36134"/>
  <c r="V621" i="36134"/>
  <c r="J622" i="36134"/>
  <c r="N622" i="36134"/>
  <c r="U622" i="36134" s="1"/>
  <c r="W622" i="36134" s="1"/>
  <c r="R622" i="36134"/>
  <c r="V622" i="36134"/>
  <c r="J623" i="36134"/>
  <c r="N623" i="36134"/>
  <c r="U623" i="36134" s="1"/>
  <c r="W623" i="36134" s="1"/>
  <c r="R623" i="36134"/>
  <c r="V623" i="36134"/>
  <c r="J624" i="36134"/>
  <c r="N624" i="36134"/>
  <c r="U624" i="36134" s="1"/>
  <c r="W624" i="36134" s="1"/>
  <c r="R624" i="36134"/>
  <c r="V624" i="36134"/>
  <c r="J625" i="36134"/>
  <c r="N625" i="36134"/>
  <c r="U625" i="36134" s="1"/>
  <c r="W625" i="36134" s="1"/>
  <c r="R625" i="36134"/>
  <c r="V625" i="36134"/>
  <c r="J626" i="36134"/>
  <c r="N626" i="36134"/>
  <c r="U626" i="36134" s="1"/>
  <c r="W626" i="36134" s="1"/>
  <c r="R626" i="36134"/>
  <c r="V626" i="36134"/>
  <c r="J627" i="36134"/>
  <c r="N627" i="36134"/>
  <c r="U627" i="36134" s="1"/>
  <c r="W627" i="36134" s="1"/>
  <c r="R627" i="36134"/>
  <c r="V627" i="36134"/>
  <c r="J628" i="36134"/>
  <c r="N628" i="36134"/>
  <c r="U628" i="36134" s="1"/>
  <c r="W628" i="36134" s="1"/>
  <c r="R628" i="36134"/>
  <c r="V628" i="36134"/>
  <c r="J629" i="36134"/>
  <c r="N629" i="36134"/>
  <c r="U629" i="36134" s="1"/>
  <c r="W629" i="36134" s="1"/>
  <c r="R629" i="36134"/>
  <c r="V629" i="36134"/>
  <c r="J630" i="36134"/>
  <c r="N630" i="36134"/>
  <c r="U630" i="36134" s="1"/>
  <c r="W630" i="36134" s="1"/>
  <c r="Q630" i="36134"/>
  <c r="R630" i="36134" s="1"/>
  <c r="V630" i="36134"/>
  <c r="J631" i="36134"/>
  <c r="N631" i="36134"/>
  <c r="U631" i="36134" s="1"/>
  <c r="W631" i="36134" s="1"/>
  <c r="Q631" i="36134"/>
  <c r="R631" i="36134"/>
  <c r="V631" i="36134"/>
  <c r="J632" i="36134"/>
  <c r="N632" i="36134"/>
  <c r="U632" i="36134" s="1"/>
  <c r="W632" i="36134" s="1"/>
  <c r="Q632" i="36134"/>
  <c r="R632" i="36134" s="1"/>
  <c r="V632" i="36134"/>
  <c r="J633" i="36134"/>
  <c r="N633" i="36134"/>
  <c r="U633" i="36134" s="1"/>
  <c r="W633" i="36134" s="1"/>
  <c r="Q633" i="36134"/>
  <c r="R633" i="36134" s="1"/>
  <c r="V633" i="36134"/>
  <c r="J634" i="36134"/>
  <c r="N634" i="36134"/>
  <c r="U634" i="36134" s="1"/>
  <c r="W634" i="36134" s="1"/>
  <c r="Q634" i="36134"/>
  <c r="R634" i="36134" s="1"/>
  <c r="V634" i="36134"/>
  <c r="J635" i="36134"/>
  <c r="N635" i="36134"/>
  <c r="U635" i="36134" s="1"/>
  <c r="W635" i="36134" s="1"/>
  <c r="R635" i="36134"/>
  <c r="V635" i="36134"/>
  <c r="J636" i="36134"/>
  <c r="N636" i="36134"/>
  <c r="U636" i="36134" s="1"/>
  <c r="W636" i="36134" s="1"/>
  <c r="Q636" i="36134"/>
  <c r="R636" i="36134" s="1"/>
  <c r="V636" i="36134"/>
  <c r="J637" i="36134"/>
  <c r="N637" i="36134"/>
  <c r="U637" i="36134" s="1"/>
  <c r="W637" i="36134"/>
  <c r="R637" i="36134"/>
  <c r="V637" i="36134"/>
  <c r="J638" i="36134"/>
  <c r="N638" i="36134"/>
  <c r="U638" i="36134" s="1"/>
  <c r="W638" i="36134" s="1"/>
  <c r="R638" i="36134"/>
  <c r="V638" i="36134"/>
  <c r="J639" i="36134"/>
  <c r="N639" i="36134"/>
  <c r="U639" i="36134" s="1"/>
  <c r="W639" i="36134" s="1"/>
  <c r="R639" i="36134"/>
  <c r="V639" i="36134"/>
  <c r="J640" i="36134"/>
  <c r="N640" i="36134"/>
  <c r="U640" i="36134" s="1"/>
  <c r="W640" i="36134" s="1"/>
  <c r="Q640" i="36134"/>
  <c r="R640" i="36134" s="1"/>
  <c r="V640" i="36134"/>
  <c r="N641" i="36134"/>
  <c r="U641" i="36134" s="1"/>
  <c r="W641" i="36134"/>
  <c r="Q641" i="36134"/>
  <c r="R641" i="36134" s="1"/>
  <c r="V641" i="36134"/>
  <c r="J642" i="36134"/>
  <c r="N642" i="36134"/>
  <c r="U642" i="36134" s="1"/>
  <c r="W642" i="36134" s="1"/>
  <c r="Q642" i="36134"/>
  <c r="R642" i="36134" s="1"/>
  <c r="V642" i="36134"/>
  <c r="J643" i="36134"/>
  <c r="N643" i="36134"/>
  <c r="U643" i="36134" s="1"/>
  <c r="W643" i="36134" s="1"/>
  <c r="Q643" i="36134"/>
  <c r="R643" i="36134" s="1"/>
  <c r="V643" i="36134"/>
  <c r="J644" i="36134"/>
  <c r="N644" i="36134"/>
  <c r="U644" i="36134" s="1"/>
  <c r="W644" i="36134" s="1"/>
  <c r="Q644" i="36134"/>
  <c r="R644" i="36134" s="1"/>
  <c r="V644" i="36134"/>
  <c r="J645" i="36134"/>
  <c r="N645" i="36134"/>
  <c r="U645" i="36134" s="1"/>
  <c r="W645" i="36134" s="1"/>
  <c r="Q645" i="36134"/>
  <c r="R645" i="36134" s="1"/>
  <c r="V645" i="36134"/>
  <c r="J646" i="36134"/>
  <c r="N646" i="36134"/>
  <c r="U646" i="36134" s="1"/>
  <c r="W646" i="36134" s="1"/>
  <c r="Q646" i="36134"/>
  <c r="R646" i="36134" s="1"/>
  <c r="V646" i="36134"/>
  <c r="J647" i="36134"/>
  <c r="N647" i="36134"/>
  <c r="U647" i="36134" s="1"/>
  <c r="W647" i="36134" s="1"/>
  <c r="Q647" i="36134"/>
  <c r="R647" i="36134" s="1"/>
  <c r="V647" i="36134"/>
  <c r="J648" i="36134"/>
  <c r="N648" i="36134"/>
  <c r="U648" i="36134" s="1"/>
  <c r="W648" i="36134" s="1"/>
  <c r="Q648" i="36134"/>
  <c r="R648" i="36134" s="1"/>
  <c r="V648" i="36134"/>
  <c r="J649" i="36134"/>
  <c r="N649" i="36134"/>
  <c r="U649" i="36134" s="1"/>
  <c r="W649" i="36134" s="1"/>
  <c r="Q649" i="36134"/>
  <c r="R649" i="36134" s="1"/>
  <c r="V649" i="36134"/>
  <c r="K650" i="36134"/>
  <c r="N650" i="36134" s="1"/>
  <c r="U650" i="36134" s="1"/>
  <c r="W650" i="36134" s="1"/>
  <c r="Q650" i="36134"/>
  <c r="R650" i="36134" s="1"/>
  <c r="V650" i="36134"/>
  <c r="J651" i="36134"/>
  <c r="N651" i="36134"/>
  <c r="U651" i="36134" s="1"/>
  <c r="W651" i="36134" s="1"/>
  <c r="R651" i="36134"/>
  <c r="V651" i="36134"/>
  <c r="J652" i="36134"/>
  <c r="N652" i="36134"/>
  <c r="U652" i="36134" s="1"/>
  <c r="W652" i="36134" s="1"/>
  <c r="R652" i="36134"/>
  <c r="V652" i="36134"/>
  <c r="J653" i="36134"/>
  <c r="N653" i="36134"/>
  <c r="U653" i="36134" s="1"/>
  <c r="W653" i="36134" s="1"/>
  <c r="R653" i="36134"/>
  <c r="V653" i="36134"/>
  <c r="J654" i="36134"/>
  <c r="N654" i="36134"/>
  <c r="U654" i="36134" s="1"/>
  <c r="W654" i="36134" s="1"/>
  <c r="R654" i="36134"/>
  <c r="V654" i="36134"/>
  <c r="J655" i="36134"/>
  <c r="N655" i="36134"/>
  <c r="U655" i="36134" s="1"/>
  <c r="W655" i="36134" s="1"/>
  <c r="R655" i="36134"/>
  <c r="V655" i="36134"/>
  <c r="J656" i="36134"/>
  <c r="N656" i="36134"/>
  <c r="U656" i="36134" s="1"/>
  <c r="W656" i="36134" s="1"/>
  <c r="R656" i="36134"/>
  <c r="V656" i="36134"/>
  <c r="J657" i="36134"/>
  <c r="N657" i="36134"/>
  <c r="U657" i="36134" s="1"/>
  <c r="W657" i="36134" s="1"/>
  <c r="R657" i="36134"/>
  <c r="V657" i="36134"/>
  <c r="J658" i="36134"/>
  <c r="N658" i="36134"/>
  <c r="U658" i="36134" s="1"/>
  <c r="W658" i="36134" s="1"/>
  <c r="Q658" i="36134"/>
  <c r="R658" i="36134" s="1"/>
  <c r="V658" i="36134"/>
  <c r="J659" i="36134"/>
  <c r="N659" i="36134"/>
  <c r="U659" i="36134" s="1"/>
  <c r="W659" i="36134" s="1"/>
  <c r="Q659" i="36134"/>
  <c r="R659" i="36134" s="1"/>
  <c r="V659" i="36134"/>
  <c r="J660" i="36134"/>
  <c r="N660" i="36134"/>
  <c r="U660" i="36134" s="1"/>
  <c r="W660" i="36134" s="1"/>
  <c r="R660" i="36134"/>
  <c r="V660" i="36134"/>
  <c r="J661" i="36134"/>
  <c r="N661" i="36134"/>
  <c r="U661" i="36134" s="1"/>
  <c r="W661" i="36134" s="1"/>
  <c r="R661" i="36134"/>
  <c r="V661" i="36134"/>
  <c r="J662" i="36134"/>
  <c r="N662" i="36134"/>
  <c r="U662" i="36134" s="1"/>
  <c r="W662" i="36134" s="1"/>
  <c r="R662" i="36134"/>
  <c r="V662" i="36134"/>
  <c r="J663" i="36134"/>
  <c r="N663" i="36134"/>
  <c r="U663" i="36134" s="1"/>
  <c r="W663" i="36134" s="1"/>
  <c r="Q663" i="36134"/>
  <c r="R663" i="36134" s="1"/>
  <c r="V663" i="36134"/>
  <c r="J664" i="36134"/>
  <c r="N664" i="36134"/>
  <c r="U664" i="36134" s="1"/>
  <c r="W664" i="36134" s="1"/>
  <c r="Q664" i="36134"/>
  <c r="R664" i="36134" s="1"/>
  <c r="V664" i="36134"/>
  <c r="J665" i="36134"/>
  <c r="N665" i="36134"/>
  <c r="U665" i="36134" s="1"/>
  <c r="W665" i="36134" s="1"/>
  <c r="R665" i="36134"/>
  <c r="V665" i="36134"/>
  <c r="J666" i="36134"/>
  <c r="N666" i="36134"/>
  <c r="U666" i="36134" s="1"/>
  <c r="W666" i="36134" s="1"/>
  <c r="R666" i="36134"/>
  <c r="V666" i="36134"/>
  <c r="J667" i="36134"/>
  <c r="N667" i="36134"/>
  <c r="U667" i="36134" s="1"/>
  <c r="W667" i="36134" s="1"/>
  <c r="R667" i="36134"/>
  <c r="V667" i="36134"/>
  <c r="J668" i="36134"/>
  <c r="N668" i="36134"/>
  <c r="U668" i="36134" s="1"/>
  <c r="W668" i="36134" s="1"/>
  <c r="R668" i="36134"/>
  <c r="V668" i="36134"/>
  <c r="J669" i="36134"/>
  <c r="N669" i="36134"/>
  <c r="U669" i="36134" s="1"/>
  <c r="W669" i="36134" s="1"/>
  <c r="R669" i="36134"/>
  <c r="V669" i="36134"/>
  <c r="J670" i="36134"/>
  <c r="N670" i="36134"/>
  <c r="U670" i="36134" s="1"/>
  <c r="W670" i="36134" s="1"/>
  <c r="R670" i="36134"/>
  <c r="V670" i="36134"/>
  <c r="J671" i="36134"/>
  <c r="N671" i="36134"/>
  <c r="U671" i="36134" s="1"/>
  <c r="W671" i="36134" s="1"/>
  <c r="R671" i="36134"/>
  <c r="V671" i="36134"/>
  <c r="J672" i="36134"/>
  <c r="N672" i="36134"/>
  <c r="U672" i="36134" s="1"/>
  <c r="W672" i="36134" s="1"/>
  <c r="R672" i="36134"/>
  <c r="V672" i="36134"/>
  <c r="J673" i="36134"/>
  <c r="N673" i="36134"/>
  <c r="U673" i="36134" s="1"/>
  <c r="W673" i="36134" s="1"/>
  <c r="R673" i="36134"/>
  <c r="V673" i="36134"/>
  <c r="J674" i="36134"/>
  <c r="N674" i="36134"/>
  <c r="U674" i="36134" s="1"/>
  <c r="W674" i="36134" s="1"/>
  <c r="R674" i="36134"/>
  <c r="V674" i="36134"/>
  <c r="J675" i="36134"/>
  <c r="N675" i="36134"/>
  <c r="U675" i="36134"/>
  <c r="W675" i="36134" s="1"/>
  <c r="R675" i="36134"/>
  <c r="V675" i="36134"/>
  <c r="J676" i="36134"/>
  <c r="N676" i="36134"/>
  <c r="U676" i="36134" s="1"/>
  <c r="W676" i="36134"/>
  <c r="R676" i="36134"/>
  <c r="V676" i="36134"/>
  <c r="J677" i="36134"/>
  <c r="N677" i="36134"/>
  <c r="U677" i="36134" s="1"/>
  <c r="W677" i="36134" s="1"/>
  <c r="R677" i="36134"/>
  <c r="V677" i="36134"/>
  <c r="J678" i="36134"/>
  <c r="N678" i="36134"/>
  <c r="U678" i="36134" s="1"/>
  <c r="W678" i="36134" s="1"/>
  <c r="R678" i="36134"/>
  <c r="V678" i="36134"/>
  <c r="J679" i="36134"/>
  <c r="N679" i="36134"/>
  <c r="U679" i="36134" s="1"/>
  <c r="W679" i="36134" s="1"/>
  <c r="R679" i="36134"/>
  <c r="V679" i="36134"/>
  <c r="J680" i="36134"/>
  <c r="N680" i="36134"/>
  <c r="U680" i="36134" s="1"/>
  <c r="W680" i="36134" s="1"/>
  <c r="R680" i="36134"/>
  <c r="V680" i="36134"/>
  <c r="J681" i="36134"/>
  <c r="N681" i="36134"/>
  <c r="U681" i="36134" s="1"/>
  <c r="W681" i="36134" s="1"/>
  <c r="R681" i="36134"/>
  <c r="V681" i="36134"/>
  <c r="J682" i="36134"/>
  <c r="N682" i="36134"/>
  <c r="U682" i="36134" s="1"/>
  <c r="W682" i="36134" s="1"/>
  <c r="R682" i="36134"/>
  <c r="V682" i="36134"/>
  <c r="J683" i="36134"/>
  <c r="N683" i="36134"/>
  <c r="U683" i="36134" s="1"/>
  <c r="W683" i="36134" s="1"/>
  <c r="R683" i="36134"/>
  <c r="V683" i="36134"/>
  <c r="K684" i="36134"/>
  <c r="N684" i="36134" s="1"/>
  <c r="U684" i="36134" s="1"/>
  <c r="W684" i="36134" s="1"/>
  <c r="R684" i="36134"/>
  <c r="V684" i="36134"/>
  <c r="K685" i="36134"/>
  <c r="N685" i="36134" s="1"/>
  <c r="U685" i="36134" s="1"/>
  <c r="W685" i="36134" s="1"/>
  <c r="R685" i="36134"/>
  <c r="V685" i="36134"/>
  <c r="H686" i="36134"/>
  <c r="K686" i="36134"/>
  <c r="N686" i="36134" s="1"/>
  <c r="U686" i="36134" s="1"/>
  <c r="W686" i="36134" s="1"/>
  <c r="R686" i="36134"/>
  <c r="V686" i="36134"/>
  <c r="J687" i="36134"/>
  <c r="N687" i="36134"/>
  <c r="U687" i="36134"/>
  <c r="W687" i="36134" s="1"/>
  <c r="Q687" i="36134"/>
  <c r="R687" i="36134" s="1"/>
  <c r="V687" i="36134"/>
  <c r="V688" i="36134"/>
  <c r="W688" i="36134"/>
  <c r="V689" i="36134"/>
  <c r="W689" i="36134"/>
  <c r="V690" i="36134"/>
  <c r="W690" i="36134"/>
  <c r="V691" i="36134"/>
  <c r="W691" i="36134"/>
  <c r="V692" i="36134"/>
  <c r="W692" i="36134"/>
  <c r="V693" i="36134"/>
  <c r="W693" i="36134"/>
  <c r="V694" i="36134"/>
  <c r="W694" i="36134"/>
  <c r="V695" i="36134"/>
  <c r="W695" i="36134"/>
  <c r="V696" i="36134"/>
  <c r="W696" i="36134"/>
  <c r="V697" i="36134"/>
  <c r="W697" i="36134"/>
  <c r="V698" i="36134"/>
  <c r="W698" i="36134"/>
  <c r="V699" i="36134"/>
  <c r="W699" i="36134"/>
  <c r="V700" i="36134"/>
  <c r="W700" i="36134"/>
  <c r="V701" i="36134"/>
  <c r="W701" i="36134"/>
  <c r="V702" i="36134"/>
  <c r="W702" i="36134"/>
  <c r="V703" i="36134"/>
  <c r="W703" i="36134"/>
  <c r="V704" i="36134"/>
  <c r="W704" i="36134"/>
  <c r="V705" i="36134"/>
  <c r="W705" i="36134"/>
  <c r="V706" i="36134"/>
  <c r="W706" i="36134"/>
  <c r="V707" i="36134"/>
  <c r="W707" i="36134"/>
  <c r="V708" i="36134"/>
  <c r="W708" i="36134"/>
  <c r="V709" i="36134"/>
  <c r="W709" i="36134"/>
  <c r="V710" i="36134"/>
  <c r="W710" i="36134"/>
  <c r="V711" i="36134"/>
  <c r="W711" i="36134"/>
  <c r="J712" i="36134"/>
  <c r="N712" i="36134"/>
  <c r="U712" i="36134" s="1"/>
  <c r="W712" i="36134" s="1"/>
  <c r="R712" i="36134"/>
  <c r="V712" i="36134"/>
  <c r="J713" i="36134"/>
  <c r="N713" i="36134"/>
  <c r="U713" i="36134" s="1"/>
  <c r="W713" i="36134" s="1"/>
  <c r="R713" i="36134"/>
  <c r="V713" i="36134"/>
  <c r="J714" i="36134"/>
  <c r="N714" i="36134"/>
  <c r="U714" i="36134"/>
  <c r="W714" i="36134" s="1"/>
  <c r="R714" i="36134"/>
  <c r="V714" i="36134"/>
  <c r="J715" i="36134"/>
  <c r="N715" i="36134"/>
  <c r="U715" i="36134" s="1"/>
  <c r="W715" i="36134" s="1"/>
  <c r="Q715" i="36134"/>
  <c r="R715" i="36134" s="1"/>
  <c r="V715" i="36134"/>
  <c r="K716" i="36134"/>
  <c r="N716" i="36134" s="1"/>
  <c r="U716" i="36134" s="1"/>
  <c r="W716" i="36134" s="1"/>
  <c r="Q716" i="36134"/>
  <c r="R716" i="36134" s="1"/>
  <c r="V716" i="36134"/>
  <c r="K717" i="36134"/>
  <c r="N717" i="36134" s="1"/>
  <c r="U717" i="36134" s="1"/>
  <c r="W717" i="36134" s="1"/>
  <c r="R717" i="36134"/>
  <c r="V717" i="36134"/>
  <c r="K718" i="36134"/>
  <c r="N718" i="36134" s="1"/>
  <c r="U718" i="36134" s="1"/>
  <c r="W718" i="36134" s="1"/>
  <c r="R718" i="36134"/>
  <c r="V718" i="36134"/>
  <c r="K719" i="36134"/>
  <c r="N719" i="36134" s="1"/>
  <c r="U719" i="36134" s="1"/>
  <c r="W719" i="36134" s="1"/>
  <c r="R719" i="36134"/>
  <c r="V719" i="36134"/>
  <c r="J720" i="36134"/>
  <c r="N720" i="36134"/>
  <c r="U720" i="36134" s="1"/>
  <c r="W720" i="36134" s="1"/>
  <c r="Q720" i="36134"/>
  <c r="R720" i="36134" s="1"/>
  <c r="V720" i="36134"/>
  <c r="K721" i="36134"/>
  <c r="N721" i="36134" s="1"/>
  <c r="U721" i="36134" s="1"/>
  <c r="W721" i="36134" s="1"/>
  <c r="Q721" i="36134"/>
  <c r="R721" i="36134" s="1"/>
  <c r="V721" i="36134"/>
  <c r="J722" i="36134"/>
  <c r="N722" i="36134"/>
  <c r="U722" i="36134" s="1"/>
  <c r="W722" i="36134" s="1"/>
  <c r="Q722" i="36134"/>
  <c r="R722" i="36134" s="1"/>
  <c r="V722" i="36134"/>
  <c r="K723" i="36134"/>
  <c r="N723" i="36134" s="1"/>
  <c r="U723" i="36134"/>
  <c r="W723" i="36134" s="1"/>
  <c r="R723" i="36134"/>
  <c r="V723" i="36134"/>
  <c r="K724" i="36134"/>
  <c r="N724" i="36134" s="1"/>
  <c r="U724" i="36134" s="1"/>
  <c r="W724" i="36134" s="1"/>
  <c r="R724" i="36134"/>
  <c r="V724" i="36134"/>
  <c r="J725" i="36134"/>
  <c r="N725" i="36134"/>
  <c r="U725" i="36134" s="1"/>
  <c r="W725" i="36134" s="1"/>
  <c r="Q725" i="36134"/>
  <c r="R725" i="36134" s="1"/>
  <c r="V725" i="36134"/>
  <c r="K726" i="36134"/>
  <c r="N726" i="36134" s="1"/>
  <c r="U726" i="36134" s="1"/>
  <c r="W726" i="36134" s="1"/>
  <c r="Q726" i="36134"/>
  <c r="R726" i="36134" s="1"/>
  <c r="V726" i="36134"/>
  <c r="K727" i="36134"/>
  <c r="N727" i="36134" s="1"/>
  <c r="U727" i="36134" s="1"/>
  <c r="W727" i="36134" s="1"/>
  <c r="Q727" i="36134"/>
  <c r="R727" i="36134" s="1"/>
  <c r="V727" i="36134"/>
  <c r="J728" i="36134"/>
  <c r="N728" i="36134"/>
  <c r="U728" i="36134" s="1"/>
  <c r="W728" i="36134" s="1"/>
  <c r="R728" i="36134"/>
  <c r="V728" i="36134"/>
  <c r="J729" i="36134"/>
  <c r="N729" i="36134"/>
  <c r="U729" i="36134" s="1"/>
  <c r="W729" i="36134" s="1"/>
  <c r="R729" i="36134"/>
  <c r="V729" i="36134"/>
  <c r="K730" i="36134"/>
  <c r="N730" i="36134" s="1"/>
  <c r="U730" i="36134" s="1"/>
  <c r="W730" i="36134" s="1"/>
  <c r="R730" i="36134"/>
  <c r="V730" i="36134"/>
  <c r="K731" i="36134"/>
  <c r="N731" i="36134" s="1"/>
  <c r="U731" i="36134" s="1"/>
  <c r="W731" i="36134" s="1"/>
  <c r="R731" i="36134"/>
  <c r="V731" i="36134"/>
  <c r="K732" i="36134"/>
  <c r="N732" i="36134" s="1"/>
  <c r="U732" i="36134" s="1"/>
  <c r="W732" i="36134" s="1"/>
  <c r="R732" i="36134"/>
  <c r="V732" i="36134"/>
  <c r="K733" i="36134"/>
  <c r="N733" i="36134" s="1"/>
  <c r="U733" i="36134" s="1"/>
  <c r="W733" i="36134" s="1"/>
  <c r="R733" i="36134"/>
  <c r="V733" i="36134"/>
  <c r="J734" i="36134"/>
  <c r="N734" i="36134"/>
  <c r="U734" i="36134" s="1"/>
  <c r="W734" i="36134" s="1"/>
  <c r="Q734" i="36134"/>
  <c r="R734" i="36134" s="1"/>
  <c r="V734" i="36134"/>
  <c r="J735" i="36134"/>
  <c r="N735" i="36134"/>
  <c r="U735" i="36134" s="1"/>
  <c r="W735" i="36134" s="1"/>
  <c r="Q735" i="36134"/>
  <c r="R735" i="36134" s="1"/>
  <c r="V735" i="36134"/>
  <c r="J736" i="36134"/>
  <c r="N736" i="36134"/>
  <c r="U736" i="36134" s="1"/>
  <c r="W736" i="36134" s="1"/>
  <c r="R736" i="36134"/>
  <c r="V736" i="36134"/>
  <c r="K737" i="36134"/>
  <c r="N737" i="36134" s="1"/>
  <c r="U737" i="36134" s="1"/>
  <c r="W737" i="36134" s="1"/>
  <c r="R737" i="36134"/>
  <c r="V737" i="36134"/>
  <c r="K738" i="36134"/>
  <c r="N738" i="36134" s="1"/>
  <c r="U738" i="36134" s="1"/>
  <c r="W738" i="36134" s="1"/>
  <c r="R738" i="36134"/>
  <c r="V738" i="36134"/>
  <c r="J739" i="36134"/>
  <c r="N739" i="36134"/>
  <c r="U739" i="36134" s="1"/>
  <c r="W739" i="36134" s="1"/>
  <c r="Q739" i="36134"/>
  <c r="R739" i="36134" s="1"/>
  <c r="V739" i="36134"/>
  <c r="J740" i="36134"/>
  <c r="N740" i="36134"/>
  <c r="U740" i="36134" s="1"/>
  <c r="W740" i="36134" s="1"/>
  <c r="Q740" i="36134"/>
  <c r="R740" i="36134" s="1"/>
  <c r="V740" i="36134"/>
  <c r="K741" i="36134"/>
  <c r="N741" i="36134" s="1"/>
  <c r="U741" i="36134" s="1"/>
  <c r="W741" i="36134" s="1"/>
  <c r="R741" i="36134"/>
  <c r="V741" i="36134"/>
  <c r="N742" i="36134"/>
  <c r="U742" i="36134"/>
  <c r="W742" i="36134" s="1"/>
  <c r="R742" i="36134"/>
  <c r="V742" i="36134"/>
  <c r="J743" i="36134"/>
  <c r="N743" i="36134"/>
  <c r="U743" i="36134" s="1"/>
  <c r="W743" i="36134" s="1"/>
  <c r="R743" i="36134"/>
  <c r="V743" i="36134"/>
  <c r="K744" i="36134"/>
  <c r="N744" i="36134" s="1"/>
  <c r="U744" i="36134" s="1"/>
  <c r="W744" i="36134" s="1"/>
  <c r="R744" i="36134"/>
  <c r="V744" i="36134"/>
  <c r="J745" i="36134"/>
  <c r="N745" i="36134"/>
  <c r="U745" i="36134" s="1"/>
  <c r="W745" i="36134" s="1"/>
  <c r="Q745" i="36134"/>
  <c r="R745" i="36134" s="1"/>
  <c r="V745" i="36134"/>
  <c r="J746" i="36134"/>
  <c r="N746" i="36134"/>
  <c r="U746" i="36134" s="1"/>
  <c r="W746" i="36134" s="1"/>
  <c r="Q746" i="36134"/>
  <c r="R746" i="36134" s="1"/>
  <c r="V746" i="36134"/>
  <c r="J747" i="36134"/>
  <c r="N747" i="36134"/>
  <c r="U747" i="36134" s="1"/>
  <c r="W747" i="36134" s="1"/>
  <c r="Q747" i="36134"/>
  <c r="R747" i="36134" s="1"/>
  <c r="V747" i="36134"/>
  <c r="J748" i="36134"/>
  <c r="N748" i="36134"/>
  <c r="U748" i="36134" s="1"/>
  <c r="W748" i="36134" s="1"/>
  <c r="Q748" i="36134"/>
  <c r="R748" i="36134" s="1"/>
  <c r="V748" i="36134"/>
  <c r="J749" i="36134"/>
  <c r="N749" i="36134"/>
  <c r="U749" i="36134" s="1"/>
  <c r="W749" i="36134" s="1"/>
  <c r="Q749" i="36134"/>
  <c r="R749" i="36134" s="1"/>
  <c r="V749" i="36134"/>
  <c r="K750" i="36134"/>
  <c r="N750" i="36134" s="1"/>
  <c r="U750" i="36134" s="1"/>
  <c r="W750" i="36134" s="1"/>
  <c r="R750" i="36134"/>
  <c r="V750" i="36134"/>
  <c r="J751" i="36134"/>
  <c r="N751" i="36134"/>
  <c r="U751" i="36134" s="1"/>
  <c r="W751" i="36134" s="1"/>
  <c r="Q751" i="36134"/>
  <c r="R751" i="36134" s="1"/>
  <c r="V751" i="36134"/>
  <c r="J752" i="36134"/>
  <c r="N752" i="36134"/>
  <c r="U752" i="36134" s="1"/>
  <c r="W752" i="36134" s="1"/>
  <c r="Q752" i="36134"/>
  <c r="R752" i="36134" s="1"/>
  <c r="V752" i="36134"/>
  <c r="J753" i="36134"/>
  <c r="N753" i="36134"/>
  <c r="U753" i="36134" s="1"/>
  <c r="W753" i="36134" s="1"/>
  <c r="Q753" i="36134"/>
  <c r="R753" i="36134"/>
  <c r="V753" i="36134"/>
  <c r="J754" i="36134"/>
  <c r="N754" i="36134"/>
  <c r="U754" i="36134" s="1"/>
  <c r="W754" i="36134" s="1"/>
  <c r="Q754" i="36134"/>
  <c r="R754" i="36134" s="1"/>
  <c r="V754" i="36134"/>
  <c r="J755" i="36134"/>
  <c r="N755" i="36134"/>
  <c r="U755" i="36134" s="1"/>
  <c r="W755" i="36134" s="1"/>
  <c r="R755" i="36134"/>
  <c r="V755" i="36134"/>
  <c r="J756" i="36134"/>
  <c r="N756" i="36134"/>
  <c r="U756" i="36134" s="1"/>
  <c r="W756" i="36134" s="1"/>
  <c r="R756" i="36134"/>
  <c r="V756" i="36134"/>
  <c r="J757" i="36134"/>
  <c r="N757" i="36134"/>
  <c r="U757" i="36134" s="1"/>
  <c r="W757" i="36134"/>
  <c r="R757" i="36134"/>
  <c r="V757" i="36134"/>
  <c r="J758" i="36134"/>
  <c r="N758" i="36134"/>
  <c r="U758" i="36134" s="1"/>
  <c r="W758" i="36134" s="1"/>
  <c r="R758" i="36134"/>
  <c r="V758" i="36134"/>
  <c r="J759" i="36134"/>
  <c r="N759" i="36134"/>
  <c r="U759" i="36134" s="1"/>
  <c r="W759" i="36134" s="1"/>
  <c r="R759" i="36134"/>
  <c r="V759" i="36134"/>
  <c r="J760" i="36134"/>
  <c r="N760" i="36134"/>
  <c r="U760" i="36134" s="1"/>
  <c r="W760" i="36134" s="1"/>
  <c r="R760" i="36134"/>
  <c r="V760" i="36134"/>
  <c r="J761" i="36134"/>
  <c r="N761" i="36134"/>
  <c r="U761" i="36134" s="1"/>
  <c r="W761" i="36134" s="1"/>
  <c r="R761" i="36134"/>
  <c r="V761" i="36134"/>
  <c r="J762" i="36134"/>
  <c r="N762" i="36134"/>
  <c r="U762" i="36134"/>
  <c r="W762" i="36134" s="1"/>
  <c r="R762" i="36134"/>
  <c r="V762" i="36134"/>
  <c r="J763" i="36134"/>
  <c r="N763" i="36134"/>
  <c r="U763" i="36134" s="1"/>
  <c r="W763" i="36134" s="1"/>
  <c r="R763" i="36134"/>
  <c r="V763" i="36134"/>
  <c r="J764" i="36134"/>
  <c r="N764" i="36134"/>
  <c r="U764" i="36134" s="1"/>
  <c r="W764" i="36134" s="1"/>
  <c r="R764" i="36134"/>
  <c r="V764" i="36134"/>
  <c r="J765" i="36134"/>
  <c r="N765" i="36134"/>
  <c r="U765" i="36134" s="1"/>
  <c r="W765" i="36134" s="1"/>
  <c r="R765" i="36134"/>
  <c r="V765" i="36134"/>
  <c r="J766" i="36134"/>
  <c r="N766" i="36134"/>
  <c r="U766" i="36134" s="1"/>
  <c r="W766" i="36134" s="1"/>
  <c r="Q766" i="36134"/>
  <c r="R766" i="36134" s="1"/>
  <c r="V766" i="36134"/>
  <c r="J767" i="36134"/>
  <c r="N767" i="36134"/>
  <c r="U767" i="36134" s="1"/>
  <c r="W767" i="36134" s="1"/>
  <c r="R767" i="36134"/>
  <c r="V767" i="36134"/>
  <c r="J768" i="36134"/>
  <c r="N768" i="36134"/>
  <c r="U768" i="36134" s="1"/>
  <c r="W768" i="36134" s="1"/>
  <c r="R768" i="36134"/>
  <c r="V768" i="36134"/>
  <c r="J769" i="36134"/>
  <c r="N769" i="36134"/>
  <c r="U769" i="36134" s="1"/>
  <c r="W769" i="36134" s="1"/>
  <c r="R769" i="36134"/>
  <c r="V769" i="36134"/>
  <c r="J770" i="36134"/>
  <c r="N770" i="36134"/>
  <c r="U770" i="36134" s="1"/>
  <c r="W770" i="36134" s="1"/>
  <c r="R770" i="36134"/>
  <c r="V770" i="36134"/>
  <c r="J771" i="36134"/>
  <c r="N771" i="36134"/>
  <c r="U771" i="36134" s="1"/>
  <c r="W771" i="36134" s="1"/>
  <c r="R771" i="36134"/>
  <c r="V771" i="36134"/>
  <c r="J772" i="36134"/>
  <c r="N772" i="36134"/>
  <c r="U772" i="36134" s="1"/>
  <c r="W772" i="36134" s="1"/>
  <c r="R772" i="36134"/>
  <c r="V772" i="36134"/>
  <c r="J773" i="36134"/>
  <c r="N773" i="36134"/>
  <c r="U773" i="36134" s="1"/>
  <c r="W773" i="36134" s="1"/>
  <c r="R773" i="36134"/>
  <c r="V773" i="36134"/>
  <c r="K774" i="36134"/>
  <c r="N774" i="36134" s="1"/>
  <c r="U774" i="36134" s="1"/>
  <c r="W774" i="36134" s="1"/>
  <c r="Q774" i="36134"/>
  <c r="R774" i="36134" s="1"/>
  <c r="V774" i="36134"/>
  <c r="K775" i="36134"/>
  <c r="N775" i="36134" s="1"/>
  <c r="U775" i="36134" s="1"/>
  <c r="W775" i="36134" s="1"/>
  <c r="Q775" i="36134"/>
  <c r="R775" i="36134" s="1"/>
  <c r="V775" i="36134"/>
  <c r="J776" i="36134"/>
  <c r="N776" i="36134"/>
  <c r="U776" i="36134" s="1"/>
  <c r="W776" i="36134" s="1"/>
  <c r="Q776" i="36134"/>
  <c r="R776" i="36134" s="1"/>
  <c r="V776" i="36134"/>
  <c r="J777" i="36134"/>
  <c r="N777" i="36134"/>
  <c r="U777" i="36134" s="1"/>
  <c r="W777" i="36134" s="1"/>
  <c r="R777" i="36134"/>
  <c r="V777" i="36134"/>
  <c r="J778" i="36134"/>
  <c r="N778" i="36134"/>
  <c r="U778" i="36134" s="1"/>
  <c r="W778" i="36134" s="1"/>
  <c r="R778" i="36134"/>
  <c r="V778" i="36134"/>
  <c r="J779" i="36134"/>
  <c r="N779" i="36134"/>
  <c r="U779" i="36134" s="1"/>
  <c r="W779" i="36134" s="1"/>
  <c r="R779" i="36134"/>
  <c r="V779" i="36134"/>
  <c r="J780" i="36134"/>
  <c r="N780" i="36134"/>
  <c r="U780" i="36134" s="1"/>
  <c r="W780" i="36134" s="1"/>
  <c r="R780" i="36134"/>
  <c r="V780" i="36134"/>
  <c r="J781" i="36134"/>
  <c r="N781" i="36134"/>
  <c r="U781" i="36134" s="1"/>
  <c r="W781" i="36134" s="1"/>
  <c r="R781" i="36134"/>
  <c r="V781" i="36134"/>
  <c r="J782" i="36134"/>
  <c r="N782" i="36134"/>
  <c r="U782" i="36134" s="1"/>
  <c r="W782" i="36134" s="1"/>
  <c r="R782" i="36134"/>
  <c r="V782" i="36134"/>
  <c r="J783" i="36134"/>
  <c r="N783" i="36134"/>
  <c r="U783" i="36134" s="1"/>
  <c r="W783" i="36134" s="1"/>
  <c r="R783" i="36134"/>
  <c r="V783" i="36134"/>
  <c r="J784" i="36134"/>
  <c r="N784" i="36134"/>
  <c r="U784" i="36134" s="1"/>
  <c r="W784" i="36134" s="1"/>
  <c r="R784" i="36134"/>
  <c r="V784" i="36134"/>
  <c r="J785" i="36134"/>
  <c r="N785" i="36134"/>
  <c r="U785" i="36134" s="1"/>
  <c r="W785" i="36134" s="1"/>
  <c r="R785" i="36134"/>
  <c r="V785" i="36134"/>
  <c r="J786" i="36134"/>
  <c r="N786" i="36134"/>
  <c r="U786" i="36134" s="1"/>
  <c r="W786" i="36134" s="1"/>
  <c r="R786" i="36134"/>
  <c r="V786" i="36134"/>
  <c r="J787" i="36134"/>
  <c r="N787" i="36134"/>
  <c r="U787" i="36134" s="1"/>
  <c r="W787" i="36134" s="1"/>
  <c r="R787" i="36134"/>
  <c r="V787" i="36134"/>
  <c r="J788" i="36134"/>
  <c r="N788" i="36134"/>
  <c r="U788" i="36134" s="1"/>
  <c r="W788" i="36134" s="1"/>
  <c r="R788" i="36134"/>
  <c r="V788" i="36134"/>
  <c r="J789" i="36134"/>
  <c r="N789" i="36134"/>
  <c r="U789" i="36134" s="1"/>
  <c r="W789" i="36134" s="1"/>
  <c r="R789" i="36134"/>
  <c r="V789" i="36134"/>
  <c r="K790" i="36134"/>
  <c r="N790" i="36134" s="1"/>
  <c r="U790" i="36134" s="1"/>
  <c r="W790" i="36134" s="1"/>
  <c r="Q790" i="36134"/>
  <c r="R790" i="36134" s="1"/>
  <c r="V790" i="36134"/>
  <c r="K791" i="36134"/>
  <c r="N791" i="36134" s="1"/>
  <c r="U791" i="36134" s="1"/>
  <c r="W791" i="36134" s="1"/>
  <c r="R791" i="36134"/>
  <c r="V791" i="36134"/>
  <c r="J792" i="36134"/>
  <c r="N792" i="36134"/>
  <c r="U792" i="36134" s="1"/>
  <c r="W792" i="36134" s="1"/>
  <c r="R792" i="36134"/>
  <c r="V792" i="36134"/>
  <c r="J793" i="36134"/>
  <c r="N793" i="36134"/>
  <c r="U793" i="36134" s="1"/>
  <c r="W793" i="36134" s="1"/>
  <c r="R793" i="36134"/>
  <c r="V793" i="36134"/>
  <c r="J794" i="36134"/>
  <c r="N794" i="36134"/>
  <c r="U794" i="36134" s="1"/>
  <c r="W794" i="36134" s="1"/>
  <c r="R794" i="36134"/>
  <c r="V794" i="36134"/>
  <c r="J795" i="36134"/>
  <c r="N795" i="36134"/>
  <c r="U795" i="36134" s="1"/>
  <c r="W795" i="36134" s="1"/>
  <c r="R795" i="36134"/>
  <c r="V795" i="36134"/>
  <c r="J796" i="36134"/>
  <c r="N796" i="36134"/>
  <c r="U796" i="36134" s="1"/>
  <c r="W796" i="36134" s="1"/>
  <c r="R796" i="36134"/>
  <c r="V796" i="36134"/>
  <c r="J797" i="36134"/>
  <c r="N797" i="36134"/>
  <c r="U797" i="36134" s="1"/>
  <c r="W797" i="36134" s="1"/>
  <c r="R797" i="36134"/>
  <c r="V797" i="36134"/>
  <c r="J798" i="36134"/>
  <c r="N798" i="36134"/>
  <c r="U798" i="36134" s="1"/>
  <c r="W798" i="36134" s="1"/>
  <c r="R798" i="36134"/>
  <c r="V798" i="36134"/>
  <c r="J799" i="36134"/>
  <c r="N799" i="36134"/>
  <c r="U799" i="36134" s="1"/>
  <c r="W799" i="36134" s="1"/>
  <c r="R799" i="36134"/>
  <c r="V799" i="36134"/>
  <c r="K800" i="36134"/>
  <c r="N800" i="36134" s="1"/>
  <c r="U800" i="36134" s="1"/>
  <c r="W800" i="36134" s="1"/>
  <c r="Q800" i="36134"/>
  <c r="R800" i="36134" s="1"/>
  <c r="V800" i="36134"/>
  <c r="J801" i="36134"/>
  <c r="N801" i="36134"/>
  <c r="U801" i="36134" s="1"/>
  <c r="W801" i="36134" s="1"/>
  <c r="R801" i="36134"/>
  <c r="V801" i="36134"/>
  <c r="J802" i="36134"/>
  <c r="N802" i="36134"/>
  <c r="U802" i="36134" s="1"/>
  <c r="W802" i="36134" s="1"/>
  <c r="R802" i="36134"/>
  <c r="V802" i="36134"/>
  <c r="J803" i="36134"/>
  <c r="N803" i="36134"/>
  <c r="U803" i="36134" s="1"/>
  <c r="W803" i="36134" s="1"/>
  <c r="R803" i="36134"/>
  <c r="V803" i="36134"/>
  <c r="J804" i="36134"/>
  <c r="N804" i="36134"/>
  <c r="U804" i="36134" s="1"/>
  <c r="W804" i="36134" s="1"/>
  <c r="R804" i="36134"/>
  <c r="V804" i="36134"/>
  <c r="J805" i="36134"/>
  <c r="N805" i="36134"/>
  <c r="U805" i="36134" s="1"/>
  <c r="W805" i="36134" s="1"/>
  <c r="R805" i="36134"/>
  <c r="V805" i="36134"/>
  <c r="J806" i="36134"/>
  <c r="N806" i="36134"/>
  <c r="U806" i="36134" s="1"/>
  <c r="W806" i="36134" s="1"/>
  <c r="R806" i="36134"/>
  <c r="V806" i="36134"/>
  <c r="J807" i="36134"/>
  <c r="N807" i="36134"/>
  <c r="U807" i="36134" s="1"/>
  <c r="W807" i="36134" s="1"/>
  <c r="R807" i="36134"/>
  <c r="V807" i="36134"/>
  <c r="J808" i="36134"/>
  <c r="N808" i="36134"/>
  <c r="U808" i="36134" s="1"/>
  <c r="W808" i="36134" s="1"/>
  <c r="R808" i="36134"/>
  <c r="V808" i="36134"/>
  <c r="J809" i="36134"/>
  <c r="N809" i="36134"/>
  <c r="U809" i="36134" s="1"/>
  <c r="W809" i="36134" s="1"/>
  <c r="R809" i="36134"/>
  <c r="V809" i="36134"/>
  <c r="J810" i="36134"/>
  <c r="N810" i="36134"/>
  <c r="U810" i="36134" s="1"/>
  <c r="W810" i="36134" s="1"/>
  <c r="R810" i="36134"/>
  <c r="V810" i="36134"/>
  <c r="J811" i="36134"/>
  <c r="N811" i="36134"/>
  <c r="U811" i="36134" s="1"/>
  <c r="W811" i="36134" s="1"/>
  <c r="R811" i="36134"/>
  <c r="V811" i="36134"/>
  <c r="J812" i="36134"/>
  <c r="N812" i="36134"/>
  <c r="U812" i="36134" s="1"/>
  <c r="W812" i="36134" s="1"/>
  <c r="R812" i="36134"/>
  <c r="V812" i="36134"/>
  <c r="J813" i="36134"/>
  <c r="N813" i="36134"/>
  <c r="U813" i="36134" s="1"/>
  <c r="W813" i="36134" s="1"/>
  <c r="R813" i="36134"/>
  <c r="V813" i="36134"/>
  <c r="J814" i="36134"/>
  <c r="N814" i="36134"/>
  <c r="U814" i="36134" s="1"/>
  <c r="W814" i="36134" s="1"/>
  <c r="R814" i="36134"/>
  <c r="V814" i="36134"/>
  <c r="K815" i="36134"/>
  <c r="N815" i="36134" s="1"/>
  <c r="U815" i="36134" s="1"/>
  <c r="W815" i="36134" s="1"/>
  <c r="R815" i="36134"/>
  <c r="V815" i="36134"/>
  <c r="K816" i="36134"/>
  <c r="N816" i="36134" s="1"/>
  <c r="U816" i="36134" s="1"/>
  <c r="W816" i="36134" s="1"/>
  <c r="R816" i="36134"/>
  <c r="V816" i="36134"/>
  <c r="J817" i="36134"/>
  <c r="N817" i="36134"/>
  <c r="U817" i="36134" s="1"/>
  <c r="W817" i="36134" s="1"/>
  <c r="R817" i="36134"/>
  <c r="V817" i="36134"/>
  <c r="J818" i="36134"/>
  <c r="N818" i="36134"/>
  <c r="U818" i="36134" s="1"/>
  <c r="W818" i="36134" s="1"/>
  <c r="R818" i="36134"/>
  <c r="V818" i="36134"/>
  <c r="K819" i="36134"/>
  <c r="N819" i="36134" s="1"/>
  <c r="U819" i="36134" s="1"/>
  <c r="W819" i="36134" s="1"/>
  <c r="R819" i="36134"/>
  <c r="V819" i="36134"/>
  <c r="J820" i="36134"/>
  <c r="N820" i="36134"/>
  <c r="U820" i="36134" s="1"/>
  <c r="W820" i="36134" s="1"/>
  <c r="R820" i="36134"/>
  <c r="V820" i="36134"/>
  <c r="J821" i="36134"/>
  <c r="N821" i="36134"/>
  <c r="U821" i="36134"/>
  <c r="W821" i="36134" s="1"/>
  <c r="R821" i="36134"/>
  <c r="V821" i="36134"/>
  <c r="J822" i="36134"/>
  <c r="N822" i="36134"/>
  <c r="U822" i="36134" s="1"/>
  <c r="W822" i="36134" s="1"/>
  <c r="R822" i="36134"/>
  <c r="V822" i="36134"/>
  <c r="J823" i="36134"/>
  <c r="N823" i="36134"/>
  <c r="U823" i="36134" s="1"/>
  <c r="W823" i="36134" s="1"/>
  <c r="R823" i="36134"/>
  <c r="V823" i="36134"/>
  <c r="J824" i="36134"/>
  <c r="N824" i="36134"/>
  <c r="U824" i="36134" s="1"/>
  <c r="W824" i="36134" s="1"/>
  <c r="R824" i="36134"/>
  <c r="V824" i="36134"/>
  <c r="K825" i="36134"/>
  <c r="N825" i="36134" s="1"/>
  <c r="U825" i="36134" s="1"/>
  <c r="W825" i="36134" s="1"/>
  <c r="R825" i="36134"/>
  <c r="V825" i="36134"/>
  <c r="K826" i="36134"/>
  <c r="N826" i="36134" s="1"/>
  <c r="U826" i="36134" s="1"/>
  <c r="W826" i="36134" s="1"/>
  <c r="R826" i="36134"/>
  <c r="V826" i="36134"/>
  <c r="K827" i="36134"/>
  <c r="N827" i="36134" s="1"/>
  <c r="U827" i="36134" s="1"/>
  <c r="W827" i="36134" s="1"/>
  <c r="R827" i="36134"/>
  <c r="V827" i="36134"/>
  <c r="K828" i="36134"/>
  <c r="N828" i="36134" s="1"/>
  <c r="U828" i="36134" s="1"/>
  <c r="W828" i="36134" s="1"/>
  <c r="R828" i="36134"/>
  <c r="V828" i="36134"/>
  <c r="J829" i="36134"/>
  <c r="N829" i="36134"/>
  <c r="U829" i="36134" s="1"/>
  <c r="W829" i="36134" s="1"/>
  <c r="R829" i="36134"/>
  <c r="V829" i="36134"/>
  <c r="K830" i="36134"/>
  <c r="N830" i="36134" s="1"/>
  <c r="U830" i="36134" s="1"/>
  <c r="W830" i="36134" s="1"/>
  <c r="Q830" i="36134"/>
  <c r="R830" i="36134" s="1"/>
  <c r="V830" i="36134"/>
  <c r="K831" i="36134"/>
  <c r="N831" i="36134" s="1"/>
  <c r="U831" i="36134" s="1"/>
  <c r="W831" i="36134" s="1"/>
  <c r="Q831" i="36134"/>
  <c r="R831" i="36134" s="1"/>
  <c r="V831" i="36134"/>
  <c r="K832" i="36134"/>
  <c r="N832" i="36134" s="1"/>
  <c r="U832" i="36134" s="1"/>
  <c r="W832" i="36134" s="1"/>
  <c r="Q832" i="36134"/>
  <c r="R832" i="36134" s="1"/>
  <c r="V832" i="36134"/>
  <c r="K833" i="36134"/>
  <c r="N833" i="36134" s="1"/>
  <c r="U833" i="36134" s="1"/>
  <c r="W833" i="36134" s="1"/>
  <c r="Q833" i="36134"/>
  <c r="R833" i="36134" s="1"/>
  <c r="V833" i="36134"/>
  <c r="J834" i="36134"/>
  <c r="N834" i="36134"/>
  <c r="U834" i="36134" s="1"/>
  <c r="W834" i="36134" s="1"/>
  <c r="Q834" i="36134"/>
  <c r="R834" i="36134" s="1"/>
  <c r="V834" i="36134"/>
  <c r="K835" i="36134"/>
  <c r="N835" i="36134" s="1"/>
  <c r="U835" i="36134" s="1"/>
  <c r="W835" i="36134" s="1"/>
  <c r="Q835" i="36134"/>
  <c r="R835" i="36134" s="1"/>
  <c r="V835" i="36134"/>
  <c r="J836" i="36134"/>
  <c r="N836" i="36134"/>
  <c r="U836" i="36134" s="1"/>
  <c r="W836" i="36134" s="1"/>
  <c r="R836" i="36134"/>
  <c r="V836" i="36134"/>
  <c r="K837" i="36134"/>
  <c r="N837" i="36134" s="1"/>
  <c r="U837" i="36134" s="1"/>
  <c r="W837" i="36134" s="1"/>
  <c r="Q837" i="36134"/>
  <c r="R837" i="36134" s="1"/>
  <c r="V837" i="36134"/>
  <c r="J838" i="36134"/>
  <c r="N838" i="36134"/>
  <c r="U838" i="36134" s="1"/>
  <c r="W838" i="36134" s="1"/>
  <c r="R838" i="36134"/>
  <c r="V838" i="36134"/>
  <c r="J839" i="36134"/>
  <c r="N839" i="36134"/>
  <c r="U839" i="36134" s="1"/>
  <c r="W839" i="36134" s="1"/>
  <c r="R839" i="36134"/>
  <c r="V839" i="36134"/>
  <c r="J840" i="36134"/>
  <c r="N840" i="36134"/>
  <c r="U840" i="36134" s="1"/>
  <c r="W840" i="36134" s="1"/>
  <c r="R840" i="36134"/>
  <c r="V840" i="36134"/>
  <c r="J841" i="36134"/>
  <c r="N841" i="36134"/>
  <c r="U841" i="36134" s="1"/>
  <c r="W841" i="36134" s="1"/>
  <c r="R841" i="36134"/>
  <c r="V841" i="36134"/>
  <c r="K842" i="36134"/>
  <c r="N842" i="36134" s="1"/>
  <c r="U842" i="36134" s="1"/>
  <c r="W842" i="36134" s="1"/>
  <c r="R842" i="36134"/>
  <c r="V842" i="36134"/>
  <c r="K843" i="36134"/>
  <c r="N843" i="36134" s="1"/>
  <c r="U843" i="36134" s="1"/>
  <c r="W843" i="36134" s="1"/>
  <c r="R843" i="36134"/>
  <c r="V843" i="36134"/>
  <c r="J844" i="36134"/>
  <c r="N844" i="36134"/>
  <c r="U844" i="36134" s="1"/>
  <c r="W844" i="36134" s="1"/>
  <c r="Q844" i="36134"/>
  <c r="R844" i="36134" s="1"/>
  <c r="V844" i="36134"/>
  <c r="K845" i="36134"/>
  <c r="N845" i="36134" s="1"/>
  <c r="U845" i="36134" s="1"/>
  <c r="W845" i="36134" s="1"/>
  <c r="R845" i="36134"/>
  <c r="V845" i="36134"/>
  <c r="K846" i="36134"/>
  <c r="N846" i="36134" s="1"/>
  <c r="U846" i="36134" s="1"/>
  <c r="W846" i="36134" s="1"/>
  <c r="R846" i="36134"/>
  <c r="V846" i="36134"/>
  <c r="K847" i="36134"/>
  <c r="N847" i="36134" s="1"/>
  <c r="U847" i="36134" s="1"/>
  <c r="W847" i="36134" s="1"/>
  <c r="R847" i="36134"/>
  <c r="V847" i="36134"/>
  <c r="J848" i="36134"/>
  <c r="N848" i="36134"/>
  <c r="U848" i="36134" s="1"/>
  <c r="W848" i="36134" s="1"/>
  <c r="R848" i="36134"/>
  <c r="V848" i="36134"/>
  <c r="J849" i="36134"/>
  <c r="N849" i="36134"/>
  <c r="U849" i="36134" s="1"/>
  <c r="W849" i="36134" s="1"/>
  <c r="Q849" i="36134"/>
  <c r="R849" i="36134" s="1"/>
  <c r="V849" i="36134"/>
  <c r="K850" i="36134"/>
  <c r="N850" i="36134" s="1"/>
  <c r="U850" i="36134" s="1"/>
  <c r="W850" i="36134" s="1"/>
  <c r="Q850" i="36134"/>
  <c r="R850" i="36134" s="1"/>
  <c r="V850" i="36134"/>
  <c r="K851" i="36134"/>
  <c r="N851" i="36134"/>
  <c r="U851" i="36134" s="1"/>
  <c r="W851" i="36134" s="1"/>
  <c r="R851" i="36134"/>
  <c r="V851" i="36134"/>
  <c r="J852" i="36134"/>
  <c r="N852" i="36134"/>
  <c r="U852" i="36134" s="1"/>
  <c r="W852" i="36134" s="1"/>
  <c r="R852" i="36134"/>
  <c r="V852" i="36134"/>
  <c r="J853" i="36134"/>
  <c r="N853" i="36134"/>
  <c r="U853" i="36134" s="1"/>
  <c r="W853" i="36134" s="1"/>
  <c r="R853" i="36134"/>
  <c r="V853" i="36134"/>
  <c r="J854" i="36134"/>
  <c r="N854" i="36134"/>
  <c r="U854" i="36134" s="1"/>
  <c r="W854" i="36134" s="1"/>
  <c r="R854" i="36134"/>
  <c r="V854" i="36134"/>
  <c r="J855" i="36134"/>
  <c r="N855" i="36134"/>
  <c r="U855" i="36134" s="1"/>
  <c r="W855" i="36134" s="1"/>
  <c r="R855" i="36134"/>
  <c r="V855" i="36134"/>
  <c r="J856" i="36134"/>
  <c r="N856" i="36134"/>
  <c r="U856" i="36134" s="1"/>
  <c r="W856" i="36134" s="1"/>
  <c r="R856" i="36134"/>
  <c r="V856" i="36134"/>
  <c r="J857" i="36134"/>
  <c r="N857" i="36134"/>
  <c r="U857" i="36134" s="1"/>
  <c r="W857" i="36134" s="1"/>
  <c r="R857" i="36134"/>
  <c r="V857" i="36134"/>
  <c r="K858" i="36134"/>
  <c r="N858" i="36134" s="1"/>
  <c r="U858" i="36134" s="1"/>
  <c r="W858" i="36134" s="1"/>
  <c r="R858" i="36134"/>
  <c r="V858" i="36134"/>
  <c r="J859" i="36134"/>
  <c r="N859" i="36134"/>
  <c r="U859" i="36134" s="1"/>
  <c r="W859" i="36134" s="1"/>
  <c r="Q859" i="36134"/>
  <c r="R859" i="36134" s="1"/>
  <c r="V859" i="36134"/>
  <c r="J860" i="36134"/>
  <c r="N860" i="36134"/>
  <c r="U860" i="36134" s="1"/>
  <c r="W860" i="36134" s="1"/>
  <c r="Q860" i="36134"/>
  <c r="R860" i="36134" s="1"/>
  <c r="V860" i="36134"/>
  <c r="J861" i="36134"/>
  <c r="N861" i="36134"/>
  <c r="U861" i="36134" s="1"/>
  <c r="W861" i="36134" s="1"/>
  <c r="Q861" i="36134"/>
  <c r="R861" i="36134" s="1"/>
  <c r="V861" i="36134"/>
  <c r="K862" i="36134"/>
  <c r="N862" i="36134" s="1"/>
  <c r="U862" i="36134" s="1"/>
  <c r="W862" i="36134" s="1"/>
  <c r="Q862" i="36134"/>
  <c r="R862" i="36134" s="1"/>
  <c r="V862" i="36134"/>
  <c r="J863" i="36134"/>
  <c r="N863" i="36134"/>
  <c r="U863" i="36134" s="1"/>
  <c r="W863" i="36134" s="1"/>
  <c r="Q863" i="36134"/>
  <c r="R863" i="36134" s="1"/>
  <c r="V863" i="36134"/>
  <c r="K864" i="36134"/>
  <c r="N864" i="36134" s="1"/>
  <c r="U864" i="36134" s="1"/>
  <c r="W864" i="36134" s="1"/>
  <c r="R864" i="36134"/>
  <c r="V864" i="36134"/>
  <c r="N865" i="36134"/>
  <c r="U865" i="36134" s="1"/>
  <c r="W865" i="36134" s="1"/>
  <c r="R865" i="36134"/>
  <c r="V865" i="36134"/>
  <c r="J866" i="36134"/>
  <c r="N866" i="36134"/>
  <c r="U866" i="36134" s="1"/>
  <c r="W866" i="36134" s="1"/>
  <c r="R866" i="36134"/>
  <c r="V866" i="36134"/>
  <c r="J867" i="36134"/>
  <c r="N867" i="36134"/>
  <c r="U867" i="36134" s="1"/>
  <c r="W867" i="36134" s="1"/>
  <c r="R867" i="36134"/>
  <c r="V867" i="36134"/>
  <c r="J868" i="36134"/>
  <c r="N868" i="36134"/>
  <c r="U868" i="36134" s="1"/>
  <c r="W868" i="36134" s="1"/>
  <c r="R868" i="36134"/>
  <c r="V868" i="36134"/>
  <c r="J869" i="36134"/>
  <c r="N869" i="36134"/>
  <c r="U869" i="36134" s="1"/>
  <c r="W869" i="36134" s="1"/>
  <c r="R869" i="36134"/>
  <c r="V869" i="36134"/>
  <c r="J870" i="36134"/>
  <c r="N870" i="36134"/>
  <c r="U870" i="36134" s="1"/>
  <c r="W870" i="36134" s="1"/>
  <c r="R870" i="36134"/>
  <c r="V870" i="36134"/>
  <c r="K871" i="36134"/>
  <c r="N871" i="36134" s="1"/>
  <c r="U871" i="36134" s="1"/>
  <c r="W871" i="36134" s="1"/>
  <c r="R871" i="36134"/>
  <c r="V871" i="36134"/>
  <c r="J872" i="36134"/>
  <c r="N872" i="36134"/>
  <c r="U872" i="36134" s="1"/>
  <c r="W872" i="36134" s="1"/>
  <c r="R872" i="36134"/>
  <c r="V872" i="36134"/>
  <c r="K873" i="36134"/>
  <c r="N873" i="36134" s="1"/>
  <c r="U873" i="36134" s="1"/>
  <c r="W873" i="36134" s="1"/>
  <c r="R873" i="36134"/>
  <c r="V873" i="36134"/>
  <c r="K874" i="36134"/>
  <c r="N874" i="36134" s="1"/>
  <c r="U874" i="36134" s="1"/>
  <c r="W874" i="36134" s="1"/>
  <c r="R874" i="36134"/>
  <c r="V874" i="36134"/>
  <c r="J875" i="36134"/>
  <c r="N875" i="36134"/>
  <c r="U875" i="36134" s="1"/>
  <c r="W875" i="36134" s="1"/>
  <c r="R875" i="36134"/>
  <c r="V875" i="36134"/>
  <c r="J876" i="36134"/>
  <c r="N876" i="36134"/>
  <c r="U876" i="36134" s="1"/>
  <c r="W876" i="36134" s="1"/>
  <c r="R876" i="36134"/>
  <c r="V876" i="36134"/>
  <c r="J877" i="36134"/>
  <c r="N877" i="36134"/>
  <c r="U877" i="36134" s="1"/>
  <c r="W877" i="36134" s="1"/>
  <c r="R877" i="36134"/>
  <c r="V877" i="36134"/>
  <c r="J878" i="36134"/>
  <c r="N878" i="36134"/>
  <c r="U878" i="36134" s="1"/>
  <c r="W878" i="36134" s="1"/>
  <c r="R878" i="36134"/>
  <c r="V878" i="36134"/>
  <c r="J879" i="36134"/>
  <c r="N879" i="36134"/>
  <c r="U879" i="36134" s="1"/>
  <c r="W879" i="36134" s="1"/>
  <c r="R879" i="36134"/>
  <c r="V879" i="36134"/>
  <c r="J880" i="36134"/>
  <c r="N880" i="36134"/>
  <c r="U880" i="36134" s="1"/>
  <c r="W880" i="36134" s="1"/>
  <c r="R880" i="36134"/>
  <c r="V880" i="36134"/>
  <c r="J881" i="36134"/>
  <c r="N881" i="36134"/>
  <c r="U881" i="36134" s="1"/>
  <c r="W881" i="36134" s="1"/>
  <c r="R881" i="36134"/>
  <c r="V881" i="36134"/>
  <c r="J882" i="36134"/>
  <c r="N882" i="36134"/>
  <c r="U882" i="36134" s="1"/>
  <c r="W882" i="36134" s="1"/>
  <c r="R882" i="36134"/>
  <c r="V882" i="36134"/>
  <c r="J883" i="36134"/>
  <c r="N883" i="36134"/>
  <c r="U883" i="36134" s="1"/>
  <c r="W883" i="36134" s="1"/>
  <c r="R883" i="36134"/>
  <c r="V883" i="36134"/>
  <c r="J884" i="36134"/>
  <c r="N884" i="36134"/>
  <c r="U884" i="36134"/>
  <c r="W884" i="36134" s="1"/>
  <c r="Q884" i="36134"/>
  <c r="R884" i="36134" s="1"/>
  <c r="V884" i="36134"/>
  <c r="J885" i="36134"/>
  <c r="N885" i="36134"/>
  <c r="U885" i="36134" s="1"/>
  <c r="W885" i="36134" s="1"/>
  <c r="Q885" i="36134"/>
  <c r="R885" i="36134" s="1"/>
  <c r="V885" i="36134"/>
  <c r="J886" i="36134"/>
  <c r="N886" i="36134"/>
  <c r="U886" i="36134" s="1"/>
  <c r="W886" i="36134" s="1"/>
  <c r="R886" i="36134"/>
  <c r="V886" i="36134"/>
  <c r="J887" i="36134"/>
  <c r="N887" i="36134"/>
  <c r="U887" i="36134" s="1"/>
  <c r="W887" i="36134" s="1"/>
  <c r="R887" i="36134"/>
  <c r="V887" i="36134"/>
  <c r="J888" i="36134"/>
  <c r="N888" i="36134"/>
  <c r="U888" i="36134" s="1"/>
  <c r="W888" i="36134" s="1"/>
  <c r="R888" i="36134"/>
  <c r="V888" i="36134"/>
  <c r="J889" i="36134"/>
  <c r="N889" i="36134"/>
  <c r="U889" i="36134"/>
  <c r="W889" i="36134" s="1"/>
  <c r="Q889" i="36134"/>
  <c r="R889" i="36134" s="1"/>
  <c r="V889" i="36134"/>
  <c r="J890" i="36134"/>
  <c r="N890" i="36134"/>
  <c r="U890" i="36134" s="1"/>
  <c r="W890" i="36134" s="1"/>
  <c r="Q890" i="36134"/>
  <c r="R890" i="36134" s="1"/>
  <c r="V890" i="36134"/>
  <c r="J891" i="36134"/>
  <c r="N891" i="36134"/>
  <c r="U891" i="36134" s="1"/>
  <c r="W891" i="36134" s="1"/>
  <c r="Q891" i="36134"/>
  <c r="R891" i="36134" s="1"/>
  <c r="V891" i="36134"/>
  <c r="K892" i="36134"/>
  <c r="N892" i="36134" s="1"/>
  <c r="U892" i="36134" s="1"/>
  <c r="W892" i="36134" s="1"/>
  <c r="Q892" i="36134"/>
  <c r="R892" i="36134"/>
  <c r="V892" i="36134"/>
  <c r="K893" i="36134"/>
  <c r="N893" i="36134"/>
  <c r="U893" i="36134" s="1"/>
  <c r="W893" i="36134" s="1"/>
  <c r="Q893" i="36134"/>
  <c r="R893" i="36134" s="1"/>
  <c r="V893" i="36134"/>
  <c r="J894" i="36134"/>
  <c r="N894" i="36134"/>
  <c r="U894" i="36134" s="1"/>
  <c r="W894" i="36134" s="1"/>
  <c r="Q894" i="36134"/>
  <c r="R894" i="36134" s="1"/>
  <c r="V894" i="36134"/>
  <c r="J895" i="36134"/>
  <c r="N895" i="36134"/>
  <c r="U895" i="36134" s="1"/>
  <c r="W895" i="36134" s="1"/>
  <c r="R895" i="36134"/>
  <c r="V895" i="36134"/>
  <c r="H896" i="36134"/>
  <c r="J896" i="36134"/>
  <c r="N896" i="36134"/>
  <c r="U896" i="36134" s="1"/>
  <c r="W896" i="36134" s="1"/>
  <c r="R896" i="36134"/>
  <c r="V896" i="36134"/>
  <c r="J897" i="36134"/>
  <c r="N897" i="36134"/>
  <c r="U897" i="36134" s="1"/>
  <c r="W897" i="36134" s="1"/>
  <c r="R897" i="36134"/>
  <c r="V897" i="36134"/>
  <c r="K898" i="36134"/>
  <c r="N898" i="36134" s="1"/>
  <c r="R898" i="36134"/>
  <c r="V898" i="36134"/>
  <c r="K899" i="36134"/>
  <c r="N899" i="36134"/>
  <c r="U899" i="36134" s="1"/>
  <c r="W899" i="36134" s="1"/>
  <c r="R899" i="36134"/>
  <c r="V899" i="36134"/>
  <c r="K900" i="36134"/>
  <c r="N900" i="36134" s="1"/>
  <c r="U900" i="36134" s="1"/>
  <c r="W900" i="36134" s="1"/>
  <c r="R900" i="36134"/>
  <c r="V900" i="36134"/>
  <c r="K901" i="36134"/>
  <c r="N901" i="36134" s="1"/>
  <c r="U901" i="36134" s="1"/>
  <c r="R901" i="36134"/>
  <c r="V901" i="36134"/>
  <c r="J902" i="36134"/>
  <c r="N902" i="36134"/>
  <c r="U902" i="36134" s="1"/>
  <c r="W902" i="36134" s="1"/>
  <c r="Q902" i="36134"/>
  <c r="R902" i="36134" s="1"/>
  <c r="V902" i="36134"/>
  <c r="J903" i="36134"/>
  <c r="N903" i="36134"/>
  <c r="U903" i="36134" s="1"/>
  <c r="W903" i="36134" s="1"/>
  <c r="R903" i="36134"/>
  <c r="V903" i="36134"/>
  <c r="J904" i="36134"/>
  <c r="N904" i="36134"/>
  <c r="U904" i="36134" s="1"/>
  <c r="W904" i="36134" s="1"/>
  <c r="Q904" i="36134"/>
  <c r="R904" i="36134" s="1"/>
  <c r="V904" i="36134"/>
  <c r="K905" i="36134"/>
  <c r="N905" i="36134" s="1"/>
  <c r="U905" i="36134" s="1"/>
  <c r="W905" i="36134" s="1"/>
  <c r="R905" i="36134"/>
  <c r="V905" i="36134"/>
  <c r="J906" i="36134"/>
  <c r="N906" i="36134"/>
  <c r="U906" i="36134" s="1"/>
  <c r="W906" i="36134" s="1"/>
  <c r="Q906" i="36134"/>
  <c r="R906" i="36134" s="1"/>
  <c r="V906" i="36134"/>
  <c r="J907" i="36134"/>
  <c r="N907" i="36134"/>
  <c r="U907" i="36134" s="1"/>
  <c r="W907" i="36134" s="1"/>
  <c r="R907" i="36134"/>
  <c r="V907" i="36134"/>
  <c r="J908" i="36134"/>
  <c r="N908" i="36134"/>
  <c r="U908" i="36134" s="1"/>
  <c r="W908" i="36134" s="1"/>
  <c r="R908" i="36134"/>
  <c r="V908" i="36134"/>
  <c r="J909" i="36134"/>
  <c r="N909" i="36134"/>
  <c r="U909" i="36134" s="1"/>
  <c r="W909" i="36134" s="1"/>
  <c r="R909" i="36134"/>
  <c r="V909" i="36134"/>
  <c r="J910" i="36134"/>
  <c r="N910" i="36134"/>
  <c r="U910" i="36134" s="1"/>
  <c r="W910" i="36134" s="1"/>
  <c r="R910" i="36134"/>
  <c r="V910" i="36134"/>
  <c r="K911" i="36134"/>
  <c r="N911" i="36134" s="1"/>
  <c r="U911" i="36134" s="1"/>
  <c r="W911" i="36134" s="1"/>
  <c r="R911" i="36134"/>
  <c r="V911" i="36134"/>
  <c r="K912" i="36134"/>
  <c r="N912" i="36134" s="1"/>
  <c r="U912" i="36134" s="1"/>
  <c r="W912" i="36134" s="1"/>
  <c r="R912" i="36134"/>
  <c r="V912" i="36134"/>
  <c r="J913" i="36134"/>
  <c r="N913" i="36134"/>
  <c r="U913" i="36134" s="1"/>
  <c r="W913" i="36134" s="1"/>
  <c r="R913" i="36134"/>
  <c r="V913" i="36134"/>
  <c r="K914" i="36134"/>
  <c r="N914" i="36134" s="1"/>
  <c r="U914" i="36134" s="1"/>
  <c r="W914" i="36134" s="1"/>
  <c r="R914" i="36134"/>
  <c r="V914" i="36134"/>
  <c r="J915" i="36134"/>
  <c r="N915" i="36134"/>
  <c r="U915" i="36134" s="1"/>
  <c r="W915" i="36134" s="1"/>
  <c r="R915" i="36134"/>
  <c r="V915" i="36134"/>
  <c r="J916" i="36134"/>
  <c r="N916" i="36134"/>
  <c r="U916" i="36134" s="1"/>
  <c r="W916" i="36134" s="1"/>
  <c r="R916" i="36134"/>
  <c r="V916" i="36134"/>
  <c r="K917" i="36134"/>
  <c r="N917" i="36134" s="1"/>
  <c r="U917" i="36134" s="1"/>
  <c r="W917" i="36134" s="1"/>
  <c r="R917" i="36134"/>
  <c r="V917" i="36134"/>
  <c r="J918" i="36134"/>
  <c r="N918" i="36134"/>
  <c r="U918" i="36134" s="1"/>
  <c r="W918" i="36134" s="1"/>
  <c r="R918" i="36134"/>
  <c r="V918" i="36134"/>
  <c r="K919" i="36134"/>
  <c r="N919" i="36134" s="1"/>
  <c r="U919" i="36134" s="1"/>
  <c r="W919" i="36134" s="1"/>
  <c r="R919" i="36134"/>
  <c r="V919" i="36134"/>
  <c r="J920" i="36134"/>
  <c r="N920" i="36134"/>
  <c r="U920" i="36134" s="1"/>
  <c r="W920" i="36134" s="1"/>
  <c r="Q920" i="36134"/>
  <c r="R920" i="36134" s="1"/>
  <c r="V920" i="36134"/>
  <c r="J921" i="36134"/>
  <c r="N921" i="36134"/>
  <c r="U921" i="36134" s="1"/>
  <c r="W921" i="36134" s="1"/>
  <c r="Q921" i="36134"/>
  <c r="R921" i="36134" s="1"/>
  <c r="V921" i="36134"/>
  <c r="N922" i="36134"/>
  <c r="U922" i="36134" s="1"/>
  <c r="W922" i="36134" s="1"/>
  <c r="R922" i="36134"/>
  <c r="V922" i="36134"/>
  <c r="N923" i="36134"/>
  <c r="U923" i="36134" s="1"/>
  <c r="W923" i="36134" s="1"/>
  <c r="Q923" i="36134"/>
  <c r="R923" i="36134" s="1"/>
  <c r="V923" i="36134"/>
  <c r="K924" i="36134"/>
  <c r="N924" i="36134" s="1"/>
  <c r="U924" i="36134" s="1"/>
  <c r="W924" i="36134" s="1"/>
  <c r="Q924" i="36134"/>
  <c r="R924" i="36134" s="1"/>
  <c r="V924" i="36134"/>
  <c r="N925" i="36134"/>
  <c r="U925" i="36134" s="1"/>
  <c r="W925" i="36134" s="1"/>
  <c r="Q925" i="36134"/>
  <c r="R925" i="36134" s="1"/>
  <c r="V925" i="36134"/>
  <c r="K926" i="36134"/>
  <c r="N926" i="36134" s="1"/>
  <c r="U926" i="36134" s="1"/>
  <c r="W926" i="36134" s="1"/>
  <c r="R926" i="36134"/>
  <c r="V926" i="36134"/>
  <c r="K927" i="36134"/>
  <c r="N927" i="36134" s="1"/>
  <c r="U927" i="36134" s="1"/>
  <c r="W927" i="36134" s="1"/>
  <c r="R927" i="36134"/>
  <c r="V927" i="36134"/>
  <c r="K928" i="36134"/>
  <c r="N928" i="36134" s="1"/>
  <c r="U928" i="36134" s="1"/>
  <c r="R928" i="36134"/>
  <c r="V928" i="36134"/>
  <c r="K929" i="36134"/>
  <c r="N929" i="36134" s="1"/>
  <c r="U929" i="36134" s="1"/>
  <c r="W929" i="36134" s="1"/>
  <c r="R929" i="36134"/>
  <c r="V929" i="36134"/>
  <c r="K930" i="36134"/>
  <c r="N930" i="36134" s="1"/>
  <c r="U930" i="36134" s="1"/>
  <c r="W930" i="36134" s="1"/>
  <c r="R930" i="36134"/>
  <c r="V930" i="36134"/>
  <c r="J931" i="36134"/>
  <c r="N931" i="36134"/>
  <c r="U931" i="36134" s="1"/>
  <c r="W931" i="36134" s="1"/>
  <c r="R931" i="36134"/>
  <c r="V931" i="36134"/>
  <c r="K932" i="36134"/>
  <c r="N932" i="36134" s="1"/>
  <c r="U932" i="36134" s="1"/>
  <c r="W932" i="36134" s="1"/>
  <c r="R932" i="36134"/>
  <c r="V932" i="36134"/>
  <c r="J933" i="36134"/>
  <c r="N933" i="36134"/>
  <c r="U933" i="36134" s="1"/>
  <c r="W933" i="36134" s="1"/>
  <c r="R933" i="36134"/>
  <c r="V933" i="36134"/>
  <c r="J934" i="36134"/>
  <c r="N934" i="36134"/>
  <c r="U934" i="36134" s="1"/>
  <c r="W934" i="36134" s="1"/>
  <c r="R934" i="36134"/>
  <c r="V934" i="36134"/>
  <c r="J935" i="36134"/>
  <c r="N935" i="36134"/>
  <c r="U935" i="36134" s="1"/>
  <c r="W935" i="36134" s="1"/>
  <c r="R935" i="36134"/>
  <c r="V935" i="36134"/>
  <c r="J936" i="36134"/>
  <c r="N936" i="36134"/>
  <c r="U936" i="36134" s="1"/>
  <c r="W936" i="36134" s="1"/>
  <c r="R936" i="36134"/>
  <c r="V936" i="36134"/>
  <c r="J937" i="36134"/>
  <c r="N937" i="36134"/>
  <c r="U937" i="36134" s="1"/>
  <c r="W937" i="36134" s="1"/>
  <c r="R937" i="36134"/>
  <c r="V937" i="36134"/>
  <c r="J938" i="36134"/>
  <c r="N938" i="36134"/>
  <c r="U938" i="36134" s="1"/>
  <c r="W938" i="36134" s="1"/>
  <c r="R938" i="36134"/>
  <c r="V938" i="36134"/>
  <c r="J939" i="36134"/>
  <c r="N939" i="36134"/>
  <c r="U939" i="36134" s="1"/>
  <c r="W939" i="36134" s="1"/>
  <c r="R939" i="36134"/>
  <c r="V939" i="36134"/>
  <c r="J940" i="36134"/>
  <c r="N940" i="36134"/>
  <c r="U940" i="36134"/>
  <c r="W940" i="36134" s="1"/>
  <c r="R940" i="36134"/>
  <c r="V940" i="36134"/>
  <c r="J941" i="36134"/>
  <c r="N941" i="36134"/>
  <c r="U941" i="36134" s="1"/>
  <c r="W941" i="36134" s="1"/>
  <c r="R941" i="36134"/>
  <c r="V941" i="36134"/>
  <c r="J942" i="36134"/>
  <c r="N942" i="36134"/>
  <c r="U942" i="36134" s="1"/>
  <c r="W942" i="36134" s="1"/>
  <c r="R942" i="36134"/>
  <c r="V942" i="36134"/>
  <c r="J943" i="36134"/>
  <c r="N943" i="36134"/>
  <c r="U943" i="36134" s="1"/>
  <c r="W943" i="36134" s="1"/>
  <c r="R943" i="36134"/>
  <c r="V943" i="36134"/>
  <c r="J944" i="36134"/>
  <c r="N944" i="36134"/>
  <c r="U944" i="36134" s="1"/>
  <c r="W944" i="36134" s="1"/>
  <c r="R944" i="36134"/>
  <c r="V944" i="36134"/>
  <c r="J945" i="36134"/>
  <c r="N945" i="36134"/>
  <c r="U945" i="36134" s="1"/>
  <c r="W945" i="36134" s="1"/>
  <c r="R945" i="36134"/>
  <c r="V945" i="36134"/>
  <c r="K946" i="36134"/>
  <c r="N946" i="36134" s="1"/>
  <c r="U946" i="36134" s="1"/>
  <c r="W946" i="36134" s="1"/>
  <c r="R946" i="36134"/>
  <c r="V946" i="36134"/>
  <c r="K947" i="36134"/>
  <c r="N947" i="36134" s="1"/>
  <c r="U947" i="36134" s="1"/>
  <c r="W947" i="36134" s="1"/>
  <c r="R947" i="36134"/>
  <c r="V947" i="36134"/>
  <c r="K948" i="36134"/>
  <c r="N948" i="36134" s="1"/>
  <c r="U948" i="36134" s="1"/>
  <c r="W948" i="36134" s="1"/>
  <c r="R948" i="36134"/>
  <c r="V948" i="36134"/>
  <c r="K949" i="36134"/>
  <c r="N949" i="36134" s="1"/>
  <c r="U949" i="36134" s="1"/>
  <c r="W949" i="36134" s="1"/>
  <c r="R949" i="36134"/>
  <c r="V949" i="36134"/>
  <c r="K950" i="36134"/>
  <c r="N950" i="36134" s="1"/>
  <c r="U950" i="36134" s="1"/>
  <c r="W950" i="36134" s="1"/>
  <c r="R950" i="36134"/>
  <c r="V950" i="36134"/>
  <c r="J951" i="36134"/>
  <c r="N951" i="36134"/>
  <c r="U951" i="36134" s="1"/>
  <c r="W951" i="36134" s="1"/>
  <c r="R951" i="36134"/>
  <c r="V951" i="36134"/>
  <c r="K952" i="36134"/>
  <c r="N952" i="36134" s="1"/>
  <c r="U952" i="36134" s="1"/>
  <c r="W952" i="36134" s="1"/>
  <c r="R952" i="36134"/>
  <c r="V952" i="36134"/>
  <c r="J953" i="36134"/>
  <c r="N953" i="36134"/>
  <c r="U953" i="36134" s="1"/>
  <c r="W953" i="36134" s="1"/>
  <c r="R953" i="36134"/>
  <c r="V953" i="36134"/>
  <c r="J954" i="36134"/>
  <c r="N954" i="36134"/>
  <c r="U954" i="36134" s="1"/>
  <c r="W954" i="36134" s="1"/>
  <c r="R954" i="36134"/>
  <c r="V954" i="36134"/>
  <c r="J955" i="36134"/>
  <c r="N955" i="36134"/>
  <c r="U955" i="36134"/>
  <c r="W955" i="36134" s="1"/>
  <c r="R955" i="36134"/>
  <c r="V955" i="36134"/>
  <c r="K956" i="36134"/>
  <c r="N956" i="36134" s="1"/>
  <c r="U956" i="36134" s="1"/>
  <c r="W956" i="36134" s="1"/>
  <c r="Q956" i="36134"/>
  <c r="R956" i="36134" s="1"/>
  <c r="V956" i="36134"/>
  <c r="K957" i="36134"/>
  <c r="N957" i="36134" s="1"/>
  <c r="U957" i="36134" s="1"/>
  <c r="W957" i="36134" s="1"/>
  <c r="Q957" i="36134"/>
  <c r="R957" i="36134"/>
  <c r="V957" i="36134"/>
  <c r="K958" i="36134"/>
  <c r="N958" i="36134" s="1"/>
  <c r="U958" i="36134" s="1"/>
  <c r="W958" i="36134" s="1"/>
  <c r="Q958" i="36134"/>
  <c r="R958" i="36134" s="1"/>
  <c r="V958" i="36134"/>
  <c r="K959" i="36134"/>
  <c r="N959" i="36134" s="1"/>
  <c r="U959" i="36134" s="1"/>
  <c r="W959" i="36134" s="1"/>
  <c r="Q959" i="36134"/>
  <c r="R959" i="36134" s="1"/>
  <c r="V959" i="36134"/>
  <c r="K960" i="36134"/>
  <c r="N960" i="36134" s="1"/>
  <c r="U960" i="36134" s="1"/>
  <c r="W960" i="36134" s="1"/>
  <c r="Q960" i="36134"/>
  <c r="R960" i="36134" s="1"/>
  <c r="V960" i="36134"/>
  <c r="K961" i="36134"/>
  <c r="N961" i="36134" s="1"/>
  <c r="U961" i="36134" s="1"/>
  <c r="W961" i="36134" s="1"/>
  <c r="Q961" i="36134"/>
  <c r="R961" i="36134" s="1"/>
  <c r="V961" i="36134"/>
  <c r="K962" i="36134"/>
  <c r="N962" i="36134" s="1"/>
  <c r="U962" i="36134" s="1"/>
  <c r="W962" i="36134" s="1"/>
  <c r="Q962" i="36134"/>
  <c r="R962" i="36134" s="1"/>
  <c r="V962" i="36134"/>
  <c r="K963" i="36134"/>
  <c r="N963" i="36134" s="1"/>
  <c r="U963" i="36134" s="1"/>
  <c r="W963" i="36134" s="1"/>
  <c r="R963" i="36134"/>
  <c r="V963" i="36134"/>
  <c r="K964" i="36134"/>
  <c r="N964" i="36134" s="1"/>
  <c r="U964" i="36134" s="1"/>
  <c r="W964" i="36134" s="1"/>
  <c r="Q964" i="36134"/>
  <c r="R964" i="36134" s="1"/>
  <c r="V964" i="36134"/>
  <c r="J965" i="36134"/>
  <c r="N965" i="36134"/>
  <c r="U965" i="36134" s="1"/>
  <c r="W965" i="36134" s="1"/>
  <c r="Q965" i="36134"/>
  <c r="R965" i="36134" s="1"/>
  <c r="V965" i="36134"/>
  <c r="K966" i="36134"/>
  <c r="N966" i="36134" s="1"/>
  <c r="U966" i="36134" s="1"/>
  <c r="W966" i="36134" s="1"/>
  <c r="Q966" i="36134"/>
  <c r="R966" i="36134" s="1"/>
  <c r="V966" i="36134"/>
  <c r="K967" i="36134"/>
  <c r="N967" i="36134" s="1"/>
  <c r="U967" i="36134" s="1"/>
  <c r="W967" i="36134" s="1"/>
  <c r="Q967" i="36134"/>
  <c r="R967" i="36134"/>
  <c r="V967" i="36134"/>
  <c r="J968" i="36134"/>
  <c r="N968" i="36134"/>
  <c r="U968" i="36134" s="1"/>
  <c r="W968" i="36134" s="1"/>
  <c r="Q968" i="36134"/>
  <c r="R968" i="36134" s="1"/>
  <c r="V968" i="36134"/>
  <c r="J969" i="36134"/>
  <c r="N969" i="36134"/>
  <c r="U969" i="36134" s="1"/>
  <c r="W969" i="36134" s="1"/>
  <c r="Q969" i="36134"/>
  <c r="R969" i="36134" s="1"/>
  <c r="V969" i="36134"/>
  <c r="K970" i="36134"/>
  <c r="N970" i="36134" s="1"/>
  <c r="U970" i="36134" s="1"/>
  <c r="W970" i="36134" s="1"/>
  <c r="R970" i="36134"/>
  <c r="V970" i="36134"/>
  <c r="J971" i="36134"/>
  <c r="N971" i="36134"/>
  <c r="U971" i="36134" s="1"/>
  <c r="W971" i="36134" s="1"/>
  <c r="Q971" i="36134"/>
  <c r="R971" i="36134" s="1"/>
  <c r="V971" i="36134"/>
  <c r="K972" i="36134"/>
  <c r="N972" i="36134" s="1"/>
  <c r="U972" i="36134" s="1"/>
  <c r="W972" i="36134" s="1"/>
  <c r="R972" i="36134"/>
  <c r="V972" i="36134"/>
  <c r="J973" i="36134"/>
  <c r="N973" i="36134"/>
  <c r="U973" i="36134" s="1"/>
  <c r="W973" i="36134" s="1"/>
  <c r="R973" i="36134"/>
  <c r="V973" i="36134"/>
  <c r="J974" i="36134"/>
  <c r="N974" i="36134"/>
  <c r="U974" i="36134" s="1"/>
  <c r="W974" i="36134" s="1"/>
  <c r="R974" i="36134"/>
  <c r="V974" i="36134"/>
  <c r="J975" i="36134"/>
  <c r="N975" i="36134"/>
  <c r="U975" i="36134" s="1"/>
  <c r="W975" i="36134" s="1"/>
  <c r="R975" i="36134"/>
  <c r="V975" i="36134"/>
  <c r="K976" i="36134"/>
  <c r="N976" i="36134"/>
  <c r="U976" i="36134" s="1"/>
  <c r="W976" i="36134" s="1"/>
  <c r="R976" i="36134"/>
  <c r="V976" i="36134"/>
  <c r="K977" i="36134"/>
  <c r="N977" i="36134" s="1"/>
  <c r="U977" i="36134" s="1"/>
  <c r="W977" i="36134" s="1"/>
  <c r="R977" i="36134"/>
  <c r="V977" i="36134"/>
  <c r="K978" i="36134"/>
  <c r="N978" i="36134"/>
  <c r="U978" i="36134" s="1"/>
  <c r="W978" i="36134" s="1"/>
  <c r="R978" i="36134"/>
  <c r="V978" i="36134"/>
  <c r="K979" i="36134"/>
  <c r="N979" i="36134" s="1"/>
  <c r="U979" i="36134" s="1"/>
  <c r="W979" i="36134" s="1"/>
  <c r="Q979" i="36134"/>
  <c r="R979" i="36134" s="1"/>
  <c r="V979" i="36134"/>
  <c r="K980" i="36134"/>
  <c r="N980" i="36134" s="1"/>
  <c r="U980" i="36134" s="1"/>
  <c r="W980" i="36134" s="1"/>
  <c r="R980" i="36134"/>
  <c r="V980" i="36134"/>
  <c r="J981" i="36134"/>
  <c r="N981" i="36134"/>
  <c r="U981" i="36134" s="1"/>
  <c r="W981" i="36134" s="1"/>
  <c r="R981" i="36134"/>
  <c r="V981" i="36134"/>
  <c r="J982" i="36134"/>
  <c r="N982" i="36134"/>
  <c r="U982" i="36134" s="1"/>
  <c r="W982" i="36134" s="1"/>
  <c r="Q982" i="36134"/>
  <c r="R982" i="36134" s="1"/>
  <c r="V982" i="36134"/>
  <c r="J983" i="36134"/>
  <c r="N983" i="36134"/>
  <c r="U983" i="36134" s="1"/>
  <c r="W983" i="36134" s="1"/>
  <c r="R983" i="36134"/>
  <c r="V983" i="36134"/>
  <c r="J984" i="36134"/>
  <c r="N984" i="36134"/>
  <c r="U984" i="36134" s="1"/>
  <c r="W984" i="36134" s="1"/>
  <c r="R984" i="36134"/>
  <c r="V984" i="36134"/>
  <c r="J985" i="36134"/>
  <c r="N985" i="36134"/>
  <c r="U985" i="36134" s="1"/>
  <c r="W985" i="36134" s="1"/>
  <c r="R985" i="36134"/>
  <c r="V985" i="36134"/>
  <c r="J986" i="36134"/>
  <c r="N986" i="36134"/>
  <c r="U986" i="36134" s="1"/>
  <c r="W986" i="36134" s="1"/>
  <c r="R986" i="36134"/>
  <c r="V986" i="36134"/>
  <c r="J987" i="36134"/>
  <c r="N987" i="36134"/>
  <c r="U987" i="36134" s="1"/>
  <c r="W987" i="36134" s="1"/>
  <c r="R987" i="36134"/>
  <c r="V987" i="36134"/>
  <c r="J988" i="36134"/>
  <c r="N988" i="36134"/>
  <c r="U988" i="36134" s="1"/>
  <c r="W988" i="36134" s="1"/>
  <c r="R988" i="36134"/>
  <c r="V988" i="36134"/>
  <c r="J989" i="36134"/>
  <c r="N989" i="36134"/>
  <c r="U989" i="36134" s="1"/>
  <c r="W989" i="36134" s="1"/>
  <c r="R989" i="36134"/>
  <c r="V989" i="36134"/>
  <c r="J990" i="36134"/>
  <c r="N990" i="36134"/>
  <c r="U990" i="36134" s="1"/>
  <c r="W990" i="36134" s="1"/>
  <c r="R990" i="36134"/>
  <c r="V990" i="36134"/>
  <c r="J991" i="36134"/>
  <c r="N991" i="36134"/>
  <c r="U991" i="36134" s="1"/>
  <c r="W991" i="36134" s="1"/>
  <c r="R991" i="36134"/>
  <c r="V991" i="36134"/>
  <c r="J992" i="36134"/>
  <c r="N992" i="36134"/>
  <c r="U992" i="36134" s="1"/>
  <c r="W992" i="36134" s="1"/>
  <c r="R992" i="36134"/>
  <c r="V992" i="36134"/>
  <c r="J993" i="36134"/>
  <c r="N993" i="36134"/>
  <c r="U993" i="36134" s="1"/>
  <c r="W993" i="36134" s="1"/>
  <c r="R993" i="36134"/>
  <c r="V993" i="36134"/>
  <c r="K994" i="36134"/>
  <c r="N994" i="36134" s="1"/>
  <c r="U994" i="36134" s="1"/>
  <c r="W994" i="36134" s="1"/>
  <c r="Q994" i="36134"/>
  <c r="R994" i="36134" s="1"/>
  <c r="V994" i="36134"/>
  <c r="K995" i="36134"/>
  <c r="N995" i="36134" s="1"/>
  <c r="U995" i="36134" s="1"/>
  <c r="W995" i="36134" s="1"/>
  <c r="Q995" i="36134"/>
  <c r="R995" i="36134" s="1"/>
  <c r="V995" i="36134"/>
  <c r="K996" i="36134"/>
  <c r="N996" i="36134" s="1"/>
  <c r="U996" i="36134" s="1"/>
  <c r="W996" i="36134" s="1"/>
  <c r="Q996" i="36134"/>
  <c r="R996" i="36134" s="1"/>
  <c r="V996" i="36134"/>
  <c r="K997" i="36134"/>
  <c r="N997" i="36134" s="1"/>
  <c r="U997" i="36134" s="1"/>
  <c r="W997" i="36134" s="1"/>
  <c r="Q997" i="36134"/>
  <c r="R997" i="36134"/>
  <c r="V997" i="36134"/>
  <c r="K998" i="36134"/>
  <c r="N998" i="36134" s="1"/>
  <c r="U998" i="36134" s="1"/>
  <c r="W998" i="36134" s="1"/>
  <c r="Q998" i="36134"/>
  <c r="R998" i="36134" s="1"/>
  <c r="V998" i="36134"/>
  <c r="N999" i="36134"/>
  <c r="U999" i="36134" s="1"/>
  <c r="W999" i="36134" s="1"/>
  <c r="Q999" i="36134"/>
  <c r="R999" i="36134" s="1"/>
  <c r="V999" i="36134"/>
  <c r="J1000" i="36134"/>
  <c r="N1000" i="36134"/>
  <c r="U1000" i="36134" s="1"/>
  <c r="W1000" i="36134" s="1"/>
  <c r="R1000" i="36134"/>
  <c r="V1000" i="36134"/>
  <c r="J1001" i="36134"/>
  <c r="N1001" i="36134"/>
  <c r="U1001" i="36134" s="1"/>
  <c r="W1001" i="36134" s="1"/>
  <c r="R1001" i="36134"/>
  <c r="V1001" i="36134"/>
  <c r="J1002" i="36134"/>
  <c r="N1002" i="36134"/>
  <c r="U1002" i="36134"/>
  <c r="W1002" i="36134" s="1"/>
  <c r="R1002" i="36134"/>
  <c r="V1002" i="36134"/>
  <c r="H1003" i="36134"/>
  <c r="K1003" i="36134"/>
  <c r="N1003" i="36134" s="1"/>
  <c r="U1003" i="36134" s="1"/>
  <c r="W1003" i="36134" s="1"/>
  <c r="R1003" i="36134"/>
  <c r="V1003" i="36134"/>
  <c r="H1004" i="36134"/>
  <c r="J1004" i="36134"/>
  <c r="N1004" i="36134"/>
  <c r="U1004" i="36134" s="1"/>
  <c r="W1004" i="36134" s="1"/>
  <c r="R1004" i="36134"/>
  <c r="V1004" i="36134"/>
  <c r="K1005" i="36134"/>
  <c r="N1005" i="36134" s="1"/>
  <c r="U1005" i="36134" s="1"/>
  <c r="W1005" i="36134" s="1"/>
  <c r="R1005" i="36134"/>
  <c r="V1005" i="36134"/>
  <c r="K1006" i="36134"/>
  <c r="N1006" i="36134" s="1"/>
  <c r="U1006" i="36134" s="1"/>
  <c r="W1006" i="36134" s="1"/>
  <c r="R1006" i="36134"/>
  <c r="V1006" i="36134"/>
  <c r="K1007" i="36134"/>
  <c r="N1007" i="36134" s="1"/>
  <c r="U1007" i="36134" s="1"/>
  <c r="W1007" i="36134" s="1"/>
  <c r="R1007" i="36134"/>
  <c r="V1007" i="36134"/>
  <c r="K1008" i="36134"/>
  <c r="N1008" i="36134"/>
  <c r="U1008" i="36134" s="1"/>
  <c r="W1008" i="36134" s="1"/>
  <c r="R1008" i="36134"/>
  <c r="V1008" i="36134"/>
  <c r="J1009" i="36134"/>
  <c r="N1009" i="36134"/>
  <c r="U1009" i="36134" s="1"/>
  <c r="W1009" i="36134" s="1"/>
  <c r="R1009" i="36134"/>
  <c r="V1009" i="36134"/>
  <c r="K1010" i="36134"/>
  <c r="N1010" i="36134" s="1"/>
  <c r="U1010" i="36134" s="1"/>
  <c r="W1010" i="36134" s="1"/>
  <c r="R1010" i="36134"/>
  <c r="V1010" i="36134"/>
  <c r="J1011" i="36134"/>
  <c r="N1011" i="36134"/>
  <c r="U1011" i="36134" s="1"/>
  <c r="W1011" i="36134" s="1"/>
  <c r="R1011" i="36134"/>
  <c r="V1011" i="36134"/>
  <c r="J1012" i="36134"/>
  <c r="N1012" i="36134"/>
  <c r="U1012" i="36134" s="1"/>
  <c r="W1012" i="36134" s="1"/>
  <c r="R1012" i="36134"/>
  <c r="V1012" i="36134"/>
  <c r="K1013" i="36134"/>
  <c r="N1013" i="36134" s="1"/>
  <c r="U1013" i="36134" s="1"/>
  <c r="W1013" i="36134" s="1"/>
  <c r="R1013" i="36134"/>
  <c r="V1013" i="36134"/>
  <c r="J1014" i="36134"/>
  <c r="N1014" i="36134"/>
  <c r="U1014" i="36134" s="1"/>
  <c r="W1014" i="36134" s="1"/>
  <c r="R1014" i="36134"/>
  <c r="V1014" i="36134"/>
  <c r="J1015" i="36134"/>
  <c r="N1015" i="36134"/>
  <c r="U1015" i="36134" s="1"/>
  <c r="W1015" i="36134" s="1"/>
  <c r="R1015" i="36134"/>
  <c r="V1015" i="36134"/>
  <c r="J1016" i="36134"/>
  <c r="N1016" i="36134"/>
  <c r="U1016" i="36134" s="1"/>
  <c r="W1016" i="36134" s="1"/>
  <c r="R1016" i="36134"/>
  <c r="V1016" i="36134"/>
  <c r="N1017" i="36134"/>
  <c r="U1017" i="36134" s="1"/>
  <c r="W1017" i="36134" s="1"/>
  <c r="R1017" i="36134"/>
  <c r="V1017" i="36134"/>
  <c r="N1018" i="36134"/>
  <c r="U1018" i="36134" s="1"/>
  <c r="W1018" i="36134" s="1"/>
  <c r="R1018" i="36134"/>
  <c r="V1018" i="36134"/>
  <c r="K1019" i="36134"/>
  <c r="N1019" i="36134"/>
  <c r="U1019" i="36134" s="1"/>
  <c r="W1019" i="36134" s="1"/>
  <c r="R1019" i="36134"/>
  <c r="V1019" i="36134"/>
  <c r="J1020" i="36134"/>
  <c r="N1020" i="36134"/>
  <c r="U1020" i="36134" s="1"/>
  <c r="W1020" i="36134" s="1"/>
  <c r="R1020" i="36134"/>
  <c r="V1020" i="36134"/>
  <c r="H1021" i="36134"/>
  <c r="N1021" i="36134"/>
  <c r="U1021" i="36134" s="1"/>
  <c r="W1021" i="36134" s="1"/>
  <c r="R1021" i="36134"/>
  <c r="V1021" i="36134"/>
  <c r="K1022" i="36134"/>
  <c r="N1022" i="36134"/>
  <c r="U1022" i="36134" s="1"/>
  <c r="W1022" i="36134" s="1"/>
  <c r="R1022" i="36134"/>
  <c r="V1022" i="36134"/>
  <c r="J1023" i="36134"/>
  <c r="N1023" i="36134"/>
  <c r="U1023" i="36134" s="1"/>
  <c r="W1023" i="36134" s="1"/>
  <c r="R1023" i="36134"/>
  <c r="V1023" i="36134"/>
  <c r="J1024" i="36134"/>
  <c r="N1024" i="36134"/>
  <c r="U1024" i="36134" s="1"/>
  <c r="W1024" i="36134" s="1"/>
  <c r="R1024" i="36134"/>
  <c r="V1024" i="36134"/>
  <c r="J1025" i="36134"/>
  <c r="N1025" i="36134"/>
  <c r="U1025" i="36134" s="1"/>
  <c r="W1025" i="36134" s="1"/>
  <c r="R1025" i="36134"/>
  <c r="V1025" i="36134"/>
  <c r="J1026" i="36134"/>
  <c r="N1026" i="36134"/>
  <c r="U1026" i="36134" s="1"/>
  <c r="W1026" i="36134" s="1"/>
  <c r="R1026" i="36134"/>
  <c r="V1026" i="36134"/>
  <c r="J1027" i="36134"/>
  <c r="N1027" i="36134"/>
  <c r="U1027" i="36134" s="1"/>
  <c r="W1027" i="36134" s="1"/>
  <c r="R1027" i="36134"/>
  <c r="V1027" i="36134"/>
  <c r="J1028" i="36134"/>
  <c r="N1028" i="36134"/>
  <c r="U1028" i="36134" s="1"/>
  <c r="W1028" i="36134" s="1"/>
  <c r="R1028" i="36134"/>
  <c r="V1028" i="36134"/>
  <c r="J1029" i="36134"/>
  <c r="N1029" i="36134"/>
  <c r="U1029" i="36134" s="1"/>
  <c r="W1029" i="36134" s="1"/>
  <c r="R1029" i="36134"/>
  <c r="V1029" i="36134"/>
  <c r="J1030" i="36134"/>
  <c r="N1030" i="36134"/>
  <c r="U1030" i="36134" s="1"/>
  <c r="W1030" i="36134" s="1"/>
  <c r="R1030" i="36134"/>
  <c r="V1030" i="36134"/>
  <c r="J1031" i="36134"/>
  <c r="N1031" i="36134"/>
  <c r="U1031" i="36134" s="1"/>
  <c r="W1031" i="36134" s="1"/>
  <c r="R1031" i="36134"/>
  <c r="V1031" i="36134"/>
  <c r="J1032" i="36134"/>
  <c r="N1032" i="36134"/>
  <c r="U1032" i="36134" s="1"/>
  <c r="W1032" i="36134" s="1"/>
  <c r="R1032" i="36134"/>
  <c r="V1032" i="36134"/>
  <c r="J1033" i="36134"/>
  <c r="N1033" i="36134"/>
  <c r="U1033" i="36134" s="1"/>
  <c r="W1033" i="36134" s="1"/>
  <c r="R1033" i="36134"/>
  <c r="V1033" i="36134"/>
  <c r="J1034" i="36134"/>
  <c r="N1034" i="36134"/>
  <c r="U1034" i="36134" s="1"/>
  <c r="W1034" i="36134" s="1"/>
  <c r="Q1034" i="36134"/>
  <c r="R1034" i="36134" s="1"/>
  <c r="V1034" i="36134"/>
  <c r="J1035" i="36134"/>
  <c r="N1035" i="36134"/>
  <c r="U1035" i="36134" s="1"/>
  <c r="W1035" i="36134" s="1"/>
  <c r="R1035" i="36134"/>
  <c r="V1035" i="36134"/>
  <c r="J1036" i="36134"/>
  <c r="N1036" i="36134"/>
  <c r="U1036" i="36134" s="1"/>
  <c r="W1036" i="36134" s="1"/>
  <c r="R1036" i="36134"/>
  <c r="V1036" i="36134"/>
  <c r="J1037" i="36134"/>
  <c r="N1037" i="36134"/>
  <c r="U1037" i="36134" s="1"/>
  <c r="W1037" i="36134" s="1"/>
  <c r="R1037" i="36134"/>
  <c r="V1037" i="36134"/>
  <c r="J1038" i="36134"/>
  <c r="N1038" i="36134"/>
  <c r="U1038" i="36134" s="1"/>
  <c r="W1038" i="36134" s="1"/>
  <c r="R1038" i="36134"/>
  <c r="V1038" i="36134"/>
  <c r="J1039" i="36134"/>
  <c r="N1039" i="36134"/>
  <c r="U1039" i="36134" s="1"/>
  <c r="W1039" i="36134" s="1"/>
  <c r="R1039" i="36134"/>
  <c r="V1039" i="36134"/>
  <c r="J1040" i="36134"/>
  <c r="N1040" i="36134"/>
  <c r="U1040" i="36134" s="1"/>
  <c r="W1040" i="36134" s="1"/>
  <c r="R1040" i="36134"/>
  <c r="V1040" i="36134"/>
  <c r="J1041" i="36134"/>
  <c r="N1041" i="36134"/>
  <c r="U1041" i="36134" s="1"/>
  <c r="W1041" i="36134" s="1"/>
  <c r="R1041" i="36134"/>
  <c r="V1041" i="36134"/>
  <c r="J1042" i="36134"/>
  <c r="N1042" i="36134"/>
  <c r="U1042" i="36134" s="1"/>
  <c r="W1042" i="36134" s="1"/>
  <c r="R1042" i="36134"/>
  <c r="V1042" i="36134"/>
  <c r="J1043" i="36134"/>
  <c r="N1043" i="36134"/>
  <c r="U1043" i="36134" s="1"/>
  <c r="W1043" i="36134" s="1"/>
  <c r="R1043" i="36134"/>
  <c r="V1043" i="36134"/>
  <c r="J1044" i="36134"/>
  <c r="N1044" i="36134"/>
  <c r="U1044" i="36134" s="1"/>
  <c r="W1044" i="36134" s="1"/>
  <c r="R1044" i="36134"/>
  <c r="V1044" i="36134"/>
  <c r="J1045" i="36134"/>
  <c r="N1045" i="36134"/>
  <c r="U1045" i="36134"/>
  <c r="W1045" i="36134" s="1"/>
  <c r="R1045" i="36134"/>
  <c r="V1045" i="36134"/>
  <c r="J1046" i="36134"/>
  <c r="N1046" i="36134"/>
  <c r="U1046" i="36134" s="1"/>
  <c r="W1046" i="36134" s="1"/>
  <c r="R1046" i="36134"/>
  <c r="V1046" i="36134"/>
  <c r="J1047" i="36134"/>
  <c r="N1047" i="36134"/>
  <c r="U1047" i="36134" s="1"/>
  <c r="W1047" i="36134" s="1"/>
  <c r="R1047" i="36134"/>
  <c r="V1047" i="36134"/>
  <c r="J1048" i="36134"/>
  <c r="N1048" i="36134"/>
  <c r="U1048" i="36134" s="1"/>
  <c r="W1048" i="36134" s="1"/>
  <c r="R1048" i="36134"/>
  <c r="V1048" i="36134"/>
  <c r="J1049" i="36134"/>
  <c r="N1049" i="36134"/>
  <c r="U1049" i="36134" s="1"/>
  <c r="W1049" i="36134" s="1"/>
  <c r="R1049" i="36134"/>
  <c r="V1049" i="36134"/>
  <c r="J1050" i="36134"/>
  <c r="N1050" i="36134"/>
  <c r="U1050" i="36134" s="1"/>
  <c r="W1050" i="36134" s="1"/>
  <c r="R1050" i="36134"/>
  <c r="V1050" i="36134"/>
  <c r="J1051" i="36134"/>
  <c r="N1051" i="36134"/>
  <c r="U1051" i="36134" s="1"/>
  <c r="W1051" i="36134" s="1"/>
  <c r="R1051" i="36134"/>
  <c r="V1051" i="36134"/>
  <c r="J1052" i="36134"/>
  <c r="N1052" i="36134"/>
  <c r="U1052" i="36134" s="1"/>
  <c r="W1052" i="36134" s="1"/>
  <c r="R1052" i="36134"/>
  <c r="V1052" i="36134"/>
  <c r="J1053" i="36134"/>
  <c r="N1053" i="36134"/>
  <c r="U1053" i="36134"/>
  <c r="W1053" i="36134" s="1"/>
  <c r="R1053" i="36134"/>
  <c r="V1053" i="36134"/>
  <c r="J1054" i="36134"/>
  <c r="N1054" i="36134"/>
  <c r="U1054" i="36134" s="1"/>
  <c r="W1054" i="36134" s="1"/>
  <c r="R1054" i="36134"/>
  <c r="V1054" i="36134"/>
  <c r="J1055" i="36134"/>
  <c r="N1055" i="36134"/>
  <c r="U1055" i="36134" s="1"/>
  <c r="W1055" i="36134" s="1"/>
  <c r="R1055" i="36134"/>
  <c r="V1055" i="36134"/>
  <c r="J1056" i="36134"/>
  <c r="N1056" i="36134"/>
  <c r="U1056" i="36134" s="1"/>
  <c r="W1056" i="36134" s="1"/>
  <c r="R1056" i="36134"/>
  <c r="V1056" i="36134"/>
  <c r="J1057" i="36134"/>
  <c r="N1057" i="36134"/>
  <c r="U1057" i="36134" s="1"/>
  <c r="W1057" i="36134" s="1"/>
  <c r="R1057" i="36134"/>
  <c r="V1057" i="36134"/>
  <c r="J1058" i="36134"/>
  <c r="N1058" i="36134"/>
  <c r="U1058" i="36134" s="1"/>
  <c r="W1058" i="36134" s="1"/>
  <c r="R1058" i="36134"/>
  <c r="V1058" i="36134"/>
  <c r="J1059" i="36134"/>
  <c r="N1059" i="36134"/>
  <c r="U1059" i="36134" s="1"/>
  <c r="W1059" i="36134" s="1"/>
  <c r="R1059" i="36134"/>
  <c r="V1059" i="36134"/>
  <c r="J1060" i="36134"/>
  <c r="N1060" i="36134"/>
  <c r="U1060" i="36134" s="1"/>
  <c r="W1060" i="36134" s="1"/>
  <c r="R1060" i="36134"/>
  <c r="V1060" i="36134"/>
  <c r="J1061" i="36134"/>
  <c r="N1061" i="36134"/>
  <c r="U1061" i="36134"/>
  <c r="W1061" i="36134" s="1"/>
  <c r="R1061" i="36134"/>
  <c r="V1061" i="36134"/>
  <c r="K1062" i="36134"/>
  <c r="N1062" i="36134" s="1"/>
  <c r="U1062" i="36134" s="1"/>
  <c r="W1062" i="36134" s="1"/>
  <c r="Q1062" i="36134"/>
  <c r="R1062" i="36134" s="1"/>
  <c r="V1062" i="36134"/>
  <c r="K1063" i="36134"/>
  <c r="N1063" i="36134" s="1"/>
  <c r="U1063" i="36134" s="1"/>
  <c r="W1063" i="36134" s="1"/>
  <c r="Q1063" i="36134"/>
  <c r="R1063" i="36134" s="1"/>
  <c r="V1063" i="36134"/>
  <c r="K1064" i="36134"/>
  <c r="N1064" i="36134" s="1"/>
  <c r="U1064" i="36134" s="1"/>
  <c r="W1064" i="36134" s="1"/>
  <c r="Q1064" i="36134"/>
  <c r="R1064" i="36134" s="1"/>
  <c r="V1064" i="36134"/>
  <c r="K1065" i="36134"/>
  <c r="N1065" i="36134" s="1"/>
  <c r="U1065" i="36134" s="1"/>
  <c r="W1065" i="36134" s="1"/>
  <c r="Q1065" i="36134"/>
  <c r="R1065" i="36134" s="1"/>
  <c r="V1065" i="36134"/>
  <c r="J1066" i="36134"/>
  <c r="N1066" i="36134"/>
  <c r="U1066" i="36134" s="1"/>
  <c r="W1066" i="36134" s="1"/>
  <c r="R1066" i="36134"/>
  <c r="V1066" i="36134"/>
  <c r="K1067" i="36134"/>
  <c r="N1067" i="36134" s="1"/>
  <c r="U1067" i="36134" s="1"/>
  <c r="W1067" i="36134" s="1"/>
  <c r="Q1067" i="36134"/>
  <c r="R1067" i="36134" s="1"/>
  <c r="V1067" i="36134"/>
  <c r="K1068" i="36134"/>
  <c r="N1068" i="36134" s="1"/>
  <c r="U1068" i="36134" s="1"/>
  <c r="W1068" i="36134" s="1"/>
  <c r="Q1068" i="36134"/>
  <c r="R1068" i="36134" s="1"/>
  <c r="V1068" i="36134"/>
  <c r="K1069" i="36134"/>
  <c r="N1069" i="36134" s="1"/>
  <c r="U1069" i="36134" s="1"/>
  <c r="W1069" i="36134" s="1"/>
  <c r="Q1069" i="36134"/>
  <c r="R1069" i="36134" s="1"/>
  <c r="V1069" i="36134"/>
  <c r="J1070" i="36134"/>
  <c r="N1070" i="36134"/>
  <c r="U1070" i="36134" s="1"/>
  <c r="W1070" i="36134" s="1"/>
  <c r="Q1070" i="36134"/>
  <c r="R1070" i="36134" s="1"/>
  <c r="V1070" i="36134"/>
  <c r="K1071" i="36134"/>
  <c r="N1071" i="36134" s="1"/>
  <c r="U1071" i="36134" s="1"/>
  <c r="W1071" i="36134" s="1"/>
  <c r="Q1071" i="36134"/>
  <c r="R1071" i="36134" s="1"/>
  <c r="V1071" i="36134"/>
  <c r="J1072" i="36134"/>
  <c r="N1072" i="36134"/>
  <c r="U1072" i="36134" s="1"/>
  <c r="W1072" i="36134" s="1"/>
  <c r="Q1072" i="36134"/>
  <c r="R1072" i="36134" s="1"/>
  <c r="V1072" i="36134"/>
  <c r="J1073" i="36134"/>
  <c r="N1073" i="36134"/>
  <c r="U1073" i="36134" s="1"/>
  <c r="W1073" i="36134" s="1"/>
  <c r="Q1073" i="36134"/>
  <c r="R1073" i="36134" s="1"/>
  <c r="V1073" i="36134"/>
  <c r="J1074" i="36134"/>
  <c r="N1074" i="36134"/>
  <c r="U1074" i="36134" s="1"/>
  <c r="W1074" i="36134" s="1"/>
  <c r="Q1074" i="36134"/>
  <c r="R1074" i="36134" s="1"/>
  <c r="V1074" i="36134"/>
  <c r="J1075" i="36134"/>
  <c r="N1075" i="36134"/>
  <c r="U1075" i="36134" s="1"/>
  <c r="W1075" i="36134" s="1"/>
  <c r="Q1075" i="36134"/>
  <c r="R1075" i="36134" s="1"/>
  <c r="V1075" i="36134"/>
  <c r="J1076" i="36134"/>
  <c r="N1076" i="36134"/>
  <c r="U1076" i="36134" s="1"/>
  <c r="W1076" i="36134" s="1"/>
  <c r="Q1076" i="36134"/>
  <c r="R1076" i="36134" s="1"/>
  <c r="V1076" i="36134"/>
  <c r="K1077" i="36134"/>
  <c r="N1077" i="36134"/>
  <c r="U1077" i="36134" s="1"/>
  <c r="W1077" i="36134" s="1"/>
  <c r="Q1077" i="36134"/>
  <c r="R1077" i="36134" s="1"/>
  <c r="V1077" i="36134"/>
  <c r="J1078" i="36134"/>
  <c r="N1078" i="36134"/>
  <c r="U1078" i="36134" s="1"/>
  <c r="W1078" i="36134" s="1"/>
  <c r="R1078" i="36134"/>
  <c r="V1078" i="36134"/>
  <c r="K1079" i="36134"/>
  <c r="N1079" i="36134" s="1"/>
  <c r="U1079" i="36134" s="1"/>
  <c r="W1079" i="36134" s="1"/>
  <c r="R1079" i="36134"/>
  <c r="V1079" i="36134"/>
  <c r="J1080" i="36134"/>
  <c r="N1080" i="36134"/>
  <c r="U1080" i="36134" s="1"/>
  <c r="W1080" i="36134" s="1"/>
  <c r="Q1080" i="36134"/>
  <c r="R1080" i="36134" s="1"/>
  <c r="V1080" i="36134"/>
  <c r="J1081" i="36134"/>
  <c r="N1081" i="36134"/>
  <c r="U1081" i="36134"/>
  <c r="W1081" i="36134" s="1"/>
  <c r="Q1081" i="36134"/>
  <c r="R1081" i="36134" s="1"/>
  <c r="V1081" i="36134"/>
  <c r="K1082" i="36134"/>
  <c r="N1082" i="36134" s="1"/>
  <c r="U1082" i="36134" s="1"/>
  <c r="W1082" i="36134" s="1"/>
  <c r="Q1082" i="36134"/>
  <c r="R1082" i="36134"/>
  <c r="V1082" i="36134"/>
  <c r="J1083" i="36134"/>
  <c r="N1083" i="36134"/>
  <c r="U1083" i="36134" s="1"/>
  <c r="W1083" i="36134" s="1"/>
  <c r="Q1083" i="36134"/>
  <c r="R1083" i="36134" s="1"/>
  <c r="V1083" i="36134"/>
  <c r="J1084" i="36134"/>
  <c r="N1084" i="36134"/>
  <c r="U1084" i="36134"/>
  <c r="W1084" i="36134" s="1"/>
  <c r="Q1084" i="36134"/>
  <c r="R1084" i="36134" s="1"/>
  <c r="V1084" i="36134"/>
  <c r="J1085" i="36134"/>
  <c r="N1085" i="36134"/>
  <c r="U1085" i="36134" s="1"/>
  <c r="W1085" i="36134" s="1"/>
  <c r="R1085" i="36134"/>
  <c r="V1085" i="36134"/>
  <c r="J1086" i="36134"/>
  <c r="N1086" i="36134"/>
  <c r="U1086" i="36134" s="1"/>
  <c r="W1086" i="36134" s="1"/>
  <c r="Q1086" i="36134"/>
  <c r="R1086" i="36134" s="1"/>
  <c r="V1086" i="36134"/>
  <c r="J1087" i="36134"/>
  <c r="N1087" i="36134"/>
  <c r="U1087" i="36134" s="1"/>
  <c r="W1087" i="36134" s="1"/>
  <c r="R1087" i="36134"/>
  <c r="V1087" i="36134"/>
  <c r="J1088" i="36134"/>
  <c r="N1088" i="36134"/>
  <c r="U1088" i="36134" s="1"/>
  <c r="W1088" i="36134" s="1"/>
  <c r="R1088" i="36134"/>
  <c r="V1088" i="36134"/>
  <c r="J1089" i="36134"/>
  <c r="N1089" i="36134"/>
  <c r="U1089" i="36134" s="1"/>
  <c r="W1089" i="36134" s="1"/>
  <c r="R1089" i="36134"/>
  <c r="V1089" i="36134"/>
  <c r="J1090" i="36134"/>
  <c r="N1090" i="36134"/>
  <c r="U1090" i="36134" s="1"/>
  <c r="W1090" i="36134" s="1"/>
  <c r="R1090" i="36134"/>
  <c r="V1090" i="36134"/>
  <c r="J1091" i="36134"/>
  <c r="N1091" i="36134"/>
  <c r="U1091" i="36134" s="1"/>
  <c r="W1091" i="36134" s="1"/>
  <c r="R1091" i="36134"/>
  <c r="V1091" i="36134"/>
  <c r="J1092" i="36134"/>
  <c r="N1092" i="36134"/>
  <c r="U1092" i="36134" s="1"/>
  <c r="W1092" i="36134" s="1"/>
  <c r="R1092" i="36134"/>
  <c r="V1092" i="36134"/>
  <c r="J1093" i="36134"/>
  <c r="N1093" i="36134"/>
  <c r="U1093" i="36134" s="1"/>
  <c r="W1093" i="36134" s="1"/>
  <c r="R1093" i="36134"/>
  <c r="V1093" i="36134"/>
  <c r="J1094" i="36134"/>
  <c r="N1094" i="36134"/>
  <c r="U1094" i="36134" s="1"/>
  <c r="W1094" i="36134" s="1"/>
  <c r="R1094" i="36134"/>
  <c r="V1094" i="36134"/>
  <c r="J1095" i="36134"/>
  <c r="N1095" i="36134"/>
  <c r="U1095" i="36134" s="1"/>
  <c r="W1095" i="36134" s="1"/>
  <c r="R1095" i="36134"/>
  <c r="V1095" i="36134"/>
  <c r="J1096" i="36134"/>
  <c r="N1096" i="36134"/>
  <c r="U1096" i="36134" s="1"/>
  <c r="W1096" i="36134" s="1"/>
  <c r="R1096" i="36134"/>
  <c r="V1096" i="36134"/>
  <c r="J1097" i="36134"/>
  <c r="N1097" i="36134"/>
  <c r="U1097" i="36134" s="1"/>
  <c r="W1097" i="36134" s="1"/>
  <c r="R1097" i="36134"/>
  <c r="V1097" i="36134"/>
  <c r="J1098" i="36134"/>
  <c r="N1098" i="36134"/>
  <c r="U1098" i="36134" s="1"/>
  <c r="W1098" i="36134" s="1"/>
  <c r="R1098" i="36134"/>
  <c r="V1098" i="36134"/>
  <c r="J1099" i="36134"/>
  <c r="N1099" i="36134"/>
  <c r="U1099" i="36134" s="1"/>
  <c r="W1099" i="36134" s="1"/>
  <c r="R1099" i="36134"/>
  <c r="V1099" i="36134"/>
  <c r="J1100" i="36134"/>
  <c r="N1100" i="36134"/>
  <c r="U1100" i="36134" s="1"/>
  <c r="W1100" i="36134" s="1"/>
  <c r="R1100" i="36134"/>
  <c r="V1100" i="36134"/>
  <c r="J1101" i="36134"/>
  <c r="N1101" i="36134"/>
  <c r="U1101" i="36134" s="1"/>
  <c r="W1101" i="36134" s="1"/>
  <c r="R1101" i="36134"/>
  <c r="V1101" i="36134"/>
  <c r="N1102" i="36134"/>
  <c r="U1102" i="36134" s="1"/>
  <c r="W1102" i="36134" s="1"/>
  <c r="V1102" i="36134"/>
  <c r="J1103" i="36134"/>
  <c r="N1103" i="36134"/>
  <c r="U1103" i="36134" s="1"/>
  <c r="W1103" i="36134" s="1"/>
  <c r="R1103" i="36134"/>
  <c r="V1103" i="36134"/>
  <c r="J1104" i="36134"/>
  <c r="N1104" i="36134"/>
  <c r="U1104" i="36134" s="1"/>
  <c r="W1104" i="36134" s="1"/>
  <c r="R1104" i="36134"/>
  <c r="V1104" i="36134"/>
  <c r="J1105" i="36134"/>
  <c r="N1105" i="36134"/>
  <c r="U1105" i="36134" s="1"/>
  <c r="W1105" i="36134" s="1"/>
  <c r="R1105" i="36134"/>
  <c r="V1105" i="36134"/>
  <c r="J1106" i="36134"/>
  <c r="N1106" i="36134"/>
  <c r="U1106" i="36134" s="1"/>
  <c r="W1106" i="36134" s="1"/>
  <c r="R1106" i="36134"/>
  <c r="V1106" i="36134"/>
  <c r="J1107" i="36134"/>
  <c r="N1107" i="36134"/>
  <c r="U1107" i="36134"/>
  <c r="W1107" i="36134" s="1"/>
  <c r="R1107" i="36134"/>
  <c r="V1107" i="36134"/>
  <c r="N1108" i="36134"/>
  <c r="U1108" i="36134" s="1"/>
  <c r="W1108" i="36134" s="1"/>
  <c r="R1108" i="36134"/>
  <c r="V1108" i="36134"/>
  <c r="J1109" i="36134"/>
  <c r="N1109" i="36134"/>
  <c r="U1109" i="36134" s="1"/>
  <c r="W1109" i="36134" s="1"/>
  <c r="R1109" i="36134"/>
  <c r="V1109" i="36134"/>
  <c r="H1110" i="36134"/>
  <c r="J1110" i="36134"/>
  <c r="N1110" i="36134"/>
  <c r="U1110" i="36134" s="1"/>
  <c r="W1110" i="36134" s="1"/>
  <c r="R1110" i="36134"/>
  <c r="V1110" i="36134"/>
  <c r="J1111" i="36134"/>
  <c r="N1111" i="36134"/>
  <c r="U1111" i="36134" s="1"/>
  <c r="W1111" i="36134" s="1"/>
  <c r="R1111" i="36134"/>
  <c r="V1111" i="36134"/>
  <c r="H1112" i="36134"/>
  <c r="J1112" i="36134"/>
  <c r="N1112" i="36134"/>
  <c r="U1112" i="36134" s="1"/>
  <c r="W1112" i="36134" s="1"/>
  <c r="R1112" i="36134"/>
  <c r="V1112" i="36134"/>
  <c r="N1113" i="36134"/>
  <c r="U1113" i="36134" s="1"/>
  <c r="W1113" i="36134" s="1"/>
  <c r="R1113" i="36134"/>
  <c r="V1113" i="36134"/>
  <c r="N1114" i="36134"/>
  <c r="U1114" i="36134" s="1"/>
  <c r="W1114" i="36134" s="1"/>
  <c r="R1114" i="36134"/>
  <c r="V1114" i="36134"/>
  <c r="H1115" i="36134"/>
  <c r="J1115" i="36134"/>
  <c r="N1115" i="36134"/>
  <c r="U1115" i="36134" s="1"/>
  <c r="W1115" i="36134" s="1"/>
  <c r="R1115" i="36134"/>
  <c r="V1115" i="36134"/>
  <c r="J1116" i="36134"/>
  <c r="N1116" i="36134"/>
  <c r="U1116" i="36134" s="1"/>
  <c r="W1116" i="36134" s="1"/>
  <c r="R1116" i="36134"/>
  <c r="V1116" i="36134"/>
  <c r="J1117" i="36134"/>
  <c r="N1117" i="36134"/>
  <c r="U1117" i="36134" s="1"/>
  <c r="W1117" i="36134" s="1"/>
  <c r="R1117" i="36134"/>
  <c r="V1117" i="36134"/>
  <c r="J1118" i="36134"/>
  <c r="N1118" i="36134"/>
  <c r="U1118" i="36134" s="1"/>
  <c r="W1118" i="36134" s="1"/>
  <c r="R1118" i="36134"/>
  <c r="V1118" i="36134"/>
  <c r="H1119" i="36134"/>
  <c r="J1119" i="36134"/>
  <c r="N1119" i="36134"/>
  <c r="U1119" i="36134" s="1"/>
  <c r="W1119" i="36134" s="1"/>
  <c r="R1119" i="36134"/>
  <c r="V1119" i="36134"/>
  <c r="J1120" i="36134"/>
  <c r="N1120" i="36134"/>
  <c r="U1120" i="36134" s="1"/>
  <c r="W1120" i="36134" s="1"/>
  <c r="R1120" i="36134"/>
  <c r="V1120" i="36134"/>
  <c r="J1121" i="36134"/>
  <c r="N1121" i="36134"/>
  <c r="U1121" i="36134" s="1"/>
  <c r="W1121" i="36134" s="1"/>
  <c r="R1121" i="36134"/>
  <c r="V1121" i="36134"/>
  <c r="J1122" i="36134"/>
  <c r="N1122" i="36134"/>
  <c r="U1122" i="36134" s="1"/>
  <c r="W1122" i="36134" s="1"/>
  <c r="R1122" i="36134"/>
  <c r="V1122" i="36134"/>
  <c r="J1123" i="36134"/>
  <c r="N1123" i="36134"/>
  <c r="U1123" i="36134" s="1"/>
  <c r="W1123" i="36134" s="1"/>
  <c r="R1123" i="36134"/>
  <c r="V1123" i="36134"/>
  <c r="H1124" i="36134"/>
  <c r="J1124" i="36134"/>
  <c r="N1124" i="36134"/>
  <c r="U1124" i="36134" s="1"/>
  <c r="W1124" i="36134" s="1"/>
  <c r="R1124" i="36134"/>
  <c r="V1124" i="36134"/>
  <c r="J1125" i="36134"/>
  <c r="N1125" i="36134"/>
  <c r="U1125" i="36134" s="1"/>
  <c r="W1125" i="36134" s="1"/>
  <c r="R1125" i="36134"/>
  <c r="V1125" i="36134"/>
  <c r="J1126" i="36134"/>
  <c r="N1126" i="36134"/>
  <c r="U1126" i="36134" s="1"/>
  <c r="W1126" i="36134" s="1"/>
  <c r="R1126" i="36134"/>
  <c r="V1126" i="36134"/>
  <c r="J1127" i="36134"/>
  <c r="N1127" i="36134"/>
  <c r="U1127" i="36134" s="1"/>
  <c r="W1127" i="36134" s="1"/>
  <c r="R1127" i="36134"/>
  <c r="V1127" i="36134"/>
  <c r="J1128" i="36134"/>
  <c r="N1128" i="36134"/>
  <c r="U1128" i="36134" s="1"/>
  <c r="W1128" i="36134" s="1"/>
  <c r="R1128" i="36134"/>
  <c r="V1128" i="36134"/>
  <c r="J1129" i="36134"/>
  <c r="N1129" i="36134"/>
  <c r="U1129" i="36134" s="1"/>
  <c r="W1129" i="36134" s="1"/>
  <c r="R1129" i="36134"/>
  <c r="V1129" i="36134"/>
  <c r="J1130" i="36134"/>
  <c r="N1130" i="36134"/>
  <c r="U1130" i="36134" s="1"/>
  <c r="W1130" i="36134" s="1"/>
  <c r="R1130" i="36134"/>
  <c r="V1130" i="36134"/>
  <c r="J1131" i="36134"/>
  <c r="N1131" i="36134"/>
  <c r="U1131" i="36134" s="1"/>
  <c r="W1131" i="36134" s="1"/>
  <c r="R1131" i="36134"/>
  <c r="V1131" i="36134"/>
  <c r="J1132" i="36134"/>
  <c r="N1132" i="36134"/>
  <c r="U1132" i="36134" s="1"/>
  <c r="W1132" i="36134" s="1"/>
  <c r="R1132" i="36134"/>
  <c r="V1132" i="36134"/>
  <c r="J1133" i="36134"/>
  <c r="N1133" i="36134"/>
  <c r="U1133" i="36134" s="1"/>
  <c r="W1133" i="36134" s="1"/>
  <c r="R1133" i="36134"/>
  <c r="V1133" i="36134"/>
  <c r="J1134" i="36134"/>
  <c r="N1134" i="36134"/>
  <c r="U1134" i="36134" s="1"/>
  <c r="W1134" i="36134" s="1"/>
  <c r="R1134" i="36134"/>
  <c r="V1134" i="36134"/>
  <c r="J1135" i="36134"/>
  <c r="N1135" i="36134"/>
  <c r="U1135" i="36134" s="1"/>
  <c r="W1135" i="36134" s="1"/>
  <c r="R1135" i="36134"/>
  <c r="V1135" i="36134"/>
  <c r="J1136" i="36134"/>
  <c r="N1136" i="36134"/>
  <c r="U1136" i="36134" s="1"/>
  <c r="W1136" i="36134" s="1"/>
  <c r="R1136" i="36134"/>
  <c r="V1136" i="36134"/>
  <c r="J1137" i="36134"/>
  <c r="N1137" i="36134"/>
  <c r="U1137" i="36134"/>
  <c r="W1137" i="36134" s="1"/>
  <c r="R1137" i="36134"/>
  <c r="V1137" i="36134"/>
  <c r="N1138" i="36134"/>
  <c r="U1138" i="36134" s="1"/>
  <c r="W1138" i="36134" s="1"/>
  <c r="R1138" i="36134"/>
  <c r="V1138" i="36134"/>
  <c r="J1139" i="36134"/>
  <c r="N1139" i="36134"/>
  <c r="U1139" i="36134" s="1"/>
  <c r="W1139" i="36134" s="1"/>
  <c r="R1139" i="36134"/>
  <c r="V1139" i="36134"/>
  <c r="J1140" i="36134"/>
  <c r="N1140" i="36134"/>
  <c r="U1140" i="36134" s="1"/>
  <c r="W1140" i="36134" s="1"/>
  <c r="R1140" i="36134"/>
  <c r="V1140" i="36134"/>
  <c r="J1141" i="36134"/>
  <c r="N1141" i="36134"/>
  <c r="U1141" i="36134"/>
  <c r="W1141" i="36134" s="1"/>
  <c r="R1141" i="36134"/>
  <c r="V1141" i="36134"/>
  <c r="J1142" i="36134"/>
  <c r="N1142" i="36134"/>
  <c r="U1142" i="36134" s="1"/>
  <c r="W1142" i="36134" s="1"/>
  <c r="R1142" i="36134"/>
  <c r="V1142" i="36134"/>
  <c r="J1143" i="36134"/>
  <c r="N1143" i="36134"/>
  <c r="U1143" i="36134" s="1"/>
  <c r="W1143" i="36134" s="1"/>
  <c r="R1143" i="36134"/>
  <c r="V1143" i="36134"/>
  <c r="J1144" i="36134"/>
  <c r="N1144" i="36134"/>
  <c r="U1144" i="36134" s="1"/>
  <c r="W1144" i="36134" s="1"/>
  <c r="R1144" i="36134"/>
  <c r="V1144" i="36134"/>
  <c r="J1145" i="36134"/>
  <c r="N1145" i="36134"/>
  <c r="U1145" i="36134" s="1"/>
  <c r="W1145" i="36134" s="1"/>
  <c r="R1145" i="36134"/>
  <c r="V1145" i="36134"/>
  <c r="J1146" i="36134"/>
  <c r="N1146" i="36134"/>
  <c r="U1146" i="36134" s="1"/>
  <c r="W1146" i="36134" s="1"/>
  <c r="R1146" i="36134"/>
  <c r="V1146" i="36134"/>
  <c r="N1147" i="36134"/>
  <c r="U1147" i="36134" s="1"/>
  <c r="W1147" i="36134" s="1"/>
  <c r="Q1147" i="36134"/>
  <c r="R1147" i="36134"/>
  <c r="V1147" i="36134"/>
  <c r="N1148" i="36134"/>
  <c r="U1148" i="36134" s="1"/>
  <c r="W1148" i="36134" s="1"/>
  <c r="Q1148" i="36134"/>
  <c r="R1148" i="36134" s="1"/>
  <c r="V1148" i="36134"/>
  <c r="K1149" i="36134"/>
  <c r="N1149" i="36134" s="1"/>
  <c r="U1149" i="36134" s="1"/>
  <c r="W1149" i="36134" s="1"/>
  <c r="Q1149" i="36134"/>
  <c r="R1149" i="36134" s="1"/>
  <c r="V1149" i="36134"/>
  <c r="K1150" i="36134"/>
  <c r="N1150" i="36134" s="1"/>
  <c r="U1150" i="36134" s="1"/>
  <c r="W1150" i="36134" s="1"/>
  <c r="R1150" i="36134"/>
  <c r="V1150" i="36134"/>
  <c r="K1151" i="36134"/>
  <c r="N1151" i="36134"/>
  <c r="U1151" i="36134" s="1"/>
  <c r="W1151" i="36134" s="1"/>
  <c r="R1151" i="36134"/>
  <c r="V1151" i="36134"/>
  <c r="K1152" i="36134"/>
  <c r="N1152" i="36134" s="1"/>
  <c r="U1152" i="36134" s="1"/>
  <c r="W1152" i="36134" s="1"/>
  <c r="R1152" i="36134"/>
  <c r="V1152" i="36134"/>
  <c r="K1153" i="36134"/>
  <c r="N1153" i="36134" s="1"/>
  <c r="U1153" i="36134" s="1"/>
  <c r="W1153" i="36134" s="1"/>
  <c r="R1153" i="36134"/>
  <c r="V1153" i="36134"/>
  <c r="K1154" i="36134"/>
  <c r="N1154" i="36134" s="1"/>
  <c r="U1154" i="36134" s="1"/>
  <c r="W1154" i="36134" s="1"/>
  <c r="R1154" i="36134"/>
  <c r="V1154" i="36134"/>
  <c r="K1155" i="36134"/>
  <c r="N1155" i="36134" s="1"/>
  <c r="U1155" i="36134" s="1"/>
  <c r="W1155" i="36134" s="1"/>
  <c r="R1155" i="36134"/>
  <c r="V1155" i="36134"/>
  <c r="K1156" i="36134"/>
  <c r="N1156" i="36134" s="1"/>
  <c r="U1156" i="36134" s="1"/>
  <c r="W1156" i="36134" s="1"/>
  <c r="R1156" i="36134"/>
  <c r="V1156" i="36134"/>
  <c r="K1157" i="36134"/>
  <c r="N1157" i="36134" s="1"/>
  <c r="U1157" i="36134" s="1"/>
  <c r="W1157" i="36134" s="1"/>
  <c r="R1157" i="36134"/>
  <c r="V1157" i="36134"/>
  <c r="K1158" i="36134"/>
  <c r="N1158" i="36134" s="1"/>
  <c r="U1158" i="36134" s="1"/>
  <c r="W1158" i="36134" s="1"/>
  <c r="R1158" i="36134"/>
  <c r="V1158" i="36134"/>
  <c r="K1159" i="36134"/>
  <c r="N1159" i="36134" s="1"/>
  <c r="U1159" i="36134" s="1"/>
  <c r="W1159" i="36134" s="1"/>
  <c r="R1159" i="36134"/>
  <c r="V1159" i="36134"/>
  <c r="K1160" i="36134"/>
  <c r="N1160" i="36134" s="1"/>
  <c r="U1160" i="36134" s="1"/>
  <c r="W1160" i="36134" s="1"/>
  <c r="R1160" i="36134"/>
  <c r="V1160" i="36134"/>
  <c r="K1161" i="36134"/>
  <c r="N1161" i="36134"/>
  <c r="U1161" i="36134" s="1"/>
  <c r="W1161" i="36134" s="1"/>
  <c r="Q1161" i="36134"/>
  <c r="R1161" i="36134" s="1"/>
  <c r="V1161" i="36134"/>
  <c r="K1162" i="36134"/>
  <c r="N1162" i="36134" s="1"/>
  <c r="U1162" i="36134" s="1"/>
  <c r="W1162" i="36134" s="1"/>
  <c r="R1162" i="36134"/>
  <c r="V1162" i="36134"/>
  <c r="K1163" i="36134"/>
  <c r="N1163" i="36134" s="1"/>
  <c r="U1163" i="36134" s="1"/>
  <c r="W1163" i="36134" s="1"/>
  <c r="R1163" i="36134"/>
  <c r="V1163" i="36134"/>
  <c r="K1164" i="36134"/>
  <c r="N1164" i="36134" s="1"/>
  <c r="U1164" i="36134" s="1"/>
  <c r="W1164" i="36134" s="1"/>
  <c r="R1164" i="36134"/>
  <c r="V1164" i="36134"/>
  <c r="K1165" i="36134"/>
  <c r="N1165" i="36134"/>
  <c r="U1165" i="36134" s="1"/>
  <c r="W1165" i="36134" s="1"/>
  <c r="Q1165" i="36134"/>
  <c r="R1165" i="36134" s="1"/>
  <c r="V1165" i="36134"/>
  <c r="K1166" i="36134"/>
  <c r="N1166" i="36134" s="1"/>
  <c r="U1166" i="36134" s="1"/>
  <c r="W1166" i="36134" s="1"/>
  <c r="Q1166" i="36134"/>
  <c r="R1166" i="36134" s="1"/>
  <c r="V1166" i="36134"/>
  <c r="K1167" i="36134"/>
  <c r="N1167" i="36134" s="1"/>
  <c r="U1167" i="36134" s="1"/>
  <c r="W1167" i="36134" s="1"/>
  <c r="R1167" i="36134"/>
  <c r="V1167" i="36134"/>
  <c r="K1168" i="36134"/>
  <c r="N1168" i="36134" s="1"/>
  <c r="U1168" i="36134" s="1"/>
  <c r="W1168" i="36134" s="1"/>
  <c r="R1168" i="36134"/>
  <c r="V1168" i="36134"/>
  <c r="K1169" i="36134"/>
  <c r="N1169" i="36134" s="1"/>
  <c r="U1169" i="36134" s="1"/>
  <c r="W1169" i="36134" s="1"/>
  <c r="R1169" i="36134"/>
  <c r="V1169" i="36134"/>
  <c r="N1170" i="36134"/>
  <c r="U1170" i="36134" s="1"/>
  <c r="W1170" i="36134" s="1"/>
  <c r="Q1170" i="36134"/>
  <c r="R1170" i="36134" s="1"/>
  <c r="V1170" i="36134"/>
  <c r="K1171" i="36134"/>
  <c r="N1171" i="36134" s="1"/>
  <c r="U1171" i="36134" s="1"/>
  <c r="W1171" i="36134" s="1"/>
  <c r="R1171" i="36134"/>
  <c r="V1171" i="36134"/>
  <c r="J1172" i="36134"/>
  <c r="N1172" i="36134"/>
  <c r="U1172" i="36134" s="1"/>
  <c r="W1172" i="36134" s="1"/>
  <c r="R1172" i="36134"/>
  <c r="V1172" i="36134"/>
  <c r="J1173" i="36134"/>
  <c r="N1173" i="36134"/>
  <c r="U1173" i="36134" s="1"/>
  <c r="W1173" i="36134" s="1"/>
  <c r="R1173" i="36134"/>
  <c r="V1173" i="36134"/>
  <c r="K1174" i="36134"/>
  <c r="N1174" i="36134" s="1"/>
  <c r="U1174" i="36134" s="1"/>
  <c r="W1174" i="36134" s="1"/>
  <c r="R1174" i="36134"/>
  <c r="V1174" i="36134"/>
  <c r="J1175" i="36134"/>
  <c r="N1175" i="36134"/>
  <c r="U1175" i="36134" s="1"/>
  <c r="W1175" i="36134" s="1"/>
  <c r="Q1175" i="36134"/>
  <c r="R1175" i="36134" s="1"/>
  <c r="V1175" i="36134"/>
  <c r="J1176" i="36134"/>
  <c r="N1176" i="36134"/>
  <c r="U1176" i="36134" s="1"/>
  <c r="W1176" i="36134" s="1"/>
  <c r="Q1176" i="36134"/>
  <c r="R1176" i="36134" s="1"/>
  <c r="V1176" i="36134"/>
  <c r="J1177" i="36134"/>
  <c r="N1177" i="36134"/>
  <c r="U1177" i="36134" s="1"/>
  <c r="W1177" i="36134" s="1"/>
  <c r="Q1177" i="36134"/>
  <c r="R1177" i="36134" s="1"/>
  <c r="V1177" i="36134"/>
  <c r="K1178" i="36134"/>
  <c r="N1178" i="36134" s="1"/>
  <c r="U1178" i="36134" s="1"/>
  <c r="W1178" i="36134" s="1"/>
  <c r="R1178" i="36134"/>
  <c r="V1178" i="36134"/>
  <c r="J1179" i="36134"/>
  <c r="N1179" i="36134"/>
  <c r="U1179" i="36134" s="1"/>
  <c r="W1179" i="36134" s="1"/>
  <c r="R1179" i="36134"/>
  <c r="V1179" i="36134"/>
  <c r="J1180" i="36134"/>
  <c r="N1180" i="36134"/>
  <c r="U1180" i="36134" s="1"/>
  <c r="W1180" i="36134" s="1"/>
  <c r="Q1180" i="36134"/>
  <c r="R1180" i="36134" s="1"/>
  <c r="V1180" i="36134"/>
  <c r="N1181" i="36134"/>
  <c r="U1181" i="36134" s="1"/>
  <c r="W1181" i="36134" s="1"/>
  <c r="R1181" i="36134"/>
  <c r="V1181" i="36134"/>
  <c r="N1182" i="36134"/>
  <c r="U1182" i="36134" s="1"/>
  <c r="W1182" i="36134" s="1"/>
  <c r="R1182" i="36134"/>
  <c r="V1182" i="36134"/>
  <c r="J1183" i="36134"/>
  <c r="N1183" i="36134"/>
  <c r="U1183" i="36134" s="1"/>
  <c r="W1183" i="36134" s="1"/>
  <c r="R1183" i="36134"/>
  <c r="V1183" i="36134"/>
  <c r="J1184" i="36134"/>
  <c r="N1184" i="36134"/>
  <c r="U1184" i="36134" s="1"/>
  <c r="W1184" i="36134" s="1"/>
  <c r="Q1184" i="36134"/>
  <c r="R1184" i="36134" s="1"/>
  <c r="V1184" i="36134"/>
  <c r="J1185" i="36134"/>
  <c r="N1185" i="36134"/>
  <c r="U1185" i="36134" s="1"/>
  <c r="W1185" i="36134" s="1"/>
  <c r="Q1185" i="36134"/>
  <c r="R1185" i="36134" s="1"/>
  <c r="V1185" i="36134"/>
  <c r="J1186" i="36134"/>
  <c r="N1186" i="36134"/>
  <c r="U1186" i="36134" s="1"/>
  <c r="W1186" i="36134" s="1"/>
  <c r="R1186" i="36134"/>
  <c r="V1186" i="36134"/>
  <c r="J1187" i="36134"/>
  <c r="N1187" i="36134"/>
  <c r="U1187" i="36134" s="1"/>
  <c r="W1187" i="36134" s="1"/>
  <c r="R1187" i="36134"/>
  <c r="V1187" i="36134"/>
  <c r="J1188" i="36134"/>
  <c r="N1188" i="36134"/>
  <c r="U1188" i="36134" s="1"/>
  <c r="W1188" i="36134" s="1"/>
  <c r="R1188" i="36134"/>
  <c r="V1188" i="36134"/>
  <c r="J1189" i="36134"/>
  <c r="N1189" i="36134"/>
  <c r="U1189" i="36134" s="1"/>
  <c r="W1189" i="36134" s="1"/>
  <c r="R1189" i="36134"/>
  <c r="V1189" i="36134"/>
  <c r="J1190" i="36134"/>
  <c r="N1190" i="36134"/>
  <c r="U1190" i="36134"/>
  <c r="W1190" i="36134" s="1"/>
  <c r="R1190" i="36134"/>
  <c r="V1190" i="36134"/>
  <c r="J1191" i="36134"/>
  <c r="N1191" i="36134"/>
  <c r="U1191" i="36134" s="1"/>
  <c r="W1191" i="36134" s="1"/>
  <c r="R1191" i="36134"/>
  <c r="V1191" i="36134"/>
  <c r="J1192" i="36134"/>
  <c r="N1192" i="36134"/>
  <c r="U1192" i="36134" s="1"/>
  <c r="W1192" i="36134" s="1"/>
  <c r="R1192" i="36134"/>
  <c r="V1192" i="36134"/>
  <c r="J1193" i="36134"/>
  <c r="N1193" i="36134"/>
  <c r="U1193" i="36134" s="1"/>
  <c r="W1193" i="36134" s="1"/>
  <c r="R1193" i="36134"/>
  <c r="V1193" i="36134"/>
  <c r="N1194" i="36134"/>
  <c r="U1194" i="36134" s="1"/>
  <c r="W1194" i="36134" s="1"/>
  <c r="R1194" i="36134"/>
  <c r="V1194" i="36134"/>
  <c r="N1195" i="36134"/>
  <c r="U1195" i="36134" s="1"/>
  <c r="W1195" i="36134" s="1"/>
  <c r="R1195" i="36134"/>
  <c r="V1195" i="36134"/>
  <c r="N1196" i="36134"/>
  <c r="U1196" i="36134" s="1"/>
  <c r="W1196" i="36134" s="1"/>
  <c r="R1196" i="36134"/>
  <c r="V1196" i="36134"/>
  <c r="N1197" i="36134"/>
  <c r="U1197" i="36134"/>
  <c r="W1197" i="36134" s="1"/>
  <c r="R1197" i="36134"/>
  <c r="V1197" i="36134"/>
  <c r="N1198" i="36134"/>
  <c r="U1198" i="36134" s="1"/>
  <c r="W1198" i="36134" s="1"/>
  <c r="R1198" i="36134"/>
  <c r="V1198" i="36134"/>
  <c r="N1199" i="36134"/>
  <c r="U1199" i="36134" s="1"/>
  <c r="W1199" i="36134" s="1"/>
  <c r="R1199" i="36134"/>
  <c r="V1199" i="36134"/>
  <c r="N1200" i="36134"/>
  <c r="U1200" i="36134" s="1"/>
  <c r="W1200" i="36134" s="1"/>
  <c r="R1200" i="36134"/>
  <c r="V1200" i="36134"/>
  <c r="N1201" i="36134"/>
  <c r="U1201" i="36134" s="1"/>
  <c r="W1201" i="36134" s="1"/>
  <c r="R1201" i="36134"/>
  <c r="V1201" i="36134"/>
  <c r="N1202" i="36134"/>
  <c r="U1202" i="36134" s="1"/>
  <c r="W1202" i="36134" s="1"/>
  <c r="R1202" i="36134"/>
  <c r="V1202" i="36134"/>
  <c r="N1203" i="36134"/>
  <c r="U1203" i="36134" s="1"/>
  <c r="W1203" i="36134" s="1"/>
  <c r="R1203" i="36134"/>
  <c r="V1203" i="36134"/>
  <c r="N1204" i="36134"/>
  <c r="U1204" i="36134" s="1"/>
  <c r="W1204" i="36134" s="1"/>
  <c r="R1204" i="36134"/>
  <c r="V1204" i="36134"/>
  <c r="N1205" i="36134"/>
  <c r="U1205" i="36134" s="1"/>
  <c r="W1205" i="36134" s="1"/>
  <c r="R1205" i="36134"/>
  <c r="V1205" i="36134"/>
  <c r="N1206" i="36134"/>
  <c r="U1206" i="36134" s="1"/>
  <c r="W1206" i="36134" s="1"/>
  <c r="R1206" i="36134"/>
  <c r="V1206" i="36134"/>
  <c r="N1207" i="36134"/>
  <c r="U1207" i="36134" s="1"/>
  <c r="W1207" i="36134" s="1"/>
  <c r="R1207" i="36134"/>
  <c r="V1207" i="36134"/>
  <c r="J1208" i="36134"/>
  <c r="N1208" i="36134"/>
  <c r="U1208" i="36134" s="1"/>
  <c r="W1208" i="36134" s="1"/>
  <c r="Q1208" i="36134"/>
  <c r="R1208" i="36134" s="1"/>
  <c r="V1208" i="36134"/>
  <c r="J1209" i="36134"/>
  <c r="N1209" i="36134"/>
  <c r="U1209" i="36134" s="1"/>
  <c r="W1209" i="36134" s="1"/>
  <c r="R1209" i="36134"/>
  <c r="V1209" i="36134"/>
  <c r="J1210" i="36134"/>
  <c r="N1210" i="36134"/>
  <c r="U1210" i="36134" s="1"/>
  <c r="W1210" i="36134" s="1"/>
  <c r="R1210" i="36134"/>
  <c r="V1210" i="36134"/>
  <c r="J1211" i="36134"/>
  <c r="N1211" i="36134"/>
  <c r="U1211" i="36134" s="1"/>
  <c r="W1211" i="36134" s="1"/>
  <c r="R1211" i="36134"/>
  <c r="V1211" i="36134"/>
  <c r="J1212" i="36134"/>
  <c r="N1212" i="36134"/>
  <c r="U1212" i="36134" s="1"/>
  <c r="W1212" i="36134" s="1"/>
  <c r="R1212" i="36134"/>
  <c r="V1212" i="36134"/>
  <c r="J1213" i="36134"/>
  <c r="N1213" i="36134"/>
  <c r="U1213" i="36134" s="1"/>
  <c r="W1213" i="36134" s="1"/>
  <c r="R1213" i="36134"/>
  <c r="V1213" i="36134"/>
  <c r="J1214" i="36134"/>
  <c r="N1214" i="36134"/>
  <c r="U1214" i="36134" s="1"/>
  <c r="W1214" i="36134" s="1"/>
  <c r="R1214" i="36134"/>
  <c r="V1214" i="36134"/>
  <c r="J1215" i="36134"/>
  <c r="N1215" i="36134"/>
  <c r="U1215" i="36134" s="1"/>
  <c r="W1215" i="36134" s="1"/>
  <c r="R1215" i="36134"/>
  <c r="V1215" i="36134"/>
  <c r="J1216" i="36134"/>
  <c r="N1216" i="36134"/>
  <c r="U1216" i="36134" s="1"/>
  <c r="W1216" i="36134" s="1"/>
  <c r="R1216" i="36134"/>
  <c r="V1216" i="36134"/>
  <c r="J1217" i="36134"/>
  <c r="N1217" i="36134"/>
  <c r="U1217" i="36134" s="1"/>
  <c r="W1217" i="36134" s="1"/>
  <c r="R1217" i="36134"/>
  <c r="V1217" i="36134"/>
  <c r="J1218" i="36134"/>
  <c r="N1218" i="36134"/>
  <c r="U1218" i="36134" s="1"/>
  <c r="W1218" i="36134" s="1"/>
  <c r="R1218" i="36134"/>
  <c r="V1218" i="36134"/>
  <c r="J1219" i="36134"/>
  <c r="N1219" i="36134"/>
  <c r="U1219" i="36134" s="1"/>
  <c r="W1219" i="36134" s="1"/>
  <c r="R1219" i="36134"/>
  <c r="V1219" i="36134"/>
  <c r="J1220" i="36134"/>
  <c r="N1220" i="36134"/>
  <c r="U1220" i="36134" s="1"/>
  <c r="W1220" i="36134" s="1"/>
  <c r="R1220" i="36134"/>
  <c r="V1220" i="36134"/>
  <c r="J1221" i="36134"/>
  <c r="N1221" i="36134"/>
  <c r="U1221" i="36134" s="1"/>
  <c r="W1221" i="36134" s="1"/>
  <c r="R1221" i="36134"/>
  <c r="V1221" i="36134"/>
  <c r="J1222" i="36134"/>
  <c r="N1222" i="36134"/>
  <c r="U1222" i="36134"/>
  <c r="W1222" i="36134" s="1"/>
  <c r="Q1222" i="36134"/>
  <c r="R1222" i="36134" s="1"/>
  <c r="V1222" i="36134"/>
  <c r="J1223" i="36134"/>
  <c r="N1223" i="36134"/>
  <c r="U1223" i="36134" s="1"/>
  <c r="W1223" i="36134" s="1"/>
  <c r="R1223" i="36134"/>
  <c r="V1223" i="36134"/>
  <c r="J1224" i="36134"/>
  <c r="N1224" i="36134"/>
  <c r="U1224" i="36134" s="1"/>
  <c r="W1224" i="36134" s="1"/>
  <c r="R1224" i="36134"/>
  <c r="V1224" i="36134"/>
  <c r="J1225" i="36134"/>
  <c r="N1225" i="36134"/>
  <c r="U1225" i="36134" s="1"/>
  <c r="W1225" i="36134" s="1"/>
  <c r="R1225" i="36134"/>
  <c r="V1225" i="36134"/>
  <c r="J1226" i="36134"/>
  <c r="N1226" i="36134"/>
  <c r="U1226" i="36134" s="1"/>
  <c r="W1226" i="36134" s="1"/>
  <c r="R1226" i="36134"/>
  <c r="V1226" i="36134"/>
  <c r="J1227" i="36134"/>
  <c r="N1227" i="36134"/>
  <c r="U1227" i="36134" s="1"/>
  <c r="W1227" i="36134" s="1"/>
  <c r="R1227" i="36134"/>
  <c r="V1227" i="36134"/>
  <c r="J1228" i="36134"/>
  <c r="N1228" i="36134"/>
  <c r="U1228" i="36134" s="1"/>
  <c r="W1228" i="36134" s="1"/>
  <c r="R1228" i="36134"/>
  <c r="V1228" i="36134"/>
  <c r="J1229" i="36134"/>
  <c r="N1229" i="36134"/>
  <c r="U1229" i="36134"/>
  <c r="W1229" i="36134" s="1"/>
  <c r="R1229" i="36134"/>
  <c r="V1229" i="36134"/>
  <c r="J1230" i="36134"/>
  <c r="N1230" i="36134"/>
  <c r="U1230" i="36134" s="1"/>
  <c r="W1230" i="36134" s="1"/>
  <c r="R1230" i="36134"/>
  <c r="V1230" i="36134"/>
  <c r="J1231" i="36134"/>
  <c r="N1231" i="36134"/>
  <c r="U1231" i="36134" s="1"/>
  <c r="W1231" i="36134" s="1"/>
  <c r="R1231" i="36134"/>
  <c r="V1231" i="36134"/>
  <c r="J1232" i="36134"/>
  <c r="N1232" i="36134"/>
  <c r="U1232" i="36134" s="1"/>
  <c r="W1232" i="36134" s="1"/>
  <c r="R1232" i="36134"/>
  <c r="V1232" i="36134"/>
  <c r="J1233" i="36134"/>
  <c r="N1233" i="36134"/>
  <c r="U1233" i="36134" s="1"/>
  <c r="W1233" i="36134" s="1"/>
  <c r="R1233" i="36134"/>
  <c r="V1233" i="36134"/>
  <c r="J1234" i="36134"/>
  <c r="N1234" i="36134"/>
  <c r="U1234" i="36134" s="1"/>
  <c r="W1234" i="36134" s="1"/>
  <c r="R1234" i="36134"/>
  <c r="V1234" i="36134"/>
  <c r="J1235" i="36134"/>
  <c r="N1235" i="36134"/>
  <c r="U1235" i="36134" s="1"/>
  <c r="W1235" i="36134" s="1"/>
  <c r="R1235" i="36134"/>
  <c r="V1235" i="36134"/>
  <c r="J1236" i="36134"/>
  <c r="N1236" i="36134"/>
  <c r="U1236" i="36134" s="1"/>
  <c r="W1236" i="36134" s="1"/>
  <c r="R1236" i="36134"/>
  <c r="V1236" i="36134"/>
  <c r="J1237" i="36134"/>
  <c r="N1237" i="36134"/>
  <c r="U1237" i="36134" s="1"/>
  <c r="W1237" i="36134" s="1"/>
  <c r="R1237" i="36134"/>
  <c r="V1237" i="36134"/>
  <c r="J1238" i="36134"/>
  <c r="N1238" i="36134"/>
  <c r="U1238" i="36134" s="1"/>
  <c r="W1238" i="36134" s="1"/>
  <c r="R1238" i="36134"/>
  <c r="V1238" i="36134"/>
  <c r="N1239" i="36134"/>
  <c r="U1239" i="36134" s="1"/>
  <c r="W1239" i="36134" s="1"/>
  <c r="R1239" i="36134"/>
  <c r="V1239" i="36134"/>
  <c r="N1240" i="36134"/>
  <c r="U1240" i="36134"/>
  <c r="W1240" i="36134" s="1"/>
  <c r="R1240" i="36134"/>
  <c r="V1240" i="36134"/>
  <c r="N1241" i="36134"/>
  <c r="U1241" i="36134" s="1"/>
  <c r="W1241" i="36134" s="1"/>
  <c r="R1241" i="36134"/>
  <c r="V1241" i="36134"/>
  <c r="N1242" i="36134"/>
  <c r="U1242" i="36134"/>
  <c r="W1242" i="36134" s="1"/>
  <c r="R1242" i="36134"/>
  <c r="V1242" i="36134"/>
  <c r="N1243" i="36134"/>
  <c r="U1243" i="36134" s="1"/>
  <c r="W1243" i="36134" s="1"/>
  <c r="R1243" i="36134"/>
  <c r="V1243" i="36134"/>
  <c r="N1244" i="36134"/>
  <c r="U1244" i="36134" s="1"/>
  <c r="W1244" i="36134" s="1"/>
  <c r="R1244" i="36134"/>
  <c r="V1244" i="36134"/>
  <c r="N1245" i="36134"/>
  <c r="U1245" i="36134" s="1"/>
  <c r="W1245" i="36134" s="1"/>
  <c r="R1245" i="36134"/>
  <c r="V1245" i="36134"/>
  <c r="N1246" i="36134"/>
  <c r="U1246" i="36134" s="1"/>
  <c r="W1246" i="36134" s="1"/>
  <c r="R1246" i="36134"/>
  <c r="V1246" i="36134"/>
  <c r="N1247" i="36134"/>
  <c r="U1247" i="36134" s="1"/>
  <c r="W1247" i="36134" s="1"/>
  <c r="R1247" i="36134"/>
  <c r="V1247" i="36134"/>
  <c r="N1248" i="36134"/>
  <c r="U1248" i="36134" s="1"/>
  <c r="W1248" i="36134" s="1"/>
  <c r="R1248" i="36134"/>
  <c r="V1248" i="36134"/>
  <c r="N1249" i="36134"/>
  <c r="U1249" i="36134" s="1"/>
  <c r="W1249" i="36134" s="1"/>
  <c r="R1249" i="36134"/>
  <c r="V1249" i="36134"/>
  <c r="J1250" i="36134"/>
  <c r="N1250" i="36134"/>
  <c r="U1250" i="36134" s="1"/>
  <c r="W1250" i="36134" s="1"/>
  <c r="R1250" i="36134"/>
  <c r="V1250" i="36134"/>
  <c r="J1251" i="36134"/>
  <c r="N1251" i="36134"/>
  <c r="U1251" i="36134" s="1"/>
  <c r="W1251" i="36134" s="1"/>
  <c r="R1251" i="36134"/>
  <c r="V1251" i="36134"/>
  <c r="J1252" i="36134"/>
  <c r="N1252" i="36134"/>
  <c r="U1252" i="36134" s="1"/>
  <c r="W1252" i="36134" s="1"/>
  <c r="R1252" i="36134"/>
  <c r="V1252" i="36134"/>
  <c r="J1253" i="36134"/>
  <c r="N1253" i="36134"/>
  <c r="U1253" i="36134" s="1"/>
  <c r="W1253" i="36134" s="1"/>
  <c r="R1253" i="36134"/>
  <c r="V1253" i="36134"/>
  <c r="J1254" i="36134"/>
  <c r="N1254" i="36134"/>
  <c r="U1254" i="36134" s="1"/>
  <c r="W1254" i="36134" s="1"/>
  <c r="R1254" i="36134"/>
  <c r="V1254" i="36134"/>
  <c r="J1255" i="36134"/>
  <c r="N1255" i="36134"/>
  <c r="U1255" i="36134" s="1"/>
  <c r="W1255" i="36134" s="1"/>
  <c r="Q1255" i="36134"/>
  <c r="R1255" i="36134" s="1"/>
  <c r="V1255" i="36134"/>
  <c r="J1256" i="36134"/>
  <c r="N1256" i="36134"/>
  <c r="U1256" i="36134"/>
  <c r="W1256" i="36134" s="1"/>
  <c r="Q1256" i="36134"/>
  <c r="R1256" i="36134" s="1"/>
  <c r="V1256" i="36134"/>
  <c r="J1257" i="36134"/>
  <c r="N1257" i="36134"/>
  <c r="U1257" i="36134" s="1"/>
  <c r="W1257" i="36134" s="1"/>
  <c r="R1257" i="36134"/>
  <c r="V1257" i="36134"/>
  <c r="J1258" i="36134"/>
  <c r="N1258" i="36134"/>
  <c r="U1258" i="36134" s="1"/>
  <c r="W1258" i="36134" s="1"/>
  <c r="R1258" i="36134"/>
  <c r="V1258" i="36134"/>
  <c r="J1259" i="36134"/>
  <c r="N1259" i="36134"/>
  <c r="U1259" i="36134" s="1"/>
  <c r="W1259" i="36134" s="1"/>
  <c r="Q1259" i="36134"/>
  <c r="R1259" i="36134" s="1"/>
  <c r="V1259" i="36134"/>
  <c r="K1260" i="36134"/>
  <c r="N1260" i="36134" s="1"/>
  <c r="R1260" i="36134"/>
  <c r="V1260" i="36134"/>
  <c r="K1261" i="36134"/>
  <c r="N1261" i="36134" s="1"/>
  <c r="R1261" i="36134"/>
  <c r="V1261" i="36134"/>
  <c r="AG2406" i="36112"/>
  <c r="AH2406" i="36112" s="1"/>
  <c r="AI2406" i="36112" s="1"/>
  <c r="AG2407" i="36112"/>
  <c r="AH2407" i="36112" s="1"/>
  <c r="AI2407" i="36112" s="1"/>
  <c r="AG2408" i="36112"/>
  <c r="AH2408" i="36112" s="1"/>
  <c r="AI2408" i="36112" s="1"/>
  <c r="AG2409" i="36112"/>
  <c r="AG2410" i="36112"/>
  <c r="AH2410" i="36112" s="1"/>
  <c r="AI2410" i="36112" s="1"/>
  <c r="AG2411" i="36112"/>
  <c r="AH2411" i="36112" s="1"/>
  <c r="AI2411" i="36112" s="1"/>
  <c r="AG2412" i="36112"/>
  <c r="AH2412" i="36112" s="1"/>
  <c r="AI2412" i="36112" s="1"/>
  <c r="AG2413" i="36112"/>
  <c r="AH2413" i="36112" s="1"/>
  <c r="AI2413" i="36112" s="1"/>
  <c r="AG2414" i="36112"/>
  <c r="AH2414" i="36112" s="1"/>
  <c r="AI2414" i="36112" s="1"/>
  <c r="AG2415" i="36112"/>
  <c r="AG2416" i="36112"/>
  <c r="AH2416" i="36112" s="1"/>
  <c r="AI2416" i="36112" s="1"/>
  <c r="AG2417" i="36112"/>
  <c r="AH2417" i="36112" s="1"/>
  <c r="AI2417" i="36112" s="1"/>
  <c r="AG2418" i="36112"/>
  <c r="AH2418" i="36112" s="1"/>
  <c r="AI2418" i="36112" s="1"/>
  <c r="AG2419" i="36112"/>
  <c r="AH2419" i="36112" s="1"/>
  <c r="AI2419" i="36112" s="1"/>
  <c r="AG2420" i="36112"/>
  <c r="AH2420" i="36112" s="1"/>
  <c r="AI2420" i="36112" s="1"/>
  <c r="K2419" i="36112"/>
  <c r="P2419" i="36112"/>
  <c r="AD2419" i="36112" s="1"/>
  <c r="U2419" i="36112"/>
  <c r="K2420" i="36112"/>
  <c r="P2420" i="36112"/>
  <c r="AD2420" i="36112" s="1"/>
  <c r="U2420" i="36112"/>
  <c r="K2417" i="36112"/>
  <c r="P2417" i="36112"/>
  <c r="AD2417" i="36112" s="1"/>
  <c r="U2417" i="36112"/>
  <c r="K2418" i="36112"/>
  <c r="P2418" i="36112"/>
  <c r="AD2418" i="36112" s="1"/>
  <c r="U2418" i="36112"/>
  <c r="K2414" i="36112"/>
  <c r="P2414" i="36112"/>
  <c r="AD2414" i="36112" s="1"/>
  <c r="U2414" i="36112"/>
  <c r="K2415" i="36112"/>
  <c r="P2415" i="36112"/>
  <c r="AD2415" i="36112" s="1"/>
  <c r="U2415" i="36112"/>
  <c r="K2416" i="36112"/>
  <c r="P2416" i="36112"/>
  <c r="AD2416" i="36112" s="1"/>
  <c r="U2416" i="36112"/>
  <c r="K2413" i="36112"/>
  <c r="P2413" i="36112"/>
  <c r="AD2413" i="36112" s="1"/>
  <c r="U2413" i="36112"/>
  <c r="K2407" i="36112"/>
  <c r="P2407" i="36112"/>
  <c r="AD2407" i="36112" s="1"/>
  <c r="U2407" i="36112"/>
  <c r="K2408" i="36112"/>
  <c r="P2408" i="36112"/>
  <c r="AD2408" i="36112" s="1"/>
  <c r="U2408" i="36112"/>
  <c r="K2406" i="36112"/>
  <c r="P2406" i="36112"/>
  <c r="AD2406" i="36112" s="1"/>
  <c r="U2406" i="36112"/>
  <c r="K2409" i="36112"/>
  <c r="P2409" i="36112"/>
  <c r="AD2409" i="36112" s="1"/>
  <c r="U2409" i="36112"/>
  <c r="K2410" i="36112"/>
  <c r="P2410" i="36112"/>
  <c r="AD2410" i="36112" s="1"/>
  <c r="U2410" i="36112"/>
  <c r="K2411" i="36112"/>
  <c r="P2411" i="36112"/>
  <c r="AD2411" i="36112" s="1"/>
  <c r="U2411" i="36112"/>
  <c r="K2412" i="36112"/>
  <c r="P2412" i="36112"/>
  <c r="AD2412" i="36112" s="1"/>
  <c r="U2412" i="36112"/>
  <c r="AG2402" i="36112"/>
  <c r="AH2402" i="36112" s="1"/>
  <c r="AI2402" i="36112" s="1"/>
  <c r="AG2403" i="36112"/>
  <c r="AH2403" i="36112" s="1"/>
  <c r="AI2403" i="36112" s="1"/>
  <c r="AG2404" i="36112"/>
  <c r="AH2404" i="36112" s="1"/>
  <c r="AI2404" i="36112" s="1"/>
  <c r="AG2405" i="36112"/>
  <c r="AH2405" i="36112" s="1"/>
  <c r="AI2405" i="36112" s="1"/>
  <c r="AG2401" i="36112"/>
  <c r="AH2401" i="36112" s="1"/>
  <c r="AI2401" i="36112" s="1"/>
  <c r="K2403" i="36112"/>
  <c r="P2403" i="36112"/>
  <c r="AD2403" i="36112" s="1"/>
  <c r="U2403" i="36112"/>
  <c r="K2404" i="36112"/>
  <c r="P2404" i="36112"/>
  <c r="AD2404" i="36112" s="1"/>
  <c r="U2404" i="36112"/>
  <c r="K2405" i="36112"/>
  <c r="P2405" i="36112"/>
  <c r="AD2405" i="36112" s="1"/>
  <c r="HV2" i="36128" s="1"/>
  <c r="HV38" i="36128" s="1"/>
  <c r="U2405" i="36112"/>
  <c r="K2402" i="36112"/>
  <c r="P2402" i="36112"/>
  <c r="AD2402" i="36112" s="1"/>
  <c r="U2402" i="36112"/>
  <c r="K2401" i="36112"/>
  <c r="P2401" i="36112"/>
  <c r="AD2401" i="36112" s="1"/>
  <c r="U2401" i="36112"/>
  <c r="K2400" i="36112"/>
  <c r="P2400" i="36112"/>
  <c r="AD2400" i="36112" s="1"/>
  <c r="U2400" i="36112"/>
  <c r="AB2400" i="36112"/>
  <c r="AG2372" i="36112"/>
  <c r="AH2372" i="36112" s="1"/>
  <c r="AI2372" i="36112" s="1"/>
  <c r="AG2390" i="36112"/>
  <c r="AH2390" i="36112" s="1"/>
  <c r="AI2390" i="36112" s="1"/>
  <c r="AG2391" i="36112"/>
  <c r="AH2391" i="36112" s="1"/>
  <c r="AI2391" i="36112" s="1"/>
  <c r="AG2392" i="36112"/>
  <c r="AH2392" i="36112" s="1"/>
  <c r="AI2392" i="36112" s="1"/>
  <c r="AG2393" i="36112"/>
  <c r="AH2393" i="36112" s="1"/>
  <c r="AI2393" i="36112" s="1"/>
  <c r="AG2394" i="36112"/>
  <c r="AH2394" i="36112" s="1"/>
  <c r="AI2394" i="36112" s="1"/>
  <c r="AG2395" i="36112"/>
  <c r="AH2395" i="36112" s="1"/>
  <c r="AI2395" i="36112" s="1"/>
  <c r="AG2396" i="36112"/>
  <c r="AG2397" i="36112"/>
  <c r="AH2397" i="36112" s="1"/>
  <c r="AI2397" i="36112" s="1"/>
  <c r="AG2398" i="36112"/>
  <c r="AH2398" i="36112" s="1"/>
  <c r="AI2398" i="36112" s="1"/>
  <c r="AG2399" i="36112"/>
  <c r="AH2399" i="36112" s="1"/>
  <c r="AI2399" i="36112" s="1"/>
  <c r="K2396" i="36112"/>
  <c r="P2396" i="36112"/>
  <c r="AD2396" i="36112" s="1"/>
  <c r="U2396" i="36112"/>
  <c r="K2397" i="36112"/>
  <c r="P2397" i="36112"/>
  <c r="AD2397" i="36112" s="1"/>
  <c r="U2397" i="36112"/>
  <c r="K2398" i="36112"/>
  <c r="P2398" i="36112"/>
  <c r="AD2398" i="36112" s="1"/>
  <c r="U2398" i="36112"/>
  <c r="H2399" i="36112"/>
  <c r="K2399" i="36112"/>
  <c r="P2399" i="36112"/>
  <c r="AD2399" i="36112" s="1"/>
  <c r="U2399" i="36112"/>
  <c r="K2391" i="36112"/>
  <c r="P2391" i="36112"/>
  <c r="AD2391" i="36112" s="1"/>
  <c r="U2391" i="36112"/>
  <c r="K2392" i="36112"/>
  <c r="P2392" i="36112"/>
  <c r="AD2392" i="36112" s="1"/>
  <c r="U2392" i="36112"/>
  <c r="K2390" i="36112"/>
  <c r="P2390" i="36112"/>
  <c r="AD2390" i="36112" s="1"/>
  <c r="U2390" i="36112"/>
  <c r="K2393" i="36112"/>
  <c r="P2393" i="36112"/>
  <c r="AD2393" i="36112" s="1"/>
  <c r="U2393" i="36112"/>
  <c r="K2394" i="36112"/>
  <c r="P2394" i="36112"/>
  <c r="AD2394" i="36112" s="1"/>
  <c r="U2394" i="36112"/>
  <c r="K2395" i="36112"/>
  <c r="P2395" i="36112"/>
  <c r="AD2395" i="36112" s="1"/>
  <c r="U2395" i="36112"/>
  <c r="AG751" i="60"/>
  <c r="KL5" i="36128" s="1"/>
  <c r="AG752" i="60"/>
  <c r="KM5" i="36128" s="1"/>
  <c r="AG753" i="60"/>
  <c r="AH753" i="60" s="1"/>
  <c r="AI753" i="60" s="1"/>
  <c r="AG754" i="60"/>
  <c r="AH754" i="60" s="1"/>
  <c r="AI754" i="60" s="1"/>
  <c r="K751" i="60"/>
  <c r="P751" i="60"/>
  <c r="AD751" i="60" s="1"/>
  <c r="T751" i="60"/>
  <c r="U751" i="60" s="1"/>
  <c r="K752" i="60"/>
  <c r="P752" i="60"/>
  <c r="AD752" i="60" s="1"/>
  <c r="U752" i="60"/>
  <c r="K753" i="60"/>
  <c r="P753" i="60"/>
  <c r="AD753" i="60" s="1"/>
  <c r="U753" i="60"/>
  <c r="K754" i="60"/>
  <c r="P754" i="60"/>
  <c r="AD754" i="60" s="1"/>
  <c r="U754" i="60"/>
  <c r="AG755" i="60"/>
  <c r="K755" i="60"/>
  <c r="P755" i="60"/>
  <c r="AD755" i="60" s="1"/>
  <c r="HU6" i="36128" s="1"/>
  <c r="HU39" i="36128" s="1"/>
  <c r="U755" i="60"/>
  <c r="L20" i="36116"/>
  <c r="P20" i="36116"/>
  <c r="AD20" i="36116"/>
  <c r="U20" i="36116"/>
  <c r="AG2376" i="36112"/>
  <c r="AH2376" i="36112" s="1"/>
  <c r="AI2376" i="36112" s="1"/>
  <c r="AG2377" i="36112"/>
  <c r="AH2377" i="36112" s="1"/>
  <c r="AI2377" i="36112" s="1"/>
  <c r="K2377" i="36112"/>
  <c r="P2377" i="36112"/>
  <c r="AD2377" i="36112" s="1"/>
  <c r="U2377" i="36112"/>
  <c r="K2376" i="36112"/>
  <c r="P2376" i="36112"/>
  <c r="AD2376" i="36112" s="1"/>
  <c r="U2376" i="36112"/>
  <c r="AG2378" i="36112"/>
  <c r="AH2378" i="36112" s="1"/>
  <c r="AI2378" i="36112" s="1"/>
  <c r="AG2379" i="36112"/>
  <c r="AH2379" i="36112" s="1"/>
  <c r="AI2379" i="36112" s="1"/>
  <c r="AG2380" i="36112"/>
  <c r="AH2380" i="36112" s="1"/>
  <c r="AI2380" i="36112" s="1"/>
  <c r="AG2381" i="36112"/>
  <c r="AH2381" i="36112" s="1"/>
  <c r="AI2381" i="36112" s="1"/>
  <c r="AG2382" i="36112"/>
  <c r="AH2382" i="36112" s="1"/>
  <c r="AI2382" i="36112" s="1"/>
  <c r="AG2383" i="36112"/>
  <c r="AH2383" i="36112" s="1"/>
  <c r="AI2383" i="36112" s="1"/>
  <c r="K2383" i="36112"/>
  <c r="P2383" i="36112"/>
  <c r="AD2383" i="36112" s="1"/>
  <c r="U2383" i="36112"/>
  <c r="K2378" i="36112"/>
  <c r="P2378" i="36112"/>
  <c r="AD2378" i="36112" s="1"/>
  <c r="U2378" i="36112"/>
  <c r="K2379" i="36112"/>
  <c r="P2379" i="36112"/>
  <c r="AD2379" i="36112" s="1"/>
  <c r="U2379" i="36112"/>
  <c r="K2380" i="36112"/>
  <c r="P2380" i="36112"/>
  <c r="AD2380" i="36112" s="1"/>
  <c r="U2380" i="36112"/>
  <c r="K2381" i="36112"/>
  <c r="P2381" i="36112"/>
  <c r="AD2381" i="36112" s="1"/>
  <c r="U2381" i="36112"/>
  <c r="K2382" i="36112"/>
  <c r="P2382" i="36112"/>
  <c r="AD2382" i="36112" s="1"/>
  <c r="U2382" i="36112"/>
  <c r="AG2384" i="36112"/>
  <c r="AG2385" i="36112"/>
  <c r="AH2385" i="36112"/>
  <c r="AI2385" i="36112" s="1"/>
  <c r="AG2386" i="36112"/>
  <c r="AH2386" i="36112" s="1"/>
  <c r="AI2386" i="36112" s="1"/>
  <c r="AG2387" i="36112"/>
  <c r="AH2387" i="36112" s="1"/>
  <c r="AI2387" i="36112" s="1"/>
  <c r="AG2388" i="36112"/>
  <c r="AH2388" i="36112" s="1"/>
  <c r="AI2388" i="36112" s="1"/>
  <c r="AG2389" i="36112"/>
  <c r="AH2389" i="36112" s="1"/>
  <c r="AI2389" i="36112" s="1"/>
  <c r="K2389" i="36112"/>
  <c r="P2389" i="36112"/>
  <c r="AD2389" i="36112" s="1"/>
  <c r="U2389" i="36112"/>
  <c r="K2388" i="36112"/>
  <c r="P2388" i="36112"/>
  <c r="AD2388" i="36112" s="1"/>
  <c r="U2388" i="36112"/>
  <c r="K2387" i="36112"/>
  <c r="P2387" i="36112"/>
  <c r="AD2387" i="36112" s="1"/>
  <c r="U2387" i="36112"/>
  <c r="K2386" i="36112"/>
  <c r="P2386" i="36112"/>
  <c r="AD2386" i="36112" s="1"/>
  <c r="U2386" i="36112"/>
  <c r="K2385" i="36112"/>
  <c r="P2385" i="36112"/>
  <c r="AD2385" i="36112" s="1"/>
  <c r="U2385" i="36112"/>
  <c r="K2384" i="36112"/>
  <c r="P2384" i="36112"/>
  <c r="AD2384" i="36112" s="1"/>
  <c r="U2384" i="36112"/>
  <c r="AG2373" i="36112"/>
  <c r="AH2373" i="36112" s="1"/>
  <c r="AI2373" i="36112" s="1"/>
  <c r="AG2374" i="36112"/>
  <c r="AH2374" i="36112" s="1"/>
  <c r="AI2374" i="36112" s="1"/>
  <c r="AG2375" i="36112"/>
  <c r="AH2375" i="36112" s="1"/>
  <c r="AI2375" i="36112" s="1"/>
  <c r="K2372" i="36112"/>
  <c r="P2372" i="36112"/>
  <c r="AD2372" i="36112" s="1"/>
  <c r="U2372" i="36112"/>
  <c r="K2373" i="36112"/>
  <c r="P2373" i="36112"/>
  <c r="AD2373" i="36112" s="1"/>
  <c r="U2373" i="36112"/>
  <c r="K2374" i="36112"/>
  <c r="P2374" i="36112"/>
  <c r="AD2374" i="36112" s="1"/>
  <c r="U2374" i="36112"/>
  <c r="K2375" i="36112"/>
  <c r="P2375" i="36112"/>
  <c r="AD2375" i="36112" s="1"/>
  <c r="U2375" i="36112"/>
  <c r="AG221" i="46"/>
  <c r="K221" i="46"/>
  <c r="P221" i="46"/>
  <c r="AD221" i="46"/>
  <c r="T221" i="46"/>
  <c r="U221" i="46"/>
  <c r="AG749" i="60"/>
  <c r="AH749" i="60" s="1"/>
  <c r="AI749" i="60" s="1"/>
  <c r="KJ6" i="36128" s="1"/>
  <c r="KJ39" i="36128" s="1"/>
  <c r="AG750" i="60"/>
  <c r="AH750" i="60" s="1"/>
  <c r="AI750" i="60" s="1"/>
  <c r="K750" i="60"/>
  <c r="P750" i="60"/>
  <c r="AD750" i="60" s="1"/>
  <c r="U750" i="60"/>
  <c r="K749" i="60"/>
  <c r="P749" i="60"/>
  <c r="AD749" i="60" s="1"/>
  <c r="U749" i="60"/>
  <c r="KJ5" i="36128"/>
  <c r="KJ38" i="36128" s="1"/>
  <c r="AG2353" i="36112"/>
  <c r="AH2353" i="36112" s="1"/>
  <c r="AI2353" i="36112" s="1"/>
  <c r="AG2354" i="36112"/>
  <c r="AH2354" i="36112" s="1"/>
  <c r="AI2354" i="36112" s="1"/>
  <c r="AG2355" i="36112"/>
  <c r="AH2355" i="36112" s="1"/>
  <c r="AI2355" i="36112" s="1"/>
  <c r="AG2356" i="36112"/>
  <c r="AH2356" i="36112" s="1"/>
  <c r="AI2356" i="36112" s="1"/>
  <c r="AG2357" i="36112"/>
  <c r="AH2357" i="36112" s="1"/>
  <c r="AI2357" i="36112" s="1"/>
  <c r="AG2358" i="36112"/>
  <c r="AG2359" i="36112"/>
  <c r="AH2359" i="36112" s="1"/>
  <c r="AI2359" i="36112" s="1"/>
  <c r="AG2360" i="36112"/>
  <c r="AH2360" i="36112" s="1"/>
  <c r="AI2360" i="36112" s="1"/>
  <c r="K2353" i="36112"/>
  <c r="P2353" i="36112"/>
  <c r="AD2353" i="36112" s="1"/>
  <c r="U2353" i="36112"/>
  <c r="K2354" i="36112"/>
  <c r="P2354" i="36112"/>
  <c r="AD2354" i="36112" s="1"/>
  <c r="U2354" i="36112"/>
  <c r="K2355" i="36112"/>
  <c r="P2355" i="36112"/>
  <c r="AD2355" i="36112" s="1"/>
  <c r="U2355" i="36112"/>
  <c r="K2356" i="36112"/>
  <c r="P2356" i="36112"/>
  <c r="AD2356" i="36112" s="1"/>
  <c r="U2356" i="36112"/>
  <c r="K2357" i="36112"/>
  <c r="P2357" i="36112"/>
  <c r="AD2357" i="36112" s="1"/>
  <c r="U2357" i="36112"/>
  <c r="K2358" i="36112"/>
  <c r="P2358" i="36112"/>
  <c r="AD2358" i="36112" s="1"/>
  <c r="U2358" i="36112"/>
  <c r="K2359" i="36112"/>
  <c r="P2359" i="36112"/>
  <c r="AD2359" i="36112" s="1"/>
  <c r="U2359" i="36112"/>
  <c r="K2360" i="36112"/>
  <c r="P2360" i="36112"/>
  <c r="AD2360" i="36112" s="1"/>
  <c r="U2360" i="36112"/>
  <c r="P2361" i="36112"/>
  <c r="AD2361" i="36112" s="1"/>
  <c r="AG2331" i="36112"/>
  <c r="AH2331" i="36112" s="1"/>
  <c r="AI2331" i="36112" s="1"/>
  <c r="AG737" i="60"/>
  <c r="AH737" i="60" s="1"/>
  <c r="AI737" i="60" s="1"/>
  <c r="AG738" i="60"/>
  <c r="AH738" i="60" s="1"/>
  <c r="AI738" i="60" s="1"/>
  <c r="AG739" i="60"/>
  <c r="AH739" i="60" s="1"/>
  <c r="AI739" i="60" s="1"/>
  <c r="AG740" i="60"/>
  <c r="AH740" i="60" s="1"/>
  <c r="AI740" i="60" s="1"/>
  <c r="AG741" i="60"/>
  <c r="AH741" i="60"/>
  <c r="AI741" i="60" s="1"/>
  <c r="K739" i="60"/>
  <c r="P739" i="60"/>
  <c r="AD739" i="60"/>
  <c r="U739" i="60"/>
  <c r="K740" i="60"/>
  <c r="P740" i="60"/>
  <c r="AD740" i="60" s="1"/>
  <c r="U740" i="60"/>
  <c r="K741" i="60"/>
  <c r="P741" i="60"/>
  <c r="AD741" i="60" s="1"/>
  <c r="U741" i="60"/>
  <c r="K737" i="60"/>
  <c r="P737" i="60"/>
  <c r="AD737" i="60" s="1"/>
  <c r="U737" i="60"/>
  <c r="K738" i="60"/>
  <c r="P738" i="60"/>
  <c r="AD738" i="60" s="1"/>
  <c r="U738" i="60"/>
  <c r="AG742" i="60"/>
  <c r="AG743" i="60"/>
  <c r="AH743" i="60" s="1"/>
  <c r="AI743" i="60" s="1"/>
  <c r="K742" i="60"/>
  <c r="P742" i="60"/>
  <c r="AD742" i="60" s="1"/>
  <c r="T742" i="60"/>
  <c r="U742" i="60" s="1"/>
  <c r="K743" i="60"/>
  <c r="P743" i="60"/>
  <c r="AD743" i="60" s="1"/>
  <c r="HO6" i="36128" s="1"/>
  <c r="T743" i="60"/>
  <c r="U743" i="60" s="1"/>
  <c r="AG2361" i="36112"/>
  <c r="AH2361" i="36112" s="1"/>
  <c r="AG2362" i="36112"/>
  <c r="AH2362" i="36112" s="1"/>
  <c r="AI2362" i="36112" s="1"/>
  <c r="AG2363" i="36112"/>
  <c r="AH2363" i="36112" s="1"/>
  <c r="AI2363" i="36112" s="1"/>
  <c r="AG2364" i="36112"/>
  <c r="AH2364" i="36112" s="1"/>
  <c r="AI2364" i="36112" s="1"/>
  <c r="K2361" i="36112"/>
  <c r="U2361" i="36112"/>
  <c r="K2362" i="36112"/>
  <c r="P2362" i="36112"/>
  <c r="AD2362" i="36112" s="1"/>
  <c r="U2362" i="36112"/>
  <c r="K2363" i="36112"/>
  <c r="P2363" i="36112"/>
  <c r="AD2363" i="36112" s="1"/>
  <c r="U2363" i="36112"/>
  <c r="K2364" i="36112"/>
  <c r="P2364" i="36112"/>
  <c r="AD2364" i="36112" s="1"/>
  <c r="U2364" i="36112"/>
  <c r="AG2346" i="36112"/>
  <c r="AH2346" i="36112" s="1"/>
  <c r="AI2346" i="36112" s="1"/>
  <c r="AG2347" i="36112"/>
  <c r="AH2347" i="36112" s="1"/>
  <c r="AI2347" i="36112" s="1"/>
  <c r="AG2348" i="36112"/>
  <c r="AH2348" i="36112" s="1"/>
  <c r="AI2348" i="36112" s="1"/>
  <c r="AG2349" i="36112"/>
  <c r="AH2349" i="36112" s="1"/>
  <c r="AI2349" i="36112" s="1"/>
  <c r="AG2350" i="36112"/>
  <c r="AH2350" i="36112" s="1"/>
  <c r="AI2350" i="36112" s="1"/>
  <c r="AG2351" i="36112"/>
  <c r="AH2351" i="36112" s="1"/>
  <c r="AI2351" i="36112" s="1"/>
  <c r="AG2352" i="36112"/>
  <c r="AH2352" i="36112" s="1"/>
  <c r="AI2352" i="36112" s="1"/>
  <c r="K2346" i="36112"/>
  <c r="P2346" i="36112"/>
  <c r="AD2346" i="36112" s="1"/>
  <c r="U2346" i="36112"/>
  <c r="K2347" i="36112"/>
  <c r="P2347" i="36112"/>
  <c r="AD2347" i="36112" s="1"/>
  <c r="U2347" i="36112"/>
  <c r="K2348" i="36112"/>
  <c r="P2348" i="36112"/>
  <c r="AD2348" i="36112" s="1"/>
  <c r="U2348" i="36112"/>
  <c r="K2349" i="36112"/>
  <c r="P2349" i="36112"/>
  <c r="AD2349" i="36112" s="1"/>
  <c r="U2349" i="36112"/>
  <c r="K2350" i="36112"/>
  <c r="P2350" i="36112"/>
  <c r="AD2350" i="36112" s="1"/>
  <c r="HN3" i="36128" s="1"/>
  <c r="U2350" i="36112"/>
  <c r="K2351" i="36112"/>
  <c r="P2351" i="36112"/>
  <c r="AD2351" i="36112" s="1"/>
  <c r="U2351" i="36112"/>
  <c r="K2352" i="36112"/>
  <c r="P2352" i="36112"/>
  <c r="AD2352" i="36112" s="1"/>
  <c r="U2352" i="36112"/>
  <c r="AG2345" i="36112"/>
  <c r="AH2345" i="36112" s="1"/>
  <c r="AI2345" i="36112" s="1"/>
  <c r="K2345" i="36112"/>
  <c r="P2345" i="36112"/>
  <c r="AD2345" i="36112" s="1"/>
  <c r="T2345" i="36112"/>
  <c r="U2345" i="36112" s="1"/>
  <c r="AG2344" i="36112"/>
  <c r="AH2344" i="36112" s="1"/>
  <c r="AI2344" i="36112" s="1"/>
  <c r="K2344" i="36112"/>
  <c r="P2344" i="36112"/>
  <c r="AD2344" i="36112" s="1"/>
  <c r="U2344" i="36112"/>
  <c r="AG2339" i="36112"/>
  <c r="AH2339" i="36112" s="1"/>
  <c r="AI2339" i="36112" s="1"/>
  <c r="AG2340" i="36112"/>
  <c r="AH2340" i="36112" s="1"/>
  <c r="AI2340" i="36112" s="1"/>
  <c r="AG2341" i="36112"/>
  <c r="AH2341" i="36112" s="1"/>
  <c r="AI2341" i="36112" s="1"/>
  <c r="AG2342" i="36112"/>
  <c r="AH2342" i="36112" s="1"/>
  <c r="AI2342" i="36112" s="1"/>
  <c r="AG2343" i="36112"/>
  <c r="K2339" i="36112"/>
  <c r="P2339" i="36112"/>
  <c r="AD2339" i="36112" s="1"/>
  <c r="U2339" i="36112"/>
  <c r="K2340" i="36112"/>
  <c r="P2340" i="36112"/>
  <c r="AD2340" i="36112" s="1"/>
  <c r="U2340" i="36112"/>
  <c r="K2341" i="36112"/>
  <c r="P2341" i="36112"/>
  <c r="AD2341" i="36112" s="1"/>
  <c r="U2341" i="36112"/>
  <c r="K2342" i="36112"/>
  <c r="P2342" i="36112"/>
  <c r="AD2342" i="36112" s="1"/>
  <c r="U2342" i="36112"/>
  <c r="K2343" i="36112"/>
  <c r="P2343" i="36112"/>
  <c r="AD2343" i="36112" s="1"/>
  <c r="U2343" i="36112"/>
  <c r="AG2320" i="36112"/>
  <c r="AH2320" i="36112" s="1"/>
  <c r="AI2320" i="36112" s="1"/>
  <c r="AG2321" i="36112"/>
  <c r="AH2321" i="36112" s="1"/>
  <c r="AI2321" i="36112" s="1"/>
  <c r="AG2322" i="36112"/>
  <c r="AH2322" i="36112" s="1"/>
  <c r="AI2322" i="36112" s="1"/>
  <c r="AG2323" i="36112"/>
  <c r="AH2323" i="36112" s="1"/>
  <c r="AI2323" i="36112" s="1"/>
  <c r="AG2324" i="36112"/>
  <c r="AH2324" i="36112" s="1"/>
  <c r="AI2324" i="36112" s="1"/>
  <c r="K2321" i="36112"/>
  <c r="P2321" i="36112"/>
  <c r="AD2321" i="36112" s="1"/>
  <c r="U2321" i="36112"/>
  <c r="K2322" i="36112"/>
  <c r="P2322" i="36112"/>
  <c r="AD2322" i="36112" s="1"/>
  <c r="U2322" i="36112"/>
  <c r="K2323" i="36112"/>
  <c r="P2323" i="36112"/>
  <c r="AD2323" i="36112" s="1"/>
  <c r="U2323" i="36112"/>
  <c r="K2324" i="36112"/>
  <c r="P2324" i="36112"/>
  <c r="AD2324" i="36112" s="1"/>
  <c r="U2324" i="36112"/>
  <c r="U80" i="36125"/>
  <c r="L80" i="36125"/>
  <c r="P80" i="36125"/>
  <c r="AD80" i="36125"/>
  <c r="AG2337" i="36112"/>
  <c r="AH2337" i="36112" s="1"/>
  <c r="AI2337" i="36112" s="1"/>
  <c r="AG2338" i="36112"/>
  <c r="AH2338" i="36112" s="1"/>
  <c r="AI2338" i="36112" s="1"/>
  <c r="K2338" i="36112"/>
  <c r="P2338" i="36112"/>
  <c r="AD2338" i="36112" s="1"/>
  <c r="U2338" i="36112"/>
  <c r="K2337" i="36112"/>
  <c r="P2337" i="36112"/>
  <c r="AD2337" i="36112" s="1"/>
  <c r="U2337" i="36112"/>
  <c r="AG2336" i="36112"/>
  <c r="AH2336" i="36112" s="1"/>
  <c r="AI2336" i="36112" s="1"/>
  <c r="KC3" i="36128" s="1"/>
  <c r="P2336" i="36112"/>
  <c r="AD2336" i="36112" s="1"/>
  <c r="K2336" i="36112"/>
  <c r="T2336" i="36112"/>
  <c r="U2336" i="36112" s="1"/>
  <c r="P732" i="60"/>
  <c r="AD732" i="60" s="1"/>
  <c r="AG2332" i="36112"/>
  <c r="AH2332" i="36112" s="1"/>
  <c r="AI2332" i="36112" s="1"/>
  <c r="AG2333" i="36112"/>
  <c r="AH2333" i="36112" s="1"/>
  <c r="AI2333" i="36112" s="1"/>
  <c r="AG2334" i="36112"/>
  <c r="AH2334" i="36112" s="1"/>
  <c r="AI2334" i="36112" s="1"/>
  <c r="AG2335" i="36112"/>
  <c r="AH2335" i="36112" s="1"/>
  <c r="AI2335" i="36112" s="1"/>
  <c r="K2335" i="36112"/>
  <c r="P2335" i="36112"/>
  <c r="AD2335" i="36112" s="1"/>
  <c r="U2335" i="36112"/>
  <c r="K2332" i="36112"/>
  <c r="P2332" i="36112"/>
  <c r="AD2332" i="36112" s="1"/>
  <c r="U2332" i="36112"/>
  <c r="K2333" i="36112"/>
  <c r="P2333" i="36112"/>
  <c r="AD2333" i="36112" s="1"/>
  <c r="HJ3" i="36128" s="1"/>
  <c r="U2333" i="36112"/>
  <c r="K2334" i="36112"/>
  <c r="P2334" i="36112"/>
  <c r="AD2334" i="36112" s="1"/>
  <c r="U2334" i="36112"/>
  <c r="AG2311" i="36112"/>
  <c r="AH2311" i="36112" s="1"/>
  <c r="AI2311" i="36112" s="1"/>
  <c r="AG723" i="60"/>
  <c r="AH723" i="60" s="1"/>
  <c r="AI723" i="60" s="1"/>
  <c r="JW6" i="36128" s="1"/>
  <c r="AG732" i="60"/>
  <c r="AH732" i="60" s="1"/>
  <c r="AI732" i="60" s="1"/>
  <c r="AG733" i="60"/>
  <c r="AH733" i="60" s="1"/>
  <c r="AI733" i="60" s="1"/>
  <c r="AG734" i="60"/>
  <c r="AH734" i="60" s="1"/>
  <c r="AI734" i="60" s="1"/>
  <c r="AG735" i="60"/>
  <c r="AH735" i="60" s="1"/>
  <c r="AI735" i="60" s="1"/>
  <c r="AG736" i="60"/>
  <c r="AH736" i="60" s="1"/>
  <c r="AI736" i="60" s="1"/>
  <c r="K735" i="60"/>
  <c r="P735" i="60"/>
  <c r="AD735" i="60" s="1"/>
  <c r="U735" i="60"/>
  <c r="K736" i="60"/>
  <c r="P736" i="60"/>
  <c r="AD736" i="60" s="1"/>
  <c r="U736" i="60"/>
  <c r="K732" i="60"/>
  <c r="U732" i="60"/>
  <c r="K733" i="60"/>
  <c r="P733" i="60"/>
  <c r="AD733" i="60" s="1"/>
  <c r="U733" i="60"/>
  <c r="K734" i="60"/>
  <c r="P734" i="60"/>
  <c r="AD734" i="60" s="1"/>
  <c r="U734" i="60"/>
  <c r="AG2327" i="36112"/>
  <c r="AH2327" i="36112" s="1"/>
  <c r="AI2327" i="36112" s="1"/>
  <c r="AG2328" i="36112"/>
  <c r="AH2328" i="36112" s="1"/>
  <c r="AI2328" i="36112" s="1"/>
  <c r="AG2329" i="36112"/>
  <c r="AH2329" i="36112" s="1"/>
  <c r="AI2329" i="36112" s="1"/>
  <c r="AG2330" i="36112"/>
  <c r="AH2330" i="36112" s="1"/>
  <c r="AI2330" i="36112" s="1"/>
  <c r="K2327" i="36112"/>
  <c r="P2327" i="36112"/>
  <c r="AD2327" i="36112" s="1"/>
  <c r="U2327" i="36112"/>
  <c r="K2328" i="36112"/>
  <c r="P2328" i="36112"/>
  <c r="AD2328" i="36112" s="1"/>
  <c r="U2328" i="36112"/>
  <c r="K2329" i="36112"/>
  <c r="P2329" i="36112"/>
  <c r="AD2329" i="36112" s="1"/>
  <c r="U2329" i="36112"/>
  <c r="K2330" i="36112"/>
  <c r="P2330" i="36112"/>
  <c r="AD2330" i="36112" s="1"/>
  <c r="U2330" i="36112"/>
  <c r="K2331" i="36112"/>
  <c r="P2331" i="36112"/>
  <c r="AD2331" i="36112" s="1"/>
  <c r="U2331" i="36112"/>
  <c r="AG729" i="60"/>
  <c r="KC5" i="36128" s="1"/>
  <c r="AG730" i="60"/>
  <c r="AG731" i="60"/>
  <c r="AH731" i="60" s="1"/>
  <c r="AI731" i="60" s="1"/>
  <c r="K731" i="60"/>
  <c r="P731" i="60"/>
  <c r="AD731" i="60" s="1"/>
  <c r="T731" i="60"/>
  <c r="U731" i="60"/>
  <c r="K729" i="60"/>
  <c r="P729" i="60"/>
  <c r="AD729" i="60" s="1"/>
  <c r="T729" i="60"/>
  <c r="U729" i="60" s="1"/>
  <c r="K730" i="60"/>
  <c r="P730" i="60"/>
  <c r="AD730" i="60" s="1"/>
  <c r="T730" i="60"/>
  <c r="U730" i="60" s="1"/>
  <c r="KA38" i="36128"/>
  <c r="KA39" i="36128"/>
  <c r="AG220" i="46"/>
  <c r="AH220" i="46"/>
  <c r="AG2287" i="36112"/>
  <c r="AH2287" i="36112" s="1"/>
  <c r="AI2287" i="36112" s="1"/>
  <c r="AG700" i="60"/>
  <c r="JL5" i="36128" s="1"/>
  <c r="AG726" i="60"/>
  <c r="AH726" i="60" s="1"/>
  <c r="AI726" i="60" s="1"/>
  <c r="AH700" i="60"/>
  <c r="AI700" i="60" s="1"/>
  <c r="JL6" i="36128" s="1"/>
  <c r="AI220" i="46"/>
  <c r="JY36" i="36128"/>
  <c r="JY35" i="36128"/>
  <c r="K220" i="46"/>
  <c r="P220" i="46"/>
  <c r="AD220" i="46"/>
  <c r="T220" i="46"/>
  <c r="U220" i="46"/>
  <c r="AG727" i="60"/>
  <c r="AH727" i="60" s="1"/>
  <c r="AI727" i="60" s="1"/>
  <c r="AG728" i="60"/>
  <c r="AH728" i="60" s="1"/>
  <c r="AI728" i="60" s="1"/>
  <c r="K727" i="60"/>
  <c r="P727" i="60"/>
  <c r="AD727" i="60" s="1"/>
  <c r="U727" i="60"/>
  <c r="K728" i="60"/>
  <c r="P728" i="60"/>
  <c r="AD728" i="60" s="1"/>
  <c r="U728" i="60"/>
  <c r="U726" i="60"/>
  <c r="P726" i="60"/>
  <c r="AD726" i="60" s="1"/>
  <c r="K726" i="60"/>
  <c r="AG2325" i="36112"/>
  <c r="AH2325" i="36112" s="1"/>
  <c r="AI2325" i="36112" s="1"/>
  <c r="AG2326" i="36112"/>
  <c r="AH2326" i="36112" s="1"/>
  <c r="AI2326" i="36112" s="1"/>
  <c r="K2325" i="36112"/>
  <c r="P2325" i="36112"/>
  <c r="AD2325" i="36112" s="1"/>
  <c r="HH2" i="36128" s="1"/>
  <c r="HH38" i="36128" s="1"/>
  <c r="T2325" i="36112"/>
  <c r="U2325" i="36112" s="1"/>
  <c r="K2326" i="36112"/>
  <c r="P2326" i="36112"/>
  <c r="AD2326" i="36112" s="1"/>
  <c r="T2326" i="36112"/>
  <c r="U2326" i="36112" s="1"/>
  <c r="AG725" i="60"/>
  <c r="AH725" i="60" s="1"/>
  <c r="AI725" i="60" s="1"/>
  <c r="AG724" i="60"/>
  <c r="JY5" i="36128" s="1"/>
  <c r="AH724" i="60"/>
  <c r="AI724" i="60" s="1"/>
  <c r="K724" i="60"/>
  <c r="P724" i="60"/>
  <c r="AD724" i="60" s="1"/>
  <c r="HF5" i="36128" s="1"/>
  <c r="U724" i="60"/>
  <c r="K725" i="60"/>
  <c r="P725" i="60"/>
  <c r="AD725" i="60" s="1"/>
  <c r="U725" i="60"/>
  <c r="AG2313" i="36112"/>
  <c r="AH2313" i="36112" s="1"/>
  <c r="AI2313" i="36112" s="1"/>
  <c r="AG2314" i="36112"/>
  <c r="AH2314" i="36112" s="1"/>
  <c r="AI2314" i="36112" s="1"/>
  <c r="AG2312" i="36112"/>
  <c r="AH2312" i="36112" s="1"/>
  <c r="AI2312" i="36112" s="1"/>
  <c r="JW3" i="36128" s="1"/>
  <c r="K2312" i="36112"/>
  <c r="P2312" i="36112"/>
  <c r="AD2312" i="36112" s="1"/>
  <c r="U2312" i="36112"/>
  <c r="K2313" i="36112"/>
  <c r="P2313" i="36112"/>
  <c r="AD2313" i="36112" s="1"/>
  <c r="U2313" i="36112"/>
  <c r="K2314" i="36112"/>
  <c r="P2314" i="36112"/>
  <c r="AD2314" i="36112" s="1"/>
  <c r="HE3" i="36128" s="1"/>
  <c r="U2314" i="36112"/>
  <c r="K2311" i="36112"/>
  <c r="P2311" i="36112"/>
  <c r="AD2311" i="36112" s="1"/>
  <c r="U2311" i="36112"/>
  <c r="AG2319" i="36112"/>
  <c r="AH2319" i="36112" s="1"/>
  <c r="AI2319" i="36112" s="1"/>
  <c r="AG2318" i="36112"/>
  <c r="AH2318" i="36112" s="1"/>
  <c r="AI2318" i="36112" s="1"/>
  <c r="AG2317" i="36112"/>
  <c r="AH2317" i="36112" s="1"/>
  <c r="AI2317" i="36112" s="1"/>
  <c r="AG2316" i="36112"/>
  <c r="JX2" i="36128" s="1"/>
  <c r="JX38" i="36128" s="1"/>
  <c r="AG2315" i="36112"/>
  <c r="AH2315" i="36112" s="1"/>
  <c r="AI2315" i="36112" s="1"/>
  <c r="K2316" i="36112"/>
  <c r="P2316" i="36112"/>
  <c r="AD2316" i="36112" s="1"/>
  <c r="T2316" i="36112"/>
  <c r="U2316" i="36112" s="1"/>
  <c r="K2317" i="36112"/>
  <c r="P2317" i="36112"/>
  <c r="AD2317" i="36112" s="1"/>
  <c r="T2317" i="36112"/>
  <c r="U2317" i="36112" s="1"/>
  <c r="K2318" i="36112"/>
  <c r="P2318" i="36112"/>
  <c r="AD2318" i="36112" s="1"/>
  <c r="T2318" i="36112"/>
  <c r="U2318" i="36112" s="1"/>
  <c r="K2319" i="36112"/>
  <c r="P2319" i="36112"/>
  <c r="AD2319" i="36112" s="1"/>
  <c r="T2319" i="36112"/>
  <c r="U2319" i="36112" s="1"/>
  <c r="K2320" i="36112"/>
  <c r="P2320" i="36112"/>
  <c r="AD2320" i="36112" s="1"/>
  <c r="T2320" i="36112"/>
  <c r="U2320" i="36112" s="1"/>
  <c r="K2315" i="36112"/>
  <c r="P2315" i="36112"/>
  <c r="AD2315" i="36112" s="1"/>
  <c r="T2315" i="36112"/>
  <c r="U2315" i="36112" s="1"/>
  <c r="AG212" i="46"/>
  <c r="AH212" i="46"/>
  <c r="K212" i="46"/>
  <c r="P212" i="46"/>
  <c r="AD212" i="46"/>
  <c r="T212" i="46"/>
  <c r="U212" i="46"/>
  <c r="AI212" i="46"/>
  <c r="JV36" i="36128"/>
  <c r="JV35" i="36128"/>
  <c r="AG703" i="60"/>
  <c r="AG704" i="60"/>
  <c r="AH704" i="60" s="1"/>
  <c r="AG705" i="60"/>
  <c r="AG706" i="60"/>
  <c r="AH706" i="60" s="1"/>
  <c r="AI706" i="60" s="1"/>
  <c r="JT6" i="36128" s="1"/>
  <c r="K723" i="60"/>
  <c r="P723" i="60"/>
  <c r="AD723" i="60" s="1"/>
  <c r="T723" i="60"/>
  <c r="U723" i="60" s="1"/>
  <c r="K706" i="60"/>
  <c r="P706" i="60"/>
  <c r="AD706" i="60" s="1"/>
  <c r="T706" i="60"/>
  <c r="U706" i="60" s="1"/>
  <c r="L705" i="60"/>
  <c r="P705" i="60" s="1"/>
  <c r="AD705" i="60" s="1"/>
  <c r="T705" i="60"/>
  <c r="U705" i="60" s="1"/>
  <c r="L704" i="60"/>
  <c r="P704" i="60" s="1"/>
  <c r="AD704" i="60" s="1"/>
  <c r="T704" i="60"/>
  <c r="U704" i="60" s="1"/>
  <c r="L703" i="60"/>
  <c r="P703" i="60" s="1"/>
  <c r="AD703" i="60" s="1"/>
  <c r="T703" i="60"/>
  <c r="U703" i="60"/>
  <c r="AG2293" i="36112"/>
  <c r="AH2293" i="36112" s="1"/>
  <c r="AI2293" i="36112" s="1"/>
  <c r="AG2294" i="36112"/>
  <c r="AH2294" i="36112" s="1"/>
  <c r="AI2294" i="36112" s="1"/>
  <c r="AG2295" i="36112"/>
  <c r="AH2295" i="36112" s="1"/>
  <c r="AI2295" i="36112" s="1"/>
  <c r="AG2296" i="36112"/>
  <c r="AH2296" i="36112" s="1"/>
  <c r="AI2296" i="36112" s="1"/>
  <c r="AG2297" i="36112"/>
  <c r="AH2297" i="36112" s="1"/>
  <c r="AI2297" i="36112" s="1"/>
  <c r="AG2298" i="36112"/>
  <c r="AH2298" i="36112" s="1"/>
  <c r="AI2298" i="36112" s="1"/>
  <c r="AG2299" i="36112"/>
  <c r="AH2299" i="36112" s="1"/>
  <c r="AI2299" i="36112" s="1"/>
  <c r="AG2300" i="36112"/>
  <c r="AH2300" i="36112" s="1"/>
  <c r="AI2300" i="36112" s="1"/>
  <c r="AG2301" i="36112"/>
  <c r="AH2301" i="36112" s="1"/>
  <c r="AI2301" i="36112" s="1"/>
  <c r="AG2302" i="36112"/>
  <c r="AH2302" i="36112" s="1"/>
  <c r="AI2302" i="36112" s="1"/>
  <c r="AG2303" i="36112"/>
  <c r="AH2303" i="36112" s="1"/>
  <c r="AI2303" i="36112" s="1"/>
  <c r="AG2304" i="36112"/>
  <c r="AH2304" i="36112" s="1"/>
  <c r="AI2304" i="36112" s="1"/>
  <c r="K2303" i="36112"/>
  <c r="P2303" i="36112"/>
  <c r="AD2303" i="36112" s="1"/>
  <c r="U2303" i="36112"/>
  <c r="K2304" i="36112"/>
  <c r="P2304" i="36112"/>
  <c r="AD2304" i="36112" s="1"/>
  <c r="U2304" i="36112"/>
  <c r="K2293" i="36112"/>
  <c r="P2293" i="36112"/>
  <c r="AD2293" i="36112" s="1"/>
  <c r="U2293" i="36112"/>
  <c r="K2294" i="36112"/>
  <c r="P2294" i="36112"/>
  <c r="AD2294" i="36112" s="1"/>
  <c r="U2294" i="36112"/>
  <c r="K2295" i="36112"/>
  <c r="P2295" i="36112"/>
  <c r="AD2295" i="36112" s="1"/>
  <c r="U2295" i="36112"/>
  <c r="K2296" i="36112"/>
  <c r="P2296" i="36112"/>
  <c r="AD2296" i="36112" s="1"/>
  <c r="U2296" i="36112"/>
  <c r="K2297" i="36112"/>
  <c r="P2297" i="36112"/>
  <c r="AD2297" i="36112" s="1"/>
  <c r="U2297" i="36112"/>
  <c r="K2298" i="36112"/>
  <c r="P2298" i="36112"/>
  <c r="AD2298" i="36112" s="1"/>
  <c r="U2298" i="36112"/>
  <c r="K2299" i="36112"/>
  <c r="P2299" i="36112"/>
  <c r="AD2299" i="36112" s="1"/>
  <c r="U2299" i="36112"/>
  <c r="K2300" i="36112"/>
  <c r="P2300" i="36112"/>
  <c r="AD2300" i="36112" s="1"/>
  <c r="U2300" i="36112"/>
  <c r="K2301" i="36112"/>
  <c r="P2301" i="36112"/>
  <c r="AD2301" i="36112" s="1"/>
  <c r="U2301" i="36112"/>
  <c r="K2302" i="36112"/>
  <c r="P2302" i="36112"/>
  <c r="AD2302" i="36112" s="1"/>
  <c r="U2302" i="36112"/>
  <c r="AG2288" i="36112"/>
  <c r="AH2288" i="36112" s="1"/>
  <c r="AI2288" i="36112" s="1"/>
  <c r="AG2289" i="36112"/>
  <c r="AH2289" i="36112" s="1"/>
  <c r="AI2289" i="36112" s="1"/>
  <c r="AG2290" i="36112"/>
  <c r="AH2290" i="36112" s="1"/>
  <c r="AI2290" i="36112" s="1"/>
  <c r="AG2291" i="36112"/>
  <c r="AH2291" i="36112" s="1"/>
  <c r="AI2291" i="36112" s="1"/>
  <c r="AG2292" i="36112"/>
  <c r="AH2292" i="36112" s="1"/>
  <c r="AI2292" i="36112" s="1"/>
  <c r="K2292" i="36112"/>
  <c r="P2292" i="36112"/>
  <c r="AD2292" i="36112" s="1"/>
  <c r="U2292" i="36112"/>
  <c r="K2289" i="36112"/>
  <c r="P2289" i="36112"/>
  <c r="AD2289" i="36112" s="1"/>
  <c r="U2289" i="36112"/>
  <c r="K2290" i="36112"/>
  <c r="P2290" i="36112"/>
  <c r="AD2290" i="36112" s="1"/>
  <c r="U2290" i="36112"/>
  <c r="K2291" i="36112"/>
  <c r="P2291" i="36112"/>
  <c r="AD2291" i="36112" s="1"/>
  <c r="U2291" i="36112"/>
  <c r="K2288" i="36112"/>
  <c r="P2288" i="36112"/>
  <c r="AD2288" i="36112" s="1"/>
  <c r="U2288" i="36112"/>
  <c r="K2287" i="36112"/>
  <c r="P2287" i="36112"/>
  <c r="AD2287" i="36112" s="1"/>
  <c r="U2287" i="36112"/>
  <c r="AG709" i="60"/>
  <c r="AG710" i="60"/>
  <c r="AH710" i="60" s="1"/>
  <c r="AI710" i="60" s="1"/>
  <c r="JV5" i="36128"/>
  <c r="L709" i="60"/>
  <c r="P709" i="60" s="1"/>
  <c r="AD709" i="60" s="1"/>
  <c r="U709" i="60"/>
  <c r="L710" i="60"/>
  <c r="P710" i="60" s="1"/>
  <c r="AD710" i="60" s="1"/>
  <c r="U710" i="60"/>
  <c r="AH709" i="60"/>
  <c r="AI709" i="60" s="1"/>
  <c r="HF36" i="36128"/>
  <c r="HF35" i="36128"/>
  <c r="AG693" i="60"/>
  <c r="AH693" i="60" s="1"/>
  <c r="AI693" i="60" s="1"/>
  <c r="AG2274" i="36112"/>
  <c r="AH2274" i="36112" s="1"/>
  <c r="AI2274" i="36112" s="1"/>
  <c r="AG2275" i="36112"/>
  <c r="AH2275" i="36112" s="1"/>
  <c r="AI2275" i="36112" s="1"/>
  <c r="AG2276" i="36112"/>
  <c r="AH2276" i="36112" s="1"/>
  <c r="AI2276" i="36112" s="1"/>
  <c r="AG2277" i="36112"/>
  <c r="AH2277" i="36112" s="1"/>
  <c r="AI2277" i="36112" s="1"/>
  <c r="AG2278" i="36112"/>
  <c r="AH2278" i="36112" s="1"/>
  <c r="AI2278" i="36112" s="1"/>
  <c r="AG2279" i="36112"/>
  <c r="AH2279" i="36112" s="1"/>
  <c r="AI2279" i="36112" s="1"/>
  <c r="H2279" i="36112"/>
  <c r="K2279" i="36112"/>
  <c r="P2279" i="36112"/>
  <c r="AD2279" i="36112" s="1"/>
  <c r="U2279" i="36112"/>
  <c r="K2276" i="36112"/>
  <c r="P2276" i="36112"/>
  <c r="AD2276" i="36112" s="1"/>
  <c r="U2276" i="36112"/>
  <c r="H2277" i="36112"/>
  <c r="K2277" i="36112"/>
  <c r="P2277" i="36112"/>
  <c r="AD2277" i="36112" s="1"/>
  <c r="U2277" i="36112"/>
  <c r="K2278" i="36112"/>
  <c r="P2278" i="36112"/>
  <c r="AD2278" i="36112" s="1"/>
  <c r="U2278" i="36112"/>
  <c r="P2275" i="36112"/>
  <c r="AD2275" i="36112" s="1"/>
  <c r="U2275" i="36112"/>
  <c r="AG211" i="46"/>
  <c r="AH211" i="46"/>
  <c r="L211" i="46"/>
  <c r="P211" i="46"/>
  <c r="AD211" i="46"/>
  <c r="T211" i="46"/>
  <c r="U211" i="46"/>
  <c r="AI211" i="46"/>
  <c r="AG2269" i="36112"/>
  <c r="AH2269" i="36112" s="1"/>
  <c r="AI2269" i="36112" s="1"/>
  <c r="AG2270" i="36112"/>
  <c r="AH2270" i="36112" s="1"/>
  <c r="AI2270" i="36112" s="1"/>
  <c r="AG2271" i="36112"/>
  <c r="AH2271" i="36112" s="1"/>
  <c r="AI2271" i="36112" s="1"/>
  <c r="AG2272" i="36112"/>
  <c r="AH2272" i="36112" s="1"/>
  <c r="AI2272" i="36112" s="1"/>
  <c r="AG2273" i="36112"/>
  <c r="AH2273" i="36112" s="1"/>
  <c r="AI2273" i="36112" s="1"/>
  <c r="K2270" i="36112"/>
  <c r="P2270" i="36112"/>
  <c r="AD2270" i="36112" s="1"/>
  <c r="U2270" i="36112"/>
  <c r="K2271" i="36112"/>
  <c r="P2271" i="36112"/>
  <c r="AD2271" i="36112" s="1"/>
  <c r="U2271" i="36112"/>
  <c r="K2272" i="36112"/>
  <c r="P2272" i="36112"/>
  <c r="AD2272" i="36112" s="1"/>
  <c r="U2272" i="36112"/>
  <c r="K2273" i="36112"/>
  <c r="P2273" i="36112"/>
  <c r="AD2273" i="36112" s="1"/>
  <c r="U2273" i="36112"/>
  <c r="K2274" i="36112"/>
  <c r="P2274" i="36112"/>
  <c r="AD2274" i="36112" s="1"/>
  <c r="U2274" i="36112"/>
  <c r="P2269" i="36112"/>
  <c r="AD2269" i="36112" s="1"/>
  <c r="U2269" i="36112"/>
  <c r="AG2282" i="36112"/>
  <c r="AH2282" i="36112" s="1"/>
  <c r="AI2282" i="36112" s="1"/>
  <c r="AG2283" i="36112"/>
  <c r="AH2283" i="36112" s="1"/>
  <c r="AI2283" i="36112" s="1"/>
  <c r="AG2284" i="36112"/>
  <c r="AH2284" i="36112" s="1"/>
  <c r="AI2284" i="36112" s="1"/>
  <c r="AG2285" i="36112"/>
  <c r="AH2285" i="36112" s="1"/>
  <c r="AI2285" i="36112" s="1"/>
  <c r="JT3" i="36128" s="1"/>
  <c r="AG2286" i="36112"/>
  <c r="AH2286" i="36112" s="1"/>
  <c r="AI2286" i="36112" s="1"/>
  <c r="K2286" i="36112"/>
  <c r="P2286" i="36112"/>
  <c r="AD2286" i="36112" s="1"/>
  <c r="U2286" i="36112"/>
  <c r="K2283" i="36112"/>
  <c r="P2283" i="36112"/>
  <c r="AD2283" i="36112" s="1"/>
  <c r="U2283" i="36112"/>
  <c r="K2284" i="36112"/>
  <c r="P2284" i="36112"/>
  <c r="AD2284" i="36112" s="1"/>
  <c r="U2284" i="36112"/>
  <c r="K2285" i="36112"/>
  <c r="P2285" i="36112"/>
  <c r="AD2285" i="36112" s="1"/>
  <c r="U2285" i="36112"/>
  <c r="K2282" i="36112"/>
  <c r="P2282" i="36112"/>
  <c r="AD2282" i="36112" s="1"/>
  <c r="U2282" i="36112"/>
  <c r="AG702" i="60"/>
  <c r="AH702" i="60" s="1"/>
  <c r="AI702" i="60" s="1"/>
  <c r="AG707" i="60"/>
  <c r="AH707" i="60" s="1"/>
  <c r="AI707" i="60" s="1"/>
  <c r="JU6" i="36128" s="1"/>
  <c r="AG708" i="60"/>
  <c r="AH708" i="60" s="1"/>
  <c r="AI708" i="60" s="1"/>
  <c r="L708" i="60"/>
  <c r="P708" i="60" s="1"/>
  <c r="AD708" i="60" s="1"/>
  <c r="U708" i="60"/>
  <c r="L707" i="60"/>
  <c r="P707" i="60" s="1"/>
  <c r="AD707" i="60" s="1"/>
  <c r="U707" i="60"/>
  <c r="HD36" i="36128"/>
  <c r="HD37" i="36128" s="1"/>
  <c r="HD35" i="36128"/>
  <c r="P2280" i="36112"/>
  <c r="AD2280" i="36112" s="1"/>
  <c r="U2280" i="36112"/>
  <c r="AG2281" i="36112"/>
  <c r="AH2281" i="36112" s="1"/>
  <c r="AI2281" i="36112" s="1"/>
  <c r="AG2280" i="36112"/>
  <c r="K2281" i="36112"/>
  <c r="P2281" i="36112"/>
  <c r="AD2281" i="36112" s="1"/>
  <c r="U2281" i="36112"/>
  <c r="HC36" i="36128"/>
  <c r="HC35" i="36128"/>
  <c r="AG210" i="46"/>
  <c r="K210" i="46"/>
  <c r="P210" i="46"/>
  <c r="AD210" i="46"/>
  <c r="T210" i="46"/>
  <c r="U210" i="46"/>
  <c r="AG209" i="46"/>
  <c r="AH209" i="46"/>
  <c r="K209" i="46"/>
  <c r="P209" i="46"/>
  <c r="AD209" i="46"/>
  <c r="T209" i="46"/>
  <c r="U209" i="46"/>
  <c r="AI209" i="46"/>
  <c r="AH343" i="111"/>
  <c r="JL11" i="36128"/>
  <c r="AI343" i="111"/>
  <c r="JL12" i="36128"/>
  <c r="AG207" i="46"/>
  <c r="AH207" i="46"/>
  <c r="AG208" i="46"/>
  <c r="AH208" i="46"/>
  <c r="AI208" i="46"/>
  <c r="AG2265" i="36112"/>
  <c r="AH2265" i="36112" s="1"/>
  <c r="AI2265" i="36112" s="1"/>
  <c r="AG2266" i="36112"/>
  <c r="AH2266" i="36112" s="1"/>
  <c r="AI2266" i="36112" s="1"/>
  <c r="AG2267" i="36112"/>
  <c r="AH2267" i="36112" s="1"/>
  <c r="AI2267" i="36112" s="1"/>
  <c r="AG2268" i="36112"/>
  <c r="K2267" i="36112"/>
  <c r="P2267" i="36112"/>
  <c r="AD2267" i="36112" s="1"/>
  <c r="GV2" i="36128" s="1"/>
  <c r="U2267" i="36112"/>
  <c r="K2268" i="36112"/>
  <c r="P2268" i="36112"/>
  <c r="AD2268" i="36112" s="1"/>
  <c r="U2268" i="36112"/>
  <c r="K2266" i="36112"/>
  <c r="P2266" i="36112"/>
  <c r="AD2266" i="36112" s="1"/>
  <c r="U2266" i="36112"/>
  <c r="L207" i="46"/>
  <c r="P207" i="46"/>
  <c r="AD207" i="46"/>
  <c r="T207" i="46"/>
  <c r="U207" i="46"/>
  <c r="K208" i="46"/>
  <c r="P208" i="46"/>
  <c r="AD208" i="46"/>
  <c r="T208" i="46"/>
  <c r="U208" i="46"/>
  <c r="AI207" i="46"/>
  <c r="JP36" i="36128"/>
  <c r="JP39" i="36128" s="1"/>
  <c r="JP35" i="36128"/>
  <c r="JP38" i="36128" s="1"/>
  <c r="K343" i="111"/>
  <c r="P343" i="111"/>
  <c r="AD343" i="111"/>
  <c r="U343" i="111"/>
  <c r="AH197" i="102"/>
  <c r="AI197" i="102"/>
  <c r="JK18" i="36128"/>
  <c r="AG2257" i="36112"/>
  <c r="AH2257" i="36112" s="1"/>
  <c r="AI2257" i="36112" s="1"/>
  <c r="AG2258" i="36112"/>
  <c r="AG2259" i="36112"/>
  <c r="AH2259" i="36112" s="1"/>
  <c r="AI2259" i="36112" s="1"/>
  <c r="AG2260" i="36112"/>
  <c r="AH2260" i="36112" s="1"/>
  <c r="AI2260" i="36112" s="1"/>
  <c r="AG2261" i="36112"/>
  <c r="AH2261" i="36112" s="1"/>
  <c r="AI2261" i="36112" s="1"/>
  <c r="AG2262" i="36112"/>
  <c r="AH2262" i="36112" s="1"/>
  <c r="AI2262" i="36112" s="1"/>
  <c r="AG2263" i="36112"/>
  <c r="AH2263" i="36112" s="1"/>
  <c r="AI2263" i="36112" s="1"/>
  <c r="AG2264" i="36112"/>
  <c r="AH2264" i="36112" s="1"/>
  <c r="AI2264" i="36112" s="1"/>
  <c r="AG2256" i="36112"/>
  <c r="AH2256" i="36112" s="1"/>
  <c r="AI2256" i="36112" s="1"/>
  <c r="AG2255" i="36112"/>
  <c r="AH2255" i="36112" s="1"/>
  <c r="AI2255" i="36112" s="1"/>
  <c r="JK17" i="36128"/>
  <c r="K2265" i="36112"/>
  <c r="P2265" i="36112"/>
  <c r="AD2265" i="36112" s="1"/>
  <c r="U2265" i="36112"/>
  <c r="K2256" i="36112"/>
  <c r="P2256" i="36112"/>
  <c r="AD2256" i="36112" s="1"/>
  <c r="U2256" i="36112"/>
  <c r="K2257" i="36112"/>
  <c r="P2257" i="36112"/>
  <c r="AD2257" i="36112" s="1"/>
  <c r="U2257" i="36112"/>
  <c r="K2258" i="36112"/>
  <c r="P2258" i="36112"/>
  <c r="AD2258" i="36112" s="1"/>
  <c r="U2258" i="36112"/>
  <c r="K2259" i="36112"/>
  <c r="P2259" i="36112"/>
  <c r="AD2259" i="36112" s="1"/>
  <c r="U2259" i="36112"/>
  <c r="K2260" i="36112"/>
  <c r="P2260" i="36112"/>
  <c r="AD2260" i="36112" s="1"/>
  <c r="U2260" i="36112"/>
  <c r="K2261" i="36112"/>
  <c r="P2261" i="36112"/>
  <c r="AD2261" i="36112" s="1"/>
  <c r="U2261" i="36112"/>
  <c r="K2262" i="36112"/>
  <c r="P2262" i="36112"/>
  <c r="AD2262" i="36112" s="1"/>
  <c r="U2262" i="36112"/>
  <c r="K2263" i="36112"/>
  <c r="P2263" i="36112"/>
  <c r="AD2263" i="36112" s="1"/>
  <c r="GU2" i="36128" s="1"/>
  <c r="U2263" i="36112"/>
  <c r="K2264" i="36112"/>
  <c r="P2264" i="36112"/>
  <c r="AD2264" i="36112" s="1"/>
  <c r="U2264" i="36112"/>
  <c r="L197" i="102"/>
  <c r="P197" i="102"/>
  <c r="AD197" i="102"/>
  <c r="U197" i="102"/>
  <c r="HB36" i="36128"/>
  <c r="HB35" i="36128"/>
  <c r="AG206" i="46"/>
  <c r="AH206" i="46"/>
  <c r="AI206" i="46"/>
  <c r="JM36" i="36128"/>
  <c r="JM35" i="36128"/>
  <c r="AG2254" i="36112"/>
  <c r="AH2254" i="36112" s="1"/>
  <c r="AI2254" i="36112" s="1"/>
  <c r="AG2222" i="36112"/>
  <c r="AH2222" i="36112" s="1"/>
  <c r="AI2222" i="36112" s="1"/>
  <c r="AG2223" i="36112"/>
  <c r="AH2223" i="36112" s="1"/>
  <c r="AI2223" i="36112" s="1"/>
  <c r="AG2224" i="36112"/>
  <c r="AH2224" i="36112" s="1"/>
  <c r="AI2224" i="36112" s="1"/>
  <c r="AG2225" i="36112"/>
  <c r="AH2225" i="36112" s="1"/>
  <c r="AI2225" i="36112" s="1"/>
  <c r="AG2226" i="36112"/>
  <c r="AH2226" i="36112" s="1"/>
  <c r="AI2226" i="36112" s="1"/>
  <c r="AG2227" i="36112"/>
  <c r="AG2228" i="36112"/>
  <c r="AH2228" i="36112" s="1"/>
  <c r="AI2228" i="36112" s="1"/>
  <c r="AG2233" i="36112"/>
  <c r="AH2233" i="36112" s="1"/>
  <c r="AI2233" i="36112" s="1"/>
  <c r="AG2234" i="36112"/>
  <c r="AH2234" i="36112" s="1"/>
  <c r="AI2234" i="36112" s="1"/>
  <c r="AG2235" i="36112"/>
  <c r="AH2235" i="36112" s="1"/>
  <c r="AI2235" i="36112" s="1"/>
  <c r="AG2236" i="36112"/>
  <c r="AH2236" i="36112" s="1"/>
  <c r="AI2236" i="36112" s="1"/>
  <c r="AG2237" i="36112"/>
  <c r="AH2237" i="36112" s="1"/>
  <c r="AI2237" i="36112" s="1"/>
  <c r="AG2238" i="36112"/>
  <c r="AH2238" i="36112" s="1"/>
  <c r="AI2238" i="36112" s="1"/>
  <c r="AG2239" i="36112"/>
  <c r="AH2239" i="36112" s="1"/>
  <c r="AI2239" i="36112" s="1"/>
  <c r="AG2240" i="36112"/>
  <c r="AH2240" i="36112" s="1"/>
  <c r="AI2240" i="36112" s="1"/>
  <c r="AG2241" i="36112"/>
  <c r="AH2241" i="36112" s="1"/>
  <c r="AI2241" i="36112" s="1"/>
  <c r="AG2242" i="36112"/>
  <c r="AH2242" i="36112" s="1"/>
  <c r="AI2242" i="36112" s="1"/>
  <c r="AG2243" i="36112"/>
  <c r="AH2243" i="36112" s="1"/>
  <c r="AI2243" i="36112" s="1"/>
  <c r="AG2244" i="36112"/>
  <c r="AH2244" i="36112" s="1"/>
  <c r="AI2244" i="36112" s="1"/>
  <c r="AG2245" i="36112"/>
  <c r="AH2245" i="36112" s="1"/>
  <c r="AI2245" i="36112" s="1"/>
  <c r="AG691" i="60"/>
  <c r="AG701" i="60"/>
  <c r="AG690" i="60"/>
  <c r="AH690" i="60" s="1"/>
  <c r="AI690" i="60" s="1"/>
  <c r="AG692" i="60"/>
  <c r="AH692" i="60" s="1"/>
  <c r="AI692" i="60" s="1"/>
  <c r="AG689" i="60"/>
  <c r="AH689" i="60" s="1"/>
  <c r="AI689" i="60" s="1"/>
  <c r="P700" i="60"/>
  <c r="AD700" i="60" s="1"/>
  <c r="GS6" i="36128" s="1"/>
  <c r="AH691" i="60"/>
  <c r="AI691" i="60" s="1"/>
  <c r="AI2221" i="36112"/>
  <c r="K2255" i="36112"/>
  <c r="P2255" i="36112"/>
  <c r="AD2255" i="36112" s="1"/>
  <c r="U2255" i="36112"/>
  <c r="K2254" i="36112"/>
  <c r="P2254" i="36112"/>
  <c r="AD2254" i="36112" s="1"/>
  <c r="U2254" i="36112"/>
  <c r="GY35" i="36128"/>
  <c r="GY37" i="36128" s="1"/>
  <c r="GY36" i="36128"/>
  <c r="G224" i="1"/>
  <c r="K206" i="46"/>
  <c r="P206" i="46"/>
  <c r="AD206" i="46"/>
  <c r="U206" i="46"/>
  <c r="GZ2" i="36128"/>
  <c r="GZ3" i="36128"/>
  <c r="L702" i="60"/>
  <c r="P702" i="60" s="1"/>
  <c r="AD702" i="60" s="1"/>
  <c r="T702" i="60"/>
  <c r="U702" i="60" s="1"/>
  <c r="P701" i="60"/>
  <c r="AD701" i="60" s="1"/>
  <c r="GU6" i="36128" s="1"/>
  <c r="T701" i="60"/>
  <c r="U701" i="60" s="1"/>
  <c r="T700" i="60"/>
  <c r="U700" i="60" s="1"/>
  <c r="GX36" i="36128"/>
  <c r="GX35" i="36128"/>
  <c r="GX11" i="36128"/>
  <c r="GX12" i="36128"/>
  <c r="K2245" i="36112"/>
  <c r="P2245" i="36112"/>
  <c r="AD2245" i="36112" s="1"/>
  <c r="U2245" i="36112"/>
  <c r="K2244" i="36112"/>
  <c r="P2244" i="36112"/>
  <c r="AD2244" i="36112" s="1"/>
  <c r="U2244" i="36112"/>
  <c r="K2239" i="36112"/>
  <c r="P2239" i="36112"/>
  <c r="AD2239" i="36112" s="1"/>
  <c r="U2239" i="36112"/>
  <c r="K2240" i="36112"/>
  <c r="P2240" i="36112"/>
  <c r="AD2240" i="36112" s="1"/>
  <c r="U2240" i="36112"/>
  <c r="K2241" i="36112"/>
  <c r="P2241" i="36112"/>
  <c r="AD2241" i="36112" s="1"/>
  <c r="U2241" i="36112"/>
  <c r="K2242" i="36112"/>
  <c r="P2242" i="36112"/>
  <c r="AD2242" i="36112" s="1"/>
  <c r="U2242" i="36112"/>
  <c r="K2243" i="36112"/>
  <c r="P2243" i="36112"/>
  <c r="AD2243" i="36112" s="1"/>
  <c r="U2243" i="36112"/>
  <c r="GW18" i="36128"/>
  <c r="GW17" i="36128"/>
  <c r="GW19" i="36128" s="1"/>
  <c r="K2234" i="36112"/>
  <c r="P2234" i="36112"/>
  <c r="AD2234" i="36112" s="1"/>
  <c r="U2234" i="36112"/>
  <c r="K2235" i="36112"/>
  <c r="P2235" i="36112"/>
  <c r="AD2235" i="36112" s="1"/>
  <c r="U2235" i="36112"/>
  <c r="K2236" i="36112"/>
  <c r="P2236" i="36112"/>
  <c r="AD2236" i="36112" s="1"/>
  <c r="U2236" i="36112"/>
  <c r="K2237" i="36112"/>
  <c r="P2237" i="36112"/>
  <c r="AD2237" i="36112" s="1"/>
  <c r="U2237" i="36112"/>
  <c r="K2238" i="36112"/>
  <c r="P2238" i="36112"/>
  <c r="AD2238" i="36112" s="1"/>
  <c r="U2238" i="36112"/>
  <c r="K2229" i="36112"/>
  <c r="P2229" i="36112"/>
  <c r="AD2229" i="36112" s="1"/>
  <c r="U2229" i="36112"/>
  <c r="K2230" i="36112"/>
  <c r="P2230" i="36112"/>
  <c r="AD2230" i="36112" s="1"/>
  <c r="U2230" i="36112"/>
  <c r="K2231" i="36112"/>
  <c r="P2231" i="36112"/>
  <c r="AD2231" i="36112" s="1"/>
  <c r="U2231" i="36112"/>
  <c r="K2232" i="36112"/>
  <c r="P2232" i="36112"/>
  <c r="AD2232" i="36112" s="1"/>
  <c r="U2232" i="36112"/>
  <c r="K2233" i="36112"/>
  <c r="P2233" i="36112"/>
  <c r="AD2233" i="36112" s="1"/>
  <c r="U2233" i="36112"/>
  <c r="K692" i="60"/>
  <c r="P692" i="60"/>
  <c r="AD692" i="60" s="1"/>
  <c r="U692" i="60"/>
  <c r="L693" i="60"/>
  <c r="P693" i="60" s="1"/>
  <c r="AD693" i="60" s="1"/>
  <c r="U693" i="60"/>
  <c r="K2219" i="36112"/>
  <c r="P2219" i="36112"/>
  <c r="AD2219" i="36112" s="1"/>
  <c r="U2219" i="36112"/>
  <c r="K2220" i="36112"/>
  <c r="P2220" i="36112"/>
  <c r="AD2220" i="36112" s="1"/>
  <c r="U2220" i="36112"/>
  <c r="K2218" i="36112"/>
  <c r="P2218" i="36112"/>
  <c r="AD2218" i="36112" s="1"/>
  <c r="U2218" i="36112"/>
  <c r="K2217" i="36112"/>
  <c r="P2217" i="36112"/>
  <c r="AD2217" i="36112" s="1"/>
  <c r="T2217" i="36112"/>
  <c r="U2217" i="36112" s="1"/>
  <c r="K2224" i="36112"/>
  <c r="P2224" i="36112"/>
  <c r="AD2224" i="36112" s="1"/>
  <c r="U2224" i="36112"/>
  <c r="K2225" i="36112"/>
  <c r="P2225" i="36112"/>
  <c r="AD2225" i="36112" s="1"/>
  <c r="U2225" i="36112"/>
  <c r="K2226" i="36112"/>
  <c r="P2226" i="36112"/>
  <c r="AD2226" i="36112" s="1"/>
  <c r="U2226" i="36112"/>
  <c r="K2227" i="36112"/>
  <c r="P2227" i="36112"/>
  <c r="AD2227" i="36112" s="1"/>
  <c r="U2227" i="36112"/>
  <c r="K2228" i="36112"/>
  <c r="P2228" i="36112"/>
  <c r="AD2228" i="36112" s="1"/>
  <c r="U2228" i="36112"/>
  <c r="K2222" i="36112"/>
  <c r="P2222" i="36112"/>
  <c r="AD2222" i="36112" s="1"/>
  <c r="U2222" i="36112"/>
  <c r="K2223" i="36112"/>
  <c r="P2223" i="36112"/>
  <c r="AD2223" i="36112" s="1"/>
  <c r="U2223" i="36112"/>
  <c r="K2221" i="36112"/>
  <c r="P2221" i="36112"/>
  <c r="AD2221" i="36112" s="1"/>
  <c r="U2221" i="36112"/>
  <c r="GU36" i="36128"/>
  <c r="GU37" i="36128" s="1"/>
  <c r="GU35" i="36128"/>
  <c r="L691" i="60"/>
  <c r="P691" i="60" s="1"/>
  <c r="AD691" i="60" s="1"/>
  <c r="T691" i="60"/>
  <c r="U691" i="60" s="1"/>
  <c r="K689" i="60"/>
  <c r="P689" i="60"/>
  <c r="AD689" i="60" s="1"/>
  <c r="T689" i="60"/>
  <c r="U689" i="60" s="1"/>
  <c r="K690" i="60"/>
  <c r="P690" i="60"/>
  <c r="AD690" i="60" s="1"/>
  <c r="T690" i="60"/>
  <c r="U690" i="60" s="1"/>
  <c r="K197" i="46"/>
  <c r="P197" i="46"/>
  <c r="AD197" i="46"/>
  <c r="T197" i="46"/>
  <c r="U197" i="46"/>
  <c r="K688" i="60"/>
  <c r="P688" i="60"/>
  <c r="AD688" i="60" s="1"/>
  <c r="T688" i="60"/>
  <c r="U688" i="60" s="1"/>
  <c r="K2214" i="36112"/>
  <c r="P2214" i="36112"/>
  <c r="AD2214" i="36112" s="1"/>
  <c r="GL3" i="36128" s="1"/>
  <c r="U2214" i="36112"/>
  <c r="K684" i="60"/>
  <c r="P684" i="60"/>
  <c r="AE684" i="60" s="1"/>
  <c r="T684" i="60"/>
  <c r="U684" i="60" s="1"/>
  <c r="K2215" i="36112"/>
  <c r="P2215" i="36112"/>
  <c r="AD2215" i="36112" s="1"/>
  <c r="U2215" i="36112"/>
  <c r="K2216" i="36112"/>
  <c r="P2216" i="36112"/>
  <c r="AD2216" i="36112" s="1"/>
  <c r="U2216" i="36112"/>
  <c r="L683" i="60"/>
  <c r="P683" i="60" s="1"/>
  <c r="AD683" i="60" s="1"/>
  <c r="L682" i="60"/>
  <c r="P682" i="60" s="1"/>
  <c r="AD682" i="60" s="1"/>
  <c r="T683" i="60"/>
  <c r="U683" i="60" s="1"/>
  <c r="T682" i="60"/>
  <c r="U682" i="60" s="1"/>
  <c r="T681" i="60"/>
  <c r="U681" i="60" s="1"/>
  <c r="L681" i="60"/>
  <c r="P681" i="60" s="1"/>
  <c r="AD681" i="60" s="1"/>
  <c r="AB2212" i="36112"/>
  <c r="U2212" i="36112"/>
  <c r="P2212" i="36112"/>
  <c r="AD2212" i="36112" s="1"/>
  <c r="K2212" i="36112"/>
  <c r="T335" i="111"/>
  <c r="T337" i="111"/>
  <c r="T336" i="111"/>
  <c r="T187" i="102"/>
  <c r="T188" i="102"/>
  <c r="U196" i="46"/>
  <c r="U187" i="46"/>
  <c r="K687" i="60"/>
  <c r="P687" i="60"/>
  <c r="AD687" i="60" s="1"/>
  <c r="T687" i="60"/>
  <c r="U687" i="60" s="1"/>
  <c r="K686" i="60"/>
  <c r="P686" i="60"/>
  <c r="AD686" i="60" s="1"/>
  <c r="T686" i="60"/>
  <c r="U686" i="60" s="1"/>
  <c r="L685" i="60"/>
  <c r="P685" i="60" s="1"/>
  <c r="AD685" i="60" s="1"/>
  <c r="T685" i="60"/>
  <c r="U685" i="60" s="1"/>
  <c r="GQ35" i="36128"/>
  <c r="GQ36" i="36128"/>
  <c r="U2213" i="36112"/>
  <c r="P2213" i="36112"/>
  <c r="AD2213" i="36112" s="1"/>
  <c r="K2213" i="36112"/>
  <c r="AB2211" i="36112"/>
  <c r="U2211" i="36112"/>
  <c r="P2211" i="36112"/>
  <c r="AD2211" i="36112" s="1"/>
  <c r="K2211" i="36112"/>
  <c r="AB2210" i="36112"/>
  <c r="U2210" i="36112"/>
  <c r="P2210" i="36112"/>
  <c r="AD2210" i="36112" s="1"/>
  <c r="K2210" i="36112"/>
  <c r="AB2209" i="36112"/>
  <c r="U2209" i="36112"/>
  <c r="P2209" i="36112"/>
  <c r="AD2209" i="36112" s="1"/>
  <c r="K2209" i="36112"/>
  <c r="AB2208" i="36112"/>
  <c r="U2208" i="36112"/>
  <c r="P2208" i="36112"/>
  <c r="AD2208" i="36112" s="1"/>
  <c r="K2208" i="36112"/>
  <c r="AB2207" i="36112"/>
  <c r="U2207" i="36112"/>
  <c r="P2207" i="36112"/>
  <c r="AD2207" i="36112" s="1"/>
  <c r="K2207" i="36112"/>
  <c r="AB335" i="111"/>
  <c r="U335" i="111"/>
  <c r="L335" i="111"/>
  <c r="P335" i="111"/>
  <c r="AD335" i="111"/>
  <c r="GI12" i="36128"/>
  <c r="GI11" i="36128"/>
  <c r="AB2203" i="36112"/>
  <c r="U2203" i="36112"/>
  <c r="L2203" i="36112"/>
  <c r="P2203" i="36112" s="1"/>
  <c r="AD2203" i="36112" s="1"/>
  <c r="AB2202" i="36112"/>
  <c r="U2202" i="36112"/>
  <c r="P2202" i="36112"/>
  <c r="AD2202" i="36112" s="1"/>
  <c r="GF2" i="36128" s="1"/>
  <c r="GF38" i="36128" s="1"/>
  <c r="K2202" i="36112"/>
  <c r="U2201" i="36112"/>
  <c r="P2201" i="36112"/>
  <c r="AD2201" i="36112" s="1"/>
  <c r="K2201" i="36112"/>
  <c r="U2200" i="36112"/>
  <c r="L2200" i="36112"/>
  <c r="P2200" i="36112" s="1"/>
  <c r="AD2200" i="36112" s="1"/>
  <c r="T679" i="60"/>
  <c r="U679" i="60" s="1"/>
  <c r="L679" i="60"/>
  <c r="P679" i="60" s="1"/>
  <c r="AD679" i="60" s="1"/>
  <c r="GH6" i="36128" s="1"/>
  <c r="T678" i="60"/>
  <c r="U678" i="60" s="1"/>
  <c r="L678" i="60"/>
  <c r="P678" i="60" s="1"/>
  <c r="AD678" i="60" s="1"/>
  <c r="T677" i="60"/>
  <c r="U677" i="60" s="1"/>
  <c r="L677" i="60"/>
  <c r="P677" i="60" s="1"/>
  <c r="AD677" i="60" s="1"/>
  <c r="T676" i="60"/>
  <c r="U676" i="60" s="1"/>
  <c r="L676" i="60"/>
  <c r="P676" i="60"/>
  <c r="AD676" i="60" s="1"/>
  <c r="P196" i="46"/>
  <c r="AD196" i="46"/>
  <c r="K196" i="46"/>
  <c r="AB680" i="60"/>
  <c r="U680" i="60"/>
  <c r="P680" i="60"/>
  <c r="AD680" i="60" s="1"/>
  <c r="K680" i="60"/>
  <c r="GK36" i="36128"/>
  <c r="GK37" i="36128" s="1"/>
  <c r="GK35" i="36128"/>
  <c r="AB187" i="102"/>
  <c r="U187" i="102"/>
  <c r="P187" i="102"/>
  <c r="AD187" i="102"/>
  <c r="K187" i="102"/>
  <c r="AB188" i="102"/>
  <c r="U188" i="102"/>
  <c r="P188" i="102"/>
  <c r="AD188" i="102"/>
  <c r="K188" i="102"/>
  <c r="GK18" i="36128"/>
  <c r="GK17" i="36128"/>
  <c r="AB337" i="111"/>
  <c r="U337" i="111"/>
  <c r="P337" i="111"/>
  <c r="AD337" i="111"/>
  <c r="K337" i="111"/>
  <c r="AB336" i="111"/>
  <c r="U336" i="111"/>
  <c r="P336" i="111"/>
  <c r="AD336" i="111"/>
  <c r="K336" i="111"/>
  <c r="GJ12" i="36128"/>
  <c r="GJ11" i="36128"/>
  <c r="P668" i="60"/>
  <c r="AD668" i="60" s="1"/>
  <c r="T668" i="60"/>
  <c r="U668" i="60" s="1"/>
  <c r="L667" i="60"/>
  <c r="P667" i="60" s="1"/>
  <c r="AD667" i="60" s="1"/>
  <c r="T667" i="60"/>
  <c r="U667" i="60" s="1"/>
  <c r="P186" i="46"/>
  <c r="AD186" i="46"/>
  <c r="U186" i="46"/>
  <c r="P187" i="46"/>
  <c r="AD187" i="46"/>
  <c r="H2194" i="36112"/>
  <c r="K2194" i="36112"/>
  <c r="P2194" i="36112"/>
  <c r="AD2194" i="36112" s="1"/>
  <c r="U2194" i="36112"/>
  <c r="L2195" i="36112"/>
  <c r="P2195" i="36112" s="1"/>
  <c r="AD2195" i="36112" s="1"/>
  <c r="U2195" i="36112"/>
  <c r="L2196" i="36112"/>
  <c r="P2196" i="36112" s="1"/>
  <c r="AD2196" i="36112" s="1"/>
  <c r="U2196" i="36112"/>
  <c r="L2197" i="36112"/>
  <c r="P2197" i="36112" s="1"/>
  <c r="AD2197" i="36112" s="1"/>
  <c r="U2197" i="36112"/>
  <c r="L2198" i="36112"/>
  <c r="P2198" i="36112" s="1"/>
  <c r="AD2198" i="36112" s="1"/>
  <c r="U2198" i="36112"/>
  <c r="K2199" i="36112"/>
  <c r="P2199" i="36112"/>
  <c r="AD2199" i="36112" s="1"/>
  <c r="U2199" i="36112"/>
  <c r="L665" i="60"/>
  <c r="P665" i="60" s="1"/>
  <c r="AD665" i="60" s="1"/>
  <c r="T665" i="60"/>
  <c r="U665" i="60" s="1"/>
  <c r="L666" i="60"/>
  <c r="P666" i="60" s="1"/>
  <c r="AD666" i="60" s="1"/>
  <c r="GD6" i="36128" s="1"/>
  <c r="T666" i="60"/>
  <c r="U666" i="60" s="1"/>
  <c r="L663" i="60"/>
  <c r="P663" i="60" s="1"/>
  <c r="AD663" i="60" s="1"/>
  <c r="T663" i="60"/>
  <c r="U663" i="60" s="1"/>
  <c r="L664" i="60"/>
  <c r="P664" i="60" s="1"/>
  <c r="AD664" i="60" s="1"/>
  <c r="T664" i="60"/>
  <c r="U664" i="60"/>
  <c r="T657" i="60"/>
  <c r="U657" i="60" s="1"/>
  <c r="P657" i="60"/>
  <c r="AD657" i="60" s="1"/>
  <c r="FX6" i="36128" s="1"/>
  <c r="K657" i="60"/>
  <c r="K326" i="111"/>
  <c r="P326" i="111"/>
  <c r="AD326" i="111"/>
  <c r="FY11" i="36128"/>
  <c r="T326" i="111"/>
  <c r="U326" i="111"/>
  <c r="H327" i="111"/>
  <c r="L327" i="111"/>
  <c r="P327" i="111"/>
  <c r="AD327" i="111"/>
  <c r="U327" i="111"/>
  <c r="L662" i="60"/>
  <c r="P662" i="60" s="1"/>
  <c r="AD662" i="60" s="1"/>
  <c r="T662" i="60"/>
  <c r="U662" i="60" s="1"/>
  <c r="K661" i="60"/>
  <c r="P661" i="60"/>
  <c r="AD661" i="60" s="1"/>
  <c r="U661" i="60"/>
  <c r="K660" i="60"/>
  <c r="P660" i="60"/>
  <c r="AD660" i="60" s="1"/>
  <c r="U660" i="60"/>
  <c r="K2192" i="36112"/>
  <c r="P2192" i="36112"/>
  <c r="AD2192" i="36112" s="1"/>
  <c r="FZ3" i="36128" s="1"/>
  <c r="U2192" i="36112"/>
  <c r="H2193" i="36112"/>
  <c r="L2193" i="36112"/>
  <c r="P2193" i="36112" s="1"/>
  <c r="AD2193" i="36112" s="1"/>
  <c r="U2193" i="36112"/>
  <c r="K656" i="60"/>
  <c r="P656" i="60"/>
  <c r="AD656" i="60" s="1"/>
  <c r="T656" i="60"/>
  <c r="U656" i="60" s="1"/>
  <c r="K2190" i="36112"/>
  <c r="P2190" i="36112"/>
  <c r="AD2190" i="36112" s="1"/>
  <c r="U2190" i="36112"/>
  <c r="K2191" i="36112"/>
  <c r="P2191" i="36112"/>
  <c r="AD2191" i="36112" s="1"/>
  <c r="U2191" i="36112"/>
  <c r="K658" i="60"/>
  <c r="P658" i="60"/>
  <c r="AD658" i="60" s="1"/>
  <c r="T658" i="60"/>
  <c r="U658" i="60" s="1"/>
  <c r="K659" i="60"/>
  <c r="P659" i="60"/>
  <c r="AD659" i="60" s="1"/>
  <c r="T659" i="60"/>
  <c r="U659" i="60" s="1"/>
  <c r="K655" i="60"/>
  <c r="P655" i="60"/>
  <c r="AD655" i="60" s="1"/>
  <c r="T655" i="60"/>
  <c r="U655" i="60" s="1"/>
  <c r="K184" i="46"/>
  <c r="P184" i="46"/>
  <c r="AD184" i="46"/>
  <c r="U184" i="46"/>
  <c r="K185" i="46"/>
  <c r="P185" i="46"/>
  <c r="AD185" i="46"/>
  <c r="U185" i="46"/>
  <c r="K654" i="60"/>
  <c r="P654" i="60"/>
  <c r="AD654" i="60" s="1"/>
  <c r="FW6" i="36128" s="1"/>
  <c r="U654" i="60"/>
  <c r="K653" i="60"/>
  <c r="P653" i="60"/>
  <c r="AD653" i="60" s="1"/>
  <c r="U653" i="60"/>
  <c r="L116" i="32"/>
  <c r="P116" i="32"/>
  <c r="AD116" i="32"/>
  <c r="U116" i="32"/>
  <c r="K183" i="46"/>
  <c r="P183" i="46"/>
  <c r="AD183" i="46"/>
  <c r="T183" i="46"/>
  <c r="U183" i="46"/>
  <c r="K652" i="60"/>
  <c r="P652" i="60"/>
  <c r="AD652" i="60" s="1"/>
  <c r="FU6" i="36128" s="1"/>
  <c r="U652" i="60"/>
  <c r="K643" i="60"/>
  <c r="P643" i="60"/>
  <c r="AD643" i="60" s="1"/>
  <c r="FT6" i="36128" s="1"/>
  <c r="FT39" i="36128" s="1"/>
  <c r="T643" i="60"/>
  <c r="U643" i="60" s="1"/>
  <c r="L642" i="60"/>
  <c r="P642" i="60"/>
  <c r="AD642" i="60" s="1"/>
  <c r="FS6" i="36128" s="1"/>
  <c r="U642" i="60"/>
  <c r="L641" i="60"/>
  <c r="P641" i="60" s="1"/>
  <c r="AD641" i="60" s="1"/>
  <c r="U641" i="60"/>
  <c r="L2181" i="36112"/>
  <c r="P2181" i="36112" s="1"/>
  <c r="AD2181" i="36112" s="1"/>
  <c r="FS2" i="36128" s="1"/>
  <c r="U2181" i="36112"/>
  <c r="L640" i="60"/>
  <c r="P640" i="60"/>
  <c r="AD640" i="60" s="1"/>
  <c r="U640" i="60"/>
  <c r="L639" i="60"/>
  <c r="P639" i="60" s="1"/>
  <c r="AD639" i="60" s="1"/>
  <c r="T639" i="60"/>
  <c r="U639" i="60" s="1"/>
  <c r="L638" i="60"/>
  <c r="P638" i="60" s="1"/>
  <c r="AD638" i="60" s="1"/>
  <c r="U638" i="60"/>
  <c r="L2180" i="36112"/>
  <c r="P2180" i="36112" s="1"/>
  <c r="AD2180" i="36112" s="1"/>
  <c r="U2180" i="36112"/>
  <c r="K178" i="102"/>
  <c r="P178" i="102"/>
  <c r="AD178" i="102"/>
  <c r="U178" i="102"/>
  <c r="L2179" i="36112"/>
  <c r="P2179" i="36112" s="1"/>
  <c r="AD2179" i="36112" s="1"/>
  <c r="U2179" i="36112"/>
  <c r="K637" i="60"/>
  <c r="P637" i="60"/>
  <c r="AD637" i="60" s="1"/>
  <c r="T637" i="60"/>
  <c r="U637" i="60" s="1"/>
  <c r="K172" i="46"/>
  <c r="P172" i="46"/>
  <c r="AD172" i="46"/>
  <c r="U172" i="46"/>
  <c r="K173" i="46"/>
  <c r="P173" i="46"/>
  <c r="AD173" i="46"/>
  <c r="U173" i="46"/>
  <c r="K2178" i="36112"/>
  <c r="P2178" i="36112"/>
  <c r="AD2178" i="36112" s="1"/>
  <c r="U2178" i="36112"/>
  <c r="L2174" i="36112"/>
  <c r="P2174" i="36112" s="1"/>
  <c r="AD2174" i="36112" s="1"/>
  <c r="U2174" i="36112"/>
  <c r="L2175" i="36112"/>
  <c r="P2175" i="36112" s="1"/>
  <c r="AD2175" i="36112" s="1"/>
  <c r="U2175" i="36112"/>
  <c r="L2176" i="36112"/>
  <c r="P2176" i="36112" s="1"/>
  <c r="AD2176" i="36112" s="1"/>
  <c r="U2176" i="36112"/>
  <c r="P2177" i="36112"/>
  <c r="AD2177" i="36112" s="1"/>
  <c r="U2177" i="36112"/>
  <c r="L635" i="60"/>
  <c r="P635" i="60" s="1"/>
  <c r="AD635" i="60" s="1"/>
  <c r="T635" i="60"/>
  <c r="U635" i="60" s="1"/>
  <c r="L636" i="60"/>
  <c r="P636" i="60" s="1"/>
  <c r="AD636" i="60" s="1"/>
  <c r="T636" i="60"/>
  <c r="U636" i="60" s="1"/>
  <c r="L2173" i="36112"/>
  <c r="P2173" i="36112" s="1"/>
  <c r="AD2173" i="36112" s="1"/>
  <c r="U2173" i="36112"/>
  <c r="L2172" i="36112"/>
  <c r="P2172" i="36112" s="1"/>
  <c r="AD2172" i="36112" s="1"/>
  <c r="U2172" i="36112"/>
  <c r="K2169" i="36112"/>
  <c r="P2169" i="36112"/>
  <c r="AD2169" i="36112" s="1"/>
  <c r="U2169" i="36112"/>
  <c r="L2170" i="36112"/>
  <c r="P2170" i="36112" s="1"/>
  <c r="AD2170" i="36112" s="1"/>
  <c r="U2170" i="36112"/>
  <c r="L2171" i="36112"/>
  <c r="P2171" i="36112" s="1"/>
  <c r="AD2171" i="36112" s="1"/>
  <c r="U2171" i="36112"/>
  <c r="K313" i="111"/>
  <c r="P313" i="111"/>
  <c r="AD313" i="111"/>
  <c r="T313" i="111"/>
  <c r="U313" i="111"/>
  <c r="K314" i="111"/>
  <c r="P314" i="111"/>
  <c r="AD314" i="111"/>
  <c r="T314" i="111"/>
  <c r="U314" i="111"/>
  <c r="L2166" i="36112"/>
  <c r="P2166" i="36112" s="1"/>
  <c r="AD2166" i="36112" s="1"/>
  <c r="U2166" i="36112"/>
  <c r="K2167" i="36112"/>
  <c r="P2167" i="36112"/>
  <c r="AD2167" i="36112" s="1"/>
  <c r="U2167" i="36112"/>
  <c r="K2168" i="36112"/>
  <c r="P2168" i="36112"/>
  <c r="AD2168" i="36112" s="1"/>
  <c r="U2168" i="36112"/>
  <c r="U2138" i="36112"/>
  <c r="L2151" i="36112"/>
  <c r="P2151" i="36112" s="1"/>
  <c r="AD2151" i="36112" s="1"/>
  <c r="U2151" i="36112"/>
  <c r="K2152" i="36112"/>
  <c r="P2152" i="36112"/>
  <c r="AD2152" i="36112" s="1"/>
  <c r="U2152" i="36112"/>
  <c r="L2150" i="36112"/>
  <c r="P2150" i="36112" s="1"/>
  <c r="AD2150" i="36112" s="1"/>
  <c r="FG3" i="36128" s="1"/>
  <c r="U2150" i="36112"/>
  <c r="L2153" i="36112"/>
  <c r="P2153" i="36112" s="1"/>
  <c r="AD2153" i="36112" s="1"/>
  <c r="FH3" i="36128" s="1"/>
  <c r="FH39" i="36128" s="1"/>
  <c r="U2153" i="36112"/>
  <c r="L623" i="60"/>
  <c r="P623" i="60"/>
  <c r="AD623" i="60" s="1"/>
  <c r="U623" i="60"/>
  <c r="K622" i="60"/>
  <c r="P622" i="60"/>
  <c r="AD622" i="60" s="1"/>
  <c r="T622" i="60"/>
  <c r="U622" i="60" s="1"/>
  <c r="U2149" i="36112"/>
  <c r="L2149" i="36112"/>
  <c r="P2149" i="36112" s="1"/>
  <c r="AD2149" i="36112" s="1"/>
  <c r="U2148" i="36112"/>
  <c r="P2148" i="36112"/>
  <c r="AD2148" i="36112" s="1"/>
  <c r="K2148" i="36112"/>
  <c r="U160" i="46"/>
  <c r="L160" i="46"/>
  <c r="P160" i="46"/>
  <c r="AD160" i="46"/>
  <c r="L161" i="46"/>
  <c r="P161" i="46"/>
  <c r="AD161" i="46"/>
  <c r="T161" i="46"/>
  <c r="U161" i="46"/>
  <c r="K162" i="46"/>
  <c r="P162" i="46"/>
  <c r="AD162" i="46"/>
  <c r="T162" i="46"/>
  <c r="U162" i="46"/>
  <c r="L2147" i="36112"/>
  <c r="P2147" i="36112" s="1"/>
  <c r="AD2147" i="36112" s="1"/>
  <c r="U2147" i="36112"/>
  <c r="K2146" i="36112"/>
  <c r="P2146" i="36112"/>
  <c r="AD2146" i="36112" s="1"/>
  <c r="U2146" i="36112"/>
  <c r="L621" i="60"/>
  <c r="P621" i="60"/>
  <c r="AD621" i="60" s="1"/>
  <c r="U621" i="60"/>
  <c r="L164" i="102"/>
  <c r="P164" i="102"/>
  <c r="AD164" i="102"/>
  <c r="T164" i="102"/>
  <c r="U164" i="102"/>
  <c r="K620" i="60"/>
  <c r="P620" i="60"/>
  <c r="AD620" i="60" s="1"/>
  <c r="T620" i="60"/>
  <c r="U620" i="60" s="1"/>
  <c r="K158" i="46"/>
  <c r="P158" i="46"/>
  <c r="AD158" i="46"/>
  <c r="T158" i="46"/>
  <c r="U158" i="46"/>
  <c r="K159" i="46"/>
  <c r="P159" i="46"/>
  <c r="AD159" i="46"/>
  <c r="T159" i="46"/>
  <c r="U159" i="46"/>
  <c r="K2141" i="36112"/>
  <c r="P2141" i="36112"/>
  <c r="AD2141" i="36112" s="1"/>
  <c r="U2141" i="36112"/>
  <c r="K2142" i="36112"/>
  <c r="P2142" i="36112"/>
  <c r="AD2142" i="36112" s="1"/>
  <c r="U2142" i="36112"/>
  <c r="K2143" i="36112"/>
  <c r="P2143" i="36112"/>
  <c r="AD2143" i="36112" s="1"/>
  <c r="U2143" i="36112"/>
  <c r="K2144" i="36112"/>
  <c r="P2144" i="36112"/>
  <c r="AD2144" i="36112" s="1"/>
  <c r="U2144" i="36112"/>
  <c r="K2145" i="36112"/>
  <c r="P2145" i="36112"/>
  <c r="AD2145" i="36112" s="1"/>
  <c r="U2145" i="36112"/>
  <c r="K2140" i="36112"/>
  <c r="P2140" i="36112"/>
  <c r="AD2140" i="36112" s="1"/>
  <c r="U2140" i="36112"/>
  <c r="K157" i="46"/>
  <c r="P157" i="46"/>
  <c r="AD157" i="46"/>
  <c r="U157" i="46"/>
  <c r="L150" i="102"/>
  <c r="P150" i="102"/>
  <c r="AD150" i="102"/>
  <c r="T150" i="102"/>
  <c r="U150" i="102"/>
  <c r="K156" i="46"/>
  <c r="P156" i="46"/>
  <c r="AD156" i="46"/>
  <c r="T156" i="46"/>
  <c r="U156" i="46"/>
  <c r="AD2138" i="36112"/>
  <c r="K2137" i="36112"/>
  <c r="P2137" i="36112"/>
  <c r="AD2137" i="36112" s="1"/>
  <c r="U2137" i="36112"/>
  <c r="K2134" i="36112"/>
  <c r="P2134" i="36112"/>
  <c r="AD2134" i="36112" s="1"/>
  <c r="U2134" i="36112"/>
  <c r="K2135" i="36112"/>
  <c r="P2135" i="36112"/>
  <c r="AD2135" i="36112" s="1"/>
  <c r="U2135" i="36112"/>
  <c r="K2136" i="36112"/>
  <c r="P2136" i="36112"/>
  <c r="AD2136" i="36112" s="1"/>
  <c r="U2136" i="36112"/>
  <c r="K2139" i="36112"/>
  <c r="P2139" i="36112"/>
  <c r="AD2139" i="36112" s="1"/>
  <c r="T2139" i="36112"/>
  <c r="U2139" i="36112" s="1"/>
  <c r="K301" i="111"/>
  <c r="P301" i="111"/>
  <c r="AD301" i="111"/>
  <c r="T301" i="111"/>
  <c r="U301" i="111"/>
  <c r="K155" i="46"/>
  <c r="P155" i="46"/>
  <c r="AD155" i="46"/>
  <c r="T155" i="46"/>
  <c r="U155" i="46"/>
  <c r="U2133" i="36112"/>
  <c r="L2133" i="36112"/>
  <c r="P2133" i="36112" s="1"/>
  <c r="AD2133" i="36112" s="1"/>
  <c r="FB3" i="36128" s="1"/>
  <c r="K619" i="60"/>
  <c r="P619" i="60"/>
  <c r="AD619" i="60" s="1"/>
  <c r="U619" i="60"/>
  <c r="L154" i="46"/>
  <c r="P154" i="46"/>
  <c r="AD154" i="46"/>
  <c r="U154" i="46"/>
  <c r="L2129" i="36112"/>
  <c r="P2129" i="36112" s="1"/>
  <c r="AD2129" i="36112" s="1"/>
  <c r="U2129" i="36112"/>
  <c r="L2130" i="36112"/>
  <c r="P2130" i="36112" s="1"/>
  <c r="AD2130" i="36112" s="1"/>
  <c r="U2130" i="36112"/>
  <c r="L2131" i="36112"/>
  <c r="P2131" i="36112" s="1"/>
  <c r="AD2131" i="36112" s="1"/>
  <c r="U2131" i="36112"/>
  <c r="K2132" i="36112"/>
  <c r="P2132" i="36112"/>
  <c r="AD2132" i="36112" s="1"/>
  <c r="U2132" i="36112"/>
  <c r="L2127" i="36112"/>
  <c r="P2127" i="36112" s="1"/>
  <c r="AD2127" i="36112" s="1"/>
  <c r="U2127" i="36112"/>
  <c r="L2128" i="36112"/>
  <c r="P2128" i="36112" s="1"/>
  <c r="AD2128" i="36112" s="1"/>
  <c r="U2128" i="36112"/>
  <c r="K617" i="60"/>
  <c r="P617" i="60"/>
  <c r="AD617" i="60" s="1"/>
  <c r="U617" i="60"/>
  <c r="L618" i="60"/>
  <c r="P618" i="60" s="1"/>
  <c r="AD618" i="60" s="1"/>
  <c r="U618" i="60"/>
  <c r="P2126" i="36112"/>
  <c r="AD2126" i="36112" s="1"/>
  <c r="T2126" i="36112"/>
  <c r="U2126" i="36112" s="1"/>
  <c r="L2125" i="36112"/>
  <c r="P2125" i="36112" s="1"/>
  <c r="AD2125" i="36112" s="1"/>
  <c r="T2125" i="36112"/>
  <c r="U2125" i="36112" s="1"/>
  <c r="K153" i="46"/>
  <c r="P153" i="46"/>
  <c r="AD153" i="46"/>
  <c r="T153" i="46"/>
  <c r="U153" i="46"/>
  <c r="K616" i="60"/>
  <c r="P616" i="60"/>
  <c r="AD616" i="60" s="1"/>
  <c r="U616" i="60"/>
  <c r="K152" i="46"/>
  <c r="P152" i="46"/>
  <c r="AD152" i="46"/>
  <c r="U152" i="46"/>
  <c r="K2106" i="36112"/>
  <c r="P2106" i="36112"/>
  <c r="AD2106" i="36112" s="1"/>
  <c r="U2106" i="36112"/>
  <c r="H2107" i="36112"/>
  <c r="K2107" i="36112"/>
  <c r="P2107" i="36112"/>
  <c r="AD2107" i="36112" s="1"/>
  <c r="U2107" i="36112"/>
  <c r="K2108" i="36112"/>
  <c r="P2108" i="36112"/>
  <c r="AD2108" i="36112" s="1"/>
  <c r="U2108" i="36112"/>
  <c r="L2109" i="36112"/>
  <c r="P2109" i="36112" s="1"/>
  <c r="AD2109" i="36112" s="1"/>
  <c r="U2109" i="36112"/>
  <c r="P2124" i="36112"/>
  <c r="AD2124" i="36112" s="1"/>
  <c r="T2124" i="36112"/>
  <c r="U2124" i="36112" s="1"/>
  <c r="P2123" i="36112"/>
  <c r="AD2123" i="36112" s="1"/>
  <c r="U2123" i="36112"/>
  <c r="K139" i="46"/>
  <c r="P139" i="46"/>
  <c r="AD139" i="46"/>
  <c r="T139" i="46"/>
  <c r="U139" i="46"/>
  <c r="L140" i="46"/>
  <c r="P140" i="46"/>
  <c r="AD140" i="46"/>
  <c r="U140" i="46"/>
  <c r="L141" i="46"/>
  <c r="P141" i="46"/>
  <c r="AD141" i="46"/>
  <c r="U141" i="46"/>
  <c r="L142" i="46"/>
  <c r="P142" i="46"/>
  <c r="AD142" i="46"/>
  <c r="U142" i="46"/>
  <c r="K606" i="60"/>
  <c r="P606" i="60"/>
  <c r="AD606" i="60" s="1"/>
  <c r="T606" i="60"/>
  <c r="U606" i="60" s="1"/>
  <c r="L149" i="102"/>
  <c r="P149" i="102"/>
  <c r="AD149" i="102"/>
  <c r="T149" i="102"/>
  <c r="U149" i="102"/>
  <c r="L2104" i="36112"/>
  <c r="P2104" i="36112" s="1"/>
  <c r="AD2104" i="36112" s="1"/>
  <c r="T2104" i="36112"/>
  <c r="U2104" i="36112" s="1"/>
  <c r="K2105" i="36112"/>
  <c r="P2105" i="36112"/>
  <c r="AD2105" i="36112" s="1"/>
  <c r="ES2" i="36128" s="1"/>
  <c r="T2105" i="36112"/>
  <c r="U2105" i="36112" s="1"/>
  <c r="L2103" i="36112"/>
  <c r="P2103" i="36112" s="1"/>
  <c r="AD2103" i="36112" s="1"/>
  <c r="T2103" i="36112"/>
  <c r="U2103" i="36112" s="1"/>
  <c r="L138" i="46"/>
  <c r="P138" i="46"/>
  <c r="AD138" i="46"/>
  <c r="U138" i="46"/>
  <c r="K290" i="111"/>
  <c r="P290" i="111"/>
  <c r="AD290" i="111"/>
  <c r="U290" i="111"/>
  <c r="U137" i="46"/>
  <c r="L137" i="46"/>
  <c r="P137" i="46"/>
  <c r="AD137" i="46"/>
  <c r="K136" i="46"/>
  <c r="P136" i="46"/>
  <c r="AD136" i="46"/>
  <c r="U136" i="46"/>
  <c r="K135" i="46"/>
  <c r="P135" i="46"/>
  <c r="AD135" i="46"/>
  <c r="U135" i="46"/>
  <c r="L605" i="60"/>
  <c r="P605" i="60" s="1"/>
  <c r="AD605" i="60" s="1"/>
  <c r="T605" i="60"/>
  <c r="U605" i="60" s="1"/>
  <c r="K2098" i="36112"/>
  <c r="P2098" i="36112"/>
  <c r="AD2098" i="36112" s="1"/>
  <c r="U2098" i="36112"/>
  <c r="K2099" i="36112"/>
  <c r="P2099" i="36112"/>
  <c r="AD2099" i="36112" s="1"/>
  <c r="U2099" i="36112"/>
  <c r="K603" i="60"/>
  <c r="P603" i="60"/>
  <c r="AD603" i="60" s="1"/>
  <c r="T603" i="60"/>
  <c r="U603" i="60" s="1"/>
  <c r="K604" i="60"/>
  <c r="P604" i="60"/>
  <c r="AD604" i="60" s="1"/>
  <c r="T604" i="60"/>
  <c r="U604" i="60" s="1"/>
  <c r="L37" i="97"/>
  <c r="P37" i="97"/>
  <c r="AE37" i="97"/>
  <c r="U37" i="97"/>
  <c r="K2097" i="36112"/>
  <c r="P2097" i="36112"/>
  <c r="AD2097" i="36112" s="1"/>
  <c r="U2097" i="36112"/>
  <c r="T20" i="36114"/>
  <c r="U20" i="36114"/>
  <c r="L20" i="36114"/>
  <c r="P20" i="36114"/>
  <c r="AD20" i="36114"/>
  <c r="K602" i="60"/>
  <c r="P602" i="60"/>
  <c r="AD602" i="60" s="1"/>
  <c r="T602" i="60"/>
  <c r="U602" i="60" s="1"/>
  <c r="K2100" i="36112"/>
  <c r="P2100" i="36112"/>
  <c r="AD2100" i="36112" s="1"/>
  <c r="T2100" i="36112"/>
  <c r="U2100" i="36112" s="1"/>
  <c r="K2101" i="36112"/>
  <c r="P2101" i="36112"/>
  <c r="AD2101" i="36112" s="1"/>
  <c r="T2101" i="36112"/>
  <c r="U2101" i="36112" s="1"/>
  <c r="K2102" i="36112"/>
  <c r="P2102" i="36112"/>
  <c r="AD2102" i="36112" s="1"/>
  <c r="T2102" i="36112"/>
  <c r="U2102" i="36112" s="1"/>
  <c r="K134" i="46"/>
  <c r="P134" i="46"/>
  <c r="AD134" i="46"/>
  <c r="U134" i="46"/>
  <c r="K2096" i="36112"/>
  <c r="P2096" i="36112"/>
  <c r="AD2096" i="36112" s="1"/>
  <c r="T2096" i="36112"/>
  <c r="U2096" i="36112" s="1"/>
  <c r="L601" i="60"/>
  <c r="P601" i="60" s="1"/>
  <c r="AD601" i="60" s="1"/>
  <c r="U601" i="60"/>
  <c r="K2095" i="36112"/>
  <c r="P2095" i="36112"/>
  <c r="AD2095" i="36112" s="1"/>
  <c r="T2095" i="36112"/>
  <c r="U2095" i="36112" s="1"/>
  <c r="K133" i="46"/>
  <c r="P133" i="46"/>
  <c r="AD133" i="46"/>
  <c r="U133" i="46"/>
  <c r="L132" i="46"/>
  <c r="P132" i="46"/>
  <c r="AD132" i="46"/>
  <c r="T132" i="46"/>
  <c r="U132" i="46"/>
  <c r="K600" i="60"/>
  <c r="P600" i="60"/>
  <c r="AD600" i="60" s="1"/>
  <c r="U600" i="60"/>
  <c r="K2093" i="36112"/>
  <c r="P2093" i="36112"/>
  <c r="AD2093" i="36112" s="1"/>
  <c r="U2093" i="36112"/>
  <c r="K2094" i="36112"/>
  <c r="P2094" i="36112"/>
  <c r="AD2094" i="36112" s="1"/>
  <c r="U2094" i="36112"/>
  <c r="K2087" i="36112"/>
  <c r="P2087" i="36112"/>
  <c r="AD2087" i="36112" s="1"/>
  <c r="U2087" i="36112"/>
  <c r="K2088" i="36112"/>
  <c r="P2088" i="36112"/>
  <c r="AD2088" i="36112" s="1"/>
  <c r="U2088" i="36112"/>
  <c r="K2089" i="36112"/>
  <c r="P2089" i="36112"/>
  <c r="AD2089" i="36112" s="1"/>
  <c r="U2089" i="36112"/>
  <c r="K2090" i="36112"/>
  <c r="P2090" i="36112"/>
  <c r="AD2090" i="36112" s="1"/>
  <c r="U2090" i="36112"/>
  <c r="K2091" i="36112"/>
  <c r="P2091" i="36112"/>
  <c r="AD2091" i="36112" s="1"/>
  <c r="EN3" i="36128" s="1"/>
  <c r="U2091" i="36112"/>
  <c r="K2092" i="36112"/>
  <c r="P2092" i="36112"/>
  <c r="AD2092" i="36112" s="1"/>
  <c r="U2092" i="36112"/>
  <c r="K2086" i="36112"/>
  <c r="P2086" i="36112"/>
  <c r="AD2086" i="36112" s="1"/>
  <c r="U2086" i="36112"/>
  <c r="K131" i="46"/>
  <c r="P131" i="46"/>
  <c r="AD131" i="46"/>
  <c r="U131" i="46"/>
  <c r="L128" i="46"/>
  <c r="P128" i="46"/>
  <c r="AD128" i="46"/>
  <c r="T128" i="46"/>
  <c r="U128" i="46"/>
  <c r="K129" i="46"/>
  <c r="P129" i="46"/>
  <c r="AD129" i="46"/>
  <c r="T129" i="46"/>
  <c r="U129" i="46"/>
  <c r="L130" i="46"/>
  <c r="P130" i="46"/>
  <c r="AD130" i="46"/>
  <c r="T130" i="46"/>
  <c r="U130" i="46"/>
  <c r="K599" i="60"/>
  <c r="P599" i="60"/>
  <c r="AD599" i="60" s="1"/>
  <c r="U599" i="60"/>
  <c r="K598" i="60"/>
  <c r="P598" i="60"/>
  <c r="AD598" i="60" s="1"/>
  <c r="U598" i="60"/>
  <c r="K597" i="60"/>
  <c r="P597" i="60"/>
  <c r="AD597" i="60" s="1"/>
  <c r="U597" i="60"/>
  <c r="L2085" i="36112"/>
  <c r="P2085" i="36112" s="1"/>
  <c r="AD2085" i="36112" s="1"/>
  <c r="U2085" i="36112"/>
  <c r="L2084" i="36112"/>
  <c r="P2084" i="36112" s="1"/>
  <c r="AD2084" i="36112" s="1"/>
  <c r="U2084" i="36112"/>
  <c r="K2083" i="36112"/>
  <c r="P2083" i="36112"/>
  <c r="AD2083" i="36112" s="1"/>
  <c r="U2083" i="36112"/>
  <c r="K596" i="60"/>
  <c r="P596" i="60"/>
  <c r="AD596" i="60" s="1"/>
  <c r="U596" i="60"/>
  <c r="K148" i="102"/>
  <c r="P148" i="102"/>
  <c r="AD148" i="102"/>
  <c r="T148" i="102"/>
  <c r="U148" i="102"/>
  <c r="K2080" i="36112"/>
  <c r="P2080" i="36112"/>
  <c r="AD2080" i="36112" s="1"/>
  <c r="U2080" i="36112"/>
  <c r="K2081" i="36112"/>
  <c r="P2081" i="36112"/>
  <c r="AD2081" i="36112" s="1"/>
  <c r="U2081" i="36112"/>
  <c r="K2079" i="36112"/>
  <c r="P2079" i="36112"/>
  <c r="AD2079" i="36112" s="1"/>
  <c r="U2079" i="36112"/>
  <c r="K2078" i="36112"/>
  <c r="P2078" i="36112"/>
  <c r="AD2078" i="36112" s="1"/>
  <c r="U2078" i="36112"/>
  <c r="K2077" i="36112"/>
  <c r="P2077" i="36112"/>
  <c r="AD2077" i="36112" s="1"/>
  <c r="U2077" i="36112"/>
  <c r="L115" i="46"/>
  <c r="P115" i="46"/>
  <c r="AD115" i="46"/>
  <c r="U115" i="46"/>
  <c r="K595" i="60"/>
  <c r="P595" i="60"/>
  <c r="AD595" i="60" s="1"/>
  <c r="U595" i="60"/>
  <c r="K2059" i="36112"/>
  <c r="P2059" i="36112"/>
  <c r="AD2059" i="36112" s="1"/>
  <c r="U2059" i="36112"/>
  <c r="K2056" i="36112"/>
  <c r="P2056" i="36112"/>
  <c r="AD2056" i="36112" s="1"/>
  <c r="U2056" i="36112"/>
  <c r="K2057" i="36112"/>
  <c r="P2057" i="36112"/>
  <c r="AD2057" i="36112" s="1"/>
  <c r="U2057" i="36112"/>
  <c r="K2058" i="36112"/>
  <c r="P2058" i="36112"/>
  <c r="AD2058" i="36112" s="1"/>
  <c r="U2058" i="36112"/>
  <c r="K118" i="46"/>
  <c r="P118" i="46"/>
  <c r="AD118" i="46"/>
  <c r="U118" i="46"/>
  <c r="P2076" i="36112"/>
  <c r="AD2076" i="36112" s="1"/>
  <c r="U2076" i="36112"/>
  <c r="L2075" i="36112"/>
  <c r="P2075" i="36112" s="1"/>
  <c r="AD2075" i="36112" s="1"/>
  <c r="U2075" i="36112"/>
  <c r="L2082" i="36112"/>
  <c r="P2082" i="36112" s="1"/>
  <c r="AD2082" i="36112" s="1"/>
  <c r="U2082" i="36112"/>
  <c r="K2052" i="36112"/>
  <c r="P2052" i="36112"/>
  <c r="AD2052" i="36112" s="1"/>
  <c r="U2052" i="36112"/>
  <c r="K2053" i="36112"/>
  <c r="P2053" i="36112"/>
  <c r="AD2053" i="36112" s="1"/>
  <c r="U2053" i="36112"/>
  <c r="L2063" i="36112"/>
  <c r="P2063" i="36112" s="1"/>
  <c r="AD2063" i="36112" s="1"/>
  <c r="U2063" i="36112"/>
  <c r="L2062" i="36112"/>
  <c r="P2062" i="36112" s="1"/>
  <c r="AD2062" i="36112" s="1"/>
  <c r="U2062" i="36112"/>
  <c r="L2061" i="36112"/>
  <c r="P2061" i="36112" s="1"/>
  <c r="AD2061" i="36112" s="1"/>
  <c r="U2061" i="36112"/>
  <c r="L2060" i="36112"/>
  <c r="P2060" i="36112" s="1"/>
  <c r="AD2060" i="36112" s="1"/>
  <c r="U2060" i="36112"/>
  <c r="K2055" i="36112"/>
  <c r="P2055" i="36112"/>
  <c r="AD2055" i="36112" s="1"/>
  <c r="U2055" i="36112"/>
  <c r="K2043" i="36112"/>
  <c r="P2043" i="36112"/>
  <c r="AD2043" i="36112" s="1"/>
  <c r="U2043" i="36112"/>
  <c r="K2042" i="36112"/>
  <c r="P2042" i="36112"/>
  <c r="AD2042" i="36112" s="1"/>
  <c r="U2042" i="36112"/>
  <c r="K116" i="46"/>
  <c r="P116" i="46"/>
  <c r="AD116" i="46"/>
  <c r="T116" i="46"/>
  <c r="U116" i="46"/>
  <c r="K117" i="46"/>
  <c r="P117" i="46"/>
  <c r="AD117" i="46"/>
  <c r="T117" i="46"/>
  <c r="U117" i="46"/>
  <c r="L2051" i="36112"/>
  <c r="P2051" i="36112" s="1"/>
  <c r="AD2051" i="36112" s="1"/>
  <c r="U2051" i="36112"/>
  <c r="L2054" i="36112"/>
  <c r="P2054" i="36112" s="1"/>
  <c r="AD2054" i="36112" s="1"/>
  <c r="U2054" i="36112"/>
  <c r="L2050" i="36112"/>
  <c r="P2050" i="36112" s="1"/>
  <c r="AD2050" i="36112" s="1"/>
  <c r="U2050" i="36112"/>
  <c r="L114" i="46"/>
  <c r="P114" i="46"/>
  <c r="AD114" i="46"/>
  <c r="U114" i="46"/>
  <c r="L113" i="46"/>
  <c r="P113" i="46"/>
  <c r="AD113" i="46"/>
  <c r="U113" i="46"/>
  <c r="K2049" i="36112"/>
  <c r="P2049" i="36112"/>
  <c r="AD2049" i="36112" s="1"/>
  <c r="U2049" i="36112"/>
  <c r="K2041" i="36112"/>
  <c r="P2041" i="36112"/>
  <c r="AD2041" i="36112" s="1"/>
  <c r="U2041" i="36112"/>
  <c r="U2048" i="36112"/>
  <c r="P2048" i="36112"/>
  <c r="AD2048" i="36112" s="1"/>
  <c r="K2048" i="36112"/>
  <c r="U2047" i="36112"/>
  <c r="P2047" i="36112"/>
  <c r="AD2047" i="36112" s="1"/>
  <c r="K2047" i="36112"/>
  <c r="U2046" i="36112"/>
  <c r="P2046" i="36112"/>
  <c r="AD2046" i="36112" s="1"/>
  <c r="K2046" i="36112"/>
  <c r="K2045" i="36112"/>
  <c r="P2045" i="36112"/>
  <c r="AD2045" i="36112" s="1"/>
  <c r="U2045" i="36112"/>
  <c r="K582" i="60"/>
  <c r="P582" i="60"/>
  <c r="AD582" i="60" s="1"/>
  <c r="T582" i="60"/>
  <c r="U582" i="60" s="1"/>
  <c r="K2044" i="36112"/>
  <c r="P2044" i="36112"/>
  <c r="AD2044" i="36112" s="1"/>
  <c r="U2044" i="36112"/>
  <c r="K2040" i="36112"/>
  <c r="P2040" i="36112"/>
  <c r="AD2040" i="36112" s="1"/>
  <c r="U2040" i="36112"/>
  <c r="K2039" i="36112"/>
  <c r="P2039" i="36112"/>
  <c r="AD2039" i="36112" s="1"/>
  <c r="U2039" i="36112"/>
  <c r="K583" i="60"/>
  <c r="P583" i="60"/>
  <c r="AD583" i="60" s="1"/>
  <c r="U583" i="60"/>
  <c r="L112" i="46"/>
  <c r="P112" i="46"/>
  <c r="AD112" i="46"/>
  <c r="U112" i="46"/>
  <c r="K2038" i="36112"/>
  <c r="P2038" i="36112"/>
  <c r="AD2038" i="36112" s="1"/>
  <c r="U2038" i="36112"/>
  <c r="K2037" i="36112"/>
  <c r="P2037" i="36112"/>
  <c r="AD2037" i="36112" s="1"/>
  <c r="U2037" i="36112"/>
  <c r="K138" i="102"/>
  <c r="P138" i="102"/>
  <c r="AD138" i="102"/>
  <c r="U138" i="102"/>
  <c r="P137" i="102"/>
  <c r="AD137" i="102"/>
  <c r="U137" i="102"/>
  <c r="K2033" i="36112"/>
  <c r="P2033" i="36112"/>
  <c r="AD2033" i="36112" s="1"/>
  <c r="U2033" i="36112"/>
  <c r="K2036" i="36112"/>
  <c r="P2036" i="36112"/>
  <c r="AE2036" i="36112" s="1"/>
  <c r="U2036" i="36112"/>
  <c r="K2035" i="36112"/>
  <c r="U2035" i="36112"/>
  <c r="AE2035" i="36112"/>
  <c r="K2031" i="36112"/>
  <c r="P2031" i="36112"/>
  <c r="AD2031" i="36112" s="1"/>
  <c r="U2031" i="36112"/>
  <c r="K2032" i="36112"/>
  <c r="P2032" i="36112"/>
  <c r="AD2032" i="36112" s="1"/>
  <c r="U2032" i="36112"/>
  <c r="K2030" i="36112"/>
  <c r="P2030" i="36112"/>
  <c r="AD2030" i="36112" s="1"/>
  <c r="U2030" i="36112"/>
  <c r="Z1" i="1"/>
  <c r="AB14" i="1" s="1"/>
  <c r="AA1" i="36112"/>
  <c r="L204" i="36112"/>
  <c r="L219" i="36112"/>
  <c r="H246" i="36112"/>
  <c r="H277" i="36112"/>
  <c r="H310" i="36112"/>
  <c r="L325" i="36112"/>
  <c r="L337" i="36112"/>
  <c r="L346" i="36112"/>
  <c r="L349" i="36112"/>
  <c r="L352" i="36112"/>
  <c r="L355" i="36112"/>
  <c r="L361" i="36112"/>
  <c r="L364" i="36112"/>
  <c r="L370" i="36112"/>
  <c r="L376" i="36112"/>
  <c r="H379" i="36112"/>
  <c r="L379" i="36112"/>
  <c r="L395" i="36112"/>
  <c r="L398" i="36112"/>
  <c r="L404" i="36112"/>
  <c r="L407" i="36112"/>
  <c r="H416" i="36112"/>
  <c r="L416" i="36112"/>
  <c r="H425" i="36112"/>
  <c r="H428" i="36112"/>
  <c r="L434" i="36112"/>
  <c r="L446" i="36112"/>
  <c r="H449" i="36112"/>
  <c r="H453" i="36112"/>
  <c r="L456" i="36112"/>
  <c r="L462" i="36112"/>
  <c r="L465" i="36112"/>
  <c r="L468" i="36112"/>
  <c r="L471" i="36112"/>
  <c r="S475" i="36112"/>
  <c r="L477" i="36112"/>
  <c r="L480" i="36112"/>
  <c r="H492" i="36112"/>
  <c r="L492" i="36112"/>
  <c r="AD492" i="36112" s="1"/>
  <c r="L495" i="36112"/>
  <c r="AD495" i="36112" s="1"/>
  <c r="L498" i="36112"/>
  <c r="AD498" i="36112" s="1"/>
  <c r="L501" i="36112"/>
  <c r="AD501" i="36112" s="1"/>
  <c r="AD504" i="36112"/>
  <c r="AD507" i="36112"/>
  <c r="AD510" i="36112"/>
  <c r="AD513" i="36112"/>
  <c r="AD516" i="36112"/>
  <c r="L519" i="36112"/>
  <c r="AD519" i="36112" s="1"/>
  <c r="L522" i="36112"/>
  <c r="AD522" i="36112" s="1"/>
  <c r="L523" i="36112"/>
  <c r="L525" i="36112"/>
  <c r="AD525" i="36112" s="1"/>
  <c r="L528" i="36112"/>
  <c r="AD528" i="36112" s="1"/>
  <c r="AD531" i="36112"/>
  <c r="L534" i="36112"/>
  <c r="AD534" i="36112" s="1"/>
  <c r="L537" i="36112"/>
  <c r="AD537" i="36112" s="1"/>
  <c r="AD540" i="36112"/>
  <c r="AD543" i="36112"/>
  <c r="L546" i="36112"/>
  <c r="AD546" i="36112" s="1"/>
  <c r="AD549" i="36112"/>
  <c r="H554" i="36112"/>
  <c r="AD554" i="36112"/>
  <c r="AD557" i="36112"/>
  <c r="AD560" i="36112"/>
  <c r="AD563" i="36112"/>
  <c r="AD566" i="36112"/>
  <c r="L569" i="36112"/>
  <c r="AD569" i="36112" s="1"/>
  <c r="AD572" i="36112"/>
  <c r="AD575" i="36112"/>
  <c r="AD578" i="36112"/>
  <c r="AD581" i="36112"/>
  <c r="AD584" i="36112"/>
  <c r="AD587" i="36112"/>
  <c r="AD590" i="36112"/>
  <c r="AD593" i="36112"/>
  <c r="AD596" i="36112"/>
  <c r="AD599" i="36112"/>
  <c r="L602" i="36112"/>
  <c r="AD602" i="36112" s="1"/>
  <c r="L605" i="36112"/>
  <c r="AD605" i="36112" s="1"/>
  <c r="AD608" i="36112"/>
  <c r="AD611" i="36112"/>
  <c r="L614" i="36112"/>
  <c r="AD614" i="36112" s="1"/>
  <c r="L619" i="36112"/>
  <c r="AD619" i="36112" s="1"/>
  <c r="L622" i="36112"/>
  <c r="AD622" i="36112" s="1"/>
  <c r="L625" i="36112"/>
  <c r="AD625" i="36112" s="1"/>
  <c r="L628" i="36112"/>
  <c r="AD628" i="36112" s="1"/>
  <c r="L631" i="36112"/>
  <c r="AD631" i="36112" s="1"/>
  <c r="L643" i="36112"/>
  <c r="AD643" i="36112" s="1"/>
  <c r="L646" i="36112"/>
  <c r="AD646" i="36112" s="1"/>
  <c r="L649" i="36112"/>
  <c r="AD649" i="36112" s="1"/>
  <c r="AD652" i="36112"/>
  <c r="L655" i="36112"/>
  <c r="AD655" i="36112" s="1"/>
  <c r="L658" i="36112"/>
  <c r="AD658" i="36112" s="1"/>
  <c r="L661" i="36112"/>
  <c r="AD661" i="36112" s="1"/>
  <c r="H664" i="36112"/>
  <c r="AD670" i="36112"/>
  <c r="L673" i="36112"/>
  <c r="AD673" i="36112" s="1"/>
  <c r="L676" i="36112"/>
  <c r="AD676" i="36112" s="1"/>
  <c r="L679" i="36112"/>
  <c r="AD679" i="36112" s="1"/>
  <c r="L682" i="36112"/>
  <c r="AD682" i="36112" s="1"/>
  <c r="L685" i="36112"/>
  <c r="AD685" i="36112" s="1"/>
  <c r="L688" i="36112"/>
  <c r="AD688" i="36112" s="1"/>
  <c r="L691" i="36112"/>
  <c r="AD691" i="36112" s="1"/>
  <c r="L694" i="36112"/>
  <c r="AD694" i="36112" s="1"/>
  <c r="AD697" i="36112"/>
  <c r="L700" i="36112"/>
  <c r="AD700" i="36112" s="1"/>
  <c r="L703" i="36112"/>
  <c r="AD703" i="36112" s="1"/>
  <c r="L706" i="36112"/>
  <c r="AD706" i="36112" s="1"/>
  <c r="L709" i="36112"/>
  <c r="AD709" i="36112" s="1"/>
  <c r="AD712" i="36112"/>
  <c r="L715" i="36112"/>
  <c r="AD715" i="36112" s="1"/>
  <c r="L718" i="36112"/>
  <c r="AD718" i="36112" s="1"/>
  <c r="L720" i="36112"/>
  <c r="AD721" i="36112" s="1"/>
  <c r="L721" i="36112"/>
  <c r="L724" i="36112"/>
  <c r="AD724" i="36112" s="1"/>
  <c r="AD727" i="36112"/>
  <c r="D3" i="36128" s="1"/>
  <c r="L730" i="36112"/>
  <c r="AD730" i="36112" s="1"/>
  <c r="L733" i="36112"/>
  <c r="AD733" i="36112" s="1"/>
  <c r="L736" i="36112"/>
  <c r="AD736" i="36112" s="1"/>
  <c r="L739" i="36112"/>
  <c r="AD739" i="36112" s="1"/>
  <c r="L742" i="36112"/>
  <c r="AD742" i="36112" s="1"/>
  <c r="L745" i="36112"/>
  <c r="AD745" i="36112" s="1"/>
  <c r="H748" i="36112"/>
  <c r="L748" i="36112"/>
  <c r="AD748" i="36112" s="1"/>
  <c r="L751" i="36112"/>
  <c r="AD751" i="36112" s="1"/>
  <c r="L754" i="36112"/>
  <c r="AD754" i="36112" s="1"/>
  <c r="AD757" i="36112"/>
  <c r="L760" i="36112"/>
  <c r="AD760" i="36112" s="1"/>
  <c r="H763" i="36112"/>
  <c r="L763" i="36112"/>
  <c r="AD763" i="36112" s="1"/>
  <c r="AD766" i="36112"/>
  <c r="L769" i="36112"/>
  <c r="AD769" i="36112" s="1"/>
  <c r="L781" i="36112"/>
  <c r="AD781" i="36112" s="1"/>
  <c r="L784" i="36112"/>
  <c r="AD784" i="36112" s="1"/>
  <c r="L787" i="36112"/>
  <c r="AD787" i="36112" s="1"/>
  <c r="H790" i="36112"/>
  <c r="L790" i="36112"/>
  <c r="AD790" i="36112" s="1"/>
  <c r="L793" i="36112"/>
  <c r="AD793" i="36112" s="1"/>
  <c r="AD796" i="36112"/>
  <c r="AD799" i="36112"/>
  <c r="L802" i="36112"/>
  <c r="AD802" i="36112" s="1"/>
  <c r="AD805" i="36112"/>
  <c r="AD808" i="36112"/>
  <c r="L811" i="36112"/>
  <c r="AD811" i="36112" s="1"/>
  <c r="L814" i="36112"/>
  <c r="AD814" i="36112" s="1"/>
  <c r="L817" i="36112"/>
  <c r="AD817" i="36112" s="1"/>
  <c r="L820" i="36112"/>
  <c r="AD820" i="36112" s="1"/>
  <c r="AD823" i="36112"/>
  <c r="AD826" i="36112"/>
  <c r="L829" i="36112"/>
  <c r="AD829" i="36112" s="1"/>
  <c r="L832" i="36112"/>
  <c r="AD832" i="36112" s="1"/>
  <c r="L835" i="36112"/>
  <c r="AD835" i="36112" s="1"/>
  <c r="L838" i="36112"/>
  <c r="AD838" i="36112" s="1"/>
  <c r="L841" i="36112"/>
  <c r="AD841" i="36112" s="1"/>
  <c r="L844" i="36112"/>
  <c r="AD844" i="36112" s="1"/>
  <c r="H847" i="36112"/>
  <c r="L847" i="36112"/>
  <c r="AD847" i="36112" s="1"/>
  <c r="H850" i="36112"/>
  <c r="L850" i="36112"/>
  <c r="AD850" i="36112" s="1"/>
  <c r="L853" i="36112"/>
  <c r="AD853" i="36112" s="1"/>
  <c r="L856" i="36112"/>
  <c r="AD856" i="36112" s="1"/>
  <c r="H859" i="36112"/>
  <c r="L859" i="36112"/>
  <c r="AD859" i="36112" s="1"/>
  <c r="L862" i="36112"/>
  <c r="AD862" i="36112" s="1"/>
  <c r="H865" i="36112"/>
  <c r="L865" i="36112"/>
  <c r="AD865" i="36112" s="1"/>
  <c r="L868" i="36112"/>
  <c r="AD868" i="36112" s="1"/>
  <c r="L871" i="36112"/>
  <c r="AD871" i="36112" s="1"/>
  <c r="L874" i="36112"/>
  <c r="AD874" i="36112" s="1"/>
  <c r="L877" i="36112"/>
  <c r="AD877" i="36112" s="1"/>
  <c r="L880" i="36112"/>
  <c r="AD880" i="36112" s="1"/>
  <c r="L883" i="36112"/>
  <c r="AD883" i="36112" s="1"/>
  <c r="L886" i="36112"/>
  <c r="AD886" i="36112" s="1"/>
  <c r="L889" i="36112"/>
  <c r="AD889" i="36112" s="1"/>
  <c r="L892" i="36112"/>
  <c r="AD892" i="36112" s="1"/>
  <c r="L895" i="36112"/>
  <c r="AD895" i="36112" s="1"/>
  <c r="L898" i="36112"/>
  <c r="AD898" i="36112" s="1"/>
  <c r="L901" i="36112"/>
  <c r="AD901" i="36112" s="1"/>
  <c r="L904" i="36112"/>
  <c r="AD904" i="36112" s="1"/>
  <c r="L907" i="36112"/>
  <c r="AD907" i="36112" s="1"/>
  <c r="L910" i="36112"/>
  <c r="AD910" i="36112" s="1"/>
  <c r="L913" i="36112"/>
  <c r="AD913" i="36112" s="1"/>
  <c r="L916" i="36112"/>
  <c r="AD916" i="36112" s="1"/>
  <c r="L919" i="36112"/>
  <c r="AD919" i="36112" s="1"/>
  <c r="L922" i="36112"/>
  <c r="AD922" i="36112" s="1"/>
  <c r="L925" i="36112"/>
  <c r="AD925" i="36112" s="1"/>
  <c r="AD928" i="36112"/>
  <c r="L942" i="36112"/>
  <c r="L945" i="36112"/>
  <c r="T948" i="36112"/>
  <c r="AD948" i="36112"/>
  <c r="T951" i="36112"/>
  <c r="AD951" i="36112"/>
  <c r="L954" i="36112"/>
  <c r="T954" i="36112"/>
  <c r="L957" i="36112"/>
  <c r="T957" i="36112"/>
  <c r="AD957" i="36112" s="1"/>
  <c r="L960" i="36112"/>
  <c r="T960" i="36112"/>
  <c r="T963" i="36112"/>
  <c r="AD963" i="36112" s="1"/>
  <c r="L966" i="36112"/>
  <c r="T966" i="36112"/>
  <c r="H969" i="36112"/>
  <c r="L969" i="36112"/>
  <c r="L972" i="36112"/>
  <c r="AD972" i="36112" s="1"/>
  <c r="L975" i="36112"/>
  <c r="AD975" i="36112" s="1"/>
  <c r="L978" i="36112"/>
  <c r="H981" i="36112"/>
  <c r="L981" i="36112"/>
  <c r="AD981" i="36112" s="1"/>
  <c r="L984" i="36112"/>
  <c r="AD984" i="36112" s="1"/>
  <c r="L987" i="36112"/>
  <c r="AD987" i="36112" s="1"/>
  <c r="L990" i="36112"/>
  <c r="AD990" i="36112" s="1"/>
  <c r="L993" i="36112"/>
  <c r="AD993" i="36112" s="1"/>
  <c r="L996" i="36112"/>
  <c r="AD996" i="36112" s="1"/>
  <c r="L999" i="36112"/>
  <c r="P999" i="36112" s="1"/>
  <c r="L1002" i="36112"/>
  <c r="P1002" i="36112" s="1"/>
  <c r="L1005" i="36112"/>
  <c r="AD1005" i="36112" s="1"/>
  <c r="L1008" i="36112"/>
  <c r="AD1008" i="36112" s="1"/>
  <c r="L1011" i="36112"/>
  <c r="AD1011" i="36112" s="1"/>
  <c r="L1014" i="36112"/>
  <c r="AD1014" i="36112" s="1"/>
  <c r="L1017" i="36112"/>
  <c r="AD1017" i="36112" s="1"/>
  <c r="L1020" i="36112"/>
  <c r="P1020" i="36112" s="1"/>
  <c r="L1023" i="36112"/>
  <c r="AD1023" i="36112" s="1"/>
  <c r="L1026" i="36112"/>
  <c r="AD1026" i="36112" s="1"/>
  <c r="L1029" i="36112"/>
  <c r="P1029" i="36112" s="1"/>
  <c r="L1032" i="36112"/>
  <c r="P1032" i="36112" s="1"/>
  <c r="L1035" i="36112"/>
  <c r="P1035" i="36112" s="1"/>
  <c r="L1038" i="36112"/>
  <c r="AD1038" i="36112" s="1"/>
  <c r="L1041" i="36112"/>
  <c r="P1041" i="36112" s="1"/>
  <c r="L1044" i="36112"/>
  <c r="AD1044" i="36112" s="1"/>
  <c r="L1047" i="36112"/>
  <c r="P1047" i="36112" s="1"/>
  <c r="L1050" i="36112"/>
  <c r="AD1050" i="36112" s="1"/>
  <c r="H1053" i="36112"/>
  <c r="L1053" i="36112"/>
  <c r="P1053" i="36112" s="1"/>
  <c r="U1053" i="36112"/>
  <c r="L1056" i="36112"/>
  <c r="P1056" i="36112" s="1"/>
  <c r="U1056" i="36112"/>
  <c r="L1059" i="36112"/>
  <c r="AD1059" i="36112" s="1"/>
  <c r="U1059" i="36112"/>
  <c r="L1062" i="36112"/>
  <c r="P1062" i="36112" s="1"/>
  <c r="U1062" i="36112"/>
  <c r="L1065" i="36112"/>
  <c r="P1065" i="36112" s="1"/>
  <c r="U1065" i="36112"/>
  <c r="L1068" i="36112"/>
  <c r="P1068" i="36112" s="1"/>
  <c r="U1068" i="36112"/>
  <c r="L1071" i="36112"/>
  <c r="AD1071" i="36112" s="1"/>
  <c r="U1071" i="36112"/>
  <c r="L1074" i="36112"/>
  <c r="P1074" i="36112" s="1"/>
  <c r="U1074" i="36112"/>
  <c r="L1077" i="36112"/>
  <c r="P1077" i="36112" s="1"/>
  <c r="U1077" i="36112"/>
  <c r="L1080" i="36112"/>
  <c r="P1080" i="36112" s="1"/>
  <c r="U1080" i="36112"/>
  <c r="L1083" i="36112"/>
  <c r="AD1083" i="36112" s="1"/>
  <c r="U1083" i="36112"/>
  <c r="L1086" i="36112"/>
  <c r="P1086" i="36112" s="1"/>
  <c r="U1086" i="36112"/>
  <c r="L1089" i="36112"/>
  <c r="P1089" i="36112" s="1"/>
  <c r="U1089" i="36112"/>
  <c r="L1092" i="36112"/>
  <c r="P1092" i="36112" s="1"/>
  <c r="U1092" i="36112"/>
  <c r="L1095" i="36112"/>
  <c r="P1095" i="36112" s="1"/>
  <c r="U1095" i="36112"/>
  <c r="L1098" i="36112"/>
  <c r="P1098" i="36112" s="1"/>
  <c r="U1098" i="36112"/>
  <c r="H1101" i="36112"/>
  <c r="L1101" i="36112"/>
  <c r="AD1101" i="36112" s="1"/>
  <c r="U1101" i="36112"/>
  <c r="L1104" i="36112"/>
  <c r="P1104" i="36112" s="1"/>
  <c r="U1104" i="36112"/>
  <c r="L1107" i="36112"/>
  <c r="P1107" i="36112" s="1"/>
  <c r="U1107" i="36112"/>
  <c r="L1110" i="36112"/>
  <c r="AD1110" i="36112" s="1"/>
  <c r="U1110" i="36112"/>
  <c r="L1113" i="36112"/>
  <c r="P1113" i="36112" s="1"/>
  <c r="U1113" i="36112"/>
  <c r="L1116" i="36112"/>
  <c r="P1116" i="36112" s="1"/>
  <c r="U1116" i="36112"/>
  <c r="L1119" i="36112"/>
  <c r="P1119" i="36112" s="1"/>
  <c r="U1119" i="36112"/>
  <c r="H1122" i="36112"/>
  <c r="L1122" i="36112"/>
  <c r="P1122" i="36112" s="1"/>
  <c r="U1122" i="36112"/>
  <c r="L1125" i="36112"/>
  <c r="P1125" i="36112" s="1"/>
  <c r="U1125" i="36112"/>
  <c r="L1128" i="36112"/>
  <c r="P1128" i="36112" s="1"/>
  <c r="U1128" i="36112"/>
  <c r="L1131" i="36112"/>
  <c r="P1131" i="36112" s="1"/>
  <c r="U1131" i="36112"/>
  <c r="L1134" i="36112"/>
  <c r="AD1134" i="36112" s="1"/>
  <c r="U1134" i="36112"/>
  <c r="L1137" i="36112"/>
  <c r="AD1137" i="36112" s="1"/>
  <c r="U1137" i="36112"/>
  <c r="L1149" i="36112"/>
  <c r="P1149" i="36112" s="1"/>
  <c r="U1149" i="36112"/>
  <c r="L1152" i="36112"/>
  <c r="P1152" i="36112" s="1"/>
  <c r="U1152" i="36112"/>
  <c r="L1155" i="36112"/>
  <c r="P1155" i="36112" s="1"/>
  <c r="U1155" i="36112"/>
  <c r="L1158" i="36112"/>
  <c r="U1158" i="36112"/>
  <c r="L1161" i="36112"/>
  <c r="AD1161" i="36112" s="1"/>
  <c r="U1161" i="36112"/>
  <c r="P1164" i="36112"/>
  <c r="U1164" i="36112"/>
  <c r="AD1164" i="36112"/>
  <c r="H1165" i="36112"/>
  <c r="L1167" i="36112"/>
  <c r="AD1167" i="36112" s="1"/>
  <c r="U1167" i="36112"/>
  <c r="H1170" i="36112"/>
  <c r="L1170" i="36112"/>
  <c r="P1170" i="36112" s="1"/>
  <c r="U1170" i="36112"/>
  <c r="P1174" i="36112"/>
  <c r="U1174" i="36112"/>
  <c r="AD1174" i="36112"/>
  <c r="L1177" i="36112"/>
  <c r="P1177" i="36112" s="1"/>
  <c r="U1177" i="36112"/>
  <c r="L1180" i="36112"/>
  <c r="AD1180" i="36112" s="1"/>
  <c r="U1180" i="36112"/>
  <c r="L1183" i="36112"/>
  <c r="AD1183" i="36112" s="1"/>
  <c r="U1183" i="36112"/>
  <c r="L1186" i="36112"/>
  <c r="AD1186" i="36112" s="1"/>
  <c r="U1186" i="36112"/>
  <c r="L1189" i="36112"/>
  <c r="P1189" i="36112" s="1"/>
  <c r="U1189" i="36112"/>
  <c r="L1192" i="36112"/>
  <c r="P1192" i="36112" s="1"/>
  <c r="U1192" i="36112"/>
  <c r="L1195" i="36112"/>
  <c r="P1195" i="36112" s="1"/>
  <c r="U1195" i="36112"/>
  <c r="P1198" i="36112"/>
  <c r="U1198" i="36112"/>
  <c r="AD1198" i="36112"/>
  <c r="P1201" i="36112"/>
  <c r="U1201" i="36112"/>
  <c r="AD1201" i="36112"/>
  <c r="P1204" i="36112"/>
  <c r="U1204" i="36112"/>
  <c r="AD1204" i="36112"/>
  <c r="L1207" i="36112"/>
  <c r="P1207" i="36112" s="1"/>
  <c r="U1207" i="36112"/>
  <c r="P1210" i="36112"/>
  <c r="U1210" i="36112"/>
  <c r="AD1210" i="36112"/>
  <c r="L1213" i="36112"/>
  <c r="AD1213" i="36112" s="1"/>
  <c r="U1213" i="36112"/>
  <c r="P1216" i="36112"/>
  <c r="U1216" i="36112"/>
  <c r="AD1216" i="36112"/>
  <c r="L1219" i="36112"/>
  <c r="AD1219" i="36112" s="1"/>
  <c r="U1219" i="36112"/>
  <c r="L1222" i="36112"/>
  <c r="P1222" i="36112" s="1"/>
  <c r="U1222" i="36112"/>
  <c r="L1225" i="36112"/>
  <c r="P1225" i="36112" s="1"/>
  <c r="U1225" i="36112"/>
  <c r="P1228" i="36112"/>
  <c r="U1228" i="36112"/>
  <c r="AD1228" i="36112"/>
  <c r="L1231" i="36112"/>
  <c r="P1231" i="36112" s="1"/>
  <c r="U1231" i="36112"/>
  <c r="L1234" i="36112"/>
  <c r="P1234" i="36112" s="1"/>
  <c r="U1234" i="36112"/>
  <c r="L1237" i="36112"/>
  <c r="AD1237" i="36112" s="1"/>
  <c r="U1237" i="36112"/>
  <c r="L1240" i="36112"/>
  <c r="P1240" i="36112" s="1"/>
  <c r="U1240" i="36112"/>
  <c r="L1243" i="36112"/>
  <c r="AD1243" i="36112" s="1"/>
  <c r="U1243" i="36112"/>
  <c r="L1246" i="36112"/>
  <c r="P1246" i="36112" s="1"/>
  <c r="U1246" i="36112"/>
  <c r="L1249" i="36112"/>
  <c r="AD1249" i="36112" s="1"/>
  <c r="U1249" i="36112"/>
  <c r="L1252" i="36112"/>
  <c r="AD1252" i="36112" s="1"/>
  <c r="U1252" i="36112"/>
  <c r="L1255" i="36112"/>
  <c r="AD1255" i="36112" s="1"/>
  <c r="U1255" i="36112"/>
  <c r="L1258" i="36112"/>
  <c r="AD1258" i="36112" s="1"/>
  <c r="U1258" i="36112"/>
  <c r="L1261" i="36112"/>
  <c r="AD1261" i="36112" s="1"/>
  <c r="T1261" i="36112"/>
  <c r="U1261" i="36112" s="1"/>
  <c r="L1264" i="36112"/>
  <c r="P1264" i="36112" s="1"/>
  <c r="T1264" i="36112"/>
  <c r="U1264" i="36112" s="1"/>
  <c r="P1267" i="36112"/>
  <c r="T1267" i="36112"/>
  <c r="U1267" i="36112" s="1"/>
  <c r="AD1267" i="36112"/>
  <c r="L1270" i="36112"/>
  <c r="P1270" i="36112" s="1"/>
  <c r="T1270" i="36112"/>
  <c r="U1270" i="36112" s="1"/>
  <c r="L1273" i="36112"/>
  <c r="P1273" i="36112" s="1"/>
  <c r="T1273" i="36112"/>
  <c r="U1273" i="36112" s="1"/>
  <c r="P1276" i="36112"/>
  <c r="T1276" i="36112"/>
  <c r="U1276" i="36112" s="1"/>
  <c r="AD1276" i="36112"/>
  <c r="L1279" i="36112"/>
  <c r="T1279" i="36112"/>
  <c r="U1279" i="36112" s="1"/>
  <c r="L1282" i="36112"/>
  <c r="P1282" i="36112" s="1"/>
  <c r="T1282" i="36112"/>
  <c r="U1282" i="36112" s="1"/>
  <c r="L1285" i="36112"/>
  <c r="T1285" i="36112"/>
  <c r="U1285" i="36112" s="1"/>
  <c r="L1288" i="36112"/>
  <c r="P1288" i="36112" s="1"/>
  <c r="T1288" i="36112"/>
  <c r="U1288" i="36112" s="1"/>
  <c r="L1291" i="36112"/>
  <c r="P1291" i="36112" s="1"/>
  <c r="U1291" i="36112"/>
  <c r="L1294" i="36112"/>
  <c r="P1294" i="36112" s="1"/>
  <c r="U1294" i="36112"/>
  <c r="L1297" i="36112"/>
  <c r="P1297" i="36112" s="1"/>
  <c r="U1297" i="36112"/>
  <c r="L1300" i="36112"/>
  <c r="AD1300" i="36112" s="1"/>
  <c r="T1300" i="36112"/>
  <c r="U1300" i="36112" s="1"/>
  <c r="L1303" i="36112"/>
  <c r="P1303" i="36112" s="1"/>
  <c r="U1303" i="36112"/>
  <c r="L1306" i="36112"/>
  <c r="P1306" i="36112" s="1"/>
  <c r="T1306" i="36112"/>
  <c r="U1306" i="36112" s="1"/>
  <c r="L1309" i="36112"/>
  <c r="AD1309" i="36112" s="1"/>
  <c r="T1309" i="36112"/>
  <c r="U1309" i="36112" s="1"/>
  <c r="L1312" i="36112"/>
  <c r="P1312" i="36112" s="1"/>
  <c r="T1312" i="36112"/>
  <c r="U1312" i="36112" s="1"/>
  <c r="L1315" i="36112"/>
  <c r="AD1315" i="36112" s="1"/>
  <c r="T1315" i="36112"/>
  <c r="U1315" i="36112" s="1"/>
  <c r="L1318" i="36112"/>
  <c r="P1318" i="36112" s="1"/>
  <c r="T1318" i="36112"/>
  <c r="U1318" i="36112" s="1"/>
  <c r="L1321" i="36112"/>
  <c r="AD1321" i="36112" s="1"/>
  <c r="T1321" i="36112"/>
  <c r="U1321" i="36112" s="1"/>
  <c r="L1324" i="36112"/>
  <c r="AD1324" i="36112" s="1"/>
  <c r="T1324" i="36112"/>
  <c r="U1324" i="36112" s="1"/>
  <c r="L1337" i="36112"/>
  <c r="P1337" i="36112" s="1"/>
  <c r="T1337" i="36112"/>
  <c r="U1337" i="36112" s="1"/>
  <c r="L1340" i="36112"/>
  <c r="P1340" i="36112" s="1"/>
  <c r="T1340" i="36112"/>
  <c r="U1340" i="36112" s="1"/>
  <c r="L1343" i="36112"/>
  <c r="P1343" i="36112" s="1"/>
  <c r="T1343" i="36112"/>
  <c r="U1343" i="36112" s="1"/>
  <c r="L1346" i="36112"/>
  <c r="P1346" i="36112" s="1"/>
  <c r="U1346" i="36112"/>
  <c r="L1349" i="36112"/>
  <c r="P1349" i="36112" s="1"/>
  <c r="U1349" i="36112"/>
  <c r="L1352" i="36112"/>
  <c r="AD1352" i="36112" s="1"/>
  <c r="U1352" i="36112"/>
  <c r="L1355" i="36112"/>
  <c r="P1355" i="36112" s="1"/>
  <c r="U1355" i="36112"/>
  <c r="L1358" i="36112"/>
  <c r="AD1358" i="36112" s="1"/>
  <c r="U1358" i="36112"/>
  <c r="L1361" i="36112"/>
  <c r="AD1361" i="36112" s="1"/>
  <c r="U1361" i="36112"/>
  <c r="L1364" i="36112"/>
  <c r="AD1364" i="36112" s="1"/>
  <c r="U1364" i="36112"/>
  <c r="L1367" i="36112"/>
  <c r="AD1367" i="36112" s="1"/>
  <c r="U1367" i="36112"/>
  <c r="L1370" i="36112"/>
  <c r="P1370" i="36112" s="1"/>
  <c r="U1370" i="36112"/>
  <c r="L1373" i="36112"/>
  <c r="L1377" i="36112"/>
  <c r="P1377" i="36112" s="1"/>
  <c r="T1377" i="36112"/>
  <c r="U1377" i="36112" s="1"/>
  <c r="L1380" i="36112"/>
  <c r="P1380" i="36112" s="1"/>
  <c r="T1380" i="36112"/>
  <c r="U1380" i="36112" s="1"/>
  <c r="L1383" i="36112"/>
  <c r="AD1383" i="36112" s="1"/>
  <c r="T1383" i="36112"/>
  <c r="U1383" i="36112" s="1"/>
  <c r="L1386" i="36112"/>
  <c r="P1386" i="36112" s="1"/>
  <c r="U1386" i="36112"/>
  <c r="L1389" i="36112"/>
  <c r="AD1389" i="36112" s="1"/>
  <c r="L1392" i="36112"/>
  <c r="P1392" i="36112" s="1"/>
  <c r="U1392" i="36112"/>
  <c r="L1395" i="36112"/>
  <c r="AD1395" i="36112" s="1"/>
  <c r="U1395" i="36112"/>
  <c r="P1398" i="36112"/>
  <c r="U1398" i="36112"/>
  <c r="AD1398" i="36112"/>
  <c r="T1399" i="36112"/>
  <c r="P1401" i="36112"/>
  <c r="U1401" i="36112"/>
  <c r="L1404" i="36112"/>
  <c r="P1404" i="36112" s="1"/>
  <c r="T1404" i="36112"/>
  <c r="L1407" i="36112"/>
  <c r="P1407" i="36112" s="1"/>
  <c r="T1407" i="36112"/>
  <c r="U1407" i="36112" s="1"/>
  <c r="L1410" i="36112"/>
  <c r="P1410" i="36112" s="1"/>
  <c r="T1410" i="36112"/>
  <c r="U1410" i="36112" s="1"/>
  <c r="L1413" i="36112"/>
  <c r="P1413" i="36112" s="1"/>
  <c r="T1413" i="36112"/>
  <c r="L1416" i="36112"/>
  <c r="P1416" i="36112" s="1"/>
  <c r="T1416" i="36112"/>
  <c r="L1419" i="36112"/>
  <c r="P1419" i="36112" s="1"/>
  <c r="T1419" i="36112"/>
  <c r="L1422" i="36112"/>
  <c r="AD1422" i="36112" s="1"/>
  <c r="T1422" i="36112"/>
  <c r="L1425" i="36112"/>
  <c r="P1425" i="36112" s="1"/>
  <c r="T1425" i="36112"/>
  <c r="U1425" i="36112" s="1"/>
  <c r="L1428" i="36112"/>
  <c r="P1428" i="36112" s="1"/>
  <c r="T1428" i="36112"/>
  <c r="U1428" i="36112" s="1"/>
  <c r="P1431" i="36112"/>
  <c r="T1431" i="36112"/>
  <c r="U1431" i="36112" s="1"/>
  <c r="AD1431" i="36112"/>
  <c r="L1434" i="36112"/>
  <c r="P1434" i="36112" s="1"/>
  <c r="T1434" i="36112"/>
  <c r="U1434" i="36112" s="1"/>
  <c r="L1437" i="36112"/>
  <c r="P1437" i="36112" s="1"/>
  <c r="U1437" i="36112"/>
  <c r="L1440" i="36112"/>
  <c r="P1440" i="36112" s="1"/>
  <c r="T1440" i="36112"/>
  <c r="U1440" i="36112" s="1"/>
  <c r="L1443" i="36112"/>
  <c r="AD1443" i="36112" s="1"/>
  <c r="U1443" i="36112"/>
  <c r="L1446" i="36112"/>
  <c r="AD1446" i="36112" s="1"/>
  <c r="U1446" i="36112"/>
  <c r="L1449" i="36112"/>
  <c r="P1449" i="36112" s="1"/>
  <c r="T1449" i="36112"/>
  <c r="U1449" i="36112" s="1"/>
  <c r="L1452" i="36112"/>
  <c r="AD1452" i="36112" s="1"/>
  <c r="T1452" i="36112"/>
  <c r="U1452" i="36112" s="1"/>
  <c r="L1455" i="36112"/>
  <c r="P1455" i="36112" s="1"/>
  <c r="T1455" i="36112"/>
  <c r="U1455" i="36112" s="1"/>
  <c r="L1457" i="36112"/>
  <c r="AD1457" i="36112" s="1"/>
  <c r="T1457" i="36112"/>
  <c r="U1457" i="36112" s="1"/>
  <c r="L1466" i="36112"/>
  <c r="P1466" i="36112" s="1"/>
  <c r="T1466" i="36112"/>
  <c r="U1466" i="36112" s="1"/>
  <c r="L1467" i="36112"/>
  <c r="AD1467" i="36112" s="1"/>
  <c r="T1467" i="36112"/>
  <c r="U1467" i="36112" s="1"/>
  <c r="L1468" i="36112"/>
  <c r="P1468" i="36112" s="1"/>
  <c r="T1468" i="36112"/>
  <c r="U1468" i="36112" s="1"/>
  <c r="L1469" i="36112"/>
  <c r="P1469" i="36112" s="1"/>
  <c r="T1469" i="36112"/>
  <c r="U1469" i="36112" s="1"/>
  <c r="L1470" i="36112"/>
  <c r="P1470" i="36112" s="1"/>
  <c r="T1470" i="36112"/>
  <c r="U1470" i="36112" s="1"/>
  <c r="L1471" i="36112"/>
  <c r="P1471" i="36112" s="1"/>
  <c r="U1471" i="36112"/>
  <c r="L1472" i="36112"/>
  <c r="P1472" i="36112" s="1"/>
  <c r="U1472" i="36112"/>
  <c r="L1473" i="36112"/>
  <c r="P1473" i="36112" s="1"/>
  <c r="U1473" i="36112"/>
  <c r="L1474" i="36112"/>
  <c r="P1474" i="36112" s="1"/>
  <c r="T1474" i="36112"/>
  <c r="U1474" i="36112" s="1"/>
  <c r="L1475" i="36112"/>
  <c r="P1475" i="36112" s="1"/>
  <c r="T1475" i="36112"/>
  <c r="U1475" i="36112" s="1"/>
  <c r="L1476" i="36112"/>
  <c r="P1476" i="36112" s="1"/>
  <c r="T1476" i="36112"/>
  <c r="U1476" i="36112" s="1"/>
  <c r="L1477" i="36112"/>
  <c r="AD1477" i="36112" s="1"/>
  <c r="U1477" i="36112"/>
  <c r="L1478" i="36112"/>
  <c r="AD1478" i="36112" s="1"/>
  <c r="U1478" i="36112"/>
  <c r="L1479" i="36112"/>
  <c r="P1479" i="36112" s="1"/>
  <c r="T1479" i="36112"/>
  <c r="U1479" i="36112" s="1"/>
  <c r="L1480" i="36112"/>
  <c r="P1480" i="36112" s="1"/>
  <c r="T1480" i="36112"/>
  <c r="U1480" i="36112" s="1"/>
  <c r="L1481" i="36112"/>
  <c r="T1481" i="36112"/>
  <c r="U1481" i="36112" s="1"/>
  <c r="L1482" i="36112"/>
  <c r="P1482" i="36112" s="1"/>
  <c r="T1482" i="36112"/>
  <c r="U1482" i="36112" s="1"/>
  <c r="L1483" i="36112"/>
  <c r="AD1483" i="36112" s="1"/>
  <c r="T1483" i="36112"/>
  <c r="U1483" i="36112" s="1"/>
  <c r="L1484" i="36112"/>
  <c r="P1484" i="36112" s="1"/>
  <c r="T1484" i="36112"/>
  <c r="U1484" i="36112" s="1"/>
  <c r="L1485" i="36112"/>
  <c r="AD1485" i="36112" s="1"/>
  <c r="T1485" i="36112"/>
  <c r="U1485" i="36112" s="1"/>
  <c r="L1486" i="36112"/>
  <c r="AD1486" i="36112" s="1"/>
  <c r="U1486" i="36112"/>
  <c r="L1487" i="36112"/>
  <c r="P1487" i="36112" s="1"/>
  <c r="U1487" i="36112"/>
  <c r="L1488" i="36112"/>
  <c r="P1488" i="36112" s="1"/>
  <c r="T1488" i="36112"/>
  <c r="U1488" i="36112" s="1"/>
  <c r="L1489" i="36112"/>
  <c r="P1489" i="36112" s="1"/>
  <c r="T1489" i="36112"/>
  <c r="U1489" i="36112" s="1"/>
  <c r="L1490" i="36112"/>
  <c r="P1490" i="36112" s="1"/>
  <c r="T1490" i="36112"/>
  <c r="U1490" i="36112" s="1"/>
  <c r="L1491" i="36112"/>
  <c r="AD1491" i="36112" s="1"/>
  <c r="T1491" i="36112"/>
  <c r="U1491" i="36112" s="1"/>
  <c r="H1492" i="36112"/>
  <c r="L1492" i="36112"/>
  <c r="P1492" i="36112" s="1"/>
  <c r="T1492" i="36112"/>
  <c r="U1492" i="36112" s="1"/>
  <c r="L1493" i="36112"/>
  <c r="AD1493" i="36112" s="1"/>
  <c r="U1493" i="36112"/>
  <c r="L1494" i="36112"/>
  <c r="P1494" i="36112" s="1"/>
  <c r="U1494" i="36112"/>
  <c r="L1495" i="36112"/>
  <c r="P1495" i="36112" s="1"/>
  <c r="U1495" i="36112"/>
  <c r="L1496" i="36112"/>
  <c r="AD1496" i="36112" s="1"/>
  <c r="U1496" i="36112"/>
  <c r="L1497" i="36112"/>
  <c r="AD1497" i="36112" s="1"/>
  <c r="U1497" i="36112"/>
  <c r="L1498" i="36112"/>
  <c r="AD1498" i="36112" s="1"/>
  <c r="U1498" i="36112"/>
  <c r="P1499" i="36112"/>
  <c r="U1499" i="36112"/>
  <c r="L1500" i="36112"/>
  <c r="AD1500" i="36112" s="1"/>
  <c r="U1500" i="36112"/>
  <c r="L1501" i="36112"/>
  <c r="AD1501" i="36112" s="1"/>
  <c r="U1501" i="36112"/>
  <c r="L1502" i="36112"/>
  <c r="AD1502" i="36112" s="1"/>
  <c r="U1502" i="36112"/>
  <c r="H1503" i="36112"/>
  <c r="L1503" i="36112"/>
  <c r="AD1503" i="36112" s="1"/>
  <c r="U1503" i="36112"/>
  <c r="L1504" i="36112"/>
  <c r="P1504" i="36112" s="1"/>
  <c r="U1504" i="36112"/>
  <c r="H1505" i="36112"/>
  <c r="L1505" i="36112"/>
  <c r="AD1505" i="36112" s="1"/>
  <c r="U1505" i="36112"/>
  <c r="L1506" i="36112"/>
  <c r="AD1506" i="36112" s="1"/>
  <c r="U1506" i="36112"/>
  <c r="L1507" i="36112"/>
  <c r="AD1507" i="36112" s="1"/>
  <c r="U1507" i="36112"/>
  <c r="L1508" i="36112"/>
  <c r="AD1508" i="36112" s="1"/>
  <c r="U1508" i="36112"/>
  <c r="L1509" i="36112"/>
  <c r="U1509" i="36112"/>
  <c r="L1510" i="36112"/>
  <c r="AD1510" i="36112" s="1"/>
  <c r="U1510" i="36112"/>
  <c r="L1511" i="36112"/>
  <c r="AD1511" i="36112" s="1"/>
  <c r="U1511" i="36112"/>
  <c r="L1512" i="36112"/>
  <c r="U1512" i="36112"/>
  <c r="L1513" i="36112"/>
  <c r="P1513" i="36112" s="1"/>
  <c r="U1513" i="36112"/>
  <c r="L1514" i="36112"/>
  <c r="AD1514" i="36112" s="1"/>
  <c r="U1514" i="36112"/>
  <c r="L1515" i="36112"/>
  <c r="P1515" i="36112" s="1"/>
  <c r="U1515" i="36112"/>
  <c r="L1516" i="36112"/>
  <c r="P1516" i="36112" s="1"/>
  <c r="T1516" i="36112"/>
  <c r="U1516" i="36112" s="1"/>
  <c r="L1517" i="36112"/>
  <c r="P1517" i="36112" s="1"/>
  <c r="U1517" i="36112"/>
  <c r="L1518" i="36112"/>
  <c r="P1518" i="36112" s="1"/>
  <c r="U1518" i="36112"/>
  <c r="L1519" i="36112"/>
  <c r="AD1519" i="36112" s="1"/>
  <c r="U1519" i="36112"/>
  <c r="L1520" i="36112"/>
  <c r="AD1520" i="36112" s="1"/>
  <c r="T1520" i="36112"/>
  <c r="U1520" i="36112" s="1"/>
  <c r="L1521" i="36112"/>
  <c r="AD1521" i="36112" s="1"/>
  <c r="U1521" i="36112"/>
  <c r="L1522" i="36112"/>
  <c r="AD1522" i="36112" s="1"/>
  <c r="U1522" i="36112"/>
  <c r="L1523" i="36112"/>
  <c r="P1523" i="36112" s="1"/>
  <c r="U1523" i="36112"/>
  <c r="L1524" i="36112"/>
  <c r="AD1524" i="36112" s="1"/>
  <c r="U1524" i="36112"/>
  <c r="L1525" i="36112"/>
  <c r="P1525" i="36112" s="1"/>
  <c r="U1525" i="36112"/>
  <c r="L1526" i="36112"/>
  <c r="P1526" i="36112" s="1"/>
  <c r="U1526" i="36112"/>
  <c r="L1527" i="36112"/>
  <c r="AD1527" i="36112" s="1"/>
  <c r="U1527" i="36112"/>
  <c r="L1528" i="36112"/>
  <c r="P1528" i="36112" s="1"/>
  <c r="U1528" i="36112"/>
  <c r="L1529" i="36112"/>
  <c r="P1529" i="36112" s="1"/>
  <c r="U1529" i="36112"/>
  <c r="L1540" i="36112"/>
  <c r="P1540" i="36112" s="1"/>
  <c r="AD1540" i="36112" s="1"/>
  <c r="T1540" i="36112"/>
  <c r="U1540" i="36112" s="1"/>
  <c r="L1541" i="36112"/>
  <c r="P1541" i="36112" s="1"/>
  <c r="AD1541" i="36112" s="1"/>
  <c r="T1541" i="36112"/>
  <c r="U1541" i="36112" s="1"/>
  <c r="L1542" i="36112"/>
  <c r="P1542" i="36112" s="1"/>
  <c r="AD1542" i="36112" s="1"/>
  <c r="T1542" i="36112"/>
  <c r="U1542" i="36112" s="1"/>
  <c r="L1543" i="36112"/>
  <c r="P1543" i="36112" s="1"/>
  <c r="AD1543" i="36112" s="1"/>
  <c r="T1543" i="36112"/>
  <c r="U1543" i="36112" s="1"/>
  <c r="L1544" i="36112"/>
  <c r="P1544" i="36112" s="1"/>
  <c r="AD1544" i="36112" s="1"/>
  <c r="T1544" i="36112"/>
  <c r="U1544" i="36112" s="1"/>
  <c r="H1545" i="36112"/>
  <c r="L1545" i="36112"/>
  <c r="P1545" i="36112" s="1"/>
  <c r="AD1545" i="36112" s="1"/>
  <c r="T1545" i="36112"/>
  <c r="U1545" i="36112" s="1"/>
  <c r="H1546" i="36112"/>
  <c r="L1546" i="36112"/>
  <c r="P1546" i="36112" s="1"/>
  <c r="AD1546" i="36112" s="1"/>
  <c r="T1546" i="36112"/>
  <c r="U1546" i="36112" s="1"/>
  <c r="L1547" i="36112"/>
  <c r="P1547" i="36112" s="1"/>
  <c r="AD1547" i="36112" s="1"/>
  <c r="U1547" i="36112"/>
  <c r="L1548" i="36112"/>
  <c r="P1548" i="36112" s="1"/>
  <c r="AD1548" i="36112" s="1"/>
  <c r="U1548" i="36112"/>
  <c r="L1549" i="36112"/>
  <c r="P1549" i="36112" s="1"/>
  <c r="AD1549" i="36112" s="1"/>
  <c r="U1549" i="36112"/>
  <c r="L1550" i="36112"/>
  <c r="P1550" i="36112" s="1"/>
  <c r="AD1550" i="36112" s="1"/>
  <c r="U1550" i="36112"/>
  <c r="L1551" i="36112"/>
  <c r="P1551" i="36112" s="1"/>
  <c r="AD1551" i="36112" s="1"/>
  <c r="U1551" i="36112"/>
  <c r="L1552" i="36112"/>
  <c r="P1552" i="36112" s="1"/>
  <c r="AD1552" i="36112" s="1"/>
  <c r="U1552" i="36112"/>
  <c r="L1553" i="36112"/>
  <c r="P1553" i="36112" s="1"/>
  <c r="AD1553" i="36112" s="1"/>
  <c r="U1553" i="36112"/>
  <c r="L1554" i="36112"/>
  <c r="P1554" i="36112"/>
  <c r="U1554" i="36112"/>
  <c r="L1555" i="36112"/>
  <c r="P1555" i="36112"/>
  <c r="U1555" i="36112"/>
  <c r="AB1555" i="36112"/>
  <c r="L1556" i="36112"/>
  <c r="P1556" i="36112" s="1"/>
  <c r="U1556" i="36112"/>
  <c r="L1557" i="36112"/>
  <c r="P1557" i="36112" s="1"/>
  <c r="AD1557" i="36112" s="1"/>
  <c r="T1557" i="36112"/>
  <c r="U1557" i="36112" s="1"/>
  <c r="L1558" i="36112"/>
  <c r="P1558" i="36112" s="1"/>
  <c r="AD1558" i="36112" s="1"/>
  <c r="T1558" i="36112"/>
  <c r="U1558" i="36112" s="1"/>
  <c r="L1559" i="36112"/>
  <c r="P1559" i="36112" s="1"/>
  <c r="T1559" i="36112"/>
  <c r="U1559" i="36112" s="1"/>
  <c r="L1560" i="36112"/>
  <c r="P1560" i="36112" s="1"/>
  <c r="U1560" i="36112"/>
  <c r="L1561" i="36112"/>
  <c r="P1561" i="36112" s="1"/>
  <c r="U1561" i="36112"/>
  <c r="L1562" i="36112"/>
  <c r="P1562" i="36112" s="1"/>
  <c r="AD1562" i="36112" s="1"/>
  <c r="T1562" i="36112"/>
  <c r="U1562" i="36112" s="1"/>
  <c r="L1563" i="36112"/>
  <c r="P1563" i="36112" s="1"/>
  <c r="AD1563" i="36112" s="1"/>
  <c r="T1563" i="36112"/>
  <c r="U1563" i="36112" s="1"/>
  <c r="L1564" i="36112"/>
  <c r="P1564" i="36112" s="1"/>
  <c r="AD1564" i="36112" s="1"/>
  <c r="T1564" i="36112"/>
  <c r="U1564" i="36112" s="1"/>
  <c r="L1565" i="36112"/>
  <c r="P1565" i="36112" s="1"/>
  <c r="AD1565" i="36112" s="1"/>
  <c r="T1565" i="36112"/>
  <c r="U1565" i="36112" s="1"/>
  <c r="L1566" i="36112"/>
  <c r="P1566" i="36112" s="1"/>
  <c r="AD1566" i="36112" s="1"/>
  <c r="T1566" i="36112"/>
  <c r="U1566" i="36112" s="1"/>
  <c r="L1567" i="36112"/>
  <c r="P1567" i="36112" s="1"/>
  <c r="AD1567" i="36112" s="1"/>
  <c r="T1567" i="36112"/>
  <c r="U1567" i="36112" s="1"/>
  <c r="L1568" i="36112"/>
  <c r="P1568" i="36112" s="1"/>
  <c r="AD1568" i="36112" s="1"/>
  <c r="T1568" i="36112"/>
  <c r="U1568" i="36112" s="1"/>
  <c r="L1569" i="36112"/>
  <c r="P1569" i="36112" s="1"/>
  <c r="AD1569" i="36112" s="1"/>
  <c r="T1569" i="36112"/>
  <c r="U1569" i="36112" s="1"/>
  <c r="L1570" i="36112"/>
  <c r="P1570" i="36112" s="1"/>
  <c r="AD1570" i="36112" s="1"/>
  <c r="T1570" i="36112"/>
  <c r="U1570" i="36112" s="1"/>
  <c r="L1571" i="36112"/>
  <c r="P1571" i="36112" s="1"/>
  <c r="AD1571" i="36112" s="1"/>
  <c r="T1571" i="36112"/>
  <c r="U1571" i="36112" s="1"/>
  <c r="L1572" i="36112"/>
  <c r="P1572" i="36112" s="1"/>
  <c r="AD1572" i="36112" s="1"/>
  <c r="T1572" i="36112"/>
  <c r="U1572" i="36112" s="1"/>
  <c r="P1573" i="36112"/>
  <c r="AD1573" i="36112" s="1"/>
  <c r="U1573" i="36112"/>
  <c r="L1574" i="36112"/>
  <c r="P1574" i="36112" s="1"/>
  <c r="AD1574" i="36112" s="1"/>
  <c r="U1574" i="36112"/>
  <c r="L1575" i="36112"/>
  <c r="P1575" i="36112" s="1"/>
  <c r="AD1575" i="36112" s="1"/>
  <c r="U1575" i="36112"/>
  <c r="L1576" i="36112"/>
  <c r="P1576" i="36112" s="1"/>
  <c r="AD1576" i="36112" s="1"/>
  <c r="U1576" i="36112"/>
  <c r="L1577" i="36112"/>
  <c r="P1577" i="36112" s="1"/>
  <c r="AD1577" i="36112" s="1"/>
  <c r="U1577" i="36112"/>
  <c r="L1578" i="36112"/>
  <c r="P1578" i="36112" s="1"/>
  <c r="AD1578" i="36112" s="1"/>
  <c r="U1578" i="36112"/>
  <c r="L1579" i="36112"/>
  <c r="P1579" i="36112" s="1"/>
  <c r="AD1579" i="36112" s="1"/>
  <c r="U1579" i="36112"/>
  <c r="L1580" i="36112"/>
  <c r="P1580" i="36112" s="1"/>
  <c r="AD1580" i="36112" s="1"/>
  <c r="U1580" i="36112"/>
  <c r="L1581" i="36112"/>
  <c r="P1581" i="36112" s="1"/>
  <c r="L1582" i="36112"/>
  <c r="P1582" i="36112" s="1"/>
  <c r="AD1582" i="36112" s="1"/>
  <c r="U1582" i="36112"/>
  <c r="L1583" i="36112"/>
  <c r="P1583" i="36112" s="1"/>
  <c r="AD1583" i="36112" s="1"/>
  <c r="U1583" i="36112"/>
  <c r="L1584" i="36112"/>
  <c r="P1584" i="36112" s="1"/>
  <c r="U1584" i="36112"/>
  <c r="L1585" i="36112"/>
  <c r="P1585" i="36112" s="1"/>
  <c r="AD1585" i="36112" s="1"/>
  <c r="U1585" i="36112"/>
  <c r="L1586" i="36112"/>
  <c r="P1586" i="36112" s="1"/>
  <c r="AD1586" i="36112" s="1"/>
  <c r="U1586" i="36112"/>
  <c r="L1587" i="36112"/>
  <c r="P1587" i="36112" s="1"/>
  <c r="AD1587" i="36112" s="1"/>
  <c r="U1587" i="36112"/>
  <c r="L1588" i="36112"/>
  <c r="P1588" i="36112" s="1"/>
  <c r="AD1588" i="36112" s="1"/>
  <c r="U1588" i="36112"/>
  <c r="L1589" i="36112"/>
  <c r="P1589" i="36112" s="1"/>
  <c r="AD1589" i="36112" s="1"/>
  <c r="U1589" i="36112"/>
  <c r="L1590" i="36112"/>
  <c r="P1590" i="36112" s="1"/>
  <c r="AD1590" i="36112" s="1"/>
  <c r="U1590" i="36112"/>
  <c r="L1591" i="36112"/>
  <c r="P1591" i="36112" s="1"/>
  <c r="AD1591" i="36112" s="1"/>
  <c r="U1591" i="36112"/>
  <c r="L1592" i="36112"/>
  <c r="P1592" i="36112" s="1"/>
  <c r="AD1592" i="36112" s="1"/>
  <c r="U1592" i="36112"/>
  <c r="L1593" i="36112"/>
  <c r="P1593" i="36112" s="1"/>
  <c r="AD1593" i="36112" s="1"/>
  <c r="U1593" i="36112"/>
  <c r="H1594" i="36112"/>
  <c r="L1594" i="36112"/>
  <c r="P1594" i="36112" s="1"/>
  <c r="AD1594" i="36112" s="1"/>
  <c r="U1594" i="36112"/>
  <c r="L1595" i="36112"/>
  <c r="P1595" i="36112" s="1"/>
  <c r="AD1595" i="36112" s="1"/>
  <c r="U1595" i="36112"/>
  <c r="L1596" i="36112"/>
  <c r="P1596" i="36112" s="1"/>
  <c r="AD1596" i="36112" s="1"/>
  <c r="U1596" i="36112"/>
  <c r="L1597" i="36112"/>
  <c r="P1597" i="36112" s="1"/>
  <c r="AD1597" i="36112" s="1"/>
  <c r="U1597" i="36112"/>
  <c r="L1598" i="36112"/>
  <c r="P1598" i="36112" s="1"/>
  <c r="AD1598" i="36112" s="1"/>
  <c r="U1598" i="36112"/>
  <c r="L1599" i="36112"/>
  <c r="P1599" i="36112" s="1"/>
  <c r="AD1599" i="36112" s="1"/>
  <c r="U1599" i="36112"/>
  <c r="L1600" i="36112"/>
  <c r="P1600" i="36112" s="1"/>
  <c r="AD1600" i="36112" s="1"/>
  <c r="U1600" i="36112"/>
  <c r="L1601" i="36112"/>
  <c r="P1601" i="36112" s="1"/>
  <c r="AD1601" i="36112" s="1"/>
  <c r="T1601" i="36112"/>
  <c r="U1601" i="36112" s="1"/>
  <c r="L1602" i="36112"/>
  <c r="P1602" i="36112" s="1"/>
  <c r="AD1602" i="36112" s="1"/>
  <c r="T1602" i="36112"/>
  <c r="U1602" i="36112" s="1"/>
  <c r="L1603" i="36112"/>
  <c r="P1603" i="36112" s="1"/>
  <c r="AD1603" i="36112" s="1"/>
  <c r="T1603" i="36112"/>
  <c r="U1603" i="36112" s="1"/>
  <c r="L1604" i="36112"/>
  <c r="P1604" i="36112" s="1"/>
  <c r="AD1604" i="36112" s="1"/>
  <c r="T1604" i="36112"/>
  <c r="U1604" i="36112" s="1"/>
  <c r="L1605" i="36112"/>
  <c r="P1605" i="36112" s="1"/>
  <c r="AD1605" i="36112" s="1"/>
  <c r="T1605" i="36112"/>
  <c r="U1605" i="36112" s="1"/>
  <c r="L1606" i="36112"/>
  <c r="P1606" i="36112" s="1"/>
  <c r="AD1606" i="36112" s="1"/>
  <c r="T1606" i="36112"/>
  <c r="U1606" i="36112" s="1"/>
  <c r="L1607" i="36112"/>
  <c r="P1607" i="36112" s="1"/>
  <c r="AD1607" i="36112" s="1"/>
  <c r="U1607" i="36112"/>
  <c r="H1608" i="36112"/>
  <c r="L1608" i="36112"/>
  <c r="P1608" i="36112" s="1"/>
  <c r="AD1608" i="36112" s="1"/>
  <c r="U1608" i="36112"/>
  <c r="L1619" i="36112"/>
  <c r="P1619" i="36112" s="1"/>
  <c r="AD1619" i="36112" s="1"/>
  <c r="U1619" i="36112"/>
  <c r="L1620" i="36112"/>
  <c r="P1620" i="36112" s="1"/>
  <c r="AD1620" i="36112" s="1"/>
  <c r="U1620" i="36112"/>
  <c r="H1621" i="36112"/>
  <c r="L1621" i="36112"/>
  <c r="P1621" i="36112" s="1"/>
  <c r="AD1621" i="36112" s="1"/>
  <c r="U1621" i="36112"/>
  <c r="L1622" i="36112"/>
  <c r="P1622" i="36112" s="1"/>
  <c r="AD1622" i="36112" s="1"/>
  <c r="U1622" i="36112"/>
  <c r="L1623" i="36112"/>
  <c r="P1623" i="36112" s="1"/>
  <c r="AD1623" i="36112" s="1"/>
  <c r="U1623" i="36112"/>
  <c r="L1624" i="36112"/>
  <c r="P1624" i="36112"/>
  <c r="AD1624" i="36112" s="1"/>
  <c r="U1624" i="36112"/>
  <c r="AB1624" i="36112"/>
  <c r="L1625" i="36112"/>
  <c r="P1625" i="36112" s="1"/>
  <c r="AD1625" i="36112" s="1"/>
  <c r="CD3" i="36128" s="1"/>
  <c r="L1626" i="36112"/>
  <c r="P1626" i="36112" s="1"/>
  <c r="AD1626" i="36112" s="1"/>
  <c r="L1627" i="36112"/>
  <c r="P1627" i="36112" s="1"/>
  <c r="AD1627" i="36112" s="1"/>
  <c r="L1628" i="36112"/>
  <c r="P1628" i="36112" s="1"/>
  <c r="AD1628" i="36112" s="1"/>
  <c r="L1629" i="36112"/>
  <c r="P1629" i="36112" s="1"/>
  <c r="AD1629" i="36112" s="1"/>
  <c r="L1630" i="36112"/>
  <c r="P1630" i="36112" s="1"/>
  <c r="AD1630" i="36112" s="1"/>
  <c r="L1631" i="36112"/>
  <c r="P1631" i="36112" s="1"/>
  <c r="AD1631" i="36112" s="1"/>
  <c r="L1632" i="36112"/>
  <c r="P1632" i="36112" s="1"/>
  <c r="AD1632" i="36112" s="1"/>
  <c r="L1633" i="36112"/>
  <c r="P1633" i="36112" s="1"/>
  <c r="AD1633" i="36112" s="1"/>
  <c r="L1634" i="36112"/>
  <c r="P1634" i="36112" s="1"/>
  <c r="AD1634" i="36112" s="1"/>
  <c r="L1635" i="36112"/>
  <c r="P1635" i="36112" s="1"/>
  <c r="AD1635" i="36112" s="1"/>
  <c r="L1636" i="36112"/>
  <c r="P1636" i="36112" s="1"/>
  <c r="AD1636" i="36112" s="1"/>
  <c r="L1637" i="36112"/>
  <c r="P1637" i="36112" s="1"/>
  <c r="AD1637" i="36112" s="1"/>
  <c r="L1638" i="36112"/>
  <c r="P1638" i="36112" s="1"/>
  <c r="AD1638" i="36112" s="1"/>
  <c r="L1639" i="36112"/>
  <c r="P1639" i="36112" s="1"/>
  <c r="AD1639" i="36112" s="1"/>
  <c r="L1640" i="36112"/>
  <c r="P1640" i="36112" s="1"/>
  <c r="AD1640" i="36112" s="1"/>
  <c r="L1641" i="36112"/>
  <c r="P1641" i="36112" s="1"/>
  <c r="AD1641" i="36112" s="1"/>
  <c r="L1642" i="36112"/>
  <c r="P1642" i="36112" s="1"/>
  <c r="AD1642" i="36112" s="1"/>
  <c r="L1644" i="36112"/>
  <c r="P1644" i="36112" s="1"/>
  <c r="AD1644" i="36112" s="1"/>
  <c r="L1645" i="36112"/>
  <c r="P1645" i="36112" s="1"/>
  <c r="AD1645" i="36112" s="1"/>
  <c r="L1646" i="36112"/>
  <c r="P1646" i="36112" s="1"/>
  <c r="AD1646" i="36112" s="1"/>
  <c r="L1647" i="36112"/>
  <c r="P1647" i="36112" s="1"/>
  <c r="AD1647" i="36112" s="1"/>
  <c r="L1648" i="36112"/>
  <c r="P1648" i="36112" s="1"/>
  <c r="AD1648" i="36112" s="1"/>
  <c r="L1649" i="36112"/>
  <c r="P1649" i="36112" s="1"/>
  <c r="AD1649" i="36112" s="1"/>
  <c r="L1650" i="36112"/>
  <c r="P1650" i="36112" s="1"/>
  <c r="AD1650" i="36112" s="1"/>
  <c r="L1651" i="36112"/>
  <c r="P1651" i="36112" s="1"/>
  <c r="AD1651" i="36112" s="1"/>
  <c r="L1652" i="36112"/>
  <c r="P1652" i="36112" s="1"/>
  <c r="AD1652" i="36112" s="1"/>
  <c r="L1653" i="36112"/>
  <c r="P1653" i="36112" s="1"/>
  <c r="AD1653" i="36112" s="1"/>
  <c r="L1654" i="36112"/>
  <c r="P1654" i="36112" s="1"/>
  <c r="AD1654" i="36112" s="1"/>
  <c r="L1655" i="36112"/>
  <c r="P1655" i="36112" s="1"/>
  <c r="AD1655" i="36112" s="1"/>
  <c r="L1656" i="36112"/>
  <c r="P1656" i="36112" s="1"/>
  <c r="AD1656" i="36112" s="1"/>
  <c r="L1657" i="36112"/>
  <c r="P1657" i="36112" s="1"/>
  <c r="AD1657" i="36112" s="1"/>
  <c r="L1658" i="36112"/>
  <c r="P1658" i="36112" s="1"/>
  <c r="AD1658" i="36112" s="1"/>
  <c r="L1659" i="36112"/>
  <c r="P1659" i="36112" s="1"/>
  <c r="AD1659" i="36112" s="1"/>
  <c r="L1660" i="36112"/>
  <c r="P1660" i="36112" s="1"/>
  <c r="AD1660" i="36112" s="1"/>
  <c r="L1661" i="36112"/>
  <c r="P1661" i="36112" s="1"/>
  <c r="AD1661" i="36112" s="1"/>
  <c r="L1662" i="36112"/>
  <c r="P1662" i="36112" s="1"/>
  <c r="AD1662" i="36112" s="1"/>
  <c r="L1663" i="36112"/>
  <c r="P1663" i="36112" s="1"/>
  <c r="AD1663" i="36112" s="1"/>
  <c r="L1664" i="36112"/>
  <c r="P1664" i="36112" s="1"/>
  <c r="AD1664" i="36112" s="1"/>
  <c r="L1665" i="36112"/>
  <c r="P1665" i="36112" s="1"/>
  <c r="AD1665" i="36112" s="1"/>
  <c r="L1666" i="36112"/>
  <c r="P1666" i="36112" s="1"/>
  <c r="AD1666" i="36112" s="1"/>
  <c r="L1667" i="36112"/>
  <c r="P1667" i="36112" s="1"/>
  <c r="AD1667" i="36112" s="1"/>
  <c r="L1668" i="36112"/>
  <c r="P1668" i="36112" s="1"/>
  <c r="AD1668" i="36112" s="1"/>
  <c r="L1669" i="36112"/>
  <c r="P1669" i="36112" s="1"/>
  <c r="AD1669" i="36112" s="1"/>
  <c r="L1670" i="36112"/>
  <c r="P1670" i="36112" s="1"/>
  <c r="AD1670" i="36112" s="1"/>
  <c r="L1671" i="36112"/>
  <c r="P1671" i="36112" s="1"/>
  <c r="AD1671" i="36112" s="1"/>
  <c r="L1672" i="36112"/>
  <c r="P1672" i="36112" s="1"/>
  <c r="AD1672" i="36112" s="1"/>
  <c r="L1673" i="36112"/>
  <c r="P1673" i="36112" s="1"/>
  <c r="AD1673" i="36112" s="1"/>
  <c r="L1674" i="36112"/>
  <c r="P1674" i="36112" s="1"/>
  <c r="AD1674" i="36112" s="1"/>
  <c r="L1675" i="36112"/>
  <c r="P1675" i="36112" s="1"/>
  <c r="AD1675" i="36112" s="1"/>
  <c r="L1676" i="36112"/>
  <c r="P1676" i="36112" s="1"/>
  <c r="AD1676" i="36112" s="1"/>
  <c r="L1677" i="36112"/>
  <c r="P1677" i="36112" s="1"/>
  <c r="AD1677" i="36112" s="1"/>
  <c r="L1678" i="36112"/>
  <c r="P1678" i="36112" s="1"/>
  <c r="AD1678" i="36112" s="1"/>
  <c r="U1625" i="36112"/>
  <c r="U1626" i="36112"/>
  <c r="U1627" i="36112"/>
  <c r="U1628" i="36112"/>
  <c r="U1629" i="36112"/>
  <c r="U1630" i="36112"/>
  <c r="U1631" i="36112"/>
  <c r="U1632" i="36112"/>
  <c r="U1633" i="36112"/>
  <c r="H1634" i="36112"/>
  <c r="U1634" i="36112"/>
  <c r="U1635" i="36112"/>
  <c r="U1636" i="36112"/>
  <c r="U1637" i="36112"/>
  <c r="U1638" i="36112"/>
  <c r="U1639" i="36112"/>
  <c r="U1640" i="36112"/>
  <c r="U1641" i="36112"/>
  <c r="U1642" i="36112"/>
  <c r="L1643" i="36112"/>
  <c r="P1643" i="36112" s="1"/>
  <c r="U1643" i="36112"/>
  <c r="U1644" i="36112"/>
  <c r="U1645" i="36112"/>
  <c r="U1646" i="36112"/>
  <c r="U1647" i="36112"/>
  <c r="H1648" i="36112"/>
  <c r="U1648" i="36112"/>
  <c r="U1649" i="36112"/>
  <c r="U1650" i="36112"/>
  <c r="U1651" i="36112"/>
  <c r="U1652" i="36112"/>
  <c r="U1653" i="36112"/>
  <c r="U1654" i="36112"/>
  <c r="U1655" i="36112"/>
  <c r="U1656" i="36112"/>
  <c r="U1657" i="36112"/>
  <c r="U1658" i="36112"/>
  <c r="U1659" i="36112"/>
  <c r="U1660" i="36112"/>
  <c r="U1661" i="36112"/>
  <c r="U1662" i="36112"/>
  <c r="U1663" i="36112"/>
  <c r="U1664" i="36112"/>
  <c r="U1665" i="36112"/>
  <c r="U1666" i="36112"/>
  <c r="U1667" i="36112"/>
  <c r="U1668" i="36112"/>
  <c r="U1669" i="36112"/>
  <c r="U1670" i="36112"/>
  <c r="T1671" i="36112"/>
  <c r="U1671" i="36112" s="1"/>
  <c r="U1672" i="36112"/>
  <c r="U1673" i="36112"/>
  <c r="U1674" i="36112"/>
  <c r="U1675" i="36112"/>
  <c r="U1676" i="36112"/>
  <c r="U1677" i="36112"/>
  <c r="U1678" i="36112"/>
  <c r="L1689" i="36112"/>
  <c r="P1689" i="36112" s="1"/>
  <c r="AD1689" i="36112" s="1"/>
  <c r="U1689" i="36112"/>
  <c r="L1690" i="36112"/>
  <c r="P1690" i="36112" s="1"/>
  <c r="AD1690" i="36112" s="1"/>
  <c r="U1690" i="36112"/>
  <c r="L1691" i="36112"/>
  <c r="P1691" i="36112" s="1"/>
  <c r="AD1691" i="36112" s="1"/>
  <c r="U1691" i="36112"/>
  <c r="L1692" i="36112"/>
  <c r="P1692" i="36112" s="1"/>
  <c r="AD1692" i="36112" s="1"/>
  <c r="U1692" i="36112"/>
  <c r="L1693" i="36112"/>
  <c r="P1693" i="36112" s="1"/>
  <c r="AD1693" i="36112" s="1"/>
  <c r="U1693" i="36112"/>
  <c r="L1694" i="36112"/>
  <c r="P1694" i="36112" s="1"/>
  <c r="AD1694" i="36112" s="1"/>
  <c r="U1694" i="36112"/>
  <c r="L1695" i="36112"/>
  <c r="P1695" i="36112" s="1"/>
  <c r="AD1695" i="36112" s="1"/>
  <c r="U1695" i="36112"/>
  <c r="L1696" i="36112"/>
  <c r="P1696" i="36112" s="1"/>
  <c r="AD1696" i="36112" s="1"/>
  <c r="U1696" i="36112"/>
  <c r="L1697" i="36112"/>
  <c r="P1697" i="36112" s="1"/>
  <c r="AD1697" i="36112" s="1"/>
  <c r="U1697" i="36112"/>
  <c r="L1698" i="36112"/>
  <c r="P1698" i="36112" s="1"/>
  <c r="AD1698" i="36112" s="1"/>
  <c r="U1698" i="36112"/>
  <c r="L1699" i="36112"/>
  <c r="P1699" i="36112" s="1"/>
  <c r="AD1699" i="36112" s="1"/>
  <c r="U1699" i="36112"/>
  <c r="L1700" i="36112"/>
  <c r="P1700" i="36112" s="1"/>
  <c r="AD1700" i="36112" s="1"/>
  <c r="U1700" i="36112"/>
  <c r="L1701" i="36112"/>
  <c r="P1701" i="36112" s="1"/>
  <c r="AD1701" i="36112" s="1"/>
  <c r="U1701" i="36112"/>
  <c r="L1702" i="36112"/>
  <c r="P1702" i="36112" s="1"/>
  <c r="AD1702" i="36112" s="1"/>
  <c r="U1702" i="36112"/>
  <c r="L1703" i="36112"/>
  <c r="P1703" i="36112" s="1"/>
  <c r="AD1703" i="36112" s="1"/>
  <c r="U1703" i="36112"/>
  <c r="L1704" i="36112"/>
  <c r="P1704" i="36112" s="1"/>
  <c r="AD1704" i="36112" s="1"/>
  <c r="U1704" i="36112"/>
  <c r="L1705" i="36112"/>
  <c r="P1705" i="36112" s="1"/>
  <c r="AD1705" i="36112" s="1"/>
  <c r="U1705" i="36112"/>
  <c r="L1706" i="36112"/>
  <c r="P1706" i="36112" s="1"/>
  <c r="AD1706" i="36112" s="1"/>
  <c r="U1706" i="36112"/>
  <c r="L1707" i="36112"/>
  <c r="P1707" i="36112" s="1"/>
  <c r="AD1707" i="36112" s="1"/>
  <c r="U1707" i="36112"/>
  <c r="L1708" i="36112"/>
  <c r="P1708" i="36112" s="1"/>
  <c r="AD1708" i="36112" s="1"/>
  <c r="U1708" i="36112"/>
  <c r="L1709" i="36112"/>
  <c r="P1709" i="36112" s="1"/>
  <c r="AD1709" i="36112" s="1"/>
  <c r="U1709" i="36112"/>
  <c r="L1710" i="36112"/>
  <c r="P1710" i="36112" s="1"/>
  <c r="AD1710" i="36112" s="1"/>
  <c r="U1710" i="36112"/>
  <c r="L1711" i="36112"/>
  <c r="P1711" i="36112" s="1"/>
  <c r="AD1711" i="36112" s="1"/>
  <c r="U1711" i="36112"/>
  <c r="L1712" i="36112"/>
  <c r="P1712" i="36112" s="1"/>
  <c r="AD1712" i="36112" s="1"/>
  <c r="U1712" i="36112"/>
  <c r="L1713" i="36112"/>
  <c r="P1713" i="36112" s="1"/>
  <c r="AD1713" i="36112" s="1"/>
  <c r="U1713" i="36112"/>
  <c r="L1714" i="36112"/>
  <c r="P1714" i="36112" s="1"/>
  <c r="AD1714" i="36112" s="1"/>
  <c r="U1714" i="36112"/>
  <c r="L1715" i="36112"/>
  <c r="P1715" i="36112" s="1"/>
  <c r="AD1715" i="36112" s="1"/>
  <c r="U1715" i="36112"/>
  <c r="L1716" i="36112"/>
  <c r="P1716" i="36112" s="1"/>
  <c r="AD1716" i="36112" s="1"/>
  <c r="U1716" i="36112"/>
  <c r="L1717" i="36112"/>
  <c r="P1717" i="36112" s="1"/>
  <c r="AD1717" i="36112" s="1"/>
  <c r="U1717" i="36112"/>
  <c r="L1718" i="36112"/>
  <c r="P1718" i="36112" s="1"/>
  <c r="AD1718" i="36112" s="1"/>
  <c r="U1718" i="36112"/>
  <c r="L1719" i="36112"/>
  <c r="P1719" i="36112"/>
  <c r="AE1719" i="36112" s="1"/>
  <c r="U1719" i="36112"/>
  <c r="AB1719" i="36112"/>
  <c r="L1720" i="36112"/>
  <c r="P1720" i="36112" s="1"/>
  <c r="AD1720" i="36112" s="1"/>
  <c r="U1720" i="36112"/>
  <c r="L1721" i="36112"/>
  <c r="P1721" i="36112" s="1"/>
  <c r="AD1721" i="36112" s="1"/>
  <c r="U1721" i="36112"/>
  <c r="L1722" i="36112"/>
  <c r="P1722" i="36112" s="1"/>
  <c r="AD1722" i="36112" s="1"/>
  <c r="U1722" i="36112"/>
  <c r="L1723" i="36112"/>
  <c r="P1723" i="36112" s="1"/>
  <c r="AD1723" i="36112" s="1"/>
  <c r="U1723" i="36112"/>
  <c r="L1724" i="36112"/>
  <c r="P1724" i="36112" s="1"/>
  <c r="AD1724" i="36112" s="1"/>
  <c r="U1724" i="36112"/>
  <c r="L1725" i="36112"/>
  <c r="P1725" i="36112" s="1"/>
  <c r="AD1725" i="36112" s="1"/>
  <c r="U1725" i="36112"/>
  <c r="L1726" i="36112"/>
  <c r="P1726" i="36112" s="1"/>
  <c r="AD1726" i="36112" s="1"/>
  <c r="U1726" i="36112"/>
  <c r="L1727" i="36112"/>
  <c r="P1727" i="36112" s="1"/>
  <c r="AD1727" i="36112" s="1"/>
  <c r="U1727" i="36112"/>
  <c r="L1728" i="36112"/>
  <c r="P1728" i="36112" s="1"/>
  <c r="AD1728" i="36112" s="1"/>
  <c r="U1728" i="36112"/>
  <c r="L1729" i="36112"/>
  <c r="P1729" i="36112" s="1"/>
  <c r="AD1729" i="36112" s="1"/>
  <c r="U1729" i="36112"/>
  <c r="L1730" i="36112"/>
  <c r="P1730" i="36112" s="1"/>
  <c r="AD1730" i="36112" s="1"/>
  <c r="U1730" i="36112"/>
  <c r="L1731" i="36112"/>
  <c r="P1731" i="36112" s="1"/>
  <c r="AD1731" i="36112" s="1"/>
  <c r="U1731" i="36112"/>
  <c r="L1732" i="36112"/>
  <c r="P1732" i="36112" s="1"/>
  <c r="AD1732" i="36112" s="1"/>
  <c r="U1732" i="36112"/>
  <c r="L1733" i="36112"/>
  <c r="P1733" i="36112" s="1"/>
  <c r="AD1733" i="36112" s="1"/>
  <c r="U1733" i="36112"/>
  <c r="L1734" i="36112"/>
  <c r="P1734" i="36112" s="1"/>
  <c r="AD1734" i="36112" s="1"/>
  <c r="U1734" i="36112"/>
  <c r="L1735" i="36112"/>
  <c r="P1735" i="36112" s="1"/>
  <c r="AD1735" i="36112" s="1"/>
  <c r="U1735" i="36112"/>
  <c r="L1736" i="36112"/>
  <c r="P1736" i="36112" s="1"/>
  <c r="AD1736" i="36112" s="1"/>
  <c r="U1736" i="36112"/>
  <c r="L1737" i="36112"/>
  <c r="P1737" i="36112" s="1"/>
  <c r="AD1737" i="36112" s="1"/>
  <c r="U1737" i="36112"/>
  <c r="L1738" i="36112"/>
  <c r="P1738" i="36112" s="1"/>
  <c r="AD1738" i="36112" s="1"/>
  <c r="U1738" i="36112"/>
  <c r="L1739" i="36112"/>
  <c r="P1739" i="36112" s="1"/>
  <c r="AD1739" i="36112" s="1"/>
  <c r="T1739" i="36112"/>
  <c r="U1739" i="36112" s="1"/>
  <c r="AB1739" i="36112"/>
  <c r="L1740" i="36112"/>
  <c r="P1740" i="36112" s="1"/>
  <c r="AD1740" i="36112" s="1"/>
  <c r="T1740" i="36112"/>
  <c r="U1740" i="36112" s="1"/>
  <c r="AB1740" i="36112"/>
  <c r="L1741" i="36112"/>
  <c r="P1741" i="36112" s="1"/>
  <c r="AD1741" i="36112" s="1"/>
  <c r="T1741" i="36112"/>
  <c r="U1741" i="36112" s="1"/>
  <c r="L1742" i="36112"/>
  <c r="P1742" i="36112" s="1"/>
  <c r="AD1742" i="36112" s="1"/>
  <c r="T1742" i="36112"/>
  <c r="U1742" i="36112" s="1"/>
  <c r="L1743" i="36112"/>
  <c r="P1743" i="36112" s="1"/>
  <c r="AD1743" i="36112" s="1"/>
  <c r="T1743" i="36112"/>
  <c r="U1743" i="36112" s="1"/>
  <c r="L1744" i="36112"/>
  <c r="P1744" i="36112" s="1"/>
  <c r="AD1744" i="36112" s="1"/>
  <c r="U1744" i="36112"/>
  <c r="L1745" i="36112"/>
  <c r="P1745" i="36112" s="1"/>
  <c r="AD1745" i="36112" s="1"/>
  <c r="U1745" i="36112"/>
  <c r="H1746" i="36112"/>
  <c r="L1746" i="36112"/>
  <c r="P1746" i="36112" s="1"/>
  <c r="AD1746" i="36112" s="1"/>
  <c r="U1746" i="36112"/>
  <c r="K1747" i="36112"/>
  <c r="P1747" i="36112"/>
  <c r="AD1747" i="36112" s="1"/>
  <c r="U1747" i="36112"/>
  <c r="P1748" i="36112"/>
  <c r="AD1748" i="36112" s="1"/>
  <c r="U1748" i="36112"/>
  <c r="L1749" i="36112"/>
  <c r="P1749" i="36112" s="1"/>
  <c r="AD1749" i="36112" s="1"/>
  <c r="U1749" i="36112"/>
  <c r="L1750" i="36112"/>
  <c r="P1750" i="36112" s="1"/>
  <c r="AD1750" i="36112" s="1"/>
  <c r="U1750" i="36112"/>
  <c r="K1751" i="36112"/>
  <c r="P1751" i="36112"/>
  <c r="AD1751" i="36112" s="1"/>
  <c r="U1751" i="36112"/>
  <c r="K1752" i="36112"/>
  <c r="P1752" i="36112"/>
  <c r="AD1752" i="36112" s="1"/>
  <c r="U1752" i="36112"/>
  <c r="K1753" i="36112"/>
  <c r="P1753" i="36112"/>
  <c r="AD1753" i="36112" s="1"/>
  <c r="U1753" i="36112"/>
  <c r="P1754" i="36112"/>
  <c r="AD1754" i="36112" s="1"/>
  <c r="U1754" i="36112"/>
  <c r="K1755" i="36112"/>
  <c r="P1755" i="36112"/>
  <c r="AD1755" i="36112" s="1"/>
  <c r="T1755" i="36112"/>
  <c r="U1755" i="36112" s="1"/>
  <c r="K1756" i="36112"/>
  <c r="P1756" i="36112"/>
  <c r="AD1756" i="36112" s="1"/>
  <c r="U1756" i="36112"/>
  <c r="K1757" i="36112"/>
  <c r="P1757" i="36112"/>
  <c r="AD1757" i="36112" s="1"/>
  <c r="U1757" i="36112"/>
  <c r="K1758" i="36112"/>
  <c r="P1758" i="36112"/>
  <c r="AD1758" i="36112" s="1"/>
  <c r="U1758" i="36112"/>
  <c r="K1759" i="36112"/>
  <c r="P1759" i="36112"/>
  <c r="AD1759" i="36112" s="1"/>
  <c r="U1759" i="36112"/>
  <c r="K1760" i="36112"/>
  <c r="P1760" i="36112"/>
  <c r="AD1760" i="36112" s="1"/>
  <c r="U1760" i="36112"/>
  <c r="K1761" i="36112"/>
  <c r="P1761" i="36112"/>
  <c r="AD1761" i="36112" s="1"/>
  <c r="U1761" i="36112"/>
  <c r="K1762" i="36112"/>
  <c r="P1762" i="36112"/>
  <c r="AD1762" i="36112" s="1"/>
  <c r="U1762" i="36112"/>
  <c r="K1763" i="36112"/>
  <c r="P1763" i="36112"/>
  <c r="AD1763" i="36112" s="1"/>
  <c r="U1763" i="36112"/>
  <c r="K1764" i="36112"/>
  <c r="P1764" i="36112"/>
  <c r="AD1764" i="36112" s="1"/>
  <c r="U1764" i="36112"/>
  <c r="L1765" i="36112"/>
  <c r="P1765" i="36112" s="1"/>
  <c r="AD1765" i="36112" s="1"/>
  <c r="U1765" i="36112"/>
  <c r="K1766" i="36112"/>
  <c r="P1766" i="36112"/>
  <c r="AD1766" i="36112" s="1"/>
  <c r="U1766" i="36112"/>
  <c r="K1767" i="36112"/>
  <c r="P1767" i="36112"/>
  <c r="AD1767" i="36112" s="1"/>
  <c r="U1767" i="36112"/>
  <c r="K1768" i="36112"/>
  <c r="P1768" i="36112"/>
  <c r="AD1768" i="36112" s="1"/>
  <c r="U1768" i="36112"/>
  <c r="K1769" i="36112"/>
  <c r="P1769" i="36112"/>
  <c r="AD1769" i="36112" s="1"/>
  <c r="U1769" i="36112"/>
  <c r="K1770" i="36112"/>
  <c r="P1770" i="36112"/>
  <c r="AD1770" i="36112" s="1"/>
  <c r="U1770" i="36112"/>
  <c r="K1780" i="36112"/>
  <c r="P1780" i="36112"/>
  <c r="AD1780" i="36112" s="1"/>
  <c r="U1780" i="36112"/>
  <c r="K1781" i="36112"/>
  <c r="P1781" i="36112"/>
  <c r="AD1781" i="36112" s="1"/>
  <c r="U1781" i="36112"/>
  <c r="K1782" i="36112"/>
  <c r="P1782" i="36112"/>
  <c r="AD1782" i="36112" s="1"/>
  <c r="U1782" i="36112"/>
  <c r="K1783" i="36112"/>
  <c r="P1783" i="36112"/>
  <c r="AD1783" i="36112" s="1"/>
  <c r="U1783" i="36112"/>
  <c r="K1784" i="36112"/>
  <c r="P1784" i="36112"/>
  <c r="AD1784" i="36112" s="1"/>
  <c r="U1784" i="36112"/>
  <c r="K1785" i="36112"/>
  <c r="P1785" i="36112"/>
  <c r="AD1785" i="36112" s="1"/>
  <c r="U1785" i="36112"/>
  <c r="K1786" i="36112"/>
  <c r="P1786" i="36112"/>
  <c r="AD1786" i="36112" s="1"/>
  <c r="U1786" i="36112"/>
  <c r="K1787" i="36112"/>
  <c r="P1787" i="36112"/>
  <c r="AD1787" i="36112" s="1"/>
  <c r="U1787" i="36112"/>
  <c r="K1788" i="36112"/>
  <c r="P1788" i="36112"/>
  <c r="AD1788" i="36112" s="1"/>
  <c r="U1788" i="36112"/>
  <c r="K1789" i="36112"/>
  <c r="P1789" i="36112"/>
  <c r="AD1789" i="36112" s="1"/>
  <c r="U1789" i="36112"/>
  <c r="K1790" i="36112"/>
  <c r="P1790" i="36112"/>
  <c r="AD1790" i="36112" s="1"/>
  <c r="U1790" i="36112"/>
  <c r="K1791" i="36112"/>
  <c r="P1791" i="36112"/>
  <c r="AD1791" i="36112" s="1"/>
  <c r="U1791" i="36112"/>
  <c r="K1792" i="36112"/>
  <c r="P1792" i="36112"/>
  <c r="AD1792" i="36112" s="1"/>
  <c r="U1792" i="36112"/>
  <c r="K1793" i="36112"/>
  <c r="P1793" i="36112"/>
  <c r="AD1793" i="36112" s="1"/>
  <c r="U1793" i="36112"/>
  <c r="K1794" i="36112"/>
  <c r="P1794" i="36112"/>
  <c r="AD1794" i="36112" s="1"/>
  <c r="U1794" i="36112"/>
  <c r="K1795" i="36112"/>
  <c r="P1795" i="36112"/>
  <c r="AD1795" i="36112" s="1"/>
  <c r="U1795" i="36112"/>
  <c r="K1796" i="36112"/>
  <c r="P1796" i="36112"/>
  <c r="AD1796" i="36112" s="1"/>
  <c r="U1796" i="36112"/>
  <c r="K1797" i="36112"/>
  <c r="P1797" i="36112"/>
  <c r="AD1797" i="36112" s="1"/>
  <c r="U1797" i="36112"/>
  <c r="K1798" i="36112"/>
  <c r="P1798" i="36112"/>
  <c r="AD1798" i="36112" s="1"/>
  <c r="U1798" i="36112"/>
  <c r="K1799" i="36112"/>
  <c r="P1799" i="36112"/>
  <c r="AD1799" i="36112" s="1"/>
  <c r="U1799" i="36112"/>
  <c r="K1800" i="36112"/>
  <c r="P1800" i="36112"/>
  <c r="AD1800" i="36112" s="1"/>
  <c r="U1800" i="36112"/>
  <c r="K1801" i="36112"/>
  <c r="P1801" i="36112"/>
  <c r="AD1801" i="36112" s="1"/>
  <c r="U1801" i="36112"/>
  <c r="K1802" i="36112"/>
  <c r="P1802" i="36112"/>
  <c r="AD1802" i="36112" s="1"/>
  <c r="U1802" i="36112"/>
  <c r="K1803" i="36112"/>
  <c r="P1803" i="36112"/>
  <c r="AD1803" i="36112" s="1"/>
  <c r="U1803" i="36112"/>
  <c r="K1804" i="36112"/>
  <c r="P1804" i="36112"/>
  <c r="AD1804" i="36112" s="1"/>
  <c r="U1804" i="36112"/>
  <c r="K1805" i="36112"/>
  <c r="P1805" i="36112"/>
  <c r="AD1805" i="36112" s="1"/>
  <c r="U1805" i="36112"/>
  <c r="K1806" i="36112"/>
  <c r="P1806" i="36112"/>
  <c r="AD1806" i="36112" s="1"/>
  <c r="U1806" i="36112"/>
  <c r="K1807" i="36112"/>
  <c r="P1807" i="36112"/>
  <c r="AD1807" i="36112" s="1"/>
  <c r="U1807" i="36112"/>
  <c r="K1808" i="36112"/>
  <c r="P1808" i="36112"/>
  <c r="AD1808" i="36112" s="1"/>
  <c r="U1808" i="36112"/>
  <c r="K1809" i="36112"/>
  <c r="P1809" i="36112"/>
  <c r="AD1809" i="36112" s="1"/>
  <c r="U1809" i="36112"/>
  <c r="K1810" i="36112"/>
  <c r="P1810" i="36112"/>
  <c r="AD1810" i="36112" s="1"/>
  <c r="U1810" i="36112"/>
  <c r="K1811" i="36112"/>
  <c r="P1811" i="36112"/>
  <c r="AD1811" i="36112" s="1"/>
  <c r="U1811" i="36112"/>
  <c r="K1812" i="36112"/>
  <c r="P1812" i="36112"/>
  <c r="AD1812" i="36112" s="1"/>
  <c r="U1812" i="36112"/>
  <c r="K1813" i="36112"/>
  <c r="P1813" i="36112"/>
  <c r="AD1813" i="36112" s="1"/>
  <c r="U1813" i="36112"/>
  <c r="K1814" i="36112"/>
  <c r="P1814" i="36112"/>
  <c r="AD1814" i="36112" s="1"/>
  <c r="U1814" i="36112"/>
  <c r="K1815" i="36112"/>
  <c r="P1815" i="36112"/>
  <c r="AD1815" i="36112" s="1"/>
  <c r="U1815" i="36112"/>
  <c r="K1816" i="36112"/>
  <c r="P1816" i="36112"/>
  <c r="AD1816" i="36112" s="1"/>
  <c r="U1816" i="36112"/>
  <c r="K1817" i="36112"/>
  <c r="P1817" i="36112"/>
  <c r="AD1817" i="36112" s="1"/>
  <c r="U1817" i="36112"/>
  <c r="K1818" i="36112"/>
  <c r="P1818" i="36112"/>
  <c r="AD1818" i="36112" s="1"/>
  <c r="U1818" i="36112"/>
  <c r="K1819" i="36112"/>
  <c r="P1819" i="36112"/>
  <c r="AD1819" i="36112" s="1"/>
  <c r="U1819" i="36112"/>
  <c r="K1820" i="36112"/>
  <c r="P1820" i="36112"/>
  <c r="AD1820" i="36112" s="1"/>
  <c r="U1820" i="36112"/>
  <c r="K1821" i="36112"/>
  <c r="P1821" i="36112"/>
  <c r="AD1821" i="36112" s="1"/>
  <c r="U1821" i="36112"/>
  <c r="K1822" i="36112"/>
  <c r="P1822" i="36112"/>
  <c r="AD1822" i="36112" s="1"/>
  <c r="U1822" i="36112"/>
  <c r="K1823" i="36112"/>
  <c r="P1823" i="36112"/>
  <c r="AD1823" i="36112" s="1"/>
  <c r="U1823" i="36112"/>
  <c r="L1824" i="36112"/>
  <c r="P1824" i="36112" s="1"/>
  <c r="AD1824" i="36112" s="1"/>
  <c r="U1824" i="36112"/>
  <c r="K1825" i="36112"/>
  <c r="P1825" i="36112"/>
  <c r="AD1825" i="36112" s="1"/>
  <c r="U1825" i="36112"/>
  <c r="K1826" i="36112"/>
  <c r="P1826" i="36112"/>
  <c r="AD1826" i="36112" s="1"/>
  <c r="U1826" i="36112"/>
  <c r="K1827" i="36112"/>
  <c r="P1827" i="36112"/>
  <c r="AD1827" i="36112" s="1"/>
  <c r="U1827" i="36112"/>
  <c r="K1828" i="36112"/>
  <c r="P1828" i="36112"/>
  <c r="AD1828" i="36112" s="1"/>
  <c r="U1828" i="36112"/>
  <c r="K1829" i="36112"/>
  <c r="P1829" i="36112"/>
  <c r="AD1829" i="36112" s="1"/>
  <c r="U1829" i="36112"/>
  <c r="K1830" i="36112"/>
  <c r="P1830" i="36112"/>
  <c r="AD1830" i="36112" s="1"/>
  <c r="U1830" i="36112"/>
  <c r="K1831" i="36112"/>
  <c r="P1831" i="36112"/>
  <c r="AD1831" i="36112" s="1"/>
  <c r="U1831" i="36112"/>
  <c r="K1832" i="36112"/>
  <c r="P1832" i="36112"/>
  <c r="AD1832" i="36112" s="1"/>
  <c r="U1832" i="36112"/>
  <c r="K1833" i="36112"/>
  <c r="P1833" i="36112"/>
  <c r="AD1833" i="36112" s="1"/>
  <c r="U1833" i="36112"/>
  <c r="K1834" i="36112"/>
  <c r="P1834" i="36112"/>
  <c r="AD1834" i="36112" s="1"/>
  <c r="U1834" i="36112"/>
  <c r="K1835" i="36112"/>
  <c r="P1835" i="36112"/>
  <c r="AD1835" i="36112" s="1"/>
  <c r="U1835" i="36112"/>
  <c r="K1836" i="36112"/>
  <c r="P1836" i="36112"/>
  <c r="AD1836" i="36112" s="1"/>
  <c r="U1836" i="36112"/>
  <c r="K1837" i="36112"/>
  <c r="P1837" i="36112"/>
  <c r="AD1837" i="36112"/>
  <c r="U1837" i="36112"/>
  <c r="K1838" i="36112"/>
  <c r="P1838" i="36112"/>
  <c r="AD1838" i="36112" s="1"/>
  <c r="U1838" i="36112"/>
  <c r="K1839" i="36112"/>
  <c r="P1839" i="36112"/>
  <c r="AD1839" i="36112" s="1"/>
  <c r="U1839" i="36112"/>
  <c r="K1840" i="36112"/>
  <c r="P1840" i="36112"/>
  <c r="AD1840" i="36112" s="1"/>
  <c r="U1840" i="36112"/>
  <c r="K1841" i="36112"/>
  <c r="P1841" i="36112"/>
  <c r="AD1841" i="36112" s="1"/>
  <c r="U1841" i="36112"/>
  <c r="K1842" i="36112"/>
  <c r="P1842" i="36112"/>
  <c r="AD1842" i="36112" s="1"/>
  <c r="U1842" i="36112"/>
  <c r="K1843" i="36112"/>
  <c r="P1843" i="36112"/>
  <c r="AD1843" i="36112" s="1"/>
  <c r="U1843" i="36112"/>
  <c r="K1844" i="36112"/>
  <c r="P1844" i="36112"/>
  <c r="AD1844" i="36112" s="1"/>
  <c r="U1844" i="36112"/>
  <c r="K1845" i="36112"/>
  <c r="P1845" i="36112"/>
  <c r="AD1845" i="36112" s="1"/>
  <c r="U1845" i="36112"/>
  <c r="K1846" i="36112"/>
  <c r="P1846" i="36112"/>
  <c r="AD1846" i="36112" s="1"/>
  <c r="U1846" i="36112"/>
  <c r="K1847" i="36112"/>
  <c r="P1847" i="36112"/>
  <c r="AD1847" i="36112" s="1"/>
  <c r="U1847" i="36112"/>
  <c r="K1848" i="36112"/>
  <c r="P1848" i="36112"/>
  <c r="AD1848" i="36112" s="1"/>
  <c r="U1848" i="36112"/>
  <c r="K1849" i="36112"/>
  <c r="P1849" i="36112"/>
  <c r="AD1849" i="36112" s="1"/>
  <c r="U1849" i="36112"/>
  <c r="K1850" i="36112"/>
  <c r="P1850" i="36112"/>
  <c r="AD1850" i="36112" s="1"/>
  <c r="U1850" i="36112"/>
  <c r="K1851" i="36112"/>
  <c r="P1851" i="36112"/>
  <c r="AD1851" i="36112" s="1"/>
  <c r="U1851" i="36112"/>
  <c r="K1852" i="36112"/>
  <c r="P1852" i="36112"/>
  <c r="AD1852" i="36112" s="1"/>
  <c r="U1852" i="36112"/>
  <c r="K1853" i="36112"/>
  <c r="P1853" i="36112"/>
  <c r="AD1853" i="36112" s="1"/>
  <c r="U1853" i="36112"/>
  <c r="K1854" i="36112"/>
  <c r="P1854" i="36112"/>
  <c r="AD1854" i="36112" s="1"/>
  <c r="U1854" i="36112"/>
  <c r="K1855" i="36112"/>
  <c r="P1855" i="36112"/>
  <c r="AD1855" i="36112" s="1"/>
  <c r="U1855" i="36112"/>
  <c r="K1856" i="36112"/>
  <c r="P1856" i="36112"/>
  <c r="AD1856" i="36112" s="1"/>
  <c r="U1856" i="36112"/>
  <c r="K1857" i="36112"/>
  <c r="P1857" i="36112"/>
  <c r="AD1857" i="36112" s="1"/>
  <c r="U1857" i="36112"/>
  <c r="K1858" i="36112"/>
  <c r="P1858" i="36112"/>
  <c r="AD1858" i="36112" s="1"/>
  <c r="U1858" i="36112"/>
  <c r="K1859" i="36112"/>
  <c r="P1859" i="36112"/>
  <c r="AD1859" i="36112" s="1"/>
  <c r="U1859" i="36112"/>
  <c r="K1860" i="36112"/>
  <c r="P1860" i="36112"/>
  <c r="AD1860" i="36112" s="1"/>
  <c r="U1860" i="36112"/>
  <c r="K1861" i="36112"/>
  <c r="P1861" i="36112"/>
  <c r="AD1861" i="36112" s="1"/>
  <c r="U1861" i="36112"/>
  <c r="K1862" i="36112"/>
  <c r="P1862" i="36112"/>
  <c r="AD1862" i="36112" s="1"/>
  <c r="U1862" i="36112"/>
  <c r="K1863" i="36112"/>
  <c r="P1863" i="36112"/>
  <c r="AD1863" i="36112" s="1"/>
  <c r="U1863" i="36112"/>
  <c r="K1864" i="36112"/>
  <c r="P1864" i="36112"/>
  <c r="AD1864" i="36112" s="1"/>
  <c r="U1864" i="36112"/>
  <c r="K1865" i="36112"/>
  <c r="P1865" i="36112"/>
  <c r="AD1865" i="36112" s="1"/>
  <c r="U1865" i="36112"/>
  <c r="K1866" i="36112"/>
  <c r="P1866" i="36112"/>
  <c r="AD1866" i="36112" s="1"/>
  <c r="U1866" i="36112"/>
  <c r="K1867" i="36112"/>
  <c r="P1867" i="36112"/>
  <c r="AD1867" i="36112" s="1"/>
  <c r="U1867" i="36112"/>
  <c r="K1868" i="36112"/>
  <c r="P1868" i="36112"/>
  <c r="AD1868" i="36112" s="1"/>
  <c r="U1868" i="36112"/>
  <c r="K1869" i="36112"/>
  <c r="P1869" i="36112"/>
  <c r="AD1869" i="36112" s="1"/>
  <c r="U1869" i="36112"/>
  <c r="I1873" i="36112"/>
  <c r="K1881" i="36112"/>
  <c r="P1881" i="36112"/>
  <c r="AD1881" i="36112" s="1"/>
  <c r="T1881" i="36112"/>
  <c r="U1881" i="36112" s="1"/>
  <c r="K1882" i="36112"/>
  <c r="P1882" i="36112"/>
  <c r="AD1882" i="36112" s="1"/>
  <c r="T1882" i="36112"/>
  <c r="U1882" i="36112" s="1"/>
  <c r="K1883" i="36112"/>
  <c r="P1883" i="36112"/>
  <c r="AD1883" i="36112" s="1"/>
  <c r="T1883" i="36112"/>
  <c r="U1883" i="36112" s="1"/>
  <c r="K1884" i="36112"/>
  <c r="P1884" i="36112"/>
  <c r="AD1884" i="36112" s="1"/>
  <c r="U1884" i="36112"/>
  <c r="K1885" i="36112"/>
  <c r="P1885" i="36112"/>
  <c r="AD1885" i="36112" s="1"/>
  <c r="U1885" i="36112"/>
  <c r="K1886" i="36112"/>
  <c r="P1886" i="36112"/>
  <c r="AD1886" i="36112" s="1"/>
  <c r="U1886" i="36112"/>
  <c r="K1887" i="36112"/>
  <c r="P1887" i="36112"/>
  <c r="AD1887" i="36112" s="1"/>
  <c r="U1887" i="36112"/>
  <c r="K1888" i="36112"/>
  <c r="P1888" i="36112"/>
  <c r="AD1888" i="36112" s="1"/>
  <c r="U1888" i="36112"/>
  <c r="K1889" i="36112"/>
  <c r="P1889" i="36112"/>
  <c r="AD1889" i="36112" s="1"/>
  <c r="U1889" i="36112"/>
  <c r="K1890" i="36112"/>
  <c r="P1890" i="36112"/>
  <c r="AD1890" i="36112" s="1"/>
  <c r="U1890" i="36112"/>
  <c r="K1891" i="36112"/>
  <c r="P1891" i="36112"/>
  <c r="AD1891" i="36112" s="1"/>
  <c r="U1891" i="36112"/>
  <c r="K1892" i="36112"/>
  <c r="P1892" i="36112"/>
  <c r="AD1892" i="36112" s="1"/>
  <c r="U1892" i="36112"/>
  <c r="K1893" i="36112"/>
  <c r="P1893" i="36112"/>
  <c r="AD1893" i="36112" s="1"/>
  <c r="U1893" i="36112"/>
  <c r="K1894" i="36112"/>
  <c r="P1894" i="36112"/>
  <c r="AD1894" i="36112" s="1"/>
  <c r="T1894" i="36112"/>
  <c r="U1894" i="36112" s="1"/>
  <c r="K1895" i="36112"/>
  <c r="P1895" i="36112"/>
  <c r="AD1895" i="36112" s="1"/>
  <c r="T1895" i="36112"/>
  <c r="U1895" i="36112" s="1"/>
  <c r="K1896" i="36112"/>
  <c r="P1896" i="36112"/>
  <c r="AD1896" i="36112" s="1"/>
  <c r="T1896" i="36112"/>
  <c r="U1896" i="36112" s="1"/>
  <c r="K1897" i="36112"/>
  <c r="P1897" i="36112"/>
  <c r="AD1897" i="36112" s="1"/>
  <c r="T1897" i="36112"/>
  <c r="U1897" i="36112" s="1"/>
  <c r="K1898" i="36112"/>
  <c r="P1898" i="36112"/>
  <c r="AD1898" i="36112" s="1"/>
  <c r="T1898" i="36112"/>
  <c r="U1898" i="36112" s="1"/>
  <c r="K1899" i="36112"/>
  <c r="P1899" i="36112"/>
  <c r="AD1899" i="36112" s="1"/>
  <c r="U1899" i="36112"/>
  <c r="K1900" i="36112"/>
  <c r="P1900" i="36112"/>
  <c r="AD1900" i="36112" s="1"/>
  <c r="T1900" i="36112"/>
  <c r="U1900" i="36112" s="1"/>
  <c r="K1901" i="36112"/>
  <c r="P1901" i="36112"/>
  <c r="AD1901" i="36112" s="1"/>
  <c r="U1901" i="36112"/>
  <c r="K1902" i="36112"/>
  <c r="P1902" i="36112"/>
  <c r="AD1902" i="36112" s="1"/>
  <c r="U1902" i="36112"/>
  <c r="K1903" i="36112"/>
  <c r="P1903" i="36112"/>
  <c r="AD1903" i="36112" s="1"/>
  <c r="U1903" i="36112"/>
  <c r="K1904" i="36112"/>
  <c r="P1904" i="36112"/>
  <c r="AD1904" i="36112" s="1"/>
  <c r="T1904" i="36112"/>
  <c r="U1904" i="36112" s="1"/>
  <c r="P1905" i="36112"/>
  <c r="AD1905" i="36112" s="1"/>
  <c r="T1905" i="36112"/>
  <c r="U1905" i="36112" s="1"/>
  <c r="K1906" i="36112"/>
  <c r="P1906" i="36112"/>
  <c r="AD1906" i="36112" s="1"/>
  <c r="T1906" i="36112"/>
  <c r="U1906" i="36112" s="1"/>
  <c r="K1907" i="36112"/>
  <c r="P1907" i="36112"/>
  <c r="AD1907" i="36112" s="1"/>
  <c r="T1907" i="36112"/>
  <c r="U1907" i="36112" s="1"/>
  <c r="K1908" i="36112"/>
  <c r="P1908" i="36112"/>
  <c r="AD1908" i="36112" s="1"/>
  <c r="T1908" i="36112"/>
  <c r="U1908" i="36112" s="1"/>
  <c r="K1909" i="36112"/>
  <c r="P1909" i="36112"/>
  <c r="AD1909" i="36112" s="1"/>
  <c r="T1909" i="36112"/>
  <c r="U1909" i="36112" s="1"/>
  <c r="K1910" i="36112"/>
  <c r="P1910" i="36112"/>
  <c r="AD1910" i="36112" s="1"/>
  <c r="T1910" i="36112"/>
  <c r="U1910" i="36112" s="1"/>
  <c r="K1911" i="36112"/>
  <c r="P1911" i="36112"/>
  <c r="AD1911" i="36112" s="1"/>
  <c r="T1911" i="36112"/>
  <c r="U1911" i="36112" s="1"/>
  <c r="K1912" i="36112"/>
  <c r="P1912" i="36112"/>
  <c r="AD1912" i="36112" s="1"/>
  <c r="T1912" i="36112"/>
  <c r="U1912" i="36112" s="1"/>
  <c r="K1913" i="36112"/>
  <c r="P1913" i="36112"/>
  <c r="AD1913" i="36112" s="1"/>
  <c r="T1913" i="36112"/>
  <c r="U1913" i="36112" s="1"/>
  <c r="L1914" i="36112"/>
  <c r="P1914" i="36112" s="1"/>
  <c r="AD1914" i="36112" s="1"/>
  <c r="T1914" i="36112"/>
  <c r="U1914" i="36112" s="1"/>
  <c r="K1915" i="36112"/>
  <c r="P1915" i="36112"/>
  <c r="AD1915" i="36112" s="1"/>
  <c r="U1915" i="36112"/>
  <c r="K1916" i="36112"/>
  <c r="P1916" i="36112"/>
  <c r="AD1916" i="36112" s="1"/>
  <c r="U1916" i="36112"/>
  <c r="K1917" i="36112"/>
  <c r="P1917" i="36112"/>
  <c r="AD1917" i="36112" s="1"/>
  <c r="U1917" i="36112"/>
  <c r="K1918" i="36112"/>
  <c r="P1918" i="36112"/>
  <c r="AD1918" i="36112" s="1"/>
  <c r="U1918" i="36112"/>
  <c r="K1919" i="36112"/>
  <c r="P1919" i="36112"/>
  <c r="AD1919" i="36112" s="1"/>
  <c r="U1919" i="36112"/>
  <c r="K1920" i="36112"/>
  <c r="P1920" i="36112"/>
  <c r="AD1920" i="36112" s="1"/>
  <c r="U1920" i="36112"/>
  <c r="K1921" i="36112"/>
  <c r="P1921" i="36112"/>
  <c r="AD1921" i="36112" s="1"/>
  <c r="U1921" i="36112"/>
  <c r="K1922" i="36112"/>
  <c r="P1922" i="36112"/>
  <c r="AD1922" i="36112" s="1"/>
  <c r="T1922" i="36112"/>
  <c r="U1922" i="36112" s="1"/>
  <c r="K1923" i="36112"/>
  <c r="P1923" i="36112"/>
  <c r="AD1923" i="36112" s="1"/>
  <c r="T1923" i="36112"/>
  <c r="U1923" i="36112" s="1"/>
  <c r="K1924" i="36112"/>
  <c r="P1924" i="36112"/>
  <c r="AD1924" i="36112" s="1"/>
  <c r="U1924" i="36112"/>
  <c r="K1925" i="36112"/>
  <c r="P1925" i="36112"/>
  <c r="AD1925" i="36112" s="1"/>
  <c r="U1925" i="36112"/>
  <c r="K1926" i="36112"/>
  <c r="P1926" i="36112"/>
  <c r="AD1926" i="36112" s="1"/>
  <c r="U1926" i="36112"/>
  <c r="K1927" i="36112"/>
  <c r="P1927" i="36112"/>
  <c r="AD1927" i="36112" s="1"/>
  <c r="T1927" i="36112"/>
  <c r="U1927" i="36112" s="1"/>
  <c r="K1928" i="36112"/>
  <c r="P1928" i="36112"/>
  <c r="AD1928" i="36112" s="1"/>
  <c r="T1928" i="36112"/>
  <c r="U1928" i="36112" s="1"/>
  <c r="K1929" i="36112"/>
  <c r="P1929" i="36112"/>
  <c r="AD1929" i="36112" s="1"/>
  <c r="U1929" i="36112"/>
  <c r="K1930" i="36112"/>
  <c r="P1930" i="36112"/>
  <c r="AD1930" i="36112" s="1"/>
  <c r="U1930" i="36112"/>
  <c r="K1931" i="36112"/>
  <c r="P1931" i="36112"/>
  <c r="AD1931" i="36112" s="1"/>
  <c r="U1931" i="36112"/>
  <c r="K1932" i="36112"/>
  <c r="P1932" i="36112"/>
  <c r="AD1932" i="36112" s="1"/>
  <c r="U1932" i="36112"/>
  <c r="K1933" i="36112"/>
  <c r="P1933" i="36112"/>
  <c r="AD1933" i="36112" s="1"/>
  <c r="U1933" i="36112"/>
  <c r="K1934" i="36112"/>
  <c r="P1934" i="36112"/>
  <c r="AD1934" i="36112" s="1"/>
  <c r="U1934" i="36112"/>
  <c r="K1935" i="36112"/>
  <c r="P1935" i="36112"/>
  <c r="AD1935" i="36112" s="1"/>
  <c r="U1935" i="36112"/>
  <c r="K1936" i="36112"/>
  <c r="P1936" i="36112"/>
  <c r="AD1936" i="36112" s="1"/>
  <c r="U1936" i="36112"/>
  <c r="K1937" i="36112"/>
  <c r="P1937" i="36112"/>
  <c r="AD1937" i="36112" s="1"/>
  <c r="U1937" i="36112"/>
  <c r="K1938" i="36112"/>
  <c r="P1938" i="36112"/>
  <c r="AD1938" i="36112" s="1"/>
  <c r="U1938" i="36112"/>
  <c r="K1939" i="36112"/>
  <c r="P1939" i="36112"/>
  <c r="AD1939" i="36112" s="1"/>
  <c r="U1939" i="36112"/>
  <c r="K1940" i="36112"/>
  <c r="P1940" i="36112"/>
  <c r="AD1940" i="36112" s="1"/>
  <c r="U1940" i="36112"/>
  <c r="L1941" i="36112"/>
  <c r="P1941" i="36112" s="1"/>
  <c r="AD1941" i="36112" s="1"/>
  <c r="U1941" i="36112"/>
  <c r="P1942" i="36112"/>
  <c r="AD1942" i="36112" s="1"/>
  <c r="U1942" i="36112"/>
  <c r="K1943" i="36112"/>
  <c r="P1943" i="36112"/>
  <c r="AD1943" i="36112" s="1"/>
  <c r="U1943" i="36112"/>
  <c r="K1944" i="36112"/>
  <c r="P1944" i="36112"/>
  <c r="AD1944" i="36112" s="1"/>
  <c r="U1944" i="36112"/>
  <c r="K1945" i="36112"/>
  <c r="P1945" i="36112"/>
  <c r="AD1945" i="36112" s="1"/>
  <c r="U1945" i="36112"/>
  <c r="K1946" i="36112"/>
  <c r="P1946" i="36112"/>
  <c r="AD1946" i="36112" s="1"/>
  <c r="U1946" i="36112"/>
  <c r="K1947" i="36112"/>
  <c r="P1947" i="36112"/>
  <c r="AD1947" i="36112" s="1"/>
  <c r="U1947" i="36112"/>
  <c r="K1948" i="36112"/>
  <c r="P1948" i="36112"/>
  <c r="AD1948" i="36112" s="1"/>
  <c r="U1948" i="36112"/>
  <c r="K1949" i="36112"/>
  <c r="P1949" i="36112"/>
  <c r="AD1949" i="36112" s="1"/>
  <c r="U1949" i="36112"/>
  <c r="K1950" i="36112"/>
  <c r="P1950" i="36112"/>
  <c r="AD1950" i="36112" s="1"/>
  <c r="U1950" i="36112"/>
  <c r="K1951" i="36112"/>
  <c r="P1951" i="36112"/>
  <c r="AD1951" i="36112" s="1"/>
  <c r="U1951" i="36112"/>
  <c r="K1952" i="36112"/>
  <c r="P1952" i="36112"/>
  <c r="AD1952" i="36112" s="1"/>
  <c r="U1952" i="36112"/>
  <c r="K1953" i="36112"/>
  <c r="P1953" i="36112"/>
  <c r="AD1953" i="36112" s="1"/>
  <c r="U1953" i="36112"/>
  <c r="L1954" i="36112"/>
  <c r="P1954" i="36112" s="1"/>
  <c r="AD1954" i="36112" s="1"/>
  <c r="U1954" i="36112"/>
  <c r="L1955" i="36112"/>
  <c r="P1955" i="36112" s="1"/>
  <c r="AD1955" i="36112" s="1"/>
  <c r="U1955" i="36112"/>
  <c r="K1956" i="36112"/>
  <c r="P1956" i="36112"/>
  <c r="AD1956" i="36112" s="1"/>
  <c r="U1956" i="36112"/>
  <c r="K1957" i="36112"/>
  <c r="P1957" i="36112"/>
  <c r="AD1957" i="36112" s="1"/>
  <c r="U1957" i="36112"/>
  <c r="K1958" i="36112"/>
  <c r="P1958" i="36112"/>
  <c r="AD1958" i="36112" s="1"/>
  <c r="U1958" i="36112"/>
  <c r="K1959" i="36112"/>
  <c r="P1959" i="36112"/>
  <c r="AD1959" i="36112" s="1"/>
  <c r="U1959" i="36112"/>
  <c r="K1960" i="36112"/>
  <c r="P1960" i="36112"/>
  <c r="AD1960" i="36112" s="1"/>
  <c r="U1960" i="36112"/>
  <c r="H1961" i="36112"/>
  <c r="L1961" i="36112"/>
  <c r="P1961" i="36112" s="1"/>
  <c r="AD1961" i="36112" s="1"/>
  <c r="U1961" i="36112"/>
  <c r="K1962" i="36112"/>
  <c r="P1962" i="36112"/>
  <c r="AD1962" i="36112" s="1"/>
  <c r="U1962" i="36112"/>
  <c r="K1963" i="36112"/>
  <c r="P1963" i="36112"/>
  <c r="AD1963" i="36112" s="1"/>
  <c r="U1963" i="36112"/>
  <c r="K1964" i="36112"/>
  <c r="P1964" i="36112"/>
  <c r="AD1964" i="36112" s="1"/>
  <c r="U1964" i="36112"/>
  <c r="K1965" i="36112"/>
  <c r="P1965" i="36112"/>
  <c r="AD1965" i="36112" s="1"/>
  <c r="U1965" i="36112"/>
  <c r="K1966" i="36112"/>
  <c r="P1966" i="36112"/>
  <c r="AD1966" i="36112" s="1"/>
  <c r="U1966" i="36112"/>
  <c r="K1967" i="36112"/>
  <c r="P1967" i="36112"/>
  <c r="AD1967" i="36112" s="1"/>
  <c r="U1967" i="36112"/>
  <c r="K1968" i="36112"/>
  <c r="P1968" i="36112"/>
  <c r="AD1968" i="36112" s="1"/>
  <c r="U1968" i="36112"/>
  <c r="K1969" i="36112"/>
  <c r="P1969" i="36112"/>
  <c r="AD1969" i="36112" s="1"/>
  <c r="U1969" i="36112"/>
  <c r="K1970" i="36112"/>
  <c r="P1970" i="36112"/>
  <c r="AE1970" i="36112" s="1"/>
  <c r="U1970" i="36112"/>
  <c r="AB1970" i="36112"/>
  <c r="K1971" i="36112"/>
  <c r="P1971" i="36112"/>
  <c r="AD1971" i="36112" s="1"/>
  <c r="U1971" i="36112"/>
  <c r="K1972" i="36112"/>
  <c r="P1972" i="36112"/>
  <c r="AD1972" i="36112" s="1"/>
  <c r="U1972" i="36112"/>
  <c r="K1973" i="36112"/>
  <c r="P1973" i="36112"/>
  <c r="AD1973" i="36112" s="1"/>
  <c r="U1973" i="36112"/>
  <c r="K1974" i="36112"/>
  <c r="P1974" i="36112"/>
  <c r="AD1974" i="36112" s="1"/>
  <c r="U1974" i="36112"/>
  <c r="K1975" i="36112"/>
  <c r="P1975" i="36112"/>
  <c r="AD1975" i="36112" s="1"/>
  <c r="U1975" i="36112"/>
  <c r="K1988" i="36112"/>
  <c r="P1988" i="36112"/>
  <c r="AD1988" i="36112" s="1"/>
  <c r="U1988" i="36112"/>
  <c r="K1989" i="36112"/>
  <c r="P1989" i="36112"/>
  <c r="AD1989" i="36112" s="1"/>
  <c r="P1990" i="36112"/>
  <c r="AD1990" i="36112" s="1"/>
  <c r="P1991" i="36112"/>
  <c r="AD1991" i="36112" s="1"/>
  <c r="P1992" i="36112"/>
  <c r="AD1992" i="36112" s="1"/>
  <c r="P1993" i="36112"/>
  <c r="AD1993" i="36112" s="1"/>
  <c r="P1994" i="36112"/>
  <c r="AD1994" i="36112" s="1"/>
  <c r="P1995" i="36112"/>
  <c r="AD1995" i="36112" s="1"/>
  <c r="P1996" i="36112"/>
  <c r="AD1996" i="36112" s="1"/>
  <c r="P1997" i="36112"/>
  <c r="AD1997" i="36112" s="1"/>
  <c r="P1998" i="36112"/>
  <c r="AD1998" i="36112" s="1"/>
  <c r="P1999" i="36112"/>
  <c r="AD1999" i="36112" s="1"/>
  <c r="P2000" i="36112"/>
  <c r="AD2000" i="36112" s="1"/>
  <c r="P2001" i="36112"/>
  <c r="AD2001" i="36112" s="1"/>
  <c r="P2002" i="36112"/>
  <c r="AD2002" i="36112" s="1"/>
  <c r="P2003" i="36112"/>
  <c r="AD2003" i="36112" s="1"/>
  <c r="P2004" i="36112"/>
  <c r="AD2004" i="36112" s="1"/>
  <c r="P2005" i="36112"/>
  <c r="AD2005" i="36112" s="1"/>
  <c r="P2006" i="36112"/>
  <c r="AD2006" i="36112" s="1"/>
  <c r="L2007" i="36112"/>
  <c r="P2007" i="36112" s="1"/>
  <c r="AD2007" i="36112" s="1"/>
  <c r="L2008" i="36112"/>
  <c r="P2008" i="36112" s="1"/>
  <c r="AD2008" i="36112" s="1"/>
  <c r="P2009" i="36112"/>
  <c r="AD2009" i="36112" s="1"/>
  <c r="P2010" i="36112"/>
  <c r="AD2010" i="36112" s="1"/>
  <c r="P2011" i="36112"/>
  <c r="AD2011" i="36112" s="1"/>
  <c r="P2012" i="36112"/>
  <c r="AD2012" i="36112" s="1"/>
  <c r="P2013" i="36112"/>
  <c r="AD2013" i="36112" s="1"/>
  <c r="P2014" i="36112"/>
  <c r="AD2014" i="36112" s="1"/>
  <c r="P2015" i="36112"/>
  <c r="AD2015" i="36112" s="1"/>
  <c r="P2016" i="36112"/>
  <c r="AD2016" i="36112" s="1"/>
  <c r="P2017" i="36112"/>
  <c r="AD2017" i="36112" s="1"/>
  <c r="P2018" i="36112"/>
  <c r="AD2018" i="36112" s="1"/>
  <c r="P2019" i="36112"/>
  <c r="AD2019" i="36112" s="1"/>
  <c r="P2020" i="36112"/>
  <c r="AD2020" i="36112" s="1"/>
  <c r="P2021" i="36112"/>
  <c r="AD2021" i="36112" s="1"/>
  <c r="P2022" i="36112"/>
  <c r="AD2022" i="36112" s="1"/>
  <c r="L2024" i="36112"/>
  <c r="P2024" i="36112" s="1"/>
  <c r="AD2024" i="36112" s="1"/>
  <c r="L2025" i="36112"/>
  <c r="P2025" i="36112" s="1"/>
  <c r="AD2025" i="36112" s="1"/>
  <c r="P2026" i="36112"/>
  <c r="AD2026" i="36112" s="1"/>
  <c r="P2027" i="36112"/>
  <c r="AD2027" i="36112" s="1"/>
  <c r="P2028" i="36112"/>
  <c r="AD2028" i="36112" s="1"/>
  <c r="P2029" i="36112"/>
  <c r="AD2029" i="36112" s="1"/>
  <c r="L2034" i="36112"/>
  <c r="P2034" i="36112" s="1"/>
  <c r="AD2034" i="36112" s="1"/>
  <c r="U1989" i="36112"/>
  <c r="K1990" i="36112"/>
  <c r="U1990" i="36112"/>
  <c r="K1991" i="36112"/>
  <c r="U1991" i="36112"/>
  <c r="K1992" i="36112"/>
  <c r="U1992" i="36112"/>
  <c r="K1993" i="36112"/>
  <c r="U1993" i="36112"/>
  <c r="K1994" i="36112"/>
  <c r="U1994" i="36112"/>
  <c r="K1995" i="36112"/>
  <c r="U1995" i="36112"/>
  <c r="K1996" i="36112"/>
  <c r="U1996" i="36112"/>
  <c r="K1997" i="36112"/>
  <c r="U1997" i="36112"/>
  <c r="K1998" i="36112"/>
  <c r="U1998" i="36112"/>
  <c r="K1999" i="36112"/>
  <c r="T1999" i="36112"/>
  <c r="U1999" i="36112" s="1"/>
  <c r="K2000" i="36112"/>
  <c r="U2000" i="36112"/>
  <c r="K2001" i="36112"/>
  <c r="U2001" i="36112"/>
  <c r="K2002" i="36112"/>
  <c r="U2002" i="36112"/>
  <c r="K2003" i="36112"/>
  <c r="U2003" i="36112"/>
  <c r="K2004" i="36112"/>
  <c r="U2004" i="36112"/>
  <c r="K2005" i="36112"/>
  <c r="U2005" i="36112"/>
  <c r="K2006" i="36112"/>
  <c r="U2006" i="36112"/>
  <c r="T2007" i="36112"/>
  <c r="U2007" i="36112" s="1"/>
  <c r="T2008" i="36112"/>
  <c r="U2008" i="36112" s="1"/>
  <c r="K2009" i="36112"/>
  <c r="T2009" i="36112"/>
  <c r="U2009" i="36112" s="1"/>
  <c r="K2010" i="36112"/>
  <c r="U2010" i="36112"/>
  <c r="K2011" i="36112"/>
  <c r="U2011" i="36112"/>
  <c r="K2012" i="36112"/>
  <c r="U2012" i="36112"/>
  <c r="K2013" i="36112"/>
  <c r="U2013" i="36112"/>
  <c r="K2014" i="36112"/>
  <c r="U2014" i="36112"/>
  <c r="K2015" i="36112"/>
  <c r="U2015" i="36112"/>
  <c r="K2016" i="36112"/>
  <c r="U2016" i="36112"/>
  <c r="K2017" i="36112"/>
  <c r="U2017" i="36112"/>
  <c r="K2018" i="36112"/>
  <c r="U2018" i="36112"/>
  <c r="K2019" i="36112"/>
  <c r="U2019" i="36112"/>
  <c r="K2020" i="36112"/>
  <c r="U2020" i="36112"/>
  <c r="K2021" i="36112"/>
  <c r="U2021" i="36112"/>
  <c r="K2022" i="36112"/>
  <c r="U2022" i="36112"/>
  <c r="K2023" i="36112"/>
  <c r="P2023" i="36112"/>
  <c r="AE2023" i="36112" s="1"/>
  <c r="U2023" i="36112"/>
  <c r="AB2023" i="36112"/>
  <c r="T2024" i="36112"/>
  <c r="U2024" i="36112" s="1"/>
  <c r="U2025" i="36112"/>
  <c r="K2026" i="36112"/>
  <c r="U2026" i="36112"/>
  <c r="K2027" i="36112"/>
  <c r="U2027" i="36112"/>
  <c r="K2028" i="36112"/>
  <c r="U2028" i="36112"/>
  <c r="K2029" i="36112"/>
  <c r="U2029" i="36112"/>
  <c r="T2034" i="36112"/>
  <c r="U2034" i="36112" s="1"/>
  <c r="AA1" i="60"/>
  <c r="L59" i="60"/>
  <c r="H65" i="60"/>
  <c r="H70" i="60"/>
  <c r="H79" i="60"/>
  <c r="H118" i="60"/>
  <c r="H121" i="60"/>
  <c r="L121" i="60"/>
  <c r="H124" i="60"/>
  <c r="H127" i="60"/>
  <c r="H135" i="60"/>
  <c r="H165" i="60"/>
  <c r="H168" i="60"/>
  <c r="H177" i="60"/>
  <c r="L177" i="60"/>
  <c r="L183" i="60"/>
  <c r="AD215" i="60"/>
  <c r="AD218" i="60"/>
  <c r="AD221" i="60"/>
  <c r="AD224" i="60"/>
  <c r="AD233" i="60"/>
  <c r="AD236" i="60"/>
  <c r="AD239" i="60"/>
  <c r="AD242" i="60"/>
  <c r="AD245" i="60"/>
  <c r="AD248" i="60"/>
  <c r="AD251" i="60"/>
  <c r="AD254" i="60"/>
  <c r="AD260" i="60"/>
  <c r="L278" i="60"/>
  <c r="AD278" i="60" s="1"/>
  <c r="AD281" i="60"/>
  <c r="AD284" i="60"/>
  <c r="AD287" i="60"/>
  <c r="L290" i="60"/>
  <c r="AD290" i="60" s="1"/>
  <c r="L293" i="60"/>
  <c r="AD293" i="60" s="1"/>
  <c r="L294" i="60"/>
  <c r="AD296" i="60"/>
  <c r="AD299" i="60"/>
  <c r="AD302" i="60"/>
  <c r="D5" i="36128" s="1"/>
  <c r="AD305" i="60"/>
  <c r="AD308" i="60"/>
  <c r="AD311" i="60"/>
  <c r="E6" i="36128" s="1"/>
  <c r="AD314" i="60"/>
  <c r="AD317" i="60"/>
  <c r="AD328" i="60"/>
  <c r="AD331" i="60"/>
  <c r="AD334" i="60"/>
  <c r="AD337" i="60"/>
  <c r="N5" i="36128" s="1"/>
  <c r="AD340" i="60"/>
  <c r="O5" i="36128" s="1"/>
  <c r="AD343" i="60"/>
  <c r="AD346" i="60"/>
  <c r="AD349" i="60"/>
  <c r="AD352" i="60"/>
  <c r="AD355" i="60"/>
  <c r="AD358" i="60"/>
  <c r="R5" i="36128" s="1"/>
  <c r="AD361" i="60"/>
  <c r="AD364" i="60"/>
  <c r="T378" i="60"/>
  <c r="AD378" i="60"/>
  <c r="U5" i="36128" s="1"/>
  <c r="L381" i="60"/>
  <c r="AD381" i="60" s="1"/>
  <c r="L387" i="60"/>
  <c r="AD387" i="60" s="1"/>
  <c r="T387" i="60"/>
  <c r="L399" i="60"/>
  <c r="P399" i="60" s="1"/>
  <c r="U399" i="60"/>
  <c r="L412" i="60"/>
  <c r="P412" i="60" s="1"/>
  <c r="U412" i="60"/>
  <c r="L415" i="60"/>
  <c r="P415" i="60" s="1"/>
  <c r="U415" i="60"/>
  <c r="L418" i="60"/>
  <c r="AD418" i="60" s="1"/>
  <c r="T418" i="60"/>
  <c r="U418" i="60" s="1"/>
  <c r="L421" i="60"/>
  <c r="T421" i="60"/>
  <c r="U421" i="60"/>
  <c r="L424" i="60"/>
  <c r="AD424" i="60" s="1"/>
  <c r="T424" i="60"/>
  <c r="U424" i="60" s="1"/>
  <c r="L427" i="60"/>
  <c r="P427" i="60" s="1"/>
  <c r="U427" i="60"/>
  <c r="L430" i="60"/>
  <c r="P430" i="60" s="1"/>
  <c r="U430" i="60"/>
  <c r="L433" i="60"/>
  <c r="P433" i="60" s="1"/>
  <c r="U433" i="60"/>
  <c r="L436" i="60"/>
  <c r="P436" i="60" s="1"/>
  <c r="U436" i="60"/>
  <c r="L449" i="60"/>
  <c r="AD449" i="60" s="1"/>
  <c r="U449" i="60"/>
  <c r="L450" i="60"/>
  <c r="P450" i="60" s="1"/>
  <c r="U450" i="60"/>
  <c r="L451" i="60"/>
  <c r="P451" i="60" s="1"/>
  <c r="U451" i="60"/>
  <c r="L462" i="60"/>
  <c r="P462" i="60" s="1"/>
  <c r="AD462" i="60" s="1"/>
  <c r="BU5" i="36128" s="1"/>
  <c r="T462" i="60"/>
  <c r="L463" i="60"/>
  <c r="T463" i="60"/>
  <c r="U463" i="60" s="1"/>
  <c r="AD463" i="60"/>
  <c r="H464" i="60"/>
  <c r="L464" i="60"/>
  <c r="P464" i="60" s="1"/>
  <c r="AD464" i="60" s="1"/>
  <c r="T464" i="60"/>
  <c r="U464" i="60" s="1"/>
  <c r="L465" i="60"/>
  <c r="P465" i="60" s="1"/>
  <c r="AD465" i="60" s="1"/>
  <c r="T465" i="60"/>
  <c r="U465" i="60" s="1"/>
  <c r="L466" i="60"/>
  <c r="P466" i="60" s="1"/>
  <c r="AD466" i="60" s="1"/>
  <c r="U466" i="60"/>
  <c r="L467" i="60"/>
  <c r="P467" i="60" s="1"/>
  <c r="AD467" i="60" s="1"/>
  <c r="T467" i="60"/>
  <c r="U467" i="60" s="1"/>
  <c r="L468" i="60"/>
  <c r="P468" i="60" s="1"/>
  <c r="AD468" i="60" s="1"/>
  <c r="T468" i="60"/>
  <c r="U468" i="60" s="1"/>
  <c r="L478" i="60"/>
  <c r="U478" i="60"/>
  <c r="AD478" i="60"/>
  <c r="L479" i="60"/>
  <c r="P479" i="60" s="1"/>
  <c r="AD479" i="60" s="1"/>
  <c r="L480" i="60"/>
  <c r="P480" i="60" s="1"/>
  <c r="AD480" i="60" s="1"/>
  <c r="L481" i="60"/>
  <c r="P481" i="60" s="1"/>
  <c r="AD481" i="60" s="1"/>
  <c r="CJ6" i="36128" s="1"/>
  <c r="U479" i="60"/>
  <c r="T480" i="60"/>
  <c r="U480" i="60" s="1"/>
  <c r="U481" i="60"/>
  <c r="L492" i="60"/>
  <c r="P492" i="60" s="1"/>
  <c r="AD492" i="60" s="1"/>
  <c r="U492" i="60"/>
  <c r="L493" i="60"/>
  <c r="P493" i="60" s="1"/>
  <c r="AD493" i="60" s="1"/>
  <c r="T493" i="60"/>
  <c r="U493" i="60" s="1"/>
  <c r="L494" i="60"/>
  <c r="P494" i="60" s="1"/>
  <c r="AD494" i="60" s="1"/>
  <c r="T494" i="60"/>
  <c r="U494" i="60" s="1"/>
  <c r="L495" i="60"/>
  <c r="P495" i="60" s="1"/>
  <c r="AD495" i="60" s="1"/>
  <c r="T495" i="60"/>
  <c r="U495" i="60" s="1"/>
  <c r="L496" i="60"/>
  <c r="P496" i="60" s="1"/>
  <c r="AD496" i="60" s="1"/>
  <c r="L497" i="60"/>
  <c r="P497" i="60" s="1"/>
  <c r="AD497" i="60" s="1"/>
  <c r="L498" i="60"/>
  <c r="P498" i="60" s="1"/>
  <c r="AD498" i="60" s="1"/>
  <c r="L499" i="60"/>
  <c r="P499" i="60" s="1"/>
  <c r="AD499" i="60" s="1"/>
  <c r="L500" i="60"/>
  <c r="P500" i="60" s="1"/>
  <c r="AD500" i="60" s="1"/>
  <c r="P501" i="60"/>
  <c r="AD501" i="60" s="1"/>
  <c r="P502" i="60"/>
  <c r="AD502" i="60" s="1"/>
  <c r="P503" i="60"/>
  <c r="AD503" i="60" s="1"/>
  <c r="P504" i="60"/>
  <c r="AD504" i="60" s="1"/>
  <c r="P505" i="60"/>
  <c r="AD505" i="60" s="1"/>
  <c r="P506" i="60"/>
  <c r="AD506" i="60" s="1"/>
  <c r="P507" i="60"/>
  <c r="AD507" i="60" s="1"/>
  <c r="P508" i="60"/>
  <c r="AD508" i="60" s="1"/>
  <c r="P509" i="60"/>
  <c r="AD509" i="60" s="1"/>
  <c r="T496" i="60"/>
  <c r="U496" i="60" s="1"/>
  <c r="T497" i="60"/>
  <c r="U497" i="60" s="1"/>
  <c r="T498" i="60"/>
  <c r="U498" i="60" s="1"/>
  <c r="T499" i="60"/>
  <c r="U499" i="60" s="1"/>
  <c r="T500" i="60"/>
  <c r="U500" i="60" s="1"/>
  <c r="T501" i="60"/>
  <c r="U501" i="60" s="1"/>
  <c r="T502" i="60"/>
  <c r="U502" i="60" s="1"/>
  <c r="K503" i="60"/>
  <c r="T503" i="60"/>
  <c r="U503" i="60" s="1"/>
  <c r="T504" i="60"/>
  <c r="U504" i="60" s="1"/>
  <c r="T505" i="60"/>
  <c r="U505" i="60" s="1"/>
  <c r="T506" i="60"/>
  <c r="U506" i="60" s="1"/>
  <c r="K507" i="60"/>
  <c r="T507" i="60"/>
  <c r="U507" i="60" s="1"/>
  <c r="K508" i="60"/>
  <c r="T508" i="60"/>
  <c r="U508" i="60" s="1"/>
  <c r="K509" i="60"/>
  <c r="T509" i="60"/>
  <c r="U509" i="60" s="1"/>
  <c r="K520" i="60"/>
  <c r="P520" i="60"/>
  <c r="AD520" i="60" s="1"/>
  <c r="U520" i="60"/>
  <c r="K521" i="60"/>
  <c r="P521" i="60"/>
  <c r="AD521" i="60" s="1"/>
  <c r="U521" i="60"/>
  <c r="K522" i="60"/>
  <c r="P522" i="60"/>
  <c r="AD522" i="60" s="1"/>
  <c r="U522" i="60"/>
  <c r="K523" i="60"/>
  <c r="P523" i="60"/>
  <c r="AD523" i="60" s="1"/>
  <c r="U523" i="60"/>
  <c r="K524" i="60"/>
  <c r="P524" i="60"/>
  <c r="AD524" i="60" s="1"/>
  <c r="U524" i="60"/>
  <c r="K525" i="60"/>
  <c r="P525" i="60"/>
  <c r="AD525" i="60" s="1"/>
  <c r="U525" i="60"/>
  <c r="K526" i="60"/>
  <c r="P526" i="60"/>
  <c r="AD526" i="60" s="1"/>
  <c r="U526" i="60"/>
  <c r="K527" i="60"/>
  <c r="P527" i="60"/>
  <c r="AD527" i="60" s="1"/>
  <c r="U527" i="60"/>
  <c r="K528" i="60"/>
  <c r="P528" i="60"/>
  <c r="AD528" i="60" s="1"/>
  <c r="U528" i="60"/>
  <c r="K529" i="60"/>
  <c r="P529" i="60"/>
  <c r="AD529" i="60" s="1"/>
  <c r="U529" i="60"/>
  <c r="K530" i="60"/>
  <c r="P530" i="60"/>
  <c r="AD530" i="60" s="1"/>
  <c r="U530" i="60"/>
  <c r="K531" i="60"/>
  <c r="P531" i="60"/>
  <c r="AD531" i="60" s="1"/>
  <c r="U531" i="60"/>
  <c r="K532" i="60"/>
  <c r="P532" i="60"/>
  <c r="AD532" i="60" s="1"/>
  <c r="U532" i="60"/>
  <c r="K533" i="60"/>
  <c r="P533" i="60"/>
  <c r="AD533" i="60" s="1"/>
  <c r="U533" i="60"/>
  <c r="K534" i="60"/>
  <c r="P534" i="60"/>
  <c r="AD534" i="60" s="1"/>
  <c r="K535" i="60"/>
  <c r="P535" i="60"/>
  <c r="AD535" i="60" s="1"/>
  <c r="T535" i="60"/>
  <c r="U535" i="60" s="1"/>
  <c r="K536" i="60"/>
  <c r="P536" i="60"/>
  <c r="AD536" i="60" s="1"/>
  <c r="T536" i="60"/>
  <c r="U536" i="60" s="1"/>
  <c r="L549" i="60"/>
  <c r="P549" i="60" s="1"/>
  <c r="AD549" i="60" s="1"/>
  <c r="U549" i="60"/>
  <c r="K550" i="60"/>
  <c r="P550" i="60"/>
  <c r="AD550" i="60" s="1"/>
  <c r="T550" i="60"/>
  <c r="U550" i="60" s="1"/>
  <c r="K551" i="60"/>
  <c r="P551" i="60"/>
  <c r="AD551" i="60" s="1"/>
  <c r="T551" i="60"/>
  <c r="U551" i="60" s="1"/>
  <c r="K552" i="60"/>
  <c r="P552" i="60"/>
  <c r="AD552" i="60" s="1"/>
  <c r="T552" i="60"/>
  <c r="U552" i="60" s="1"/>
  <c r="K553" i="60"/>
  <c r="P553" i="60"/>
  <c r="AD553" i="60" s="1"/>
  <c r="T553" i="60"/>
  <c r="U553" i="60" s="1"/>
  <c r="K554" i="60"/>
  <c r="P554" i="60"/>
  <c r="AD554" i="60" s="1"/>
  <c r="T554" i="60"/>
  <c r="U554" i="60" s="1"/>
  <c r="K555" i="60"/>
  <c r="P555" i="60"/>
  <c r="AD555" i="60" s="1"/>
  <c r="L556" i="60"/>
  <c r="P556" i="60" s="1"/>
  <c r="AD556" i="60" s="1"/>
  <c r="P557" i="60"/>
  <c r="AD557" i="60" s="1"/>
  <c r="P558" i="60"/>
  <c r="AD558" i="60" s="1"/>
  <c r="DT6" i="36128" s="1"/>
  <c r="P559" i="60"/>
  <c r="AD559" i="60" s="1"/>
  <c r="P560" i="60"/>
  <c r="AD560" i="60" s="1"/>
  <c r="P561" i="60"/>
  <c r="AD561" i="60" s="1"/>
  <c r="P562" i="60"/>
  <c r="AD562" i="60" s="1"/>
  <c r="P563" i="60"/>
  <c r="AD563" i="60" s="1"/>
  <c r="T555" i="60"/>
  <c r="U555" i="60" s="1"/>
  <c r="T556" i="60"/>
  <c r="U556" i="60" s="1"/>
  <c r="K557" i="60"/>
  <c r="T557" i="60"/>
  <c r="U557" i="60" s="1"/>
  <c r="K558" i="60"/>
  <c r="T558" i="60"/>
  <c r="U558" i="60" s="1"/>
  <c r="K559" i="60"/>
  <c r="T559" i="60"/>
  <c r="U559" i="60" s="1"/>
  <c r="K560" i="60"/>
  <c r="T560" i="60"/>
  <c r="U560" i="60" s="1"/>
  <c r="K561" i="60"/>
  <c r="T561" i="60"/>
  <c r="U561" i="60" s="1"/>
  <c r="K562" i="60"/>
  <c r="T562" i="60"/>
  <c r="U562" i="60" s="1"/>
  <c r="K563" i="60"/>
  <c r="T563" i="60"/>
  <c r="U563" i="60" s="1"/>
  <c r="K574" i="60"/>
  <c r="P574" i="60"/>
  <c r="AD574" i="60" s="1"/>
  <c r="EA5" i="36128" s="1"/>
  <c r="T574" i="60"/>
  <c r="U574" i="60" s="1"/>
  <c r="K575" i="60"/>
  <c r="P575" i="60"/>
  <c r="AD575" i="60" s="1"/>
  <c r="T575" i="60"/>
  <c r="U575" i="60" s="1"/>
  <c r="K576" i="60"/>
  <c r="P576" i="60"/>
  <c r="AD576" i="60" s="1"/>
  <c r="T576" i="60"/>
  <c r="U576" i="60" s="1"/>
  <c r="K577" i="60"/>
  <c r="P577" i="60"/>
  <c r="AD577" i="60" s="1"/>
  <c r="T577" i="60"/>
  <c r="U577" i="60" s="1"/>
  <c r="K578" i="60"/>
  <c r="P578" i="60"/>
  <c r="AD578" i="60" s="1"/>
  <c r="T578" i="60"/>
  <c r="U578" i="60" s="1"/>
  <c r="L579" i="60"/>
  <c r="P579" i="60" s="1"/>
  <c r="AD579" i="60" s="1"/>
  <c r="U579" i="60"/>
  <c r="K580" i="60"/>
  <c r="P580" i="60"/>
  <c r="AD580" i="60" s="1"/>
  <c r="EE6" i="36128" s="1"/>
  <c r="T580" i="60"/>
  <c r="U580" i="60" s="1"/>
  <c r="K581" i="60"/>
  <c r="P581" i="60"/>
  <c r="AD581" i="60" s="1"/>
  <c r="T581" i="60"/>
  <c r="U581" i="60" s="1"/>
  <c r="AA1" i="114"/>
  <c r="H154" i="114"/>
  <c r="H211" i="114"/>
  <c r="H226" i="114"/>
  <c r="H229" i="114"/>
  <c r="L244" i="114"/>
  <c r="L255" i="114"/>
  <c r="L258" i="114"/>
  <c r="H261" i="114"/>
  <c r="L261" i="114"/>
  <c r="H264" i="114"/>
  <c r="L270" i="114"/>
  <c r="H276" i="114"/>
  <c r="L282" i="114"/>
  <c r="H285" i="114"/>
  <c r="L285" i="114"/>
  <c r="L288" i="114"/>
  <c r="H291" i="114"/>
  <c r="L291" i="114"/>
  <c r="L298" i="114"/>
  <c r="L301" i="114"/>
  <c r="L304" i="114"/>
  <c r="H307" i="114"/>
  <c r="L307" i="114"/>
  <c r="H310" i="114"/>
  <c r="L313" i="114"/>
  <c r="H316" i="114"/>
  <c r="L316" i="114"/>
  <c r="L319" i="114"/>
  <c r="L322" i="114"/>
  <c r="H325" i="114"/>
  <c r="L325" i="114"/>
  <c r="L328" i="114"/>
  <c r="L331" i="114"/>
  <c r="H334" i="114"/>
  <c r="L334" i="114"/>
  <c r="L337" i="114"/>
  <c r="L340" i="114"/>
  <c r="H343" i="114"/>
  <c r="L343" i="114"/>
  <c r="L346" i="114"/>
  <c r="L349" i="114"/>
  <c r="H352" i="114"/>
  <c r="L352" i="114"/>
  <c r="L355" i="114"/>
  <c r="L362" i="114"/>
  <c r="L365" i="114"/>
  <c r="L368" i="114"/>
  <c r="L371" i="114"/>
  <c r="AD371" i="114"/>
  <c r="L374" i="114"/>
  <c r="AD374" i="114"/>
  <c r="L377" i="114"/>
  <c r="AD377" i="114"/>
  <c r="L380" i="114"/>
  <c r="L383" i="114"/>
  <c r="L386" i="114"/>
  <c r="L389" i="114"/>
  <c r="H392" i="114"/>
  <c r="L392" i="114"/>
  <c r="L395" i="114"/>
  <c r="L398" i="114"/>
  <c r="L401" i="114"/>
  <c r="L404" i="114"/>
  <c r="L407" i="114"/>
  <c r="L410" i="114"/>
  <c r="AD410" i="114"/>
  <c r="T410" i="114"/>
  <c r="L413" i="114"/>
  <c r="AD413" i="114"/>
  <c r="T413" i="114"/>
  <c r="H416" i="114"/>
  <c r="L416" i="114"/>
  <c r="L419" i="114"/>
  <c r="H422" i="114"/>
  <c r="L422" i="114"/>
  <c r="AD422" i="114"/>
  <c r="U422" i="114"/>
  <c r="L425" i="114"/>
  <c r="AD425" i="114"/>
  <c r="U425" i="114"/>
  <c r="L428" i="114"/>
  <c r="AD428" i="114"/>
  <c r="U428" i="114"/>
  <c r="L431" i="114"/>
  <c r="P431" i="114"/>
  <c r="U431" i="114"/>
  <c r="L434" i="114"/>
  <c r="P434" i="114"/>
  <c r="U434" i="114"/>
  <c r="L437" i="114"/>
  <c r="U437" i="114"/>
  <c r="L438" i="114"/>
  <c r="L440" i="114"/>
  <c r="AD440" i="114"/>
  <c r="U440" i="114"/>
  <c r="L443" i="114"/>
  <c r="AD443" i="114"/>
  <c r="U443" i="114"/>
  <c r="H446" i="114"/>
  <c r="L446" i="114"/>
  <c r="AD446" i="114"/>
  <c r="U446" i="114"/>
  <c r="L449" i="114"/>
  <c r="AD449" i="114"/>
  <c r="U449" i="114"/>
  <c r="L452" i="114"/>
  <c r="U452" i="114"/>
  <c r="L453" i="114"/>
  <c r="L455" i="114"/>
  <c r="P455" i="114"/>
  <c r="U455" i="114"/>
  <c r="L458" i="114"/>
  <c r="U458" i="114"/>
  <c r="H461" i="114"/>
  <c r="L461" i="114"/>
  <c r="P461" i="114"/>
  <c r="U461" i="114"/>
  <c r="H464" i="114"/>
  <c r="P464" i="114"/>
  <c r="U464" i="114"/>
  <c r="P467" i="114"/>
  <c r="U467" i="114"/>
  <c r="H470" i="114"/>
  <c r="L470" i="114"/>
  <c r="AD470" i="114"/>
  <c r="T470" i="114"/>
  <c r="U470" i="114"/>
  <c r="H473" i="114"/>
  <c r="L473" i="114"/>
  <c r="P473" i="114"/>
  <c r="T473" i="114"/>
  <c r="U473" i="114"/>
  <c r="H480" i="114"/>
  <c r="P480" i="114"/>
  <c r="T480" i="114"/>
  <c r="U480" i="114"/>
  <c r="AD480" i="114"/>
  <c r="H483" i="114"/>
  <c r="L483" i="114"/>
  <c r="AD483" i="114"/>
  <c r="T483" i="114"/>
  <c r="U483" i="114"/>
  <c r="P486" i="114"/>
  <c r="T486" i="114"/>
  <c r="U486" i="114"/>
  <c r="AD486" i="114"/>
  <c r="P489" i="114"/>
  <c r="T489" i="114"/>
  <c r="U489" i="114"/>
  <c r="AD489" i="114"/>
  <c r="P492" i="114"/>
  <c r="U492" i="114"/>
  <c r="P495" i="114"/>
  <c r="U495" i="114"/>
  <c r="P498" i="114"/>
  <c r="U498" i="114"/>
  <c r="AD498" i="114"/>
  <c r="P501" i="114"/>
  <c r="U501" i="114"/>
  <c r="AD501" i="114"/>
  <c r="P504" i="114"/>
  <c r="T504" i="114"/>
  <c r="U504" i="114"/>
  <c r="P507" i="114"/>
  <c r="T507" i="114"/>
  <c r="U507" i="114"/>
  <c r="P510" i="114"/>
  <c r="U510" i="114"/>
  <c r="AD510" i="114"/>
  <c r="P513" i="114"/>
  <c r="U513" i="114"/>
  <c r="AD513" i="114"/>
  <c r="P516" i="114"/>
  <c r="U516" i="114"/>
  <c r="AD516" i="114"/>
  <c r="P519" i="114"/>
  <c r="U519" i="114"/>
  <c r="AD519" i="114"/>
  <c r="P522" i="114"/>
  <c r="U522" i="114"/>
  <c r="AD522" i="114"/>
  <c r="P525" i="114"/>
  <c r="U525" i="114"/>
  <c r="AD525" i="114"/>
  <c r="P528" i="114"/>
  <c r="T528" i="114"/>
  <c r="U528" i="114"/>
  <c r="AD528" i="114"/>
  <c r="H529" i="114"/>
  <c r="P531" i="114"/>
  <c r="T531" i="114"/>
  <c r="U531" i="114"/>
  <c r="AD531" i="114"/>
  <c r="P534" i="114"/>
  <c r="T534" i="114"/>
  <c r="U534" i="114"/>
  <c r="AD534" i="114"/>
  <c r="P537" i="114"/>
  <c r="U537" i="114"/>
  <c r="P543" i="114"/>
  <c r="T543" i="114"/>
  <c r="U543" i="114"/>
  <c r="AD543" i="114"/>
  <c r="L546" i="114"/>
  <c r="AD546" i="114"/>
  <c r="U546" i="114"/>
  <c r="P549" i="114"/>
  <c r="U549" i="114"/>
  <c r="L552" i="114"/>
  <c r="P552" i="114"/>
  <c r="U552" i="114"/>
  <c r="P555" i="114"/>
  <c r="T555" i="114"/>
  <c r="U555" i="114"/>
  <c r="P558" i="114"/>
  <c r="T558" i="114"/>
  <c r="U558" i="114"/>
  <c r="L561" i="114"/>
  <c r="P561" i="114"/>
  <c r="U561" i="114"/>
  <c r="P564" i="114"/>
  <c r="U564" i="114"/>
  <c r="L567" i="114"/>
  <c r="T567" i="114"/>
  <c r="U567" i="114"/>
  <c r="L571" i="114"/>
  <c r="T571" i="114"/>
  <c r="U571" i="114"/>
  <c r="L575" i="114"/>
  <c r="AD575" i="114"/>
  <c r="U575" i="114"/>
  <c r="P578" i="114"/>
  <c r="T578" i="114"/>
  <c r="U578" i="114"/>
  <c r="L581" i="114"/>
  <c r="U581" i="114"/>
  <c r="P585" i="114"/>
  <c r="U585" i="114"/>
  <c r="L588" i="114"/>
  <c r="AD588" i="114"/>
  <c r="U588" i="114"/>
  <c r="P592" i="114"/>
  <c r="U592" i="114"/>
  <c r="P599" i="114"/>
  <c r="U599" i="114"/>
  <c r="L600" i="114"/>
  <c r="P600" i="114"/>
  <c r="T600" i="114"/>
  <c r="U600" i="114"/>
  <c r="L601" i="114"/>
  <c r="P601" i="114"/>
  <c r="U601" i="114"/>
  <c r="L602" i="114"/>
  <c r="P602" i="114"/>
  <c r="U602" i="114"/>
  <c r="L603" i="114"/>
  <c r="P603" i="114"/>
  <c r="U603" i="114"/>
  <c r="L604" i="114"/>
  <c r="P604" i="114"/>
  <c r="U604" i="114"/>
  <c r="P605" i="114"/>
  <c r="U605" i="114"/>
  <c r="L606" i="114"/>
  <c r="P606" i="114"/>
  <c r="U606" i="114"/>
  <c r="L607" i="114"/>
  <c r="P607" i="114"/>
  <c r="U607" i="114"/>
  <c r="L608" i="114"/>
  <c r="P608" i="114"/>
  <c r="U608" i="114"/>
  <c r="L609" i="114"/>
  <c r="T609" i="114"/>
  <c r="U609" i="114"/>
  <c r="L610" i="114"/>
  <c r="P610" i="114"/>
  <c r="U610" i="114"/>
  <c r="L611" i="114"/>
  <c r="T611" i="114"/>
  <c r="U611" i="114"/>
  <c r="L612" i="114"/>
  <c r="AD612" i="114"/>
  <c r="T612" i="114"/>
  <c r="U612" i="114"/>
  <c r="L617" i="114"/>
  <c r="P617" i="114"/>
  <c r="U617" i="114"/>
  <c r="L618" i="114"/>
  <c r="P618" i="114"/>
  <c r="T618" i="114"/>
  <c r="U618" i="114"/>
  <c r="L619" i="114"/>
  <c r="P619" i="114"/>
  <c r="T619" i="114"/>
  <c r="U619" i="114"/>
  <c r="L620" i="114"/>
  <c r="P620" i="114"/>
  <c r="T620" i="114"/>
  <c r="U620" i="114"/>
  <c r="L621" i="114"/>
  <c r="P621" i="114"/>
  <c r="U621" i="114"/>
  <c r="L622" i="114"/>
  <c r="P622" i="114"/>
  <c r="T622" i="114"/>
  <c r="U622" i="114"/>
  <c r="L623" i="114"/>
  <c r="T623" i="114"/>
  <c r="U623" i="114"/>
  <c r="L624" i="114"/>
  <c r="P624" i="114"/>
  <c r="T624" i="114"/>
  <c r="U624" i="114"/>
  <c r="L625" i="114"/>
  <c r="P625" i="114"/>
  <c r="T625" i="114"/>
  <c r="U625" i="114"/>
  <c r="L626" i="114"/>
  <c r="P626" i="114"/>
  <c r="T626" i="114"/>
  <c r="U626" i="114"/>
  <c r="L633" i="114"/>
  <c r="AD633" i="114"/>
  <c r="U633" i="114"/>
  <c r="L634" i="114"/>
  <c r="AD634" i="114"/>
  <c r="U634" i="114"/>
  <c r="L635" i="114"/>
  <c r="P635" i="114"/>
  <c r="T635" i="114"/>
  <c r="U635" i="114"/>
  <c r="L636" i="114"/>
  <c r="P636" i="114"/>
  <c r="AD636" i="114"/>
  <c r="T636" i="114"/>
  <c r="U636" i="114"/>
  <c r="L642" i="114"/>
  <c r="P642" i="114"/>
  <c r="AD642" i="114"/>
  <c r="T642" i="114"/>
  <c r="U642" i="114"/>
  <c r="L648" i="114"/>
  <c r="P648" i="114"/>
  <c r="AD648" i="114"/>
  <c r="T648" i="114"/>
  <c r="U648" i="114"/>
  <c r="L658" i="114"/>
  <c r="P658" i="114"/>
  <c r="AD658" i="114"/>
  <c r="T658" i="114"/>
  <c r="U658" i="114"/>
  <c r="P659" i="114"/>
  <c r="AD659" i="114"/>
  <c r="U659" i="114"/>
  <c r="L660" i="114"/>
  <c r="P660" i="114"/>
  <c r="AD660" i="114"/>
  <c r="U660" i="114"/>
  <c r="L668" i="114"/>
  <c r="P668" i="114"/>
  <c r="AD668" i="114"/>
  <c r="U668" i="114"/>
  <c r="L669" i="114"/>
  <c r="P669" i="114"/>
  <c r="AE669" i="114"/>
  <c r="U669" i="114"/>
  <c r="AB669" i="114"/>
  <c r="AA1" i="97"/>
  <c r="L15" i="97"/>
  <c r="AE15" i="97"/>
  <c r="L25" i="97"/>
  <c r="P25" i="97"/>
  <c r="AE25" i="97"/>
  <c r="L26" i="97"/>
  <c r="P26" i="97"/>
  <c r="AE26" i="97"/>
  <c r="T26" i="97"/>
  <c r="U26" i="97"/>
  <c r="AA1" i="102"/>
  <c r="L18" i="102"/>
  <c r="AD18" i="102"/>
  <c r="L19" i="102"/>
  <c r="AD19" i="102"/>
  <c r="AD28" i="102"/>
  <c r="AD29" i="102"/>
  <c r="AB35" i="102"/>
  <c r="AD30" i="102"/>
  <c r="AD31" i="102"/>
  <c r="T17" i="36128"/>
  <c r="L40" i="102"/>
  <c r="AD40" i="102"/>
  <c r="L41" i="102"/>
  <c r="U41" i="102"/>
  <c r="L51" i="102"/>
  <c r="AD51" i="102"/>
  <c r="T51" i="102"/>
  <c r="U51" i="102"/>
  <c r="L62" i="102"/>
  <c r="P62" i="102"/>
  <c r="U62" i="102"/>
  <c r="L73" i="102"/>
  <c r="AD73" i="102"/>
  <c r="T73" i="102"/>
  <c r="U73" i="102"/>
  <c r="L74" i="102"/>
  <c r="AD74" i="102"/>
  <c r="T74" i="102"/>
  <c r="U74" i="102"/>
  <c r="L75" i="102"/>
  <c r="P75" i="102"/>
  <c r="T75" i="102"/>
  <c r="U75" i="102"/>
  <c r="L87" i="102"/>
  <c r="P87" i="102"/>
  <c r="AD87" i="102"/>
  <c r="T87" i="102"/>
  <c r="U87" i="102"/>
  <c r="L98" i="102"/>
  <c r="P98" i="102"/>
  <c r="AD98" i="102"/>
  <c r="U98" i="102"/>
  <c r="L99" i="102"/>
  <c r="P99" i="102"/>
  <c r="AD99" i="102"/>
  <c r="T99" i="102"/>
  <c r="U99" i="102"/>
  <c r="L111" i="102"/>
  <c r="P111" i="102"/>
  <c r="AD111" i="102"/>
  <c r="T111" i="102"/>
  <c r="U111" i="102"/>
  <c r="L112" i="102"/>
  <c r="P112" i="102"/>
  <c r="AD112" i="102"/>
  <c r="T112" i="102"/>
  <c r="U112" i="102"/>
  <c r="L122" i="102"/>
  <c r="P122" i="102"/>
  <c r="AD122" i="102"/>
  <c r="T122" i="102"/>
  <c r="U122" i="102"/>
  <c r="L123" i="102"/>
  <c r="P123" i="102"/>
  <c r="AD123" i="102"/>
  <c r="T123" i="102"/>
  <c r="U123" i="102"/>
  <c r="L124" i="102"/>
  <c r="P124" i="102"/>
  <c r="AD124" i="102"/>
  <c r="T124" i="102"/>
  <c r="U124" i="102"/>
  <c r="L125" i="102"/>
  <c r="P125" i="102"/>
  <c r="AD125" i="102"/>
  <c r="T125" i="102"/>
  <c r="U125" i="102"/>
  <c r="L136" i="102"/>
  <c r="P136" i="102"/>
  <c r="AD136" i="102"/>
  <c r="U136" i="102"/>
  <c r="AA1" i="105"/>
  <c r="L8" i="105"/>
  <c r="L11" i="105"/>
  <c r="L17" i="105"/>
  <c r="L20" i="105"/>
  <c r="L23" i="105"/>
  <c r="L29" i="105"/>
  <c r="AD41" i="105"/>
  <c r="AD53" i="105"/>
  <c r="AB63" i="105"/>
  <c r="AD56" i="105"/>
  <c r="AD59" i="105"/>
  <c r="AD70" i="105"/>
  <c r="AD73" i="105"/>
  <c r="AD76" i="105"/>
  <c r="L79" i="105"/>
  <c r="P79" i="105"/>
  <c r="T79" i="105"/>
  <c r="U79" i="105"/>
  <c r="AD79" i="105"/>
  <c r="AE15" i="36128"/>
  <c r="L82" i="105"/>
  <c r="U82" i="105"/>
  <c r="L94" i="105"/>
  <c r="P94" i="105"/>
  <c r="T94" i="105"/>
  <c r="U94" i="105"/>
  <c r="AD94" i="105"/>
  <c r="L97" i="105"/>
  <c r="P97" i="105"/>
  <c r="U97" i="105"/>
  <c r="L100" i="105"/>
  <c r="T100" i="105"/>
  <c r="U100" i="105"/>
  <c r="L103" i="105"/>
  <c r="P103" i="105"/>
  <c r="T103" i="105"/>
  <c r="U103" i="105"/>
  <c r="L106" i="105"/>
  <c r="U106" i="105"/>
  <c r="L118" i="105"/>
  <c r="P118" i="105"/>
  <c r="T118" i="105"/>
  <c r="U118" i="105"/>
  <c r="L121" i="105"/>
  <c r="P121" i="105"/>
  <c r="T121" i="105"/>
  <c r="U121" i="105"/>
  <c r="L132" i="105"/>
  <c r="P132" i="105"/>
  <c r="T132" i="105"/>
  <c r="U132" i="105"/>
  <c r="AD132" i="105"/>
  <c r="L133" i="105"/>
  <c r="P133" i="105"/>
  <c r="T133" i="105"/>
  <c r="U133" i="105"/>
  <c r="L134" i="105"/>
  <c r="P134" i="105"/>
  <c r="T134" i="105"/>
  <c r="U134" i="105"/>
  <c r="L135" i="105"/>
  <c r="P135" i="105"/>
  <c r="U135" i="105"/>
  <c r="L136" i="105"/>
  <c r="P136" i="105"/>
  <c r="U136" i="105"/>
  <c r="L137" i="105"/>
  <c r="P137" i="105"/>
  <c r="T137" i="105"/>
  <c r="U137" i="105"/>
  <c r="L146" i="105"/>
  <c r="P146" i="105"/>
  <c r="AD146" i="105"/>
  <c r="L147" i="105"/>
  <c r="P147" i="105"/>
  <c r="T147" i="105"/>
  <c r="L148" i="105"/>
  <c r="P148" i="105"/>
  <c r="AD148" i="105"/>
  <c r="L149" i="105"/>
  <c r="P149" i="105"/>
  <c r="T149" i="105"/>
  <c r="U149" i="105"/>
  <c r="L150" i="105"/>
  <c r="P150" i="105"/>
  <c r="AD150" i="105"/>
  <c r="T150" i="105"/>
  <c r="U150" i="105"/>
  <c r="L151" i="105"/>
  <c r="P151" i="105"/>
  <c r="AD151" i="105"/>
  <c r="T151" i="105"/>
  <c r="U151" i="105"/>
  <c r="L152" i="105"/>
  <c r="P152" i="105"/>
  <c r="AD152" i="105"/>
  <c r="T152" i="105"/>
  <c r="U152" i="105"/>
  <c r="L164" i="105"/>
  <c r="P164" i="105"/>
  <c r="AD164" i="105"/>
  <c r="T164" i="105"/>
  <c r="U164" i="105"/>
  <c r="L165" i="105"/>
  <c r="P165" i="105"/>
  <c r="AD165" i="105"/>
  <c r="U165" i="105"/>
  <c r="L166" i="105"/>
  <c r="P166" i="105"/>
  <c r="AD166" i="105"/>
  <c r="T166" i="105"/>
  <c r="U166" i="105"/>
  <c r="L167" i="105"/>
  <c r="P167" i="105"/>
  <c r="AD167" i="105"/>
  <c r="U167" i="105"/>
  <c r="L177" i="105"/>
  <c r="P177" i="105"/>
  <c r="AD177" i="105"/>
  <c r="U177" i="105"/>
  <c r="L178" i="105"/>
  <c r="P178" i="105"/>
  <c r="AD178" i="105"/>
  <c r="U178" i="105"/>
  <c r="L179" i="105"/>
  <c r="P179" i="105"/>
  <c r="AD179" i="105"/>
  <c r="T179" i="105"/>
  <c r="U179" i="105"/>
  <c r="AA1" i="36113"/>
  <c r="K7" i="36113"/>
  <c r="P7" i="36113"/>
  <c r="AD7" i="36113"/>
  <c r="T7" i="36113"/>
  <c r="U7" i="36113"/>
  <c r="L14" i="36113"/>
  <c r="P14" i="36113"/>
  <c r="AD14" i="36113"/>
  <c r="T14" i="36113"/>
  <c r="U14" i="36113"/>
  <c r="AD22" i="111"/>
  <c r="L25" i="111"/>
  <c r="AD25" i="111"/>
  <c r="L38" i="111"/>
  <c r="AD38" i="111"/>
  <c r="AD41" i="111"/>
  <c r="AD47" i="111"/>
  <c r="L12" i="36128"/>
  <c r="L50" i="111"/>
  <c r="AD50" i="111"/>
  <c r="H53" i="111"/>
  <c r="L53" i="111"/>
  <c r="AD53" i="111"/>
  <c r="H56" i="111"/>
  <c r="L56" i="111"/>
  <c r="AD56" i="111"/>
  <c r="L62" i="111"/>
  <c r="AD62" i="111"/>
  <c r="AD73" i="111"/>
  <c r="L76" i="111"/>
  <c r="AD76" i="111"/>
  <c r="L79" i="111"/>
  <c r="AD79" i="111"/>
  <c r="L82" i="111"/>
  <c r="AD82" i="111"/>
  <c r="T82" i="111"/>
  <c r="L85" i="111"/>
  <c r="AD85" i="111"/>
  <c r="T85" i="111"/>
  <c r="L88" i="111"/>
  <c r="P88" i="111"/>
  <c r="T88" i="111"/>
  <c r="U88" i="111"/>
  <c r="L91" i="111"/>
  <c r="P91" i="111"/>
  <c r="U91" i="111"/>
  <c r="L94" i="111"/>
  <c r="P94" i="111"/>
  <c r="U94" i="111"/>
  <c r="L97" i="111"/>
  <c r="P97" i="111"/>
  <c r="T97" i="111"/>
  <c r="U97" i="111"/>
  <c r="L100" i="111"/>
  <c r="P100" i="111"/>
  <c r="T100" i="111"/>
  <c r="U100" i="111"/>
  <c r="L103" i="111"/>
  <c r="P103" i="111"/>
  <c r="T103" i="111"/>
  <c r="U103" i="111"/>
  <c r="H106" i="111"/>
  <c r="L106" i="111"/>
  <c r="AD106" i="111"/>
  <c r="T106" i="111"/>
  <c r="U106" i="111"/>
  <c r="L109" i="111"/>
  <c r="P109" i="111"/>
  <c r="U109" i="111"/>
  <c r="L112" i="111"/>
  <c r="P112" i="111"/>
  <c r="U112" i="111"/>
  <c r="L124" i="111"/>
  <c r="P124" i="111"/>
  <c r="T124" i="111"/>
  <c r="U124" i="111"/>
  <c r="L127" i="111"/>
  <c r="P127" i="111"/>
  <c r="T127" i="111"/>
  <c r="U127" i="111"/>
  <c r="L130" i="111"/>
  <c r="AD130" i="111"/>
  <c r="T130" i="111"/>
  <c r="U130" i="111"/>
  <c r="L133" i="111"/>
  <c r="AD133" i="111"/>
  <c r="T133" i="111"/>
  <c r="U133" i="111"/>
  <c r="L136" i="111"/>
  <c r="P136" i="111"/>
  <c r="U136" i="111"/>
  <c r="L139" i="111"/>
  <c r="AD139" i="111"/>
  <c r="U139" i="111"/>
  <c r="L142" i="111"/>
  <c r="P142" i="111"/>
  <c r="U142" i="111"/>
  <c r="L145" i="111"/>
  <c r="AD145" i="111"/>
  <c r="U145" i="111"/>
  <c r="L148" i="111"/>
  <c r="P148" i="111"/>
  <c r="U148" i="111"/>
  <c r="L151" i="111"/>
  <c r="P151" i="111"/>
  <c r="U151" i="111"/>
  <c r="L164" i="111"/>
  <c r="P164" i="111"/>
  <c r="U164" i="111"/>
  <c r="P167" i="111"/>
  <c r="T167" i="111"/>
  <c r="U167" i="111"/>
  <c r="AD167" i="111"/>
  <c r="P170" i="111"/>
  <c r="T170" i="111"/>
  <c r="U170" i="111"/>
  <c r="AD170" i="111"/>
  <c r="AW11" i="36128"/>
  <c r="L173" i="111"/>
  <c r="AD173" i="111"/>
  <c r="U173" i="111"/>
  <c r="L185" i="111"/>
  <c r="P185" i="111"/>
  <c r="T185" i="111"/>
  <c r="U185" i="111"/>
  <c r="L186" i="111"/>
  <c r="AD186" i="111"/>
  <c r="U186" i="111"/>
  <c r="L187" i="111"/>
  <c r="P187" i="111"/>
  <c r="U187" i="111"/>
  <c r="L188" i="111"/>
  <c r="P188" i="111"/>
  <c r="T188" i="111"/>
  <c r="U188" i="111"/>
  <c r="L189" i="111"/>
  <c r="AD189" i="111"/>
  <c r="T189" i="111"/>
  <c r="U189" i="111"/>
  <c r="L200" i="111"/>
  <c r="P200" i="111"/>
  <c r="AD200" i="111"/>
  <c r="T200" i="111"/>
  <c r="U200" i="111"/>
  <c r="L201" i="111"/>
  <c r="P201" i="111"/>
  <c r="AD201" i="111"/>
  <c r="T201" i="111"/>
  <c r="U201" i="111"/>
  <c r="L202" i="111"/>
  <c r="P202" i="111"/>
  <c r="AD202" i="111"/>
  <c r="T202" i="111"/>
  <c r="U202" i="111"/>
  <c r="L203" i="111"/>
  <c r="P203" i="111"/>
  <c r="AD203" i="111"/>
  <c r="T203" i="111"/>
  <c r="U203" i="111"/>
  <c r="L213" i="111"/>
  <c r="P213" i="111"/>
  <c r="AD213" i="111"/>
  <c r="U213" i="111"/>
  <c r="L214" i="111"/>
  <c r="P214" i="111"/>
  <c r="AD214" i="111"/>
  <c r="U214" i="111"/>
  <c r="L215" i="111"/>
  <c r="P215" i="111"/>
  <c r="AD215" i="111"/>
  <c r="U215" i="111"/>
  <c r="L216" i="111"/>
  <c r="P216" i="111"/>
  <c r="AD216" i="111"/>
  <c r="T216" i="111"/>
  <c r="U216" i="111"/>
  <c r="L217" i="111"/>
  <c r="P217" i="111"/>
  <c r="AD217" i="111"/>
  <c r="T217" i="111"/>
  <c r="U217" i="111"/>
  <c r="L218" i="111"/>
  <c r="P218" i="111"/>
  <c r="AD218" i="111"/>
  <c r="T218" i="111"/>
  <c r="U218" i="111"/>
  <c r="L230" i="111"/>
  <c r="P230" i="111"/>
  <c r="AD230" i="111"/>
  <c r="U230" i="111"/>
  <c r="L231" i="111"/>
  <c r="P231" i="111"/>
  <c r="AD231" i="111"/>
  <c r="T231" i="111"/>
  <c r="U231" i="111"/>
  <c r="K232" i="111"/>
  <c r="P232" i="111"/>
  <c r="AD232" i="111"/>
  <c r="T232" i="111"/>
  <c r="U232" i="111"/>
  <c r="K233" i="111"/>
  <c r="P233" i="111"/>
  <c r="AD233" i="111"/>
  <c r="T233" i="111"/>
  <c r="U233" i="111"/>
  <c r="K244" i="111"/>
  <c r="P244" i="111"/>
  <c r="T244" i="111"/>
  <c r="U244" i="111"/>
  <c r="AD244" i="111"/>
  <c r="DC12" i="36128"/>
  <c r="DC13" i="36128" s="1"/>
  <c r="K245" i="111"/>
  <c r="P245" i="111"/>
  <c r="U245" i="111"/>
  <c r="AD245" i="111"/>
  <c r="DG11" i="36128"/>
  <c r="K246" i="111"/>
  <c r="P246" i="111"/>
  <c r="AD246" i="111"/>
  <c r="T246" i="111"/>
  <c r="U246" i="111"/>
  <c r="K247" i="111"/>
  <c r="P247" i="111"/>
  <c r="AD247" i="111"/>
  <c r="T247" i="111"/>
  <c r="K248" i="111"/>
  <c r="P248" i="111"/>
  <c r="AD248" i="111"/>
  <c r="T248" i="111"/>
  <c r="K249" i="111"/>
  <c r="P249" i="111"/>
  <c r="AD249" i="111"/>
  <c r="T249" i="111"/>
  <c r="K264" i="111"/>
  <c r="P264" i="111"/>
  <c r="AD264" i="111"/>
  <c r="T264" i="111"/>
  <c r="U264" i="111"/>
  <c r="L265" i="111"/>
  <c r="P265" i="111"/>
  <c r="AD265" i="111"/>
  <c r="T265" i="111"/>
  <c r="U265" i="111"/>
  <c r="K266" i="111"/>
  <c r="P266" i="111"/>
  <c r="AD266" i="111"/>
  <c r="T266" i="111"/>
  <c r="U266" i="111"/>
  <c r="K267" i="111"/>
  <c r="P267" i="111"/>
  <c r="AD267" i="111"/>
  <c r="T267" i="111"/>
  <c r="U267" i="111"/>
  <c r="K279" i="111"/>
  <c r="P279" i="111"/>
  <c r="AD279" i="111"/>
  <c r="T279" i="111"/>
  <c r="U279" i="111"/>
  <c r="K280" i="111"/>
  <c r="P280" i="111"/>
  <c r="AD280" i="111"/>
  <c r="EB11" i="36128"/>
  <c r="T280" i="111"/>
  <c r="U280" i="111"/>
  <c r="K10" i="32"/>
  <c r="AD10" i="32"/>
  <c r="T10" i="32"/>
  <c r="L17" i="32"/>
  <c r="P17" i="32"/>
  <c r="H20" i="32"/>
  <c r="L20" i="32"/>
  <c r="P20" i="32"/>
  <c r="U20" i="32"/>
  <c r="L28" i="32"/>
  <c r="AD28" i="32"/>
  <c r="U28" i="32"/>
  <c r="L31" i="32"/>
  <c r="P31" i="32"/>
  <c r="U31" i="32"/>
  <c r="L34" i="32"/>
  <c r="P34" i="32"/>
  <c r="U34" i="32"/>
  <c r="L44" i="32"/>
  <c r="AD44" i="32"/>
  <c r="T44" i="32"/>
  <c r="U44" i="32"/>
  <c r="L45" i="32"/>
  <c r="P45" i="32"/>
  <c r="U45" i="32"/>
  <c r="L46" i="32"/>
  <c r="U46" i="32"/>
  <c r="L47" i="32"/>
  <c r="AD47" i="32"/>
  <c r="BJ27" i="36128"/>
  <c r="U47" i="32"/>
  <c r="L58" i="32"/>
  <c r="P58" i="32"/>
  <c r="AD58" i="32"/>
  <c r="L59" i="32"/>
  <c r="P59" i="32"/>
  <c r="AD59" i="32"/>
  <c r="U58" i="32"/>
  <c r="U59" i="32"/>
  <c r="L70" i="32"/>
  <c r="P70" i="32"/>
  <c r="U70" i="32"/>
  <c r="L71" i="32"/>
  <c r="P71" i="32"/>
  <c r="AD71" i="32"/>
  <c r="U71" i="32"/>
  <c r="L72" i="32"/>
  <c r="P72" i="32"/>
  <c r="AD72" i="32"/>
  <c r="T72" i="32"/>
  <c r="U72" i="32"/>
  <c r="L82" i="32"/>
  <c r="P82" i="32"/>
  <c r="AD82" i="32"/>
  <c r="U82" i="32"/>
  <c r="L83" i="32"/>
  <c r="P83" i="32"/>
  <c r="AD83" i="32"/>
  <c r="U83" i="32"/>
  <c r="P93" i="32"/>
  <c r="AD93" i="32"/>
  <c r="T93" i="32"/>
  <c r="U93" i="32"/>
  <c r="L105" i="32"/>
  <c r="P105" i="32"/>
  <c r="AD105" i="32"/>
  <c r="U105" i="32"/>
  <c r="AA1" i="111"/>
  <c r="AD44" i="111"/>
  <c r="K12" i="36128"/>
  <c r="AD59" i="111"/>
  <c r="L19" i="46"/>
  <c r="T19" i="46"/>
  <c r="AD19" i="46"/>
  <c r="BW35" i="36128"/>
  <c r="AB22" i="46"/>
  <c r="L29" i="46"/>
  <c r="P29" i="46"/>
  <c r="AD29" i="46"/>
  <c r="T29" i="46"/>
  <c r="U29" i="46"/>
  <c r="L30" i="46"/>
  <c r="L31" i="46"/>
  <c r="P31" i="46"/>
  <c r="AD31" i="46"/>
  <c r="L32" i="46"/>
  <c r="P32" i="46"/>
  <c r="AD32" i="46"/>
  <c r="L42" i="46"/>
  <c r="P42" i="46"/>
  <c r="AD42" i="46"/>
  <c r="T42" i="46"/>
  <c r="U42" i="46"/>
  <c r="L44" i="46"/>
  <c r="P44" i="46"/>
  <c r="AD44" i="46"/>
  <c r="U44" i="46"/>
  <c r="L45" i="46"/>
  <c r="P45" i="46"/>
  <c r="AD45" i="46"/>
  <c r="T45" i="46"/>
  <c r="U45" i="46"/>
  <c r="L46" i="46"/>
  <c r="P46" i="46"/>
  <c r="AD46" i="46"/>
  <c r="U46" i="46"/>
  <c r="L47" i="46"/>
  <c r="P47" i="46"/>
  <c r="AD47" i="46"/>
  <c r="T47" i="46"/>
  <c r="U47" i="46"/>
  <c r="L48" i="46"/>
  <c r="P48" i="46"/>
  <c r="AD48" i="46"/>
  <c r="T48" i="46"/>
  <c r="U48" i="46"/>
  <c r="L49" i="46"/>
  <c r="P49" i="46"/>
  <c r="AD49" i="46"/>
  <c r="T49" i="46"/>
  <c r="U49" i="46"/>
  <c r="L50" i="46"/>
  <c r="P50" i="46"/>
  <c r="AD50" i="46"/>
  <c r="T50" i="46"/>
  <c r="U50" i="46"/>
  <c r="L51" i="46"/>
  <c r="P51" i="46"/>
  <c r="AD51" i="46"/>
  <c r="T51" i="46"/>
  <c r="U51" i="46"/>
  <c r="L52" i="46"/>
  <c r="P52" i="46"/>
  <c r="AD52" i="46"/>
  <c r="U52" i="46"/>
  <c r="K53" i="46"/>
  <c r="P53" i="46"/>
  <c r="AD53" i="46"/>
  <c r="T53" i="46"/>
  <c r="U53" i="46"/>
  <c r="K54" i="46"/>
  <c r="P54" i="46"/>
  <c r="AD54" i="46"/>
  <c r="T54" i="46"/>
  <c r="U54" i="46"/>
  <c r="K64" i="46"/>
  <c r="P64" i="46"/>
  <c r="AD64" i="46"/>
  <c r="T64" i="46"/>
  <c r="U64" i="46"/>
  <c r="K65" i="46"/>
  <c r="P65" i="46"/>
  <c r="AD65" i="46"/>
  <c r="T65" i="46"/>
  <c r="U65" i="46"/>
  <c r="K66" i="46"/>
  <c r="P66" i="46"/>
  <c r="AD66" i="46"/>
  <c r="T66" i="46"/>
  <c r="U66" i="46"/>
  <c r="K67" i="46"/>
  <c r="P67" i="46"/>
  <c r="AD67" i="46"/>
  <c r="T67" i="46"/>
  <c r="U67" i="46"/>
  <c r="K68" i="46"/>
  <c r="P68" i="46"/>
  <c r="AD68" i="46"/>
  <c r="U68" i="46"/>
  <c r="K69" i="46"/>
  <c r="P69" i="46"/>
  <c r="AD69" i="46"/>
  <c r="U69" i="46"/>
  <c r="K70" i="46"/>
  <c r="P70" i="46"/>
  <c r="AD70" i="46"/>
  <c r="U70" i="46"/>
  <c r="K71" i="46"/>
  <c r="P71" i="46"/>
  <c r="AD71" i="46"/>
  <c r="U71" i="46"/>
  <c r="K81" i="46"/>
  <c r="P81" i="46"/>
  <c r="AD81" i="46"/>
  <c r="T81" i="46"/>
  <c r="U81" i="46"/>
  <c r="K82" i="46"/>
  <c r="P82" i="46"/>
  <c r="AD82" i="46"/>
  <c r="P83" i="46"/>
  <c r="AD83" i="46"/>
  <c r="P84" i="46"/>
  <c r="AD84" i="46"/>
  <c r="P85" i="46"/>
  <c r="AD85" i="46"/>
  <c r="P86" i="46"/>
  <c r="AD86" i="46"/>
  <c r="L87" i="46"/>
  <c r="P87" i="46"/>
  <c r="AD87" i="46"/>
  <c r="L88" i="46"/>
  <c r="P88" i="46"/>
  <c r="AD88" i="46"/>
  <c r="L89" i="46"/>
  <c r="P89" i="46"/>
  <c r="AD89" i="46"/>
  <c r="L90" i="46"/>
  <c r="P90" i="46"/>
  <c r="AD90" i="46"/>
  <c r="L91" i="46"/>
  <c r="P91" i="46"/>
  <c r="AD91" i="46"/>
  <c r="L92" i="46"/>
  <c r="P92" i="46"/>
  <c r="AD92" i="46"/>
  <c r="T82" i="46"/>
  <c r="U82" i="46"/>
  <c r="K83" i="46"/>
  <c r="T83" i="46"/>
  <c r="U83" i="46"/>
  <c r="K84" i="46"/>
  <c r="T84" i="46"/>
  <c r="U84" i="46"/>
  <c r="K85" i="46"/>
  <c r="T85" i="46"/>
  <c r="U85" i="46"/>
  <c r="K86" i="46"/>
  <c r="U86" i="46"/>
  <c r="U87" i="46"/>
  <c r="T88" i="46"/>
  <c r="U88" i="46"/>
  <c r="T89" i="46"/>
  <c r="U89" i="46"/>
  <c r="T90" i="46"/>
  <c r="U90" i="46"/>
  <c r="T91" i="46"/>
  <c r="U91" i="46"/>
  <c r="T92" i="46"/>
  <c r="U92" i="46"/>
  <c r="K102" i="46"/>
  <c r="P102" i="46"/>
  <c r="AD102" i="46"/>
  <c r="T102" i="46"/>
  <c r="U102" i="46"/>
  <c r="L103" i="46"/>
  <c r="P103" i="46"/>
  <c r="AD103" i="46"/>
  <c r="T103" i="46"/>
  <c r="U103" i="46"/>
  <c r="K104" i="46"/>
  <c r="P104" i="46"/>
  <c r="AD104" i="46"/>
  <c r="T104" i="46"/>
  <c r="U104" i="46"/>
  <c r="L105" i="46"/>
  <c r="P105" i="46"/>
  <c r="AD105" i="46"/>
  <c r="U105" i="46"/>
  <c r="L106" i="46"/>
  <c r="P106" i="46"/>
  <c r="AD106" i="46"/>
  <c r="U106" i="46"/>
  <c r="K107" i="46"/>
  <c r="P107" i="46"/>
  <c r="AD107" i="46"/>
  <c r="T107" i="46"/>
  <c r="U107" i="46"/>
  <c r="L108" i="46"/>
  <c r="P108" i="46"/>
  <c r="AD108" i="46"/>
  <c r="T108" i="46"/>
  <c r="U108" i="46"/>
  <c r="L109" i="46"/>
  <c r="P109" i="46"/>
  <c r="AD109" i="46"/>
  <c r="T109" i="46"/>
  <c r="U109" i="46"/>
  <c r="K110" i="46"/>
  <c r="P110" i="46"/>
  <c r="AD110" i="46"/>
  <c r="U110" i="46"/>
  <c r="K111" i="46"/>
  <c r="P111" i="46"/>
  <c r="AD111" i="46"/>
  <c r="U111" i="46"/>
  <c r="AA1" i="46"/>
  <c r="L7" i="46"/>
  <c r="AD7" i="46"/>
  <c r="AD30" i="46"/>
  <c r="CJ35" i="36128"/>
  <c r="U30" i="46"/>
  <c r="T31" i="46"/>
  <c r="U31" i="46"/>
  <c r="T32" i="46"/>
  <c r="U32" i="46"/>
  <c r="L43" i="46"/>
  <c r="P43" i="46"/>
  <c r="AD43" i="46"/>
  <c r="U43" i="46"/>
  <c r="AA1" i="36114"/>
  <c r="L7" i="36114"/>
  <c r="P7" i="36114"/>
  <c r="T7" i="36114"/>
  <c r="U7" i="36114"/>
  <c r="AD7" i="36114"/>
  <c r="L8" i="99"/>
  <c r="P8" i="99"/>
  <c r="U8" i="99"/>
  <c r="L21" i="99"/>
  <c r="AE21" i="99"/>
  <c r="P21" i="99"/>
  <c r="U21" i="99"/>
  <c r="AA1" i="100"/>
  <c r="L9" i="100"/>
  <c r="T9" i="100"/>
  <c r="T12" i="100"/>
  <c r="AD12" i="100"/>
  <c r="L15" i="100"/>
  <c r="T15" i="100"/>
  <c r="L18" i="100"/>
  <c r="T18" i="100"/>
  <c r="L21" i="100"/>
  <c r="U21" i="100"/>
  <c r="L34" i="100"/>
  <c r="P34" i="100"/>
  <c r="T34" i="100"/>
  <c r="U34" i="100"/>
  <c r="AD34" i="100"/>
  <c r="L37" i="100"/>
  <c r="P37" i="100"/>
  <c r="U37" i="100"/>
  <c r="L48" i="100"/>
  <c r="P48" i="100"/>
  <c r="U48" i="100"/>
  <c r="L51" i="100"/>
  <c r="P51" i="100"/>
  <c r="T51" i="100"/>
  <c r="U51" i="100"/>
  <c r="L55" i="100"/>
  <c r="P55" i="100"/>
  <c r="U55" i="100"/>
  <c r="L59" i="100"/>
  <c r="P59" i="100"/>
  <c r="T59" i="100"/>
  <c r="U59" i="100"/>
  <c r="L69" i="100"/>
  <c r="P69" i="100"/>
  <c r="T69" i="100"/>
  <c r="U69" i="100"/>
  <c r="AB72" i="100"/>
  <c r="AB73" i="100"/>
  <c r="L81" i="100"/>
  <c r="P81" i="100"/>
  <c r="AD81" i="100"/>
  <c r="T81" i="100"/>
  <c r="U81" i="100"/>
  <c r="L82" i="100"/>
  <c r="P82" i="100"/>
  <c r="AD82" i="100"/>
  <c r="T82" i="100"/>
  <c r="U82" i="100"/>
  <c r="AA1" i="99"/>
  <c r="AA1" i="101"/>
  <c r="L9" i="101"/>
  <c r="AD9" i="101"/>
  <c r="L21" i="101"/>
  <c r="AD22" i="101"/>
  <c r="L25" i="101"/>
  <c r="AD25" i="101"/>
  <c r="L28" i="101"/>
  <c r="AD28" i="101"/>
  <c r="L31" i="101"/>
  <c r="AD31" i="101"/>
  <c r="L34" i="101"/>
  <c r="AD34" i="101"/>
  <c r="L37" i="101"/>
  <c r="AD37" i="101"/>
  <c r="O21" i="36128"/>
  <c r="L49" i="101"/>
  <c r="AD49" i="101"/>
  <c r="T49" i="101"/>
  <c r="L53" i="101"/>
  <c r="AD53" i="101"/>
  <c r="T53" i="101"/>
  <c r="L56" i="101"/>
  <c r="AD56" i="101"/>
  <c r="L59" i="101"/>
  <c r="U59" i="101"/>
  <c r="L62" i="101"/>
  <c r="AD62" i="101"/>
  <c r="T62" i="101"/>
  <c r="U62" i="101"/>
  <c r="L65" i="101"/>
  <c r="P65" i="101"/>
  <c r="T65" i="101"/>
  <c r="U65" i="101"/>
  <c r="AB80" i="101"/>
  <c r="AB81" i="101"/>
  <c r="AB82" i="101"/>
  <c r="AA1" i="36116"/>
  <c r="L11" i="36116"/>
  <c r="P11" i="36116"/>
  <c r="AD11" i="36116"/>
  <c r="T11" i="36116"/>
  <c r="U11" i="36116"/>
  <c r="AA1" i="32"/>
  <c r="AD62" i="102"/>
  <c r="AB66" i="102"/>
  <c r="T17" i="32"/>
  <c r="U17" i="32"/>
  <c r="AD148" i="111"/>
  <c r="AD112" i="111"/>
  <c r="AD187" i="111"/>
  <c r="BH12" i="36128"/>
  <c r="AD91" i="111"/>
  <c r="AD103" i="111"/>
  <c r="AD127" i="111"/>
  <c r="AD151" i="111"/>
  <c r="AP11" i="36128"/>
  <c r="P588" i="114"/>
  <c r="P443" i="114"/>
  <c r="P428" i="114"/>
  <c r="P425" i="114"/>
  <c r="P422" i="114"/>
  <c r="AD458" i="114"/>
  <c r="P458" i="114"/>
  <c r="AD59" i="101"/>
  <c r="P59" i="101"/>
  <c r="AD581" i="114"/>
  <c r="P581" i="114"/>
  <c r="AD51" i="100"/>
  <c r="P571" i="114"/>
  <c r="AD571" i="114"/>
  <c r="AD82" i="105"/>
  <c r="P82" i="105"/>
  <c r="AB46" i="105"/>
  <c r="AB45" i="105"/>
  <c r="AB87" i="105"/>
  <c r="P46" i="32"/>
  <c r="AD46" i="32"/>
  <c r="P437" i="114"/>
  <c r="AD437" i="114"/>
  <c r="P100" i="105"/>
  <c r="AD100" i="105"/>
  <c r="AD21" i="100"/>
  <c r="AC24" i="36128"/>
  <c r="P21" i="100"/>
  <c r="AD106" i="105"/>
  <c r="P106" i="105"/>
  <c r="AD452" i="114"/>
  <c r="P452" i="114"/>
  <c r="P130" i="111"/>
  <c r="P567" i="114"/>
  <c r="AD567" i="114"/>
  <c r="AD626" i="114"/>
  <c r="AD622" i="114"/>
  <c r="AD135" i="105"/>
  <c r="AD434" i="114"/>
  <c r="AD41" i="102"/>
  <c r="AE18" i="36128"/>
  <c r="P41" i="102"/>
  <c r="P51" i="102"/>
  <c r="AD59" i="100"/>
  <c r="P28" i="32"/>
  <c r="P546" i="114"/>
  <c r="AD55" i="100"/>
  <c r="BC23" i="36128"/>
  <c r="AD37" i="100"/>
  <c r="AB42" i="100"/>
  <c r="AD552" i="114"/>
  <c r="AB23" i="46"/>
  <c r="AD31" i="32"/>
  <c r="AB39" i="32"/>
  <c r="P62" i="101"/>
  <c r="AD623" i="114"/>
  <c r="P623" i="114"/>
  <c r="P189" i="111"/>
  <c r="AD65" i="101"/>
  <c r="AE21" i="36128"/>
  <c r="AD118" i="105"/>
  <c r="AD75" i="102"/>
  <c r="AD619" i="114"/>
  <c r="AF15" i="36128"/>
  <c r="AF16" i="36128" s="1"/>
  <c r="O15" i="36128"/>
  <c r="FI38" i="36128"/>
  <c r="CH38" i="36128"/>
  <c r="AV38" i="36128"/>
  <c r="AT38" i="36128"/>
  <c r="AH38" i="36128"/>
  <c r="V38" i="36128"/>
  <c r="J38" i="36128"/>
  <c r="P31" i="36125"/>
  <c r="AD31" i="36125"/>
  <c r="AD11" i="36125"/>
  <c r="AD9" i="36125"/>
  <c r="AD10" i="36125"/>
  <c r="CM32" i="36128"/>
  <c r="P69" i="36124"/>
  <c r="AD69" i="36124"/>
  <c r="AD57" i="36124"/>
  <c r="CJ30" i="36128"/>
  <c r="CO27" i="36128"/>
  <c r="AK23" i="36128"/>
  <c r="AJ24" i="36128"/>
  <c r="AJ23" i="36128"/>
  <c r="I21" i="36128"/>
  <c r="I20" i="36128"/>
  <c r="AE20" i="36128"/>
  <c r="AE22" i="36128" s="1"/>
  <c r="BQ18" i="36128"/>
  <c r="BQ17" i="36128"/>
  <c r="AW18" i="36128"/>
  <c r="AE17" i="36128"/>
  <c r="P18" i="36128"/>
  <c r="P17" i="36128"/>
  <c r="P19" i="36128" s="1"/>
  <c r="L18" i="36128"/>
  <c r="L17" i="36128"/>
  <c r="AW17" i="36128"/>
  <c r="AW19" i="36128" s="1"/>
  <c r="AY15" i="36128"/>
  <c r="AY16" i="36128" s="1"/>
  <c r="AY14" i="36128"/>
  <c r="AG15" i="36128"/>
  <c r="AG14" i="36128"/>
  <c r="BM15" i="36128"/>
  <c r="BM39" i="36128" s="1"/>
  <c r="AQ15" i="36128"/>
  <c r="AQ39" i="36128" s="1"/>
  <c r="AN15" i="36128"/>
  <c r="AF14" i="36128"/>
  <c r="Z15" i="36128"/>
  <c r="Z16" i="36128" s="1"/>
  <c r="W15" i="36128"/>
  <c r="U15" i="36128"/>
  <c r="U14" i="36128"/>
  <c r="P15" i="36128"/>
  <c r="P14" i="36128"/>
  <c r="BM14" i="36128"/>
  <c r="BM38" i="36128" s="1"/>
  <c r="AQ14" i="36128"/>
  <c r="AN14" i="36128"/>
  <c r="Z14" i="36128"/>
  <c r="O14" i="36128"/>
  <c r="AC12" i="36128"/>
  <c r="AC11" i="36128"/>
  <c r="AC13" i="36128" s="1"/>
  <c r="AP12" i="36128"/>
  <c r="AP13" i="36128" s="1"/>
  <c r="U12" i="36128"/>
  <c r="U11" i="36128"/>
  <c r="L11" i="36128"/>
  <c r="L187" i="36126"/>
  <c r="P187" i="36126"/>
  <c r="AD187" i="36126" s="1"/>
  <c r="L149" i="36126"/>
  <c r="AD149" i="36126" s="1"/>
  <c r="P177" i="36126"/>
  <c r="AD177" i="36126" s="1"/>
  <c r="AD146" i="36126"/>
  <c r="AW8" i="36128" s="1"/>
  <c r="AD87" i="36126"/>
  <c r="R9" i="36128" s="1"/>
  <c r="P30" i="36125"/>
  <c r="AD30" i="36125"/>
  <c r="P28" i="36125"/>
  <c r="AD28" i="36125"/>
  <c r="P29" i="36125"/>
  <c r="AD29" i="36125"/>
  <c r="L14" i="36127"/>
  <c r="AA1" i="36127"/>
  <c r="T199" i="36126"/>
  <c r="U199" i="36126" s="1"/>
  <c r="L199" i="36126"/>
  <c r="P199" i="36126" s="1"/>
  <c r="AD199" i="36126" s="1"/>
  <c r="U188" i="36126"/>
  <c r="L188" i="36126"/>
  <c r="P188" i="36126" s="1"/>
  <c r="AD188" i="36126" s="1"/>
  <c r="U187" i="36126"/>
  <c r="U177" i="36126"/>
  <c r="K177" i="36126"/>
  <c r="P164" i="36126"/>
  <c r="AD164" i="36126" s="1"/>
  <c r="T164" i="36126"/>
  <c r="U164" i="36126" s="1"/>
  <c r="K164" i="36126"/>
  <c r="P163" i="36126"/>
  <c r="AD163" i="36126" s="1"/>
  <c r="U163" i="36126"/>
  <c r="K163" i="36126"/>
  <c r="U149" i="36126"/>
  <c r="U146" i="36126"/>
  <c r="P146" i="36126"/>
  <c r="T134" i="36126"/>
  <c r="L134" i="36126"/>
  <c r="T131" i="36126"/>
  <c r="L131" i="36126"/>
  <c r="AD131" i="36126" s="1"/>
  <c r="T110" i="36126"/>
  <c r="AD110" i="36126" s="1"/>
  <c r="L110" i="36126"/>
  <c r="T107" i="36126"/>
  <c r="L107" i="36126"/>
  <c r="AD107" i="36126" s="1"/>
  <c r="T104" i="36126"/>
  <c r="AD104" i="36126" s="1"/>
  <c r="L104" i="36126"/>
  <c r="T101" i="36126"/>
  <c r="L101" i="36126"/>
  <c r="T98" i="36126"/>
  <c r="L98" i="36126"/>
  <c r="L75" i="36126"/>
  <c r="AD75" i="36126" s="1"/>
  <c r="L78" i="36126"/>
  <c r="AD78" i="36126" s="1"/>
  <c r="L81" i="36126"/>
  <c r="AD81" i="36126" s="1"/>
  <c r="N9" i="36128" s="1"/>
  <c r="L84" i="36126"/>
  <c r="AD84" i="36126" s="1"/>
  <c r="AD48" i="36126"/>
  <c r="AD51" i="36126"/>
  <c r="AD54" i="36126"/>
  <c r="AD57" i="36126"/>
  <c r="AD63" i="36126"/>
  <c r="AB57" i="36126"/>
  <c r="AB54" i="36126"/>
  <c r="AB51" i="36126"/>
  <c r="AB48" i="36126"/>
  <c r="AA1" i="36126"/>
  <c r="U67" i="36125"/>
  <c r="L67" i="36125"/>
  <c r="P67" i="36125"/>
  <c r="AD67" i="36125"/>
  <c r="FA32" i="36128"/>
  <c r="L56" i="36125"/>
  <c r="P56" i="36125"/>
  <c r="AD56" i="36125"/>
  <c r="T56" i="36125"/>
  <c r="U56" i="36125"/>
  <c r="T55" i="36125"/>
  <c r="U55" i="36125"/>
  <c r="L55" i="36125"/>
  <c r="P55" i="36125"/>
  <c r="AD55" i="36125"/>
  <c r="U45" i="36125"/>
  <c r="L45" i="36125"/>
  <c r="P45" i="36125"/>
  <c r="AD45" i="36125"/>
  <c r="U44" i="36125"/>
  <c r="L44" i="36125"/>
  <c r="P44" i="36125"/>
  <c r="AD44" i="36125"/>
  <c r="U43" i="36125"/>
  <c r="L43" i="36125"/>
  <c r="P43" i="36125"/>
  <c r="AD43" i="36125"/>
  <c r="T42" i="36125"/>
  <c r="U42" i="36125"/>
  <c r="L42" i="36125"/>
  <c r="P42" i="36125"/>
  <c r="AD42" i="36125"/>
  <c r="P33" i="36125"/>
  <c r="AD33" i="36125"/>
  <c r="T33" i="36125"/>
  <c r="U33" i="36125"/>
  <c r="P32" i="36125"/>
  <c r="AD32" i="36125"/>
  <c r="T32" i="36125"/>
  <c r="U32" i="36125"/>
  <c r="T31" i="36125"/>
  <c r="U31" i="36125"/>
  <c r="T30" i="36125"/>
  <c r="U30" i="36125"/>
  <c r="U29" i="36125"/>
  <c r="U28" i="36125"/>
  <c r="T22" i="36125"/>
  <c r="U22" i="36125"/>
  <c r="L22" i="36125"/>
  <c r="P22" i="36125"/>
  <c r="AD22" i="36125"/>
  <c r="T21" i="36125"/>
  <c r="U21" i="36125"/>
  <c r="L21" i="36125"/>
  <c r="P21" i="36125"/>
  <c r="AD21" i="36125"/>
  <c r="U20" i="36125"/>
  <c r="L20" i="36125"/>
  <c r="P20" i="36125"/>
  <c r="AD20" i="36125"/>
  <c r="U11" i="36125"/>
  <c r="L11" i="36125"/>
  <c r="T10" i="36125"/>
  <c r="U10" i="36125"/>
  <c r="L10" i="36125"/>
  <c r="T9" i="36125"/>
  <c r="U9" i="36125"/>
  <c r="L9" i="36125"/>
  <c r="AD8" i="36125"/>
  <c r="CL33" i="36128"/>
  <c r="U8" i="36125"/>
  <c r="L8" i="36125"/>
  <c r="U7" i="36125"/>
  <c r="L7" i="36125"/>
  <c r="P7" i="36125"/>
  <c r="AD7" i="36125"/>
  <c r="AA1" i="36125"/>
  <c r="L83" i="36124"/>
  <c r="P83" i="36124"/>
  <c r="AD83" i="36124"/>
  <c r="U83" i="36124"/>
  <c r="U69" i="36124"/>
  <c r="K69" i="36124"/>
  <c r="AD68" i="36124"/>
  <c r="DA29" i="36128"/>
  <c r="T68" i="36124"/>
  <c r="U68" i="36124"/>
  <c r="L68" i="36124"/>
  <c r="P68" i="36124"/>
  <c r="T59" i="36124"/>
  <c r="U59" i="36124"/>
  <c r="L59" i="36124"/>
  <c r="P59" i="36124"/>
  <c r="AD59" i="36124"/>
  <c r="T58" i="36124"/>
  <c r="U58" i="36124"/>
  <c r="L58" i="36124"/>
  <c r="P58" i="36124"/>
  <c r="AD58" i="36124"/>
  <c r="U57" i="36124"/>
  <c r="L57" i="36124"/>
  <c r="L45" i="36124"/>
  <c r="P45" i="36124"/>
  <c r="AD45" i="36124"/>
  <c r="T45" i="36124"/>
  <c r="U45" i="36124"/>
  <c r="T44" i="36124"/>
  <c r="U44" i="36124"/>
  <c r="L44" i="36124"/>
  <c r="P44" i="36124"/>
  <c r="AD44" i="36124"/>
  <c r="T34" i="36124"/>
  <c r="U34" i="36124"/>
  <c r="L34" i="36124"/>
  <c r="P34" i="36124"/>
  <c r="U33" i="36124"/>
  <c r="L33" i="36124"/>
  <c r="AD33" i="36124"/>
  <c r="L21" i="36124"/>
  <c r="AD21" i="36124"/>
  <c r="U21" i="36124"/>
  <c r="L8" i="36124"/>
  <c r="P8" i="36124"/>
  <c r="U8" i="36124"/>
  <c r="AA1" i="36124"/>
  <c r="DA30" i="36128"/>
  <c r="DA31" i="36128" s="1"/>
  <c r="AD134" i="36126"/>
  <c r="AB126" i="105"/>
  <c r="AB127" i="105"/>
  <c r="AB125" i="105"/>
  <c r="AD17" i="32"/>
  <c r="P483" i="114"/>
  <c r="P446" i="114"/>
  <c r="P449" i="114"/>
  <c r="P575" i="114"/>
  <c r="AD624" i="114"/>
  <c r="AD618" i="114"/>
  <c r="AD625" i="114"/>
  <c r="AD473" i="114"/>
  <c r="BH11" i="36128"/>
  <c r="BH13" i="36128" s="1"/>
  <c r="AD164" i="111"/>
  <c r="AS12" i="36128"/>
  <c r="AS39" i="36128" s="1"/>
  <c r="AD142" i="111"/>
  <c r="AN11" i="36128"/>
  <c r="DG12" i="36128"/>
  <c r="DG13" i="36128" s="1"/>
  <c r="AW12" i="36128"/>
  <c r="AW13" i="36128" s="1"/>
  <c r="AS11" i="36128"/>
  <c r="AS38" i="36128" s="1"/>
  <c r="K11" i="36128"/>
  <c r="AD97" i="111"/>
  <c r="L21" i="36128"/>
  <c r="L20" i="36128"/>
  <c r="AB47" i="105"/>
  <c r="P104" i="36126"/>
  <c r="AY27" i="36128"/>
  <c r="BC24" i="36128"/>
  <c r="AB86" i="105"/>
  <c r="CZ30" i="36128"/>
  <c r="CZ31" i="36128" s="1"/>
  <c r="CZ29" i="36128"/>
  <c r="BQ29" i="36128"/>
  <c r="BQ30" i="36128"/>
  <c r="BQ31" i="36128" s="1"/>
  <c r="CB24" i="36128"/>
  <c r="CB23" i="36128"/>
  <c r="AD34" i="36124"/>
  <c r="AB37" i="36124"/>
  <c r="AW9" i="36128"/>
  <c r="L15" i="36128"/>
  <c r="AE14" i="36128"/>
  <c r="AE16" i="36128" s="1"/>
  <c r="O20" i="36128"/>
  <c r="AC23" i="36128"/>
  <c r="AB34" i="102"/>
  <c r="AB36" i="102"/>
  <c r="AD621" i="114"/>
  <c r="AD455" i="114"/>
  <c r="AB64" i="105"/>
  <c r="AB65" i="105"/>
  <c r="AD48" i="100"/>
  <c r="P440" i="114"/>
  <c r="AD88" i="111"/>
  <c r="AB12" i="36128"/>
  <c r="S11" i="36128"/>
  <c r="AD103" i="105"/>
  <c r="CJ29" i="36128"/>
  <c r="AD8" i="36124"/>
  <c r="W14" i="36128"/>
  <c r="T18" i="36128"/>
  <c r="P47" i="32"/>
  <c r="AB74" i="100"/>
  <c r="AD18" i="100"/>
  <c r="AD9" i="100"/>
  <c r="AD635" i="114"/>
  <c r="AD561" i="114"/>
  <c r="AD98" i="36126"/>
  <c r="P149" i="36126"/>
  <c r="L14" i="36128"/>
  <c r="AK24" i="36128"/>
  <c r="AK25" i="36128" s="1"/>
  <c r="AB67" i="102"/>
  <c r="AB68" i="102"/>
  <c r="AD620" i="114"/>
  <c r="P470" i="114"/>
  <c r="W24" i="36128"/>
  <c r="W23" i="36128"/>
  <c r="CX14" i="36128"/>
  <c r="CX15" i="36128"/>
  <c r="CX16" i="36128" s="1"/>
  <c r="AB20" i="36128"/>
  <c r="AB21" i="36128"/>
  <c r="AB22" i="36128" s="1"/>
  <c r="AB20" i="97"/>
  <c r="AB19" i="97"/>
  <c r="CR15" i="36128"/>
  <c r="AB183" i="105"/>
  <c r="CR14" i="36128"/>
  <c r="CR16" i="36128" s="1"/>
  <c r="AB182" i="105"/>
  <c r="AX27" i="36128"/>
  <c r="AX26" i="36128"/>
  <c r="AX28" i="36128" s="1"/>
  <c r="P21" i="36124"/>
  <c r="U107" i="36126"/>
  <c r="U134" i="36126"/>
  <c r="AD133" i="105"/>
  <c r="U104" i="36126"/>
  <c r="AB88" i="105"/>
  <c r="AD15" i="100"/>
  <c r="Z24" i="36128"/>
  <c r="Z25" i="36128" s="1"/>
  <c r="BV29" i="36128"/>
  <c r="AB50" i="36124"/>
  <c r="BV30" i="36128"/>
  <c r="AB49" i="36124"/>
  <c r="EB29" i="36128"/>
  <c r="AB87" i="36124"/>
  <c r="AB86" i="36124"/>
  <c r="EB30" i="36128"/>
  <c r="Z23" i="36128"/>
  <c r="CE14" i="36128"/>
  <c r="CE15" i="36128"/>
  <c r="CE16" i="36128" s="1"/>
  <c r="BX14" i="36128"/>
  <c r="BX15" i="36128"/>
  <c r="BX16" i="36128" s="1"/>
  <c r="CU29" i="36128"/>
  <c r="CU31" i="36128" s="1"/>
  <c r="AB63" i="36124"/>
  <c r="CU30" i="36128"/>
  <c r="AB62" i="36124"/>
  <c r="AB14" i="101"/>
  <c r="AB15" i="101"/>
  <c r="AB13" i="101"/>
  <c r="AB87" i="100"/>
  <c r="AB86" i="100"/>
  <c r="BV14" i="36128"/>
  <c r="BV15" i="36128"/>
  <c r="BV16" i="36128" s="1"/>
  <c r="AB26" i="36124"/>
  <c r="AB27" i="36124"/>
  <c r="DG30" i="36128"/>
  <c r="AB74" i="36124"/>
  <c r="DG29" i="36128"/>
  <c r="DG31" i="36128" s="1"/>
  <c r="AB75" i="36124"/>
  <c r="AB41" i="101"/>
  <c r="K20" i="36128"/>
  <c r="AB42" i="101"/>
  <c r="K21" i="36128"/>
  <c r="CG14" i="36128"/>
  <c r="CG16" i="36128" s="1"/>
  <c r="CG15" i="36128"/>
  <c r="CA15" i="36128"/>
  <c r="CA16" i="36128" s="1"/>
  <c r="CA14" i="36128"/>
  <c r="AB158" i="105"/>
  <c r="BU15" i="36128"/>
  <c r="AB157" i="105"/>
  <c r="BU14" i="36128"/>
  <c r="AB30" i="97"/>
  <c r="AB29" i="97"/>
  <c r="AB42" i="97"/>
  <c r="AB43" i="97"/>
  <c r="AB41" i="97"/>
  <c r="Y21" i="36128"/>
  <c r="Y20" i="36128"/>
  <c r="AB70" i="101"/>
  <c r="AB71" i="101"/>
  <c r="AB69" i="101"/>
  <c r="N20" i="36128"/>
  <c r="N21" i="36128"/>
  <c r="AB27" i="100"/>
  <c r="AB28" i="100"/>
  <c r="AB26" i="100"/>
  <c r="U24" i="36128"/>
  <c r="U23" i="36128"/>
  <c r="CD15" i="36128"/>
  <c r="AB171" i="105"/>
  <c r="AB172" i="105"/>
  <c r="CD14" i="36128"/>
  <c r="AB41" i="100"/>
  <c r="AB43" i="100"/>
  <c r="AB24" i="46"/>
  <c r="AI704" i="60"/>
  <c r="AH705" i="60"/>
  <c r="AI705" i="60" s="1"/>
  <c r="AH703" i="60"/>
  <c r="BW36" i="36128"/>
  <c r="AH210" i="46"/>
  <c r="AD1449" i="36112"/>
  <c r="BD2" i="36128" s="1"/>
  <c r="P1501" i="36112"/>
  <c r="CJ36" i="36128"/>
  <c r="DD36" i="36128"/>
  <c r="DC11" i="36128"/>
  <c r="P133" i="111"/>
  <c r="AB11" i="36128"/>
  <c r="P139" i="111"/>
  <c r="AD185" i="111"/>
  <c r="AA11" i="36128"/>
  <c r="EB18" i="36128"/>
  <c r="EB17" i="36128"/>
  <c r="AA18" i="36128"/>
  <c r="AA17" i="36128"/>
  <c r="DO17" i="36128"/>
  <c r="DO18" i="36128"/>
  <c r="AB56" i="102"/>
  <c r="AL18" i="36128"/>
  <c r="AB55" i="102"/>
  <c r="AL17" i="36128"/>
  <c r="CL18" i="36128"/>
  <c r="CL17" i="36128"/>
  <c r="AB45" i="102"/>
  <c r="DP18" i="36128"/>
  <c r="AB129" i="102"/>
  <c r="DP17" i="36128"/>
  <c r="AB130" i="102"/>
  <c r="AB116" i="102"/>
  <c r="CQ18" i="36128"/>
  <c r="CQ17" i="36128"/>
  <c r="AB115" i="102"/>
  <c r="AB103" i="102"/>
  <c r="AB102" i="102"/>
  <c r="CJ17" i="36128"/>
  <c r="CJ19" i="36128" s="1"/>
  <c r="CJ18" i="36128"/>
  <c r="BG17" i="36128"/>
  <c r="AB79" i="102"/>
  <c r="BG18" i="36128"/>
  <c r="AB78" i="102"/>
  <c r="EF18" i="36128"/>
  <c r="EF17" i="36128"/>
  <c r="EF38" i="36128" s="1"/>
  <c r="CX18" i="36128"/>
  <c r="CX17" i="36128"/>
  <c r="H18" i="36128"/>
  <c r="H17" i="36128"/>
  <c r="EK18" i="36128"/>
  <c r="AB154" i="102"/>
  <c r="AB155" i="102"/>
  <c r="EK17" i="36128"/>
  <c r="FC18" i="36128"/>
  <c r="FC19" i="36128" s="1"/>
  <c r="FC17" i="36128"/>
  <c r="FP18" i="36128"/>
  <c r="FP17" i="36128"/>
  <c r="AB92" i="102"/>
  <c r="BZ17" i="36128"/>
  <c r="BZ18" i="36128"/>
  <c r="AB91" i="102"/>
  <c r="F17" i="36128"/>
  <c r="AB23" i="102"/>
  <c r="AB22" i="102"/>
  <c r="F18" i="36128"/>
  <c r="AB142" i="102"/>
  <c r="AB141" i="102"/>
  <c r="ES18" i="36128"/>
  <c r="ES17" i="36128"/>
  <c r="ES19" i="36128" s="1"/>
  <c r="AB44" i="102"/>
  <c r="FB2" i="36128"/>
  <c r="AD1380" i="36112"/>
  <c r="AD1437" i="36112"/>
  <c r="BA2" i="36128" s="1"/>
  <c r="AD1318" i="36112"/>
  <c r="AD1270" i="36112"/>
  <c r="AD1525" i="36112"/>
  <c r="AD1062" i="36112"/>
  <c r="AD1086" i="36112"/>
  <c r="AD1410" i="36112"/>
  <c r="EQ36" i="36128"/>
  <c r="EQ35" i="36128"/>
  <c r="EQ37" i="36128" s="1"/>
  <c r="CM36" i="36128"/>
  <c r="CM35" i="36128"/>
  <c r="CM37" i="36128" s="1"/>
  <c r="EP36" i="36128"/>
  <c r="EP35" i="36128"/>
  <c r="FP35" i="36128"/>
  <c r="FP36" i="36128"/>
  <c r="ES36" i="36128"/>
  <c r="ES35" i="36128"/>
  <c r="FA36" i="36128"/>
  <c r="FA35" i="36128"/>
  <c r="FA37" i="36128" s="1"/>
  <c r="FW35" i="36128"/>
  <c r="FW36" i="36128"/>
  <c r="EH36" i="36128"/>
  <c r="EH35" i="36128"/>
  <c r="EO36" i="36128"/>
  <c r="EO35" i="36128"/>
  <c r="FG36" i="36128"/>
  <c r="FG35" i="36128"/>
  <c r="FG37" i="36128" s="1"/>
  <c r="GC3" i="36128"/>
  <c r="P1524" i="36112"/>
  <c r="FH2" i="36128"/>
  <c r="P1352" i="36112"/>
  <c r="AD1306" i="36112"/>
  <c r="P1497" i="36112"/>
  <c r="AK12" i="36128"/>
  <c r="AK11" i="36128"/>
  <c r="X11" i="36128"/>
  <c r="X12" i="36128"/>
  <c r="X13" i="36128" s="1"/>
  <c r="Z11" i="36128"/>
  <c r="Z12" i="36128"/>
  <c r="DH11" i="36128"/>
  <c r="DH12" i="36128"/>
  <c r="DH13" i="36128" s="1"/>
  <c r="BP12" i="36128"/>
  <c r="BP39" i="36128" s="1"/>
  <c r="BP11" i="36128"/>
  <c r="EB12" i="36128"/>
  <c r="AD124" i="111"/>
  <c r="AJ11" i="36128"/>
  <c r="AD188" i="111"/>
  <c r="AB193" i="111"/>
  <c r="AD100" i="111"/>
  <c r="AD94" i="111"/>
  <c r="AD11" i="36128"/>
  <c r="P1183" i="36112"/>
  <c r="P1508" i="36112"/>
  <c r="AD1482" i="36112"/>
  <c r="FS3" i="36128"/>
  <c r="AD1488" i="36112"/>
  <c r="DY12" i="36128"/>
  <c r="DY11" i="36128"/>
  <c r="AB284" i="111"/>
  <c r="AB283" i="111"/>
  <c r="DO12" i="36128"/>
  <c r="DO11" i="36128"/>
  <c r="DO13" i="36128" s="1"/>
  <c r="AB224" i="111"/>
  <c r="AB223" i="111"/>
  <c r="CI11" i="36128"/>
  <c r="CI12" i="36128"/>
  <c r="AB207" i="111"/>
  <c r="AB206" i="111"/>
  <c r="BQ12" i="36128"/>
  <c r="BQ11" i="36128"/>
  <c r="AB254" i="111"/>
  <c r="AB255" i="111"/>
  <c r="DI12" i="36128"/>
  <c r="DI11" i="36128"/>
  <c r="AB237" i="111"/>
  <c r="AB238" i="111"/>
  <c r="CS12" i="36128"/>
  <c r="CS11" i="36128"/>
  <c r="CL11" i="36128"/>
  <c r="CL12" i="36128"/>
  <c r="BG12" i="36128"/>
  <c r="BG11" i="36128"/>
  <c r="DU12" i="36128"/>
  <c r="DU11" i="36128"/>
  <c r="DJ12" i="36128"/>
  <c r="DJ11" i="36128"/>
  <c r="CA11" i="36128"/>
  <c r="CA12" i="36128"/>
  <c r="AO12" i="36128"/>
  <c r="AO11" i="36128"/>
  <c r="FZ11" i="36128"/>
  <c r="FZ13" i="36128" s="1"/>
  <c r="FZ12" i="36128"/>
  <c r="FY12" i="36128"/>
  <c r="FY13" i="36128" s="1"/>
  <c r="CY11" i="36128"/>
  <c r="CY12" i="36128"/>
  <c r="CV11" i="36128"/>
  <c r="CV12" i="36128"/>
  <c r="CV13" i="36128" s="1"/>
  <c r="CM11" i="36128"/>
  <c r="CM12" i="36128"/>
  <c r="CK12" i="36128"/>
  <c r="CK11" i="36128"/>
  <c r="CK13" i="36128" s="1"/>
  <c r="N12" i="36128"/>
  <c r="N11" i="36128"/>
  <c r="AB67" i="111"/>
  <c r="I11" i="36128"/>
  <c r="I12" i="36128"/>
  <c r="AB66" i="111"/>
  <c r="EQ12" i="36128"/>
  <c r="AB293" i="111"/>
  <c r="EQ11" i="36128"/>
  <c r="AB294" i="111"/>
  <c r="AB273" i="111"/>
  <c r="DM11" i="36128"/>
  <c r="AB272" i="111"/>
  <c r="DM12" i="36128"/>
  <c r="BR12" i="36128"/>
  <c r="BR39" i="36128"/>
  <c r="BR11" i="36128"/>
  <c r="BR38" i="36128" s="1"/>
  <c r="AB179" i="111"/>
  <c r="AY11" i="36128"/>
  <c r="AB178" i="111"/>
  <c r="AY12" i="36128"/>
  <c r="AY13" i="36128" s="1"/>
  <c r="M12" i="36128"/>
  <c r="M11" i="36128"/>
  <c r="AB30" i="111"/>
  <c r="G12" i="36128"/>
  <c r="G13" i="36128" s="1"/>
  <c r="AB29" i="111"/>
  <c r="G11" i="36128"/>
  <c r="FC12" i="36128"/>
  <c r="FC11" i="36128"/>
  <c r="FK11" i="36128"/>
  <c r="FK38" i="36128" s="1"/>
  <c r="FK12" i="36128"/>
  <c r="FK39" i="36128" s="1"/>
  <c r="AA12" i="36128"/>
  <c r="AN12" i="36128"/>
  <c r="AN13" i="36128" s="1"/>
  <c r="AD109" i="111"/>
  <c r="AD136" i="111"/>
  <c r="P186" i="111"/>
  <c r="P173" i="111"/>
  <c r="P145" i="111"/>
  <c r="P106" i="111"/>
  <c r="AD12" i="36128"/>
  <c r="S12" i="36128"/>
  <c r="S13" i="36128" s="1"/>
  <c r="AB11" i="46"/>
  <c r="BA36" i="36128"/>
  <c r="AB10" i="46"/>
  <c r="BA35" i="36128"/>
  <c r="ED36" i="36128"/>
  <c r="ED35" i="36128"/>
  <c r="EB36" i="36128"/>
  <c r="EB35" i="36128"/>
  <c r="EB37" i="36128" s="1"/>
  <c r="DX36" i="36128"/>
  <c r="DX35" i="36128"/>
  <c r="DT36" i="36128"/>
  <c r="DT35" i="36128"/>
  <c r="DP35" i="36128"/>
  <c r="DP36" i="36128"/>
  <c r="DJ36" i="36128"/>
  <c r="DJ35" i="36128"/>
  <c r="DJ37" i="36128" s="1"/>
  <c r="CY35" i="36128"/>
  <c r="CY36" i="36128"/>
  <c r="CU35" i="36128"/>
  <c r="CU36" i="36128"/>
  <c r="AB58" i="46"/>
  <c r="CR36" i="36128"/>
  <c r="AB57" i="46"/>
  <c r="CR35" i="36128"/>
  <c r="CR37" i="36128" s="1"/>
  <c r="CK36" i="36128"/>
  <c r="CK35" i="36128"/>
  <c r="EI35" i="36128"/>
  <c r="EI38" i="36128" s="1"/>
  <c r="EI36" i="36128"/>
  <c r="EI39" i="36128" s="1"/>
  <c r="EN35" i="36128"/>
  <c r="AB147" i="46"/>
  <c r="AB146" i="46"/>
  <c r="EN36" i="36128"/>
  <c r="EN37" i="36128" s="1"/>
  <c r="EZ36" i="36128"/>
  <c r="EZ35" i="36128"/>
  <c r="GE36" i="36128"/>
  <c r="GE35" i="36128"/>
  <c r="DU36" i="36128"/>
  <c r="DU35" i="36128"/>
  <c r="DI35" i="36128"/>
  <c r="DI36" i="36128"/>
  <c r="AB75" i="46"/>
  <c r="DB36" i="36128"/>
  <c r="DB39" i="36128" s="1"/>
  <c r="AB74" i="46"/>
  <c r="DB35" i="36128"/>
  <c r="DB38" i="36128" s="1"/>
  <c r="ER35" i="36128"/>
  <c r="ER37" i="36128" s="1"/>
  <c r="ER36" i="36128"/>
  <c r="AB167" i="46"/>
  <c r="EX36" i="36128"/>
  <c r="EX39" i="36128" s="1"/>
  <c r="AB166" i="46"/>
  <c r="EX35" i="36128"/>
  <c r="EX38" i="36128" s="1"/>
  <c r="FD36" i="36128"/>
  <c r="FD35" i="36128"/>
  <c r="FE35" i="36128"/>
  <c r="FE36" i="36128"/>
  <c r="FE37" i="36128" s="1"/>
  <c r="EE36" i="36128"/>
  <c r="EE35" i="36128"/>
  <c r="EC36" i="36128"/>
  <c r="EC35" i="36128"/>
  <c r="AB121" i="46"/>
  <c r="AB122" i="46"/>
  <c r="EA35" i="36128"/>
  <c r="EA36" i="36128"/>
  <c r="EA37" i="36128" s="1"/>
  <c r="DY36" i="36128"/>
  <c r="DY37" i="36128" s="1"/>
  <c r="DY35" i="36128"/>
  <c r="DR36" i="36128"/>
  <c r="DR35" i="36128"/>
  <c r="DO35" i="36128"/>
  <c r="DO36" i="36128"/>
  <c r="DL35" i="36128"/>
  <c r="DL36" i="36128"/>
  <c r="DL37" i="36128" s="1"/>
  <c r="EJ35" i="36128"/>
  <c r="EJ37" i="36128" s="1"/>
  <c r="EJ36" i="36128"/>
  <c r="EV35" i="36128"/>
  <c r="EV36" i="36128"/>
  <c r="AB35" i="46"/>
  <c r="CI35" i="36128"/>
  <c r="AB36" i="46"/>
  <c r="CI36" i="36128"/>
  <c r="DQ36" i="36128"/>
  <c r="DQ37" i="36128" s="1"/>
  <c r="DQ35" i="36128"/>
  <c r="AB96" i="46"/>
  <c r="AB95" i="46"/>
  <c r="DG36" i="36128"/>
  <c r="DG35" i="36128"/>
  <c r="CW35" i="36128"/>
  <c r="CW36" i="36128"/>
  <c r="CW37" i="36128" s="1"/>
  <c r="CV36" i="36128"/>
  <c r="CV37" i="36128" s="1"/>
  <c r="CV35" i="36128"/>
  <c r="FB35" i="36128"/>
  <c r="FB36" i="36128"/>
  <c r="FF36" i="36128"/>
  <c r="FF35" i="36128"/>
  <c r="FX36" i="36128"/>
  <c r="FX35" i="36128"/>
  <c r="FX37" i="36128" s="1"/>
  <c r="DD35" i="36128"/>
  <c r="FT5" i="36128"/>
  <c r="FT38" i="36128" s="1"/>
  <c r="FQ3" i="36128"/>
  <c r="FQ2" i="36128"/>
  <c r="FQ38" i="36128" s="1"/>
  <c r="AG16" i="36128"/>
  <c r="AE19" i="36128"/>
  <c r="AJ25" i="36128"/>
  <c r="CJ5" i="36128"/>
  <c r="P418" i="60"/>
  <c r="AD421" i="60"/>
  <c r="P421" i="60"/>
  <c r="AF11" i="36128"/>
  <c r="AB38" i="36124"/>
  <c r="AB111" i="105"/>
  <c r="AO15" i="36128"/>
  <c r="AO14" i="36128"/>
  <c r="BB24" i="36128"/>
  <c r="BB23" i="36128"/>
  <c r="AB156" i="102"/>
  <c r="AA13" i="36124"/>
  <c r="AA14" i="36124"/>
  <c r="AA12" i="36124"/>
  <c r="AF12" i="36128"/>
  <c r="AB192" i="111"/>
  <c r="AB208" i="111"/>
  <c r="AB43" i="101"/>
  <c r="AB184" i="105"/>
  <c r="AB39" i="36124"/>
  <c r="AB116" i="111"/>
  <c r="AB46" i="102"/>
  <c r="AB63" i="100"/>
  <c r="AB76" i="36124"/>
  <c r="AB64" i="100"/>
  <c r="AB110" i="105"/>
  <c r="BE14" i="36128"/>
  <c r="AB140" i="105"/>
  <c r="AB141" i="105"/>
  <c r="AB142" i="105"/>
  <c r="BE15" i="36128"/>
  <c r="AB21" i="97"/>
  <c r="AB104" i="102"/>
  <c r="AB51" i="36124"/>
  <c r="AB225" i="111"/>
  <c r="AB285" i="111"/>
  <c r="AB131" i="102"/>
  <c r="AB173" i="105"/>
  <c r="AB88" i="36124"/>
  <c r="AB31" i="97"/>
  <c r="AB159" i="105"/>
  <c r="AB88" i="100"/>
  <c r="AB64" i="36124"/>
  <c r="AB28" i="36124"/>
  <c r="AI703" i="60"/>
  <c r="AI210" i="46"/>
  <c r="JQ36" i="36128"/>
  <c r="JQ35" i="36128"/>
  <c r="AL19" i="36128"/>
  <c r="AB31" i="111"/>
  <c r="AB274" i="111"/>
  <c r="AB68" i="111"/>
  <c r="BE12" i="36128"/>
  <c r="BE11" i="36128"/>
  <c r="AB24" i="102"/>
  <c r="AB57" i="102"/>
  <c r="AB143" i="102"/>
  <c r="AB93" i="102"/>
  <c r="AB80" i="102"/>
  <c r="AB117" i="102"/>
  <c r="AB97" i="46"/>
  <c r="FP37" i="36128"/>
  <c r="AB37" i="46"/>
  <c r="AB76" i="46"/>
  <c r="AB59" i="46"/>
  <c r="AB12" i="46"/>
  <c r="AB156" i="111"/>
  <c r="AJ12" i="36128"/>
  <c r="AB117" i="111"/>
  <c r="AB118" i="111"/>
  <c r="AB194" i="111"/>
  <c r="AB239" i="111"/>
  <c r="AB256" i="111"/>
  <c r="BO12" i="36128"/>
  <c r="BO11" i="36128"/>
  <c r="AM12" i="36128"/>
  <c r="AM11" i="36128"/>
  <c r="AG11" i="36128"/>
  <c r="AG12" i="36128"/>
  <c r="AB295" i="111"/>
  <c r="AB157" i="111"/>
  <c r="AB158" i="111"/>
  <c r="AB180" i="111"/>
  <c r="AB123" i="46"/>
  <c r="AB168" i="46"/>
  <c r="AB148" i="46"/>
  <c r="AB65" i="100"/>
  <c r="AB112" i="105"/>
  <c r="GY6" i="36128"/>
  <c r="GY5" i="36128"/>
  <c r="GX6" i="36128"/>
  <c r="GX7" i="36128" s="1"/>
  <c r="GX5" i="36128"/>
  <c r="GW6" i="36128"/>
  <c r="GW5" i="36128"/>
  <c r="GW38" i="36128" s="1"/>
  <c r="U898" i="36134"/>
  <c r="W898" i="36134" s="1"/>
  <c r="W901" i="36134"/>
  <c r="T19" i="36128"/>
  <c r="FP19" i="36128"/>
  <c r="GJ13" i="36128"/>
  <c r="U25" i="36128"/>
  <c r="EB13" i="36128"/>
  <c r="HF37" i="36128"/>
  <c r="BO13" i="36128"/>
  <c r="AD1340" i="36112"/>
  <c r="AB9" i="1"/>
  <c r="GI13" i="36128"/>
  <c r="AQ38" i="36128"/>
  <c r="EZ37" i="36128"/>
  <c r="AD1207" i="36112"/>
  <c r="AD1474" i="36112"/>
  <c r="AD1189" i="36112"/>
  <c r="AD1125" i="36112"/>
  <c r="AD1466" i="36112"/>
  <c r="P1493" i="36112"/>
  <c r="AD1470" i="36112"/>
  <c r="AD1273" i="36112"/>
  <c r="JZ3" i="36128"/>
  <c r="JZ39" i="36128" s="1"/>
  <c r="KQ2" i="36128"/>
  <c r="KQ38" i="36128" s="1"/>
  <c r="P1519" i="36112"/>
  <c r="P1512" i="36112"/>
  <c r="AD1512" i="36112"/>
  <c r="P1446" i="36112"/>
  <c r="P1285" i="36112"/>
  <c r="AD1285" i="36112"/>
  <c r="P1023" i="36112"/>
  <c r="ER2" i="36128"/>
  <c r="ER38" i="36128" s="1"/>
  <c r="ER3" i="36128"/>
  <c r="ER39" i="36128" s="1"/>
  <c r="AD1098" i="36112"/>
  <c r="P1213" i="36112"/>
  <c r="GE3" i="36128"/>
  <c r="P1279" i="36112"/>
  <c r="AD1279" i="36112"/>
  <c r="P1261" i="36112"/>
  <c r="P1158" i="36112"/>
  <c r="AD1158" i="36112"/>
  <c r="AH2396" i="36112"/>
  <c r="AI2396" i="36112" s="1"/>
  <c r="KM3" i="36128" s="1"/>
  <c r="KM2" i="36128"/>
  <c r="AD1516" i="36112"/>
  <c r="P1050" i="36112"/>
  <c r="AD1131" i="36112"/>
  <c r="AD1413" i="36112"/>
  <c r="AH2431" i="36112"/>
  <c r="AI2431" i="36112" s="1"/>
  <c r="KQ3" i="36128" s="1"/>
  <c r="KQ39" i="36128" s="1"/>
  <c r="AB7" i="1"/>
  <c r="AB8" i="1"/>
  <c r="KS5" i="36128"/>
  <c r="AH779" i="60"/>
  <c r="AI779" i="60" s="1"/>
  <c r="LG6" i="36128" s="1"/>
  <c r="LG39" i="36128" s="1"/>
  <c r="AH771" i="60"/>
  <c r="AI771" i="60" s="1"/>
  <c r="KW6" i="36128" s="1"/>
  <c r="LH5" i="36128"/>
  <c r="LH38" i="36128" s="1"/>
  <c r="ED5" i="36128"/>
  <c r="ED6" i="36128"/>
  <c r="GH5" i="36128"/>
  <c r="GH38" i="36128" s="1"/>
  <c r="GU5" i="36128"/>
  <c r="IJ6" i="36128"/>
  <c r="IJ5" i="36128"/>
  <c r="IJ38" i="36128" s="1"/>
  <c r="IR6" i="36128"/>
  <c r="IR5" i="36128"/>
  <c r="HY5" i="36128"/>
  <c r="HY6" i="36128"/>
  <c r="IH6" i="36128"/>
  <c r="IH5" i="36128"/>
  <c r="AH777" i="60"/>
  <c r="AI777" i="60" s="1"/>
  <c r="LD6" i="36128" s="1"/>
  <c r="LD39" i="36128" s="1"/>
  <c r="LD5" i="36128"/>
  <c r="LD38" i="36128" s="1"/>
  <c r="IC5" i="36128"/>
  <c r="IG5" i="36128"/>
  <c r="LC5" i="36128"/>
  <c r="AH730" i="60"/>
  <c r="AI730" i="60"/>
  <c r="HU5" i="36128"/>
  <c r="HU38" i="36128" s="1"/>
  <c r="O16" i="36128"/>
  <c r="BA37" i="36128"/>
  <c r="U16" i="36128"/>
  <c r="HB37" i="36128"/>
  <c r="GX37" i="36128"/>
  <c r="L22" i="36128"/>
  <c r="W16" i="36128"/>
  <c r="HC37" i="36128"/>
  <c r="DU13" i="36128"/>
  <c r="EF39" i="36128"/>
  <c r="HP2" i="36128"/>
  <c r="HP3" i="36128"/>
  <c r="AH2343" i="36112"/>
  <c r="AI2343" i="36112" s="1"/>
  <c r="AH2258" i="36112"/>
  <c r="AI2258" i="36112" s="1"/>
  <c r="AH2268" i="36112"/>
  <c r="AI2268" i="36112" s="1"/>
  <c r="KA40" i="36128"/>
  <c r="GL2" i="36128"/>
  <c r="GL38" i="36128" s="1"/>
  <c r="JZ2" i="36128"/>
  <c r="JZ38" i="36128" s="1"/>
  <c r="GE2" i="36128"/>
  <c r="AH2358" i="36112"/>
  <c r="AI2358" i="36112" s="1"/>
  <c r="AH2280" i="36112"/>
  <c r="AI2280" i="36112" s="1"/>
  <c r="JS3" i="36128" s="1"/>
  <c r="JS2" i="36128"/>
  <c r="HK2" i="36128"/>
  <c r="HK3" i="36128"/>
  <c r="AH2459" i="36112"/>
  <c r="AI2459" i="36112" s="1"/>
  <c r="ID3" i="36128"/>
  <c r="ID39" i="36128" s="1"/>
  <c r="AH2384" i="36112"/>
  <c r="AI2384" i="36112" s="1"/>
  <c r="AH2409" i="36112"/>
  <c r="AI2409" i="36112" s="1"/>
  <c r="AH2477" i="36112"/>
  <c r="AI2477" i="36112" s="1"/>
  <c r="LA2" i="36128"/>
  <c r="AI2507" i="36112"/>
  <c r="KT2" i="36128"/>
  <c r="KT38" i="36128" s="1"/>
  <c r="ED26" i="36128"/>
  <c r="ED27" i="36128"/>
  <c r="ED28" i="36128" s="1"/>
  <c r="CI27" i="36128"/>
  <c r="CI26" i="36128"/>
  <c r="BJ26" i="36128"/>
  <c r="BJ28" i="36128" s="1"/>
  <c r="CA27" i="36128"/>
  <c r="CA26" i="36128"/>
  <c r="DH27" i="36128"/>
  <c r="DH26" i="36128"/>
  <c r="FY27" i="36128"/>
  <c r="FY26" i="36128"/>
  <c r="CE27" i="36128"/>
  <c r="CE28" i="36128" s="1"/>
  <c r="CE26" i="36128"/>
  <c r="AB75" i="32"/>
  <c r="AB76" i="32"/>
  <c r="AB77" i="32"/>
  <c r="AB63" i="32"/>
  <c r="AB64" i="32"/>
  <c r="AB62" i="32"/>
  <c r="CW26" i="36128"/>
  <c r="CW27" i="36128"/>
  <c r="AB50" i="32"/>
  <c r="AB51" i="32"/>
  <c r="AB52" i="32"/>
  <c r="BE27" i="36128"/>
  <c r="BE26" i="36128"/>
  <c r="Z27" i="36128"/>
  <c r="Z26" i="36128"/>
  <c r="BJ39" i="36128"/>
  <c r="AB86" i="32"/>
  <c r="AB87" i="32"/>
  <c r="CO26" i="36128"/>
  <c r="CO28" i="36128" s="1"/>
  <c r="AY26" i="36128"/>
  <c r="AD20" i="32"/>
  <c r="AB38" i="32"/>
  <c r="AB40" i="32"/>
  <c r="P44" i="32"/>
  <c r="IM27" i="36128"/>
  <c r="IM28" i="36128" s="1"/>
  <c r="CM33" i="36128"/>
  <c r="CM34" i="36128" s="1"/>
  <c r="DH33" i="36128"/>
  <c r="CS33" i="36128"/>
  <c r="CS32" i="36128"/>
  <c r="EC33" i="36128"/>
  <c r="EC32" i="36128"/>
  <c r="EK32" i="36128"/>
  <c r="EK33" i="36128"/>
  <c r="CV33" i="36128"/>
  <c r="CV32" i="36128"/>
  <c r="DH32" i="36128"/>
  <c r="HX33" i="36128"/>
  <c r="HX32" i="36128"/>
  <c r="DI33" i="36128"/>
  <c r="DI32" i="36128"/>
  <c r="CK32" i="36128"/>
  <c r="CK33" i="36128"/>
  <c r="CY32" i="36128"/>
  <c r="CY33" i="36128"/>
  <c r="EG32" i="36128"/>
  <c r="EG33" i="36128"/>
  <c r="EU33" i="36128"/>
  <c r="EU32" i="36128"/>
  <c r="DJ32" i="36128"/>
  <c r="DJ33" i="36128"/>
  <c r="HP32" i="36128"/>
  <c r="HP33" i="36128"/>
  <c r="CL32" i="36128"/>
  <c r="FA33" i="36128"/>
  <c r="IT33" i="36128"/>
  <c r="IT32" i="36128"/>
  <c r="IO32" i="36128"/>
  <c r="IO33" i="36128"/>
  <c r="IT27" i="36128"/>
  <c r="IT26" i="36128"/>
  <c r="AR27" i="36128"/>
  <c r="AR26" i="36128"/>
  <c r="AB88" i="32"/>
  <c r="AB12" i="1" l="1"/>
  <c r="AB13" i="1"/>
  <c r="JC38" i="36128"/>
  <c r="AE1261" i="36134"/>
  <c r="U1261" i="36134"/>
  <c r="W1261" i="36134" s="1"/>
  <c r="F38" i="36128"/>
  <c r="CI37" i="36128"/>
  <c r="EB31" i="36128"/>
  <c r="M13" i="36128"/>
  <c r="FW37" i="36128"/>
  <c r="EP37" i="36128"/>
  <c r="CD16" i="36128"/>
  <c r="U13" i="36128"/>
  <c r="BC25" i="36128"/>
  <c r="BW37" i="36128"/>
  <c r="FF37" i="36128"/>
  <c r="AK13" i="36128"/>
  <c r="AY28" i="36128"/>
  <c r="AJ13" i="36128"/>
  <c r="FC13" i="36128"/>
  <c r="DM13" i="36128"/>
  <c r="I13" i="36128"/>
  <c r="AO13" i="36128"/>
  <c r="BG13" i="36128"/>
  <c r="DI13" i="36128"/>
  <c r="CI13" i="36128"/>
  <c r="IO34" i="36128"/>
  <c r="DJ39" i="36128"/>
  <c r="CK34" i="36128"/>
  <c r="EB19" i="36128"/>
  <c r="K22" i="36128"/>
  <c r="GK19" i="36128"/>
  <c r="P1367" i="36112"/>
  <c r="AD1240" i="36112"/>
  <c r="P1395" i="36112"/>
  <c r="AD954" i="36112"/>
  <c r="AD1264" i="36112"/>
  <c r="AD1177" i="36112"/>
  <c r="AJ2" i="36128" s="1"/>
  <c r="AJ38" i="36128" s="1"/>
  <c r="P1252" i="36112"/>
  <c r="AD1080" i="36112"/>
  <c r="AD1092" i="36112"/>
  <c r="P1309" i="36112"/>
  <c r="P1167" i="36112"/>
  <c r="P1321" i="36112"/>
  <c r="P1521" i="36112"/>
  <c r="HV3" i="36128"/>
  <c r="HV4" i="36128" s="1"/>
  <c r="GV3" i="36128"/>
  <c r="KN2" i="36128"/>
  <c r="KN38" i="36128" s="1"/>
  <c r="FG2" i="36128"/>
  <c r="AD1041" i="36112"/>
  <c r="P1514" i="36112"/>
  <c r="P1300" i="36112"/>
  <c r="AD1346" i="36112"/>
  <c r="KR2" i="36128"/>
  <c r="ES3" i="36128"/>
  <c r="FE2" i="36128"/>
  <c r="GF3" i="36128"/>
  <c r="GF39" i="36128" s="1"/>
  <c r="GN3" i="36128"/>
  <c r="CB2" i="36128"/>
  <c r="LK2" i="36128"/>
  <c r="LK38" i="36128" s="1"/>
  <c r="P1219" i="36112"/>
  <c r="IB2" i="36128"/>
  <c r="IB4" i="36128" s="1"/>
  <c r="KC2" i="36128"/>
  <c r="HZ3" i="36128"/>
  <c r="AD1192" i="36112"/>
  <c r="HJ2" i="36128"/>
  <c r="AD966" i="36112"/>
  <c r="AD1479" i="36112"/>
  <c r="IH3" i="36128"/>
  <c r="IH4" i="36128" s="1"/>
  <c r="EN2" i="36128"/>
  <c r="EN38" i="36128" s="1"/>
  <c r="CD2" i="36128"/>
  <c r="CD38" i="36128" s="1"/>
  <c r="AB40" i="1"/>
  <c r="AB41" i="1"/>
  <c r="JT2" i="36128"/>
  <c r="P1161" i="36112"/>
  <c r="P1452" i="36112"/>
  <c r="KD2" i="36128"/>
  <c r="KD38" i="36128" s="1"/>
  <c r="AD1095" i="36112"/>
  <c r="P1059" i="36112"/>
  <c r="KZ2" i="36128"/>
  <c r="AH2440" i="36112"/>
  <c r="AI2440" i="36112" s="1"/>
  <c r="KS3" i="36128" s="1"/>
  <c r="KS39" i="36128" s="1"/>
  <c r="HE2" i="36128"/>
  <c r="HE4" i="36128" s="1"/>
  <c r="AH2316" i="36112"/>
  <c r="AI2316" i="36112" s="1"/>
  <c r="JX3" i="36128" s="1"/>
  <c r="JX39" i="36128" s="1"/>
  <c r="JX40" i="36128" s="1"/>
  <c r="GU3" i="36128"/>
  <c r="AD1128" i="36112"/>
  <c r="AF2" i="36128" s="1"/>
  <c r="AF38" i="36128" s="1"/>
  <c r="LE3" i="36128"/>
  <c r="LE39" i="36128" s="1"/>
  <c r="JM2" i="36128"/>
  <c r="JM38" i="36128" s="1"/>
  <c r="JW2" i="36128"/>
  <c r="P1483" i="36112"/>
  <c r="AD1020" i="36112"/>
  <c r="AD1440" i="36112"/>
  <c r="AD1231" i="36112"/>
  <c r="IR3" i="36128"/>
  <c r="IR39" i="36128" s="1"/>
  <c r="P1467" i="36112"/>
  <c r="P1071" i="36112"/>
  <c r="HB2" i="36128"/>
  <c r="GX2" i="36128"/>
  <c r="P1044" i="36112"/>
  <c r="BU3" i="36128"/>
  <c r="IE3" i="36128"/>
  <c r="KW2" i="36128"/>
  <c r="IG3" i="36128"/>
  <c r="IG39" i="36128" s="1"/>
  <c r="HH3" i="36128"/>
  <c r="HH39" i="36128" s="1"/>
  <c r="HH40" i="36128" s="1"/>
  <c r="AD1149" i="36112"/>
  <c r="LE2" i="36128"/>
  <c r="LE38" i="36128" s="1"/>
  <c r="P1083" i="36112"/>
  <c r="P1110" i="36112"/>
  <c r="AD1504" i="36112"/>
  <c r="P1005" i="36112"/>
  <c r="AD1074" i="36112"/>
  <c r="AD1002" i="36112"/>
  <c r="BS2" i="36128"/>
  <c r="BS38" i="36128" s="1"/>
  <c r="KP2" i="36128"/>
  <c r="HX2" i="36128"/>
  <c r="AD1032" i="36112"/>
  <c r="HK4" i="36128"/>
  <c r="JJ2" i="36128"/>
  <c r="JJ38" i="36128" s="1"/>
  <c r="P1511" i="36112"/>
  <c r="P1258" i="36112"/>
  <c r="HG3" i="36128"/>
  <c r="HG39" i="36128" s="1"/>
  <c r="KF2" i="36128"/>
  <c r="KF38" i="36128" s="1"/>
  <c r="HN2" i="36128"/>
  <c r="HN4" i="36128" s="1"/>
  <c r="AD1152" i="36112"/>
  <c r="AD1377" i="36112"/>
  <c r="AD1386" i="36112"/>
  <c r="P1315" i="36112"/>
  <c r="GN2" i="36128"/>
  <c r="GN38" i="36128" s="1"/>
  <c r="P1361" i="36112"/>
  <c r="AD1473" i="36112"/>
  <c r="AD1489" i="36112"/>
  <c r="AD1492" i="36112"/>
  <c r="AD1029" i="36112"/>
  <c r="P1457" i="36112"/>
  <c r="P1503" i="36112"/>
  <c r="P1389" i="36112"/>
  <c r="AD1122" i="36112"/>
  <c r="P1237" i="36112"/>
  <c r="AD1246" i="36112"/>
  <c r="AM2" i="36128" s="1"/>
  <c r="AM38" i="36128" s="1"/>
  <c r="P1422" i="36112"/>
  <c r="JM3" i="36128"/>
  <c r="HI3" i="36128"/>
  <c r="FC2" i="36128"/>
  <c r="HC3" i="36128"/>
  <c r="IF3" i="36128"/>
  <c r="IF39" i="36128" s="1"/>
  <c r="IF40" i="36128" s="1"/>
  <c r="P1477" i="36112"/>
  <c r="AD1065" i="36112"/>
  <c r="AD1349" i="36112"/>
  <c r="BX3" i="36128"/>
  <c r="GR3" i="36128"/>
  <c r="AB68" i="36126"/>
  <c r="P134" i="36126"/>
  <c r="P107" i="36126"/>
  <c r="BC9" i="36128"/>
  <c r="AB155" i="36126"/>
  <c r="AB156" i="36126" s="1"/>
  <c r="BC8" i="36128"/>
  <c r="AB154" i="36126"/>
  <c r="AG8" i="36128"/>
  <c r="AG9" i="36128"/>
  <c r="AG10" i="36128" s="1"/>
  <c r="ED8" i="36128"/>
  <c r="ED9" i="36128"/>
  <c r="ED10" i="36128" s="1"/>
  <c r="EP8" i="36128"/>
  <c r="AB180" i="36126"/>
  <c r="AW10" i="36128"/>
  <c r="AD101" i="36126"/>
  <c r="N8" i="36128"/>
  <c r="N10" i="36128" s="1"/>
  <c r="P131" i="36126"/>
  <c r="AE9" i="36128"/>
  <c r="AE8" i="36128"/>
  <c r="AE10" i="36128" s="1"/>
  <c r="EY9" i="36128"/>
  <c r="AB193" i="36126"/>
  <c r="AB192" i="36126"/>
  <c r="EY8" i="36128"/>
  <c r="FE9" i="36128"/>
  <c r="FE8" i="36128"/>
  <c r="FE38" i="36128" s="1"/>
  <c r="AB91" i="36126"/>
  <c r="I9" i="36128"/>
  <c r="I10" i="36128" s="1"/>
  <c r="I8" i="36128"/>
  <c r="AB92" i="36126"/>
  <c r="AB93" i="36126" s="1"/>
  <c r="FX8" i="36128"/>
  <c r="FX9" i="36128"/>
  <c r="FX10" i="36128" s="1"/>
  <c r="AB124" i="36126"/>
  <c r="AA9" i="36128"/>
  <c r="AB125" i="36126"/>
  <c r="AA8" i="36128"/>
  <c r="EB9" i="36128"/>
  <c r="AB169" i="36126"/>
  <c r="AB170" i="36126" s="1"/>
  <c r="AB168" i="36126"/>
  <c r="EB8" i="36128"/>
  <c r="R8" i="36128"/>
  <c r="R10" i="36128" s="1"/>
  <c r="U110" i="36126"/>
  <c r="U131" i="36126"/>
  <c r="AB6" i="1"/>
  <c r="AB138" i="36126"/>
  <c r="AB181" i="36126"/>
  <c r="AB182" i="36126" s="1"/>
  <c r="AB67" i="36126"/>
  <c r="AB69" i="36126" s="1"/>
  <c r="P110" i="36126"/>
  <c r="AB139" i="36126"/>
  <c r="EP9" i="36128"/>
  <c r="EP10" i="36128" s="1"/>
  <c r="AB10" i="1"/>
  <c r="AB11" i="1"/>
  <c r="IU7" i="36128"/>
  <c r="IL6" i="36128"/>
  <c r="IL5" i="36128"/>
  <c r="JW5" i="36128"/>
  <c r="JA2" i="36128"/>
  <c r="JA3" i="36128"/>
  <c r="JA39" i="36128" s="1"/>
  <c r="JC39" i="36128"/>
  <c r="JC4" i="36128"/>
  <c r="AR28" i="36128"/>
  <c r="AF13" i="36128"/>
  <c r="BE13" i="36128"/>
  <c r="ED37" i="36128"/>
  <c r="BQ19" i="36128"/>
  <c r="GQ37" i="36128"/>
  <c r="JM39" i="36128"/>
  <c r="JM40" i="36128" s="1"/>
  <c r="JL38" i="36128"/>
  <c r="IJ13" i="36128"/>
  <c r="LC39" i="36128"/>
  <c r="CB25" i="36128"/>
  <c r="CA28" i="36128"/>
  <c r="DP19" i="36128"/>
  <c r="Y22" i="36128"/>
  <c r="BV31" i="36128"/>
  <c r="P16" i="36128"/>
  <c r="I22" i="36128"/>
  <c r="O22" i="36128"/>
  <c r="CJ37" i="36128"/>
  <c r="BP13" i="36128"/>
  <c r="EO37" i="36128"/>
  <c r="ES37" i="36128"/>
  <c r="BZ19" i="36128"/>
  <c r="DO19" i="36128"/>
  <c r="BU16" i="36128"/>
  <c r="BC10" i="36128"/>
  <c r="L16" i="36128"/>
  <c r="EK19" i="36128"/>
  <c r="DI34" i="36128"/>
  <c r="Z28" i="36128"/>
  <c r="BE16" i="36128"/>
  <c r="EI40" i="36128"/>
  <c r="CV34" i="36128"/>
  <c r="DJ38" i="36128"/>
  <c r="AQ16" i="36128"/>
  <c r="CJ31" i="36128"/>
  <c r="EU34" i="36128"/>
  <c r="CW28" i="36128"/>
  <c r="EN39" i="36128"/>
  <c r="BB25" i="36128"/>
  <c r="CK37" i="36128"/>
  <c r="CY37" i="36128"/>
  <c r="CL13" i="36128"/>
  <c r="CL34" i="36128"/>
  <c r="AN16" i="36128"/>
  <c r="L19" i="36128"/>
  <c r="LN40" i="36128"/>
  <c r="FA34" i="36128"/>
  <c r="CI28" i="36128"/>
  <c r="IG7" i="36128"/>
  <c r="AO16" i="36128"/>
  <c r="CY13" i="36128"/>
  <c r="HX34" i="36128"/>
  <c r="FY28" i="36128"/>
  <c r="ES39" i="36128"/>
  <c r="AD13" i="36128"/>
  <c r="AA13" i="36128"/>
  <c r="DJ13" i="36128"/>
  <c r="CS13" i="36128"/>
  <c r="BQ13" i="36128"/>
  <c r="CQ19" i="36128"/>
  <c r="AA19" i="36128"/>
  <c r="GW7" i="36128"/>
  <c r="EG34" i="36128"/>
  <c r="HP39" i="36128"/>
  <c r="CY34" i="36128"/>
  <c r="DH34" i="36128"/>
  <c r="DH28" i="36128"/>
  <c r="ES38" i="36128"/>
  <c r="AM13" i="36128"/>
  <c r="DU37" i="36128"/>
  <c r="EQ13" i="36128"/>
  <c r="H19" i="36128"/>
  <c r="BG19" i="36128"/>
  <c r="LH40" i="36128"/>
  <c r="EF19" i="36128"/>
  <c r="DG37" i="36128"/>
  <c r="EI37" i="36128"/>
  <c r="CM13" i="36128"/>
  <c r="DD37" i="36128"/>
  <c r="FB37" i="36128"/>
  <c r="EV37" i="36128"/>
  <c r="DR37" i="36128"/>
  <c r="CU37" i="36128"/>
  <c r="DT37" i="36128"/>
  <c r="W25" i="36128"/>
  <c r="CX19" i="36128"/>
  <c r="N22" i="36128"/>
  <c r="AQ40" i="36128"/>
  <c r="GX13" i="36128"/>
  <c r="BE28" i="36128"/>
  <c r="GE37" i="36128"/>
  <c r="FK40" i="36128"/>
  <c r="DJ34" i="36128"/>
  <c r="IT28" i="36128"/>
  <c r="IJ39" i="36128"/>
  <c r="CD39" i="36128"/>
  <c r="FT40" i="36128"/>
  <c r="EE37" i="36128"/>
  <c r="EX40" i="36128"/>
  <c r="FS4" i="36128"/>
  <c r="BP38" i="36128"/>
  <c r="BP40" i="36128" s="1"/>
  <c r="BM40" i="36128"/>
  <c r="L13" i="36128"/>
  <c r="CS34" i="36128"/>
  <c r="EX37" i="36128"/>
  <c r="EK34" i="36128"/>
  <c r="GW39" i="36128"/>
  <c r="GW40" i="36128" s="1"/>
  <c r="DI37" i="36128"/>
  <c r="DX37" i="36128"/>
  <c r="AB13" i="36128"/>
  <c r="LC38" i="36128"/>
  <c r="BM16" i="36128"/>
  <c r="GY7" i="36128"/>
  <c r="FK13" i="36128"/>
  <c r="F19" i="36128"/>
  <c r="AS40" i="36128"/>
  <c r="EC37" i="36128"/>
  <c r="IT34" i="36128"/>
  <c r="EC34" i="36128"/>
  <c r="EF40" i="36128"/>
  <c r="AS13" i="36128"/>
  <c r="DO37" i="36128"/>
  <c r="FD37" i="36128"/>
  <c r="EH37" i="36128"/>
  <c r="AG13" i="36128"/>
  <c r="DP37" i="36128"/>
  <c r="BR40" i="36128"/>
  <c r="N13" i="36128"/>
  <c r="CA13" i="36128"/>
  <c r="DY13" i="36128"/>
  <c r="Z13" i="36128"/>
  <c r="CL19" i="36128"/>
  <c r="AC25" i="36128"/>
  <c r="K13" i="36128"/>
  <c r="DB40" i="36128"/>
  <c r="DJ40" i="36128"/>
  <c r="BX39" i="36128"/>
  <c r="FC38" i="36128"/>
  <c r="JP40" i="36128"/>
  <c r="GX38" i="36128"/>
  <c r="BJ38" i="36128"/>
  <c r="BJ40" i="36128" s="1"/>
  <c r="HP38" i="36128"/>
  <c r="JL39" i="36128"/>
  <c r="HP34" i="36128"/>
  <c r="BA38" i="36128"/>
  <c r="DB37" i="36128"/>
  <c r="BR13" i="36128"/>
  <c r="F39" i="36128"/>
  <c r="F40" i="36128" s="1"/>
  <c r="IO39" i="36128"/>
  <c r="FW39" i="36128"/>
  <c r="AB39" i="1"/>
  <c r="GZ4" i="36128"/>
  <c r="JY2" i="36128"/>
  <c r="JY38" i="36128" s="1"/>
  <c r="GX3" i="36128"/>
  <c r="GX4" i="36128" s="1"/>
  <c r="JV2" i="36128"/>
  <c r="JV38" i="36128" s="1"/>
  <c r="AD1407" i="36112"/>
  <c r="IE2" i="36128"/>
  <c r="IE4" i="36128" s="1"/>
  <c r="LJ2" i="36128"/>
  <c r="LJ38" i="36128" s="1"/>
  <c r="KO2" i="36128"/>
  <c r="IG2" i="36128"/>
  <c r="KB2" i="36128"/>
  <c r="JU2" i="36128"/>
  <c r="HI2" i="36128"/>
  <c r="KE2" i="36128"/>
  <c r="KE38" i="36128" s="1"/>
  <c r="LB2" i="36128"/>
  <c r="LB38" i="36128" s="1"/>
  <c r="JR2" i="36128"/>
  <c r="JR38" i="36128" s="1"/>
  <c r="HX3" i="36128"/>
  <c r="GR2" i="36128"/>
  <c r="JO2" i="36128"/>
  <c r="JO38" i="36128" s="1"/>
  <c r="AH2415" i="36112"/>
  <c r="AI2415" i="36112" s="1"/>
  <c r="KP3" i="36128" s="1"/>
  <c r="JN2" i="36128"/>
  <c r="AD1107" i="36112"/>
  <c r="AD999" i="36112"/>
  <c r="BZ3" i="36128"/>
  <c r="BZ39" i="36128" s="1"/>
  <c r="IR2" i="36128"/>
  <c r="KV2" i="36128"/>
  <c r="KV38" i="36128" s="1"/>
  <c r="KG2" i="36128"/>
  <c r="KK2" i="36128"/>
  <c r="KK38" i="36128" s="1"/>
  <c r="HG2" i="36128"/>
  <c r="HG38" i="36128" s="1"/>
  <c r="KU2" i="36128"/>
  <c r="HZ2" i="36128"/>
  <c r="JQ2" i="36128"/>
  <c r="JQ38" i="36128" s="1"/>
  <c r="AD1047" i="36112"/>
  <c r="AD1419" i="36112"/>
  <c r="KY2" i="36128"/>
  <c r="KY38" i="36128" s="1"/>
  <c r="JQ3" i="36128"/>
  <c r="JQ39" i="36128" s="1"/>
  <c r="KL2" i="36128"/>
  <c r="KL38" i="36128" s="1"/>
  <c r="EZ3" i="36128"/>
  <c r="GC2" i="36128"/>
  <c r="AH2517" i="36112"/>
  <c r="AI2517" i="36112" s="1"/>
  <c r="LJ3" i="36128" s="1"/>
  <c r="LJ39" i="36128" s="1"/>
  <c r="LJ40" i="36128" s="1"/>
  <c r="DK2" i="36128"/>
  <c r="S3" i="36128"/>
  <c r="IY3" i="36128"/>
  <c r="IY2" i="36128"/>
  <c r="IY38" i="36128" s="1"/>
  <c r="W928" i="36134"/>
  <c r="P61" i="36134"/>
  <c r="AE1260" i="36134"/>
  <c r="U1260" i="36134"/>
  <c r="HT3" i="36128"/>
  <c r="HW2" i="36128"/>
  <c r="HW38" i="36128" s="1"/>
  <c r="KT3" i="36128"/>
  <c r="KT39" i="36128" s="1"/>
  <c r="KT40" i="36128" s="1"/>
  <c r="HR2" i="36128"/>
  <c r="HR38" i="36128" s="1"/>
  <c r="HR3" i="36128"/>
  <c r="HR39" i="36128" s="1"/>
  <c r="CA2" i="36128"/>
  <c r="W2" i="36128"/>
  <c r="FD3" i="36128"/>
  <c r="GP3" i="36128"/>
  <c r="LA3" i="36128"/>
  <c r="LA39" i="36128" s="1"/>
  <c r="BT2" i="36128"/>
  <c r="BT38" i="36128" s="1"/>
  <c r="P3" i="36128"/>
  <c r="P39" i="36128" s="1"/>
  <c r="EM2" i="36128"/>
  <c r="EQ3" i="36128"/>
  <c r="KD3" i="36128"/>
  <c r="KD39" i="36128" s="1"/>
  <c r="GL4" i="36128"/>
  <c r="FX2" i="36128"/>
  <c r="EP2" i="36128"/>
  <c r="EP38" i="36128" s="1"/>
  <c r="II3" i="36128"/>
  <c r="II39" i="36128" s="1"/>
  <c r="HF2" i="36128"/>
  <c r="HF38" i="36128" s="1"/>
  <c r="CJ2" i="36128"/>
  <c r="HQ2" i="36128"/>
  <c r="HQ3" i="36128"/>
  <c r="H3" i="36128"/>
  <c r="H2" i="36128"/>
  <c r="EH2" i="36128"/>
  <c r="EP3" i="36128"/>
  <c r="EP39" i="36128" s="1"/>
  <c r="AD1234" i="36112"/>
  <c r="AD1288" i="36112"/>
  <c r="AD1068" i="36112"/>
  <c r="AD1476" i="36112"/>
  <c r="HT2" i="36128"/>
  <c r="P1510" i="36112"/>
  <c r="AD1155" i="36112"/>
  <c r="BW3" i="36128"/>
  <c r="IQ3" i="36128"/>
  <c r="IQ39" i="36128" s="1"/>
  <c r="GU4" i="36128"/>
  <c r="GF40" i="36128"/>
  <c r="P1506" i="36112"/>
  <c r="W3" i="36128"/>
  <c r="AD1495" i="36112"/>
  <c r="AD1113" i="36112"/>
  <c r="P1038" i="36112"/>
  <c r="AD1518" i="36112"/>
  <c r="AD960" i="36112"/>
  <c r="O2" i="36128"/>
  <c r="N3" i="36128"/>
  <c r="L2" i="36128"/>
  <c r="EY3" i="36128"/>
  <c r="EY39" i="36128" s="1"/>
  <c r="HD2" i="36128"/>
  <c r="HD38" i="36128" s="1"/>
  <c r="JI2" i="36128"/>
  <c r="GT3" i="36128"/>
  <c r="GT39" i="36128" s="1"/>
  <c r="HY3" i="36128"/>
  <c r="AD1225" i="36112"/>
  <c r="AD1468" i="36112"/>
  <c r="AD1056" i="36112"/>
  <c r="AD1343" i="36112"/>
  <c r="AD1455" i="36112"/>
  <c r="BE3" i="36128" s="1"/>
  <c r="BE39" i="36128" s="1"/>
  <c r="BU2" i="36128"/>
  <c r="BC2" i="36128"/>
  <c r="BC38" i="36128" s="1"/>
  <c r="AN3" i="36128"/>
  <c r="AN39" i="36128" s="1"/>
  <c r="AD1035" i="36112"/>
  <c r="R2" i="36128"/>
  <c r="R38" i="36128" s="1"/>
  <c r="AB636" i="36112"/>
  <c r="EH3" i="36128"/>
  <c r="EK2" i="36128"/>
  <c r="EK38" i="36128" s="1"/>
  <c r="EM3" i="36128"/>
  <c r="EO3" i="36128"/>
  <c r="GQ3" i="36128"/>
  <c r="IM2" i="36128"/>
  <c r="AD1484" i="36112"/>
  <c r="ED2" i="36128"/>
  <c r="CY3" i="36128"/>
  <c r="CL2" i="36128"/>
  <c r="CL38" i="36128" s="1"/>
  <c r="BT3" i="36128"/>
  <c r="BT39" i="36128" s="1"/>
  <c r="G2" i="36128"/>
  <c r="G38" i="36128" s="1"/>
  <c r="FD2" i="36128"/>
  <c r="FJ2" i="36128"/>
  <c r="FJ38" i="36128" s="1"/>
  <c r="BZ2" i="36128"/>
  <c r="BZ38" i="36128" s="1"/>
  <c r="P1101" i="36112"/>
  <c r="AD1472" i="36112"/>
  <c r="CB3" i="36128"/>
  <c r="K2" i="36128"/>
  <c r="K38" i="36128" s="1"/>
  <c r="FE3" i="36128"/>
  <c r="FE39" i="36128" s="1"/>
  <c r="GP2" i="36128"/>
  <c r="JY3" i="36128"/>
  <c r="CN3" i="36128"/>
  <c r="CN39" i="36128" s="1"/>
  <c r="P1358" i="36112"/>
  <c r="AL3" i="36128"/>
  <c r="K3" i="36128"/>
  <c r="K39" i="36128" s="1"/>
  <c r="KL3" i="36128"/>
  <c r="KU3" i="36128"/>
  <c r="T2" i="36128"/>
  <c r="T38" i="36128" s="1"/>
  <c r="T3" i="36128"/>
  <c r="T39" i="36128" s="1"/>
  <c r="GK2" i="36128"/>
  <c r="GK38" i="36128" s="1"/>
  <c r="GO3" i="36128"/>
  <c r="GO39" i="36128" s="1"/>
  <c r="GO2" i="36128"/>
  <c r="GO38" i="36128" s="1"/>
  <c r="GO40" i="36128" s="1"/>
  <c r="IS3" i="36128"/>
  <c r="IS39" i="36128" s="1"/>
  <c r="IS2" i="36128"/>
  <c r="IS38" i="36128" s="1"/>
  <c r="GM3" i="36128"/>
  <c r="GM2" i="36128"/>
  <c r="Q3" i="36128"/>
  <c r="Q39" i="36128" s="1"/>
  <c r="Q2" i="36128"/>
  <c r="Q38" i="36128" s="1"/>
  <c r="IC3" i="36128"/>
  <c r="IC39" i="36128" s="1"/>
  <c r="IC2" i="36128"/>
  <c r="IC38" i="36128" s="1"/>
  <c r="FO2" i="36128"/>
  <c r="FO38" i="36128" s="1"/>
  <c r="FO3" i="36128"/>
  <c r="FO39" i="36128" s="1"/>
  <c r="AI2361" i="36112"/>
  <c r="KI3" i="36128" s="1"/>
  <c r="KI39" i="36128" s="1"/>
  <c r="KI2" i="36128"/>
  <c r="KI38" i="36128" s="1"/>
  <c r="CS2" i="36128"/>
  <c r="CS38" i="36128" s="1"/>
  <c r="GQ2" i="36128"/>
  <c r="GQ38" i="36128" s="1"/>
  <c r="LB3" i="36128"/>
  <c r="LB39" i="36128" s="1"/>
  <c r="GE4" i="36128"/>
  <c r="G3" i="36128"/>
  <c r="AD1077" i="36112"/>
  <c r="EY2" i="36128"/>
  <c r="EY38" i="36128" s="1"/>
  <c r="FG4" i="36128"/>
  <c r="AD1490" i="36112"/>
  <c r="AD1170" i="36112"/>
  <c r="AD1222" i="36112"/>
  <c r="AD1523" i="36112"/>
  <c r="P1026" i="36112"/>
  <c r="AD1471" i="36112"/>
  <c r="P1478" i="36112"/>
  <c r="P1520" i="36112"/>
  <c r="FX3" i="36128"/>
  <c r="AD1116" i="36112"/>
  <c r="AD1337" i="36112"/>
  <c r="AD1494" i="36112"/>
  <c r="AD1355" i="36112"/>
  <c r="P1443" i="36112"/>
  <c r="CE3" i="36128"/>
  <c r="P1324" i="36112"/>
  <c r="P1134" i="36112"/>
  <c r="P1011" i="36112"/>
  <c r="D2" i="36128"/>
  <c r="D4" i="36128" s="1"/>
  <c r="FL2" i="36128"/>
  <c r="FL38" i="36128" s="1"/>
  <c r="JV3" i="36128"/>
  <c r="HY2" i="36128"/>
  <c r="HY38" i="36128" s="1"/>
  <c r="KW3" i="36128"/>
  <c r="KW39" i="36128" s="1"/>
  <c r="EK3" i="36128"/>
  <c r="EK39" i="36128" s="1"/>
  <c r="CI2" i="36128"/>
  <c r="JK3" i="36128"/>
  <c r="P1186" i="36112"/>
  <c r="Z2" i="36128"/>
  <c r="P1383" i="36112"/>
  <c r="P1505" i="36112"/>
  <c r="KZ3" i="36128"/>
  <c r="KZ39" i="36128" s="1"/>
  <c r="ES4" i="36128"/>
  <c r="CQ2" i="36128"/>
  <c r="AH2227" i="36112"/>
  <c r="AI2227" i="36112" s="1"/>
  <c r="JI3" i="36128" s="1"/>
  <c r="GK3" i="36128"/>
  <c r="GK39" i="36128" s="1"/>
  <c r="KE3" i="36128"/>
  <c r="KE39" i="36128" s="1"/>
  <c r="KE40" i="36128" s="1"/>
  <c r="P1486" i="36112"/>
  <c r="LK3" i="36128"/>
  <c r="AD1513" i="36112"/>
  <c r="AD1392" i="36112"/>
  <c r="BA3" i="36128"/>
  <c r="AD1515" i="36112"/>
  <c r="EO2" i="36128"/>
  <c r="AD1526" i="36112"/>
  <c r="P1500" i="36112"/>
  <c r="AD1195" i="36112"/>
  <c r="AD1312" i="36112"/>
  <c r="AR3" i="36128" s="1"/>
  <c r="P1502" i="36112"/>
  <c r="P1527" i="36112"/>
  <c r="AD1475" i="36112"/>
  <c r="AD1119" i="36112"/>
  <c r="P1008" i="36112"/>
  <c r="DL3" i="36128"/>
  <c r="DL39" i="36128" s="1"/>
  <c r="BV2" i="36128"/>
  <c r="BV38" i="36128" s="1"/>
  <c r="JR3" i="36128"/>
  <c r="JR39" i="36128" s="1"/>
  <c r="II2" i="36128"/>
  <c r="II38" i="36128" s="1"/>
  <c r="P1255" i="36112"/>
  <c r="BC3" i="36128"/>
  <c r="BC39" i="36128" s="1"/>
  <c r="JK2" i="36128"/>
  <c r="GT2" i="36128"/>
  <c r="GT38" i="36128" s="1"/>
  <c r="KQ40" i="36128"/>
  <c r="P1137" i="36112"/>
  <c r="N2" i="36128"/>
  <c r="AD1404" i="36112"/>
  <c r="AD1303" i="36112"/>
  <c r="P1249" i="36112"/>
  <c r="P1180" i="36112"/>
  <c r="AD1434" i="36112"/>
  <c r="P1522" i="36112"/>
  <c r="AD1104" i="36112"/>
  <c r="DK3" i="36128"/>
  <c r="CL3" i="36128"/>
  <c r="FZ2" i="36128"/>
  <c r="HD3" i="36128"/>
  <c r="HD39" i="36128" s="1"/>
  <c r="KB3" i="36128"/>
  <c r="KV3" i="36128"/>
  <c r="KV39" i="36128" s="1"/>
  <c r="P1243" i="36112"/>
  <c r="P1491" i="36112"/>
  <c r="AD1480" i="36112"/>
  <c r="AD1416" i="36112"/>
  <c r="HP4" i="36128"/>
  <c r="P1364" i="36112"/>
  <c r="AD1089" i="36112"/>
  <c r="AD2" i="36128" s="1"/>
  <c r="AD38" i="36128" s="1"/>
  <c r="P1498" i="36112"/>
  <c r="AD1428" i="36112"/>
  <c r="CT2" i="36128"/>
  <c r="AD1517" i="36112"/>
  <c r="AD1469" i="36112"/>
  <c r="P1017" i="36112"/>
  <c r="IA3" i="36128"/>
  <c r="IA4" i="36128" s="1"/>
  <c r="HC2" i="36128"/>
  <c r="HC4" i="36128" s="1"/>
  <c r="P996" i="36112"/>
  <c r="HF3" i="36128"/>
  <c r="HW3" i="36128"/>
  <c r="KY3" i="36128"/>
  <c r="KY39" i="36128" s="1"/>
  <c r="FB4" i="36128"/>
  <c r="GL39" i="36128"/>
  <c r="HZ4" i="36128"/>
  <c r="FQ39" i="36128"/>
  <c r="FQ40" i="36128" s="1"/>
  <c r="FQ4" i="36128"/>
  <c r="GD2" i="36128"/>
  <c r="GD3" i="36128"/>
  <c r="GD39" i="36128" s="1"/>
  <c r="HA3" i="36128"/>
  <c r="HA2" i="36128"/>
  <c r="HA38" i="36128" s="1"/>
  <c r="GY3" i="36128"/>
  <c r="GY39" i="36128" s="1"/>
  <c r="GY2" i="36128"/>
  <c r="GY38" i="36128" s="1"/>
  <c r="KG3" i="36128"/>
  <c r="IU2" i="36128"/>
  <c r="IU38" i="36128" s="1"/>
  <c r="IU3" i="36128"/>
  <c r="EV3" i="36128"/>
  <c r="EV39" i="36128" s="1"/>
  <c r="EV2" i="36128"/>
  <c r="EV38" i="36128" s="1"/>
  <c r="GS2" i="36128"/>
  <c r="GS3" i="36128"/>
  <c r="GS39" i="36128" s="1"/>
  <c r="IM3" i="36128"/>
  <c r="IM39" i="36128" s="1"/>
  <c r="IL3" i="36128"/>
  <c r="IL39" i="36128" s="1"/>
  <c r="IL2" i="36128"/>
  <c r="IL38" i="36128" s="1"/>
  <c r="AB635" i="36112"/>
  <c r="AB637" i="36112" s="1"/>
  <c r="HB3" i="36128"/>
  <c r="Z3" i="36128"/>
  <c r="EE3" i="36128"/>
  <c r="EE39" i="36128" s="1"/>
  <c r="EE2" i="36128"/>
  <c r="BX2" i="36128"/>
  <c r="E3" i="36128"/>
  <c r="E39" i="36128" s="1"/>
  <c r="E2" i="36128"/>
  <c r="AB2114" i="36112"/>
  <c r="AB2115" i="36112"/>
  <c r="HM2" i="36128"/>
  <c r="HM38" i="36128" s="1"/>
  <c r="HM3" i="36128"/>
  <c r="X2" i="36128"/>
  <c r="X38" i="36128" s="1"/>
  <c r="X3" i="36128"/>
  <c r="X39" i="36128" s="1"/>
  <c r="EJ3" i="36128"/>
  <c r="EJ2" i="36128"/>
  <c r="EJ38" i="36128" s="1"/>
  <c r="FA3" i="36128"/>
  <c r="FA2" i="36128"/>
  <c r="FN3" i="36128"/>
  <c r="FN39" i="36128" s="1"/>
  <c r="FN2" i="36128"/>
  <c r="FN38" i="36128" s="1"/>
  <c r="HS2" i="36128"/>
  <c r="HS38" i="36128" s="1"/>
  <c r="HS3" i="36128"/>
  <c r="HS39" i="36128" s="1"/>
  <c r="CQ3" i="36128"/>
  <c r="AB932" i="36112"/>
  <c r="I3" i="36128"/>
  <c r="I39" i="36128" s="1"/>
  <c r="AB933" i="36112"/>
  <c r="I2" i="36128"/>
  <c r="I38" i="36128" s="1"/>
  <c r="AB773" i="36112"/>
  <c r="AB774" i="36112"/>
  <c r="FF3" i="36128"/>
  <c r="FF39" i="36128" s="1"/>
  <c r="FF2" i="36128"/>
  <c r="FF38" i="36128" s="1"/>
  <c r="HL3" i="36128"/>
  <c r="HL39" i="36128" s="1"/>
  <c r="HL2" i="36128"/>
  <c r="HL38" i="36128" s="1"/>
  <c r="M3" i="36128"/>
  <c r="M2" i="36128"/>
  <c r="M38" i="36128" s="1"/>
  <c r="EG3" i="36128"/>
  <c r="EG2" i="36128"/>
  <c r="GI2" i="36128"/>
  <c r="GI38" i="36128" s="1"/>
  <c r="GI3" i="36128"/>
  <c r="EZ2" i="36128"/>
  <c r="EZ4" i="36128" s="1"/>
  <c r="AB2157" i="36112"/>
  <c r="AB2158" i="36112"/>
  <c r="JJ3" i="36128"/>
  <c r="JJ39" i="36128" s="1"/>
  <c r="HO2" i="36128"/>
  <c r="HO3" i="36128"/>
  <c r="HO39" i="36128" s="1"/>
  <c r="IQ2" i="36128"/>
  <c r="IQ38" i="36128" s="1"/>
  <c r="KO3" i="36128"/>
  <c r="CT3" i="36128"/>
  <c r="BD3" i="36128"/>
  <c r="BD4" i="36128" s="1"/>
  <c r="P1014" i="36112"/>
  <c r="DI2" i="36128"/>
  <c r="DI38" i="36128" s="1"/>
  <c r="KN3" i="36128"/>
  <c r="KN39" i="36128" s="1"/>
  <c r="KN40" i="36128" s="1"/>
  <c r="P1496" i="36112"/>
  <c r="LL2" i="36128"/>
  <c r="LL38" i="36128" s="1"/>
  <c r="DT3" i="36128"/>
  <c r="DT39" i="36128" s="1"/>
  <c r="FL3" i="36128"/>
  <c r="FL39" i="36128" s="1"/>
  <c r="KF3" i="36128"/>
  <c r="KF39" i="36128" s="1"/>
  <c r="JO3" i="36128"/>
  <c r="JO39" i="36128" s="1"/>
  <c r="DA3" i="36128"/>
  <c r="DA39" i="36128" s="1"/>
  <c r="CX2" i="36128"/>
  <c r="CU2" i="36128"/>
  <c r="CU38" i="36128" s="1"/>
  <c r="CR2" i="36128"/>
  <c r="JN3" i="36128"/>
  <c r="KK3" i="36128"/>
  <c r="KK39" i="36128" s="1"/>
  <c r="CY2" i="36128"/>
  <c r="JU3" i="36128"/>
  <c r="JU39" i="36128" s="1"/>
  <c r="P1507" i="36112"/>
  <c r="AD1370" i="36112"/>
  <c r="AD1425" i="36112"/>
  <c r="AD1282" i="36112"/>
  <c r="AO2" i="36128" s="1"/>
  <c r="AO38" i="36128" s="1"/>
  <c r="DY3" i="36128"/>
  <c r="DY39" i="36128" s="1"/>
  <c r="DW3" i="36128"/>
  <c r="DW39" i="36128" s="1"/>
  <c r="DM3" i="36128"/>
  <c r="DM39" i="36128" s="1"/>
  <c r="DE2" i="36128"/>
  <c r="CV2" i="36128"/>
  <c r="O3" i="36128"/>
  <c r="O4" i="36128" s="1"/>
  <c r="DR2" i="36128"/>
  <c r="GQ39" i="36128"/>
  <c r="GC4" i="36128"/>
  <c r="KD40" i="36128"/>
  <c r="GV4" i="36128"/>
  <c r="ID4" i="36128"/>
  <c r="IH38" i="36128"/>
  <c r="ER40" i="36128"/>
  <c r="CD4" i="36128"/>
  <c r="JZ40" i="36128"/>
  <c r="HJ4" i="36128"/>
  <c r="ER4" i="36128"/>
  <c r="GF4" i="36128"/>
  <c r="FE4" i="36128"/>
  <c r="DH2" i="36128"/>
  <c r="EB3" i="36128"/>
  <c r="EB2" i="36128"/>
  <c r="DQ3" i="36128"/>
  <c r="DW2" i="36128"/>
  <c r="DW38" i="36128" s="1"/>
  <c r="DG3" i="36128"/>
  <c r="EC3" i="36128"/>
  <c r="DX2" i="36128"/>
  <c r="DP3" i="36128"/>
  <c r="DP2" i="36128"/>
  <c r="CO2" i="36128"/>
  <c r="CO38" i="36128" s="1"/>
  <c r="CO3" i="36128"/>
  <c r="DS2" i="36128"/>
  <c r="DS38" i="36128" s="1"/>
  <c r="DS3" i="36128"/>
  <c r="DN3" i="36128"/>
  <c r="DN39" i="36128" s="1"/>
  <c r="DN2" i="36128"/>
  <c r="DN38" i="36128" s="1"/>
  <c r="ED38" i="36128"/>
  <c r="DG2" i="36128"/>
  <c r="CV3" i="36128"/>
  <c r="BV3" i="36128"/>
  <c r="BV39" i="36128" s="1"/>
  <c r="BV40" i="36128" s="1"/>
  <c r="FZ4" i="36128"/>
  <c r="AL2" i="36128"/>
  <c r="ED3" i="36128"/>
  <c r="ED4" i="36128" s="1"/>
  <c r="CS3" i="36128"/>
  <c r="AF3" i="36128"/>
  <c r="EC2" i="36128"/>
  <c r="AB2068" i="36112"/>
  <c r="DV2" i="36128"/>
  <c r="DV38" i="36128" s="1"/>
  <c r="DU3" i="36128"/>
  <c r="AB1981" i="36112"/>
  <c r="AB1874" i="36112"/>
  <c r="DA2" i="36128"/>
  <c r="DA38" i="36128" s="1"/>
  <c r="CZ3" i="36128"/>
  <c r="CW3" i="36128"/>
  <c r="CX3" i="36128"/>
  <c r="AB1683" i="36112"/>
  <c r="HT4" i="36128"/>
  <c r="KS38" i="36128"/>
  <c r="DL2" i="36128"/>
  <c r="HV39" i="36128"/>
  <c r="HV40" i="36128" s="1"/>
  <c r="DZ3" i="36128"/>
  <c r="DZ39" i="36128" s="1"/>
  <c r="DT2" i="36128"/>
  <c r="CR3" i="36128"/>
  <c r="CU3" i="36128"/>
  <c r="CM3" i="36128"/>
  <c r="CM39" i="36128" s="1"/>
  <c r="CC2" i="36128"/>
  <c r="CC38" i="36128" s="1"/>
  <c r="AB1612" i="36112"/>
  <c r="EQ2" i="36128"/>
  <c r="EQ4" i="36128" s="1"/>
  <c r="CJ3" i="36128"/>
  <c r="CJ4" i="36128" s="1"/>
  <c r="BW2" i="36128"/>
  <c r="CN2" i="36128"/>
  <c r="CC3" i="36128"/>
  <c r="CE2" i="36128"/>
  <c r="AN2" i="36128"/>
  <c r="AN38" i="36128" s="1"/>
  <c r="AN40" i="36128" s="1"/>
  <c r="S2" i="36128"/>
  <c r="EW3" i="36128"/>
  <c r="EW39" i="36128" s="1"/>
  <c r="CA3" i="36128"/>
  <c r="CA4" i="36128" s="1"/>
  <c r="P1509" i="36112"/>
  <c r="AD1509" i="36112"/>
  <c r="BN2" i="36128" s="1"/>
  <c r="BN38" i="36128" s="1"/>
  <c r="HY39" i="36128"/>
  <c r="AB1682" i="36112"/>
  <c r="CF2" i="36128"/>
  <c r="CF38" i="36128" s="1"/>
  <c r="FH38" i="36128"/>
  <c r="FH40" i="36128" s="1"/>
  <c r="FH4" i="36128"/>
  <c r="P1485" i="36112"/>
  <c r="CP3" i="36128"/>
  <c r="CI3" i="36128"/>
  <c r="P1481" i="36112"/>
  <c r="AD1481" i="36112"/>
  <c r="GL40" i="36128"/>
  <c r="ID38" i="36128"/>
  <c r="ID40" i="36128" s="1"/>
  <c r="BQ3" i="36128"/>
  <c r="DD2" i="36128"/>
  <c r="DD38" i="36128" s="1"/>
  <c r="DD3" i="36128"/>
  <c r="CK2" i="36128"/>
  <c r="CK38" i="36128" s="1"/>
  <c r="CK3" i="36128"/>
  <c r="CF3" i="36128"/>
  <c r="AB2069" i="36112"/>
  <c r="CW2" i="36128"/>
  <c r="AB1774" i="36112"/>
  <c r="CM2" i="36128"/>
  <c r="CM38" i="36128" s="1"/>
  <c r="CJ38" i="36128"/>
  <c r="CZ2" i="36128"/>
  <c r="EA2" i="36128"/>
  <c r="EA38" i="36128" s="1"/>
  <c r="DX3" i="36128"/>
  <c r="BY2" i="36128"/>
  <c r="BY3" i="36128"/>
  <c r="GN39" i="36128"/>
  <c r="GN40" i="36128" s="1"/>
  <c r="AB1873" i="36112"/>
  <c r="Y3" i="36128"/>
  <c r="EA3" i="36128"/>
  <c r="DY2" i="36128"/>
  <c r="DU2" i="36128"/>
  <c r="JF2" i="36128" s="1"/>
  <c r="DR3" i="36128"/>
  <c r="DQ2" i="36128"/>
  <c r="DO3" i="36128"/>
  <c r="DF2" i="36128"/>
  <c r="DF3" i="36128"/>
  <c r="AB1613" i="36112"/>
  <c r="BQ2" i="36128"/>
  <c r="BQ38" i="36128" s="1"/>
  <c r="DV3" i="36128"/>
  <c r="DO2" i="36128"/>
  <c r="DO38" i="36128" s="1"/>
  <c r="DI3" i="36128"/>
  <c r="DH3" i="36128"/>
  <c r="DC2" i="36128"/>
  <c r="DC38" i="36128" s="1"/>
  <c r="DC3" i="36128"/>
  <c r="CG2" i="36128"/>
  <c r="CG38" i="36128" s="1"/>
  <c r="AB1773" i="36112"/>
  <c r="AY2" i="36128"/>
  <c r="AY38" i="36128" s="1"/>
  <c r="AY3" i="36128"/>
  <c r="AB1980" i="36112"/>
  <c r="DM2" i="36128"/>
  <c r="DM38" i="36128" s="1"/>
  <c r="DE3" i="36128"/>
  <c r="DZ2" i="36128"/>
  <c r="EW2" i="36128"/>
  <c r="GU38" i="36128"/>
  <c r="AM3" i="36128"/>
  <c r="O38" i="36128"/>
  <c r="CP2" i="36128"/>
  <c r="CP38" i="36128" s="1"/>
  <c r="D38" i="36128"/>
  <c r="CG3" i="36128"/>
  <c r="R3" i="36128"/>
  <c r="L3" i="36128"/>
  <c r="L4" i="36128" s="1"/>
  <c r="FC3" i="36128"/>
  <c r="IT2" i="36128"/>
  <c r="IT38" i="36128" s="1"/>
  <c r="IT3" i="36128"/>
  <c r="AH2534" i="36112"/>
  <c r="AI2534" i="36112" s="1"/>
  <c r="LM3" i="36128" s="1"/>
  <c r="LM39" i="36128" s="1"/>
  <c r="LM2" i="36128"/>
  <c r="LM38" i="36128" s="1"/>
  <c r="BS3" i="36128"/>
  <c r="P2" i="36128"/>
  <c r="FJ3" i="36128"/>
  <c r="FS39" i="36128"/>
  <c r="LL3" i="36128"/>
  <c r="GU39" i="36128"/>
  <c r="JT39" i="36128"/>
  <c r="HZ39" i="36128"/>
  <c r="JW39" i="36128"/>
  <c r="KC38" i="36128"/>
  <c r="KM38" i="36128"/>
  <c r="IE38" i="36128"/>
  <c r="KW38" i="36128"/>
  <c r="IJ40" i="36128"/>
  <c r="IR7" i="36128"/>
  <c r="GC5" i="36128"/>
  <c r="GC38" i="36128" s="1"/>
  <c r="GC6" i="36128"/>
  <c r="GC7" i="36128" s="1"/>
  <c r="IA6" i="36128"/>
  <c r="IA7" i="36128" s="1"/>
  <c r="IA5" i="36128"/>
  <c r="IA38" i="36128" s="1"/>
  <c r="AW5" i="36128"/>
  <c r="AW6" i="36128"/>
  <c r="AW7" i="36128" s="1"/>
  <c r="GD5" i="36128"/>
  <c r="GD38" i="36128" s="1"/>
  <c r="KP5" i="36128"/>
  <c r="AD427" i="60"/>
  <c r="P449" i="60"/>
  <c r="DX6" i="36128"/>
  <c r="HU7" i="36128"/>
  <c r="IM5" i="36128"/>
  <c r="IM7" i="36128" s="1"/>
  <c r="HO5" i="36128"/>
  <c r="IH7" i="36128"/>
  <c r="JU5" i="36128"/>
  <c r="DH6" i="36128"/>
  <c r="GM6" i="36128"/>
  <c r="GM39" i="36128" s="1"/>
  <c r="JN5" i="36128"/>
  <c r="HB5" i="36128"/>
  <c r="HI6" i="36128"/>
  <c r="KP6" i="36128"/>
  <c r="JK5" i="36128"/>
  <c r="FX5" i="36128"/>
  <c r="FX38" i="36128" s="1"/>
  <c r="FR5" i="36128"/>
  <c r="FR38" i="36128" s="1"/>
  <c r="AH752" i="60"/>
  <c r="AI752" i="60" s="1"/>
  <c r="IO5" i="36128"/>
  <c r="IJ7" i="36128"/>
  <c r="HU40" i="36128"/>
  <c r="P424" i="60"/>
  <c r="AB610" i="60"/>
  <c r="KU5" i="36128"/>
  <c r="KU38" i="36128" s="1"/>
  <c r="KH5" i="36128"/>
  <c r="KH38" i="36128" s="1"/>
  <c r="HZ5" i="36128"/>
  <c r="HZ38" i="36128" s="1"/>
  <c r="LG40" i="36128"/>
  <c r="U6" i="36128"/>
  <c r="U7" i="36128" s="1"/>
  <c r="AB485" i="60"/>
  <c r="JY6" i="36128"/>
  <c r="JY39" i="36128" s="1"/>
  <c r="AH729" i="60"/>
  <c r="AI729" i="60" s="1"/>
  <c r="IL7" i="36128"/>
  <c r="IU39" i="36128"/>
  <c r="GD7" i="36128"/>
  <c r="GU7" i="36128"/>
  <c r="HY7" i="36128"/>
  <c r="CX5" i="36128"/>
  <c r="FB5" i="36128"/>
  <c r="FB38" i="36128" s="1"/>
  <c r="FB6" i="36128"/>
  <c r="KG6" i="36128"/>
  <c r="HX6" i="36128"/>
  <c r="HX39" i="36128" s="1"/>
  <c r="HX5" i="36128"/>
  <c r="HX38" i="36128" s="1"/>
  <c r="GV6" i="36128"/>
  <c r="GV39" i="36128" s="1"/>
  <c r="GV5" i="36128"/>
  <c r="GV38" i="36128" s="1"/>
  <c r="HQ5" i="36128"/>
  <c r="HQ38" i="36128" s="1"/>
  <c r="HQ6" i="36128"/>
  <c r="AB471" i="60"/>
  <c r="DU6" i="36128"/>
  <c r="DU5" i="36128"/>
  <c r="DU7" i="36128" s="1"/>
  <c r="N38" i="36128"/>
  <c r="AB321" i="60"/>
  <c r="EG5" i="36128"/>
  <c r="EG6" i="36128"/>
  <c r="IN6" i="36128"/>
  <c r="IN5" i="36128"/>
  <c r="IN38" i="36128" s="1"/>
  <c r="AB628" i="60"/>
  <c r="JV6" i="36128"/>
  <c r="KJ40" i="36128"/>
  <c r="IP6" i="36128"/>
  <c r="IP5" i="36128"/>
  <c r="IP38" i="36128" s="1"/>
  <c r="FP6" i="36128"/>
  <c r="FP39" i="36128" s="1"/>
  <c r="FP5" i="36128"/>
  <c r="FA6" i="36128"/>
  <c r="FA5" i="36128"/>
  <c r="FA38" i="36128" s="1"/>
  <c r="GP6" i="36128"/>
  <c r="GP5" i="36128"/>
  <c r="GP38" i="36128" s="1"/>
  <c r="CY6" i="36128"/>
  <c r="CY5" i="36128"/>
  <c r="AB456" i="60"/>
  <c r="AB455" i="60"/>
  <c r="BH6" i="36128"/>
  <c r="BH39" i="36128" s="1"/>
  <c r="BH5" i="36128"/>
  <c r="BH38" i="36128" s="1"/>
  <c r="Z5" i="36128"/>
  <c r="Z6" i="36128"/>
  <c r="Z39" i="36128" s="1"/>
  <c r="FY5" i="36128"/>
  <c r="FY38" i="36128" s="1"/>
  <c r="FY6" i="36128"/>
  <c r="GE6" i="36128"/>
  <c r="GE5" i="36128"/>
  <c r="GE38" i="36128" s="1"/>
  <c r="JK6" i="36128"/>
  <c r="JK39" i="36128" s="1"/>
  <c r="HI5" i="36128"/>
  <c r="HK5" i="36128"/>
  <c r="HK38" i="36128" s="1"/>
  <c r="KM6" i="36128"/>
  <c r="KM39" i="36128" s="1"/>
  <c r="IV6" i="36128"/>
  <c r="IV5" i="36128"/>
  <c r="AH701" i="60"/>
  <c r="AI701" i="60" s="1"/>
  <c r="JN6" i="36128" s="1"/>
  <c r="FS5" i="36128"/>
  <c r="FS38" i="36128" s="1"/>
  <c r="HK6" i="36128"/>
  <c r="KU6" i="36128"/>
  <c r="KU39" i="36128" s="1"/>
  <c r="KB5" i="36128"/>
  <c r="AD436" i="60"/>
  <c r="AB442" i="60" s="1"/>
  <c r="R6" i="36128"/>
  <c r="N6" i="36128"/>
  <c r="E5" i="36128"/>
  <c r="E7" i="36128" s="1"/>
  <c r="JI5" i="36128"/>
  <c r="AH742" i="60"/>
  <c r="AI742" i="60" s="1"/>
  <c r="KH6" i="36128"/>
  <c r="KH39" i="36128" s="1"/>
  <c r="JT5" i="36128"/>
  <c r="JT38" i="36128" s="1"/>
  <c r="AH787" i="60"/>
  <c r="AI787" i="60" s="1"/>
  <c r="LI6" i="36128" s="1"/>
  <c r="LI39" i="36128" s="1"/>
  <c r="LI40" i="36128" s="1"/>
  <c r="LD40" i="36128"/>
  <c r="HF6" i="36128"/>
  <c r="FW5" i="36128"/>
  <c r="D6" i="36128"/>
  <c r="KG5" i="36128"/>
  <c r="AH751" i="60"/>
  <c r="AI751" i="60" s="1"/>
  <c r="KL6" i="36128" s="1"/>
  <c r="LF5" i="36128"/>
  <c r="LF38" i="36128" s="1"/>
  <c r="LF40" i="36128" s="1"/>
  <c r="JS6" i="36128"/>
  <c r="JS39" i="36128" s="1"/>
  <c r="CR5" i="36128"/>
  <c r="AB322" i="60"/>
  <c r="AB323" i="60" s="1"/>
  <c r="HB6" i="36128"/>
  <c r="HB7" i="36128" s="1"/>
  <c r="LO5" i="36128"/>
  <c r="LO38" i="36128" s="1"/>
  <c r="LO40" i="36128" s="1"/>
  <c r="JI6" i="36128"/>
  <c r="CX6" i="36128"/>
  <c r="O6" i="36128"/>
  <c r="O7" i="36128" s="1"/>
  <c r="IO7" i="36128"/>
  <c r="IC7" i="36128"/>
  <c r="KC6" i="36128"/>
  <c r="KC39" i="36128" s="1"/>
  <c r="HW6" i="36128"/>
  <c r="FU5" i="36128"/>
  <c r="FU38" i="36128" s="1"/>
  <c r="GS5" i="36128"/>
  <c r="IZ39" i="36128"/>
  <c r="IZ40" i="36128" s="1"/>
  <c r="IZ4" i="36128"/>
  <c r="AB12" i="36135"/>
  <c r="AB5" i="1"/>
  <c r="IV3" i="36128"/>
  <c r="IV2" i="36128"/>
  <c r="IW3" i="36128"/>
  <c r="IW4" i="36128" s="1"/>
  <c r="AB648" i="114"/>
  <c r="AB8" i="36135"/>
  <c r="AB11" i="36135"/>
  <c r="AB221" i="46"/>
  <c r="AH221" i="46" s="1"/>
  <c r="AI221" i="46" s="1"/>
  <c r="AB2036" i="36112"/>
  <c r="AB7" i="36135"/>
  <c r="AB1761" i="36112"/>
  <c r="AB88" i="46"/>
  <c r="AB90" i="46"/>
  <c r="AB27" i="36135"/>
  <c r="AB23" i="36135"/>
  <c r="AB164" i="102"/>
  <c r="AB20" i="36135"/>
  <c r="AB1823" i="36112"/>
  <c r="AB1752" i="36112"/>
  <c r="AB1753" i="36112"/>
  <c r="AB16" i="36135"/>
  <c r="AB89" i="46"/>
  <c r="AB6" i="36135"/>
  <c r="AB1741" i="36112"/>
  <c r="AB636" i="114"/>
  <c r="AB1835" i="36112"/>
  <c r="AB5" i="36135"/>
  <c r="AB1755" i="36112"/>
  <c r="AB22" i="36135"/>
  <c r="AB1743" i="36112"/>
  <c r="AB1754" i="36112"/>
  <c r="AB791" i="60"/>
  <c r="AB1742" i="36112"/>
  <c r="AB25" i="36135"/>
  <c r="AB19" i="36135"/>
  <c r="AB4" i="36135"/>
  <c r="AB24" i="36135"/>
  <c r="AB178" i="105"/>
  <c r="AB792" i="60"/>
  <c r="AB17" i="36135"/>
  <c r="AB18" i="36135"/>
  <c r="AB28" i="36135"/>
  <c r="AB1762" i="36112"/>
  <c r="AB26" i="36135"/>
  <c r="AB21" i="36135"/>
  <c r="AB10" i="36135"/>
  <c r="AB9" i="36135"/>
  <c r="ED7" i="36128"/>
  <c r="IO38" i="36128"/>
  <c r="IO40" i="36128" s="1"/>
  <c r="FX7" i="36128"/>
  <c r="FT7" i="36128"/>
  <c r="CQ5" i="36128"/>
  <c r="CQ38" i="36128" s="1"/>
  <c r="AB513" i="60"/>
  <c r="CQ6" i="36128"/>
  <c r="AB514" i="60"/>
  <c r="EE5" i="36128"/>
  <c r="AB568" i="60"/>
  <c r="DP5" i="36128"/>
  <c r="AB567" i="60"/>
  <c r="DP6" i="36128"/>
  <c r="DG6" i="36128"/>
  <c r="DG5" i="36128"/>
  <c r="AB542" i="60"/>
  <c r="AB543" i="60" s="1"/>
  <c r="AB541" i="60"/>
  <c r="DE6" i="36128"/>
  <c r="DE5" i="36128"/>
  <c r="CW6" i="36128"/>
  <c r="CW5" i="36128"/>
  <c r="CJ7" i="36128"/>
  <c r="CB6" i="36128"/>
  <c r="CB5" i="36128"/>
  <c r="AB267" i="60"/>
  <c r="AB268" i="60"/>
  <c r="AB269" i="60" s="1"/>
  <c r="FM6" i="36128"/>
  <c r="FM5" i="36128"/>
  <c r="FM38" i="36128" s="1"/>
  <c r="GG6" i="36128"/>
  <c r="GG5" i="36128"/>
  <c r="GG38" i="36128" s="1"/>
  <c r="GR6" i="36128"/>
  <c r="GR5" i="36128"/>
  <c r="DQ5" i="36128"/>
  <c r="DQ6" i="36128"/>
  <c r="CT6" i="36128"/>
  <c r="CT5" i="36128"/>
  <c r="CR6" i="36128"/>
  <c r="CI6" i="36128"/>
  <c r="CI5" i="36128"/>
  <c r="CI38" i="36128" s="1"/>
  <c r="HC6" i="36128"/>
  <c r="HC5" i="36128"/>
  <c r="DH5" i="36128"/>
  <c r="CA5" i="36128"/>
  <c r="CA38" i="36128" s="1"/>
  <c r="CA6" i="36128"/>
  <c r="S5" i="36128"/>
  <c r="S6" i="36128"/>
  <c r="AB372" i="60"/>
  <c r="AB371" i="60"/>
  <c r="H5" i="36128"/>
  <c r="H6" i="36128"/>
  <c r="GJ6" i="36128"/>
  <c r="GJ5" i="36128"/>
  <c r="GJ38" i="36128" s="1"/>
  <c r="GZ6" i="36128"/>
  <c r="GZ5" i="36128"/>
  <c r="GZ38" i="36128" s="1"/>
  <c r="KB6" i="36128"/>
  <c r="EB6" i="36128"/>
  <c r="EB5" i="36128"/>
  <c r="DT5" i="36128"/>
  <c r="CZ6" i="36128"/>
  <c r="CZ5" i="36128"/>
  <c r="CZ38" i="36128" s="1"/>
  <c r="BW6" i="36128"/>
  <c r="BW5" i="36128"/>
  <c r="AB472" i="60"/>
  <c r="AB473" i="60" s="1"/>
  <c r="BU6" i="36128"/>
  <c r="EQ5" i="36128"/>
  <c r="EQ6" i="36128"/>
  <c r="GH39" i="36128"/>
  <c r="GH40" i="36128" s="1"/>
  <c r="GH7" i="36128"/>
  <c r="LC40" i="36128"/>
  <c r="DX5" i="36128"/>
  <c r="DF5" i="36128"/>
  <c r="DF6" i="36128"/>
  <c r="CE6" i="36128"/>
  <c r="AB484" i="60"/>
  <c r="CE5" i="36128"/>
  <c r="BY5" i="36128"/>
  <c r="BY6" i="36128"/>
  <c r="EL5" i="36128"/>
  <c r="EL38" i="36128" s="1"/>
  <c r="EL6" i="36128"/>
  <c r="AB609" i="60"/>
  <c r="EM5" i="36128"/>
  <c r="EM6" i="36128"/>
  <c r="EO6" i="36128"/>
  <c r="EO5" i="36128"/>
  <c r="GV7" i="36128"/>
  <c r="HN5" i="36128"/>
  <c r="HN38" i="36128" s="1"/>
  <c r="HN6" i="36128"/>
  <c r="EC5" i="36128"/>
  <c r="EC6" i="36128"/>
  <c r="DR5" i="36128"/>
  <c r="DR6" i="36128"/>
  <c r="FR6" i="36128"/>
  <c r="FU39" i="36128"/>
  <c r="FU7" i="36128"/>
  <c r="EU6" i="36128"/>
  <c r="EU5" i="36128"/>
  <c r="EU38" i="36128" s="1"/>
  <c r="EZ6" i="36128"/>
  <c r="AB627" i="60"/>
  <c r="AB629" i="60" s="1"/>
  <c r="EZ5" i="36128"/>
  <c r="FD5" i="36128"/>
  <c r="FD6" i="36128"/>
  <c r="FG6" i="36128"/>
  <c r="FG5" i="36128"/>
  <c r="FG38" i="36128" s="1"/>
  <c r="FZ5" i="36128"/>
  <c r="FZ38" i="36128" s="1"/>
  <c r="FZ6" i="36128"/>
  <c r="GM5" i="36128"/>
  <c r="AB588" i="60"/>
  <c r="AB587" i="60"/>
  <c r="EA6" i="36128"/>
  <c r="DK6" i="36128"/>
  <c r="DK5" i="36128"/>
  <c r="CV5" i="36128"/>
  <c r="CV6" i="36128"/>
  <c r="AX5" i="36128"/>
  <c r="AX38" i="36128" s="1"/>
  <c r="AX6" i="36128"/>
  <c r="W6" i="36128"/>
  <c r="W5" i="36128"/>
  <c r="W38" i="36128" s="1"/>
  <c r="AB392" i="60"/>
  <c r="AB391" i="60"/>
  <c r="EH5" i="36128"/>
  <c r="EH6" i="36128"/>
  <c r="HJ5" i="36128"/>
  <c r="HJ38" i="36128" s="1"/>
  <c r="HJ6" i="36128"/>
  <c r="HT6" i="36128"/>
  <c r="HT5" i="36128"/>
  <c r="HT38" i="36128" s="1"/>
  <c r="HE5" i="36128"/>
  <c r="HE38" i="36128" s="1"/>
  <c r="HE6" i="36128"/>
  <c r="IK5" i="36128"/>
  <c r="IK38" i="36128" s="1"/>
  <c r="IK6" i="36128"/>
  <c r="JS5" i="36128"/>
  <c r="JS38" i="36128" s="1"/>
  <c r="KR5" i="36128"/>
  <c r="KR38" i="36128" s="1"/>
  <c r="AH759" i="60"/>
  <c r="AI759" i="60" s="1"/>
  <c r="KR6" i="36128" s="1"/>
  <c r="KR39" i="36128" s="1"/>
  <c r="IB6" i="36128"/>
  <c r="IB5" i="36128"/>
  <c r="AD399" i="60"/>
  <c r="KO5" i="36128"/>
  <c r="AH755" i="60"/>
  <c r="AI755" i="60" s="1"/>
  <c r="KO6" i="36128" s="1"/>
  <c r="L5" i="36128"/>
  <c r="L38" i="36128" s="1"/>
  <c r="L6" i="36128"/>
  <c r="IE6" i="36128"/>
  <c r="LA5" i="36128"/>
  <c r="LA38" i="36128" s="1"/>
  <c r="KZ5" i="36128"/>
  <c r="AH788" i="60"/>
  <c r="AI788" i="60" s="1"/>
  <c r="LK6" i="36128" s="1"/>
  <c r="LK39" i="36128" s="1"/>
  <c r="LK40" i="36128" s="1"/>
  <c r="AH789" i="60"/>
  <c r="AI789" i="60" s="1"/>
  <c r="LL6" i="36128" s="1"/>
  <c r="JC40" i="36128" l="1"/>
  <c r="CX7" i="36128"/>
  <c r="HZ7" i="36128"/>
  <c r="FP7" i="36128"/>
  <c r="GC39" i="36128"/>
  <c r="EG39" i="36128"/>
  <c r="JW38" i="36128"/>
  <c r="AJ3" i="36128"/>
  <c r="FF4" i="36128"/>
  <c r="EN40" i="36128"/>
  <c r="IH39" i="36128"/>
  <c r="AC3" i="36128"/>
  <c r="AC39" i="36128" s="1"/>
  <c r="HI39" i="36128"/>
  <c r="LB40" i="36128"/>
  <c r="W4" i="36128"/>
  <c r="AZ3" i="36128"/>
  <c r="AZ39" i="36128" s="1"/>
  <c r="AG3" i="36128"/>
  <c r="U3" i="36128"/>
  <c r="U39" i="36128" s="1"/>
  <c r="U40" i="36128" s="1"/>
  <c r="HD40" i="36128"/>
  <c r="JJ40" i="36128"/>
  <c r="CU4" i="36128"/>
  <c r="IB38" i="36128"/>
  <c r="BK2" i="36128"/>
  <c r="BK38" i="36128" s="1"/>
  <c r="BL3" i="36128"/>
  <c r="BL39" i="36128" s="1"/>
  <c r="CB38" i="36128"/>
  <c r="JR40" i="36128"/>
  <c r="AA3" i="36128"/>
  <c r="AA4" i="36128" s="1"/>
  <c r="U2" i="36128"/>
  <c r="U38" i="36128" s="1"/>
  <c r="AG2" i="36128"/>
  <c r="AG38" i="36128" s="1"/>
  <c r="BU4" i="36128"/>
  <c r="JQ40" i="36128"/>
  <c r="Y2" i="36128"/>
  <c r="Y38" i="36128" s="1"/>
  <c r="CB4" i="36128"/>
  <c r="FO40" i="36128"/>
  <c r="IS40" i="36128"/>
  <c r="EM4" i="36128"/>
  <c r="EN4" i="36128"/>
  <c r="IG4" i="36128"/>
  <c r="DP38" i="36128"/>
  <c r="JN39" i="36128"/>
  <c r="JN38" i="36128"/>
  <c r="EM38" i="36128"/>
  <c r="BC40" i="36128"/>
  <c r="KL39" i="36128"/>
  <c r="KL40" i="36128" s="1"/>
  <c r="HI38" i="36128"/>
  <c r="HF4" i="36128"/>
  <c r="LE40" i="36128"/>
  <c r="HH4" i="36128"/>
  <c r="AZ2" i="36128"/>
  <c r="AZ38" i="36128" s="1"/>
  <c r="AD3" i="36128"/>
  <c r="AD39" i="36128" s="1"/>
  <c r="AD40" i="36128" s="1"/>
  <c r="GN4" i="36128"/>
  <c r="DH4" i="36128"/>
  <c r="BT4" i="36128"/>
  <c r="AW2" i="36128"/>
  <c r="BU38" i="36128"/>
  <c r="GX39" i="36128"/>
  <c r="GX40" i="36128" s="1"/>
  <c r="BC4" i="36128"/>
  <c r="EH4" i="36128"/>
  <c r="GR4" i="36128"/>
  <c r="IF4" i="36128"/>
  <c r="FO4" i="36128"/>
  <c r="II40" i="36128"/>
  <c r="BZ40" i="36128"/>
  <c r="IR4" i="36128"/>
  <c r="EH38" i="36128"/>
  <c r="HB4" i="36128"/>
  <c r="CV38" i="36128"/>
  <c r="IS4" i="36128"/>
  <c r="KZ38" i="36128"/>
  <c r="KZ40" i="36128" s="1"/>
  <c r="HB38" i="36128"/>
  <c r="BT40" i="36128"/>
  <c r="FD4" i="36128"/>
  <c r="DT38" i="36128"/>
  <c r="DT40" i="36128" s="1"/>
  <c r="HO38" i="36128"/>
  <c r="HO40" i="36128" s="1"/>
  <c r="HC38" i="36128"/>
  <c r="KB39" i="36128"/>
  <c r="BW38" i="36128"/>
  <c r="Z38" i="36128"/>
  <c r="Z40" i="36128" s="1"/>
  <c r="JV39" i="36128"/>
  <c r="JV40" i="36128" s="1"/>
  <c r="HI4" i="36128"/>
  <c r="KK40" i="36128"/>
  <c r="KF40" i="36128"/>
  <c r="KS40" i="36128"/>
  <c r="HL40" i="36128"/>
  <c r="BY38" i="36128"/>
  <c r="GS38" i="36128"/>
  <c r="GS40" i="36128" s="1"/>
  <c r="JI39" i="36128"/>
  <c r="JL40" i="36128"/>
  <c r="JI38" i="36128"/>
  <c r="JU38" i="36128"/>
  <c r="JU40" i="36128" s="1"/>
  <c r="DM40" i="36128"/>
  <c r="KP38" i="36128"/>
  <c r="KP39" i="36128"/>
  <c r="CD40" i="36128"/>
  <c r="HP40" i="36128"/>
  <c r="AB2" i="36128"/>
  <c r="AB38" i="36128" s="1"/>
  <c r="BL2" i="36128"/>
  <c r="BL38" i="36128" s="1"/>
  <c r="HX4" i="36128"/>
  <c r="EZ38" i="36128"/>
  <c r="HR4" i="36128"/>
  <c r="AB3" i="36128"/>
  <c r="AB39" i="36128" s="1"/>
  <c r="AK3" i="36128"/>
  <c r="AK39" i="36128" s="1"/>
  <c r="BI2" i="36128"/>
  <c r="BI38" i="36128" s="1"/>
  <c r="ES40" i="36128"/>
  <c r="HG40" i="36128"/>
  <c r="BW4" i="36128"/>
  <c r="DR38" i="36128"/>
  <c r="AB1614" i="36112"/>
  <c r="HG4" i="36128"/>
  <c r="HD4" i="36128"/>
  <c r="GO4" i="36128"/>
  <c r="EB10" i="36128"/>
  <c r="AB140" i="36126"/>
  <c r="AA10" i="36128"/>
  <c r="AB126" i="36126"/>
  <c r="FE10" i="36128"/>
  <c r="EY10" i="36128"/>
  <c r="AB194" i="36126"/>
  <c r="FX39" i="36128"/>
  <c r="FX40" i="36128" s="1"/>
  <c r="AB457" i="60"/>
  <c r="JA4" i="36128"/>
  <c r="JA38" i="36128"/>
  <c r="HO7" i="36128"/>
  <c r="O39" i="36128"/>
  <c r="O40" i="36128" s="1"/>
  <c r="BZ4" i="36128"/>
  <c r="JO40" i="36128"/>
  <c r="H4" i="36128"/>
  <c r="EG38" i="36128"/>
  <c r="EG40" i="36128" s="1"/>
  <c r="GK4" i="36128"/>
  <c r="FP38" i="36128"/>
  <c r="FP40" i="36128" s="1"/>
  <c r="CT38" i="36128"/>
  <c r="CW38" i="36128"/>
  <c r="GQ40" i="36128"/>
  <c r="CT4" i="36128"/>
  <c r="GQ4" i="36128"/>
  <c r="FE40" i="36128"/>
  <c r="LA40" i="36128"/>
  <c r="II4" i="36128"/>
  <c r="KB38" i="36128"/>
  <c r="DE4" i="36128"/>
  <c r="KG39" i="36128"/>
  <c r="KY40" i="36128"/>
  <c r="KG38" i="36128"/>
  <c r="BH40" i="36128"/>
  <c r="CI4" i="36128"/>
  <c r="HW4" i="36128"/>
  <c r="KI40" i="36128"/>
  <c r="HQ4" i="36128"/>
  <c r="EY40" i="36128"/>
  <c r="FU40" i="36128"/>
  <c r="DU39" i="36128"/>
  <c r="Z4" i="36128"/>
  <c r="KV40" i="36128"/>
  <c r="GT40" i="36128"/>
  <c r="BH7" i="36128"/>
  <c r="HX7" i="36128"/>
  <c r="Z7" i="36128"/>
  <c r="DU38" i="36128"/>
  <c r="JF38" i="36128" s="1"/>
  <c r="GM4" i="36128"/>
  <c r="EP40" i="36128"/>
  <c r="FX4" i="36128"/>
  <c r="GP4" i="36128"/>
  <c r="EY4" i="36128"/>
  <c r="BF2" i="36128"/>
  <c r="BF38" i="36128" s="1"/>
  <c r="BI3" i="36128"/>
  <c r="IQ40" i="36128"/>
  <c r="HB39" i="36128"/>
  <c r="DE38" i="36128"/>
  <c r="IA39" i="36128"/>
  <c r="IA40" i="36128" s="1"/>
  <c r="E38" i="36128"/>
  <c r="E40" i="36128" s="1"/>
  <c r="IR38" i="36128"/>
  <c r="IR40" i="36128" s="1"/>
  <c r="AK2" i="36128"/>
  <c r="AK38" i="36128" s="1"/>
  <c r="KO39" i="36128"/>
  <c r="FD38" i="36128"/>
  <c r="KO38" i="36128"/>
  <c r="DK38" i="36128"/>
  <c r="N39" i="36128"/>
  <c r="N40" i="36128" s="1"/>
  <c r="CY38" i="36128"/>
  <c r="S4" i="36128"/>
  <c r="IM4" i="36128"/>
  <c r="DK4" i="36128"/>
  <c r="N4" i="36128"/>
  <c r="BO2" i="36128"/>
  <c r="BO38" i="36128" s="1"/>
  <c r="IG38" i="36128"/>
  <c r="IG40" i="36128" s="1"/>
  <c r="R4" i="36128"/>
  <c r="AB1982" i="36112"/>
  <c r="LL39" i="36128"/>
  <c r="LL40" i="36128" s="1"/>
  <c r="GR38" i="36128"/>
  <c r="AC2" i="36128"/>
  <c r="AC38" i="36128" s="1"/>
  <c r="AC40" i="36128" s="1"/>
  <c r="AB934" i="36112"/>
  <c r="CE4" i="36128"/>
  <c r="AA2" i="36128"/>
  <c r="AA38" i="36128" s="1"/>
  <c r="GY40" i="36128"/>
  <c r="HR40" i="36128"/>
  <c r="IH40" i="36128"/>
  <c r="IC4" i="36128"/>
  <c r="BO3" i="36128"/>
  <c r="BO39" i="36128" s="1"/>
  <c r="EK40" i="36128"/>
  <c r="IC40" i="36128"/>
  <c r="DQ4" i="36128"/>
  <c r="EK4" i="36128"/>
  <c r="AF4" i="36128"/>
  <c r="CY4" i="36128"/>
  <c r="EP4" i="36128"/>
  <c r="CR4" i="36128"/>
  <c r="CR38" i="36128"/>
  <c r="AR2" i="36128"/>
  <c r="AR38" i="36128" s="1"/>
  <c r="DT4" i="36128"/>
  <c r="BE2" i="36128"/>
  <c r="BE38" i="36128" s="1"/>
  <c r="BE40" i="36128" s="1"/>
  <c r="CV4" i="36128"/>
  <c r="HL4" i="36128"/>
  <c r="GK40" i="36128"/>
  <c r="HY40" i="36128"/>
  <c r="CJ39" i="36128"/>
  <c r="CJ40" i="36128" s="1"/>
  <c r="FF40" i="36128"/>
  <c r="HO4" i="36128"/>
  <c r="IQ4" i="36128"/>
  <c r="GY4" i="36128"/>
  <c r="T40" i="36128"/>
  <c r="W1260" i="36134"/>
  <c r="P60" i="36134"/>
  <c r="P62" i="36134" s="1"/>
  <c r="DA4" i="36128"/>
  <c r="AL4" i="36128"/>
  <c r="K40" i="36128"/>
  <c r="T4" i="36128"/>
  <c r="Q4" i="36128"/>
  <c r="S38" i="36128"/>
  <c r="GT4" i="36128"/>
  <c r="EO4" i="36128"/>
  <c r="HY4" i="36128"/>
  <c r="K4" i="36128"/>
  <c r="CQ4" i="36128"/>
  <c r="IL40" i="36128"/>
  <c r="AB1875" i="36112"/>
  <c r="BV4" i="36128"/>
  <c r="AO3" i="36128"/>
  <c r="AO4" i="36128" s="1"/>
  <c r="FN4" i="36128"/>
  <c r="HS40" i="36128"/>
  <c r="AB1461" i="36112"/>
  <c r="AB1141" i="36112"/>
  <c r="AF39" i="36128"/>
  <c r="AF40" i="36128" s="1"/>
  <c r="AB1330" i="36112"/>
  <c r="AA39" i="36128"/>
  <c r="CX4" i="36128"/>
  <c r="DN40" i="36128"/>
  <c r="CE38" i="36128"/>
  <c r="I4" i="36128"/>
  <c r="AB1329" i="36112"/>
  <c r="DA40" i="36128"/>
  <c r="IL4" i="36128"/>
  <c r="FL40" i="36128"/>
  <c r="BB3" i="36128"/>
  <c r="BB2" i="36128"/>
  <c r="EO38" i="36128"/>
  <c r="CX38" i="36128"/>
  <c r="DX4" i="36128"/>
  <c r="DW40" i="36128"/>
  <c r="AB2116" i="36112"/>
  <c r="EB38" i="36128"/>
  <c r="AB1142" i="36112"/>
  <c r="AB1143" i="36112" s="1"/>
  <c r="KC40" i="36128"/>
  <c r="IU40" i="36128"/>
  <c r="ED39" i="36128"/>
  <c r="ED40" i="36128" s="1"/>
  <c r="BF3" i="36128"/>
  <c r="EV40" i="36128"/>
  <c r="JK38" i="36128"/>
  <c r="JK40" i="36128" s="1"/>
  <c r="BK3" i="36128"/>
  <c r="BK39" i="36128" s="1"/>
  <c r="X40" i="36128"/>
  <c r="IU4" i="36128"/>
  <c r="CL4" i="36128"/>
  <c r="CL39" i="36128"/>
  <c r="CL40" i="36128" s="1"/>
  <c r="AU3" i="36128"/>
  <c r="AU2" i="36128"/>
  <c r="AU38" i="36128" s="1"/>
  <c r="EG4" i="36128"/>
  <c r="AE2" i="36128"/>
  <c r="AE38" i="36128" s="1"/>
  <c r="AE3" i="36128"/>
  <c r="AI2" i="36128"/>
  <c r="AI38" i="36128" s="1"/>
  <c r="AI3" i="36128"/>
  <c r="BN3" i="36128"/>
  <c r="BN39" i="36128" s="1"/>
  <c r="BN40" i="36128" s="1"/>
  <c r="AB1533" i="36112"/>
  <c r="GD4" i="36128"/>
  <c r="AW3" i="36128"/>
  <c r="DQ38" i="36128"/>
  <c r="BG3" i="36128"/>
  <c r="BG2" i="36128"/>
  <c r="BG38" i="36128" s="1"/>
  <c r="Q40" i="36128"/>
  <c r="CU39" i="36128"/>
  <c r="CU40" i="36128" s="1"/>
  <c r="G39" i="36128"/>
  <c r="G40" i="36128" s="1"/>
  <c r="G4" i="36128"/>
  <c r="AP3" i="36128"/>
  <c r="AP2" i="36128"/>
  <c r="AP38" i="36128" s="1"/>
  <c r="BA39" i="36128"/>
  <c r="BA40" i="36128" s="1"/>
  <c r="BA4" i="36128"/>
  <c r="EB4" i="36128"/>
  <c r="GU40" i="36128"/>
  <c r="HZ40" i="36128"/>
  <c r="EA4" i="36128"/>
  <c r="DP4" i="36128"/>
  <c r="I40" i="36128"/>
  <c r="DR4" i="36128"/>
  <c r="AB1460" i="36112"/>
  <c r="AB2070" i="36112"/>
  <c r="EV4" i="36128"/>
  <c r="AB2159" i="36112"/>
  <c r="AB775" i="36112"/>
  <c r="EJ39" i="36128"/>
  <c r="EJ40" i="36128" s="1"/>
  <c r="EJ4" i="36128"/>
  <c r="E4" i="36128"/>
  <c r="M4" i="36128"/>
  <c r="M39" i="36128"/>
  <c r="M40" i="36128" s="1"/>
  <c r="HA39" i="36128"/>
  <c r="HA40" i="36128" s="1"/>
  <c r="HA4" i="36128"/>
  <c r="DW4" i="36128"/>
  <c r="BX38" i="36128"/>
  <c r="BX40" i="36128" s="1"/>
  <c r="BX4" i="36128"/>
  <c r="HS4" i="36128"/>
  <c r="X4" i="36128"/>
  <c r="FN40" i="36128"/>
  <c r="GI39" i="36128"/>
  <c r="GI40" i="36128" s="1"/>
  <c r="GI4" i="36128"/>
  <c r="HM4" i="36128"/>
  <c r="HM39" i="36128"/>
  <c r="HM40" i="36128" s="1"/>
  <c r="EE4" i="36128"/>
  <c r="FL4" i="36128"/>
  <c r="AW38" i="36128"/>
  <c r="FS40" i="36128"/>
  <c r="AB1775" i="36112"/>
  <c r="FA4" i="36128"/>
  <c r="EC38" i="36128"/>
  <c r="KH40" i="36128"/>
  <c r="CW4" i="36128"/>
  <c r="GS4" i="36128"/>
  <c r="CM40" i="36128"/>
  <c r="DF38" i="36128"/>
  <c r="DG4" i="36128"/>
  <c r="DG38" i="36128"/>
  <c r="KU40" i="36128"/>
  <c r="JW40" i="36128"/>
  <c r="GD40" i="36128"/>
  <c r="JY40" i="36128"/>
  <c r="DN4" i="36128"/>
  <c r="GC40" i="36128"/>
  <c r="EQ38" i="36128"/>
  <c r="AB1684" i="36112"/>
  <c r="DU4" i="36128"/>
  <c r="CC39" i="36128"/>
  <c r="CC40" i="36128" s="1"/>
  <c r="CC4" i="36128"/>
  <c r="CS39" i="36128"/>
  <c r="CS40" i="36128" s="1"/>
  <c r="CS4" i="36128"/>
  <c r="AB1534" i="36112"/>
  <c r="CN4" i="36128"/>
  <c r="CN38" i="36128"/>
  <c r="CN40" i="36128" s="1"/>
  <c r="DS4" i="36128"/>
  <c r="DS39" i="36128"/>
  <c r="DS40" i="36128" s="1"/>
  <c r="EC4" i="36128"/>
  <c r="CO39" i="36128"/>
  <c r="CO40" i="36128" s="1"/>
  <c r="CO4" i="36128"/>
  <c r="LM40" i="36128"/>
  <c r="DX39" i="36128"/>
  <c r="CZ4" i="36128"/>
  <c r="DL38" i="36128"/>
  <c r="DL40" i="36128" s="1"/>
  <c r="DL4" i="36128"/>
  <c r="JT40" i="36128"/>
  <c r="KM40" i="36128"/>
  <c r="AN4" i="36128"/>
  <c r="AG39" i="36128"/>
  <c r="AG40" i="36128" s="1"/>
  <c r="CF39" i="36128"/>
  <c r="CF40" i="36128" s="1"/>
  <c r="CF4" i="36128"/>
  <c r="CM4" i="36128"/>
  <c r="BQ39" i="36128"/>
  <c r="BQ40" i="36128" s="1"/>
  <c r="BQ4" i="36128"/>
  <c r="GV40" i="36128"/>
  <c r="DI4" i="36128"/>
  <c r="DI39" i="36128"/>
  <c r="DI40" i="36128" s="1"/>
  <c r="DH39" i="36128"/>
  <c r="DZ4" i="36128"/>
  <c r="DZ38" i="36128"/>
  <c r="DZ40" i="36128" s="1"/>
  <c r="DF4" i="36128"/>
  <c r="CK4" i="36128"/>
  <c r="CK39" i="36128"/>
  <c r="CK40" i="36128" s="1"/>
  <c r="IT4" i="36128"/>
  <c r="IT39" i="36128"/>
  <c r="IT40" i="36128" s="1"/>
  <c r="KW40" i="36128"/>
  <c r="FC39" i="36128"/>
  <c r="FC40" i="36128" s="1"/>
  <c r="FC4" i="36128"/>
  <c r="DV39" i="36128"/>
  <c r="DV40" i="36128" s="1"/>
  <c r="DV4" i="36128"/>
  <c r="BY4" i="36128"/>
  <c r="EW38" i="36128"/>
  <c r="EW40" i="36128" s="1"/>
  <c r="EW4" i="36128"/>
  <c r="FJ39" i="36128"/>
  <c r="FJ40" i="36128" s="1"/>
  <c r="FJ4" i="36128"/>
  <c r="DO4" i="36128"/>
  <c r="DO39" i="36128"/>
  <c r="DO40" i="36128" s="1"/>
  <c r="DD4" i="36128"/>
  <c r="DD39" i="36128"/>
  <c r="DD40" i="36128" s="1"/>
  <c r="AJ4" i="36128"/>
  <c r="AJ39" i="36128"/>
  <c r="AJ40" i="36128" s="1"/>
  <c r="AR4" i="36128"/>
  <c r="AR39" i="36128"/>
  <c r="AY4" i="36128"/>
  <c r="AY39" i="36128"/>
  <c r="AY40" i="36128" s="1"/>
  <c r="DY38" i="36128"/>
  <c r="DY40" i="36128" s="1"/>
  <c r="DY4" i="36128"/>
  <c r="KB40" i="36128"/>
  <c r="P4" i="36128"/>
  <c r="P38" i="36128"/>
  <c r="P40" i="36128" s="1"/>
  <c r="AM39" i="36128"/>
  <c r="AM40" i="36128" s="1"/>
  <c r="AM4" i="36128"/>
  <c r="Y39" i="36128"/>
  <c r="Y40" i="36128" s="1"/>
  <c r="Y4" i="36128"/>
  <c r="BS39" i="36128"/>
  <c r="BS40" i="36128" s="1"/>
  <c r="BS4" i="36128"/>
  <c r="CG4" i="36128"/>
  <c r="CG39" i="36128"/>
  <c r="CG40" i="36128" s="1"/>
  <c r="DC4" i="36128"/>
  <c r="DC39" i="36128"/>
  <c r="DC40" i="36128" s="1"/>
  <c r="CP39" i="36128"/>
  <c r="CP40" i="36128" s="1"/>
  <c r="CP4" i="36128"/>
  <c r="DM4" i="36128"/>
  <c r="IM38" i="36128"/>
  <c r="IM40" i="36128" s="1"/>
  <c r="HI7" i="36128"/>
  <c r="FS7" i="36128"/>
  <c r="IV7" i="36128"/>
  <c r="AB589" i="60"/>
  <c r="CX39" i="36128"/>
  <c r="AB611" i="60"/>
  <c r="AB515" i="60"/>
  <c r="JS40" i="36128"/>
  <c r="AB443" i="60"/>
  <c r="HX40" i="36128"/>
  <c r="AB486" i="60"/>
  <c r="BB5" i="36128"/>
  <c r="BB6" i="36128"/>
  <c r="IV39" i="36128"/>
  <c r="GS7" i="36128"/>
  <c r="HF7" i="36128"/>
  <c r="HF39" i="36128"/>
  <c r="HF40" i="36128" s="1"/>
  <c r="BD5" i="36128"/>
  <c r="BD38" i="36128" s="1"/>
  <c r="BD6" i="36128"/>
  <c r="FY7" i="36128"/>
  <c r="FY39" i="36128"/>
  <c r="FY40" i="36128" s="1"/>
  <c r="FA7" i="36128"/>
  <c r="FA39" i="36128"/>
  <c r="FA40" i="36128" s="1"/>
  <c r="CY39" i="36128"/>
  <c r="CY7" i="36128"/>
  <c r="IN39" i="36128"/>
  <c r="IN40" i="36128" s="1"/>
  <c r="IN7" i="36128"/>
  <c r="HK7" i="36128"/>
  <c r="HK39" i="36128"/>
  <c r="HK40" i="36128" s="1"/>
  <c r="EG7" i="36128"/>
  <c r="IP39" i="36128"/>
  <c r="IP40" i="36128" s="1"/>
  <c r="IP7" i="36128"/>
  <c r="FB7" i="36128"/>
  <c r="FB39" i="36128"/>
  <c r="FB40" i="36128" s="1"/>
  <c r="AB373" i="60"/>
  <c r="AB569" i="60"/>
  <c r="D39" i="36128"/>
  <c r="D40" i="36128" s="1"/>
  <c r="D7" i="36128"/>
  <c r="GP7" i="36128"/>
  <c r="GP39" i="36128"/>
  <c r="GP40" i="36128" s="1"/>
  <c r="HQ7" i="36128"/>
  <c r="HQ39" i="36128"/>
  <c r="HQ40" i="36128" s="1"/>
  <c r="HW7" i="36128"/>
  <c r="HW39" i="36128"/>
  <c r="HW40" i="36128" s="1"/>
  <c r="FW7" i="36128"/>
  <c r="FW38" i="36128"/>
  <c r="FW40" i="36128" s="1"/>
  <c r="R7" i="36128"/>
  <c r="R39" i="36128"/>
  <c r="R40" i="36128" s="1"/>
  <c r="GE7" i="36128"/>
  <c r="GE39" i="36128"/>
  <c r="GE40" i="36128" s="1"/>
  <c r="N7" i="36128"/>
  <c r="IW38" i="36128"/>
  <c r="IV38" i="36128"/>
  <c r="IV4" i="36128"/>
  <c r="IW39" i="36128"/>
  <c r="IW7" i="36128"/>
  <c r="DT7" i="36128"/>
  <c r="CA7" i="36128"/>
  <c r="CA39" i="36128"/>
  <c r="CA40" i="36128" s="1"/>
  <c r="L7" i="36128"/>
  <c r="L39" i="36128"/>
  <c r="L40" i="36128" s="1"/>
  <c r="HT7" i="36128"/>
  <c r="HT39" i="36128"/>
  <c r="HT40" i="36128" s="1"/>
  <c r="W39" i="36128"/>
  <c r="W40" i="36128" s="1"/>
  <c r="W7" i="36128"/>
  <c r="FR7" i="36128"/>
  <c r="FR39" i="36128"/>
  <c r="FR40" i="36128" s="1"/>
  <c r="HN39" i="36128"/>
  <c r="HN40" i="36128" s="1"/>
  <c r="HN7" i="36128"/>
  <c r="EL39" i="36128"/>
  <c r="EL40" i="36128" s="1"/>
  <c r="EL7" i="36128"/>
  <c r="H38" i="36128"/>
  <c r="GR39" i="36128"/>
  <c r="GR7" i="36128"/>
  <c r="CB7" i="36128"/>
  <c r="CB39" i="36128"/>
  <c r="CB40" i="36128" s="1"/>
  <c r="CV7" i="36128"/>
  <c r="CV39" i="36128"/>
  <c r="CV40" i="36128" s="1"/>
  <c r="EM39" i="36128"/>
  <c r="EM7" i="36128"/>
  <c r="HJ7" i="36128"/>
  <c r="HJ39" i="36128"/>
  <c r="HJ40" i="36128" s="1"/>
  <c r="AB444" i="60"/>
  <c r="GM7" i="36128"/>
  <c r="GM38" i="36128"/>
  <c r="GM40" i="36128" s="1"/>
  <c r="DR7" i="36128"/>
  <c r="DR39" i="36128"/>
  <c r="DR40" i="36128" s="1"/>
  <c r="DX38" i="36128"/>
  <c r="DX7" i="36128"/>
  <c r="BU39" i="36128"/>
  <c r="BU7" i="36128"/>
  <c r="EB39" i="36128"/>
  <c r="EB40" i="36128" s="1"/>
  <c r="EB7" i="36128"/>
  <c r="CI7" i="36128"/>
  <c r="CI39" i="36128"/>
  <c r="CI40" i="36128" s="1"/>
  <c r="CR7" i="36128"/>
  <c r="CR39" i="36128"/>
  <c r="GG39" i="36128"/>
  <c r="GG40" i="36128" s="1"/>
  <c r="GG7" i="36128"/>
  <c r="DG7" i="36128"/>
  <c r="DG39" i="36128"/>
  <c r="CQ7" i="36128"/>
  <c r="CQ39" i="36128"/>
  <c r="CQ40" i="36128" s="1"/>
  <c r="DK39" i="36128"/>
  <c r="DK7" i="36128"/>
  <c r="EH39" i="36128"/>
  <c r="EH7" i="36128"/>
  <c r="AX39" i="36128"/>
  <c r="AX40" i="36128" s="1"/>
  <c r="AX7" i="36128"/>
  <c r="EA7" i="36128"/>
  <c r="EA39" i="36128"/>
  <c r="EA40" i="36128" s="1"/>
  <c r="EZ7" i="36128"/>
  <c r="EZ39" i="36128"/>
  <c r="EZ40" i="36128" s="1"/>
  <c r="S39" i="36128"/>
  <c r="S7" i="36128"/>
  <c r="DP7" i="36128"/>
  <c r="DP39" i="36128"/>
  <c r="IK39" i="36128"/>
  <c r="IK40" i="36128" s="1"/>
  <c r="IK7" i="36128"/>
  <c r="FZ7" i="36128"/>
  <c r="FZ39" i="36128"/>
  <c r="FZ40" i="36128" s="1"/>
  <c r="BY7" i="36128"/>
  <c r="BY39" i="36128"/>
  <c r="AL6" i="36128"/>
  <c r="AB405" i="60"/>
  <c r="AL5" i="36128"/>
  <c r="AL38" i="36128" s="1"/>
  <c r="AB404" i="60"/>
  <c r="HE7" i="36128"/>
  <c r="HE39" i="36128"/>
  <c r="HE40" i="36128" s="1"/>
  <c r="EO7" i="36128"/>
  <c r="EO39" i="36128"/>
  <c r="BW7" i="36128"/>
  <c r="BW39" i="36128"/>
  <c r="GZ39" i="36128"/>
  <c r="GZ40" i="36128" s="1"/>
  <c r="GZ7" i="36128"/>
  <c r="CT7" i="36128"/>
  <c r="CT39" i="36128"/>
  <c r="IX38" i="36128"/>
  <c r="FM39" i="36128"/>
  <c r="FM40" i="36128" s="1"/>
  <c r="FM7" i="36128"/>
  <c r="CW7" i="36128"/>
  <c r="CW39" i="36128"/>
  <c r="IE39" i="36128"/>
  <c r="IE40" i="36128" s="1"/>
  <c r="IE7" i="36128"/>
  <c r="EU7" i="36128"/>
  <c r="EU39" i="36128"/>
  <c r="EU40" i="36128" s="1"/>
  <c r="IX39" i="36128"/>
  <c r="IX4" i="36128"/>
  <c r="AB393" i="60"/>
  <c r="FG39" i="36128"/>
  <c r="FG40" i="36128" s="1"/>
  <c r="FG7" i="36128"/>
  <c r="CE7" i="36128"/>
  <c r="CE39" i="36128"/>
  <c r="CZ7" i="36128"/>
  <c r="CZ39" i="36128"/>
  <c r="CZ40" i="36128" s="1"/>
  <c r="GJ39" i="36128"/>
  <c r="GJ40" i="36128" s="1"/>
  <c r="GJ7" i="36128"/>
  <c r="DE7" i="36128"/>
  <c r="DE39" i="36128"/>
  <c r="EC7" i="36128"/>
  <c r="EC39" i="36128"/>
  <c r="HC7" i="36128"/>
  <c r="HC39" i="36128"/>
  <c r="HC40" i="36128" s="1"/>
  <c r="DQ7" i="36128"/>
  <c r="DQ39" i="36128"/>
  <c r="DQ40" i="36128" s="1"/>
  <c r="IB39" i="36128"/>
  <c r="IB40" i="36128" s="1"/>
  <c r="IB7" i="36128"/>
  <c r="IY39" i="36128"/>
  <c r="IY40" i="36128" s="1"/>
  <c r="IY4" i="36128"/>
  <c r="KR40" i="36128"/>
  <c r="FD7" i="36128"/>
  <c r="FD39" i="36128"/>
  <c r="DF39" i="36128"/>
  <c r="DF7" i="36128"/>
  <c r="EQ39" i="36128"/>
  <c r="EQ7" i="36128"/>
  <c r="H39" i="36128"/>
  <c r="H7" i="36128"/>
  <c r="DH38" i="36128"/>
  <c r="DH7" i="36128"/>
  <c r="EE38" i="36128"/>
  <c r="EE40" i="36128" s="1"/>
  <c r="EE7" i="36128"/>
  <c r="AD4" i="36128" l="1"/>
  <c r="AZ40" i="36128"/>
  <c r="HI40" i="36128"/>
  <c r="DK40" i="36128"/>
  <c r="DE40" i="36128"/>
  <c r="EM40" i="36128"/>
  <c r="CT40" i="36128"/>
  <c r="AG4" i="36128"/>
  <c r="BK40" i="36128"/>
  <c r="KP40" i="36128"/>
  <c r="CY40" i="36128"/>
  <c r="U4" i="36128"/>
  <c r="BL40" i="36128"/>
  <c r="JN40" i="36128"/>
  <c r="BO40" i="36128"/>
  <c r="JI40" i="36128"/>
  <c r="BL4" i="36128"/>
  <c r="AO39" i="36128"/>
  <c r="AO40" i="36128" s="1"/>
  <c r="EH40" i="36128"/>
  <c r="HB40" i="36128"/>
  <c r="AZ4" i="36128"/>
  <c r="DP40" i="36128"/>
  <c r="AR40" i="36128"/>
  <c r="AW4" i="36128"/>
  <c r="BU40" i="36128"/>
  <c r="DU40" i="36128"/>
  <c r="GR40" i="36128"/>
  <c r="BW40" i="36128"/>
  <c r="KG40" i="36128"/>
  <c r="AB40" i="36128"/>
  <c r="BY40" i="36128"/>
  <c r="FD40" i="36128"/>
  <c r="CR40" i="36128"/>
  <c r="AB4" i="36128"/>
  <c r="AA40" i="36128"/>
  <c r="JA40" i="36128"/>
  <c r="DX40" i="36128"/>
  <c r="CW40" i="36128"/>
  <c r="KO40" i="36128"/>
  <c r="AK4" i="36128"/>
  <c r="EO40" i="36128"/>
  <c r="S40" i="36128"/>
  <c r="AK40" i="36128"/>
  <c r="BF4" i="36128"/>
  <c r="BO4" i="36128"/>
  <c r="AC4" i="36128"/>
  <c r="AB1535" i="36112"/>
  <c r="BE4" i="36128"/>
  <c r="BI39" i="36128"/>
  <c r="BI40" i="36128" s="1"/>
  <c r="BI4" i="36128"/>
  <c r="AB1462" i="36112"/>
  <c r="AW39" i="36128"/>
  <c r="AW40" i="36128" s="1"/>
  <c r="BB38" i="36128"/>
  <c r="BF39" i="36128"/>
  <c r="BF40" i="36128" s="1"/>
  <c r="CE40" i="36128"/>
  <c r="BK4" i="36128"/>
  <c r="BB4" i="36128"/>
  <c r="EC40" i="36128"/>
  <c r="CX40" i="36128"/>
  <c r="AB1331" i="36112"/>
  <c r="BN4" i="36128"/>
  <c r="DF40" i="36128"/>
  <c r="DG40" i="36128"/>
  <c r="BG39" i="36128"/>
  <c r="BG40" i="36128" s="1"/>
  <c r="BG4" i="36128"/>
  <c r="AE39" i="36128"/>
  <c r="AE40" i="36128" s="1"/>
  <c r="AE4" i="36128"/>
  <c r="AP39" i="36128"/>
  <c r="AP40" i="36128" s="1"/>
  <c r="AP4" i="36128"/>
  <c r="AU39" i="36128"/>
  <c r="AU40" i="36128" s="1"/>
  <c r="AU4" i="36128"/>
  <c r="AI39" i="36128"/>
  <c r="AI40" i="36128" s="1"/>
  <c r="AI4" i="36128"/>
  <c r="EQ40" i="36128"/>
  <c r="DH40" i="36128"/>
  <c r="BB39" i="36128"/>
  <c r="BB7" i="36128"/>
  <c r="BD39" i="36128"/>
  <c r="BD40" i="36128" s="1"/>
  <c r="BD7" i="36128"/>
  <c r="AB406" i="60"/>
  <c r="IW40" i="36128"/>
  <c r="IV40" i="36128"/>
  <c r="IX40" i="36128"/>
  <c r="AL7" i="36128"/>
  <c r="AL39" i="36128"/>
  <c r="AL40" i="36128" s="1"/>
  <c r="H40" i="36128"/>
  <c r="BB40" i="3612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GERENCIA DE SISTEMAS</author>
    <author>Mariela Melamed</author>
    <author>Bolland y Cía. S.A.</author>
    <author>vtornad</author>
  </authors>
  <commentList>
    <comment ref="AA38" authorId="0" shapeId="0" xr:uid="{00000000-0006-0000-0200-000001000000}">
      <text>
        <r>
          <rPr>
            <sz val="8"/>
            <color indexed="81"/>
            <rFont val="Tahoma"/>
            <family val="2"/>
          </rPr>
          <t xml:space="preserve">PLANIFICACIÓN
sale de planta el 2-3
</t>
        </r>
      </text>
    </comment>
    <comment ref="H149" authorId="1" shapeId="0" xr:uid="{00000000-0006-0000-0200-000002000000}">
      <text>
        <r>
          <rPr>
            <sz val="8"/>
            <color indexed="81"/>
            <rFont val="Tahoma"/>
            <family val="2"/>
          </rPr>
          <t>gastos: u$s430</t>
        </r>
      </text>
    </comment>
    <comment ref="T298" authorId="2" shapeId="0" xr:uid="{00000000-0006-0000-0200-000003000000}">
      <text>
        <r>
          <rPr>
            <b/>
            <sz val="7"/>
            <color indexed="81"/>
            <rFont val="Tahoma"/>
            <family val="2"/>
          </rPr>
          <t>salen 
de BAI 
29/ene x 
ZIM BRASIL</t>
        </r>
      </text>
    </comment>
    <comment ref="V364" authorId="1" shapeId="0" xr:uid="{00000000-0006-0000-0200-000004000000}">
      <text>
        <r>
          <rPr>
            <b/>
            <sz val="8"/>
            <color indexed="81"/>
            <rFont val="Tahoma"/>
            <family val="2"/>
          </rPr>
          <t>25/06 Helene Russ de BAI. ETA 5/07</t>
        </r>
        <r>
          <rPr>
            <sz val="8"/>
            <color indexed="81"/>
            <rFont val="Tahoma"/>
            <family val="2"/>
          </rPr>
          <t xml:space="preserve">
</t>
        </r>
      </text>
    </comment>
    <comment ref="T382" authorId="1" shapeId="0" xr:uid="{00000000-0006-0000-0200-000005000000}">
      <text>
        <r>
          <rPr>
            <b/>
            <sz val="8"/>
            <color indexed="81"/>
            <rFont val="Tahoma"/>
            <family val="2"/>
          </rPr>
          <t>Salen de BAI 2/08</t>
        </r>
      </text>
    </comment>
    <comment ref="T395" authorId="1" shapeId="0" xr:uid="{00000000-0006-0000-0200-000006000000}">
      <text>
        <r>
          <rPr>
            <b/>
            <sz val="8"/>
            <color indexed="81"/>
            <rFont val="Tahoma"/>
            <family val="2"/>
          </rPr>
          <t>9-sep de BAI</t>
        </r>
      </text>
    </comment>
    <comment ref="V407" authorId="1" shapeId="0" xr:uid="{00000000-0006-0000-0200-000007000000}">
      <text>
        <r>
          <rPr>
            <sz val="8"/>
            <color indexed="81"/>
            <rFont val="Tahoma"/>
            <family val="2"/>
          </rPr>
          <t>it. 19: mp llega</t>
        </r>
        <r>
          <rPr>
            <strike/>
            <sz val="8"/>
            <color indexed="81"/>
            <rFont val="Tahoma"/>
            <family val="2"/>
          </rPr>
          <t xml:space="preserve"> fin agos</t>
        </r>
        <r>
          <rPr>
            <sz val="8"/>
            <color indexed="81"/>
            <rFont val="Tahoma"/>
            <family val="2"/>
          </rPr>
          <t xml:space="preserve"> a BAI 1/2 sep
it. 25: mp llega 5 sept a BAI
</t>
        </r>
      </text>
    </comment>
    <comment ref="T428" authorId="1" shapeId="0" xr:uid="{00000000-0006-0000-0200-000008000000}">
      <text>
        <r>
          <rPr>
            <b/>
            <sz val="8"/>
            <color indexed="81"/>
            <rFont val="Tahoma"/>
            <family val="2"/>
          </rPr>
          <t>sale con Midmarine de PDS _ el 25-sep de BAI</t>
        </r>
      </text>
    </comment>
    <comment ref="T431" authorId="1" shapeId="0" xr:uid="{00000000-0006-0000-0200-000009000000}">
      <text>
        <r>
          <rPr>
            <b/>
            <sz val="8"/>
            <color indexed="81"/>
            <rFont val="Tahoma"/>
            <family val="2"/>
          </rPr>
          <t>13/oct de BAI
Helene Russ</t>
        </r>
      </text>
    </comment>
    <comment ref="T462" authorId="1" shapeId="0" xr:uid="{00000000-0006-0000-0200-00000A000000}">
      <text>
        <r>
          <rPr>
            <b/>
            <sz val="8"/>
            <color indexed="81"/>
            <rFont val="Tahoma"/>
            <family val="2"/>
          </rPr>
          <t>20/11 de BAI
Niver Austral</t>
        </r>
      </text>
    </comment>
    <comment ref="T480" authorId="1" shapeId="0" xr:uid="{00000000-0006-0000-0200-00000B000000}">
      <text>
        <r>
          <rPr>
            <b/>
            <sz val="8"/>
            <color indexed="81"/>
            <rFont val="Tahoma"/>
            <family val="2"/>
          </rPr>
          <t>30-dic de BAI (MV Deike Rickmers)
ETA 9-ene</t>
        </r>
      </text>
    </comment>
    <comment ref="T519" authorId="1" shapeId="0" xr:uid="{00000000-0006-0000-0200-00000C000000}">
      <text>
        <r>
          <rPr>
            <b/>
            <sz val="8"/>
            <color indexed="81"/>
            <rFont val="Tahoma"/>
            <family val="2"/>
          </rPr>
          <t>10/feb de BAI</t>
        </r>
      </text>
    </comment>
    <comment ref="T537" authorId="1" shapeId="0" xr:uid="{00000000-0006-0000-0200-00000D000000}">
      <text>
        <r>
          <rPr>
            <b/>
            <sz val="8"/>
            <color indexed="81"/>
            <rFont val="Tahoma"/>
            <family val="2"/>
          </rPr>
          <t>10/05 a BRASIL</t>
        </r>
      </text>
    </comment>
    <comment ref="T547" authorId="1" shapeId="0" xr:uid="{00000000-0006-0000-0200-00000E000000}">
      <text>
        <r>
          <rPr>
            <b/>
            <sz val="8"/>
            <color indexed="81"/>
            <rFont val="Tahoma"/>
            <family val="2"/>
          </rPr>
          <t>10/05 a BRASIL</t>
        </r>
        <r>
          <rPr>
            <sz val="8"/>
            <color indexed="81"/>
            <rFont val="Tahoma"/>
            <family val="2"/>
          </rPr>
          <t xml:space="preserve">
</t>
        </r>
      </text>
    </comment>
    <comment ref="T556" authorId="1" shapeId="0" xr:uid="{00000000-0006-0000-0200-00000F000000}">
      <text>
        <r>
          <rPr>
            <b/>
            <sz val="8"/>
            <color indexed="81"/>
            <rFont val="Tahoma"/>
            <family val="2"/>
          </rPr>
          <t>22/6 de BUE</t>
        </r>
      </text>
    </comment>
    <comment ref="V622" authorId="1" shapeId="0" xr:uid="{00000000-0006-0000-0200-000010000000}">
      <text>
        <r>
          <rPr>
            <b/>
            <sz val="7"/>
            <color indexed="81"/>
            <rFont val="Tahoma"/>
            <family val="2"/>
          </rPr>
          <t>facturacion noviembre</t>
        </r>
      </text>
    </comment>
    <comment ref="T646" authorId="1" shapeId="0" xr:uid="{00000000-0006-0000-0200-000011000000}">
      <text>
        <r>
          <rPr>
            <b/>
            <sz val="8"/>
            <color indexed="81"/>
            <rFont val="Tahoma"/>
            <family val="2"/>
          </rPr>
          <t>CGM Sevilla 
ETD 23/03 
ETA 02/04</t>
        </r>
      </text>
    </comment>
    <comment ref="F1850" authorId="3" shapeId="0" xr:uid="{00000000-0006-0000-0200-000012000000}">
      <text>
        <r>
          <rPr>
            <b/>
            <sz val="8"/>
            <color indexed="81"/>
            <rFont val="Tahoma"/>
            <family val="2"/>
          </rPr>
          <t>vtornad:</t>
        </r>
        <r>
          <rPr>
            <sz val="8"/>
            <color indexed="81"/>
            <rFont val="Tahoma"/>
            <family val="2"/>
          </rPr>
          <t xml:space="preserve">
Prefinanciacion exp.
Transfer route: Banco Nacion</t>
        </r>
      </text>
    </comment>
    <comment ref="F1851" authorId="3" shapeId="0" xr:uid="{00000000-0006-0000-0200-000013000000}">
      <text>
        <r>
          <rPr>
            <b/>
            <sz val="8"/>
            <color indexed="81"/>
            <rFont val="Tahoma"/>
            <family val="2"/>
          </rPr>
          <t>vtornad:</t>
        </r>
        <r>
          <rPr>
            <sz val="8"/>
            <color indexed="81"/>
            <rFont val="Tahoma"/>
            <family val="2"/>
          </rPr>
          <t xml:space="preserve">
Prefinanciacion exp.
Transfer route: Banco Nacion</t>
        </r>
      </text>
    </comment>
    <comment ref="F1852" authorId="3" shapeId="0" xr:uid="{00000000-0006-0000-0200-000014000000}">
      <text>
        <r>
          <rPr>
            <b/>
            <sz val="8"/>
            <color indexed="81"/>
            <rFont val="Tahoma"/>
            <family val="2"/>
          </rPr>
          <t>vtornad:</t>
        </r>
        <r>
          <rPr>
            <sz val="8"/>
            <color indexed="81"/>
            <rFont val="Tahoma"/>
            <family val="2"/>
          </rPr>
          <t xml:space="preserve">
Prefinanciacion exp.
Transfer route: Banco Nacion</t>
        </r>
      </text>
    </comment>
    <comment ref="F1853" authorId="3" shapeId="0" xr:uid="{00000000-0006-0000-0200-000015000000}">
      <text>
        <r>
          <rPr>
            <b/>
            <sz val="8"/>
            <color indexed="81"/>
            <rFont val="Tahoma"/>
            <family val="2"/>
          </rPr>
          <t>vtornad:</t>
        </r>
        <r>
          <rPr>
            <sz val="8"/>
            <color indexed="81"/>
            <rFont val="Tahoma"/>
            <family val="2"/>
          </rPr>
          <t xml:space="preserve">
Prefinanciacion exp.
Transfer route: Banco Nacion</t>
        </r>
      </text>
    </comment>
    <comment ref="F1862" authorId="3" shapeId="0" xr:uid="{00000000-0006-0000-0200-000016000000}">
      <text>
        <r>
          <rPr>
            <b/>
            <sz val="8"/>
            <color indexed="81"/>
            <rFont val="Tahoma"/>
            <family val="2"/>
          </rPr>
          <t>vtornad:</t>
        </r>
        <r>
          <rPr>
            <sz val="8"/>
            <color indexed="81"/>
            <rFont val="Tahoma"/>
            <family val="2"/>
          </rPr>
          <t xml:space="preserve">
EX 4504153169</t>
        </r>
      </text>
    </comment>
    <comment ref="F1897" authorId="3" shapeId="0" xr:uid="{00000000-0006-0000-0200-000017000000}">
      <text>
        <r>
          <rPr>
            <b/>
            <sz val="8"/>
            <color indexed="81"/>
            <rFont val="Tahoma"/>
            <family val="2"/>
          </rPr>
          <t>vtornad:</t>
        </r>
        <r>
          <rPr>
            <sz val="8"/>
            <color indexed="81"/>
            <rFont val="Tahoma"/>
            <family val="2"/>
          </rPr>
          <t xml:space="preserve">
EX 4504153169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GERENCIA DE SISTEMAS</author>
    <author>Mariela Melamed</author>
  </authors>
  <commentList>
    <comment ref="AA23" authorId="0" shapeId="0" xr:uid="{00000000-0006-0000-0300-000001000000}">
      <text>
        <r>
          <rPr>
            <sz val="8"/>
            <color indexed="81"/>
            <rFont val="Tahoma"/>
            <family val="2"/>
          </rPr>
          <t xml:space="preserve">SE ESPERA LLEGADA EL 17-5
</t>
        </r>
      </text>
    </comment>
    <comment ref="V32" authorId="0" shapeId="0" xr:uid="{00000000-0006-0000-0300-000002000000}">
      <text>
        <r>
          <rPr>
            <b/>
            <sz val="8"/>
            <color indexed="81"/>
            <rFont val="Tahoma"/>
            <family val="2"/>
          </rPr>
          <t>La empresa ZIM toma la carga en Deseado hasta Cartagena. Se confeccionan 2 B/L dif. para cada tramo porque el flete internac. lo paga Petroingeniería</t>
        </r>
        <r>
          <rPr>
            <sz val="8"/>
            <color indexed="81"/>
            <rFont val="Tahoma"/>
            <family val="2"/>
          </rPr>
          <t xml:space="preserve">
</t>
        </r>
      </text>
    </comment>
    <comment ref="V57" authorId="0" shapeId="0" xr:uid="{00000000-0006-0000-0300-000003000000}">
      <text>
        <r>
          <rPr>
            <sz val="7"/>
            <color indexed="81"/>
            <rFont val="Tahoma"/>
            <family val="2"/>
          </rPr>
          <t>Se agrega un adelanto del item 2: C35-25
Se agrega un adelanto de 50 S22-25B, que viajan con Donati</t>
        </r>
      </text>
    </comment>
    <comment ref="T59" authorId="1" shapeId="0" xr:uid="{00000000-0006-0000-0300-000004000000}">
      <text>
        <r>
          <rPr>
            <sz val="7"/>
            <color indexed="81"/>
            <rFont val="Tahoma"/>
            <family val="2"/>
          </rPr>
          <t xml:space="preserve">no salió el 23-06 xq el avión carguero no vino de Colombia
</t>
        </r>
      </text>
    </comment>
    <comment ref="V63" authorId="1" shapeId="0" xr:uid="{00000000-0006-0000-0300-000005000000}">
      <text>
        <r>
          <rPr>
            <sz val="9"/>
            <color indexed="81"/>
            <rFont val="Tahoma"/>
            <family val="2"/>
          </rPr>
          <t>Las válvulas de ambas ordenes se despachan conjuntamente</t>
        </r>
      </text>
    </comment>
    <comment ref="V130" authorId="1" shapeId="0" xr:uid="{00000000-0006-0000-0300-000006000000}">
      <text>
        <r>
          <rPr>
            <b/>
            <sz val="8"/>
            <color indexed="81"/>
            <rFont val="Tahoma"/>
            <family val="2"/>
          </rPr>
          <t>coordinar arribo con CTN de BAI</t>
        </r>
        <r>
          <rPr>
            <sz val="8"/>
            <color indexed="81"/>
            <rFont val="Tahoma"/>
            <family val="2"/>
          </rPr>
          <t xml:space="preserve">
</t>
        </r>
      </text>
    </comment>
    <comment ref="S162" authorId="1" shapeId="0" xr:uid="{00000000-0006-0000-0300-000007000000}">
      <text>
        <r>
          <rPr>
            <b/>
            <sz val="8"/>
            <color indexed="81"/>
            <rFont val="Tahoma"/>
            <family val="2"/>
          </rPr>
          <t>20/07 de BAI</t>
        </r>
      </text>
    </comment>
    <comment ref="T168" authorId="1" shapeId="0" xr:uid="{00000000-0006-0000-0300-000008000000}">
      <text>
        <r>
          <rPr>
            <b/>
            <sz val="8"/>
            <color indexed="81"/>
            <rFont val="Tahoma"/>
            <family val="2"/>
          </rPr>
          <t>con Maersk directo a Cartagena. Salidas semanales.</t>
        </r>
      </text>
    </comment>
    <comment ref="S236" authorId="1" shapeId="0" xr:uid="{00000000-0006-0000-0300-000009000000}">
      <text>
        <r>
          <rPr>
            <b/>
            <sz val="6"/>
            <color indexed="81"/>
            <rFont val="Tahoma"/>
            <family val="2"/>
          </rPr>
          <t xml:space="preserve">
25/jul 
salen 
juntas
de PDS</t>
        </r>
        <r>
          <rPr>
            <sz val="6"/>
            <color indexed="81"/>
            <rFont val="Tahoma"/>
            <family val="2"/>
          </rPr>
          <t xml:space="preserve">
</t>
        </r>
      </text>
    </comment>
    <comment ref="T260" authorId="1" shapeId="0" xr:uid="{00000000-0006-0000-0300-00000A000000}">
      <text>
        <r>
          <rPr>
            <b/>
            <sz val="8"/>
            <color indexed="81"/>
            <rFont val="Tahoma"/>
            <family val="2"/>
          </rPr>
          <t>ETA 27/dic Neptunia Mediterraneo
5/12 Rio Grande</t>
        </r>
      </text>
    </comment>
    <comment ref="L263" authorId="1" shapeId="0" xr:uid="{00000000-0006-0000-0300-00000B000000}">
      <text>
        <r>
          <rPr>
            <b/>
            <sz val="8"/>
            <color indexed="81"/>
            <rFont val="Tahoma"/>
            <family val="2"/>
          </rPr>
          <t>7 weeks: 30/nov</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GERENCIA DE SISTEMAS</author>
    <author>Mariela Melamed</author>
  </authors>
  <commentList>
    <comment ref="AA23" authorId="0" shapeId="0" xr:uid="{00000000-0006-0000-0400-000001000000}">
      <text>
        <r>
          <rPr>
            <sz val="7"/>
            <color indexed="81"/>
            <rFont val="Tahoma"/>
            <family val="2"/>
          </rPr>
          <t>Llegada prevista a Pto. Cabello: 27-4. El barco sufrió averías: llega el 22-5. Nuevos problemas: llega 11-6</t>
        </r>
      </text>
    </comment>
    <comment ref="V50" authorId="1" shapeId="0" xr:uid="{00000000-0006-0000-0400-000002000000}">
      <text>
        <r>
          <rPr>
            <b/>
            <sz val="8"/>
            <color indexed="81"/>
            <rFont val="Tahoma"/>
            <family val="2"/>
          </rPr>
          <t>Valves: 7-06
Barrels: 12-06, 19-06, 3-07, 10-07</t>
        </r>
        <r>
          <rPr>
            <sz val="8"/>
            <color indexed="81"/>
            <rFont val="Tahoma"/>
            <family val="2"/>
          </rPr>
          <t xml:space="preserve">
</t>
        </r>
      </text>
    </comment>
    <comment ref="T69" authorId="1" shapeId="0" xr:uid="{00000000-0006-0000-0400-000003000000}">
      <text>
        <r>
          <rPr>
            <b/>
            <sz val="8"/>
            <color indexed="81"/>
            <rFont val="Tahoma"/>
            <family val="2"/>
          </rPr>
          <t>25/8 de BAI a Pto. Cabello</t>
        </r>
        <r>
          <rPr>
            <sz val="8"/>
            <color indexed="81"/>
            <rFont val="Tahoma"/>
            <family val="2"/>
          </rPr>
          <t xml:space="preserve">
</t>
        </r>
      </text>
    </comment>
    <comment ref="V74" authorId="1" shapeId="0" xr:uid="{00000000-0006-0000-0400-000004000000}">
      <text>
        <r>
          <rPr>
            <b/>
            <sz val="8"/>
            <color indexed="81"/>
            <rFont val="Tahoma"/>
            <family val="2"/>
          </rPr>
          <t>O'rings: 17/07
Valves: 8 weeks (30/08)</t>
        </r>
      </text>
    </comment>
    <comment ref="V75" authorId="1" shapeId="0" xr:uid="{00000000-0006-0000-0400-000005000000}">
      <text>
        <r>
          <rPr>
            <b/>
            <sz val="8"/>
            <color indexed="81"/>
            <rFont val="Tahoma"/>
            <family val="2"/>
          </rPr>
          <t xml:space="preserve">barriles: 15 weeks or  31-08  /  14-09  /  5-10
</t>
        </r>
        <r>
          <rPr>
            <b/>
            <sz val="7"/>
            <color indexed="81"/>
            <rFont val="Tahoma"/>
            <family val="2"/>
          </rPr>
          <t>(se agregan los 10 B12-225-30HS pendientes de la 022/23)</t>
        </r>
      </text>
    </comment>
    <comment ref="T148" authorId="1" shapeId="0" xr:uid="{00000000-0006-0000-0400-000006000000}">
      <text>
        <r>
          <rPr>
            <b/>
            <sz val="8"/>
            <color indexed="81"/>
            <rFont val="Tahoma"/>
            <family val="2"/>
          </rPr>
          <t>Maersk Nagoya: ETA 26/02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Mariela Melamed</author>
  </authors>
  <commentList>
    <comment ref="V13" authorId="0" shapeId="0" xr:uid="{00000000-0006-0000-0600-000001000000}">
      <text>
        <r>
          <rPr>
            <b/>
            <sz val="8"/>
            <color indexed="81"/>
            <rFont val="Tahoma"/>
            <family val="2"/>
          </rPr>
          <t>emitir Cert. Origen ALADI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GERENCIA DE SISTEMAS</author>
  </authors>
  <commentList>
    <comment ref="AA9" authorId="0" shapeId="0" xr:uid="{00000000-0006-0000-0900-000001000000}">
      <text>
        <r>
          <rPr>
            <b/>
            <sz val="8"/>
            <color indexed="81"/>
            <rFont val="Tahoma"/>
            <family val="2"/>
          </rPr>
          <t>llega a Miami el 23/5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Mariela Melamed</author>
  </authors>
  <commentList>
    <comment ref="O114" authorId="0" shapeId="0" xr:uid="{00000000-0006-0000-1100-000001000000}">
      <text>
        <r>
          <rPr>
            <b/>
            <sz val="11"/>
            <color indexed="81"/>
            <rFont val="Tahoma"/>
            <family val="2"/>
          </rPr>
          <t>NO DESPACHAR HASTA PROXIMO AVISO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vtornad</author>
  </authors>
  <commentList>
    <comment ref="G551" authorId="0" shapeId="0" xr:uid="{00000000-0006-0000-1600-000001000000}">
      <text>
        <r>
          <rPr>
            <b/>
            <sz val="8"/>
            <color indexed="81"/>
            <rFont val="Tahoma"/>
            <family val="2"/>
          </rPr>
          <t>vtornad:</t>
        </r>
        <r>
          <rPr>
            <sz val="8"/>
            <color indexed="81"/>
            <rFont val="Tahoma"/>
            <family val="2"/>
          </rPr>
          <t xml:space="preserve">
Prefinanciacion exp.
Transfer route: Banco Nacion</t>
        </r>
      </text>
    </comment>
    <comment ref="G553" authorId="0" shapeId="0" xr:uid="{00000000-0006-0000-1600-000002000000}">
      <text>
        <r>
          <rPr>
            <b/>
            <sz val="8"/>
            <color indexed="81"/>
            <rFont val="Tahoma"/>
            <family val="2"/>
          </rPr>
          <t>vtornad:</t>
        </r>
        <r>
          <rPr>
            <sz val="8"/>
            <color indexed="81"/>
            <rFont val="Tahoma"/>
            <family val="2"/>
          </rPr>
          <t xml:space="preserve">
Prefinanciacion exp.
Transfer route: Banco Nacion</t>
        </r>
      </text>
    </comment>
    <comment ref="G579" authorId="0" shapeId="0" xr:uid="{00000000-0006-0000-1600-000003000000}">
      <text>
        <r>
          <rPr>
            <b/>
            <sz val="8"/>
            <color indexed="81"/>
            <rFont val="Tahoma"/>
            <family val="2"/>
          </rPr>
          <t>vtornad:</t>
        </r>
        <r>
          <rPr>
            <sz val="8"/>
            <color indexed="81"/>
            <rFont val="Tahoma"/>
            <family val="2"/>
          </rPr>
          <t xml:space="preserve">
Prefinanciacion exp.
Transfer route: Banco Nacion</t>
        </r>
      </text>
    </comment>
    <comment ref="G580" authorId="0" shapeId="0" xr:uid="{00000000-0006-0000-1600-000004000000}">
      <text>
        <r>
          <rPr>
            <b/>
            <sz val="8"/>
            <color indexed="81"/>
            <rFont val="Tahoma"/>
            <family val="2"/>
          </rPr>
          <t>vtornad:</t>
        </r>
        <r>
          <rPr>
            <sz val="8"/>
            <color indexed="81"/>
            <rFont val="Tahoma"/>
            <family val="2"/>
          </rPr>
          <t xml:space="preserve">
Prefinanciacion exp.
Transfer route: Banco Nacion</t>
        </r>
      </text>
    </comment>
    <comment ref="G633" authorId="0" shapeId="0" xr:uid="{00000000-0006-0000-1600-000005000000}">
      <text>
        <r>
          <rPr>
            <b/>
            <sz val="8"/>
            <color indexed="81"/>
            <rFont val="Tahoma"/>
            <family val="2"/>
          </rPr>
          <t>vtornad:</t>
        </r>
        <r>
          <rPr>
            <sz val="8"/>
            <color indexed="81"/>
            <rFont val="Tahoma"/>
            <family val="2"/>
          </rPr>
          <t xml:space="preserve">
EX 4504153169</t>
        </r>
      </text>
    </comment>
  </commentList>
</comments>
</file>

<file path=xl/sharedStrings.xml><?xml version="1.0" encoding="utf-8"?>
<sst xmlns="http://schemas.openxmlformats.org/spreadsheetml/2006/main" count="47424" uniqueCount="8226">
  <si>
    <t>Fecha final en color rojo</t>
  </si>
  <si>
    <t>Fecha actualización:</t>
  </si>
  <si>
    <t>(est)</t>
  </si>
  <si>
    <t>PAÍS</t>
  </si>
  <si>
    <t>CLIENTE</t>
  </si>
  <si>
    <t>Nº Ref.</t>
  </si>
  <si>
    <t>N° DE CONTRATO</t>
  </si>
  <si>
    <t>O.C. Nº</t>
  </si>
  <si>
    <t>COND. DE VENTA</t>
  </si>
  <si>
    <t>MONTO U$S</t>
  </si>
  <si>
    <t>DESTINO</t>
  </si>
  <si>
    <t>FECHA O.C.</t>
  </si>
  <si>
    <t>Plazo Entrega</t>
  </si>
  <si>
    <t>VENCIM. O.C.</t>
  </si>
  <si>
    <t>LUGAR DE ENTREGA</t>
  </si>
  <si>
    <t>TRANSPORTE</t>
  </si>
  <si>
    <t>ENTREGA PLANTA</t>
  </si>
  <si>
    <t>Adelanto/Atraso</t>
  </si>
  <si>
    <t>NOMBRE BARCO</t>
  </si>
  <si>
    <t>CONSOLIDADO</t>
  </si>
  <si>
    <t>FECHA BARCO (BL)</t>
  </si>
  <si>
    <t>FECHA ARRIBO</t>
  </si>
  <si>
    <t>Plazo  Total</t>
  </si>
  <si>
    <t>DETALLE DEL ENVÍO</t>
  </si>
  <si>
    <t>Nº FACT.</t>
  </si>
  <si>
    <t>AUTOR. ENVÍO</t>
  </si>
  <si>
    <t>INSPEC.</t>
  </si>
  <si>
    <t>ENVÍO DOCs.</t>
  </si>
  <si>
    <t>CONF. RECEP. CLIENTE</t>
  </si>
  <si>
    <t>PAGO</t>
  </si>
  <si>
    <t>OBSERVACIONES</t>
  </si>
  <si>
    <t>PERMISO DE EMBARQUE</t>
  </si>
  <si>
    <t>FACTURACION</t>
  </si>
  <si>
    <t>1+2</t>
  </si>
  <si>
    <t>5-3</t>
  </si>
  <si>
    <t>6-1</t>
  </si>
  <si>
    <t>BRASIL</t>
  </si>
  <si>
    <t>BOLLAND DO BRASIL</t>
  </si>
  <si>
    <t>050/17 BBR</t>
  </si>
  <si>
    <t>B/L</t>
  </si>
  <si>
    <t>MOSSORO</t>
  </si>
  <si>
    <t>Salvador</t>
  </si>
  <si>
    <t>MARITIMO</t>
  </si>
  <si>
    <t>LOG-IN Bomar R. v. 016</t>
  </si>
  <si>
    <t>56 vastagos</t>
  </si>
  <si>
    <t>031</t>
  </si>
  <si>
    <t>en mano A. Pigni</t>
  </si>
  <si>
    <t>SI</t>
  </si>
  <si>
    <t>A. Pigni:  solicita pagar en 90 dias</t>
  </si>
  <si>
    <t>17001EC01080613G</t>
  </si>
  <si>
    <t>noviembre</t>
  </si>
  <si>
    <t>058/17 BBR</t>
  </si>
  <si>
    <t>ARACAJU</t>
  </si>
  <si>
    <t>Fittings</t>
  </si>
  <si>
    <t>064/17 BBR</t>
  </si>
  <si>
    <t xml:space="preserve">Jacaranda V 087
</t>
  </si>
  <si>
    <t>130 bombas + Fittings</t>
  </si>
  <si>
    <t>033</t>
  </si>
  <si>
    <t>11al15/12</t>
  </si>
  <si>
    <t>17014EC01000397L</t>
  </si>
  <si>
    <t>diciembre</t>
  </si>
  <si>
    <t>001/17 BBR</t>
  </si>
  <si>
    <t>BAHIA</t>
  </si>
  <si>
    <t>APL Dalian 005</t>
  </si>
  <si>
    <t>A pedido del cliente del 22/02 se pasa para el 22/03 para despachar todo junto a la PO 18010002 y 18020001.  A. Pigni:  solicita pagar en 90 dias</t>
  </si>
  <si>
    <t>063/17 BBR</t>
  </si>
  <si>
    <t>18010002 (4508140892)</t>
  </si>
  <si>
    <t>Rita v 007</t>
  </si>
  <si>
    <t>Fittings (36 vastagos)</t>
  </si>
  <si>
    <t>001/18 BBR</t>
  </si>
  <si>
    <t>11 bombas</t>
  </si>
  <si>
    <t>008/18 BBR</t>
  </si>
  <si>
    <t>Novapetroleo</t>
  </si>
  <si>
    <t>2 bombas</t>
  </si>
  <si>
    <t>18030001 (4508223640)</t>
  </si>
  <si>
    <t>Rita v 009</t>
  </si>
  <si>
    <t>Fittings (180 vastagos)</t>
  </si>
  <si>
    <t xml:space="preserve"> </t>
  </si>
  <si>
    <t>COLOMBIA</t>
  </si>
  <si>
    <t>PETROINGENIERIA</t>
  </si>
  <si>
    <t>076/17 CPG</t>
  </si>
  <si>
    <t>ACUERDO ECOPETROL</t>
  </si>
  <si>
    <t>015-17</t>
  </si>
  <si>
    <t>Bogota</t>
  </si>
  <si>
    <t>001</t>
  </si>
  <si>
    <t>Forwarder: NaveTrans - PAGO:  Avisan que pagan el 16 de Marzo</t>
  </si>
  <si>
    <t>18001EC01001557H</t>
  </si>
  <si>
    <t>enero</t>
  </si>
  <si>
    <t>069/17 CPG</t>
  </si>
  <si>
    <t>016-17</t>
  </si>
  <si>
    <t>002</t>
  </si>
  <si>
    <t>043/17 CPG</t>
  </si>
  <si>
    <t>001-18</t>
  </si>
  <si>
    <t>15 bombas (Copco)  + Fittings (Mansarovar)</t>
  </si>
  <si>
    <t>003</t>
  </si>
  <si>
    <t xml:space="preserve">PAGO:   60 días del BL: US$  37.000,00 -  90 días del BL: US$  36.359,00 - Forwarder: NaveTrans
</t>
  </si>
  <si>
    <t>18001EC01003606E</t>
  </si>
  <si>
    <t>083/17 CPG</t>
  </si>
  <si>
    <t>002-18</t>
  </si>
  <si>
    <t>24 bombas (OXY)  + Fittings (Mansarovar)</t>
  </si>
  <si>
    <t>004</t>
  </si>
  <si>
    <t>Forwarder: Action Global</t>
  </si>
  <si>
    <t>18001EC01012051V</t>
  </si>
  <si>
    <t>marzo</t>
  </si>
  <si>
    <t>050/16 CPG</t>
  </si>
  <si>
    <t>CONTRATO ALCI 0075</t>
  </si>
  <si>
    <t>Fittings - OXY - Certificados, solo items para OXY</t>
  </si>
  <si>
    <t>006-18</t>
  </si>
  <si>
    <t>OXY</t>
  </si>
  <si>
    <t>004/18 COX</t>
  </si>
  <si>
    <t>AEREO</t>
  </si>
  <si>
    <t>5 bombas - OXY - Certificados</t>
  </si>
  <si>
    <t>009/18 COX</t>
  </si>
  <si>
    <t>barriles - OXY - Certificados</t>
  </si>
  <si>
    <t>ECUADOR</t>
  </si>
  <si>
    <t>TECPECUADOR</t>
  </si>
  <si>
    <t>014/18 ETE</t>
  </si>
  <si>
    <t>15 505 430</t>
  </si>
  <si>
    <t>Ecuador</t>
  </si>
  <si>
    <t>3 bombas</t>
  </si>
  <si>
    <t>TRINIDAD</t>
  </si>
  <si>
    <t>IAL</t>
  </si>
  <si>
    <t>010/18 TAL</t>
  </si>
  <si>
    <t>Trinidad</t>
  </si>
  <si>
    <t>Buenos Aires</t>
  </si>
  <si>
    <t>013/18 TAL</t>
  </si>
  <si>
    <t>ORDENES DE COMPRA DESPACHADAS</t>
  </si>
  <si>
    <t>Al:</t>
  </si>
  <si>
    <t>con confirmación de recepción</t>
  </si>
  <si>
    <t>1997 / 1998</t>
  </si>
  <si>
    <t>PAIS</t>
  </si>
  <si>
    <t>DETALLE DEL ENVIO</t>
  </si>
  <si>
    <t>AUTOR. ENVIO</t>
  </si>
  <si>
    <t>PETROBRAS</t>
  </si>
  <si>
    <t>540-30-9004/97 (GLOBAL)</t>
  </si>
  <si>
    <t>Puerto Arg.</t>
  </si>
  <si>
    <t>Item 26 cant. 38</t>
  </si>
  <si>
    <t>540-30-7618/97</t>
  </si>
  <si>
    <t>Salvador Bahía</t>
  </si>
  <si>
    <t>SALVADOR</t>
  </si>
  <si>
    <t>Item 32 cant. 2</t>
  </si>
  <si>
    <t>540-30-7629/97</t>
  </si>
  <si>
    <t>SAO MATEUS</t>
  </si>
  <si>
    <t>ene</t>
  </si>
  <si>
    <t xml:space="preserve">Item 35 cant. 4 </t>
  </si>
  <si>
    <t>540-30-7711/97</t>
  </si>
  <si>
    <t>adelantadas de la 540-307711/97</t>
  </si>
  <si>
    <t>Item 26 cant. 36</t>
  </si>
  <si>
    <t>540-30-7710/97</t>
  </si>
  <si>
    <t>problemas con el barco, sale 3-3 de BA</t>
  </si>
  <si>
    <t>Item 35 cant. 5</t>
  </si>
  <si>
    <t xml:space="preserve">problemas con el barco, sale 3-3 de BA </t>
  </si>
  <si>
    <t>prometida</t>
  </si>
  <si>
    <t xml:space="preserve">Item 33 cant. 8 </t>
  </si>
  <si>
    <t>JAPARATUBA</t>
  </si>
  <si>
    <t>540-30-7036/98</t>
  </si>
  <si>
    <t>(misma AEM que abajo - adelanto entrega)</t>
  </si>
  <si>
    <t>PANMARINE</t>
  </si>
  <si>
    <t>CRJ 1090/97</t>
  </si>
  <si>
    <t>259/98</t>
  </si>
  <si>
    <t>5 Items:   niples - válvulas - pistones</t>
  </si>
  <si>
    <t>(14-ene)</t>
  </si>
  <si>
    <t>260/98</t>
  </si>
  <si>
    <t>despacho con OC 259/98</t>
  </si>
  <si>
    <t>S22-30B x 45 unidades</t>
  </si>
  <si>
    <t>PCM</t>
  </si>
  <si>
    <t>CRJ 317/98</t>
  </si>
  <si>
    <t>162-18-1081/98</t>
  </si>
  <si>
    <t>V11-250M x 5 unidades</t>
  </si>
  <si>
    <t>Petrobras</t>
  </si>
  <si>
    <t>CRJ 102/98</t>
  </si>
  <si>
    <t>Rio de Janeiro</t>
  </si>
  <si>
    <t>despacho</t>
  </si>
  <si>
    <t>Item 32 cant. 1 / Item 33 cant. 18</t>
  </si>
  <si>
    <t>en</t>
  </si>
  <si>
    <t>sale con Patagonia el 12-3, llega a Bs As el 18-3</t>
  </si>
  <si>
    <t>abril</t>
  </si>
  <si>
    <t>Item 26 cant. 22 / Item 28 cant. 20</t>
  </si>
  <si>
    <t>540-30-7037/98</t>
  </si>
  <si>
    <t xml:space="preserve">PCM </t>
  </si>
  <si>
    <t>540-30-4000/98</t>
  </si>
  <si>
    <t>NATAL</t>
  </si>
  <si>
    <t>300 barriles</t>
  </si>
  <si>
    <t>16177-0021/97</t>
  </si>
  <si>
    <t>Río de Janeiro</t>
  </si>
  <si>
    <t>Maruba</t>
  </si>
  <si>
    <t>8-4 fin de prod. - atrasos de Maruba sale el 18-4</t>
  </si>
  <si>
    <t>junio</t>
  </si>
  <si>
    <t xml:space="preserve"> 162,18,1233/98</t>
  </si>
  <si>
    <t>CRJ 548/98</t>
  </si>
  <si>
    <t>29-30-abr</t>
  </si>
  <si>
    <t>V11-175, V11-225, V11-150</t>
  </si>
  <si>
    <t>válv Sao Mateus</t>
  </si>
  <si>
    <t>entrega inmed.  -  sale de planta x camión el 22-4</t>
  </si>
  <si>
    <t>Item 26 cant. 3  / Item 28 cant. 13</t>
  </si>
  <si>
    <t>OK</t>
  </si>
  <si>
    <t>540-30-7186/98</t>
  </si>
  <si>
    <t>Hamburg Sud</t>
  </si>
  <si>
    <t>Patagonia 20-5</t>
  </si>
  <si>
    <t>(telefónico)</t>
  </si>
  <si>
    <t>Item 33 cant. 6  p/ campos de Carmopolis</t>
  </si>
  <si>
    <t>540-30-7217/98</t>
  </si>
  <si>
    <t>SAO SEBASTIAN</t>
  </si>
  <si>
    <t>Item 6 cant. 12  /  Item 17 cant. 6</t>
  </si>
  <si>
    <t>540-30-7222/98</t>
  </si>
  <si>
    <t>Item 3 cant. 3  /  Item 5 cant. 12</t>
  </si>
  <si>
    <t xml:space="preserve">Item 16 cant. 7  /  Item 39 cant. 6 </t>
  </si>
  <si>
    <t>540-30-7224/98</t>
  </si>
  <si>
    <t>Espirito Santo</t>
  </si>
  <si>
    <t>998/98</t>
  </si>
  <si>
    <t>válvulas y pistones</t>
  </si>
  <si>
    <t>si</t>
  </si>
  <si>
    <t>salió de planta el 28-9</t>
  </si>
  <si>
    <t xml:space="preserve">AZEVEDO &amp; </t>
  </si>
  <si>
    <t>037/98</t>
  </si>
  <si>
    <t>(FORTALEZA)</t>
  </si>
  <si>
    <t>el 10-7 sale de planta</t>
  </si>
  <si>
    <t>TRAVASSOS</t>
  </si>
  <si>
    <t>Aliança</t>
  </si>
  <si>
    <t>el cliente se hace cargo del flete internac. y consolid. CTN</t>
  </si>
  <si>
    <t>Item 15 cant. 1</t>
  </si>
  <si>
    <t>540-30-7394/98</t>
  </si>
  <si>
    <t>directo Deseado</t>
  </si>
  <si>
    <t>sale c/Maruba directo Deseado-Bahía: 14-8</t>
  </si>
  <si>
    <t>Item 17 cant. 9</t>
  </si>
  <si>
    <t>540-30-7395/98</t>
  </si>
  <si>
    <t>Item 3 cant. 2</t>
  </si>
  <si>
    <t>540-30-7400/98</t>
  </si>
  <si>
    <t>Item 33 cant. 7</t>
  </si>
  <si>
    <t>540-30-7401/98</t>
  </si>
  <si>
    <t>Sergipe / Alagoas</t>
  </si>
  <si>
    <t>Item 33 cant. 16</t>
  </si>
  <si>
    <t>540-30-7403/98</t>
  </si>
  <si>
    <t>It. 15 cant. 1  /  It. 20 cant. 1</t>
  </si>
  <si>
    <t>540-30-7453/98</t>
  </si>
  <si>
    <t>It. 3 cant. 3  /  It. 16 cant. 1</t>
  </si>
  <si>
    <t>540-30-7454/98</t>
  </si>
  <si>
    <t>It. 21 cant. 3</t>
  </si>
  <si>
    <t>540-30-7463/98</t>
  </si>
  <si>
    <t>It. 26 cant. 72  /  It. 28 cant. 59</t>
  </si>
  <si>
    <t>540-30-7477/98</t>
  </si>
  <si>
    <t>Rio Grande / Ceara</t>
  </si>
  <si>
    <t>15-9 Maruba "Senator"</t>
  </si>
  <si>
    <t>540-30-4036/98</t>
  </si>
  <si>
    <t>7 bombas</t>
  </si>
  <si>
    <t>Puerto Salvador</t>
  </si>
  <si>
    <t>mar</t>
  </si>
  <si>
    <t>AFM 540-30-4041/98</t>
  </si>
  <si>
    <t xml:space="preserve">y </t>
  </si>
  <si>
    <t>y</t>
  </si>
  <si>
    <r>
      <t xml:space="preserve">67 bombas </t>
    </r>
    <r>
      <rPr>
        <b/>
        <sz val="8"/>
        <rFont val="Arial"/>
        <family val="2"/>
      </rPr>
      <t>(18 aéreo; 49 marítimo)</t>
    </r>
  </si>
  <si>
    <t>Aeropuerto Rio</t>
  </si>
  <si>
    <t>en Buenos Aires</t>
  </si>
  <si>
    <t>7-10 sale de planta por camión</t>
  </si>
  <si>
    <t>aéreo  OK</t>
  </si>
  <si>
    <t xml:space="preserve">it 6 cant. 4  /  it 15 cant. 2  /  it 17 cant. 6 </t>
  </si>
  <si>
    <t>540-30-7543/98</t>
  </si>
  <si>
    <t>Pto. Deseado</t>
  </si>
  <si>
    <t>it 19 cant. 5  /  it 20 cant. 3  /  it 21 cant1</t>
  </si>
  <si>
    <t>it. 32 cant. 11  /  it. 33 cant. 14</t>
  </si>
  <si>
    <t>540-30-7551/98</t>
  </si>
  <si>
    <t xml:space="preserve">SAO MATEUS </t>
  </si>
  <si>
    <t>it 3 cant. 4  /  it 16 cant. 2</t>
  </si>
  <si>
    <t>540-30-7568/98</t>
  </si>
  <si>
    <t>Espitiro Santo</t>
  </si>
  <si>
    <t>autorizado a despachar en octubre</t>
  </si>
  <si>
    <t>120-30-0942/98</t>
  </si>
  <si>
    <t>CRJ 1,046/98</t>
  </si>
  <si>
    <t>JAPAR / ARACAJU</t>
  </si>
  <si>
    <t>pistones: materia prima comprada a Kobe</t>
  </si>
  <si>
    <t>por camión</t>
  </si>
  <si>
    <t>sale 3-11 de Buenos Aires</t>
  </si>
  <si>
    <t>120-30-1081/98</t>
  </si>
  <si>
    <t>CRJ-1.125/98</t>
  </si>
  <si>
    <t>Aeropuerto Arg.</t>
  </si>
  <si>
    <t>pistones y fittings</t>
  </si>
  <si>
    <t>de Planta</t>
  </si>
  <si>
    <t>despachar aéreo a Salvador el 14-11</t>
  </si>
  <si>
    <t>CRJ-1.098/98</t>
  </si>
  <si>
    <t xml:space="preserve">3 a 4 </t>
  </si>
  <si>
    <t>Houston</t>
  </si>
  <si>
    <t xml:space="preserve">d e s p a c h a   G A M M A </t>
  </si>
  <si>
    <t>V11-250CTC</t>
  </si>
  <si>
    <t>GAMMA</t>
  </si>
  <si>
    <t>semanas</t>
  </si>
  <si>
    <t>Despacha GAMMA</t>
  </si>
  <si>
    <t>CRJ-1,189/98</t>
  </si>
  <si>
    <t>HOUSTON</t>
  </si>
  <si>
    <t>a definir</t>
  </si>
  <si>
    <t xml:space="preserve">d e s p a c h a  G A M M A </t>
  </si>
  <si>
    <t>390 válvulas ST</t>
  </si>
  <si>
    <t>161-58-0064/98</t>
  </si>
  <si>
    <t>despacha GAMMA</t>
  </si>
  <si>
    <t>it 4 cant 1/it 6 cant 1/it 9 cant 1/it 15 cant 2</t>
  </si>
  <si>
    <t>540-30-7573/98</t>
  </si>
  <si>
    <t>Salvador Bahia</t>
  </si>
  <si>
    <t>de PDS</t>
  </si>
  <si>
    <t>it 17 cant. 1 / it 19 cant. 3 / it 20 cant. 6</t>
  </si>
  <si>
    <t>it 3 cant. 3 / it 16 cant. 2 / it 39 cant. 4</t>
  </si>
  <si>
    <t>540-30-7574/98</t>
  </si>
  <si>
    <t>it 32 cant. 9</t>
  </si>
  <si>
    <t>540-30-5374/98</t>
  </si>
  <si>
    <t>it 1 cant. 16  /  it 4 cant. 2</t>
  </si>
  <si>
    <t>540-30-5375/98</t>
  </si>
  <si>
    <t>it 26 cant. 71  /  it 28 cant. 32</t>
  </si>
  <si>
    <t>it 4 cant. 1  /  it 8 cant. 1  /  it 9 cant. 1</t>
  </si>
  <si>
    <t>540-30-5377/98</t>
  </si>
  <si>
    <t>it 4 cant. 3</t>
  </si>
  <si>
    <t>540-30-5446/98</t>
  </si>
  <si>
    <t>PDS</t>
  </si>
  <si>
    <t>it 32 cant. 2  /  it 33 cant. 18</t>
  </si>
  <si>
    <t>540-30-5450/98</t>
  </si>
  <si>
    <t>it 4 cant. 2  /  it 6 cant. 6</t>
  </si>
  <si>
    <t>540-30-5449/98</t>
  </si>
  <si>
    <t>it 8 cant. 4 / it 17 cant. 4</t>
  </si>
  <si>
    <t>CRJ-1,212/98</t>
  </si>
  <si>
    <t>"acordado"</t>
  </si>
  <si>
    <t>3 pistones  (material en stock)</t>
  </si>
  <si>
    <t>ok</t>
  </si>
  <si>
    <t>copia por fax</t>
  </si>
  <si>
    <t>Espiritu Santo</t>
  </si>
  <si>
    <t>a Río</t>
  </si>
  <si>
    <t>acordado despacho aéreo a Río</t>
  </si>
  <si>
    <t>CRJ-1,220/98</t>
  </si>
  <si>
    <t>33 válv. V11-150M</t>
  </si>
  <si>
    <t>162-18-1837/98</t>
  </si>
  <si>
    <t>despachar con CRJ-1,212/98</t>
  </si>
  <si>
    <t>it. 5 cant. 5</t>
  </si>
  <si>
    <t>AEM 540-30-5503/98</t>
  </si>
  <si>
    <t>x vacaciones PIC</t>
  </si>
  <si>
    <t>it. 6 cant. 5  /  it. 8 cant. 1</t>
  </si>
  <si>
    <t>AEM 540-30-5508/98</t>
  </si>
  <si>
    <t>it. 15 cant. 1  /  it. 19 cant. 1</t>
  </si>
  <si>
    <t>it. 32 cant. 2</t>
  </si>
  <si>
    <t>AEM 540-30-5509/98</t>
  </si>
  <si>
    <t>Sergipe/Alagoas</t>
  </si>
  <si>
    <t>it. 33 cant. 34</t>
  </si>
  <si>
    <t>AEM 540-30-5552/98</t>
  </si>
  <si>
    <t>it. 6 cant. 4  /  it. 8 cant. 2</t>
  </si>
  <si>
    <t>AEM 540-30-5553/98</t>
  </si>
  <si>
    <t>it. 9 cant. 2  /  it. 17 cant. 7  /  it. 19 cant. 3</t>
  </si>
  <si>
    <t>it. 3 cant. 2  /  it. 5 cant. 6</t>
  </si>
  <si>
    <t>AEM 540-30-5554/98</t>
  </si>
  <si>
    <t>it. 16 cant. 2  /  it. 39 cant. 2</t>
  </si>
  <si>
    <t>it. 1 cant. 8  /  it. 4 cant. 8</t>
  </si>
  <si>
    <t>AEM 540-30-5558/98</t>
  </si>
  <si>
    <t>it. 26 cant. 11  /  it. 28 cant. 7</t>
  </si>
  <si>
    <t>DESPACHA GAMMA</t>
  </si>
  <si>
    <t>002/98 BPM</t>
  </si>
  <si>
    <t>3 / 4 weeks</t>
  </si>
  <si>
    <t>50 V11-250CT</t>
  </si>
  <si>
    <t>fecha estimada de despacho 19-feb</t>
  </si>
  <si>
    <t>"Proyecto Aracaju"</t>
  </si>
  <si>
    <t>540,4,043,98-2</t>
  </si>
  <si>
    <t>28 bombas y repuestos</t>
  </si>
  <si>
    <t>cuotas</t>
  </si>
  <si>
    <t>cronograma de pagos: 100,500 + 4 cuotas 11,615</t>
  </si>
  <si>
    <t>1º a 5º</t>
  </si>
  <si>
    <t>4 items</t>
  </si>
  <si>
    <t>120-20-0060/98</t>
  </si>
  <si>
    <t>AFM 540-30-4049/98</t>
  </si>
  <si>
    <t xml:space="preserve">bombas de latón y bombas 3 1/4 </t>
  </si>
  <si>
    <t>no salen 27-1 por inspección Petrobras</t>
  </si>
  <si>
    <t>1 item - 11 unidades</t>
  </si>
  <si>
    <t>120-20-0073/98</t>
  </si>
  <si>
    <t>AFM 540-30-4050/98</t>
  </si>
  <si>
    <t>bombas de latón</t>
  </si>
  <si>
    <t>it. 4 cant. 2  /  it. 6 cant. 7  /  it. 8 cant. 2</t>
  </si>
  <si>
    <t xml:space="preserve">it. 9 cant. 4  /  it. 15 cant. 2  /  it. 17 cant. 12  </t>
  </si>
  <si>
    <t>AEM 540-30-5007/99</t>
  </si>
  <si>
    <t>Centurión V100</t>
  </si>
  <si>
    <t>it. 19 cant. 6  /  it. 20 cant. 3</t>
  </si>
  <si>
    <t>it. 33 cant. 33</t>
  </si>
  <si>
    <t>AEM 540-30-5008/99</t>
  </si>
  <si>
    <t>it. 4 cant. 8  /  it. 26 cant. 11  /  it. 28 cant. 7</t>
  </si>
  <si>
    <t>AEM 540-30-5009/99</t>
  </si>
  <si>
    <t>it. 3 cant. 2  /  it. 5 cant. 6  /  it. 16 cant. 2</t>
  </si>
  <si>
    <t>AEM 540-30-5010/99</t>
  </si>
  <si>
    <t>6 bombas</t>
  </si>
  <si>
    <t>AZEVEO &amp; TRAVASSOS</t>
  </si>
  <si>
    <t>021/99 BAZ</t>
  </si>
  <si>
    <t>FORTALEZA</t>
  </si>
  <si>
    <t>Pto. Buenos Aires</t>
  </si>
  <si>
    <t>enviar CTN 20' por Transroll</t>
  </si>
  <si>
    <t>Transroll</t>
  </si>
  <si>
    <t>SALE DE PLANTA 8-jun</t>
  </si>
  <si>
    <t>it 8 cant. 4 / it. 17 cant. 6</t>
  </si>
  <si>
    <t>110-99-8007/99</t>
  </si>
  <si>
    <t>válv de USA llegan 7/jun a BAI</t>
  </si>
  <si>
    <t>AEM 540-30-5137/99</t>
  </si>
  <si>
    <t>FACTURACION MAYO</t>
  </si>
  <si>
    <t>ver cambios en los materiales</t>
  </si>
  <si>
    <t>120-20-0029/99</t>
  </si>
  <si>
    <t>it. 32 cant. 9  /  it.  33 cant. 40</t>
  </si>
  <si>
    <t>AEM 540-30-5138/99</t>
  </si>
  <si>
    <t>162-18-0044-99</t>
  </si>
  <si>
    <t>it. 3 cant. 5  /  it. 39 cant. 3</t>
  </si>
  <si>
    <t>AEM 540-30-5140/99</t>
  </si>
  <si>
    <t>130 JAULAS</t>
  </si>
  <si>
    <t>por fax</t>
  </si>
  <si>
    <t>ENVÍO SIN VALOR</t>
  </si>
  <si>
    <t>80 salen por avión, 50 salen en mayo con la Global</t>
  </si>
  <si>
    <t>Aracaju</t>
  </si>
  <si>
    <t>material para Selma</t>
  </si>
  <si>
    <t>022/99 BPM</t>
  </si>
  <si>
    <t>CRJ-461/99</t>
  </si>
  <si>
    <t>julio</t>
  </si>
  <si>
    <t>N14 y S21</t>
  </si>
  <si>
    <t>it. 32 cant. 9  /  it.  33 cant. 45</t>
  </si>
  <si>
    <t>120-99-0008/99</t>
  </si>
  <si>
    <t>AEM 540-30-5139/99</t>
  </si>
  <si>
    <t>FACTURACION JUNIO</t>
  </si>
  <si>
    <t>It. 6 cant. 13  /  It. 8 cant. 3</t>
  </si>
  <si>
    <t>It. 17 cant. 12  /  It. 19 cant. 6</t>
  </si>
  <si>
    <t>AEM 540-30-5177/99</t>
  </si>
  <si>
    <t>It. 3 cant. 3  /  It. 39 cant. 3</t>
  </si>
  <si>
    <t>AEM 540-30-5178/99</t>
  </si>
  <si>
    <t>025/99 BPB</t>
  </si>
  <si>
    <t>AFM 540-30-4007/99</t>
  </si>
  <si>
    <t>5 bombas</t>
  </si>
  <si>
    <t>It. 32 cant. 2  /  It. 33 cant. 15</t>
  </si>
  <si>
    <t>AEM 540-30-5179/99</t>
  </si>
  <si>
    <t>It 3 cant. 4 /  It. 39 cant. 1</t>
  </si>
  <si>
    <t>AEM 540-30-5205/99</t>
  </si>
  <si>
    <t>It. 15 cant. 2  /  It. 21 cant. 3</t>
  </si>
  <si>
    <t>AEM 540-30-5100/99</t>
  </si>
  <si>
    <t>035/99 BPM</t>
  </si>
  <si>
    <t>Aeropto. Bs. As.</t>
  </si>
  <si>
    <t>N11 + C13</t>
  </si>
  <si>
    <t>+ gastos</t>
  </si>
  <si>
    <t>aéreo a Salvador</t>
  </si>
  <si>
    <t>038/99 BPM</t>
  </si>
  <si>
    <t>CRJ-723/99</t>
  </si>
  <si>
    <t>15 pistones</t>
  </si>
  <si>
    <t>+ gstos</t>
  </si>
  <si>
    <t>despachar con la 035/99 BPM</t>
  </si>
  <si>
    <t>it. 14 x 1  /  it. 15 x 1  /  it. 16 x 1  /  it. 17 x 9</t>
  </si>
  <si>
    <t>009/99 BPB</t>
  </si>
  <si>
    <t>540-50-9001/99 (GLOBAL '99)</t>
  </si>
  <si>
    <t>it. 19 x 9  /  it. 20 x 1  /  it. 21 x 2  /  it. 22 x 1</t>
  </si>
  <si>
    <t>LIBRE</t>
  </si>
  <si>
    <t>AEM 540-50-7024/99</t>
  </si>
  <si>
    <t>sale 17-10 de BAI</t>
  </si>
  <si>
    <t>it. 24 x 3  /  it. 25 x 3  /  it. 28 x 1  FACT. SEPT.</t>
  </si>
  <si>
    <t>it. 33 x 40</t>
  </si>
  <si>
    <t>AEM 540-50-7025/99</t>
  </si>
  <si>
    <t>Río Grande / Ceará</t>
  </si>
  <si>
    <t>FACTURACION SEPTIEMBRE</t>
  </si>
  <si>
    <t>it. 6 x 4  /  it. 8 x 1  /  it. 10 x 1</t>
  </si>
  <si>
    <t>it. 12 x 3  /  it. 13 x 2</t>
  </si>
  <si>
    <t>it. 15 x 1  /  it. 16 x 1  /  it. 17 x 4</t>
  </si>
  <si>
    <t>AEM 540-50-7030/99</t>
  </si>
  <si>
    <t>it. 33 x 89  /  it. 34 x 5</t>
  </si>
  <si>
    <t>AEM 540-50-7031/99</t>
  </si>
  <si>
    <t>AEM 540-50-7032/99</t>
  </si>
  <si>
    <t>it. 17 x 2  /  it. 19 x 7</t>
  </si>
  <si>
    <t>AEM 540-50-7035/99</t>
  </si>
  <si>
    <t>it. 33 x 89  /  it. 34 x 3</t>
  </si>
  <si>
    <t>AEM 540-50-7036/99</t>
  </si>
  <si>
    <t>AEM 540-50-7037/99</t>
  </si>
  <si>
    <t xml:space="preserve"> it. 12 x 3  /  it. 13 x 2</t>
  </si>
  <si>
    <t>048/99 BPM</t>
  </si>
  <si>
    <t>CRJ-846/99</t>
  </si>
  <si>
    <t>a confirmar</t>
  </si>
  <si>
    <t>FEDEX</t>
  </si>
  <si>
    <t>DHL</t>
  </si>
  <si>
    <t>despacho por DHL</t>
  </si>
  <si>
    <t>C11-20 x 10</t>
  </si>
  <si>
    <t>051/99 BPM</t>
  </si>
  <si>
    <t>CRJ-915/99</t>
  </si>
  <si>
    <t>inmediato</t>
  </si>
  <si>
    <t>+ 150</t>
  </si>
  <si>
    <t>S22-XXB x 30</t>
  </si>
  <si>
    <t>it. 17 x 4  /  it. 19 x 5</t>
  </si>
  <si>
    <t>AEM 540-50-7056/99</t>
  </si>
  <si>
    <t>it. 5 x 12</t>
  </si>
  <si>
    <t>AEM 540-50-7057/99</t>
  </si>
  <si>
    <t>it. 14 x 2  /  it. 34 x 7  /  it. 38 x 2</t>
  </si>
  <si>
    <t>AEM 540-50-7058/99</t>
  </si>
  <si>
    <t>it. 14 x 3  /  it. 34 x 4  /  it. 38 x 3</t>
  </si>
  <si>
    <t>AEM 540-50-7059/99</t>
  </si>
  <si>
    <t>it. 16 x 1  /  it. 17 x 4  /  it. 19 x 4</t>
  </si>
  <si>
    <t>AEM 540-50-7073/99</t>
  </si>
  <si>
    <t>it. 22 x 1  /  it. 24 x 1  /  it. 25 x 2</t>
  </si>
  <si>
    <t>telefónico</t>
  </si>
  <si>
    <t>it. 1 x 11  /  it. 5 x 5</t>
  </si>
  <si>
    <t>AEM 540-50-7074/99</t>
  </si>
  <si>
    <t>it. 34 x 48  /  it. 38 x 33</t>
  </si>
  <si>
    <t>AEM 540-50-7075/99</t>
  </si>
  <si>
    <t>it. 34 x 16  /  it. 38 x 7</t>
  </si>
  <si>
    <t>AEM 540-50-7076/99</t>
  </si>
  <si>
    <t>053/99 BPM</t>
  </si>
  <si>
    <t>CRJ-908/99</t>
  </si>
  <si>
    <t>PRP114-24 x 4</t>
  </si>
  <si>
    <t>sale con el material de Petrobrás</t>
  </si>
  <si>
    <t>060/99 BPM</t>
  </si>
  <si>
    <t>CRJ 106/99</t>
  </si>
  <si>
    <t>fin enero</t>
  </si>
  <si>
    <t>fin ene</t>
  </si>
  <si>
    <t>para enviar antes del cierre de PIC</t>
  </si>
  <si>
    <t>CERTIFICADO DE ORIGEN</t>
  </si>
  <si>
    <t>It. 6 x 3  /  it. 12 x 3</t>
  </si>
  <si>
    <t>AEM 540-17-0001/99</t>
  </si>
  <si>
    <t>it. 17 x 3  /  it. 19 x 3  /  it. 25 x 1</t>
  </si>
  <si>
    <t>AEM 540-17-0002/99</t>
  </si>
  <si>
    <t>it. 1 x 52  /  it. 4 x 5  /  it. 5 x 10</t>
  </si>
  <si>
    <t>AEM 540-17-0012/99</t>
  </si>
  <si>
    <t>3-abr de BAI</t>
  </si>
  <si>
    <t>ojo items 1 y 5  -  ojo cierre PIC</t>
  </si>
  <si>
    <t>it. 17 x 3 /  it. 19 x 3</t>
  </si>
  <si>
    <t>AEM 540-17-0013/99</t>
  </si>
  <si>
    <t>ojo cierre PIC</t>
  </si>
  <si>
    <t>it. 12 x 9</t>
  </si>
  <si>
    <t>AEM 540-17-0014/99</t>
  </si>
  <si>
    <t>it. 1 x 19  /  it.4 x 5</t>
  </si>
  <si>
    <t>AEM 540-17-0017/99</t>
  </si>
  <si>
    <t>3-abr Niver Austral (eta 11/abr)</t>
  </si>
  <si>
    <t>it. 32 x 12  /  it. 43 x 8</t>
  </si>
  <si>
    <t>AEM 540-17-0005/00</t>
  </si>
  <si>
    <t>it. 1 x 6  /  it. 4 x 1</t>
  </si>
  <si>
    <t>AEM 540-17-0006/00</t>
  </si>
  <si>
    <t>it. 32 x 5  /  it. 43 x 4</t>
  </si>
  <si>
    <t>AEM 540-17-0008/00</t>
  </si>
  <si>
    <t>it. 17 x 5</t>
  </si>
  <si>
    <t>AEM 540-17-0022/00</t>
  </si>
  <si>
    <t>it. 1 x 4</t>
  </si>
  <si>
    <t>AEM 540-17-0023/00</t>
  </si>
  <si>
    <t>it. 33 x 2</t>
  </si>
  <si>
    <t>AEM 540-17-0024/00</t>
  </si>
  <si>
    <t>it. 14 x 5</t>
  </si>
  <si>
    <t>AEM 540-17-0025/00</t>
  </si>
  <si>
    <t>034/00 BPM</t>
  </si>
  <si>
    <t>EXW</t>
  </si>
  <si>
    <t>con bombas</t>
  </si>
  <si>
    <t>Global Repuestos</t>
  </si>
  <si>
    <t>10 pistones</t>
  </si>
  <si>
    <t>ATP PETROLEO S.A.</t>
  </si>
  <si>
    <t>033/00 BAZ</t>
  </si>
  <si>
    <t>29/00</t>
  </si>
  <si>
    <t>bombas + niples + válvulas</t>
  </si>
  <si>
    <t>despacho en CTN 20'</t>
  </si>
  <si>
    <t>it. 17 x 8  /  it. 19 x 10  /  it. 22 x 2</t>
  </si>
  <si>
    <t>AEM 540-17-0042/00</t>
  </si>
  <si>
    <t>it. 24 x 4  /  it. 25 x 2</t>
  </si>
  <si>
    <t>it. 33 x 23  /  it. 32 x 5</t>
  </si>
  <si>
    <t>AEM 540-17-0043/00</t>
  </si>
  <si>
    <t>AEM 540-17-0044/00</t>
  </si>
  <si>
    <t>it. 6 x 13  /  it. 12 x 2</t>
  </si>
  <si>
    <t>AEM 540-17-0046/00</t>
  </si>
  <si>
    <t>it. 5 x 8</t>
  </si>
  <si>
    <t>AEM 540-17-0055/00</t>
  </si>
  <si>
    <t>BOLLAND BRASIL</t>
  </si>
  <si>
    <t>040/00 BBR</t>
  </si>
  <si>
    <t>3001 / 3002</t>
  </si>
  <si>
    <t>22 bombas para PetroReconcavo</t>
  </si>
  <si>
    <t>cut off 16-06 de BAI</t>
  </si>
  <si>
    <t>it. 17 x 5  /  it. 19 x 10  /  it. 24 x 4  /  it. 25 x 4</t>
  </si>
  <si>
    <t>009/00 BPB</t>
  </si>
  <si>
    <t>it. 27 x 1  /  it. 28 x 2  /  it. 30 x 2  /  it. 31 x 4</t>
  </si>
  <si>
    <t>ETA</t>
  </si>
  <si>
    <t>AEM 540-17-0069/00</t>
  </si>
  <si>
    <t>it. 19: 3u en fecha; 7u fin sept</t>
  </si>
  <si>
    <t>it. 1 x 17  /  it. 4 x 5</t>
  </si>
  <si>
    <t>AEM 540-17-0070/00</t>
  </si>
  <si>
    <t>it. 6 x 16  /  it. 12 x 2</t>
  </si>
  <si>
    <t>AEM 540-17-0071/00</t>
  </si>
  <si>
    <t>035/00 BPM</t>
  </si>
  <si>
    <t>PCM 120-50-0066/00</t>
  </si>
  <si>
    <t>despachar con bombas de Petrobras de julio</t>
  </si>
  <si>
    <t>(AFM 120-50-0078/00)</t>
  </si>
  <si>
    <t>(fin julio en yacim)</t>
  </si>
  <si>
    <r>
      <t>INSPECCION</t>
    </r>
    <r>
      <rPr>
        <sz val="8"/>
        <rFont val="Arial"/>
        <family val="2"/>
      </rPr>
      <t xml:space="preserve"> 3/07</t>
    </r>
  </si>
  <si>
    <t>it. 15 x 2  /  it. 17 x 4  /  it. 19 x 5</t>
  </si>
  <si>
    <t>AEM 540-17-0082/00</t>
  </si>
  <si>
    <r>
      <t xml:space="preserve">it. 19: </t>
    </r>
    <r>
      <rPr>
        <strike/>
        <sz val="8"/>
        <color indexed="62"/>
        <rFont val="Arial"/>
        <family val="2"/>
      </rPr>
      <t>fin sep</t>
    </r>
    <r>
      <rPr>
        <b/>
        <sz val="8"/>
        <color indexed="62"/>
        <rFont val="Arial"/>
        <family val="2"/>
      </rPr>
      <t xml:space="preserve">  fin oct</t>
    </r>
  </si>
  <si>
    <t>it. 10 x 7  /  it. 12 x 2  /  it. 14 x 4</t>
  </si>
  <si>
    <t>AEM 540-17-0084/00</t>
  </si>
  <si>
    <t>it. 4 x 2</t>
  </si>
  <si>
    <t>AEM 540-17-0086/00</t>
  </si>
  <si>
    <t>it. 32 x 4  /  it. 33 X 29</t>
  </si>
  <si>
    <t>AEM 540-17-0092/00</t>
  </si>
  <si>
    <t>it. 17 x 2  /  it. 19 x 8  /  it. 25 x 6</t>
  </si>
  <si>
    <t>it. 30 x 2  /  it. 31 x 2</t>
  </si>
  <si>
    <t>AEM 540-17-0100/00</t>
  </si>
  <si>
    <r>
      <t xml:space="preserve">it. 19: </t>
    </r>
    <r>
      <rPr>
        <strike/>
        <sz val="8"/>
        <color indexed="62"/>
        <rFont val="Arial"/>
        <family val="2"/>
      </rPr>
      <t>fin sep</t>
    </r>
    <r>
      <rPr>
        <b/>
        <sz val="8"/>
        <color indexed="62"/>
        <rFont val="Arial"/>
        <family val="2"/>
      </rPr>
      <t xml:space="preserve">  fin oct  y 25: fin sept</t>
    </r>
  </si>
  <si>
    <t xml:space="preserve">entregar con </t>
  </si>
  <si>
    <t>053/00 BPM</t>
  </si>
  <si>
    <t>AEM 540-16-0100/00</t>
  </si>
  <si>
    <t>bombas Global</t>
  </si>
  <si>
    <t>046/00 BPM</t>
  </si>
  <si>
    <t>CRJ-296/00</t>
  </si>
  <si>
    <t>repuestos</t>
  </si>
  <si>
    <t>054/00 BPM</t>
  </si>
  <si>
    <t>CRJ-321/00</t>
  </si>
  <si>
    <t>P24-225C x 130</t>
  </si>
  <si>
    <t>052/00 BPM</t>
  </si>
  <si>
    <t>CRJ-323/00</t>
  </si>
  <si>
    <t>fittings</t>
  </si>
  <si>
    <t>058/00 BPM</t>
  </si>
  <si>
    <t>CRJ-340/00</t>
  </si>
  <si>
    <t>vástagos</t>
  </si>
  <si>
    <t>065/00 BPM</t>
  </si>
  <si>
    <t>CRJ-369/00</t>
  </si>
  <si>
    <t>15 válvulas de pie</t>
  </si>
  <si>
    <t>it. 32 x 6  /  it. 33 x 70  /  it. 34 x 3</t>
  </si>
  <si>
    <t>AEM 540-17-0106/00</t>
  </si>
  <si>
    <t>a SANTOS</t>
  </si>
  <si>
    <t>ADELANTO 0106/00</t>
  </si>
  <si>
    <t>044/00 BPM</t>
  </si>
  <si>
    <t>AFM 120-20-0004/00</t>
  </si>
  <si>
    <t>54 bombas para Aracaju</t>
  </si>
  <si>
    <t>aprox</t>
  </si>
  <si>
    <t>INSPECCIÓN 18/sep</t>
  </si>
  <si>
    <r>
      <t xml:space="preserve">it. 16 x 2  /  it. 17 x 4  / </t>
    </r>
    <r>
      <rPr>
        <strike/>
        <sz val="8"/>
        <rFont val="Arial"/>
        <family val="2"/>
      </rPr>
      <t xml:space="preserve"> it. 24 x 2</t>
    </r>
  </si>
  <si>
    <t>AEM 540-17-0125/00</t>
  </si>
  <si>
    <t>PARCIAL</t>
  </si>
  <si>
    <r>
      <t xml:space="preserve">it. 1 x 3  / </t>
    </r>
    <r>
      <rPr>
        <strike/>
        <sz val="8"/>
        <rFont val="Arial"/>
        <family val="2"/>
      </rPr>
      <t xml:space="preserve"> it. 4 x 1  /  it. 5 x 3</t>
    </r>
  </si>
  <si>
    <t>AEM 540-17-0126/00</t>
  </si>
  <si>
    <t>it. 12 x 6  /  it. 14 x 2</t>
  </si>
  <si>
    <t>AEM 540-17-0127/00</t>
  </si>
  <si>
    <t>it 19 x 7</t>
  </si>
  <si>
    <t>Centurión 125</t>
  </si>
  <si>
    <t>FALTANTE DESPACHO 0069/00</t>
  </si>
  <si>
    <t>it. 25 x 6</t>
  </si>
  <si>
    <t>FALTANTE DESPACHO 0100/00</t>
  </si>
  <si>
    <t>it. 43 x 20</t>
  </si>
  <si>
    <t>FALTANTE DESPACHO 0106/00</t>
  </si>
  <si>
    <t>it 19 x 5</t>
  </si>
  <si>
    <t>FALTANTE DESPACHO 0082/00</t>
  </si>
  <si>
    <t>it. 24 x 2</t>
  </si>
  <si>
    <t>FALTANTE DESPACHO 0125</t>
  </si>
  <si>
    <t>it. 4 x 1  /  it. 5 x 3</t>
  </si>
  <si>
    <t>FALTANTE DESPACHO 0126</t>
  </si>
  <si>
    <t>it. 19 x 8</t>
  </si>
  <si>
    <t>it. 14 x 1  /  it. 17 x 10  /  it. 19 x 8  /  it. 20 x 2</t>
  </si>
  <si>
    <t>it. 21 x 3  /  it. 22 x 1  /  it. 25 x 2</t>
  </si>
  <si>
    <t>AEM 540-17-0145/00</t>
  </si>
  <si>
    <t xml:space="preserve"> it. 30 x 2  /  it. 31 x 2</t>
  </si>
  <si>
    <t>it. 33 x 31  /  it. 34 x 10  /  it. 38 x 30</t>
  </si>
  <si>
    <t>AEM 540-17-0146/00</t>
  </si>
  <si>
    <t>it. 8 x 2  /  it. 10 x 3  /  it. 12 x 4  /  it. 13 x 4</t>
  </si>
  <si>
    <t>AEM 540-17-0147/00</t>
  </si>
  <si>
    <t>8 weeks</t>
  </si>
  <si>
    <t>G004300</t>
  </si>
  <si>
    <t>078/00 BPM</t>
  </si>
  <si>
    <t>CRJ-513/00</t>
  </si>
  <si>
    <t>5 guías helicoidales 88B21-30HM78</t>
  </si>
  <si>
    <t>de PIC</t>
  </si>
  <si>
    <t>it. 15 x 2  /  it. 17 x 3  /  it. 19 x 4  /  it. 25 x 2</t>
  </si>
  <si>
    <t>AEM 540-17-0164/00</t>
  </si>
  <si>
    <t>it. 32 x 50  /  it. 33 x 30  /  it. 34 x 45</t>
  </si>
  <si>
    <t>AEM 540-17-0165/00</t>
  </si>
  <si>
    <t>it. 6 x 4  /  it. 8 x 2  /  it. 10 x 10</t>
  </si>
  <si>
    <t>AEM 540-17-0166/00</t>
  </si>
  <si>
    <t>087/00 BPM</t>
  </si>
  <si>
    <t>PCM 120-35-0643/00</t>
  </si>
  <si>
    <t>AÉREO</t>
  </si>
  <si>
    <t>C11-20 + APB225C</t>
  </si>
  <si>
    <t>AFM 120-35-0325/00</t>
  </si>
  <si>
    <t>(con otro)</t>
  </si>
  <si>
    <t>059/00 BPB</t>
  </si>
  <si>
    <t>AFM 540-33-0112/00</t>
  </si>
  <si>
    <t>6 bombas 3 1/4</t>
  </si>
  <si>
    <t>(PCM 1507)</t>
  </si>
  <si>
    <t>prorr 30 dias</t>
  </si>
  <si>
    <r>
      <t xml:space="preserve">it. 15 x 1  /  it. 16 x 1  /  </t>
    </r>
    <r>
      <rPr>
        <strike/>
        <sz val="8"/>
        <rFont val="Arial"/>
        <family val="2"/>
      </rPr>
      <t>it. 17 x 30</t>
    </r>
    <r>
      <rPr>
        <sz val="8"/>
        <rFont val="Arial"/>
        <family val="2"/>
      </rPr>
      <t xml:space="preserve">  /  </t>
    </r>
    <r>
      <rPr>
        <strike/>
        <sz val="8"/>
        <rFont val="Arial"/>
        <family val="2"/>
      </rPr>
      <t>it. 19 x 36</t>
    </r>
  </si>
  <si>
    <t>it. 24 x 2  /  it. 25 x 1  /  it. 30 x 1  /  it. 31 x 2</t>
  </si>
  <si>
    <t>687A</t>
  </si>
  <si>
    <t>AEM 540-17-0175/00</t>
  </si>
  <si>
    <t>006/01 BPB</t>
  </si>
  <si>
    <t>540-15-0020/00 (GLOBAL 2000)</t>
  </si>
  <si>
    <t>IT. 29 x 30  /  it. 31 x 8</t>
  </si>
  <si>
    <t>687B</t>
  </si>
  <si>
    <t>AEM 540-17-0036/01</t>
  </si>
  <si>
    <t>1º parcial</t>
  </si>
  <si>
    <t>it. 33 x 24  /  it. 34 x 20  /  it. 38 x 64</t>
  </si>
  <si>
    <t>AEM 540-17-0176/00</t>
  </si>
  <si>
    <r>
      <t xml:space="preserve">it. 38: </t>
    </r>
    <r>
      <rPr>
        <b/>
        <strike/>
        <sz val="8"/>
        <color indexed="62"/>
        <rFont val="Arial"/>
        <family val="2"/>
      </rPr>
      <t>en febrero</t>
    </r>
  </si>
  <si>
    <t>it. 6 x 6 / it. 8 x 5 / it. 10 x 3 / it. 12 x 3 / it.13 x 10</t>
  </si>
  <si>
    <t>AEM 540-17-0177/00</t>
  </si>
  <si>
    <t>it 8 x 3 _ it. 10 x 3 _ it. 13 x 7: en junio</t>
  </si>
  <si>
    <t>it. 3 x 6 / it. 34 x 5 / it. 38 x 16</t>
  </si>
  <si>
    <t>AEM 540-17-0178/00</t>
  </si>
  <si>
    <t>089/00 BPM</t>
  </si>
  <si>
    <t>CRJ-548/00</t>
  </si>
  <si>
    <t>18 pistones P21-275-3ML3</t>
  </si>
  <si>
    <t>x 20 pistones</t>
  </si>
  <si>
    <t>090/00 BPM</t>
  </si>
  <si>
    <t>CRJ-573/00</t>
  </si>
  <si>
    <t>con 089/00 BPM</t>
  </si>
  <si>
    <t>2 pistones P21-275-3ML3</t>
  </si>
  <si>
    <t>embalar con 089/00 BPM pero identificar</t>
  </si>
  <si>
    <t>it. 38 x 64</t>
  </si>
  <si>
    <t>2º parcial</t>
  </si>
  <si>
    <t>U$S 99,719,56</t>
  </si>
  <si>
    <t>080/00 BPB</t>
  </si>
  <si>
    <t>AFM 540-33-0113/00</t>
  </si>
  <si>
    <t>parcial 13 bombas 3 1/4"</t>
  </si>
  <si>
    <t>(PCM 1603)</t>
  </si>
  <si>
    <t>Midmarine</t>
  </si>
  <si>
    <t>3 bombas + en junio</t>
  </si>
  <si>
    <t>079/00 BPM</t>
  </si>
  <si>
    <t>CRJ-524/00</t>
  </si>
  <si>
    <t>15+42 bombas</t>
  </si>
  <si>
    <t>008/01 BPM</t>
  </si>
  <si>
    <t>PCM 120-19-0095/01</t>
  </si>
  <si>
    <t>(2) 88B21-30HM78</t>
  </si>
  <si>
    <t>091/00 BPM</t>
  </si>
  <si>
    <t>CRJ-603/00</t>
  </si>
  <si>
    <t>98 bombas + N11</t>
  </si>
  <si>
    <t>prometido</t>
  </si>
  <si>
    <t>011/01 BPM</t>
  </si>
  <si>
    <t>PCM 120-19-0179/01</t>
  </si>
  <si>
    <t>RIO DE JANEIRO</t>
  </si>
  <si>
    <t>jaulas, copas y On/Off</t>
  </si>
  <si>
    <t>por camion a Bai</t>
  </si>
  <si>
    <t>it. 26 x 8 / it. 27 x 8 / it. 28 x 10 / it. 36 x 2 / it. 37 x 3</t>
  </si>
  <si>
    <t>6512520641</t>
  </si>
  <si>
    <t>AEM 540-17-0025/01</t>
  </si>
  <si>
    <t>Bahía</t>
  </si>
  <si>
    <t>del PIC</t>
  </si>
  <si>
    <t>it. 46 x 10</t>
  </si>
  <si>
    <t>AEM 540-17-0026/01</t>
  </si>
  <si>
    <t>Piden enviar a Santos</t>
  </si>
  <si>
    <t>it. 13 x 12 / it. 17 x 4</t>
  </si>
  <si>
    <t>AEM 540-17-0027/01</t>
  </si>
  <si>
    <t>it. 8 x 1 (AEM 540-17-0177/00)</t>
  </si>
  <si>
    <t>it. 31 x 28</t>
  </si>
  <si>
    <t>it 8 x 1</t>
  </si>
  <si>
    <t>it 8 x 2 - it. 10 x 3 - it. 13 x 7: en junio</t>
  </si>
  <si>
    <t>de PDO</t>
  </si>
  <si>
    <t>AEM540-17-0053/01</t>
  </si>
  <si>
    <t>it 30x28-it 34x1-it 25x2-it 36x1</t>
  </si>
  <si>
    <t>Bahia</t>
  </si>
  <si>
    <t>AEM540-17-0054/01</t>
  </si>
  <si>
    <t>it 5x7</t>
  </si>
  <si>
    <t>AEM540-17-0055/01</t>
  </si>
  <si>
    <t>it 45x133 - it 46x4</t>
  </si>
  <si>
    <t>piden enviar a SANTOS</t>
  </si>
  <si>
    <t>AEM540-17-0056/01</t>
  </si>
  <si>
    <t>it 13x11</t>
  </si>
  <si>
    <t>compensada</t>
  </si>
  <si>
    <t>023/01 BPM</t>
  </si>
  <si>
    <t>CRJ-245/01</t>
  </si>
  <si>
    <t>5 Guia Helicoidal - 16 Niple de Assentamento</t>
  </si>
  <si>
    <t xml:space="preserve">con </t>
  </si>
  <si>
    <t>PCM 120-19-0144/01</t>
  </si>
  <si>
    <t>Se envia junto a otra mercaderia</t>
  </si>
  <si>
    <t>comisiones</t>
  </si>
  <si>
    <t>AEM540-17-0062/01</t>
  </si>
  <si>
    <t>25 bombas</t>
  </si>
  <si>
    <t>AEM540-17-0063/01</t>
  </si>
  <si>
    <t>4 bombas</t>
  </si>
  <si>
    <t>VENCIDA</t>
  </si>
  <si>
    <t>AEM540-17-0064/01</t>
  </si>
  <si>
    <t>211 bombas</t>
  </si>
  <si>
    <t>AEM540-17-0065/01</t>
  </si>
  <si>
    <t>ESPIRITU SANTO</t>
  </si>
  <si>
    <t>18 bombas</t>
  </si>
  <si>
    <t>CRJ 280/01</t>
  </si>
  <si>
    <t>021/01 BPB</t>
  </si>
  <si>
    <t>PCM 162-24-1015/01</t>
  </si>
  <si>
    <t>SAN MATEO</t>
  </si>
  <si>
    <t>Entregar con otra mercs. de Petrobras-Espiritu Santo</t>
  </si>
  <si>
    <t>AFM 162-24-0043/01</t>
  </si>
  <si>
    <t>034/01 BPB</t>
  </si>
  <si>
    <t>2 items - Entregar junto a otro material</t>
  </si>
  <si>
    <t>con</t>
  </si>
  <si>
    <t>PCM 120-19-0392/01</t>
  </si>
  <si>
    <t>total factura</t>
  </si>
  <si>
    <t>049/01 BPM</t>
  </si>
  <si>
    <t>AEM 120-11-1670/01</t>
  </si>
  <si>
    <r>
      <t xml:space="preserve">pistones </t>
    </r>
    <r>
      <rPr>
        <b/>
        <sz val="8"/>
        <rFont val="Arial"/>
        <family val="2"/>
      </rPr>
      <t>Global Repuestos</t>
    </r>
  </si>
  <si>
    <t>Entregar junto a otro material (con la Global)</t>
  </si>
  <si>
    <t>042/01 BPM</t>
  </si>
  <si>
    <t>PCM 120-19-0527/01</t>
  </si>
  <si>
    <t>para despachar con el mat de Agosto</t>
  </si>
  <si>
    <t>AFM 120-19-0361/01</t>
  </si>
  <si>
    <t>AEM  540-17-0084/01</t>
  </si>
  <si>
    <t>SAN MATEOS</t>
  </si>
  <si>
    <t>28 bombas</t>
  </si>
  <si>
    <t>AEM 540-17-0083/01</t>
  </si>
  <si>
    <t>Santos</t>
  </si>
  <si>
    <t>AEM 540-17-0082/01</t>
  </si>
  <si>
    <t>21 bombas</t>
  </si>
  <si>
    <t>AEM 540-17-0081/01</t>
  </si>
  <si>
    <t>50 bombas</t>
  </si>
  <si>
    <t>ETA 17/10 buque Helene Russ</t>
  </si>
  <si>
    <r>
      <t xml:space="preserve">parcial </t>
    </r>
    <r>
      <rPr>
        <b/>
        <sz val="8"/>
        <rFont val="Arial"/>
        <family val="2"/>
      </rPr>
      <t>3 bombas</t>
    </r>
    <r>
      <rPr>
        <sz val="8"/>
        <rFont val="Arial"/>
        <family val="2"/>
      </rPr>
      <t xml:space="preserve"> 3 1/4"</t>
    </r>
  </si>
  <si>
    <t>Zim Argentina ETA 27/10</t>
  </si>
  <si>
    <t>USD16826</t>
  </si>
  <si>
    <t>AEM 540-17-0090/01</t>
  </si>
  <si>
    <t>95 bombas</t>
  </si>
  <si>
    <t>It. 1 x 33 / it. 5 x 5</t>
  </si>
  <si>
    <t>AEM 120-11-2054/01</t>
  </si>
  <si>
    <t>it. 45 x 60 / it. 46 x 14 / it. 51 x 7</t>
  </si>
  <si>
    <t>AEM 161-11-1746/01</t>
  </si>
  <si>
    <t>MVD 5/nov Sagittarius ETA 13/nov</t>
  </si>
  <si>
    <t>ATLAS SHIPPING 1º OPERACIÓN</t>
  </si>
  <si>
    <t>it. 29 x 8 / it. 31 x 4 / it. 39 x 1 / it. 40 x 1</t>
  </si>
  <si>
    <t>Petro6584205025</t>
  </si>
  <si>
    <t>AEM 110-32-0006/01</t>
  </si>
  <si>
    <r>
      <t xml:space="preserve">sale 10/dic _ CGM Sevilla 27/dic </t>
    </r>
    <r>
      <rPr>
        <b/>
        <sz val="8"/>
        <color indexed="62"/>
        <rFont val="Arial"/>
        <family val="2"/>
      </rPr>
      <t>ETA 6/ene</t>
    </r>
  </si>
  <si>
    <t>Panm6584205014</t>
  </si>
  <si>
    <t>it. 5 x 9</t>
  </si>
  <si>
    <t>AEM 120-11-2592/01</t>
  </si>
  <si>
    <t>it. 45 x 30</t>
  </si>
  <si>
    <t>AEM 161-11-2063/01</t>
  </si>
  <si>
    <t>it. 29 x 5 / it. 37 x 10</t>
  </si>
  <si>
    <t>AEM 162-24-0018/01</t>
  </si>
  <si>
    <t>bombas modificadas</t>
  </si>
  <si>
    <t xml:space="preserve">factura DGI # </t>
  </si>
  <si>
    <t>factura comercial #</t>
  </si>
  <si>
    <t>total operaciones</t>
  </si>
  <si>
    <t>739 + 740 + 746 + 747 + 742 + 743</t>
  </si>
  <si>
    <t>total en término</t>
  </si>
  <si>
    <t>755 + 756 + 757 + 758</t>
  </si>
  <si>
    <t>porcentaje cumplimiento</t>
  </si>
  <si>
    <t>760 + 761 + 762</t>
  </si>
  <si>
    <t>it. 45 x 70 / it. 46 x 6</t>
  </si>
  <si>
    <t>6584204992 PBR</t>
  </si>
  <si>
    <t>AEM 161-11-2399/01</t>
  </si>
  <si>
    <t>inv 79.314</t>
  </si>
  <si>
    <t>de 2002</t>
  </si>
  <si>
    <r>
      <t xml:space="preserve">Transmodal 19/01 - 23/01 _ Calapadria </t>
    </r>
    <r>
      <rPr>
        <b/>
        <sz val="8"/>
        <color indexed="18"/>
        <rFont val="Arial"/>
        <family val="2"/>
      </rPr>
      <t>ETS 24/01</t>
    </r>
  </si>
  <si>
    <t>6584171790 Getu</t>
  </si>
  <si>
    <t>it. 45 x 82 / it. 46 x 12</t>
  </si>
  <si>
    <t>6584171753-PBR</t>
  </si>
  <si>
    <t>AEM 161-11-2687/01</t>
  </si>
  <si>
    <t>6584171775-Getu</t>
  </si>
  <si>
    <t>070/01 BPM</t>
  </si>
  <si>
    <t>CRJ-0122/02</t>
  </si>
  <si>
    <t>para salir con el primer despacho de la Global</t>
  </si>
  <si>
    <t>entrega Panmarine en 60 dias</t>
  </si>
  <si>
    <t>U$ 7010,7</t>
  </si>
  <si>
    <t>008/02 BPM</t>
  </si>
  <si>
    <t>CRJ-0125/02</t>
  </si>
  <si>
    <t>junto con la 070/01 BPM</t>
  </si>
  <si>
    <t>it. 2 x 20</t>
  </si>
  <si>
    <t>AEM 120-11-3890/01</t>
  </si>
  <si>
    <t>it. 13 x 9 / it. 15 x 10 / it. 17 x 10 / it. 19 x 10</t>
  </si>
  <si>
    <t>6558378956-PBR</t>
  </si>
  <si>
    <t>AEM 162-24-0004/02</t>
  </si>
  <si>
    <t>6558379133-Getu</t>
  </si>
  <si>
    <t>U$ 68035</t>
  </si>
  <si>
    <t>022/02 BPM</t>
  </si>
  <si>
    <t>CRJ 0157/02</t>
  </si>
  <si>
    <t>it 4 x 17/it 5 x 8/ it 6 x 10/it 7 x 10/ it 8 x 5/ it 9 x 20/</t>
  </si>
  <si>
    <t xml:space="preserve"> it 10, 11 y 13 x 2</t>
  </si>
  <si>
    <t>CRJ-122/02</t>
  </si>
  <si>
    <t>2 P21-175-3ML3</t>
  </si>
  <si>
    <t>despacho sin cargo</t>
  </si>
  <si>
    <t>(1) B12-150-12LAC (sale con la 029/02)</t>
  </si>
  <si>
    <t>sin cargo</t>
  </si>
  <si>
    <t>DESPACHO SIN CARGO BARRIL FALLADO</t>
  </si>
  <si>
    <t>029/02 BPM</t>
  </si>
  <si>
    <t>CRJ-161/02</t>
  </si>
  <si>
    <t>115 Niples</t>
  </si>
  <si>
    <t>it. 2 x 15 / it. 5 x 4</t>
  </si>
  <si>
    <t>Petro: 6558378853</t>
  </si>
  <si>
    <t>AEM 120-11-0458/02</t>
  </si>
  <si>
    <t>Getu: 6558378864</t>
  </si>
  <si>
    <t>it. 2 x 4 / it. 5 x 8</t>
  </si>
  <si>
    <t>AEM 120-11-0614/02</t>
  </si>
  <si>
    <t>it. 44 x 24 / it. 45 x 15</t>
  </si>
  <si>
    <t>AEM 161-11-0327/02</t>
  </si>
  <si>
    <t>it. 46 x 11</t>
  </si>
  <si>
    <t>AEM 161-11-0439/02</t>
  </si>
  <si>
    <t>Senator</t>
  </si>
  <si>
    <t>It. 15 x 4 / It. 19 x 4</t>
  </si>
  <si>
    <t>AEM 162-24-0008/02</t>
  </si>
  <si>
    <t>It. 2 x 6 / it. 5 x 10</t>
  </si>
  <si>
    <t>AEM 120-11-1057/02</t>
  </si>
  <si>
    <t>81 bombas</t>
  </si>
  <si>
    <t>AEM 110-32-0014/02</t>
  </si>
  <si>
    <t>025/02 BPB</t>
  </si>
  <si>
    <t>AFM 162-24-0060/02</t>
  </si>
  <si>
    <t>023/02 BPB</t>
  </si>
  <si>
    <t>AFM 162-24-0061/02</t>
  </si>
  <si>
    <t>10 bombas</t>
  </si>
  <si>
    <t>Petro: 6558379074</t>
  </si>
  <si>
    <t>Acordado con ellos</t>
  </si>
  <si>
    <t>Getu: 6558379063</t>
  </si>
  <si>
    <t>30 Bombas</t>
  </si>
  <si>
    <t>Petro:6554881605 / 6554881185</t>
  </si>
  <si>
    <t>AEM 161-11-0691/02</t>
  </si>
  <si>
    <t>llega: 5/8</t>
  </si>
  <si>
    <t>Getu: 6554881594 / 6554881196</t>
  </si>
  <si>
    <t>033/02 BPM</t>
  </si>
  <si>
    <t>CRJ-186/02</t>
  </si>
  <si>
    <t>5 Items de repuestos</t>
  </si>
  <si>
    <t>ACORDADO CON ELLOS LA ENTREGA</t>
  </si>
  <si>
    <t>20 bombas</t>
  </si>
  <si>
    <t>AEM 120-11-1841/02</t>
  </si>
  <si>
    <t>039/02 BPM</t>
  </si>
  <si>
    <t>CRJ-204/02</t>
  </si>
  <si>
    <t>14 items</t>
  </si>
  <si>
    <t>042/02 BPM</t>
  </si>
  <si>
    <t>CRJ-210/02</t>
  </si>
  <si>
    <t>12 items</t>
  </si>
  <si>
    <t>Con: 30/7</t>
  </si>
  <si>
    <t>KOCH PETROLEO</t>
  </si>
  <si>
    <t>045/02 BKP</t>
  </si>
  <si>
    <t>Nº 6642</t>
  </si>
  <si>
    <t>Fortaleza</t>
  </si>
  <si>
    <t>llega: 15/8</t>
  </si>
  <si>
    <t>POR ATRASO DE BARCO A FORTALEZA</t>
  </si>
  <si>
    <t>24 bombas</t>
  </si>
  <si>
    <t>Petro.  6554881406</t>
  </si>
  <si>
    <t>AEM 120-11-2211/02</t>
  </si>
  <si>
    <t>16/9 en Salvador</t>
  </si>
  <si>
    <t>Getu:  6554881410</t>
  </si>
  <si>
    <t>031/02 BPM</t>
  </si>
  <si>
    <t>CRJ-203/02</t>
  </si>
  <si>
    <t>Arreglado con Getu, para abaratar los gastos</t>
  </si>
  <si>
    <t>AEM 120-11-2668/02</t>
  </si>
  <si>
    <t>053/02</t>
  </si>
  <si>
    <t>CRJ-226/02</t>
  </si>
  <si>
    <t>enviar con</t>
  </si>
  <si>
    <t>6 items</t>
  </si>
  <si>
    <t>1º que salga</t>
  </si>
  <si>
    <t>16 bombas</t>
  </si>
  <si>
    <t>Petro: 6554881325</t>
  </si>
  <si>
    <t>AEM 161-11-1304/02</t>
  </si>
  <si>
    <t>Getu: 6554881314</t>
  </si>
  <si>
    <t>14 bombas</t>
  </si>
  <si>
    <t>AEM 120-11-3141/02</t>
  </si>
  <si>
    <t>059/02 BBR</t>
  </si>
  <si>
    <t>PO 02090001</t>
  </si>
  <si>
    <t>5 Items</t>
  </si>
  <si>
    <t>PCM 120-19-0230/02</t>
  </si>
  <si>
    <t>063/02 BBR</t>
  </si>
  <si>
    <t>PCM 120-19-0260/02</t>
  </si>
  <si>
    <t>073/02 BBR</t>
  </si>
  <si>
    <t>PO 02090002</t>
  </si>
  <si>
    <t>Coplas (40)</t>
  </si>
  <si>
    <t>PCM 120-19-0288/02</t>
  </si>
  <si>
    <t>Pistones</t>
  </si>
  <si>
    <t>En Salvador: 10/12</t>
  </si>
  <si>
    <t>Coplas (20 restantes)</t>
  </si>
  <si>
    <t>19 bombas</t>
  </si>
  <si>
    <t>Petro: 6553188725</t>
  </si>
  <si>
    <t>AEM 120-11-3513/02</t>
  </si>
  <si>
    <t>Getu: 6553188736</t>
  </si>
  <si>
    <t>12 bombas</t>
  </si>
  <si>
    <t>AEM 161-11-1675/02</t>
  </si>
  <si>
    <t>067/02 BBR</t>
  </si>
  <si>
    <t>PO 02100001</t>
  </si>
  <si>
    <t>8 items</t>
  </si>
  <si>
    <t>PCM 120-19-0291/02</t>
  </si>
  <si>
    <t>9 bombas</t>
  </si>
  <si>
    <t>AEM 120-11-3994/02</t>
  </si>
  <si>
    <t>084/02 BBR</t>
  </si>
  <si>
    <t>PO 02110001</t>
  </si>
  <si>
    <t>(Washington)</t>
  </si>
  <si>
    <t>30 bombas</t>
  </si>
  <si>
    <t>Petro:  6553188666</t>
  </si>
  <si>
    <t>AEM 161-11-1752/02</t>
  </si>
  <si>
    <t>14/01 en Salvador</t>
  </si>
  <si>
    <t>Getu:  6553188670</t>
  </si>
  <si>
    <t>AEM 161-11-1843/02</t>
  </si>
  <si>
    <t>Petro:  6552932293</t>
  </si>
  <si>
    <t>Getu:  6552932282</t>
  </si>
  <si>
    <t>AEM 120-11-4433/02</t>
  </si>
  <si>
    <t>29/01 en Salvador</t>
  </si>
  <si>
    <t>8 bombas</t>
  </si>
  <si>
    <t>AEM 120-11-4757/02</t>
  </si>
  <si>
    <t>AEM 161-11-2074/02</t>
  </si>
  <si>
    <t>088/02 BBR</t>
  </si>
  <si>
    <t>PO 03010002</t>
  </si>
  <si>
    <t>PCM 120-19-0361/02</t>
  </si>
  <si>
    <t>PO 03010001</t>
  </si>
  <si>
    <t>USA</t>
  </si>
  <si>
    <t>G1223203</t>
  </si>
  <si>
    <t>Con carga</t>
  </si>
  <si>
    <t>V11 ....</t>
  </si>
  <si>
    <t>(VARIG)</t>
  </si>
  <si>
    <t>Consolida: 6/02</t>
  </si>
  <si>
    <t>081/02 BBR</t>
  </si>
  <si>
    <t>PO 03010003</t>
  </si>
  <si>
    <t>PCM 120-19-0318/02</t>
  </si>
  <si>
    <t>Llega:  15/02</t>
  </si>
  <si>
    <t>POR CAMION - PARCIAL</t>
  </si>
  <si>
    <t>097/02 BBR</t>
  </si>
  <si>
    <t>PO 03010004</t>
  </si>
  <si>
    <t>PCM 120-19-0407/02</t>
  </si>
  <si>
    <t>009/03 BBR</t>
  </si>
  <si>
    <t xml:space="preserve"> PO 3030003</t>
  </si>
  <si>
    <t>sem. 10/3</t>
  </si>
  <si>
    <t>40 Valvulas</t>
  </si>
  <si>
    <t>G0321103</t>
  </si>
  <si>
    <t>PCM 162-18-1080/03</t>
  </si>
  <si>
    <t>cons: 20/3</t>
  </si>
  <si>
    <t>Llega: 31/3</t>
  </si>
  <si>
    <t xml:space="preserve"> PARCIAL - por camion</t>
  </si>
  <si>
    <t>010/03 BBR</t>
  </si>
  <si>
    <t>PO 3030002</t>
  </si>
  <si>
    <t>PCM 120-19-0054/03-AFM 120-19-0068/03</t>
  </si>
  <si>
    <t>Por camion</t>
  </si>
  <si>
    <t>ENTREGAR EN PUERTO DE SANTOS</t>
  </si>
  <si>
    <t>Getu:  6552932164</t>
  </si>
  <si>
    <t>008/02 BPR</t>
  </si>
  <si>
    <t>AFM 162-24-0013/03</t>
  </si>
  <si>
    <t>10 desparafinadores</t>
  </si>
  <si>
    <t>Petro: 6552932175</t>
  </si>
  <si>
    <t>PCM 162-24-1147/02</t>
  </si>
  <si>
    <t>Llega: 30/3</t>
  </si>
  <si>
    <t>Getu:  9051564200</t>
  </si>
  <si>
    <t>068/02 BPB</t>
  </si>
  <si>
    <t>162-18-1157/02 (GLOBAL 2003)</t>
  </si>
  <si>
    <t>84 bombas</t>
  </si>
  <si>
    <t>Petro:  9051564185</t>
  </si>
  <si>
    <t>AEM 161-11-0355/03</t>
  </si>
  <si>
    <t>Willa</t>
  </si>
  <si>
    <t>Ocean Trade</t>
  </si>
  <si>
    <t>005/03 BBR</t>
  </si>
  <si>
    <t>15 Bombas</t>
  </si>
  <si>
    <t>PCM 120-63-0006/03</t>
  </si>
  <si>
    <t>023/03 BBR</t>
  </si>
  <si>
    <t>PO 03030005</t>
  </si>
  <si>
    <t>1 bomba</t>
  </si>
  <si>
    <t>KOCH</t>
  </si>
  <si>
    <t>030/03 BPKP</t>
  </si>
  <si>
    <t>PO 7060</t>
  </si>
  <si>
    <t>Pto Viracopos</t>
  </si>
  <si>
    <t>026/03 BBR</t>
  </si>
  <si>
    <t>PO 03040001</t>
  </si>
  <si>
    <t>40 - V11-250 CTC</t>
  </si>
  <si>
    <t>G0501203</t>
  </si>
  <si>
    <t>PCM 120-19-0083/03</t>
  </si>
  <si>
    <t>Cut off: 15/5</t>
  </si>
  <si>
    <t>030/03 BKP</t>
  </si>
  <si>
    <t>PO 7095</t>
  </si>
  <si>
    <t>Llega: 25/5 - Buque San Rafael</t>
  </si>
  <si>
    <t>Getu:  9051564056</t>
  </si>
  <si>
    <t>Petro: 9051564060</t>
  </si>
  <si>
    <t>AEM 120-11-0816/03</t>
  </si>
  <si>
    <t>Salvador: 28/6</t>
  </si>
  <si>
    <t>23 bombas</t>
  </si>
  <si>
    <t>AEM 110-32-0016/03</t>
  </si>
  <si>
    <t>AEM 110-32-0017/03</t>
  </si>
  <si>
    <t>AEM 120-11-1028/03</t>
  </si>
  <si>
    <t>PO 03040002</t>
  </si>
  <si>
    <t>Fittings (6 items)</t>
  </si>
  <si>
    <t>(30 asientos - SIN CARGO)</t>
  </si>
  <si>
    <t>042/03 BBR</t>
  </si>
  <si>
    <t>25 - V11-125ST</t>
  </si>
  <si>
    <t>PCM 162-18-1404/03-AFM 162-18-0518/03</t>
  </si>
  <si>
    <t>044/03 BBR</t>
  </si>
  <si>
    <t>PO 03050001</t>
  </si>
  <si>
    <t>30 - V11-175CT</t>
  </si>
  <si>
    <t>G0603303</t>
  </si>
  <si>
    <t>PCM 162-18-1386/03</t>
  </si>
  <si>
    <t>Bco. a Santos</t>
  </si>
  <si>
    <t>ENTREGAR EN EL PUERTO DE SANTOS</t>
  </si>
  <si>
    <t>Getu: 9025335970</t>
  </si>
  <si>
    <t>013/03</t>
  </si>
  <si>
    <t>AFM 161-03-0125/03</t>
  </si>
  <si>
    <t>80 bombas</t>
  </si>
  <si>
    <t>Petro: 9025335981</t>
  </si>
  <si>
    <t>Llega:  1/7 o 8/7</t>
  </si>
  <si>
    <t>Multa:  U$ 1081</t>
  </si>
  <si>
    <t>031/03 BBR</t>
  </si>
  <si>
    <t>PO 03060003</t>
  </si>
  <si>
    <t>2 items de V11-...</t>
  </si>
  <si>
    <t>G612103</t>
  </si>
  <si>
    <t>PCM 120-19-0106/03-AFM 120-19-0118/03</t>
  </si>
  <si>
    <t>Cut off: 26/6</t>
  </si>
  <si>
    <t>PO 03050002</t>
  </si>
  <si>
    <t>96 - S18-20C</t>
  </si>
  <si>
    <t>PO 03060001</t>
  </si>
  <si>
    <t>13 items</t>
  </si>
  <si>
    <t>039/03 BBR</t>
  </si>
  <si>
    <t>PO 03060002</t>
  </si>
  <si>
    <t>PCM 162-24-1024/03-AFM 162-24-0036/03</t>
  </si>
  <si>
    <t>cut off: 17/7</t>
  </si>
  <si>
    <t>051/03 BBR</t>
  </si>
  <si>
    <t>PO 03060004</t>
  </si>
  <si>
    <t>2 items</t>
  </si>
  <si>
    <t>lo llevo A. Pigni</t>
  </si>
  <si>
    <t>PCM 120-63-0026/03-AFM 120-63-0022/03</t>
  </si>
  <si>
    <t>Cut off: 1/8</t>
  </si>
  <si>
    <t>Getu:  9025376905/7056</t>
  </si>
  <si>
    <t>Petro:  9025376916/7045</t>
  </si>
  <si>
    <t>AEM 120-11-1403/03</t>
  </si>
  <si>
    <t>llega:  11/8</t>
  </si>
  <si>
    <t>Ship:  Cma Cgm Rodin</t>
  </si>
  <si>
    <t>15 bombas</t>
  </si>
  <si>
    <t>AEM 110-32-0046/03</t>
  </si>
  <si>
    <t>Getu: 9025377034</t>
  </si>
  <si>
    <t>44 bombas</t>
  </si>
  <si>
    <t>Petro: 9025377023</t>
  </si>
  <si>
    <t>AEM 120-11-1720/03</t>
  </si>
  <si>
    <t>sale: 1/9 - llega: 21/9</t>
  </si>
  <si>
    <t>059/03 BBR</t>
  </si>
  <si>
    <t>PO 03070003</t>
  </si>
  <si>
    <t>PCM 120-19-0184/03 - AFM 120-19-0214/03</t>
  </si>
  <si>
    <t>040/03 BBR</t>
  </si>
  <si>
    <t>PO 03080002</t>
  </si>
  <si>
    <t>PCM 120-19-0135/03 - AFM 120-19-0149/03</t>
  </si>
  <si>
    <t>PO 03070004</t>
  </si>
  <si>
    <t>G827103</t>
  </si>
  <si>
    <t>ENVIA GAMMA</t>
  </si>
  <si>
    <t>Getu: 6626630065</t>
  </si>
  <si>
    <t>079/03 BPB</t>
  </si>
  <si>
    <t>AFM 161-08-4475/03</t>
  </si>
  <si>
    <t>SANTOS</t>
  </si>
  <si>
    <t>Petro: 6626630054</t>
  </si>
  <si>
    <t>PCM 161-48-0067/03</t>
  </si>
  <si>
    <t>(Pto. Viracopos)</t>
  </si>
  <si>
    <t>guia 406-55619723</t>
  </si>
  <si>
    <t>Petro:6626630021</t>
  </si>
  <si>
    <t>Getu: 6626630032</t>
  </si>
  <si>
    <t>AEM 162-24-0017/03</t>
  </si>
  <si>
    <t>071/03 BBR</t>
  </si>
  <si>
    <t>PO 03080003</t>
  </si>
  <si>
    <t>en mano Pigni</t>
  </si>
  <si>
    <t>PCM 120-19-0232/03 - AFM 120-19-0243/03</t>
  </si>
  <si>
    <t>(19/9)</t>
  </si>
  <si>
    <t>cut off: 27/10</t>
  </si>
  <si>
    <t>055/03 BBR</t>
  </si>
  <si>
    <t>PO 03080001</t>
  </si>
  <si>
    <t>62 bombas</t>
  </si>
  <si>
    <t>PCM 120-63-0029/03 - AFM 120-63-0027/03</t>
  </si>
  <si>
    <t>Petro: 6626630006</t>
  </si>
  <si>
    <t>052/03 BPB</t>
  </si>
  <si>
    <t>AFM 630-33-0069/03</t>
  </si>
  <si>
    <t>63 bombas</t>
  </si>
  <si>
    <t>Getu:  6626630010</t>
  </si>
  <si>
    <t>PCM 110-88-0019/03</t>
  </si>
  <si>
    <t>073/03 BBR</t>
  </si>
  <si>
    <t>PO 03090001</t>
  </si>
  <si>
    <t>SAO MATEU</t>
  </si>
  <si>
    <t>PCM 162-30-1327/03 - AFM 162-30-0657/03</t>
  </si>
  <si>
    <t>068/03 BBR</t>
  </si>
  <si>
    <t>PO 03090002</t>
  </si>
  <si>
    <t>PCM 120-19-0206/03 - AFM 120-19-0278/03</t>
  </si>
  <si>
    <t>guia: 042-1324-1045</t>
  </si>
  <si>
    <t>095/03 BBR</t>
  </si>
  <si>
    <t>PO 03100002</t>
  </si>
  <si>
    <t>2 semanas</t>
  </si>
  <si>
    <t>30 V11-175CT</t>
  </si>
  <si>
    <t>G1104203</t>
  </si>
  <si>
    <t>con la mercaderia</t>
  </si>
  <si>
    <t>PCM 162-18-1886/03 - AFM 162-18-1082/03</t>
  </si>
  <si>
    <t>Cons:  4/12</t>
  </si>
  <si>
    <t>084/03 BBR</t>
  </si>
  <si>
    <t>PO 0310001</t>
  </si>
  <si>
    <t>PCM 120-19-0281/03 - AFM 120-19-0295/03</t>
  </si>
  <si>
    <t>Desde Bue</t>
  </si>
  <si>
    <t>094/03 BBR</t>
  </si>
  <si>
    <t>PO 03110002</t>
  </si>
  <si>
    <t>PCM 120-19-0315/03 - AFM 120-19-0338/03</t>
  </si>
  <si>
    <t>Desde Deseado</t>
  </si>
  <si>
    <t>Petro:  6626629833</t>
  </si>
  <si>
    <t>077/03 BPB</t>
  </si>
  <si>
    <t>AFM 161-03-0469/03</t>
  </si>
  <si>
    <t>178 Bombas</t>
  </si>
  <si>
    <t>Getu:  6626629822</t>
  </si>
  <si>
    <t>PCM 161-48-0052/03</t>
  </si>
  <si>
    <t>Contenedor de 20'</t>
  </si>
  <si>
    <t>cut off: 26/12</t>
  </si>
  <si>
    <t>097/03 BBR</t>
  </si>
  <si>
    <t>PO  03110003</t>
  </si>
  <si>
    <t>PCM 162-24-1075/03 - AFM 162-24-0091/03</t>
  </si>
  <si>
    <t>04/01 en Brasil</t>
  </si>
  <si>
    <t>ENVIAR CON OTRO MATERIAL</t>
  </si>
  <si>
    <t>101/03 BBR</t>
  </si>
  <si>
    <t>PO  03120001</t>
  </si>
  <si>
    <t>72 - S12-20</t>
  </si>
  <si>
    <t>PCM 162-18-1876/03 - AFM 162-18-1283/03</t>
  </si>
  <si>
    <t>ENVIA GAMMA - Solo item 1 y 2</t>
  </si>
  <si>
    <t>PO 03110004</t>
  </si>
  <si>
    <t>CIF</t>
  </si>
  <si>
    <t>C1125104</t>
  </si>
  <si>
    <t>042-1324-1056</t>
  </si>
  <si>
    <t>desde Vzla.</t>
  </si>
  <si>
    <t>Item 3,4 y 5 se envia desde Vzla.</t>
  </si>
  <si>
    <t>DHL: 6586143911</t>
  </si>
  <si>
    <t>113/03 BBR</t>
  </si>
  <si>
    <t>PO  04010002</t>
  </si>
  <si>
    <t>G203106</t>
  </si>
  <si>
    <t>DHL 042-1324-1060</t>
  </si>
  <si>
    <t>PCM 120-19-0377/03 - AFM 120-19-0001/04</t>
  </si>
  <si>
    <t>006/04 BBR</t>
  </si>
  <si>
    <t>PO  04010009</t>
  </si>
  <si>
    <t>G203105</t>
  </si>
  <si>
    <t xml:space="preserve">PCM 162-30-1013/04 - AFM </t>
  </si>
  <si>
    <t>ADICIONALES</t>
  </si>
  <si>
    <t>Petro:6642683180</t>
  </si>
  <si>
    <t>052/03 (B) BPB</t>
  </si>
  <si>
    <t>AFM  630-33-0069/03</t>
  </si>
  <si>
    <t>CFR</t>
  </si>
  <si>
    <t>13 bombas</t>
  </si>
  <si>
    <t>Getu:6642683176</t>
  </si>
  <si>
    <t>081/03 BPB</t>
  </si>
  <si>
    <t>AFM 630-75-0176/03</t>
  </si>
  <si>
    <t>135 bombas</t>
  </si>
  <si>
    <t>PCM 110-88-0028/03</t>
  </si>
  <si>
    <t>104/03 BBR</t>
  </si>
  <si>
    <t>PO  04010001</t>
  </si>
  <si>
    <t>PCM 120-19-0342/03 - AFM 120-19-0381/03</t>
  </si>
  <si>
    <t>cut off: 5/2</t>
  </si>
  <si>
    <t>PO  04010003</t>
  </si>
  <si>
    <t>120/03 BBR</t>
  </si>
  <si>
    <t>PO  04010004</t>
  </si>
  <si>
    <t>PCM 120-19-0392/03 - AFM 120-19-0008/04</t>
  </si>
  <si>
    <t>122/03 BBR</t>
  </si>
  <si>
    <t>PO  04010007</t>
  </si>
  <si>
    <t>Bombas y fittings</t>
  </si>
  <si>
    <t>(KOCH)</t>
  </si>
  <si>
    <t>005/04 BBR</t>
  </si>
  <si>
    <t>PO  04010008</t>
  </si>
  <si>
    <t>008/04 BBR</t>
  </si>
  <si>
    <t>PO  04020004</t>
  </si>
  <si>
    <t>30 V11-175</t>
  </si>
  <si>
    <t>G0310104</t>
  </si>
  <si>
    <t>PCM 162-18-1087/04 - AFM 162-18-0128/04</t>
  </si>
  <si>
    <t>002/04 BBR</t>
  </si>
  <si>
    <t>PO  04010005</t>
  </si>
  <si>
    <t>PCM 120-19-0416/03 - AFM 120-19-0013/04</t>
  </si>
  <si>
    <t>099/03 BPB</t>
  </si>
  <si>
    <t>120-10-0007/04 (GLOBAL 2003)</t>
  </si>
  <si>
    <t>39 bombas</t>
  </si>
  <si>
    <t>AEM 120-11-0608/04</t>
  </si>
  <si>
    <t>comision:U$1955,26</t>
  </si>
  <si>
    <t>007/04 BBR</t>
  </si>
  <si>
    <t>PO 04040002</t>
  </si>
  <si>
    <t>20 valvulas</t>
  </si>
  <si>
    <t>G427204</t>
  </si>
  <si>
    <t>AFM 120-19-0088/04 - PCM 120-19-0009/04</t>
  </si>
  <si>
    <t>001/04 BBR</t>
  </si>
  <si>
    <t>PO  04010006</t>
  </si>
  <si>
    <t>PCM 120-63-0055/03 - AFM 120-63-0002/04</t>
  </si>
  <si>
    <t>Getu: 6651603324</t>
  </si>
  <si>
    <t>112/03 BPB</t>
  </si>
  <si>
    <t>AFM 161-03-0025/04</t>
  </si>
  <si>
    <t>273 bombas</t>
  </si>
  <si>
    <t>Petro: 6651603313</t>
  </si>
  <si>
    <t>PCM 161-48-0129/03</t>
  </si>
  <si>
    <t>Comision para Panma.</t>
  </si>
  <si>
    <t>cut off: 08/05</t>
  </si>
  <si>
    <t>38 bombas</t>
  </si>
  <si>
    <t>AEM 110-32-0025/04</t>
  </si>
  <si>
    <t>com.: 15.017,58 x 7 AEM</t>
  </si>
  <si>
    <t>SE ENVIAN EN 2 PARCIALES</t>
  </si>
  <si>
    <t>48 bombas</t>
  </si>
  <si>
    <t>AEM 161-11-0511/04</t>
  </si>
  <si>
    <t>75 bombas</t>
  </si>
  <si>
    <t>AEM 161-11-0517/04</t>
  </si>
  <si>
    <t>27 bombas</t>
  </si>
  <si>
    <t>AEM 162-24-0011/04</t>
  </si>
  <si>
    <t>96 bombas</t>
  </si>
  <si>
    <t>AEM 120-11-0833/04</t>
  </si>
  <si>
    <t>Repuestos</t>
  </si>
  <si>
    <t>AEM 110-32-0054/04</t>
  </si>
  <si>
    <t>50-C13-175HTL</t>
  </si>
  <si>
    <t>AEM 161-11-0806/04</t>
  </si>
  <si>
    <t>22 bombas</t>
  </si>
  <si>
    <t>com.: 9.352,26 x 6 AEM</t>
  </si>
  <si>
    <t>114 bombas</t>
  </si>
  <si>
    <t>AEM 120-11-0995/04</t>
  </si>
  <si>
    <t>AEM 110-32-0053/04</t>
  </si>
  <si>
    <t>AEM 120-11-1153/04</t>
  </si>
  <si>
    <t>AEM 120-11-1318/04</t>
  </si>
  <si>
    <t>AEM 120-11-1500/04</t>
  </si>
  <si>
    <t>Desde PDS a Santos</t>
  </si>
  <si>
    <t>69 bombas</t>
  </si>
  <si>
    <t>AEM 161-11-0819/04</t>
  </si>
  <si>
    <t>17 bombas</t>
  </si>
  <si>
    <t>AEM 161-11-0964/04</t>
  </si>
  <si>
    <t>AEM 161-11-1014/04</t>
  </si>
  <si>
    <t>En este envio solo 23 bombas</t>
  </si>
  <si>
    <t>Total 41 bombas</t>
  </si>
  <si>
    <t>AEM 110-32-0074/04</t>
  </si>
  <si>
    <t>Las 18 restantes el 10/8</t>
  </si>
  <si>
    <t>AEM 162-24-0024/04</t>
  </si>
  <si>
    <t>AEM 120-11-1498/04</t>
  </si>
  <si>
    <t>AEM 120-11-1511/04</t>
  </si>
  <si>
    <t>67 bombas</t>
  </si>
  <si>
    <t>AEM 161-11-1295/04</t>
  </si>
  <si>
    <t>049/04 BBR</t>
  </si>
  <si>
    <t>PO 04080002</t>
  </si>
  <si>
    <t>Valvulas desde USA</t>
  </si>
  <si>
    <t>G928204</t>
  </si>
  <si>
    <t>042-1504-2731</t>
  </si>
  <si>
    <t>AFM 162-24-0040/04</t>
  </si>
  <si>
    <t>los lleva en mano</t>
  </si>
  <si>
    <t>AEM 110-32-0089/04</t>
  </si>
  <si>
    <t>A. Pigni</t>
  </si>
  <si>
    <t>AEM 120-11-1700/04</t>
  </si>
  <si>
    <t>AEM 120-11-1699/04</t>
  </si>
  <si>
    <t>AEM 110-32-0095/04</t>
  </si>
  <si>
    <t>47 bombas</t>
  </si>
  <si>
    <t>AEM 161-11-1483/04</t>
  </si>
  <si>
    <t>Con estas 18 bombas se completa el total de la AEM (23 bombas entregadas el 16/7)</t>
  </si>
  <si>
    <t>13 b.x 28.111</t>
  </si>
  <si>
    <t>comisión: 1388,88</t>
  </si>
  <si>
    <t>AEM 162-30-0001/04</t>
  </si>
  <si>
    <t>AEM 120-11-1935/04</t>
  </si>
  <si>
    <t>14/10-12/1</t>
  </si>
  <si>
    <t>AEM 161-11-1831/04</t>
  </si>
  <si>
    <t>AEM 162-24-0028/04</t>
  </si>
  <si>
    <t>14/10-12/01</t>
  </si>
  <si>
    <t>PO 04080001</t>
  </si>
  <si>
    <t>cons:  16/10</t>
  </si>
  <si>
    <t>AEM 120-11-2192/04</t>
  </si>
  <si>
    <t>43 bombas</t>
  </si>
  <si>
    <t>AEM 120-11-2162/04</t>
  </si>
  <si>
    <t>AEM 162-24-0027/04</t>
  </si>
  <si>
    <t>AEM 110-32-0104/04</t>
  </si>
  <si>
    <t>1º PARCIAL</t>
  </si>
  <si>
    <t>101 bombas</t>
  </si>
  <si>
    <t>AEM 161-11-1746/04</t>
  </si>
  <si>
    <t>054/04 BBR</t>
  </si>
  <si>
    <t>PO 04100001</t>
  </si>
  <si>
    <t xml:space="preserve"> AFM  120-63-0036/04</t>
  </si>
  <si>
    <t>062/04 BBR</t>
  </si>
  <si>
    <t>PO 04100002</t>
  </si>
  <si>
    <t>25 GUIAS (88B21...)</t>
  </si>
  <si>
    <t xml:space="preserve">PCM 162-24-1043/04 </t>
  </si>
  <si>
    <t>AEM 162-30-0005/04</t>
  </si>
  <si>
    <t>60 bombas</t>
  </si>
  <si>
    <t>AEM 120-11-2161/04</t>
  </si>
  <si>
    <t>AEM 110-32-0122/04</t>
  </si>
  <si>
    <t>AEM 161-11-1832/04</t>
  </si>
  <si>
    <t>2º PARCIAL</t>
  </si>
  <si>
    <t>71 bombas</t>
  </si>
  <si>
    <t>cons: 17/12</t>
  </si>
  <si>
    <t>AEM 162-24-0036/04</t>
  </si>
  <si>
    <t>36 bombas</t>
  </si>
  <si>
    <t>PCS 4500170745</t>
  </si>
  <si>
    <t>65 bombas</t>
  </si>
  <si>
    <t>PCS 4500178683</t>
  </si>
  <si>
    <t>053/04 BPB</t>
  </si>
  <si>
    <t>120-10-0069/04 (GLOBAL 2004)</t>
  </si>
  <si>
    <t>PCS 4500201376</t>
  </si>
  <si>
    <t>PCS 4500178972</t>
  </si>
  <si>
    <t>cons: 31/1</t>
  </si>
  <si>
    <t>0008</t>
  </si>
  <si>
    <t>55 bombas</t>
  </si>
  <si>
    <t>0009</t>
  </si>
  <si>
    <t>0012</t>
  </si>
  <si>
    <t>PCS 4500167028</t>
  </si>
  <si>
    <t>1º ENVIO</t>
  </si>
  <si>
    <t>0010</t>
  </si>
  <si>
    <t>PCS 4500266330</t>
  </si>
  <si>
    <t>100 bombas</t>
  </si>
  <si>
    <t>0014</t>
  </si>
  <si>
    <t>PCS 4500206221</t>
  </si>
  <si>
    <t>0011</t>
  </si>
  <si>
    <t>PCS 4500181103</t>
  </si>
  <si>
    <t>0013</t>
  </si>
  <si>
    <t>PCS 4500205658</t>
  </si>
  <si>
    <t>U$12845,57-5/7/05</t>
  </si>
  <si>
    <t>cons: 17/3</t>
  </si>
  <si>
    <t>052/04 BBR</t>
  </si>
  <si>
    <t>PO 04090001</t>
  </si>
  <si>
    <t>0017</t>
  </si>
  <si>
    <t>AFM 161-03-0358/04</t>
  </si>
  <si>
    <t>NOTA:  Esta mercaderia se retraso ya que hubo una demora con la entrega de un barril por parte de Scot</t>
  </si>
  <si>
    <t>Cons: 1/4</t>
  </si>
  <si>
    <t>2º ENVIO</t>
  </si>
  <si>
    <t>0022</t>
  </si>
  <si>
    <t>multa U$ 247,94</t>
  </si>
  <si>
    <t>0024</t>
  </si>
  <si>
    <t>PCS 4500273507</t>
  </si>
  <si>
    <t>118 bombas</t>
  </si>
  <si>
    <t>0023</t>
  </si>
  <si>
    <t>0027</t>
  </si>
  <si>
    <t>11540,39 x multa</t>
  </si>
  <si>
    <t>138 bombas</t>
  </si>
  <si>
    <t>0025</t>
  </si>
  <si>
    <t>PCS 4500318278</t>
  </si>
  <si>
    <t>0026</t>
  </si>
  <si>
    <t>PCS 4500273528</t>
  </si>
  <si>
    <t>U$ 3163,94</t>
  </si>
  <si>
    <t>083/04 BBR</t>
  </si>
  <si>
    <t>PO  05010002</t>
  </si>
  <si>
    <t>0021</t>
  </si>
  <si>
    <t>PCS 4500243638</t>
  </si>
  <si>
    <t>Cons:9/5-Salió:10/5</t>
  </si>
  <si>
    <t>0038</t>
  </si>
  <si>
    <t>001/05 BBR</t>
  </si>
  <si>
    <t>PO   05040002</t>
  </si>
  <si>
    <t>PCS 4500312396</t>
  </si>
  <si>
    <t>Cons:9/5-Salio:10/5</t>
  </si>
  <si>
    <t>35 bombas</t>
  </si>
  <si>
    <t>0034</t>
  </si>
  <si>
    <t>PCS 4500323431</t>
  </si>
  <si>
    <t>0035</t>
  </si>
  <si>
    <t>PCS 4500350447</t>
  </si>
  <si>
    <t>0037</t>
  </si>
  <si>
    <t>PCS 4500334177</t>
  </si>
  <si>
    <t>0032</t>
  </si>
  <si>
    <t>PCS 4500356830</t>
  </si>
  <si>
    <t>0033</t>
  </si>
  <si>
    <t>PCS 4500265167</t>
  </si>
  <si>
    <t>Multa 638,81</t>
  </si>
  <si>
    <t>0036</t>
  </si>
  <si>
    <t>PCS 4500333093</t>
  </si>
  <si>
    <t>Cons: 21/05-Salio 28/5</t>
  </si>
  <si>
    <t>33 bombas</t>
  </si>
  <si>
    <t>0041</t>
  </si>
  <si>
    <t>PCS 4500301157</t>
  </si>
  <si>
    <t>0042</t>
  </si>
  <si>
    <t>PCS 4500301664</t>
  </si>
  <si>
    <t>0043</t>
  </si>
  <si>
    <t>PCS 4500400652</t>
  </si>
  <si>
    <t>cons: 24/6-salió: 2/7</t>
  </si>
  <si>
    <t>en mano</t>
  </si>
  <si>
    <t>0054</t>
  </si>
  <si>
    <t>E. Dupertuis</t>
  </si>
  <si>
    <t>PCS 4500333696</t>
  </si>
  <si>
    <t>0053</t>
  </si>
  <si>
    <t>PCS 4500445291</t>
  </si>
  <si>
    <t>0052</t>
  </si>
  <si>
    <t>PCS 4500441710</t>
  </si>
  <si>
    <t>102 bombas</t>
  </si>
  <si>
    <t>0051</t>
  </si>
  <si>
    <t>PCS 4500439748</t>
  </si>
  <si>
    <t>Cons: 21/7</t>
  </si>
  <si>
    <t>0060</t>
  </si>
  <si>
    <t>PCS 4500386373</t>
  </si>
  <si>
    <t>0058</t>
  </si>
  <si>
    <t>PCS 4500434195</t>
  </si>
  <si>
    <t>88 bombas</t>
  </si>
  <si>
    <t>0059</t>
  </si>
  <si>
    <t>PCS 4500515862</t>
  </si>
  <si>
    <t>Cons: 19/8</t>
  </si>
  <si>
    <t>0063</t>
  </si>
  <si>
    <t>PCS 4500470622</t>
  </si>
  <si>
    <t>0065</t>
  </si>
  <si>
    <t>PCS 4500557121</t>
  </si>
  <si>
    <t>Repuestos (5 vastagos)</t>
  </si>
  <si>
    <t>0066</t>
  </si>
  <si>
    <t>PCS 4500557116</t>
  </si>
  <si>
    <t>105 bombas</t>
  </si>
  <si>
    <t>0064</t>
  </si>
  <si>
    <t>PCS 4500555281</t>
  </si>
  <si>
    <t>Cons: 29/9</t>
  </si>
  <si>
    <t>0078</t>
  </si>
  <si>
    <t>PCS 4500587648</t>
  </si>
  <si>
    <t>108 Bombas</t>
  </si>
  <si>
    <t>0077</t>
  </si>
  <si>
    <t>PCS 4500587604</t>
  </si>
  <si>
    <t>U$ 32.723</t>
  </si>
  <si>
    <t>038/05 BBR</t>
  </si>
  <si>
    <t>PO   05080003</t>
  </si>
  <si>
    <t>Jaulas y fittings</t>
  </si>
  <si>
    <t>0080</t>
  </si>
  <si>
    <t>PCS 4500542829 y 4500543074</t>
  </si>
  <si>
    <t>005/05 BBR</t>
  </si>
  <si>
    <t>PO   05080002</t>
  </si>
  <si>
    <t>21 bombas y nipples</t>
  </si>
  <si>
    <t>PF 393/05 - KOCH</t>
  </si>
  <si>
    <t>044/05 BBR</t>
  </si>
  <si>
    <t>PO 05080006</t>
  </si>
  <si>
    <t>PCS 4500588823</t>
  </si>
  <si>
    <t>046/05 BBR</t>
  </si>
  <si>
    <t>PO 05090003</t>
  </si>
  <si>
    <t>5 Bombas</t>
  </si>
  <si>
    <t>PARA AURIZONIA</t>
  </si>
  <si>
    <t xml:space="preserve">Repuestos </t>
  </si>
  <si>
    <t>0076</t>
  </si>
  <si>
    <t>PCS 4500587093</t>
  </si>
  <si>
    <t>14 Bombas</t>
  </si>
  <si>
    <t>0075</t>
  </si>
  <si>
    <t>PCS 4500588138</t>
  </si>
  <si>
    <t>multa:117,99</t>
  </si>
  <si>
    <t>U$ 339,69</t>
  </si>
  <si>
    <t>0079</t>
  </si>
  <si>
    <t>PCS 4500366169</t>
  </si>
  <si>
    <t>multa: U$ 186,29</t>
  </si>
  <si>
    <t>0074</t>
  </si>
  <si>
    <t>PCS 4500518102</t>
  </si>
  <si>
    <t>041/05 BBR</t>
  </si>
  <si>
    <t>PO 05080005</t>
  </si>
  <si>
    <t>351 Valvulas (fuera de la Global)</t>
  </si>
  <si>
    <t>G328220</t>
  </si>
  <si>
    <t>PCS 4500581952</t>
  </si>
  <si>
    <t>043/05 BBR</t>
  </si>
  <si>
    <t>PO 05080008</t>
  </si>
  <si>
    <t>77 Valvulas (fuera de la Global)</t>
  </si>
  <si>
    <t>G328219</t>
  </si>
  <si>
    <t>PCS 4500588842</t>
  </si>
  <si>
    <t>050/05 BBR</t>
  </si>
  <si>
    <t>PO 05090004</t>
  </si>
  <si>
    <t>12 Valvulas (fuera de la Global)</t>
  </si>
  <si>
    <t>G328221</t>
  </si>
  <si>
    <t>Sale por Buenos Aires - DHL</t>
  </si>
  <si>
    <t>docs y carga</t>
  </si>
  <si>
    <t>U$ 915</t>
  </si>
  <si>
    <t>PO 05080007</t>
  </si>
  <si>
    <t>15 jaulas</t>
  </si>
  <si>
    <t>0084</t>
  </si>
  <si>
    <t>87 Bombas</t>
  </si>
  <si>
    <t>0085</t>
  </si>
  <si>
    <t>PCS 4500656951</t>
  </si>
  <si>
    <t>Cons.:  28/12</t>
  </si>
  <si>
    <t>7 Bombas</t>
  </si>
  <si>
    <t>0093</t>
  </si>
  <si>
    <t>PCS 4500736818</t>
  </si>
  <si>
    <t>62 Bombas</t>
  </si>
  <si>
    <t>0088</t>
  </si>
  <si>
    <t>PCS 4500729148</t>
  </si>
  <si>
    <t>u$ 13742,85</t>
  </si>
  <si>
    <t>0089</t>
  </si>
  <si>
    <t>PCS 4500769411</t>
  </si>
  <si>
    <t>0090</t>
  </si>
  <si>
    <t>PCS 4500770216</t>
  </si>
  <si>
    <t>U$ 58.681</t>
  </si>
  <si>
    <t>65 Bombas</t>
  </si>
  <si>
    <t>0092</t>
  </si>
  <si>
    <t>PCS 4500645643</t>
  </si>
  <si>
    <t>U$ 123.516</t>
  </si>
  <si>
    <t>99 Bombas</t>
  </si>
  <si>
    <t>0091</t>
  </si>
  <si>
    <t>PCS 4500645630</t>
  </si>
  <si>
    <t>060/05 BBR</t>
  </si>
  <si>
    <t>PO   05120003</t>
  </si>
  <si>
    <t>0094</t>
  </si>
  <si>
    <t>0100</t>
  </si>
  <si>
    <t>PCS 4500744548</t>
  </si>
  <si>
    <t>26 bombas + Fittings</t>
  </si>
  <si>
    <t>0099</t>
  </si>
  <si>
    <t>PCS 4500693674</t>
  </si>
  <si>
    <t>009/06 BBR</t>
  </si>
  <si>
    <t>PO   06010005</t>
  </si>
  <si>
    <t>0101</t>
  </si>
  <si>
    <t>Ago. 07</t>
  </si>
  <si>
    <t>cons: 28/3</t>
  </si>
  <si>
    <t>en Santos</t>
  </si>
  <si>
    <t>ENVIAR CERT. DE FUMIGACION</t>
  </si>
  <si>
    <t>010/06 BPB</t>
  </si>
  <si>
    <t>FOB</t>
  </si>
  <si>
    <t>ENTREGAR AL FORWARDER - INFORMAR UNA SEMANA ANTES DE LA SALIDA</t>
  </si>
  <si>
    <t>Multa 2.833,37</t>
  </si>
  <si>
    <t>No llegabamos al barco de Pto. Deseado por lo tanto se trajo a Bs. As. y salio en el 1° barco. Se le pidio a Petrobras la correccion del plazo de entrega, ya que este esta incorrecto, pero nunca enviaron la correccion y nos informan que tampoco la van a enviar (mail 22/9/06)</t>
  </si>
  <si>
    <t>PCS 4500820706</t>
  </si>
  <si>
    <t>Multa 1.241,80</t>
  </si>
  <si>
    <t>No llegabamos al barco de Pto. Deseado por lo tanto se trajo a Bs. As. y salio en el 1° barco</t>
  </si>
  <si>
    <t>76 bombas</t>
  </si>
  <si>
    <t>PCS 4500832539</t>
  </si>
  <si>
    <t>multa 40,22</t>
  </si>
  <si>
    <t>PCS 4500872039</t>
  </si>
  <si>
    <t>multa 7,53</t>
  </si>
  <si>
    <t>PCS 4500908949</t>
  </si>
  <si>
    <t>Multa U$ 291</t>
  </si>
  <si>
    <t>PCS 4500870650</t>
  </si>
  <si>
    <t>problemas gremiales en la planta-se resuelve a fines de Julio (se dan insentivos)</t>
  </si>
  <si>
    <t>SI-Multa U$ 51</t>
  </si>
  <si>
    <t>PCS 4500908959</t>
  </si>
  <si>
    <t>SI-Multa U$ 26</t>
  </si>
  <si>
    <t>056/05 BBR</t>
  </si>
  <si>
    <t>PO  06030003</t>
  </si>
  <si>
    <t xml:space="preserve">MOSSORO </t>
  </si>
  <si>
    <t>327 vastagos</t>
  </si>
  <si>
    <t>1° ENVIO - GLOBAL DE VASTAGOS</t>
  </si>
  <si>
    <t>92 bombas</t>
  </si>
  <si>
    <t>PCS 4500863074</t>
  </si>
  <si>
    <t>MERCADERIA ROBADA SE ENVIAN EN OTROS PEDIDOS</t>
  </si>
  <si>
    <t>PO  06050001</t>
  </si>
  <si>
    <t>----</t>
  </si>
  <si>
    <t>40 vastagos</t>
  </si>
  <si>
    <t>2° ENVIO - GLOBAL DE VASTAGOS</t>
  </si>
  <si>
    <t>NOTA: a principio de Mayo comienzan los problemas gremiales en la Planta, se resuelven a fines de Julio</t>
  </si>
  <si>
    <t>problemas gremiales en la planta-se resuelve a fines de Julio</t>
  </si>
  <si>
    <t>Multa: U$ 838</t>
  </si>
  <si>
    <t>115 bombas</t>
  </si>
  <si>
    <t>PCS 4500956703</t>
  </si>
  <si>
    <t>Multa: U$ 41</t>
  </si>
  <si>
    <t>PCS 4500946407</t>
  </si>
  <si>
    <t>032/06 BBR</t>
  </si>
  <si>
    <t>PO   06060001</t>
  </si>
  <si>
    <t>Si</t>
  </si>
  <si>
    <t>AURIZONIA</t>
  </si>
  <si>
    <t>Cons: 24/8</t>
  </si>
  <si>
    <t>PCS 4501111746</t>
  </si>
  <si>
    <t>PCS 4501111756</t>
  </si>
  <si>
    <t>PCS 4500993891</t>
  </si>
  <si>
    <t>58 bombas</t>
  </si>
  <si>
    <t>PCS 4501003265</t>
  </si>
  <si>
    <t>PO   06070003</t>
  </si>
  <si>
    <t>90 vastagos + 3 pistones</t>
  </si>
  <si>
    <t>3° ENVIO - GLOBAL DE VASTAGOS</t>
  </si>
  <si>
    <t>PO   0608002</t>
  </si>
  <si>
    <t>25 valvulas</t>
  </si>
  <si>
    <t>G328364</t>
  </si>
  <si>
    <t>1° envio robado, aun no hay nuevo vto. De Petrobras</t>
  </si>
  <si>
    <t>PCS 4500980882</t>
  </si>
  <si>
    <t>multa: U$ 742</t>
  </si>
  <si>
    <t>multa U$ 104</t>
  </si>
  <si>
    <t>PCS 4500995544</t>
  </si>
  <si>
    <t>multa U$ 3</t>
  </si>
  <si>
    <t>PCS 4501000008</t>
  </si>
  <si>
    <t>multa U$ 6269</t>
  </si>
  <si>
    <t xml:space="preserve"> La PCS 4500875101 se adelanto a la planta para poder comenzar con la fabricacion, pero falta la PCS definitiva ya que la misma tiene algunos errores. </t>
  </si>
  <si>
    <t>PCS 4500875101</t>
  </si>
  <si>
    <t>multa U$ 2308</t>
  </si>
  <si>
    <t>PCS 4500895870</t>
  </si>
  <si>
    <t>37 bombas</t>
  </si>
  <si>
    <t>PCS 4500908363</t>
  </si>
  <si>
    <t>PCS 4500980881</t>
  </si>
  <si>
    <t>Multa: U$ 3178</t>
  </si>
  <si>
    <t>046/06 BBR</t>
  </si>
  <si>
    <t>PO   06070002</t>
  </si>
  <si>
    <t>047/06 BBR</t>
  </si>
  <si>
    <t>PO   06080003</t>
  </si>
  <si>
    <t>PO   06080005</t>
  </si>
  <si>
    <t>96 vastagos + 5 jaulas</t>
  </si>
  <si>
    <t>4° ENVIO - GLOBAL DE VASTAGOS</t>
  </si>
  <si>
    <t>064/06 BBR</t>
  </si>
  <si>
    <t>PO   06090002</t>
  </si>
  <si>
    <t>2-S22 y 62-S12</t>
  </si>
  <si>
    <t>PO   06090001</t>
  </si>
  <si>
    <t>3 - N14-30</t>
  </si>
  <si>
    <t>Cons:  23/10</t>
  </si>
  <si>
    <t>048/06 BBR</t>
  </si>
  <si>
    <t>PO   06090003</t>
  </si>
  <si>
    <t>19 bombas para Mossoro</t>
  </si>
  <si>
    <t>Anibal Cascardo</t>
  </si>
  <si>
    <t>Con: 01/11</t>
  </si>
  <si>
    <t>PO 06090006</t>
  </si>
  <si>
    <t xml:space="preserve">95 vastagos </t>
  </si>
  <si>
    <t>5° ENVIO - GLOBAL DE VASTAGOS</t>
  </si>
  <si>
    <t>053/06 BBR</t>
  </si>
  <si>
    <t>PO   06090005</t>
  </si>
  <si>
    <t>140 bombas para Mossoro</t>
  </si>
  <si>
    <t>Cons: 1/12</t>
  </si>
  <si>
    <t>063/06 BBR</t>
  </si>
  <si>
    <t>PO   06100002</t>
  </si>
  <si>
    <t>Cons: 16/1</t>
  </si>
  <si>
    <t>PCS 4501273417</t>
  </si>
  <si>
    <t>(09/01/07)</t>
  </si>
  <si>
    <t>Multa: U$ 1082</t>
  </si>
  <si>
    <t>PCS 4501317073</t>
  </si>
  <si>
    <t>Multa: U$ 308</t>
  </si>
  <si>
    <r>
      <t xml:space="preserve">25 bombas - </t>
    </r>
    <r>
      <rPr>
        <sz val="8"/>
        <color indexed="12"/>
        <rFont val="Arial"/>
        <family val="2"/>
      </rPr>
      <t>AMPLIACION DE PO 06090005</t>
    </r>
  </si>
  <si>
    <t>SI - 09 Feb.</t>
  </si>
  <si>
    <t>SI - 21 Nov.</t>
  </si>
  <si>
    <t>093/06 BBR</t>
  </si>
  <si>
    <t>SI - 18 Abr.</t>
  </si>
  <si>
    <t>074/06 BPB</t>
  </si>
  <si>
    <r>
      <t xml:space="preserve">Fittings - </t>
    </r>
    <r>
      <rPr>
        <sz val="8"/>
        <color indexed="12"/>
        <rFont val="Arial"/>
        <family val="2"/>
      </rPr>
      <t>ENTREGAR AL FORWARDER -CERTIFICADO DE FUMIGACION-INFORMAR UNA SEMANA ANTES DE LA SALIDA DE PTA.</t>
    </r>
  </si>
  <si>
    <r>
      <t>191 -</t>
    </r>
    <r>
      <rPr>
        <sz val="8"/>
        <rFont val="Arial"/>
        <family val="2"/>
      </rPr>
      <t xml:space="preserve"> 206/215</t>
    </r>
  </si>
  <si>
    <t>6631322832 (USA) - 6632322821 (Brasil)</t>
  </si>
  <si>
    <t>SI - 19 Mar.</t>
  </si>
  <si>
    <t>SI - 21 Mar</t>
  </si>
  <si>
    <t>Se esta demorando el embarque ya que Petrobras de America no da la autorizacion de embarque al forwarder de Bs. As. Una vez que nos dieron la autorizacion de embarque se debio demorar nuevamente la salida debido a problemas en la confeccion de los documentos, pedian que pongamos en el exportador a Petrobras de America y no a Bolland, como es correcto. Finalmente se hizo tal como nosotros le dijimos (exportador Bolland).</t>
  </si>
  <si>
    <t>056/06 BBR</t>
  </si>
  <si>
    <t>134 bombas</t>
  </si>
  <si>
    <t>SI - 26/5 x inspeccion</t>
  </si>
  <si>
    <t>083/06 BBR</t>
  </si>
  <si>
    <t>si - 21 Nov.</t>
  </si>
  <si>
    <t>071/06 BPB</t>
  </si>
  <si>
    <r>
      <t>192 -</t>
    </r>
    <r>
      <rPr>
        <sz val="8"/>
        <rFont val="Arial"/>
        <family val="2"/>
      </rPr>
      <t xml:space="preserve"> 207</t>
    </r>
  </si>
  <si>
    <r>
      <t xml:space="preserve">180 vastagos </t>
    </r>
    <r>
      <rPr>
        <sz val="8"/>
        <color indexed="12"/>
        <rFont val="Arial"/>
        <family val="2"/>
      </rPr>
      <t>- 6° ENVIO - GLOBAL DE VASTAGOS</t>
    </r>
  </si>
  <si>
    <t>La salida de esta carga se demoro ya que nos han cancelado/postergado el buque del 12/03.</t>
  </si>
  <si>
    <t>092/06 BBR</t>
  </si>
  <si>
    <t>sal. desde Bue</t>
  </si>
  <si>
    <t>31 bombas</t>
  </si>
  <si>
    <t>095/06 BBR</t>
  </si>
  <si>
    <t>009/07 BPB</t>
  </si>
  <si>
    <t>4600226581 (GLOBAL 2007)</t>
  </si>
  <si>
    <t>desde Bue</t>
  </si>
  <si>
    <t>133 bombas + 110 valvulas</t>
  </si>
  <si>
    <t>27 y 28/04</t>
  </si>
  <si>
    <t>SI - 19 May</t>
  </si>
  <si>
    <r>
      <t xml:space="preserve">SI - Multa U$ 4504 </t>
    </r>
    <r>
      <rPr>
        <sz val="8"/>
        <color indexed="10"/>
        <rFont val="Arial"/>
        <family val="2"/>
      </rPr>
      <t>(no corresp. Mail 13/4)</t>
    </r>
  </si>
  <si>
    <t>Retraso en la entrega de la materia prima por parte de Siderca. Demora por la confirmacion, por parte de Petrobras, para la realizacion de la inspeccion</t>
  </si>
  <si>
    <t>70 bombas</t>
  </si>
  <si>
    <t>SI - 13 Jul - Multa U$ 1500</t>
  </si>
  <si>
    <t>SI - 13 Jul. - Multa U$ 279</t>
  </si>
  <si>
    <t>011/07 BBR</t>
  </si>
  <si>
    <t>AEREA</t>
  </si>
  <si>
    <t>con la carga</t>
  </si>
  <si>
    <t>SI - 04 Jun</t>
  </si>
  <si>
    <t>SI - 07 Ago</t>
  </si>
  <si>
    <t>015/07 BBR</t>
  </si>
  <si>
    <t>20 pistones</t>
  </si>
  <si>
    <t>SI - 01 Jun</t>
  </si>
  <si>
    <t>SI - 01 Ago</t>
  </si>
  <si>
    <t>SI - 18 Sep.</t>
  </si>
  <si>
    <t>Demora por no contar con el barco de Deseado con el Waver</t>
  </si>
  <si>
    <t>S. MATEUS</t>
  </si>
  <si>
    <t>40 bombas + fittings</t>
  </si>
  <si>
    <t>SI - 18 Sep. - Multa U$ 116,03</t>
  </si>
  <si>
    <t>SI - 01 Ago.</t>
  </si>
  <si>
    <t>SI - 7/11 - multa: U$ 2093,88</t>
  </si>
  <si>
    <t xml:space="preserve">Demora por no contar con el barco de Deseado con el Waver. </t>
  </si>
  <si>
    <t xml:space="preserve">156 bombas </t>
  </si>
  <si>
    <t>SI - 7/11 - multa: U$ 5040</t>
  </si>
  <si>
    <r>
      <t xml:space="preserve">Demora por no contar con el barco de Deseado con el Waver. </t>
    </r>
    <r>
      <rPr>
        <sz val="8"/>
        <color indexed="10"/>
        <rFont val="Arial"/>
        <family val="2"/>
      </rPr>
      <t>No corresponder multa según mail 13/04.</t>
    </r>
  </si>
  <si>
    <t>72 bombas</t>
  </si>
  <si>
    <t>SI - 7/11 - multa: U$ 1216,63</t>
  </si>
  <si>
    <t>031/07 BBR</t>
  </si>
  <si>
    <t>6 guias helicoidal</t>
  </si>
  <si>
    <t xml:space="preserve">Demora por no contar con el barco de Deseado </t>
  </si>
  <si>
    <t>010/07 BBR</t>
  </si>
  <si>
    <r>
      <t>12 bombas para</t>
    </r>
    <r>
      <rPr>
        <b/>
        <sz val="8"/>
        <rFont val="Arial"/>
        <family val="2"/>
      </rPr>
      <t xml:space="preserve"> </t>
    </r>
    <r>
      <rPr>
        <b/>
        <sz val="8"/>
        <color indexed="12"/>
        <rFont val="Arial"/>
        <family val="2"/>
      </rPr>
      <t>KOCH</t>
    </r>
  </si>
  <si>
    <t>040/07 BBR</t>
  </si>
  <si>
    <r>
      <t xml:space="preserve">4 pistones - </t>
    </r>
    <r>
      <rPr>
        <sz val="8"/>
        <color indexed="12"/>
        <rFont val="Arial"/>
        <family val="2"/>
      </rPr>
      <t>ENVIAR VIA AEREA</t>
    </r>
  </si>
  <si>
    <t>SI - 25 Jul.</t>
  </si>
  <si>
    <t>043/07 BBR</t>
  </si>
  <si>
    <t xml:space="preserve">AEREO </t>
  </si>
  <si>
    <r>
      <t xml:space="preserve">83 valvulas - </t>
    </r>
    <r>
      <rPr>
        <b/>
        <sz val="8"/>
        <color indexed="12"/>
        <rFont val="Arial"/>
        <family val="2"/>
      </rPr>
      <t xml:space="preserve"> - ENVIA GAMMA</t>
    </r>
  </si>
  <si>
    <t>G328487</t>
  </si>
  <si>
    <t>con carga</t>
  </si>
  <si>
    <t>SI - 07 Ago.</t>
  </si>
  <si>
    <t>Frota Rios</t>
  </si>
  <si>
    <t>SI - 10 Sep.</t>
  </si>
  <si>
    <t>SI - 7/11 - multa: U$ 2554,93</t>
  </si>
  <si>
    <t>Demora por falta de materia prima (laton - mail 13/07 E. Urien) - De esta PCS se eliminaron 15 bombas (item 100), informado el 19/07 por mail. Nos informan que se rompio el buque ("Frota manaos": fecha: 02/08). Nos pasan al buque "Frota Rios" del 11/08.  Recien cargan nuestro contenedor el 15/08 (mail 15/8)</t>
  </si>
  <si>
    <t>Autorizada</t>
  </si>
  <si>
    <t>SI - 7/11 - multa: U$ 1820,85</t>
  </si>
  <si>
    <t>Demora por falta de materia prima (laton - mail 13/07 E. Urien). Nos informan que se rompio el buque ("Frota manaos": fecha: 02/08). Nos pasan al buque "Frota Rios" del 11/08.  Recien cargan nuestro contenedor el 15/08 (mail 15/8)</t>
  </si>
  <si>
    <t>60 pistones</t>
  </si>
  <si>
    <t>SI - 7/11</t>
  </si>
  <si>
    <t>Nos informan que se rompio el buque ("Frota manaos": fecha: 02/08). Nos pasan al buque "Frota Rios" del 11/08.   Recien cargan nuestro contenedor el 15/08 (mail 15/8)</t>
  </si>
  <si>
    <t>005/07 BBR</t>
  </si>
  <si>
    <t>18-19/7</t>
  </si>
  <si>
    <t>Nos informan que se rompio el buque ("Frota manaos": fecha: 02/08). Nos pasan al buque "Frota Rios" del 11/08.  Recien cargan nuestro contenedor el 15/08 (mail 15/8)</t>
  </si>
  <si>
    <t>027/07 BBR</t>
  </si>
  <si>
    <r>
      <t>Repuestos -</t>
    </r>
    <r>
      <rPr>
        <sz val="8"/>
        <color indexed="12"/>
        <rFont val="Arial"/>
        <family val="2"/>
      </rPr>
      <t xml:space="preserve"> 1° ENVIO</t>
    </r>
  </si>
  <si>
    <t>Sal. desde Deseado</t>
  </si>
  <si>
    <t>SI - 12 Sep.</t>
  </si>
  <si>
    <r>
      <t>Repuestos -</t>
    </r>
    <r>
      <rPr>
        <sz val="8"/>
        <color indexed="12"/>
        <rFont val="Arial"/>
        <family val="2"/>
      </rPr>
      <t xml:space="preserve"> ENTREGAR AL FORWARDER (JAS)</t>
    </r>
  </si>
  <si>
    <t>SI - 07 Sep.</t>
  </si>
  <si>
    <t>016/07 BBR</t>
  </si>
  <si>
    <t>Retraso en la salida por la inspeccion (V.Veritas recien puede ir el 21/08). Petrobras adelanto la inspeccion para el 14/08.</t>
  </si>
  <si>
    <t>041/07 BBR</t>
  </si>
  <si>
    <t>3 bombas para la Universidad</t>
  </si>
  <si>
    <t>SI - 7/11 - multa: U$ 4544.59</t>
  </si>
  <si>
    <r>
      <t xml:space="preserve">Retraso en la salida por la inspeccion (V.Veritas recien puede ir el 21/08). Petrobras adelanto la inspeccion para el 14/08. - </t>
    </r>
    <r>
      <rPr>
        <sz val="8"/>
        <color indexed="10"/>
        <rFont val="Arial"/>
        <family val="2"/>
      </rPr>
      <t>PCS perdida</t>
    </r>
  </si>
  <si>
    <r>
      <t xml:space="preserve">Repuestos - </t>
    </r>
    <r>
      <rPr>
        <sz val="8"/>
        <color indexed="12"/>
        <rFont val="Arial"/>
        <family val="2"/>
      </rPr>
      <t>ENTREGAR AL FORWARDER (JAS)</t>
    </r>
  </si>
  <si>
    <t>042/07 BBR</t>
  </si>
  <si>
    <r>
      <t xml:space="preserve">2400 anillos - </t>
    </r>
    <r>
      <rPr>
        <b/>
        <sz val="8"/>
        <color indexed="12"/>
        <rFont val="Arial"/>
        <family val="2"/>
      </rPr>
      <t xml:space="preserve"> - ENVIA GAMMA</t>
    </r>
  </si>
  <si>
    <t>G328529</t>
  </si>
  <si>
    <t>SI - 28 Sep.</t>
  </si>
  <si>
    <t>Frota Manaos</t>
  </si>
  <si>
    <t>162 bombas</t>
  </si>
  <si>
    <t>SI - 1 Nov.</t>
  </si>
  <si>
    <t>SI - 12 Dic. - multa: U$1301,28</t>
  </si>
  <si>
    <t>Nos informa Luis que del 28/9 se postergo la salida al 05/10, y se cambio nuevamente de barco ya que el mismo no ingresa a Salvador, nueva fecha 08/10.</t>
  </si>
  <si>
    <t>142 bombas</t>
  </si>
  <si>
    <t>SI - 01 Nov.</t>
  </si>
  <si>
    <t>SI-12 Dic. - multa: U$ 2.924,58</t>
  </si>
  <si>
    <t xml:space="preserve">MARITIMO </t>
  </si>
  <si>
    <t>SI-12 Dic. - multa: U$ 61,37</t>
  </si>
  <si>
    <t>MARÍTIMO</t>
  </si>
  <si>
    <r>
      <t xml:space="preserve">102 vástagos </t>
    </r>
    <r>
      <rPr>
        <sz val="8"/>
        <color indexed="12"/>
        <rFont val="Arial"/>
        <family val="2"/>
      </rPr>
      <t>- 7° ENVIO - GLOBAL DE VÁSTAGOS</t>
    </r>
  </si>
  <si>
    <t>SI - Dic. 2008</t>
  </si>
  <si>
    <t>023/07 BBR</t>
  </si>
  <si>
    <t>10 Pistones(Aracaju) + 150 copas (S. Mateus)</t>
  </si>
  <si>
    <t>052/07 BBR</t>
  </si>
  <si>
    <t>Pedido Petrobras N° 4501684793</t>
  </si>
  <si>
    <t>2 pescadores + 2 copas</t>
  </si>
  <si>
    <t>039/07 BBR</t>
  </si>
  <si>
    <r>
      <t>5 bombas para</t>
    </r>
    <r>
      <rPr>
        <sz val="8"/>
        <color indexed="12"/>
        <rFont val="Arial"/>
        <family val="2"/>
      </rPr>
      <t xml:space="preserve"> </t>
    </r>
    <r>
      <rPr>
        <b/>
        <sz val="8"/>
        <color indexed="12"/>
        <rFont val="Arial"/>
        <family val="2"/>
      </rPr>
      <t>KOCH</t>
    </r>
  </si>
  <si>
    <r>
      <t xml:space="preserve">Repuestos (39 vástagos) - </t>
    </r>
    <r>
      <rPr>
        <sz val="8"/>
        <color indexed="12"/>
        <rFont val="Arial"/>
        <family val="2"/>
      </rPr>
      <t>2° ENVIO</t>
    </r>
  </si>
  <si>
    <t>036/07 BBR</t>
  </si>
  <si>
    <t>Pedido Petrobras N° 4501488391</t>
  </si>
  <si>
    <t>004/07 BBR</t>
  </si>
  <si>
    <t>Pedido Petrobras N° 4501451645</t>
  </si>
  <si>
    <t>Docs con la carga</t>
  </si>
  <si>
    <t>SI - 23-Oct.</t>
  </si>
  <si>
    <t>SI - 26 Dic. -Multa:U$ 620,43</t>
  </si>
  <si>
    <t>Esta PO vencio en Mayo. PO perdida</t>
  </si>
  <si>
    <t>Frotamacau</t>
  </si>
  <si>
    <t>16 bombas + fittings</t>
  </si>
  <si>
    <t>10,11y12/10</t>
  </si>
  <si>
    <t>SI - 26 Dic. - Multa U$ 620,43</t>
  </si>
  <si>
    <t>El buque del 26/10 se paso al 28/10, hoy 18/10 nos informan que el buque se paso al 20/10-PCS perdida</t>
  </si>
  <si>
    <t>Alianza Brasil</t>
  </si>
  <si>
    <t>85 bombas</t>
  </si>
  <si>
    <t>SI - 13 Nov.</t>
  </si>
  <si>
    <t>SI - 18 Ene. - Multa U$ 1.174,25</t>
  </si>
  <si>
    <t>Nos informan que el buque "Flamengo" no salio y pasa al buque Alianca Brasil el 02 de Nov. (mail de Luis 30/10)</t>
  </si>
  <si>
    <t>037/07 BBR</t>
  </si>
  <si>
    <t>Pedido Petrobras N° 4501634502</t>
  </si>
  <si>
    <t>045/07 BBR</t>
  </si>
  <si>
    <t>Pedido Petrobras N° 4501703110</t>
  </si>
  <si>
    <t>28+7=35 bombas</t>
  </si>
  <si>
    <t>053/07 BBR</t>
  </si>
  <si>
    <r>
      <t>15 bombas</t>
    </r>
    <r>
      <rPr>
        <sz val="8"/>
        <color indexed="12"/>
        <rFont val="Arial"/>
        <family val="2"/>
      </rPr>
      <t xml:space="preserve"> - PETRORECONCAVO</t>
    </r>
  </si>
  <si>
    <t>150 copas</t>
  </si>
  <si>
    <t>SI - 19 Nov.</t>
  </si>
  <si>
    <t>SI - 23 Ene. - Multa U$ 9,87</t>
  </si>
  <si>
    <t>034/07 BBR</t>
  </si>
  <si>
    <t>Pedido Petrobras N° 4501737099</t>
  </si>
  <si>
    <t>30 + 6 = 36 bombas</t>
  </si>
  <si>
    <t>SI - 07 Dic.</t>
  </si>
  <si>
    <t>SI - 25 Nov.</t>
  </si>
  <si>
    <t>SI - 07 Feb.</t>
  </si>
  <si>
    <t>10 bombas + fittings</t>
  </si>
  <si>
    <t>SI -  10 Ene.</t>
  </si>
  <si>
    <t>TAM 8003</t>
  </si>
  <si>
    <t>200 copas</t>
  </si>
  <si>
    <t>SI - 14 Ene. (Problemas para sacar la carga de la aduana)</t>
  </si>
  <si>
    <t>SI - 19 Feb. - Multa: U$ 27,32</t>
  </si>
  <si>
    <t>Esta PO vencio en Octubre.  PO perdida</t>
  </si>
  <si>
    <t>029/07 BRB</t>
  </si>
  <si>
    <t>4600239573 (GLOBAL 2007)</t>
  </si>
  <si>
    <t>Alianza Pampas</t>
  </si>
  <si>
    <r>
      <t>33 vastagos -</t>
    </r>
    <r>
      <rPr>
        <sz val="8"/>
        <color indexed="12"/>
        <rFont val="Arial"/>
        <family val="2"/>
      </rPr>
      <t xml:space="preserve"> 1° ENVIO</t>
    </r>
  </si>
  <si>
    <t>SI - 18 Feb.</t>
  </si>
  <si>
    <t>SI - 2 May.</t>
  </si>
  <si>
    <t>4 bombas + fittings</t>
  </si>
  <si>
    <t>21 al 23/11</t>
  </si>
  <si>
    <t>SI - 20 Dic.</t>
  </si>
  <si>
    <t>SI - 20 Feb.</t>
  </si>
  <si>
    <t>20 bombas + fittings</t>
  </si>
  <si>
    <t>SI - 20 Feb. - Multa:  U$ 6.546,39</t>
  </si>
  <si>
    <t>PO perdida</t>
  </si>
  <si>
    <t>Si - 7 May.</t>
  </si>
  <si>
    <t>066/07 BBR</t>
  </si>
  <si>
    <t>Cotiz. Petrobras N° 7000114748</t>
  </si>
  <si>
    <t>Si - 07 Dic.</t>
  </si>
  <si>
    <t>Arrow Air</t>
  </si>
  <si>
    <r>
      <t xml:space="preserve">100 valvulas  </t>
    </r>
    <r>
      <rPr>
        <b/>
        <sz val="8"/>
        <color indexed="12"/>
        <rFont val="Arial"/>
        <family val="2"/>
      </rPr>
      <t>- ENVIA GAMMA</t>
    </r>
  </si>
  <si>
    <t>G328563</t>
  </si>
  <si>
    <t>SI - 19 Dic.</t>
  </si>
  <si>
    <t>071/07 BBR</t>
  </si>
  <si>
    <r>
      <t xml:space="preserve">300 valvulas  </t>
    </r>
    <r>
      <rPr>
        <b/>
        <sz val="8"/>
        <color indexed="12"/>
        <rFont val="Arial"/>
        <family val="2"/>
      </rPr>
      <t>- ENVIA GAMMA</t>
    </r>
  </si>
  <si>
    <t>G328578</t>
  </si>
  <si>
    <t>SI - 07 Ene.</t>
  </si>
  <si>
    <t>Alianza Pampas - Pto. Deseado</t>
  </si>
  <si>
    <t>22 bombas + Fittings</t>
  </si>
  <si>
    <t>26al28/12</t>
  </si>
  <si>
    <t>SI - 24 Ene.</t>
  </si>
  <si>
    <t>34 bombas</t>
  </si>
  <si>
    <t>8 bombas + fittings</t>
  </si>
  <si>
    <t>058/07 BBR</t>
  </si>
  <si>
    <t>Pedido Petrobras N° 4501833063</t>
  </si>
  <si>
    <t>SI - 22 Feb.</t>
  </si>
  <si>
    <t>063/07 BBR</t>
  </si>
  <si>
    <t>Pedido Petrobras N° 4501855711</t>
  </si>
  <si>
    <t>25 bombas + fittings</t>
  </si>
  <si>
    <t>15 bombas + fittings</t>
  </si>
  <si>
    <t>15 al 18/1</t>
  </si>
  <si>
    <t>SI - 12 Feb.</t>
  </si>
  <si>
    <r>
      <t>68 vastagos -</t>
    </r>
    <r>
      <rPr>
        <sz val="8"/>
        <color indexed="12"/>
        <rFont val="Arial"/>
        <family val="2"/>
      </rPr>
      <t xml:space="preserve"> 3° ENVIO</t>
    </r>
  </si>
  <si>
    <t>SI - 2 May. - Multa: U$ 965,53</t>
  </si>
  <si>
    <r>
      <t>145 vastagos -</t>
    </r>
    <r>
      <rPr>
        <sz val="8"/>
        <color indexed="12"/>
        <rFont val="Arial"/>
        <family val="2"/>
      </rPr>
      <t xml:space="preserve"> 2° ENVIO</t>
    </r>
  </si>
  <si>
    <t>SI - 14 May. - Multa:  U$ 2758</t>
  </si>
  <si>
    <t>Petrobras N° 4501454735</t>
  </si>
  <si>
    <r>
      <t xml:space="preserve">84 vástagos </t>
    </r>
    <r>
      <rPr>
        <sz val="8"/>
        <color indexed="12"/>
        <rFont val="Arial"/>
        <family val="2"/>
      </rPr>
      <t>- 8° ENVIO - GLOBAL DE VÁSTAGOS</t>
    </r>
  </si>
  <si>
    <t>SI - 10 Mar.</t>
  </si>
  <si>
    <t>Si - Dic. 2008</t>
  </si>
  <si>
    <t>Esta PO venció el 20/4/07. PO perdida</t>
  </si>
  <si>
    <t>Petrobras N° 4501535468</t>
  </si>
  <si>
    <r>
      <t xml:space="preserve">57 vástagos </t>
    </r>
    <r>
      <rPr>
        <sz val="8"/>
        <color indexed="12"/>
        <rFont val="Arial"/>
        <family val="2"/>
      </rPr>
      <t>- 9° ENVIO - GLOBAL DE VÁSTAGOS</t>
    </r>
  </si>
  <si>
    <t>Esta PO venció el 25/5/07. PO perdida</t>
  </si>
  <si>
    <t>Petrobras N° 4501584941</t>
  </si>
  <si>
    <r>
      <t xml:space="preserve">127 vástagos </t>
    </r>
    <r>
      <rPr>
        <sz val="8"/>
        <color indexed="12"/>
        <rFont val="Arial"/>
        <family val="2"/>
      </rPr>
      <t>- 10° ENVIO - GLOBAL DE VÁSTAGOS</t>
    </r>
  </si>
  <si>
    <t>Esta PO venció el 20/6/07. PO perdida</t>
  </si>
  <si>
    <t>120-10-0069/04 (GLOBAL 2004) - 4600008711</t>
  </si>
  <si>
    <t>Repuestos (valvulas)</t>
  </si>
  <si>
    <r>
      <t>PCS perdida -</t>
    </r>
    <r>
      <rPr>
        <sz val="8"/>
        <color indexed="10"/>
        <rFont val="Arial"/>
        <family val="2"/>
      </rPr>
      <t xml:space="preserve"> </t>
    </r>
    <r>
      <rPr>
        <b/>
        <sz val="8"/>
        <color indexed="10"/>
        <rFont val="Arial"/>
        <family val="2"/>
      </rPr>
      <t>PCS CANCELADA</t>
    </r>
  </si>
  <si>
    <r>
      <t xml:space="preserve">Se adelanto el pedido a Planificacion, pero no se pudo distribuir la PCS ya que esta incorrecta, se pidio la correccion.  Recibida OK el 28/3 </t>
    </r>
    <r>
      <rPr>
        <b/>
        <sz val="8"/>
        <color indexed="10"/>
        <rFont val="Arial"/>
        <family val="2"/>
      </rPr>
      <t>PCS CANCELADA</t>
    </r>
  </si>
  <si>
    <t>082/07 BBR</t>
  </si>
  <si>
    <t>Petrobras N° 4501945570</t>
  </si>
  <si>
    <r>
      <t>25 valvulas</t>
    </r>
    <r>
      <rPr>
        <b/>
        <sz val="8"/>
        <color indexed="12"/>
        <rFont val="Arial"/>
        <family val="2"/>
      </rPr>
      <t xml:space="preserve"> - ENVIA GAMMA</t>
    </r>
  </si>
  <si>
    <t>G328592</t>
  </si>
  <si>
    <t>con la carga   -  404-1029-9936</t>
  </si>
  <si>
    <t>Se demora el envio por el carnaval en Brasil.</t>
  </si>
  <si>
    <t>Alianza Urca - Pto. Deaseado</t>
  </si>
  <si>
    <t>113 bombas</t>
  </si>
  <si>
    <t>SI - 10 May.</t>
  </si>
  <si>
    <t>SI - 11  Jun. - Multa:  U$ 825</t>
  </si>
  <si>
    <t>La PCS se envio a la Planta para comenzar con la fabricacion pero aun no esta la orden corregida. Llego corregida el 13/02</t>
  </si>
  <si>
    <t>18 bombas + fittings</t>
  </si>
  <si>
    <t>SI - 17 Jun. - Multa:  U$ 129,03</t>
  </si>
  <si>
    <t>009/08 BBR</t>
  </si>
  <si>
    <t>Petrobras N° 4502039604</t>
  </si>
  <si>
    <r>
      <t xml:space="preserve">150 valvulas  </t>
    </r>
    <r>
      <rPr>
        <b/>
        <sz val="8"/>
        <color indexed="12"/>
        <rFont val="Arial"/>
        <family val="2"/>
      </rPr>
      <t>- ENVIA GAMMA</t>
    </r>
  </si>
  <si>
    <t>C08053</t>
  </si>
  <si>
    <t>SI - 19 May.</t>
  </si>
  <si>
    <t>Petrobras N° 4502108945</t>
  </si>
  <si>
    <t xml:space="preserve">AÉREO </t>
  </si>
  <si>
    <r>
      <t xml:space="preserve">100 válvulas  </t>
    </r>
    <r>
      <rPr>
        <b/>
        <sz val="8"/>
        <color indexed="12"/>
        <rFont val="Arial"/>
        <family val="2"/>
      </rPr>
      <t>- ENVÍA GAMMA</t>
    </r>
  </si>
  <si>
    <t>F08014</t>
  </si>
  <si>
    <t>Si - 30 Jun.</t>
  </si>
  <si>
    <t>Petrobras N° 4502101790</t>
  </si>
  <si>
    <r>
      <t xml:space="preserve">180 válvulas  </t>
    </r>
    <r>
      <rPr>
        <b/>
        <sz val="8"/>
        <color indexed="12"/>
        <rFont val="Arial"/>
        <family val="2"/>
      </rPr>
      <t>- ENVÍA GAMMA</t>
    </r>
  </si>
  <si>
    <t>9 y 10 de Abril</t>
  </si>
  <si>
    <t>lleva en mano Pigni</t>
  </si>
  <si>
    <t>SI - 23 May.</t>
  </si>
  <si>
    <t>Si - 15 de Jul.</t>
  </si>
  <si>
    <t>La PCS se envio a la Planta para comenzar con la fabricacion pero aun no esta la orden corregida.- Recibida el 27 de Feb.</t>
  </si>
  <si>
    <t>12 nipples</t>
  </si>
  <si>
    <t>SI - 17 de Jul. - Multa:  U$ 69,50</t>
  </si>
  <si>
    <r>
      <t xml:space="preserve">La PCS se envio a la Planta para comenzar con la fabricacion pero aun no esta la orden corregida. </t>
    </r>
    <r>
      <rPr>
        <sz val="8"/>
        <color indexed="10"/>
        <rFont val="Arial"/>
        <family val="2"/>
      </rPr>
      <t>PCS perdida</t>
    </r>
  </si>
  <si>
    <t>Si - 17 May.</t>
  </si>
  <si>
    <t>SI - 01 Ago. - Multa: U$ 419,39</t>
  </si>
  <si>
    <t>SI - 11 Agos - multa: U$ 104,97</t>
  </si>
  <si>
    <t>PCS perdida</t>
  </si>
  <si>
    <t>018/08 BBR</t>
  </si>
  <si>
    <t>Petrobras N° 4502085865</t>
  </si>
  <si>
    <t>Alianza Urca - Pto. Deseado</t>
  </si>
  <si>
    <t>SI - 30 Jun.</t>
  </si>
  <si>
    <t>008/08 BBR</t>
  </si>
  <si>
    <t>Petrobras N° 4502070491</t>
  </si>
  <si>
    <t>17 bombas + fittings</t>
  </si>
  <si>
    <t>017/08 BBR</t>
  </si>
  <si>
    <t>Koch 121-122-123/08</t>
  </si>
  <si>
    <r>
      <t xml:space="preserve">3 bombas - </t>
    </r>
    <r>
      <rPr>
        <sz val="8"/>
        <color indexed="12"/>
        <rFont val="Arial"/>
        <family val="2"/>
      </rPr>
      <t>KOCH</t>
    </r>
  </si>
  <si>
    <t>Alianza Pampas V.63 - desde Deseado</t>
  </si>
  <si>
    <t>8 de Mayo</t>
  </si>
  <si>
    <t>SI - 31 Jul. - Multa: U$ 548,64</t>
  </si>
  <si>
    <t>Atraso de buque: del 18/05 al 22/05, del 22/5 al 25/5, del 25/05 la 29/05 y del 29/5 al 30/5 por mal tiempo (mail de Luis 26/05/08)</t>
  </si>
  <si>
    <t>SI - 11 Agos - Multa: U$ 277,62</t>
  </si>
  <si>
    <t>022/08 BBR</t>
  </si>
  <si>
    <t>Petrobras N° 4502158284</t>
  </si>
  <si>
    <t>40 pescadores</t>
  </si>
  <si>
    <t>SI - 11 Jul.</t>
  </si>
  <si>
    <t>028/08 BBR</t>
  </si>
  <si>
    <t>Petrobras N° 4502157042</t>
  </si>
  <si>
    <t>40 válvulas</t>
  </si>
  <si>
    <t>SI - 14 Jul.</t>
  </si>
  <si>
    <t>Frotasantos - desde Bue</t>
  </si>
  <si>
    <t>9 y 10 Junio</t>
  </si>
  <si>
    <t>SI - 31 Jul.</t>
  </si>
  <si>
    <t>SI - 27 Ago. - Multa: U$ 52,87</t>
  </si>
  <si>
    <t>024/08 BBR</t>
  </si>
  <si>
    <t>Petrobras N° 4502158623</t>
  </si>
  <si>
    <t>SI - 24 Jul.</t>
  </si>
  <si>
    <t>SI - 30 jun.</t>
  </si>
  <si>
    <t>034/08 BBR</t>
  </si>
  <si>
    <t>Petrobras N° 4502144519</t>
  </si>
  <si>
    <t>70 válvulas</t>
  </si>
  <si>
    <t>Si - 29 Jul.</t>
  </si>
  <si>
    <t>033/08 BBR</t>
  </si>
  <si>
    <t>Koch 185-08</t>
  </si>
  <si>
    <r>
      <t xml:space="preserve">30 bombas + fittings </t>
    </r>
    <r>
      <rPr>
        <sz val="8"/>
        <color indexed="12"/>
        <rFont val="Arial"/>
        <family val="2"/>
      </rPr>
      <t>- KOCH</t>
    </r>
  </si>
  <si>
    <t>031/08 BBR</t>
  </si>
  <si>
    <t>Petrobras N° 4502200747</t>
  </si>
  <si>
    <r>
      <t xml:space="preserve">40 válvulas - </t>
    </r>
    <r>
      <rPr>
        <sz val="8"/>
        <color indexed="12"/>
        <rFont val="Arial"/>
        <family val="2"/>
      </rPr>
      <t>SE ENVÍAN DESDE TANTAL</t>
    </r>
  </si>
  <si>
    <t>68 bombas</t>
  </si>
  <si>
    <t>Si - 31 Jul.</t>
  </si>
  <si>
    <t>SI - 27 Ago. - Multa: U$ 13.193,71</t>
  </si>
  <si>
    <t>SI - 28 Ago.</t>
  </si>
  <si>
    <t>Se adelanto el pedido a Planificación, pero no se pudo distribuir la PCS ya que esta incorrecta, se pidió la corrección.  Recibida OK el 28/3</t>
  </si>
  <si>
    <t>SI - 28 Ago. - Multa U$ 21,33</t>
  </si>
  <si>
    <t>Se adelanto el pedido a Planificación, pero no se pudo distribuir la PCS ya que esta incorrecta, se pidió la corrección.   Recibida OK el 28/3. Se junto la PCS 4502057475 con esta PCS</t>
  </si>
  <si>
    <t>029/07 BBR</t>
  </si>
  <si>
    <r>
      <t>150 vástagos -</t>
    </r>
    <r>
      <rPr>
        <sz val="8"/>
        <color indexed="12"/>
        <rFont val="Arial"/>
        <family val="2"/>
      </rPr>
      <t xml:space="preserve"> 4° ENVIO</t>
    </r>
  </si>
  <si>
    <t>SI - 17 Jul.</t>
  </si>
  <si>
    <t>SI - 11 Nov. - Multa de almacenaje:  U$ 1639,49</t>
  </si>
  <si>
    <t>Se cobra una multa de almacenaje, mail enviado el 12/11 por Pigni a Kaneshiro</t>
  </si>
  <si>
    <t>12 bombas + fittings</t>
  </si>
  <si>
    <t>SI - 31  Jul.</t>
  </si>
  <si>
    <t>SI - 27 Nov. - Multa U$ 134,91 + almacenaje</t>
  </si>
  <si>
    <t>Se cobra una multa de almacenaje, mail enviado el 18/11 por Jorge (U$ 40,39)</t>
  </si>
  <si>
    <t>Petrobras N° 4502197319</t>
  </si>
  <si>
    <t>F08011</t>
  </si>
  <si>
    <t>SI - 13 Agos.</t>
  </si>
  <si>
    <t>011/08 BPB</t>
  </si>
  <si>
    <t>4600264170 (GLOBAL REPUESTOS 2008)</t>
  </si>
  <si>
    <t>Frotasantos</t>
  </si>
  <si>
    <t>SI - 30 Agos.</t>
  </si>
  <si>
    <t>SI - 27 Nov. - Pagado $ 6.769</t>
  </si>
  <si>
    <t>Se desconto U$ 794,95 referente al pago de impuestos de importacion (por retraso en los documentos) y U$ 132,44 por amacenaje, por lo tanto quedaria U$ 6.769,04 (este valor se pago)</t>
  </si>
  <si>
    <r>
      <t>20 vástagos -</t>
    </r>
    <r>
      <rPr>
        <sz val="8"/>
        <color indexed="12"/>
        <rFont val="Arial"/>
        <family val="2"/>
      </rPr>
      <t xml:space="preserve"> 5° ENVIO</t>
    </r>
  </si>
  <si>
    <t>SI - 5 Nov.</t>
  </si>
  <si>
    <t>Petrobras nos da prorroga en el plazo de entrega</t>
  </si>
  <si>
    <t>SI - 16 Dic. - Diferencia U$ 15</t>
  </si>
  <si>
    <t>029/07 BPB</t>
  </si>
  <si>
    <r>
      <t>110 vástagos -</t>
    </r>
    <r>
      <rPr>
        <sz val="8"/>
        <color indexed="12"/>
        <rFont val="Arial"/>
        <family val="2"/>
      </rPr>
      <t xml:space="preserve"> 7° ENVIO</t>
    </r>
  </si>
  <si>
    <t>SI - 16 Dic. - Diferencia U$ 1487,52</t>
  </si>
  <si>
    <t>030/08 BBR</t>
  </si>
  <si>
    <t>Petrobras N° 4502212953</t>
  </si>
  <si>
    <r>
      <t xml:space="preserve">350 vástagos - </t>
    </r>
    <r>
      <rPr>
        <sz val="8"/>
        <color indexed="12"/>
        <rFont val="Arial"/>
        <family val="2"/>
      </rPr>
      <t>1° ENVIO de 100 vástagos</t>
    </r>
  </si>
  <si>
    <t>SI - 29 Agos.</t>
  </si>
  <si>
    <t>Alianca pampas - Pto. Deseado</t>
  </si>
  <si>
    <r>
      <t>120 vástagos -</t>
    </r>
    <r>
      <rPr>
        <sz val="8"/>
        <color indexed="12"/>
        <rFont val="Arial"/>
        <family val="2"/>
      </rPr>
      <t xml:space="preserve"> 8° ENVIO</t>
    </r>
  </si>
  <si>
    <t>El ítem 2 de esta PCS no se podrá entregar debido a la falta de materia prima, ya se le informo a Petrobras, ya que se han sobre pasado del pedido global de este ítem.  Petrobras nos da prorroga en el plazo de entrega</t>
  </si>
  <si>
    <r>
      <t>150 vástagos -</t>
    </r>
    <r>
      <rPr>
        <sz val="8"/>
        <color indexed="12"/>
        <rFont val="Arial"/>
        <family val="2"/>
      </rPr>
      <t xml:space="preserve"> 6° ENVIO</t>
    </r>
  </si>
  <si>
    <t>SI - 20 Ene. - Multa U$ 458,70</t>
  </si>
  <si>
    <t>032/08 BBR</t>
  </si>
  <si>
    <t>Petrobras N° 4502214972</t>
  </si>
  <si>
    <t>46 bombas</t>
  </si>
  <si>
    <t>07 Agos.</t>
  </si>
  <si>
    <t>SI - 24 Oct.</t>
  </si>
  <si>
    <t>PCS recibida el 11 de Julio</t>
  </si>
  <si>
    <t>059/08 BBR</t>
  </si>
  <si>
    <t>Petrobras N° 4502333721</t>
  </si>
  <si>
    <t>2 bombas + fittings</t>
  </si>
  <si>
    <t>043/08 BBR</t>
  </si>
  <si>
    <t>Petrobras N° 4502321284 (GLOBAL DE VÁLVULAS)</t>
  </si>
  <si>
    <r>
      <t xml:space="preserve">150 válvulas - </t>
    </r>
    <r>
      <rPr>
        <sz val="8"/>
        <color indexed="12"/>
        <rFont val="Arial"/>
        <family val="2"/>
      </rPr>
      <t>SE ENVÍAN DESDE TANTAL</t>
    </r>
  </si>
  <si>
    <t>060/08 BBR</t>
  </si>
  <si>
    <t>Petrobras N° 4502350973</t>
  </si>
  <si>
    <t>10 vástagos</t>
  </si>
  <si>
    <t>063/08 BBR</t>
  </si>
  <si>
    <t>Petrobras N° 4502361680/4502357810</t>
  </si>
  <si>
    <t>SAO MATEUS / BAHIA</t>
  </si>
  <si>
    <t>2 bombas y fittings</t>
  </si>
  <si>
    <t>Petrobras N° 4502350383 (GLOBAL DE VÁLVULAS)</t>
  </si>
  <si>
    <t>con la carga - SDV 113972</t>
  </si>
  <si>
    <t>056/08 BBR</t>
  </si>
  <si>
    <t>Petrobras N° 4502345851/ 4502378988/ 4502378112</t>
  </si>
  <si>
    <r>
      <t xml:space="preserve">56 copas y 21 válvulas - </t>
    </r>
    <r>
      <rPr>
        <sz val="8"/>
        <color indexed="12"/>
        <rFont val="Arial"/>
        <family val="2"/>
      </rPr>
      <t>SE ENVÍAN DESDE TANTAL</t>
    </r>
  </si>
  <si>
    <t>La PCS de Petrobras solicita 25 válvulas pero Bolland do Brasil tiene en su stock 6, por lo tanto solicitan solo 19 válvulas</t>
  </si>
  <si>
    <t>Log-In Santos</t>
  </si>
  <si>
    <t>120 vástagos FALTANTES</t>
  </si>
  <si>
    <t>SI - 6 Feb.</t>
  </si>
  <si>
    <t>A pedido de Petrobras se va a enviar el 2 item.  08 de Octubre: avisan que se modifica el buque, del Log-in Amazonia (salida: 10/10) pasa a Log in Santos (salida: 18/10)</t>
  </si>
  <si>
    <t>Cap. Norte V.142</t>
  </si>
  <si>
    <r>
      <t>100 vástagos -</t>
    </r>
    <r>
      <rPr>
        <sz val="8"/>
        <color indexed="12"/>
        <rFont val="Arial"/>
        <family val="2"/>
      </rPr>
      <t xml:space="preserve"> 9° ENVIO</t>
    </r>
  </si>
  <si>
    <t>SI - 4 Feb.</t>
  </si>
  <si>
    <t>SI - 27 Feb.</t>
  </si>
  <si>
    <t>071/08 BBR</t>
  </si>
  <si>
    <t>Petrobras N° 4502436359</t>
  </si>
  <si>
    <t>35 pescadores</t>
  </si>
  <si>
    <t>SI - 5 Feb.</t>
  </si>
  <si>
    <r>
      <t xml:space="preserve">350 vástagos - </t>
    </r>
    <r>
      <rPr>
        <sz val="8"/>
        <color indexed="12"/>
        <rFont val="Arial"/>
        <family val="2"/>
      </rPr>
      <t>2° ENVIO de 250 vástagos</t>
    </r>
  </si>
  <si>
    <t>SI - 30 Ene.</t>
  </si>
  <si>
    <t>SI - Dic. 2009</t>
  </si>
  <si>
    <t>Petrobras N° 4502400188 (GLOBAL DE VÁLVULAS)</t>
  </si>
  <si>
    <r>
      <t xml:space="preserve">180 válvulas - </t>
    </r>
    <r>
      <rPr>
        <sz val="8"/>
        <color indexed="12"/>
        <rFont val="Arial"/>
        <family val="2"/>
      </rPr>
      <t>SE ENVÍAN DESDE TANTAL</t>
    </r>
  </si>
  <si>
    <t>SI - 26 Ene.</t>
  </si>
  <si>
    <t>079/08 BBR</t>
  </si>
  <si>
    <t>Petroreconcavo</t>
  </si>
  <si>
    <r>
      <t xml:space="preserve">4 bombas </t>
    </r>
    <r>
      <rPr>
        <b/>
        <sz val="8"/>
        <color indexed="12"/>
        <rFont val="Arial"/>
        <family val="2"/>
      </rPr>
      <t>- PARA PETRORECONCAVO</t>
    </r>
  </si>
  <si>
    <r>
      <t xml:space="preserve">11 bombas - </t>
    </r>
    <r>
      <rPr>
        <b/>
        <sz val="8"/>
        <color indexed="12"/>
        <rFont val="Arial"/>
        <family val="2"/>
      </rPr>
      <t>ADICIONES</t>
    </r>
  </si>
  <si>
    <t>080/08 BBR</t>
  </si>
  <si>
    <t>Petrobras N° 4502488800 / 4502492025</t>
  </si>
  <si>
    <t>Log-In Rio V.006N</t>
  </si>
  <si>
    <t xml:space="preserve">651 0425 390 </t>
  </si>
  <si>
    <t>SI - 23 Ab.</t>
  </si>
  <si>
    <t>049/08 BPB</t>
  </si>
  <si>
    <t>4600279670 (GLOBAL 2008)</t>
  </si>
  <si>
    <r>
      <t>190 vástagos -</t>
    </r>
    <r>
      <rPr>
        <sz val="8"/>
        <color indexed="12"/>
        <rFont val="Arial"/>
        <family val="2"/>
      </rPr>
      <t xml:space="preserve"> 1° ENVIO</t>
    </r>
  </si>
  <si>
    <t>Petrobras N° 4502484522 (GLOBAL DE VÁLVULAS)</t>
  </si>
  <si>
    <t xml:space="preserve">MARITIMO O AÉREO </t>
  </si>
  <si>
    <t>SI - 16 Mar.</t>
  </si>
  <si>
    <t>Petrobras N° 4502502718 (GLOBAL DE VÁLVULAS)</t>
  </si>
  <si>
    <r>
      <t xml:space="preserve">100 válvulas - </t>
    </r>
    <r>
      <rPr>
        <sz val="8"/>
        <color indexed="12"/>
        <rFont val="Arial"/>
        <family val="2"/>
      </rPr>
      <t>SE ENVÍAN DESDE TANTAL</t>
    </r>
  </si>
  <si>
    <t>Petrobras N° 4502532759 (GLOBAL DE VÁLVULAS)</t>
  </si>
  <si>
    <t>105/08 BPB</t>
  </si>
  <si>
    <t>4600287735 (GLOBAL 2008)</t>
  </si>
  <si>
    <t>3 Jun.</t>
  </si>
  <si>
    <r>
      <t>PCS perdida</t>
    </r>
    <r>
      <rPr>
        <sz val="8"/>
        <rFont val="Arial"/>
        <family val="2"/>
      </rPr>
      <t xml:space="preserve"> (recibida el 4 de Mayo), se pidio la modificacion en la fecha de vencimiento. - </t>
    </r>
    <r>
      <rPr>
        <sz val="8"/>
        <color indexed="10"/>
        <rFont val="Arial"/>
        <family val="2"/>
      </rPr>
      <t>SE CANCELO LA PCS Y SE INCLUYERON ESTAS BOMBAS EN LA PCS 4502799307</t>
    </r>
  </si>
  <si>
    <t>Petrobras N° 4502554031 (GLOBAL DE VÁLVULAS)</t>
  </si>
  <si>
    <t>con la carga - SDV 115108</t>
  </si>
  <si>
    <t>SI - Dic 2009</t>
  </si>
  <si>
    <t>Login Rio 008N</t>
  </si>
  <si>
    <t>SI - 30 Ab.</t>
  </si>
  <si>
    <t>SI - 11 Jun.</t>
  </si>
  <si>
    <r>
      <t>60 vástagos -</t>
    </r>
    <r>
      <rPr>
        <sz val="8"/>
        <color indexed="12"/>
        <rFont val="Arial"/>
        <family val="2"/>
      </rPr>
      <t xml:space="preserve"> 2° ENVIO</t>
    </r>
  </si>
  <si>
    <t>106/08 BPB</t>
  </si>
  <si>
    <t>Petrobras N° 4502568271</t>
  </si>
  <si>
    <t>35 bombas + 6 bombas</t>
  </si>
  <si>
    <t>SI - 27 Ab.</t>
  </si>
  <si>
    <t>Petrobras N° 4502593462 (GLOBAL DE VÁLVULAS)</t>
  </si>
  <si>
    <r>
      <t xml:space="preserve">120 válvulas - </t>
    </r>
    <r>
      <rPr>
        <sz val="8"/>
        <color indexed="12"/>
        <rFont val="Arial"/>
        <family val="2"/>
      </rPr>
      <t>SE ENVÍAN DESDE TANTAL</t>
    </r>
  </si>
  <si>
    <t>081/08 BPB</t>
  </si>
  <si>
    <t>Petrobras N° 4502580443</t>
  </si>
  <si>
    <t>Petrobras N° 4502619701  (GLOBAL DE VÁLVULAS)</t>
  </si>
  <si>
    <r>
      <t xml:space="preserve">200 válvulas - </t>
    </r>
    <r>
      <rPr>
        <sz val="8"/>
        <color indexed="12"/>
        <rFont val="Arial"/>
        <family val="2"/>
      </rPr>
      <t>SE ENVÍAN DESDE TANTAL</t>
    </r>
  </si>
  <si>
    <t>SI - 27 Abr.</t>
  </si>
  <si>
    <t>Login Santos 009N</t>
  </si>
  <si>
    <t>SI - 11 May.</t>
  </si>
  <si>
    <t>SI - 13 Jul.</t>
  </si>
  <si>
    <r>
      <t>150 vástagos -</t>
    </r>
    <r>
      <rPr>
        <sz val="8"/>
        <color indexed="12"/>
        <rFont val="Arial"/>
        <family val="2"/>
      </rPr>
      <t xml:space="preserve"> 3° ENVIO</t>
    </r>
  </si>
  <si>
    <t>SI - 28 May.</t>
  </si>
  <si>
    <t>112/08 BPB</t>
  </si>
  <si>
    <t>Petrobras N° 4502623256</t>
  </si>
  <si>
    <t>50 bombas + 12 bombas = 62 bombas</t>
  </si>
  <si>
    <t>SI - 28 May</t>
  </si>
  <si>
    <t>Petrobras N° 4502650387  (GLOBAL DE VÁLVULAS)</t>
  </si>
  <si>
    <r>
      <t xml:space="preserve">70 válvulas - </t>
    </r>
    <r>
      <rPr>
        <sz val="8"/>
        <color indexed="12"/>
        <rFont val="Arial"/>
        <family val="2"/>
      </rPr>
      <t>SE ENVÍAN DESDE TANTAL</t>
    </r>
  </si>
  <si>
    <t>115/08 BBR</t>
  </si>
  <si>
    <t>Petrobras N° 4502632253</t>
  </si>
  <si>
    <t>MARITIIMO</t>
  </si>
  <si>
    <t>2 pistones</t>
  </si>
  <si>
    <t>113/08 BBR</t>
  </si>
  <si>
    <t>Petrobras N° 4502625177</t>
  </si>
  <si>
    <t>100/08 BBR</t>
  </si>
  <si>
    <t>Petrobras N° 4502655712 (GLOBAL DE VALVULAS 2008)</t>
  </si>
  <si>
    <r>
      <t xml:space="preserve">200 valvulas - </t>
    </r>
    <r>
      <rPr>
        <sz val="8"/>
        <color indexed="12"/>
        <rFont val="Arial"/>
        <family val="2"/>
      </rPr>
      <t>SE ENVÍAN DESDE TANTAL</t>
    </r>
  </si>
  <si>
    <t>Login Rio 010N</t>
  </si>
  <si>
    <t>30 de Abril</t>
  </si>
  <si>
    <t>008/09 BBR</t>
  </si>
  <si>
    <t>Petrobras N° 4502695331</t>
  </si>
  <si>
    <t>3 pistones</t>
  </si>
  <si>
    <t>SI - 20 Jun.</t>
  </si>
  <si>
    <t>010/09 BBR</t>
  </si>
  <si>
    <t>Petrobras N° 4502698522</t>
  </si>
  <si>
    <r>
      <t xml:space="preserve">6 válvulas - </t>
    </r>
    <r>
      <rPr>
        <sz val="8"/>
        <color indexed="12"/>
        <rFont val="Arial"/>
        <family val="2"/>
      </rPr>
      <t>SE ENVÍAN DESDE TANTAL</t>
    </r>
  </si>
  <si>
    <t>Petrobras N° 4502706298 (GLOBAL DE VALVULAS 2008)</t>
  </si>
  <si>
    <r>
      <t xml:space="preserve">100 valvulas - </t>
    </r>
    <r>
      <rPr>
        <sz val="8"/>
        <color indexed="12"/>
        <rFont val="Arial"/>
        <family val="2"/>
      </rPr>
      <t>SE ENVÍAN DESDE TANTAL</t>
    </r>
  </si>
  <si>
    <t>013/09 BBR</t>
  </si>
  <si>
    <t>Petrobras N° 4502768586</t>
  </si>
  <si>
    <r>
      <t xml:space="preserve">APBs - </t>
    </r>
    <r>
      <rPr>
        <sz val="8"/>
        <color indexed="12"/>
        <rFont val="Arial"/>
        <family val="2"/>
      </rPr>
      <t>SE ENVÍAN DESDE PAN DELTA</t>
    </r>
  </si>
  <si>
    <t>PD0154</t>
  </si>
  <si>
    <t>SI - 7 Jul.</t>
  </si>
  <si>
    <t>Log In-Amazonia</t>
  </si>
  <si>
    <r>
      <t>90 vástagos -</t>
    </r>
    <r>
      <rPr>
        <sz val="8"/>
        <color indexed="12"/>
        <rFont val="Arial"/>
        <family val="2"/>
      </rPr>
      <t xml:space="preserve"> 4° ENVIO</t>
    </r>
  </si>
  <si>
    <t>Si - 27 Jul.</t>
  </si>
  <si>
    <t>SI - 19 Oct.</t>
  </si>
  <si>
    <t>Estaba prevista la salida de Planta para el 30 de Junio, pero por paro gremial se retraso para Julio</t>
  </si>
  <si>
    <t>SI - 27 Jul.</t>
  </si>
  <si>
    <t>SI - 03 Nov. -     U$ 16525,37</t>
  </si>
  <si>
    <t>30 Jun.</t>
  </si>
  <si>
    <t>SI  - 27 Nov. -  Multa: U$ 81,22</t>
  </si>
  <si>
    <t>Petrobras N° 4502723861 (GLOBAL DE VALVULAS 2008)</t>
  </si>
  <si>
    <r>
      <t xml:space="preserve">350 valvulas - </t>
    </r>
    <r>
      <rPr>
        <sz val="8"/>
        <color indexed="12"/>
        <rFont val="Arial"/>
        <family val="2"/>
      </rPr>
      <t>SE ENVÍAN DESDE TANTAL</t>
    </r>
  </si>
  <si>
    <t>SI - 19 Agos.</t>
  </si>
  <si>
    <t>Petrobras N° 4502755379 (GLOBAL DE VALVULAS 2008)</t>
  </si>
  <si>
    <t xml:space="preserve">350 APBs </t>
  </si>
  <si>
    <t>SI - 9 Jul.</t>
  </si>
  <si>
    <t>012/09 BBR</t>
  </si>
  <si>
    <t>Petrobras N° 4502783379</t>
  </si>
  <si>
    <t>26 bombas</t>
  </si>
  <si>
    <t>025/09 BBR</t>
  </si>
  <si>
    <t>Petrobras N° 4502804179</t>
  </si>
  <si>
    <t xml:space="preserve">HS SMETANA </t>
  </si>
  <si>
    <t>SI - 31 Agos.</t>
  </si>
  <si>
    <t>SI - 26 Oct.</t>
  </si>
  <si>
    <t xml:space="preserve">Desde el dia 11 de Agosto hay paro para ingresar a realizar el consolidado (Exolgan), por lo tanto pasariamos al buque proximo. El 19/8 nos informan que cambian el buque Belem por el HS Smetana pero no tiene bandera brasilera por lo que hay que esperar el waiver,  si se confirma saldria el 25/8 pero en el caso contrario pasaria al otro buque (Pantanal) que seria para el 29/8. </t>
  </si>
  <si>
    <r>
      <t>95 vástagos -</t>
    </r>
    <r>
      <rPr>
        <sz val="8"/>
        <color indexed="12"/>
        <rFont val="Arial"/>
        <family val="2"/>
      </rPr>
      <t xml:space="preserve"> 5° ENVIO</t>
    </r>
  </si>
  <si>
    <t>039/09 BBR</t>
  </si>
  <si>
    <t>Petrobras N° 4502841528</t>
  </si>
  <si>
    <t>28 bujes (S22-35B)</t>
  </si>
  <si>
    <t>SI - 24 Sep.</t>
  </si>
  <si>
    <t>Petrobras N° 4502853721 (GLOBAL DE VALVULAS 2008)</t>
  </si>
  <si>
    <t>022/09 BBR</t>
  </si>
  <si>
    <t>Koch 236-09</t>
  </si>
  <si>
    <r>
      <t xml:space="preserve">10 bombas + fittings </t>
    </r>
    <r>
      <rPr>
        <sz val="8"/>
        <color indexed="12"/>
        <rFont val="Arial"/>
        <family val="2"/>
      </rPr>
      <t>- KOCH</t>
    </r>
  </si>
  <si>
    <t>HS SMETANA V.003</t>
  </si>
  <si>
    <t>31 y 1 Sep.</t>
  </si>
  <si>
    <t>SI - 29 Sep.</t>
  </si>
  <si>
    <r>
      <t>120 vástagos -</t>
    </r>
    <r>
      <rPr>
        <sz val="8"/>
        <color indexed="12"/>
        <rFont val="Arial"/>
        <family val="2"/>
      </rPr>
      <t xml:space="preserve"> 6° ENVIO</t>
    </r>
  </si>
  <si>
    <r>
      <t>59 vástagos -</t>
    </r>
    <r>
      <rPr>
        <sz val="8"/>
        <color indexed="12"/>
        <rFont val="Arial"/>
        <family val="2"/>
      </rPr>
      <t xml:space="preserve"> 7° ENVIO</t>
    </r>
  </si>
  <si>
    <t>SI - Se pago U$ 18,084</t>
  </si>
  <si>
    <t>Se pidio la correccion de la PCS ya que estan incorrectos los precios - 25 de Agosto envian correccion, pero no corrigen el NCM, se solicita la correccion (2/9)</t>
  </si>
  <si>
    <t>32 bombas</t>
  </si>
  <si>
    <t>SI - 06 Ene.</t>
  </si>
  <si>
    <t>033/09 BBR</t>
  </si>
  <si>
    <t>Petrobras N° 4502870693</t>
  </si>
  <si>
    <t>SI - 20 Oct.</t>
  </si>
  <si>
    <t>SI - 4 Nov.</t>
  </si>
  <si>
    <t>Petrobras N° 4502924587 (GLOBAL DE VALVULAS 2008)</t>
  </si>
  <si>
    <t>Petrobras N° 4502951082 (GLOBAL DE VALVULAS 2008)</t>
  </si>
  <si>
    <r>
      <t xml:space="preserve">120 valvulas - </t>
    </r>
    <r>
      <rPr>
        <sz val="8"/>
        <color indexed="12"/>
        <rFont val="Arial"/>
        <family val="2"/>
      </rPr>
      <t>SE ENVÍAN DESDE TANTAL</t>
    </r>
  </si>
  <si>
    <t>056/09 BBR</t>
  </si>
  <si>
    <t>Petrobras N° 4502963294</t>
  </si>
  <si>
    <t>9 jaulas con guias postizas</t>
  </si>
  <si>
    <t>Petrobras N° 4502952928 (GLOBAL DE VALVULAS 2008)</t>
  </si>
  <si>
    <t>HS Smetana Viaje 005</t>
  </si>
  <si>
    <r>
      <t xml:space="preserve">300 valvulas - </t>
    </r>
    <r>
      <rPr>
        <sz val="8"/>
        <color indexed="12"/>
        <rFont val="Arial"/>
        <family val="2"/>
      </rPr>
      <t>SE ENVÍAN DESDE TANTAL</t>
    </r>
  </si>
  <si>
    <t>Petrobras N° 4502980630 (GLOBAL DE VALVULAS 2008)</t>
  </si>
  <si>
    <r>
      <t xml:space="preserve">150 valvulas - </t>
    </r>
    <r>
      <rPr>
        <sz val="8"/>
        <color indexed="12"/>
        <rFont val="Arial"/>
        <family val="2"/>
      </rPr>
      <t>SE ENVÍAN DESDE TANTAL</t>
    </r>
  </si>
  <si>
    <t>060/09 BBR</t>
  </si>
  <si>
    <t>Petrobras N° 4503032509</t>
  </si>
  <si>
    <t>30 jaulas</t>
  </si>
  <si>
    <t>081/09 BBR</t>
  </si>
  <si>
    <t>Petrobras N° 4503065430</t>
  </si>
  <si>
    <t>TAM 8001/10</t>
  </si>
  <si>
    <t>2 guia helicoidal</t>
  </si>
  <si>
    <t>con la carga - 957-8385 7911</t>
  </si>
  <si>
    <t>SI - 24 Nov.</t>
  </si>
  <si>
    <t>SI - 3 Mar.</t>
  </si>
  <si>
    <t>4600279670 (GLOBAL VASTAGOS 2008)</t>
  </si>
  <si>
    <t>Login Pantanal 022</t>
  </si>
  <si>
    <r>
      <t>70 vástagos -</t>
    </r>
    <r>
      <rPr>
        <sz val="8"/>
        <color indexed="12"/>
        <rFont val="Arial"/>
        <family val="2"/>
      </rPr>
      <t xml:space="preserve"> 9° ENVIO</t>
    </r>
  </si>
  <si>
    <t>SI - 6 Ene.</t>
  </si>
  <si>
    <t>21 de Dic.:  informan que aun el barco esta en el Puerto por problemas sindicales</t>
  </si>
  <si>
    <r>
      <t>170 vástagos -</t>
    </r>
    <r>
      <rPr>
        <sz val="8"/>
        <color indexed="12"/>
        <rFont val="Arial"/>
        <family val="2"/>
      </rPr>
      <t xml:space="preserve"> 8° ENVIO</t>
    </r>
  </si>
  <si>
    <t>073/09 BBR</t>
  </si>
  <si>
    <t>Petrobras N° 4503071996</t>
  </si>
  <si>
    <t xml:space="preserve">MARITIMO  </t>
  </si>
  <si>
    <t>100 nipples</t>
  </si>
  <si>
    <t>SI - 20 Ene.</t>
  </si>
  <si>
    <t>SI - 25 Agos</t>
  </si>
  <si>
    <t>090/09 BBR</t>
  </si>
  <si>
    <t>Petrobras N° 4503094548</t>
  </si>
  <si>
    <t>PETRORECONCAVO</t>
  </si>
  <si>
    <t>087/09 BPR</t>
  </si>
  <si>
    <t>RR Europa Viaje 006</t>
  </si>
  <si>
    <t xml:space="preserve">Fittings </t>
  </si>
  <si>
    <t>SI - 10 Marz</t>
  </si>
  <si>
    <t>SI - 30 Mar.</t>
  </si>
  <si>
    <r>
      <t>22 vástagos -</t>
    </r>
    <r>
      <rPr>
        <sz val="8"/>
        <color indexed="12"/>
        <rFont val="Arial"/>
        <family val="2"/>
      </rPr>
      <t xml:space="preserve"> 10°  ENVIO</t>
    </r>
  </si>
  <si>
    <t>SI - 16 Marz.</t>
  </si>
  <si>
    <t>SI - 21 Abr.</t>
  </si>
  <si>
    <t>Petrobras N° 4503069311 (GLOBAL DE VALVULAS 2008)</t>
  </si>
  <si>
    <r>
      <t xml:space="preserve">180 valvulas - </t>
    </r>
    <r>
      <rPr>
        <sz val="8"/>
        <color indexed="12"/>
        <rFont val="Arial"/>
        <family val="2"/>
      </rPr>
      <t>SE ENVÍAN DESDE TANTAL</t>
    </r>
  </si>
  <si>
    <t>SI - 15 Marz.</t>
  </si>
  <si>
    <t>Petrobras N° 4503070938 (GLOBAL DE VALVULAS 2008)</t>
  </si>
  <si>
    <t>021/09 BBR</t>
  </si>
  <si>
    <t>Petrobras N° 4503086333</t>
  </si>
  <si>
    <t>076/09 BBR</t>
  </si>
  <si>
    <t>Petrobras N° 4503114392</t>
  </si>
  <si>
    <t>Login Amazonia 029</t>
  </si>
  <si>
    <t>Fittings (pescadores)</t>
  </si>
  <si>
    <t>008</t>
  </si>
  <si>
    <t>094/09 BBR</t>
  </si>
  <si>
    <t>Petrobras N° 4503133256</t>
  </si>
  <si>
    <r>
      <t>100 vástagos -</t>
    </r>
    <r>
      <rPr>
        <sz val="8"/>
        <color indexed="12"/>
        <rFont val="Arial"/>
        <family val="2"/>
      </rPr>
      <t xml:space="preserve"> 11°  ENVIO</t>
    </r>
  </si>
  <si>
    <t>007</t>
  </si>
  <si>
    <t>SI - 26 Mayo</t>
  </si>
  <si>
    <t>080/09 BPB</t>
  </si>
  <si>
    <t>4600302683 (GLOBAL 2010)</t>
  </si>
  <si>
    <t>RR Europa Viaje 008</t>
  </si>
  <si>
    <t>010</t>
  </si>
  <si>
    <t>9 y 10 mar.</t>
  </si>
  <si>
    <t>SI - 12 Abr.</t>
  </si>
  <si>
    <t>SI - 20 Mayo</t>
  </si>
  <si>
    <r>
      <t>4 vástagos -</t>
    </r>
    <r>
      <rPr>
        <sz val="8"/>
        <color indexed="12"/>
        <rFont val="Arial"/>
        <family val="2"/>
      </rPr>
      <t xml:space="preserve"> 13°  ENVIO</t>
    </r>
  </si>
  <si>
    <t>013</t>
  </si>
  <si>
    <t>Se solicito correccion del NCM</t>
  </si>
  <si>
    <t>014</t>
  </si>
  <si>
    <r>
      <t>40 vástagos -</t>
    </r>
    <r>
      <rPr>
        <sz val="8"/>
        <color indexed="12"/>
        <rFont val="Arial"/>
        <family val="2"/>
      </rPr>
      <t xml:space="preserve"> 12° ENVIO</t>
    </r>
  </si>
  <si>
    <t>012</t>
  </si>
  <si>
    <t>87 bombas</t>
  </si>
  <si>
    <t>011</t>
  </si>
  <si>
    <t>077/09 BBR</t>
  </si>
  <si>
    <t>Petrobras N° 4503093223</t>
  </si>
  <si>
    <t xml:space="preserve">MARÍTIMO  </t>
  </si>
  <si>
    <r>
      <t>100 vástagos</t>
    </r>
    <r>
      <rPr>
        <b/>
        <sz val="8"/>
        <color indexed="10"/>
        <rFont val="Arial"/>
        <family val="2"/>
      </rPr>
      <t>- 1° ENVIO</t>
    </r>
  </si>
  <si>
    <t>015</t>
  </si>
  <si>
    <t>Total: U$ 36.625</t>
  </si>
  <si>
    <t>HS Smetana Viaje 011</t>
  </si>
  <si>
    <t>028</t>
  </si>
  <si>
    <t>SI - 18 Mayo</t>
  </si>
  <si>
    <t>SI - 2 Jul. (multa U$ 56,20)</t>
  </si>
  <si>
    <t>Salida postergada de la Planta por problemas con el personal (piden aumento salarial)</t>
  </si>
  <si>
    <t>52 bombas</t>
  </si>
  <si>
    <t>025</t>
  </si>
  <si>
    <t>21 al 23 Abr.</t>
  </si>
  <si>
    <t>SI - 12 Jul. (multa: U$ 338,37)</t>
  </si>
  <si>
    <t>024</t>
  </si>
  <si>
    <t>SI - 8 Jul. (multa: U$ 115,42)</t>
  </si>
  <si>
    <t>026</t>
  </si>
  <si>
    <t xml:space="preserve">SI </t>
  </si>
  <si>
    <t>Valvulas</t>
  </si>
  <si>
    <t>027</t>
  </si>
  <si>
    <r>
      <t>300 vastagos</t>
    </r>
    <r>
      <rPr>
        <b/>
        <sz val="8"/>
        <color indexed="10"/>
        <rFont val="Arial"/>
        <family val="2"/>
      </rPr>
      <t xml:space="preserve"> - 2° ENVIO</t>
    </r>
  </si>
  <si>
    <t>Total: U$ 109.875 - Salida postergada de la Planta por problemas con el personal (piden aumento salarial)</t>
  </si>
  <si>
    <t>009/10 BBR</t>
  </si>
  <si>
    <t>Petrobras N° 4503221790</t>
  </si>
  <si>
    <t>x</t>
  </si>
  <si>
    <t>61 bombas</t>
  </si>
  <si>
    <t>029</t>
  </si>
  <si>
    <t>SI - 24 Sept.</t>
  </si>
  <si>
    <t>Login Pantanal Viaje 027</t>
  </si>
  <si>
    <t>86 bombas</t>
  </si>
  <si>
    <t>032</t>
  </si>
  <si>
    <t>28 al 29 Abr.</t>
  </si>
  <si>
    <t>SI - 24 Mayo</t>
  </si>
  <si>
    <t>SI - 7 Jul. (multa U$ 1140,37)</t>
  </si>
  <si>
    <t>Login Amazonia Viaje 032</t>
  </si>
  <si>
    <r>
      <t>70 vástagos -</t>
    </r>
    <r>
      <rPr>
        <sz val="8"/>
        <color indexed="12"/>
        <rFont val="Arial"/>
        <family val="2"/>
      </rPr>
      <t xml:space="preserve"> 14°  ENVIO</t>
    </r>
  </si>
  <si>
    <t>035</t>
  </si>
  <si>
    <t>SI - 7 Jun.</t>
  </si>
  <si>
    <t>SI - (multa U$ 158.98)</t>
  </si>
  <si>
    <r>
      <t>80 vástagos -</t>
    </r>
    <r>
      <rPr>
        <sz val="8"/>
        <color indexed="12"/>
        <rFont val="Arial"/>
        <family val="2"/>
      </rPr>
      <t xml:space="preserve"> 15°  ENVIO</t>
    </r>
  </si>
  <si>
    <t>036</t>
  </si>
  <si>
    <t xml:space="preserve"> 15 valvulas</t>
  </si>
  <si>
    <t>039</t>
  </si>
  <si>
    <t>SI - 4 Agos.</t>
  </si>
  <si>
    <t>038</t>
  </si>
  <si>
    <t>SI - 1 Sep. (almacenaje: U$ 1226,62)</t>
  </si>
  <si>
    <t>037</t>
  </si>
  <si>
    <t>SI - 03 Nov. (multa U$ 39,83)</t>
  </si>
  <si>
    <t>Petrobras N° 4503240125 (GLOBAL DE VÁLVULAS 2008)</t>
  </si>
  <si>
    <t>040</t>
  </si>
  <si>
    <t>______</t>
  </si>
  <si>
    <r>
      <t xml:space="preserve">ORDEN EXTRAVIADA EN PUERTO DE BRASIL. </t>
    </r>
    <r>
      <rPr>
        <sz val="8"/>
        <rFont val="Arial"/>
        <family val="2"/>
      </rPr>
      <t>21 de Julio: las válvulas están viajando de Aracaju a Salvador para ser nacionalizadas y ser entregadas a Petrobras y cumplir con la orden.</t>
    </r>
  </si>
  <si>
    <t>Login Pantanal Viaje 028</t>
  </si>
  <si>
    <t xml:space="preserve">81 bombas </t>
  </si>
  <si>
    <t>042</t>
  </si>
  <si>
    <t>27y28/5</t>
  </si>
  <si>
    <t>SI - 4 Agos. - Multa: U$ 4078.63</t>
  </si>
  <si>
    <t>Fittings (APB)</t>
  </si>
  <si>
    <t>PCS CANCELADA</t>
  </si>
  <si>
    <t>RR Europa Viaje 011</t>
  </si>
  <si>
    <t>65 bombas + 8 pistones</t>
  </si>
  <si>
    <t>043</t>
  </si>
  <si>
    <t>SI - 20 Agos</t>
  </si>
  <si>
    <t>Login Pantanal Viaje 029</t>
  </si>
  <si>
    <r>
      <t>18 vástagos -</t>
    </r>
    <r>
      <rPr>
        <sz val="8"/>
        <color indexed="12"/>
        <rFont val="Arial"/>
        <family val="2"/>
      </rPr>
      <t xml:space="preserve"> 16°  ENVIO</t>
    </r>
  </si>
  <si>
    <t>046</t>
  </si>
  <si>
    <t>SI - 13 Sep.</t>
  </si>
  <si>
    <t>Fitting</t>
  </si>
  <si>
    <t>048</t>
  </si>
  <si>
    <r>
      <t>24 vástagos -</t>
    </r>
    <r>
      <rPr>
        <sz val="8"/>
        <color indexed="12"/>
        <rFont val="Arial"/>
        <family val="2"/>
      </rPr>
      <t xml:space="preserve"> 17°  ENVIO</t>
    </r>
  </si>
  <si>
    <t>049</t>
  </si>
  <si>
    <t>SI - 16 Sept.</t>
  </si>
  <si>
    <t>047</t>
  </si>
  <si>
    <t>23al24/6</t>
  </si>
  <si>
    <t>050</t>
  </si>
  <si>
    <t>SI - 23 Sept. - Multa U$ 545,93</t>
  </si>
  <si>
    <t>Login RREuropa Viaje 012</t>
  </si>
  <si>
    <t>051</t>
  </si>
  <si>
    <t>SI - 03 Nov. (multa U$ 568,76)</t>
  </si>
  <si>
    <t>Se atraso la salida de Planta ya que no llegaron las bolas de USA en tiempo para sacar el material de planta el 24/6</t>
  </si>
  <si>
    <t>Login Amazonia Viaje 034</t>
  </si>
  <si>
    <t>054</t>
  </si>
  <si>
    <t>7y8/7</t>
  </si>
  <si>
    <t>SI - 17 Sep.</t>
  </si>
  <si>
    <t>065</t>
  </si>
  <si>
    <t>SI - 23 Sep.</t>
  </si>
  <si>
    <t>válvulas</t>
  </si>
  <si>
    <t>056</t>
  </si>
  <si>
    <t>044/10 BBR</t>
  </si>
  <si>
    <t>Petrobras N° 4503371649</t>
  </si>
  <si>
    <t>057</t>
  </si>
  <si>
    <t>Login RR Europa Viaje 013</t>
  </si>
  <si>
    <t>94 bombas</t>
  </si>
  <si>
    <t>066</t>
  </si>
  <si>
    <t>28y29/7</t>
  </si>
  <si>
    <t>SI - 03 Nov. (multa U$ 3086,04)</t>
  </si>
  <si>
    <t>067</t>
  </si>
  <si>
    <t>029/10 BBR</t>
  </si>
  <si>
    <t>Petrobras N° 4503318503</t>
  </si>
  <si>
    <t>068</t>
  </si>
  <si>
    <t>Login HS Smetana Viaje 015</t>
  </si>
  <si>
    <t>075</t>
  </si>
  <si>
    <t>11 y 12/8</t>
  </si>
  <si>
    <t>29 bombas</t>
  </si>
  <si>
    <t>076</t>
  </si>
  <si>
    <t>Si - 24 Nov (multa U$ 795,63)</t>
  </si>
  <si>
    <t>074</t>
  </si>
  <si>
    <t>SI - 30 Nov.</t>
  </si>
  <si>
    <t>Petrobras N° 4503376121 (GLOBAL DE VÁLVULAS 2008)</t>
  </si>
  <si>
    <r>
      <t xml:space="preserve">310 válvulas - </t>
    </r>
    <r>
      <rPr>
        <sz val="8"/>
        <color indexed="12"/>
        <rFont val="Arial"/>
        <family val="2"/>
      </rPr>
      <t>SE ENVÍAN DESDE TANTAL</t>
    </r>
  </si>
  <si>
    <t>077</t>
  </si>
  <si>
    <t>Login RR Europa Viaje 015</t>
  </si>
  <si>
    <t>085</t>
  </si>
  <si>
    <t>22 Sep.</t>
  </si>
  <si>
    <t>035/10 BBR</t>
  </si>
  <si>
    <t>Koch 317-2010</t>
  </si>
  <si>
    <r>
      <t>5 bombas -</t>
    </r>
    <r>
      <rPr>
        <sz val="8"/>
        <color indexed="12"/>
        <rFont val="Arial"/>
        <family val="2"/>
      </rPr>
      <t xml:space="preserve"> KOCH</t>
    </r>
  </si>
  <si>
    <t>084</t>
  </si>
  <si>
    <t>066/10 BBR</t>
  </si>
  <si>
    <t>Petrobras N° 4503466331</t>
  </si>
  <si>
    <t>Petrobras N° 4503491423 (GLOBAL DE VÁLVULAS 2008)</t>
  </si>
  <si>
    <r>
      <t xml:space="preserve">217 válvulas - </t>
    </r>
    <r>
      <rPr>
        <sz val="8"/>
        <color indexed="12"/>
        <rFont val="Arial"/>
        <family val="2"/>
      </rPr>
      <t>SE ENVÍAN DESDE TANTAL</t>
    </r>
  </si>
  <si>
    <t>077/10 BBR</t>
  </si>
  <si>
    <t>W.Petroleo 002352</t>
  </si>
  <si>
    <r>
      <t>4 bombas -</t>
    </r>
    <r>
      <rPr>
        <sz val="8"/>
        <color indexed="12"/>
        <rFont val="Arial"/>
        <family val="2"/>
      </rPr>
      <t xml:space="preserve"> W. PETROLEO</t>
    </r>
  </si>
  <si>
    <t>057/10 BBR</t>
  </si>
  <si>
    <t>Petrorreconcavo N° 101040, 101004, 101012, 101033, 101997, 101006, 101013, 101036, 101003, 101007, 101014</t>
  </si>
  <si>
    <r>
      <t>Fittings -</t>
    </r>
    <r>
      <rPr>
        <sz val="8"/>
        <color indexed="12"/>
        <rFont val="Arial"/>
        <family val="2"/>
      </rPr>
      <t xml:space="preserve"> PETRORRECONCAVO</t>
    </r>
  </si>
  <si>
    <t>028/10 BPB</t>
  </si>
  <si>
    <t>4600312805 (GLOBAL 2011)</t>
  </si>
  <si>
    <t>Login HS Smetana Viaje 017</t>
  </si>
  <si>
    <t>088</t>
  </si>
  <si>
    <t>Petrobras N° 4503476755 (GLOBAL DE VÁLVULAS 2008)</t>
  </si>
  <si>
    <r>
      <t xml:space="preserve">160 válvulas - </t>
    </r>
    <r>
      <rPr>
        <sz val="8"/>
        <color indexed="12"/>
        <rFont val="Arial"/>
        <family val="2"/>
      </rPr>
      <t>SE ENVÍAN DESDE TANTAL</t>
    </r>
  </si>
  <si>
    <t>089</t>
  </si>
  <si>
    <t>SI - 30 Dic.</t>
  </si>
  <si>
    <t>067/10 BBR</t>
  </si>
  <si>
    <t>Petrobras N° 4503468310</t>
  </si>
  <si>
    <t>34 bombas (menos 1 bomba)</t>
  </si>
  <si>
    <t>29al1 Oct.</t>
  </si>
  <si>
    <t>Del ítem 60 se van a enviar solo 11 bombas, ya que Bolland do Brasil tiene 1 bomba allá y ellos entregaran esta bomba a Petrobras.</t>
  </si>
  <si>
    <t>070/10 BBR</t>
  </si>
  <si>
    <t>Petrobras N° 4503472148</t>
  </si>
  <si>
    <t>128 bombas</t>
  </si>
  <si>
    <t>085/10 BBR</t>
  </si>
  <si>
    <t>Koch 383-2010</t>
  </si>
  <si>
    <t xml:space="preserve">Nipples   </t>
  </si>
  <si>
    <t>087</t>
  </si>
  <si>
    <t>Login Santa Giulietta Viaje 001</t>
  </si>
  <si>
    <t>25 Oct.</t>
  </si>
  <si>
    <t>SI - 22 Nov.</t>
  </si>
  <si>
    <t>SI - 25 Ene.</t>
  </si>
  <si>
    <t>10/9/10: se pidió la anulación del ítem 2</t>
  </si>
  <si>
    <t>SI - 31 Ene.</t>
  </si>
  <si>
    <t>Petrobras N° 4503499846 (GLOBAL DE VÁLVULAS 2008)</t>
  </si>
  <si>
    <r>
      <t xml:space="preserve">373 válvulas - </t>
    </r>
    <r>
      <rPr>
        <sz val="8"/>
        <color indexed="12"/>
        <rFont val="Arial"/>
        <family val="2"/>
      </rPr>
      <t>SE ENVÍAN DESDE TANTAL</t>
    </r>
  </si>
  <si>
    <t>099</t>
  </si>
  <si>
    <t>078/10 BBR</t>
  </si>
  <si>
    <t>Petrorreconcavo N° 101221, 101225, 101229, 101230</t>
  </si>
  <si>
    <t>088/10 BBR</t>
  </si>
  <si>
    <t>Petrobras N° 4503545230</t>
  </si>
  <si>
    <t>109/10 BBR</t>
  </si>
  <si>
    <t>Petroreconcavo 101412</t>
  </si>
  <si>
    <t>AÉREA</t>
  </si>
  <si>
    <t>12 Pistones</t>
  </si>
  <si>
    <t>093</t>
  </si>
  <si>
    <t>SI - 10 Nov.</t>
  </si>
  <si>
    <t>RR Europa Viaje 017</t>
  </si>
  <si>
    <t>SI - 31 Ene. (multa U$ 26,85)</t>
  </si>
  <si>
    <t>Se posterga por paro en la Planta</t>
  </si>
  <si>
    <t>51 pistones</t>
  </si>
  <si>
    <t>Si - 02 Mar. (se cobra una multa de U$ 16,96 - 13 dias)</t>
  </si>
  <si>
    <t>Se posterga por paro en la Planta - Antes PCS N° 4503514532</t>
  </si>
  <si>
    <t>SI - 28 Feb.</t>
  </si>
  <si>
    <t>100/10 BBR</t>
  </si>
  <si>
    <t>Petrobras N° 4503568576</t>
  </si>
  <si>
    <t>098/10 BBR</t>
  </si>
  <si>
    <t>Petroreconcavo 101464</t>
  </si>
  <si>
    <t>HS Smetana Viaje 020</t>
  </si>
  <si>
    <t>20 Dic.</t>
  </si>
  <si>
    <t>SI - 2 Mar. (no se desconto la multa)</t>
  </si>
  <si>
    <t>SI - 2 Mar. (multa U$ 37,64)</t>
  </si>
  <si>
    <t>Login Santa Jiulietta Viaje 004</t>
  </si>
  <si>
    <t>SI - 18 Mar.</t>
  </si>
  <si>
    <t>18 bombas + Fittings</t>
  </si>
  <si>
    <t>SI - 28 Mar.</t>
  </si>
  <si>
    <t>15 bombas + Fittings</t>
  </si>
  <si>
    <t>027/10 BPB</t>
  </si>
  <si>
    <t>4600313538 (GLOBAL VÁSTAGOS 2010)</t>
  </si>
  <si>
    <t>40 vástagos</t>
  </si>
  <si>
    <t>27y28/12</t>
  </si>
  <si>
    <t>120 bombas</t>
  </si>
  <si>
    <t>SI - 16 Mar</t>
  </si>
  <si>
    <t>Login Pantanal Viaje 036</t>
  </si>
  <si>
    <t>006</t>
  </si>
  <si>
    <t>SI - 07 Abril</t>
  </si>
  <si>
    <t>45 vástagos</t>
  </si>
  <si>
    <t>005</t>
  </si>
  <si>
    <t>3y4 Ene.</t>
  </si>
  <si>
    <t>64 bombas</t>
  </si>
  <si>
    <t>Petrobras N° 4503622821 (GLOBAL DE VÁLVULAS 2008)</t>
  </si>
  <si>
    <r>
      <t xml:space="preserve">234 válvulas - </t>
    </r>
    <r>
      <rPr>
        <sz val="8"/>
        <color indexed="12"/>
        <rFont val="Arial"/>
        <family val="2"/>
      </rPr>
      <t>SE ENVÍAN DESDE TANTAL</t>
    </r>
  </si>
  <si>
    <t>SI - Ene</t>
  </si>
  <si>
    <t>115/10 BBR</t>
  </si>
  <si>
    <t>Petrobras N° 4503614097</t>
  </si>
  <si>
    <t>5 Ene.</t>
  </si>
  <si>
    <t>123/10 BBR</t>
  </si>
  <si>
    <t>Petrobras N° 4503680490</t>
  </si>
  <si>
    <t>Login Santa Giulietta Viaje 005</t>
  </si>
  <si>
    <t>110/10 BBR</t>
  </si>
  <si>
    <t>Petrobras N° 4503697691</t>
  </si>
  <si>
    <r>
      <t>50 vástagos</t>
    </r>
    <r>
      <rPr>
        <b/>
        <sz val="8"/>
        <color indexed="12"/>
        <rFont val="Arial"/>
        <family val="2"/>
      </rPr>
      <t xml:space="preserve">  - 1° ENVÍO</t>
    </r>
  </si>
  <si>
    <t>Login Pantanal Viaje 038</t>
  </si>
  <si>
    <t>021</t>
  </si>
  <si>
    <t>24y25 Feb.</t>
  </si>
  <si>
    <t>020</t>
  </si>
  <si>
    <t>022</t>
  </si>
  <si>
    <t>HS Smetana Viaje 023</t>
  </si>
  <si>
    <t>14 Mar.</t>
  </si>
  <si>
    <t>35 vástagos</t>
  </si>
  <si>
    <t>030</t>
  </si>
  <si>
    <t>40 bombas</t>
  </si>
  <si>
    <t>018</t>
  </si>
  <si>
    <t>60 bombas + Fittings</t>
  </si>
  <si>
    <t>017</t>
  </si>
  <si>
    <t>42 bombas</t>
  </si>
  <si>
    <t>019</t>
  </si>
  <si>
    <r>
      <t>178 vástagos</t>
    </r>
    <r>
      <rPr>
        <b/>
        <sz val="8"/>
        <color indexed="12"/>
        <rFont val="Arial"/>
        <family val="2"/>
      </rPr>
      <t xml:space="preserve"> - 2° ENVÍO</t>
    </r>
  </si>
  <si>
    <t>023</t>
  </si>
  <si>
    <t>122/10 BBR</t>
  </si>
  <si>
    <t>Petrobras N° 4503660349</t>
  </si>
  <si>
    <t>Petrobras N° 4503750772 (GLOBAL DE VÁLVULAS 2008)</t>
  </si>
  <si>
    <r>
      <t xml:space="preserve">136 válvulas - </t>
    </r>
    <r>
      <rPr>
        <sz val="8"/>
        <color indexed="12"/>
        <rFont val="Arial"/>
        <family val="2"/>
      </rPr>
      <t>SE ENVÍAN DESDE TANTAL</t>
    </r>
  </si>
  <si>
    <t>139/10 BBR</t>
  </si>
  <si>
    <t>Petrobras N° 4503744218</t>
  </si>
  <si>
    <t>2 guías helicoidales</t>
  </si>
  <si>
    <t>Login Pantanal Viaje 039</t>
  </si>
  <si>
    <t>041</t>
  </si>
  <si>
    <t>31 y 31 Mar.</t>
  </si>
  <si>
    <t>34 bombas + Fittings</t>
  </si>
  <si>
    <t>total U$ 119.577,24</t>
  </si>
  <si>
    <t>HS SMETANA Viaje 024N</t>
  </si>
  <si>
    <t xml:space="preserve">117 bombas </t>
  </si>
  <si>
    <t>Se le solicito a Petrobras que nos postergen el vencimiento, del 14/04 al 23/04 (mail del 14/04-por el problema del paro), pero finalmente no se da.</t>
  </si>
  <si>
    <t>Login Pantanal 040</t>
  </si>
  <si>
    <t>Carga demorada ya que se bloqueo la planta por sindicatos petroleros (desde el 1 de abril), salida prevista para el 23/04 pero se pasa para el 30/04. Se posterga y se pasa para el 05/05.</t>
  </si>
  <si>
    <t>100 bombas + Fittings</t>
  </si>
  <si>
    <t>12y13/4</t>
  </si>
  <si>
    <t>30 válvulas</t>
  </si>
  <si>
    <t>Petrobras N° 4503836765 (GLOBAL DE VÁLVULAS 2008)</t>
  </si>
  <si>
    <r>
      <t xml:space="preserve">224 válvulas - </t>
    </r>
    <r>
      <rPr>
        <sz val="8"/>
        <color indexed="12"/>
        <rFont val="Arial"/>
        <family val="2"/>
      </rPr>
      <t>SE ENVÍAN DESDE TANTAL</t>
    </r>
  </si>
  <si>
    <t>SI - 19 Sept.</t>
  </si>
  <si>
    <t>135/10 BBR</t>
  </si>
  <si>
    <t>Petrobras N° 4503735899</t>
  </si>
  <si>
    <t>181 bombas</t>
  </si>
  <si>
    <t>Petrobras N° 4503776921 (GLOBAL DE VÁLVULAS 2008)</t>
  </si>
  <si>
    <r>
      <t xml:space="preserve">300 válvulas - </t>
    </r>
    <r>
      <rPr>
        <sz val="8"/>
        <color indexed="12"/>
        <rFont val="Arial"/>
        <family val="2"/>
      </rPr>
      <t>SE ENVÍAN DESDE TANTAL</t>
    </r>
  </si>
  <si>
    <t>Login Pantanal  V 041N</t>
  </si>
  <si>
    <t>Login Amazonia Viaje 051</t>
  </si>
  <si>
    <t>10y11/5</t>
  </si>
  <si>
    <t>028/11 BBR</t>
  </si>
  <si>
    <t>Petrobras N° 4503938544</t>
  </si>
  <si>
    <t>Log Jacaranda-T Santa Giuletta</t>
  </si>
  <si>
    <t>SI - Sept. 2011</t>
  </si>
  <si>
    <t>170 bombas + fitings</t>
  </si>
  <si>
    <t>054/11BBR</t>
  </si>
  <si>
    <t>PETRORECONCAVO(110628)</t>
  </si>
  <si>
    <t>029/11 BBR</t>
  </si>
  <si>
    <t>Petrobras N° 4503882868</t>
  </si>
  <si>
    <t>Login Pantanal Viaje 042</t>
  </si>
  <si>
    <t>Login Amazonia Viaje 053</t>
  </si>
  <si>
    <t>7,8,9/6</t>
  </si>
  <si>
    <t>Total U$ 62.499,10</t>
  </si>
  <si>
    <t xml:space="preserve">29 bombas </t>
  </si>
  <si>
    <t xml:space="preserve">87 bombas </t>
  </si>
  <si>
    <t>Login PantanalViaje 042</t>
  </si>
  <si>
    <t>17 bombas + Fittings</t>
  </si>
  <si>
    <t>7,8/06</t>
  </si>
  <si>
    <t>28/10BPB</t>
  </si>
  <si>
    <t>Login Amazonia V054</t>
  </si>
  <si>
    <t>23/06/2011</t>
  </si>
  <si>
    <t>028/10BPB</t>
  </si>
  <si>
    <t>110 Bombas</t>
  </si>
  <si>
    <t>Login Pantanal 043</t>
  </si>
  <si>
    <t>013/11 BBR</t>
  </si>
  <si>
    <t>Koch 0261/2011</t>
  </si>
  <si>
    <t>061/11 BBR</t>
  </si>
  <si>
    <t>Petroreconcavo  110770</t>
  </si>
  <si>
    <t>MARIIMO</t>
  </si>
  <si>
    <t>064/11 BBR</t>
  </si>
  <si>
    <t>Petroreconcavo 11058</t>
  </si>
  <si>
    <t>052/11 BBR</t>
  </si>
  <si>
    <t>Petrobras N 4504008937</t>
  </si>
  <si>
    <t>060/11 BBR</t>
  </si>
  <si>
    <t>Petroreconcavo 110771</t>
  </si>
  <si>
    <t>063/11 BBR</t>
  </si>
  <si>
    <t>Petroreconcavo 110540</t>
  </si>
  <si>
    <t>065/11 BBR</t>
  </si>
  <si>
    <t>Petroreconcavo 110542</t>
  </si>
  <si>
    <t>075/11BBR</t>
  </si>
  <si>
    <t>Petrobras N 4504030445</t>
  </si>
  <si>
    <t>RR Europa Viaje 025</t>
  </si>
  <si>
    <t>133 bombas</t>
  </si>
  <si>
    <t>26,27/07</t>
  </si>
  <si>
    <t>3 bombas y 3 pistones</t>
  </si>
  <si>
    <t>Login Pantanal 055</t>
  </si>
  <si>
    <t>05/082011</t>
  </si>
  <si>
    <t>12 bombas y fittings</t>
  </si>
  <si>
    <t>envio dhl</t>
  </si>
  <si>
    <t>062/11 BBR</t>
  </si>
  <si>
    <t>Petrobras N 4503986084</t>
  </si>
  <si>
    <t>1 Bomba</t>
  </si>
  <si>
    <t>SI - Dic. 2012</t>
  </si>
  <si>
    <t>RR Europa Viaje 026</t>
  </si>
  <si>
    <t>23,24,25/08</t>
  </si>
  <si>
    <t>23,25,25/08</t>
  </si>
  <si>
    <t>RR Europa V 026</t>
  </si>
  <si>
    <t>183 bombas</t>
  </si>
  <si>
    <t>23,24, 25/08</t>
  </si>
  <si>
    <t>053/11 BBR</t>
  </si>
  <si>
    <t>Petrobras N 4504000946</t>
  </si>
  <si>
    <t>Login Amazonia 056</t>
  </si>
  <si>
    <t xml:space="preserve"> 25 Bombas</t>
  </si>
  <si>
    <t>Login Pantanal 045</t>
  </si>
  <si>
    <t>24 bombas y fittings</t>
  </si>
  <si>
    <t>SI - 07/12</t>
  </si>
  <si>
    <t>pistones</t>
  </si>
  <si>
    <t>087/11 BBR</t>
  </si>
  <si>
    <t>W.Petroleo 003079</t>
  </si>
  <si>
    <t>1bomba</t>
  </si>
  <si>
    <t>SI - Dic. 2012,</t>
  </si>
  <si>
    <t>Login Amazonia 057</t>
  </si>
  <si>
    <t>SI -27/12</t>
  </si>
  <si>
    <t>111/11 BPB</t>
  </si>
  <si>
    <t>4600334989 (GLOBAL 2011-2012)</t>
  </si>
  <si>
    <t>Login Pantanal 047</t>
  </si>
  <si>
    <t>198 Bombas</t>
  </si>
  <si>
    <t>112/11 BPB</t>
  </si>
  <si>
    <t>Login Amazonia 059</t>
  </si>
  <si>
    <t>fittings y pistones</t>
  </si>
  <si>
    <t>SI - 08 Ene</t>
  </si>
  <si>
    <t>145 bombas</t>
  </si>
  <si>
    <t>21,22/11</t>
  </si>
  <si>
    <t>SI - 07 Ene</t>
  </si>
  <si>
    <t>RR Europa V 30</t>
  </si>
  <si>
    <t>16 bombas y fittings</t>
  </si>
  <si>
    <t>SI - 22 Ene</t>
  </si>
  <si>
    <t xml:space="preserve">fittings </t>
  </si>
  <si>
    <t>SI - 22 Ene (multa: U$ 113,82)</t>
  </si>
  <si>
    <t>92 bombas y valvulas</t>
  </si>
  <si>
    <t>SI - 15 Mar</t>
  </si>
  <si>
    <t>10 bombas, fitings y pistones</t>
  </si>
  <si>
    <t>SI - Marzo</t>
  </si>
  <si>
    <t>204 bombas</t>
  </si>
  <si>
    <t>Login Pantanal V049N</t>
  </si>
  <si>
    <t>58 4393 9043</t>
  </si>
  <si>
    <t>48 Bombas</t>
  </si>
  <si>
    <t>Se posterga la salida del buque por los feriados (salida del 06/01 se cancela)</t>
  </si>
  <si>
    <t>144 bombas</t>
  </si>
  <si>
    <t>RR Europa 31</t>
  </si>
  <si>
    <t>153 bombas</t>
  </si>
  <si>
    <t>009</t>
  </si>
  <si>
    <t>65 Bombas+fittings</t>
  </si>
  <si>
    <t>100/11 BBR</t>
  </si>
  <si>
    <t>Petroreconcavo 111601</t>
  </si>
  <si>
    <r>
      <t xml:space="preserve">Barriles - </t>
    </r>
    <r>
      <rPr>
        <b/>
        <sz val="8"/>
        <color indexed="10"/>
        <rFont val="Arial"/>
        <family val="2"/>
      </rPr>
      <t>ENVIAR EN CONTENEDOR COMPLETO EXCLUSIVO</t>
    </r>
  </si>
  <si>
    <t>Si - Dic. 2012</t>
  </si>
  <si>
    <t>Login Amazonia V062</t>
  </si>
  <si>
    <t>58 4393 8741</t>
  </si>
  <si>
    <t>SI - 31 Mayo</t>
  </si>
  <si>
    <t>Se solicito la correccion a Petrobras los valores unit. Y fletes</t>
  </si>
  <si>
    <t>SI - 15 Mayo (multa U$ 972,96)</t>
  </si>
  <si>
    <t>136/11 BBR</t>
  </si>
  <si>
    <r>
      <t xml:space="preserve">5 nipples - </t>
    </r>
    <r>
      <rPr>
        <b/>
        <sz val="8"/>
        <color indexed="10"/>
        <rFont val="Arial"/>
        <family val="2"/>
      </rPr>
      <t>DESPACHAR CON OTRA CARGA</t>
    </r>
  </si>
  <si>
    <t>Jacaranda 17</t>
  </si>
  <si>
    <t>97 bombas</t>
  </si>
  <si>
    <t>24 y 28/2</t>
  </si>
  <si>
    <t>SI - 21 Mayo (multa U$ 725,73)</t>
  </si>
  <si>
    <t>SI - 21 Mayo (multa U$ 60,36)</t>
  </si>
  <si>
    <t>138/11 BBR</t>
  </si>
  <si>
    <t>SI - 22 Jun (multa U$ 2204,35)</t>
  </si>
  <si>
    <t xml:space="preserve">28 bombas </t>
  </si>
  <si>
    <t>RR Europa V 033</t>
  </si>
  <si>
    <t xml:space="preserve">31 bombas </t>
  </si>
  <si>
    <t>127/11 BBR</t>
  </si>
  <si>
    <t>TAM 8019</t>
  </si>
  <si>
    <t>SI - 26 Marzo</t>
  </si>
  <si>
    <t>SI - Di.c 2012</t>
  </si>
  <si>
    <t>40 bombas + Fittings</t>
  </si>
  <si>
    <t>SI - 22 Jun. (multa U$ 902,72)</t>
  </si>
  <si>
    <t>Se solicito la correccion a Petrobras, los valores unitarios - RECIBIDA EL 2/01/12</t>
  </si>
  <si>
    <t>SI - 06 Jul. (multa 403,99)</t>
  </si>
  <si>
    <t>142/11 BBR</t>
  </si>
  <si>
    <t>LOG IN SANTOS V. 055SB/056NB</t>
  </si>
  <si>
    <t>Bombas y  nipples</t>
  </si>
  <si>
    <t>SI - 17 de Mayo</t>
  </si>
  <si>
    <t>025/12 BBR</t>
  </si>
  <si>
    <t xml:space="preserve"> Fittings</t>
  </si>
  <si>
    <t>SI - 4 Jul (multa U$ 3.707,04)</t>
  </si>
  <si>
    <t>SI - 28 Sept.</t>
  </si>
  <si>
    <t>Login Santos Viaje 057</t>
  </si>
  <si>
    <t>060</t>
  </si>
  <si>
    <t>SI - 01 Agos. (multa 3622,15)</t>
  </si>
  <si>
    <t>059</t>
  </si>
  <si>
    <t>SI - 16 Agos. (multa U$ 20,71)</t>
  </si>
  <si>
    <t>058</t>
  </si>
  <si>
    <t>SI - 17 Agos. (multa U$ 263,48)</t>
  </si>
  <si>
    <t>77 bombas</t>
  </si>
  <si>
    <t>061</t>
  </si>
  <si>
    <t>58 4393 9091</t>
  </si>
  <si>
    <t>SI - 15 Agos. (USD 2.332,13)</t>
  </si>
  <si>
    <t>020/12 BBR</t>
  </si>
  <si>
    <t>2 bombas + Fittings</t>
  </si>
  <si>
    <t>062</t>
  </si>
  <si>
    <t>SI - 18 Jun.</t>
  </si>
  <si>
    <t>Login Port Said Viaje 003</t>
  </si>
  <si>
    <t>108 bombas</t>
  </si>
  <si>
    <t>SI - 15 Agos. (USD 4.244,80)</t>
  </si>
  <si>
    <t>SI - 04 Jul.</t>
  </si>
  <si>
    <t>Falta la cotizacion de Bolland a Bolland do Brasil</t>
  </si>
  <si>
    <t>072</t>
  </si>
  <si>
    <t>SI - 15 Agos.</t>
  </si>
  <si>
    <t>070</t>
  </si>
  <si>
    <t>SI - 16 Agos. (multa U$ 840,15, se dedujo de la fact. N° 079)</t>
  </si>
  <si>
    <t>RR Europa  Viaje 036</t>
  </si>
  <si>
    <t>58 4393 9102</t>
  </si>
  <si>
    <t>SI - 06 Sept.</t>
  </si>
  <si>
    <t>3 bombas + fittings</t>
  </si>
  <si>
    <t>073</t>
  </si>
  <si>
    <t>078</t>
  </si>
  <si>
    <t>Login Jacaranda 021</t>
  </si>
  <si>
    <t>103 bombas</t>
  </si>
  <si>
    <t>079</t>
  </si>
  <si>
    <t>SI - 06 Sept. (multa U$ 1872 + U$ 840 de la fact. 070= U$ 2713)</t>
  </si>
  <si>
    <t>080</t>
  </si>
  <si>
    <t>Port Said Viaje 004</t>
  </si>
  <si>
    <t>49 bombas</t>
  </si>
  <si>
    <t>081</t>
  </si>
  <si>
    <t>SI - 12 Sept.</t>
  </si>
  <si>
    <t>082</t>
  </si>
  <si>
    <t>083</t>
  </si>
  <si>
    <t>OK - 20 Sept.</t>
  </si>
  <si>
    <t>036/12 BBR</t>
  </si>
  <si>
    <t>088-2012</t>
  </si>
  <si>
    <t>Frisia Wismar V.004N</t>
  </si>
  <si>
    <t>58 4410 2401</t>
  </si>
  <si>
    <t>SI - 06 Agos.</t>
  </si>
  <si>
    <t>027/10 BBR</t>
  </si>
  <si>
    <t>4600313538 (Global vastagos)</t>
  </si>
  <si>
    <t>90 vastagos</t>
  </si>
  <si>
    <t>SI - 18 Sept.</t>
  </si>
  <si>
    <t>Port Said Viaje 005</t>
  </si>
  <si>
    <t>086</t>
  </si>
  <si>
    <t>OK - 12 Oct.</t>
  </si>
  <si>
    <t>SI - 12 Oct.</t>
  </si>
  <si>
    <t>RR Europa Viaje 038</t>
  </si>
  <si>
    <r>
      <t xml:space="preserve">45 bombas + Fittings - </t>
    </r>
    <r>
      <rPr>
        <b/>
        <sz val="8"/>
        <color indexed="10"/>
        <rFont val="Arial"/>
        <family val="2"/>
      </rPr>
      <t>1° ENVIO</t>
    </r>
  </si>
  <si>
    <t>094</t>
  </si>
  <si>
    <t>58 4393 9113</t>
  </si>
  <si>
    <t>OK - 31 Oct.</t>
  </si>
  <si>
    <t>115 bombas + Fittings</t>
  </si>
  <si>
    <t>OK - 01 Nov.</t>
  </si>
  <si>
    <t>30 vastagos</t>
  </si>
  <si>
    <t>092</t>
  </si>
  <si>
    <t>SI - 25 Oct.</t>
  </si>
  <si>
    <t>121/11 BPB</t>
  </si>
  <si>
    <t>4600351379 (REPUESTOS 2012)</t>
  </si>
  <si>
    <t>091</t>
  </si>
  <si>
    <t>SI - 07 Dic. (multa U$ 664,014)</t>
  </si>
  <si>
    <t>Port Said Viaje 006</t>
  </si>
  <si>
    <t>58 4393 9124</t>
  </si>
  <si>
    <t>098</t>
  </si>
  <si>
    <t>Si - 12 Dic. (multa U$ 109,60)</t>
  </si>
  <si>
    <t>SI - 12 Dic. (multa U$ 696,64)</t>
  </si>
  <si>
    <t>Si - 12 Dic. (multa U$ 19,01)</t>
  </si>
  <si>
    <t>061/12 BBR</t>
  </si>
  <si>
    <t xml:space="preserve">RR Europa Viaje 039
</t>
  </si>
  <si>
    <t>58 4393 9146</t>
  </si>
  <si>
    <t>Se postergo la salida de Planta por demora en la entrega de unas valvulas del exterior.</t>
  </si>
  <si>
    <t>076/12 BBR</t>
  </si>
  <si>
    <t>082/12 BBR</t>
  </si>
  <si>
    <t>71 bombas + Fittings</t>
  </si>
  <si>
    <t>SI - 3 Dic.</t>
  </si>
  <si>
    <t>Se solicito la correccion a Petrobras de todos los precios de la PCS.  Se postergo la salida de Planta por demora en la entrega de unas valvulas del exterior.</t>
  </si>
  <si>
    <t>43 bombas + Fittings</t>
  </si>
  <si>
    <t>Si - 14 Dic.</t>
  </si>
  <si>
    <t>031/12 BBR</t>
  </si>
  <si>
    <t xml:space="preserve">Port Said Viaje 007 </t>
  </si>
  <si>
    <r>
      <t xml:space="preserve">10 bombas </t>
    </r>
    <r>
      <rPr>
        <b/>
        <sz val="8"/>
        <color indexed="10"/>
        <rFont val="Arial"/>
        <family val="2"/>
      </rPr>
      <t>- 1° ENVIO</t>
    </r>
  </si>
  <si>
    <t>58 4410 2434</t>
  </si>
  <si>
    <t>Si - 13 Dic.</t>
  </si>
  <si>
    <t>Si - 12 Dic.</t>
  </si>
  <si>
    <t>SI - 12 Dic.</t>
  </si>
  <si>
    <t>RR Europa Viaje 040</t>
  </si>
  <si>
    <t>58 4410 2515</t>
  </si>
  <si>
    <r>
      <t>25 bombas + Fittings -</t>
    </r>
    <r>
      <rPr>
        <b/>
        <sz val="8"/>
        <color indexed="10"/>
        <rFont val="Arial"/>
        <family val="2"/>
      </rPr>
      <t xml:space="preserve"> 2° ENVIO</t>
    </r>
  </si>
  <si>
    <t>Port Said V.008</t>
  </si>
  <si>
    <r>
      <t>44 bombas</t>
    </r>
    <r>
      <rPr>
        <b/>
        <sz val="8"/>
        <color indexed="10"/>
        <rFont val="Arial"/>
        <family val="2"/>
      </rPr>
      <t xml:space="preserve"> - 2° ENVIO</t>
    </r>
  </si>
  <si>
    <t>58 4410 2493</t>
  </si>
  <si>
    <t>SI - 18 Ene.</t>
  </si>
  <si>
    <t>Frisia Wismar Viaje 008</t>
  </si>
  <si>
    <t>58 4410 2482</t>
  </si>
  <si>
    <t>077/12 BBR</t>
  </si>
  <si>
    <t>102/12 BBR</t>
  </si>
  <si>
    <t>130 vastagos</t>
  </si>
  <si>
    <t>SI - 16 Ene ( multa U% 114,42)</t>
  </si>
  <si>
    <t>SI - 16 Ene.</t>
  </si>
  <si>
    <t>RR Europa Viaje 041</t>
  </si>
  <si>
    <t>58 4410 2445</t>
  </si>
  <si>
    <t>107/12 BBR</t>
  </si>
  <si>
    <t>W. Petroleo 004201 y 004222</t>
  </si>
  <si>
    <t xml:space="preserve">Frisia Wismar Viaje 009 </t>
  </si>
  <si>
    <r>
      <t xml:space="preserve">2 bombas + nipples- </t>
    </r>
    <r>
      <rPr>
        <b/>
        <sz val="8"/>
        <color indexed="10"/>
        <rFont val="Arial"/>
        <family val="2"/>
      </rPr>
      <t>W. PETROLEO</t>
    </r>
  </si>
  <si>
    <t>58 4410 2622</t>
  </si>
  <si>
    <t>SI - 19 Feb.</t>
  </si>
  <si>
    <t>Precios incorrectos, se solicita la correccion</t>
  </si>
  <si>
    <t>30 bombas + 31 pistones</t>
  </si>
  <si>
    <t>Login Jacaranda Viaje 027</t>
  </si>
  <si>
    <r>
      <t xml:space="preserve">45 vastagos </t>
    </r>
    <r>
      <rPr>
        <b/>
        <sz val="8"/>
        <color indexed="10"/>
        <rFont val="Arial"/>
        <family val="2"/>
      </rPr>
      <t>- 1° ENVIO</t>
    </r>
  </si>
  <si>
    <t>58 4410 2655</t>
  </si>
  <si>
    <t>125/12 BBR</t>
  </si>
  <si>
    <t>W. Petroleo 4288</t>
  </si>
  <si>
    <t>LLEVA EN MANO ALEJANDRO PIGNI</t>
  </si>
  <si>
    <t>Login Frisia Wismar Viaje 010</t>
  </si>
  <si>
    <t>58 4410 2633</t>
  </si>
  <si>
    <t>60 vastagos</t>
  </si>
  <si>
    <t>SI - 07 May</t>
  </si>
  <si>
    <t>Login Log-In Jacarandá 028</t>
  </si>
  <si>
    <t>53 1919 8393</t>
  </si>
  <si>
    <t>SI-19 Abril</t>
  </si>
  <si>
    <r>
      <t xml:space="preserve">50 vastagos </t>
    </r>
    <r>
      <rPr>
        <b/>
        <sz val="8"/>
        <color indexed="10"/>
        <rFont val="Arial"/>
        <family val="2"/>
      </rPr>
      <t>- 2° ENVIO</t>
    </r>
  </si>
  <si>
    <t>SI - 26 Abril</t>
  </si>
  <si>
    <t>Si - 26 Abril</t>
  </si>
  <si>
    <t>SI - 23 Mayo</t>
  </si>
  <si>
    <t xml:space="preserve">Login Log-In Jacarandá 029 </t>
  </si>
  <si>
    <t>53 1919 8441</t>
  </si>
  <si>
    <t>45 vastagos</t>
  </si>
  <si>
    <t>016</t>
  </si>
  <si>
    <t>10 bombas + Fittings</t>
  </si>
  <si>
    <t>124/12 BBR</t>
  </si>
  <si>
    <t>Petrobras N° 4505025826</t>
  </si>
  <si>
    <t>Fittings (valvulas y copas)</t>
  </si>
  <si>
    <t>con carga - BUE05009863</t>
  </si>
  <si>
    <t>Si - Marzo</t>
  </si>
  <si>
    <t>Se envian solo 8 valvulas, en lugar de 10 (a pedido de Bolland do Brasil). Se agregan 15 copas al despacho</t>
  </si>
  <si>
    <t xml:space="preserve">Login Jacaranda V030 </t>
  </si>
  <si>
    <t>SI - 23 Mayo - Multa U$ 194,33</t>
  </si>
  <si>
    <t>SI - 31 May. (Multa U$ 761,18)</t>
  </si>
  <si>
    <t>Se solicita modificar el vto. - NO SE VA A MODIFICAR</t>
  </si>
  <si>
    <t>SI - 31 May. (Multa U$ 66,16)</t>
  </si>
  <si>
    <t>75 vastagos</t>
  </si>
  <si>
    <t>SI - 14 Jun.</t>
  </si>
  <si>
    <t xml:space="preserve">Login Pantanal V068 </t>
  </si>
  <si>
    <t>53 1919 8426</t>
  </si>
  <si>
    <t>SI - 24 Jun</t>
  </si>
  <si>
    <t>001/13 BBR</t>
  </si>
  <si>
    <t>Petrobras N° 4505085577</t>
  </si>
  <si>
    <t>SI - 26 Abriil</t>
  </si>
  <si>
    <t>007/13 BBR</t>
  </si>
  <si>
    <t>Petrobras N° 4505099209</t>
  </si>
  <si>
    <t>Login Jacaranda V031</t>
  </si>
  <si>
    <t>30 bombas + Fittings</t>
  </si>
  <si>
    <t>53 1919 8566</t>
  </si>
  <si>
    <t>SI - 25 Jun.</t>
  </si>
  <si>
    <t>Login Pantanal69</t>
  </si>
  <si>
    <t>64 vastagos</t>
  </si>
  <si>
    <t>SI - 5 Jil.</t>
  </si>
  <si>
    <t>105/12 BBR</t>
  </si>
  <si>
    <t>4600387192 (Global vastagos 2013)</t>
  </si>
  <si>
    <t>50 vastagos</t>
  </si>
  <si>
    <r>
      <t xml:space="preserve">150 vastagos </t>
    </r>
    <r>
      <rPr>
        <b/>
        <sz val="8"/>
        <color indexed="12"/>
        <rFont val="Arial"/>
        <family val="2"/>
      </rPr>
      <t>- 3° ENVIO</t>
    </r>
  </si>
  <si>
    <t>034</t>
  </si>
  <si>
    <t>Si - 30 Jul - Multa U$ 3.121,20</t>
  </si>
  <si>
    <t>Login Jacaranda V032</t>
  </si>
  <si>
    <t>172 vastagos</t>
  </si>
  <si>
    <t>044</t>
  </si>
  <si>
    <t>53 1919 8603</t>
  </si>
  <si>
    <t>SI - 19 Jul.</t>
  </si>
  <si>
    <t>129/12 BPB</t>
  </si>
  <si>
    <t>4600390337 (GLOBAL 2013)</t>
  </si>
  <si>
    <t>045</t>
  </si>
  <si>
    <t>SI - 12 Agos.</t>
  </si>
  <si>
    <t>38 bombas + Fittings</t>
  </si>
  <si>
    <t>Log-in Pantanal 070</t>
  </si>
  <si>
    <t>53 1919 8614</t>
  </si>
  <si>
    <t>Fitings</t>
  </si>
  <si>
    <t>052</t>
  </si>
  <si>
    <t>RR EUROPA 048</t>
  </si>
  <si>
    <t>53 1753 0190</t>
  </si>
  <si>
    <t>Si - 8 Agos.</t>
  </si>
  <si>
    <t>055</t>
  </si>
  <si>
    <t xml:space="preserve">Se solicita modificar el vto. </t>
  </si>
  <si>
    <t>66 bombas</t>
  </si>
  <si>
    <t>Se solicita modificar el vto.  - CANCELADA</t>
  </si>
  <si>
    <t>058/13 BBR</t>
  </si>
  <si>
    <t>Petrobras N° 4505313110</t>
  </si>
  <si>
    <t>BUE 70330374</t>
  </si>
  <si>
    <t>SI - 5 Jul.</t>
  </si>
  <si>
    <t>055/13 BBR</t>
  </si>
  <si>
    <t>Petrobras N° 4505336243</t>
  </si>
  <si>
    <r>
      <t>Fittings</t>
    </r>
    <r>
      <rPr>
        <sz val="8"/>
        <color indexed="12"/>
        <rFont val="Arial"/>
        <family val="2"/>
      </rPr>
      <t xml:space="preserve"> -</t>
    </r>
    <r>
      <rPr>
        <b/>
        <sz val="8"/>
        <color indexed="12"/>
        <rFont val="Arial"/>
        <family val="2"/>
      </rPr>
      <t xml:space="preserve"> ENVIA PANDELTA</t>
    </r>
  </si>
  <si>
    <t>SI - 23 Jul.</t>
  </si>
  <si>
    <t>Frisia Wismar 016</t>
  </si>
  <si>
    <t>SI - 02 Sept.</t>
  </si>
  <si>
    <t>064</t>
  </si>
  <si>
    <t>Si - 3 Sept.</t>
  </si>
  <si>
    <t>063</t>
  </si>
  <si>
    <t>Log-In Jacarandá 034</t>
  </si>
  <si>
    <t>53 1753 0256</t>
  </si>
  <si>
    <t>SI - 19 Sept. (multa U$ 973,84)</t>
  </si>
  <si>
    <t xml:space="preserve">Log-in Pantanal 072 </t>
  </si>
  <si>
    <t>071</t>
  </si>
  <si>
    <t>SI - 20 Sept.</t>
  </si>
  <si>
    <t>Si  - 04 Oct.</t>
  </si>
  <si>
    <t>040/13 BBR</t>
  </si>
  <si>
    <t>Petrobras N° 4505239062</t>
  </si>
  <si>
    <t>Petrobras N° 4505429732</t>
  </si>
  <si>
    <r>
      <t>Fittings</t>
    </r>
    <r>
      <rPr>
        <sz val="8"/>
        <color indexed="12"/>
        <rFont val="Arial"/>
        <family val="2"/>
      </rPr>
      <t xml:space="preserve"> -</t>
    </r>
    <r>
      <rPr>
        <b/>
        <sz val="8"/>
        <color indexed="12"/>
        <rFont val="Arial"/>
        <family val="2"/>
      </rPr>
      <t xml:space="preserve"> ENVIA CONROE PLASTICS</t>
    </r>
  </si>
  <si>
    <t>SI - ANTICIPADO</t>
  </si>
  <si>
    <t xml:space="preserve">Log-In ANGOL V-004 </t>
  </si>
  <si>
    <t>CANCELADA - se va a juntar con otra PCS (03/10/13)</t>
  </si>
  <si>
    <t xml:space="preserve">FRISIA WISMAR V. 019 </t>
  </si>
  <si>
    <t>87 3445 5295</t>
  </si>
  <si>
    <t>SI - 14 Nov.</t>
  </si>
  <si>
    <r>
      <t xml:space="preserve">Esta PCS reemplaza la PCS 4505227056 (66 bombas)  </t>
    </r>
    <r>
      <rPr>
        <sz val="8"/>
        <color indexed="10"/>
        <rFont val="Arial"/>
        <family val="2"/>
      </rPr>
      <t>PENDIENTE DE INSPECCION, NO AUTORIZAN DESDE PETROBRAS.  Se autorizo el 26/08 - Se solicita modificar el vto.</t>
    </r>
  </si>
  <si>
    <t>13 014 EC01 000209W</t>
  </si>
  <si>
    <t>SI - 20 Nov.</t>
  </si>
  <si>
    <t>SI - 05 Dic.</t>
  </si>
  <si>
    <t>PENDIENTE DE INSPECCION, NO AUTORIZAN DESDE PETROBRAS.  Se autorizo el 26/08</t>
  </si>
  <si>
    <t>SI - 23 Dic.</t>
  </si>
  <si>
    <t>SI - 10 Dic.</t>
  </si>
  <si>
    <t>SI - 11 Dic.</t>
  </si>
  <si>
    <t>PENDIENTE DE INSPECCION, NO AUTORIZAN DESDE PETROBRAS. Se autorizo el 26/08 - Se solicita modificar el vto.</t>
  </si>
  <si>
    <t>RR Euroepa V 052</t>
  </si>
  <si>
    <t>89 bombas + Fittings</t>
  </si>
  <si>
    <t>SI - 05 Dic. (multa U$ 891,43)</t>
  </si>
  <si>
    <t>13 014 EC01 000214S</t>
  </si>
  <si>
    <t>090</t>
  </si>
  <si>
    <t xml:space="preserve">FRISIA WISMAR 020N </t>
  </si>
  <si>
    <t>13 014 EC01 000238B</t>
  </si>
  <si>
    <t>095</t>
  </si>
  <si>
    <t>145 vastagos</t>
  </si>
  <si>
    <t>SI - 20 Dic. (multa U$ 489,94)</t>
  </si>
  <si>
    <t>Modificar inspeccion del item 2.</t>
  </si>
  <si>
    <t>13 014 EC01 000238D</t>
  </si>
  <si>
    <t>13 014 EC01 000258D</t>
  </si>
  <si>
    <t>072/13 BBR</t>
  </si>
  <si>
    <t>Petrobras N° 4505458202</t>
  </si>
  <si>
    <t>SI - 01 Dic.</t>
  </si>
  <si>
    <t>13 01 EC01 000257C</t>
  </si>
  <si>
    <t>075/13 BBR</t>
  </si>
  <si>
    <t>Petrobras N° 4505495556</t>
  </si>
  <si>
    <t>SI - 27 Ene.</t>
  </si>
  <si>
    <t xml:space="preserve">Log-In Jacaranda V-038 
</t>
  </si>
  <si>
    <t>13 014 EC01 000265B</t>
  </si>
  <si>
    <t>087/13 BBR</t>
  </si>
  <si>
    <t>Petrobras N° 4505476124</t>
  </si>
  <si>
    <t>13 014 EC01 000264A</t>
  </si>
  <si>
    <t>SI - 15 Ene.</t>
  </si>
  <si>
    <t xml:space="preserve">Frisia Wismar V-022 </t>
  </si>
  <si>
    <t>SI - 21 Feb.</t>
  </si>
  <si>
    <t>13 014 EC01 000289H</t>
  </si>
  <si>
    <t>247 vastagos</t>
  </si>
  <si>
    <t>41 bombas</t>
  </si>
  <si>
    <t>SI - 17 Mar.</t>
  </si>
  <si>
    <t>079/13 BBR</t>
  </si>
  <si>
    <t>Petrobras N° 4505479721</t>
  </si>
  <si>
    <t xml:space="preserve">Login Jacaranda V-040 </t>
  </si>
  <si>
    <t xml:space="preserve">190 vastagos </t>
  </si>
  <si>
    <r>
      <t xml:space="preserve">Se cancleo el buque, paso del 29/11 al 06/12/13.  </t>
    </r>
    <r>
      <rPr>
        <b/>
        <sz val="9"/>
        <color indexed="10"/>
        <rFont val="Arial"/>
        <family val="2"/>
      </rPr>
      <t>Bolland do Brasil pidio postergar la salida a Enero.</t>
    </r>
  </si>
  <si>
    <t>13 014 EC01 000282A</t>
  </si>
  <si>
    <t>088/13 BBR</t>
  </si>
  <si>
    <t>Petrobras N° 4505513039</t>
  </si>
  <si>
    <t>126 pistones</t>
  </si>
  <si>
    <t>099/13 BBR</t>
  </si>
  <si>
    <t>Petrobras N° 4505561468</t>
  </si>
  <si>
    <t>13 014 EC01 000301P</t>
  </si>
  <si>
    <t>054/13 BBR</t>
  </si>
  <si>
    <t>Petrobras N° 4505454206</t>
  </si>
  <si>
    <t>106/13 BBR</t>
  </si>
  <si>
    <t>Petrobras N° 4505641171</t>
  </si>
  <si>
    <t xml:space="preserve"> Algol V-007 </t>
  </si>
  <si>
    <t>Si - 11 Feb.</t>
  </si>
  <si>
    <t>14 014 EC01 000010N</t>
  </si>
  <si>
    <t>112/13 BBR</t>
  </si>
  <si>
    <t>Petrobras N° 4505669297</t>
  </si>
  <si>
    <t>SI - 24 Mar.</t>
  </si>
  <si>
    <t>14 014 EC01 000011Y</t>
  </si>
  <si>
    <t>SI - 24 Mar</t>
  </si>
  <si>
    <t>Se solicita modificacion de precios. La modificacion d elos precios se realizaran luego de recibir la factura. (mail 02/12/13)</t>
  </si>
  <si>
    <t>50 bombas + fittings</t>
  </si>
  <si>
    <t>SI - 03 Abri.</t>
  </si>
  <si>
    <t>SI - 09 Abr.</t>
  </si>
  <si>
    <t>51 bombas</t>
  </si>
  <si>
    <t>101/13 BBR</t>
  </si>
  <si>
    <t>Petrobras N° 4505623947</t>
  </si>
  <si>
    <r>
      <t>Fittings -</t>
    </r>
    <r>
      <rPr>
        <b/>
        <sz val="9"/>
        <color indexed="10"/>
        <rFont val="Arial"/>
        <family val="2"/>
      </rPr>
      <t xml:space="preserve"> Se envian desde USA</t>
    </r>
  </si>
  <si>
    <t>SI - 09 Mayo</t>
  </si>
  <si>
    <t>14014 EC01 000011Y</t>
  </si>
  <si>
    <t>084/13 BBR</t>
  </si>
  <si>
    <t>Petrobras N° 4505512759</t>
  </si>
  <si>
    <t xml:space="preserve">RR Europa V 059 </t>
  </si>
  <si>
    <t xml:space="preserve">10 bombas  </t>
  </si>
  <si>
    <t>lleva A. Pigni</t>
  </si>
  <si>
    <t>Petrobras N° 4505715083</t>
  </si>
  <si>
    <t xml:space="preserve">Frisia Wismar V 026 </t>
  </si>
  <si>
    <t>SI - 12 Jun.</t>
  </si>
  <si>
    <t>14014 EC01 000116U</t>
  </si>
  <si>
    <t>Abril</t>
  </si>
  <si>
    <t>Algol V 010</t>
  </si>
  <si>
    <t>SI - 23 Jun.</t>
  </si>
  <si>
    <t>14 014 EC01000131R</t>
  </si>
  <si>
    <t>SI - 18 Jun</t>
  </si>
  <si>
    <t>125 bombas</t>
  </si>
  <si>
    <t>SI - 30 Jul. - Multa: U$ 800</t>
  </si>
  <si>
    <t>14 014 EC01 000179G</t>
  </si>
  <si>
    <t>Mayo</t>
  </si>
  <si>
    <t>67 bombas + fittings</t>
  </si>
  <si>
    <t>Se pidió a Petrobras modificación de precios</t>
  </si>
  <si>
    <t>Frisia Wismar 028</t>
  </si>
  <si>
    <t>SI - 26 Agos.</t>
  </si>
  <si>
    <t>14 014 EC01 000235W</t>
  </si>
  <si>
    <t>Junio</t>
  </si>
  <si>
    <t>143 bombas</t>
  </si>
  <si>
    <t>Si - 08 Sept.</t>
  </si>
  <si>
    <t>017/14 BBR</t>
  </si>
  <si>
    <t xml:space="preserve">Petrobras N° 4505873550 </t>
  </si>
  <si>
    <t>SI - 22 de Agos</t>
  </si>
  <si>
    <t>Julio</t>
  </si>
  <si>
    <t>Petrobras N° 4505952439</t>
  </si>
  <si>
    <t>023/14 BBR</t>
  </si>
  <si>
    <t>Petrobras N° 4505977829</t>
  </si>
  <si>
    <t>053</t>
  </si>
  <si>
    <t>034/14 BBR</t>
  </si>
  <si>
    <t>Petrobras N° 4506008045</t>
  </si>
  <si>
    <t>SI - 7 de Oct.</t>
  </si>
  <si>
    <t>Agosto</t>
  </si>
  <si>
    <t>049/14 BBR</t>
  </si>
  <si>
    <t>Petrobras N° 4506108545</t>
  </si>
  <si>
    <t>SI - 03 Dic.</t>
  </si>
  <si>
    <t>septiembre</t>
  </si>
  <si>
    <t>041/14 BBR</t>
  </si>
  <si>
    <t>Petrobras N° 4506015460</t>
  </si>
  <si>
    <t>052/14 BBR</t>
  </si>
  <si>
    <t>Petrobras N° 4506201528</t>
  </si>
  <si>
    <t xml:space="preserve">MV Aldebaran V011N
</t>
  </si>
  <si>
    <t>A pedido de Brasil se retrasa la salida, de Diciembre pasa a Enero</t>
  </si>
  <si>
    <t>Enero</t>
  </si>
  <si>
    <t>077/14 BBR</t>
  </si>
  <si>
    <t>Petrobras N° 4506238715</t>
  </si>
  <si>
    <t>40bombas</t>
  </si>
  <si>
    <t>076/14 BBR</t>
  </si>
  <si>
    <t>Petrobras N° 4506279054</t>
  </si>
  <si>
    <t>PETROBRAS AMERICA</t>
  </si>
  <si>
    <t>064/14 BBR</t>
  </si>
  <si>
    <t>Monte Aconcagua</t>
  </si>
  <si>
    <r>
      <t>3 bombas</t>
    </r>
    <r>
      <rPr>
        <b/>
        <sz val="9"/>
        <color indexed="10"/>
        <rFont val="Arial"/>
        <family val="2"/>
      </rPr>
      <t xml:space="preserve"> - PUERTO DE SANTOS - INSPECCION TIPO B</t>
    </r>
  </si>
  <si>
    <t>al forwarder</t>
  </si>
  <si>
    <t>Material listo desde mediados de Diciembre. Petrobras America no da el OK para embarcar</t>
  </si>
  <si>
    <t>15001EC01003929J</t>
  </si>
  <si>
    <t>Febrero</t>
  </si>
  <si>
    <t>065/14 BBR</t>
  </si>
  <si>
    <t>EASTER ISLAND 166</t>
  </si>
  <si>
    <r>
      <t xml:space="preserve">35 bombas </t>
    </r>
    <r>
      <rPr>
        <b/>
        <sz val="9"/>
        <color indexed="10"/>
        <rFont val="Arial"/>
        <family val="2"/>
      </rPr>
      <t>- PUERTO DE SANTOS - INSPECCION TIPO A</t>
    </r>
  </si>
  <si>
    <t>15001EC01010104P</t>
  </si>
  <si>
    <t>081/14 BBR</t>
  </si>
  <si>
    <t>Petrobras N° 4506273104</t>
  </si>
  <si>
    <t>150 bombas</t>
  </si>
  <si>
    <t>SI - 02 Jun.</t>
  </si>
  <si>
    <t>106/14 BBR</t>
  </si>
  <si>
    <t>Petrobras N° 4506359839</t>
  </si>
  <si>
    <t>091/14 BBR</t>
  </si>
  <si>
    <t>Petrobras N° 4506318016</t>
  </si>
  <si>
    <t xml:space="preserve">Frisia Wismar 039
</t>
  </si>
  <si>
    <t>SI - 02 Jul.</t>
  </si>
  <si>
    <t>099/14 BBR</t>
  </si>
  <si>
    <t>Petrobras N° 4506359130</t>
  </si>
  <si>
    <t>Vastagos</t>
  </si>
  <si>
    <t>107/14 BBR</t>
  </si>
  <si>
    <t>Petrobras N° 4506370834</t>
  </si>
  <si>
    <t>M/V Frisia Kiel V.003</t>
  </si>
  <si>
    <t>22,23 y 24/04</t>
  </si>
  <si>
    <t>15014EC01000160U</t>
  </si>
  <si>
    <t>005/15 BBR</t>
  </si>
  <si>
    <t>Petrobras N° 4506404710</t>
  </si>
  <si>
    <t>17 Pistones</t>
  </si>
  <si>
    <t>096/14 BBR</t>
  </si>
  <si>
    <t>Petrobras N° 4506396830</t>
  </si>
  <si>
    <t>014/15 BBR</t>
  </si>
  <si>
    <t>Petrobras N° 4506463874</t>
  </si>
  <si>
    <t>40 pistones</t>
  </si>
  <si>
    <t>012/15 BBR</t>
  </si>
  <si>
    <t>Petrobras N° 4506466487</t>
  </si>
  <si>
    <t xml:space="preserve"> Frisia Wismar V 041</t>
  </si>
  <si>
    <t>155 vastagos</t>
  </si>
  <si>
    <t>15014EC01000215V</t>
  </si>
  <si>
    <t>039/15 BBR</t>
  </si>
  <si>
    <t>Petrobras N° 4506584945</t>
  </si>
  <si>
    <t xml:space="preserve">ALDEBARAN V 018
</t>
  </si>
  <si>
    <t>SI - 13 Oct.</t>
  </si>
  <si>
    <t>15014EC01000265D</t>
  </si>
  <si>
    <t>008/15 BBR</t>
  </si>
  <si>
    <t>Petrobras N° 4506586558</t>
  </si>
  <si>
    <t>28 pistones</t>
  </si>
  <si>
    <t>024/15 BBR</t>
  </si>
  <si>
    <t>Petrobras N° 4506506177</t>
  </si>
  <si>
    <t>197 bombas</t>
  </si>
  <si>
    <t>13y14/7</t>
  </si>
  <si>
    <t>054/15 BBR</t>
  </si>
  <si>
    <t>Petrobras N° 4506618983</t>
  </si>
  <si>
    <t>091/14 BBR-2</t>
  </si>
  <si>
    <r>
      <t xml:space="preserve">60 bolas - </t>
    </r>
    <r>
      <rPr>
        <sz val="9"/>
        <color indexed="10"/>
        <rFont val="Arial"/>
        <family val="2"/>
      </rPr>
      <t>PARA REEMPLAZAR</t>
    </r>
  </si>
  <si>
    <t>051/15 BBR</t>
  </si>
  <si>
    <t xml:space="preserve">ER SWEDEN V1529
</t>
  </si>
  <si>
    <t>15091EC01012929S</t>
  </si>
  <si>
    <t>053/15 BBR</t>
  </si>
  <si>
    <t>Petrobras N° 4506629430</t>
  </si>
  <si>
    <t xml:space="preserve">ALDEBARAN V 019
</t>
  </si>
  <si>
    <t>15092EC01018332N</t>
  </si>
  <si>
    <t>056/15 BBR</t>
  </si>
  <si>
    <t>Petrobras N° 4506645792</t>
  </si>
  <si>
    <t>061/15 BBR</t>
  </si>
  <si>
    <t>Petrobras N° 4506652907</t>
  </si>
  <si>
    <t>062/15 BBR</t>
  </si>
  <si>
    <t>Petrobras N° 4506660209</t>
  </si>
  <si>
    <t>034/15 BBR</t>
  </si>
  <si>
    <t>Petrobras N° 4506677818</t>
  </si>
  <si>
    <t>035/15 BBR</t>
  </si>
  <si>
    <t>Petrobras N° 4506675659</t>
  </si>
  <si>
    <t>028/15 BBR</t>
  </si>
  <si>
    <t>Petrobras N° 4506530961</t>
  </si>
  <si>
    <t>ALDEBARAN V 020</t>
  </si>
  <si>
    <r>
      <t>80 bombas</t>
    </r>
    <r>
      <rPr>
        <b/>
        <sz val="9"/>
        <color indexed="10"/>
        <rFont val="Arial"/>
        <family val="2"/>
      </rPr>
      <t xml:space="preserve"> </t>
    </r>
  </si>
  <si>
    <t xml:space="preserve">
7351131782 </t>
  </si>
  <si>
    <t>15014EC01000318C</t>
  </si>
  <si>
    <t>Septiembre</t>
  </si>
  <si>
    <t>103/15 BBR</t>
  </si>
  <si>
    <t>Petrobras N° 4506733338</t>
  </si>
  <si>
    <t>16 asientos</t>
  </si>
  <si>
    <t>Las bolas para estos asientos estan en stock en Bolland do Brasil, de esta manera queda formada al avalvula solicitada por Petrobras</t>
  </si>
  <si>
    <t>052/15 BBR</t>
  </si>
  <si>
    <t>Petrobras N° 4506644206</t>
  </si>
  <si>
    <t>Jacaranda 063</t>
  </si>
  <si>
    <t>110 pistones</t>
  </si>
  <si>
    <t>SI - 21 Ene.</t>
  </si>
  <si>
    <t>15092EC01026907U</t>
  </si>
  <si>
    <t>Octubre</t>
  </si>
  <si>
    <t>044/15 BBR</t>
  </si>
  <si>
    <t>Petrobras N° 4506783132</t>
  </si>
  <si>
    <r>
      <t>100 valvulas -</t>
    </r>
    <r>
      <rPr>
        <b/>
        <sz val="9"/>
        <color indexed="10"/>
        <rFont val="Arial"/>
        <family val="2"/>
      </rPr>
      <t xml:space="preserve"> 1° ENVIO</t>
    </r>
  </si>
  <si>
    <t>FRISIA WISMAR V 047</t>
  </si>
  <si>
    <r>
      <t>Fittings + 187 bombas-</t>
    </r>
    <r>
      <rPr>
        <b/>
        <sz val="9"/>
        <color indexed="10"/>
        <rFont val="Arial"/>
        <family val="2"/>
      </rPr>
      <t xml:space="preserve"> 2° ENVIO</t>
    </r>
  </si>
  <si>
    <t>15014EC01000364D</t>
  </si>
  <si>
    <t>Noviembre</t>
  </si>
  <si>
    <t>116/15 BBR</t>
  </si>
  <si>
    <t>Petrobras N° 4506835893</t>
  </si>
  <si>
    <t>135/15 BBR</t>
  </si>
  <si>
    <t>Petrobras N° 4506884111</t>
  </si>
  <si>
    <t>FRISIA WISMAR V 048</t>
  </si>
  <si>
    <r>
      <t>58 bombas -</t>
    </r>
    <r>
      <rPr>
        <b/>
        <sz val="9"/>
        <color indexed="10"/>
        <rFont val="Arial"/>
        <family val="2"/>
      </rPr>
      <t xml:space="preserve"> 3° ENVIO</t>
    </r>
  </si>
  <si>
    <t>1501EC01000379J</t>
  </si>
  <si>
    <t>Diciembre</t>
  </si>
  <si>
    <t>LOG-IN PANTANAL viaje 109</t>
  </si>
  <si>
    <r>
      <t>23 bombas -</t>
    </r>
    <r>
      <rPr>
        <b/>
        <sz val="9"/>
        <color indexed="10"/>
        <rFont val="Arial"/>
        <family val="2"/>
      </rPr>
      <t xml:space="preserve"> 4° ENVIO</t>
    </r>
  </si>
  <si>
    <t>16014EC01000084D</t>
  </si>
  <si>
    <t>febrero</t>
  </si>
  <si>
    <t>119/15 BBR</t>
  </si>
  <si>
    <t>Petrobras N° 4506872780</t>
  </si>
  <si>
    <t>149/15 BBR</t>
  </si>
  <si>
    <t>Petrobras N° 4506981857</t>
  </si>
  <si>
    <t>Fittings - 23 pistones</t>
  </si>
  <si>
    <t>005/16 BBR</t>
  </si>
  <si>
    <t>Petrobras N° 4506990401/4507016846/4507075030/4507059575</t>
  </si>
  <si>
    <t>FRISIA WISMAR</t>
  </si>
  <si>
    <t>SI - 27 Abri.</t>
  </si>
  <si>
    <t>Se espera enviar junto a otra carga</t>
  </si>
  <si>
    <t>16014EC01000183D</t>
  </si>
  <si>
    <t>mayo</t>
  </si>
  <si>
    <t>154/15 BBR</t>
  </si>
  <si>
    <t>Petrobras N° 4507057841</t>
  </si>
  <si>
    <t>Petrobras N° 4507057806</t>
  </si>
  <si>
    <r>
      <t xml:space="preserve">31 Bombas + Fittings </t>
    </r>
    <r>
      <rPr>
        <sz val="9"/>
        <color indexed="10"/>
        <rFont val="Arial"/>
        <family val="2"/>
      </rPr>
      <t>- 1° ENVIO</t>
    </r>
  </si>
  <si>
    <t>27y28 Abr.</t>
  </si>
  <si>
    <t>Petrobras N° 4507057825</t>
  </si>
  <si>
    <r>
      <t>8 Bombas + Fittings</t>
    </r>
    <r>
      <rPr>
        <sz val="9"/>
        <color indexed="10"/>
        <rFont val="Arial"/>
        <family val="2"/>
      </rPr>
      <t>- 1° ENVIO</t>
    </r>
  </si>
  <si>
    <t>Petrobras N° 4507057835</t>
  </si>
  <si>
    <r>
      <t>53 Bombas + Fittings</t>
    </r>
    <r>
      <rPr>
        <sz val="9"/>
        <color indexed="10"/>
        <rFont val="Arial"/>
        <family val="2"/>
      </rPr>
      <t>- 1° ENVIO</t>
    </r>
  </si>
  <si>
    <t>RR Europa 619</t>
  </si>
  <si>
    <r>
      <t xml:space="preserve">16 Bombas + Fittings </t>
    </r>
    <r>
      <rPr>
        <sz val="9"/>
        <color indexed="10"/>
        <rFont val="Arial"/>
        <family val="2"/>
      </rPr>
      <t>- 2° ENVIO</t>
    </r>
  </si>
  <si>
    <t>SI - 16 May.</t>
  </si>
  <si>
    <t>16014EC01000235B</t>
  </si>
  <si>
    <r>
      <t>4 Bombas + Fittings</t>
    </r>
    <r>
      <rPr>
        <sz val="9"/>
        <color indexed="10"/>
        <rFont val="Arial"/>
        <family val="2"/>
      </rPr>
      <t>- 2° ENVIO</t>
    </r>
  </si>
  <si>
    <r>
      <t>20 Bombas + Fittings</t>
    </r>
    <r>
      <rPr>
        <sz val="9"/>
        <color indexed="10"/>
        <rFont val="Arial"/>
        <family val="2"/>
      </rPr>
      <t>- 2° ENVIO</t>
    </r>
  </si>
  <si>
    <t>002/16 BBR</t>
  </si>
  <si>
    <t>Petrobras N° 4507111051</t>
  </si>
  <si>
    <t>M. Suape viaje 158</t>
  </si>
  <si>
    <r>
      <t>100 vastagos -</t>
    </r>
    <r>
      <rPr>
        <sz val="9"/>
        <color indexed="10"/>
        <rFont val="Arial"/>
        <family val="2"/>
      </rPr>
      <t xml:space="preserve"> 1° ENVIO</t>
    </r>
  </si>
  <si>
    <t>Petrobras por un tema de pago solicita suspender la entrega hasta Febrero - Petrobras soluciona el problema de pago y da el OK para despachar la carga pero no dan el OK de la autorizacion de inspeccion por lo tanto se posterga. Finalmente se envian los vastagos sin inspeccion, segun mail del 03 de junio</t>
  </si>
  <si>
    <t>16001EC01011180V</t>
  </si>
  <si>
    <t>026/16 BBR</t>
  </si>
  <si>
    <t>Petrobras N° 4507147022</t>
  </si>
  <si>
    <t>040/16 BBR</t>
  </si>
  <si>
    <t>Petrobras N° 4507235676</t>
  </si>
  <si>
    <t>LOG-IN Aldebarán viaje 033</t>
  </si>
  <si>
    <r>
      <t>400 vastagos -</t>
    </r>
    <r>
      <rPr>
        <sz val="9"/>
        <color indexed="10"/>
        <rFont val="Arial"/>
        <family val="2"/>
      </rPr>
      <t xml:space="preserve"> 2° ENVIO</t>
    </r>
  </si>
  <si>
    <t>SI - 18/10</t>
  </si>
  <si>
    <t>SI - 18/11</t>
  </si>
  <si>
    <t>16001EC01034971L</t>
  </si>
  <si>
    <t>sept.</t>
  </si>
  <si>
    <t>063/16 BBR</t>
  </si>
  <si>
    <t>PetroReconcavo 049396/1</t>
  </si>
  <si>
    <t>RR EUROPA 625</t>
  </si>
  <si>
    <t>No hay lugar en el buque del 19/11, se pasa al proximo del 26/11</t>
  </si>
  <si>
    <t>16001EC01050002R</t>
  </si>
  <si>
    <t>077/16 BBR</t>
  </si>
  <si>
    <t>BOMAR R. 008</t>
  </si>
  <si>
    <t>con A. Pigni</t>
  </si>
  <si>
    <t>SI - Mayo</t>
  </si>
  <si>
    <r>
      <t xml:space="preserve">Se pidio juntar esta orden con la PO 17020001 - </t>
    </r>
    <r>
      <rPr>
        <sz val="8"/>
        <color indexed="10"/>
        <rFont val="Arial"/>
        <family val="2"/>
      </rPr>
      <t>SE POSTERGA UNA SEMANA POR EL TEMPORAL EN CDR</t>
    </r>
  </si>
  <si>
    <t>054/16 BBR</t>
  </si>
  <si>
    <t>72 bombas + Fittings</t>
  </si>
  <si>
    <t>SE POSTERGA UNA SEMANA POR EL TEMPORAL EN CDR</t>
  </si>
  <si>
    <t>069/16 BBR</t>
  </si>
  <si>
    <t xml:space="preserve">Bomar Resolve V.010 </t>
  </si>
  <si>
    <t xml:space="preserve">141 bombas </t>
  </si>
  <si>
    <t>13a16/06</t>
  </si>
  <si>
    <t>17014EC01000229F</t>
  </si>
  <si>
    <t>041/17 BBR</t>
  </si>
  <si>
    <t>4507789463 - 4507789465</t>
  </si>
  <si>
    <t>16 valvulas</t>
  </si>
  <si>
    <t>LOG-IN ALDEBARAN v 046</t>
  </si>
  <si>
    <t xml:space="preserve">83 bombas </t>
  </si>
  <si>
    <t>17014EC01000303V</t>
  </si>
  <si>
    <t>038/17 BBR</t>
  </si>
  <si>
    <t xml:space="preserve">35 bombas </t>
  </si>
  <si>
    <t>018/17 BBR</t>
  </si>
  <si>
    <t>LOG-IN ALDEBARAN v. 047</t>
  </si>
  <si>
    <t>17014EC01000331W</t>
  </si>
  <si>
    <t>060/17 BBR</t>
  </si>
  <si>
    <t>OP 26695/1</t>
  </si>
  <si>
    <t xml:space="preserve">2 bombas </t>
  </si>
  <si>
    <t>PetroSynergy - A. Pigni:  solicita pagar en 90 dias</t>
  </si>
  <si>
    <t>059/17 BBR</t>
  </si>
  <si>
    <t>Fittings (valvulas y asientos)</t>
  </si>
  <si>
    <t>ECOPETROL</t>
  </si>
  <si>
    <t xml:space="preserve">Pto. Bs. As. </t>
  </si>
  <si>
    <t>024/97</t>
  </si>
  <si>
    <t>OMIMEX</t>
  </si>
  <si>
    <t>Fábrica</t>
  </si>
  <si>
    <t>Campo Teca</t>
  </si>
  <si>
    <t>Pto. Houston</t>
  </si>
  <si>
    <t>IT: 1-2-12-13 entrega GAMMA</t>
  </si>
  <si>
    <t>Item 23 cant. 79 / Item 5 cant. 41 / Item 6 cant. 6</t>
  </si>
  <si>
    <t>junto c/030/97 / sale tarde por cierre anual PIC</t>
  </si>
  <si>
    <t>Item 14 cant. 1 se entrega el 14-mar</t>
  </si>
  <si>
    <t>030/97</t>
  </si>
  <si>
    <t>Pto. Bs. As.</t>
  </si>
  <si>
    <t>Item 3 cant. 1 no se entrega</t>
  </si>
  <si>
    <t>Campo Velasquez</t>
  </si>
  <si>
    <t>Item 3 cant. 25  /  Item 14 cant. 50+1</t>
  </si>
  <si>
    <t>Item 24 cant. 60  /  Item 25 cant. 60</t>
  </si>
  <si>
    <t>sale por Navales el 26-3, llega 31-3</t>
  </si>
  <si>
    <t>entrega a forwarder  -  sale x camión 27-3</t>
  </si>
  <si>
    <t>EL CENTRO</t>
  </si>
  <si>
    <t>error en un plano: se fabricó sólo 1 pieza del</t>
  </si>
  <si>
    <t>a Forwarder</t>
  </si>
  <si>
    <t>VZP31-275 envío faltantes x DHL 23-4</t>
  </si>
  <si>
    <t>entregar a forwarder</t>
  </si>
  <si>
    <t>PIF411/98</t>
  </si>
  <si>
    <t>arribo a Bs. As. 20/7  -  Barco a Colombia 7/8</t>
  </si>
  <si>
    <t>x camión</t>
  </si>
  <si>
    <t>10-8 (x air)</t>
  </si>
  <si>
    <t>Barco no sale .... El cliente decide despacho aéreo. Sale 10-8</t>
  </si>
  <si>
    <t>001/98</t>
  </si>
  <si>
    <t>160 BARRILES</t>
  </si>
  <si>
    <t>de Pto. Deseado</t>
  </si>
  <si>
    <t>B.A.-Cartagena</t>
  </si>
  <si>
    <t>directo a Cartagena c/ZIM, 12-8 buque Panamerican</t>
  </si>
  <si>
    <t>a Cartagena</t>
  </si>
  <si>
    <t>entrega a forwarder</t>
  </si>
  <si>
    <t>Q1888</t>
  </si>
  <si>
    <t>sale de Bs. As. el 2-10</t>
  </si>
  <si>
    <t>a forwarder</t>
  </si>
  <si>
    <t>de planta x camión</t>
  </si>
  <si>
    <t>forwarder</t>
  </si>
  <si>
    <t>sale mat. de repos. para Ecopetrol OC 104084</t>
  </si>
  <si>
    <t>PIF710-98</t>
  </si>
  <si>
    <t>14-9 avisado al forwarder material en Bs. As.</t>
  </si>
  <si>
    <t>Q2505</t>
  </si>
  <si>
    <t xml:space="preserve">despacho    cancelado </t>
  </si>
  <si>
    <t>It 1-2-13 desde USA (24-Marzo)</t>
  </si>
  <si>
    <t>sale más tarde a pedido del cliente</t>
  </si>
  <si>
    <t>PIDEN DESPACHO BARRILES después del 15-Jul</t>
  </si>
  <si>
    <r>
      <t xml:space="preserve">adelanto </t>
    </r>
    <r>
      <rPr>
        <b/>
        <sz val="8"/>
        <rFont val="Arial"/>
        <family val="2"/>
      </rPr>
      <t>ITEM 2</t>
    </r>
    <r>
      <rPr>
        <sz val="8"/>
        <rFont val="Arial"/>
        <family val="2"/>
      </rPr>
      <t xml:space="preserve"> OC 016/98 cuatrimestral </t>
    </r>
  </si>
  <si>
    <t>016-98</t>
  </si>
  <si>
    <t>"fin feb"</t>
  </si>
  <si>
    <t>Pto. Argentino</t>
  </si>
  <si>
    <t>sale con OC 017/98</t>
  </si>
  <si>
    <t>x fax</t>
  </si>
  <si>
    <t>por AVIANCA</t>
  </si>
  <si>
    <t>no sale 28-ene por terremoto en Colombia</t>
  </si>
  <si>
    <t>fecha de pago programada: 30 de marzo, 1999</t>
  </si>
  <si>
    <t>017-98</t>
  </si>
  <si>
    <t>ASAP</t>
  </si>
  <si>
    <t>8-ene sale d ePIC</t>
  </si>
  <si>
    <t>4-mar de PDS</t>
  </si>
  <si>
    <t>acordada entrega para 10-15 de marzo</t>
  </si>
  <si>
    <t>fecha de pago programada: 23 de julio, 1999</t>
  </si>
  <si>
    <t>AliançaMexico</t>
  </si>
  <si>
    <t>Navales se demoro ... sale por camión a BAI</t>
  </si>
  <si>
    <t>vía aérea a Bogotá</t>
  </si>
  <si>
    <t>020/99 CPS</t>
  </si>
  <si>
    <t>005-99</t>
  </si>
  <si>
    <t>PETROSANTANDER</t>
  </si>
  <si>
    <t>a confirmar forma de pago</t>
  </si>
  <si>
    <t>(Petrosantander)</t>
  </si>
  <si>
    <t>Campo Payoa</t>
  </si>
  <si>
    <t>copias x fax</t>
  </si>
  <si>
    <t>033/99 CPG</t>
  </si>
  <si>
    <t>011-99</t>
  </si>
  <si>
    <t>fin ago</t>
  </si>
  <si>
    <t>bolas y asientos de la orden de compra de arriba</t>
  </si>
  <si>
    <t>(+ gastos)</t>
  </si>
  <si>
    <t xml:space="preserve"> despacha GAMMA</t>
  </si>
  <si>
    <t>034/99 CPG</t>
  </si>
  <si>
    <t>012-99</t>
  </si>
  <si>
    <t>inmediata</t>
  </si>
  <si>
    <t>válvulas de la orden de compra de arriba</t>
  </si>
  <si>
    <t>válvulas se despachan desde USA</t>
  </si>
  <si>
    <t>Avianca</t>
  </si>
  <si>
    <t>salió de  PIC 16-jul</t>
  </si>
  <si>
    <t>031/99 CEC</t>
  </si>
  <si>
    <t>entrega a Forwarder</t>
  </si>
  <si>
    <t>sale 14/10 de BAI</t>
  </si>
  <si>
    <t>despachar por Puerto Patagonico</t>
  </si>
  <si>
    <t>030/99 CEC</t>
  </si>
  <si>
    <t>despachar por Puerto Patagónico</t>
  </si>
  <si>
    <t>bolas y asientos se despachan desde USA</t>
  </si>
  <si>
    <t>----- sale 11-9 a Cartagena -----</t>
  </si>
  <si>
    <t>043/99 CEC</t>
  </si>
  <si>
    <t>(FCR 12-11)</t>
  </si>
  <si>
    <t>(30/45 días)</t>
  </si>
  <si>
    <r>
      <t xml:space="preserve">sale el 11 de BAI </t>
    </r>
    <r>
      <rPr>
        <i/>
        <sz val="8"/>
        <rFont val="Arial"/>
        <family val="2"/>
      </rPr>
      <t>---- sale el 27 de nov</t>
    </r>
  </si>
  <si>
    <t>FCR 15-10</t>
  </si>
  <si>
    <t>sale primer semana de noviembre</t>
  </si>
  <si>
    <t>045/99CPG</t>
  </si>
  <si>
    <t>020-99</t>
  </si>
  <si>
    <t xml:space="preserve">OMIMEX </t>
  </si>
  <si>
    <t>válvulas primer cuatrimestral Velasquez</t>
  </si>
  <si>
    <t>CAMPO VELASQUEZ</t>
  </si>
  <si>
    <t>dic</t>
  </si>
  <si>
    <t>PETROINGENIERÍA</t>
  </si>
  <si>
    <t>040/99 CPG</t>
  </si>
  <si>
    <t>019-99</t>
  </si>
  <si>
    <t>CAMPO TECA</t>
  </si>
  <si>
    <t>válvulas primer cuatrimestral Teca</t>
  </si>
  <si>
    <t>Aeropuerto BAI</t>
  </si>
  <si>
    <t>item 39 orden de compra de Velasquez</t>
  </si>
  <si>
    <t>primer cuatrimestral Campo Velasquez</t>
  </si>
  <si>
    <t>válvulas se despachan de USA</t>
  </si>
  <si>
    <t>item 39 para Campo Teca en cajón separado</t>
  </si>
  <si>
    <t>e-mail</t>
  </si>
  <si>
    <t>7 válvulas para Petrosantander</t>
  </si>
  <si>
    <t>PETROINGENIRÍA</t>
  </si>
  <si>
    <t>001/00 CPG</t>
  </si>
  <si>
    <t>001-00</t>
  </si>
  <si>
    <t>Aeropto. Arg.</t>
  </si>
  <si>
    <t>válvulas para Petrosantander</t>
  </si>
  <si>
    <t>pistones para Campo Teca</t>
  </si>
  <si>
    <t>Y</t>
  </si>
  <si>
    <t>primera cuatrimestral Campo Teca</t>
  </si>
  <si>
    <t>despachar antes del 20 de febrero</t>
  </si>
  <si>
    <t>025/00 CPG</t>
  </si>
  <si>
    <t>011-00</t>
  </si>
  <si>
    <t>entega a Forwarder (Latin Cargo)</t>
  </si>
  <si>
    <t>it. 4 va desde USA con la 009-00</t>
  </si>
  <si>
    <t>012/00 CEC</t>
  </si>
  <si>
    <t>Puerto BA</t>
  </si>
  <si>
    <t>005/00 CPG</t>
  </si>
  <si>
    <t>007-00</t>
  </si>
  <si>
    <t>(ABRIL)</t>
  </si>
  <si>
    <t>segunda cuatrimestral Campo Teca</t>
  </si>
  <si>
    <t>+3100</t>
  </si>
  <si>
    <t>17-abr de BAI</t>
  </si>
  <si>
    <t>despachar lo antes posible!!!!!!!!!!</t>
  </si>
  <si>
    <t>009/00 CEC</t>
  </si>
  <si>
    <t>010-00</t>
  </si>
  <si>
    <t>PROVINCIA</t>
  </si>
  <si>
    <t>despachar con material para TECA</t>
  </si>
  <si>
    <t>029/00 CPG</t>
  </si>
  <si>
    <t>013-00</t>
  </si>
  <si>
    <t>bombas + fittings</t>
  </si>
  <si>
    <t>010/00 CEC</t>
  </si>
  <si>
    <t>016-00</t>
  </si>
  <si>
    <t>ECOPETROL TIBU</t>
  </si>
  <si>
    <t>barriles LF + pistones</t>
  </si>
  <si>
    <t>ETA 7/05</t>
  </si>
  <si>
    <t>barriles HS</t>
  </si>
  <si>
    <t>009-00</t>
  </si>
  <si>
    <t>URGENTE</t>
  </si>
  <si>
    <t>011/00 CEC</t>
  </si>
  <si>
    <t>FCR 28-abr</t>
  </si>
  <si>
    <t>válvulas C _ (26-27 de abril en Rohde)</t>
  </si>
  <si>
    <t>014/00 CEC</t>
  </si>
  <si>
    <t>FCR 1-jun</t>
  </si>
  <si>
    <t>11 items</t>
  </si>
  <si>
    <t>válvluals ST</t>
  </si>
  <si>
    <t>027/00 CEC</t>
  </si>
  <si>
    <t>ENTREGA A FORWARDER</t>
  </si>
  <si>
    <t>a Rohde</t>
  </si>
  <si>
    <t>pistones (TRANSMODAL 61)</t>
  </si>
  <si>
    <t>008/00 CEC</t>
  </si>
  <si>
    <t>030/00 CEC</t>
  </si>
  <si>
    <t>023/00 CEC</t>
  </si>
  <si>
    <t>024/00 CEC</t>
  </si>
  <si>
    <t>021/00 CEC</t>
  </si>
  <si>
    <t>047/00 CPG</t>
  </si>
  <si>
    <t>019-00</t>
  </si>
  <si>
    <t>Aeropto BA</t>
  </si>
  <si>
    <t>por camión a BAI</t>
  </si>
  <si>
    <t>fittings + adicional</t>
  </si>
  <si>
    <t>050/00 CPG</t>
  </si>
  <si>
    <t>020-00</t>
  </si>
  <si>
    <t>1ª semana sept</t>
  </si>
  <si>
    <t>despacho por Pto. Patagónico</t>
  </si>
  <si>
    <t>cuatrimestral Omimex Campo Teca</t>
  </si>
  <si>
    <t>1º fin nov</t>
  </si>
  <si>
    <t>2º fin dic</t>
  </si>
  <si>
    <t>060/00 CPG</t>
  </si>
  <si>
    <t>025-00</t>
  </si>
  <si>
    <t>despacho junto con material de Campo Teca</t>
  </si>
  <si>
    <t>Omimex Campo Velasquez</t>
  </si>
  <si>
    <t>043/00 CEC</t>
  </si>
  <si>
    <t>14-sep de BAI</t>
  </si>
  <si>
    <t>071/00 CPG</t>
  </si>
  <si>
    <t>031-00</t>
  </si>
  <si>
    <t>ECP TIBU</t>
  </si>
  <si>
    <t>15 barriles LF</t>
  </si>
  <si>
    <t>de BAI</t>
  </si>
  <si>
    <t>070/00 CPG</t>
  </si>
  <si>
    <t>034-00</t>
  </si>
  <si>
    <t>ECP CASABE</t>
  </si>
  <si>
    <t>Aeropuerto BA</t>
  </si>
  <si>
    <t>(50)  C13-225DHD</t>
  </si>
  <si>
    <t>fax</t>
  </si>
  <si>
    <t>072/00 CEC</t>
  </si>
  <si>
    <t>ECP EL CENTRO</t>
  </si>
  <si>
    <t>055/00 CPG</t>
  </si>
  <si>
    <t>032-00</t>
  </si>
  <si>
    <t>llega 29/12 a Colombia</t>
  </si>
  <si>
    <t>4-dic de BAI</t>
  </si>
  <si>
    <t>082/00 CPG</t>
  </si>
  <si>
    <t>040-00</t>
  </si>
  <si>
    <t>OMIMEX TECA</t>
  </si>
  <si>
    <t>cuatrimestral</t>
  </si>
  <si>
    <t>+gastos</t>
  </si>
  <si>
    <t>013/00 CPG</t>
  </si>
  <si>
    <t>039-00</t>
  </si>
  <si>
    <t>OMIMEX JAZMIN</t>
  </si>
  <si>
    <t>(primer despacho de 103 bombas)</t>
  </si>
  <si>
    <t>63 bombas + adelanto de Teca</t>
  </si>
  <si>
    <t>PDS - Maersk</t>
  </si>
  <si>
    <t>(segundo despacho de 103 bombas)</t>
  </si>
  <si>
    <t>total 90,350, xq se entregaron del it.1 cant.:50</t>
  </si>
  <si>
    <t>43000 parcial</t>
  </si>
  <si>
    <t>083/00 CPG</t>
  </si>
  <si>
    <t>041-00</t>
  </si>
  <si>
    <t>28800 parcial</t>
  </si>
  <si>
    <t>parcial (restan 110 barriles)</t>
  </si>
  <si>
    <t>18550 parcial</t>
  </si>
  <si>
    <t>G004400</t>
  </si>
  <si>
    <t>039A-00</t>
  </si>
  <si>
    <t>1º week dec</t>
  </si>
  <si>
    <t>300 bolas + 100 válvulas</t>
  </si>
  <si>
    <t>G005000</t>
  </si>
  <si>
    <t>total 19.895 + gastos</t>
  </si>
  <si>
    <t>PENDIENTES 400 VÁLVULAS</t>
  </si>
  <si>
    <t>042-00</t>
  </si>
  <si>
    <t>(marzo)</t>
  </si>
  <si>
    <t>500 balls</t>
  </si>
  <si>
    <t>G005200</t>
  </si>
  <si>
    <t>total 39.225 + gastos</t>
  </si>
  <si>
    <t>PENDIENTES 1000 valves</t>
  </si>
  <si>
    <t>110 barriles pendientes</t>
  </si>
  <si>
    <t xml:space="preserve">COLOMBIA </t>
  </si>
  <si>
    <t>G022701</t>
  </si>
  <si>
    <t>válvulas a Balls &amp; Seats Specialties (4-6 weeks)</t>
  </si>
  <si>
    <t>ENTREGA A BAX GLOBAL</t>
  </si>
  <si>
    <t>G005201B</t>
  </si>
  <si>
    <t>a Bax Global</t>
  </si>
  <si>
    <t>1000 válvulas pendientes</t>
  </si>
  <si>
    <t>002/01 CEC</t>
  </si>
  <si>
    <t>al FW</t>
  </si>
  <si>
    <t>G005001-B</t>
  </si>
  <si>
    <t>400 válvulas pendientes + 100 bolas</t>
  </si>
  <si>
    <t>ENTREGA FORWARDER</t>
  </si>
  <si>
    <t>G052101</t>
  </si>
  <si>
    <t>al Forwarder</t>
  </si>
  <si>
    <t>024/01 CPG</t>
  </si>
  <si>
    <t>010-01</t>
  </si>
  <si>
    <t>9 items</t>
  </si>
  <si>
    <t>(salio completa)</t>
  </si>
  <si>
    <t>025/01 CEC</t>
  </si>
  <si>
    <t>Entregar al Forwarder-ROHDE</t>
  </si>
  <si>
    <t>(acordado)</t>
  </si>
  <si>
    <t>026/01 CEC</t>
  </si>
  <si>
    <t>027/01 CEC</t>
  </si>
  <si>
    <t>f 34.241,26</t>
  </si>
  <si>
    <t>028/01 CEC</t>
  </si>
  <si>
    <t>ENTREGA GAMMA</t>
  </si>
  <si>
    <t>G0713101</t>
  </si>
  <si>
    <t>040/01 CPG</t>
  </si>
  <si>
    <t>019-01</t>
  </si>
  <si>
    <t>ago</t>
  </si>
  <si>
    <t>039/01 CEC</t>
  </si>
  <si>
    <t>052/01 CEC</t>
  </si>
  <si>
    <t>G115101</t>
  </si>
  <si>
    <t>entrega a Rohde</t>
  </si>
  <si>
    <t>41,930 parcial</t>
  </si>
  <si>
    <t>060/01 CPG</t>
  </si>
  <si>
    <t>026-01</t>
  </si>
  <si>
    <t>CUATRIMESTRAL</t>
  </si>
  <si>
    <t>32,500 parcial</t>
  </si>
  <si>
    <t>en COLOMBIA</t>
  </si>
  <si>
    <t>Maersk</t>
  </si>
  <si>
    <t>OJO DESCRIPCION EN B/L</t>
  </si>
  <si>
    <t>84500 parcial</t>
  </si>
  <si>
    <t>completo</t>
  </si>
  <si>
    <t>5 - 6 weeks</t>
  </si>
  <si>
    <t>in Odessa</t>
  </si>
  <si>
    <t>from supplier</t>
  </si>
  <si>
    <r>
      <t xml:space="preserve">cuatrimestral - </t>
    </r>
    <r>
      <rPr>
        <sz val="8"/>
        <color indexed="12"/>
        <rFont val="Arial"/>
        <family val="2"/>
      </rPr>
      <t>OJO DESCRIPCION EN B/L</t>
    </r>
  </si>
  <si>
    <t>068/01 CPG</t>
  </si>
  <si>
    <t>001-02</t>
  </si>
  <si>
    <t>+</t>
  </si>
  <si>
    <t>016/02 CPG</t>
  </si>
  <si>
    <t>007-02</t>
  </si>
  <si>
    <t>BOGOTA</t>
  </si>
  <si>
    <t>3 valvulas antibloqueo</t>
  </si>
  <si>
    <t>400-5293-4151</t>
  </si>
  <si>
    <t>por Fedex</t>
  </si>
  <si>
    <t>013/02 CPG</t>
  </si>
  <si>
    <t>005-02</t>
  </si>
  <si>
    <t>COCORNÁ</t>
  </si>
  <si>
    <t>consolida 18/4</t>
  </si>
  <si>
    <t>026/02 CPG</t>
  </si>
  <si>
    <t>010-02</t>
  </si>
  <si>
    <t>10 valvulas</t>
  </si>
  <si>
    <t>G0522102</t>
  </si>
  <si>
    <t>Con DHL</t>
  </si>
  <si>
    <t>DESPACHA GAMMA VIA DHL</t>
  </si>
  <si>
    <t>011-02</t>
  </si>
  <si>
    <t>7 itmes</t>
  </si>
  <si>
    <t>+200</t>
  </si>
  <si>
    <t>CAMION A BUE</t>
  </si>
  <si>
    <t>009/02 CPG</t>
  </si>
  <si>
    <t>008-02</t>
  </si>
  <si>
    <t>425 Pistones</t>
  </si>
  <si>
    <t>x mal tiempo</t>
  </si>
  <si>
    <t xml:space="preserve"> Cons: 3/6 - Sale: 7/6 - Cartagena: 24/6</t>
  </si>
  <si>
    <t>20364,6+20000</t>
  </si>
  <si>
    <t>Con:  2/8</t>
  </si>
  <si>
    <t>049/02 CPG</t>
  </si>
  <si>
    <t>015-02</t>
  </si>
  <si>
    <t>Cartagena</t>
  </si>
  <si>
    <t>45 BARRILES</t>
  </si>
  <si>
    <t>ETA:  1/9</t>
  </si>
  <si>
    <t>032/02 CEC</t>
  </si>
  <si>
    <t>Entregar material al despachador</t>
  </si>
  <si>
    <t>sale: 10/8 - llega: 8/9</t>
  </si>
  <si>
    <t>PROBLEMAS CON CLAROS</t>
  </si>
  <si>
    <t>Cut off: 5/9</t>
  </si>
  <si>
    <t>Parcial: 57.669,5</t>
  </si>
  <si>
    <t>061/02 CPG</t>
  </si>
  <si>
    <t>017/-02</t>
  </si>
  <si>
    <t>10 items de repuestos</t>
  </si>
  <si>
    <t>Parcial 5.633</t>
  </si>
  <si>
    <t>En un BL todo</t>
  </si>
  <si>
    <t>Parcial: 30.000</t>
  </si>
  <si>
    <t>044/02 CEC</t>
  </si>
  <si>
    <t>Barriles</t>
  </si>
  <si>
    <t>Entregar material al forwarder</t>
  </si>
  <si>
    <t>Consolido: 18/10</t>
  </si>
  <si>
    <t>051/02 CEC</t>
  </si>
  <si>
    <t>80 ITEMS (fittings)</t>
  </si>
  <si>
    <t>052/02 CEC</t>
  </si>
  <si>
    <t>180 PISTONES</t>
  </si>
  <si>
    <t>cutt off: 26/12</t>
  </si>
  <si>
    <t>Parcial: 37100</t>
  </si>
  <si>
    <t>090/02 CPG</t>
  </si>
  <si>
    <t>PO 021-02</t>
  </si>
  <si>
    <t>Fittings para Omimex</t>
  </si>
  <si>
    <t>Parcial: 41000</t>
  </si>
  <si>
    <t>Cartagena:  10/1</t>
  </si>
  <si>
    <t xml:space="preserve">POR CAMION A BUE </t>
  </si>
  <si>
    <t>096/02 CPG</t>
  </si>
  <si>
    <t>PO 022-02</t>
  </si>
  <si>
    <t>2 bombas para Omimex</t>
  </si>
  <si>
    <t>ENVIAR CON LA PO 080/02 CPG</t>
  </si>
  <si>
    <t>024/03 CEC</t>
  </si>
  <si>
    <t>G416103</t>
  </si>
  <si>
    <t>Cut off: 6/5 - Mol Triumph</t>
  </si>
  <si>
    <t>028/03 CPG</t>
  </si>
  <si>
    <t>006-03</t>
  </si>
  <si>
    <t>Cartagena: 9/6</t>
  </si>
  <si>
    <t>037/03 CPG</t>
  </si>
  <si>
    <t>PO 007-03</t>
  </si>
  <si>
    <t>INMEDIATA</t>
  </si>
  <si>
    <t>500 VBO 200ST</t>
  </si>
  <si>
    <t>G0509103</t>
  </si>
  <si>
    <t>ENTREGAR A BAX GLOBAL-HOUSTON</t>
  </si>
  <si>
    <t>Cut off: 19/6</t>
  </si>
  <si>
    <t>038/03 CPG</t>
  </si>
  <si>
    <t>008/03</t>
  </si>
  <si>
    <t>Fittings (Omimex)</t>
  </si>
  <si>
    <t>llega: 19/7</t>
  </si>
  <si>
    <t>cut off: 16/7</t>
  </si>
  <si>
    <t>ENTREGAR AL FORWARDER</t>
  </si>
  <si>
    <t>025/03 CEC</t>
  </si>
  <si>
    <t>Varios</t>
  </si>
  <si>
    <t>llega:  22/8</t>
  </si>
  <si>
    <t>G07301103</t>
  </si>
  <si>
    <t>Parcial: 37785</t>
  </si>
  <si>
    <t>053/03 CPG</t>
  </si>
  <si>
    <t>012/03</t>
  </si>
  <si>
    <t>Pacial: 20000</t>
  </si>
  <si>
    <t>Sale: 09/08 - llega 31/8</t>
  </si>
  <si>
    <t>Ship: Cabo Creus</t>
  </si>
  <si>
    <t>Airborne Express</t>
  </si>
  <si>
    <t>088/03 CPG</t>
  </si>
  <si>
    <t>015-03</t>
  </si>
  <si>
    <t>500 BOLAS</t>
  </si>
  <si>
    <t>G0923103</t>
  </si>
  <si>
    <t>desde USA</t>
  </si>
  <si>
    <t>PETRINGENIERIA</t>
  </si>
  <si>
    <t>PO 020-03</t>
  </si>
  <si>
    <t>Colombia</t>
  </si>
  <si>
    <t>32 V11-175ST</t>
  </si>
  <si>
    <t>G1027203</t>
  </si>
  <si>
    <t>089/03 CPG</t>
  </si>
  <si>
    <t>PO 018-03</t>
  </si>
  <si>
    <t>4 semanas</t>
  </si>
  <si>
    <t>G1030103</t>
  </si>
  <si>
    <t>entregado a Bax Global</t>
  </si>
  <si>
    <t>ENTREGAR A BAX GLOBAL (USA)</t>
  </si>
  <si>
    <t>31/10 al forwarder</t>
  </si>
  <si>
    <t>ENTREGAR AL FORWARDER (BAX GLOBAL)</t>
  </si>
  <si>
    <t>docs con la carga</t>
  </si>
  <si>
    <t>106/03 CPG</t>
  </si>
  <si>
    <t>PO 022-03</t>
  </si>
  <si>
    <t>Valvula antibloqueo</t>
  </si>
  <si>
    <t>8443 1499 8812</t>
  </si>
  <si>
    <t>Envia originales</t>
  </si>
  <si>
    <t>093/03 CPG</t>
  </si>
  <si>
    <t>PO 017-03</t>
  </si>
  <si>
    <t>BAX GLOBAL</t>
  </si>
  <si>
    <t>Buque: 17/11</t>
  </si>
  <si>
    <t>118/03 CPG</t>
  </si>
  <si>
    <t>PO 024-03</t>
  </si>
  <si>
    <t>Inmediata</t>
  </si>
  <si>
    <t>600 bolas</t>
  </si>
  <si>
    <t>G1223103</t>
  </si>
  <si>
    <t>cut off:  29/1</t>
  </si>
  <si>
    <t>117/03 CPG</t>
  </si>
  <si>
    <t>PO 023-03</t>
  </si>
  <si>
    <t>Plazo de entrega cumplido pero hubo demoras con el barco (hablado con el cliente)</t>
  </si>
  <si>
    <t>La merc.quedo por error en la naviera de Brasil</t>
  </si>
  <si>
    <t>014/04 CPG</t>
  </si>
  <si>
    <t>001-04</t>
  </si>
  <si>
    <t>50 - S22-25B</t>
  </si>
  <si>
    <t>docs con la mercaderia</t>
  </si>
  <si>
    <t>Fedex 8259 1159 2322 0402</t>
  </si>
  <si>
    <t>ENTREGAR AL FORWARDER (PANALPINA)</t>
  </si>
  <si>
    <t>022/04 CEC</t>
  </si>
  <si>
    <t>G602204</t>
  </si>
  <si>
    <t>a Panalpina</t>
  </si>
  <si>
    <t>originales con la mercaderia - guia: 044-36283391</t>
  </si>
  <si>
    <t>035/04 CPG</t>
  </si>
  <si>
    <t>007-04</t>
  </si>
  <si>
    <t>Cons: 30/6</t>
  </si>
  <si>
    <t>017/05 CPG</t>
  </si>
  <si>
    <t>004-05</t>
  </si>
  <si>
    <t>0049</t>
  </si>
  <si>
    <t>CONTACTAR A ALMAGRAN</t>
  </si>
  <si>
    <t>012/06 CEC</t>
  </si>
  <si>
    <t>Pto. Cartagena</t>
  </si>
  <si>
    <t>2780 anillos - 966 valvulas</t>
  </si>
  <si>
    <t>G328308</t>
  </si>
  <si>
    <t>026/06 CPG</t>
  </si>
  <si>
    <t>002-06</t>
  </si>
  <si>
    <t>60 valvulas</t>
  </si>
  <si>
    <t>G328320</t>
  </si>
  <si>
    <t>cons: 16/5</t>
  </si>
  <si>
    <t>001-06</t>
  </si>
  <si>
    <t>cons: 15/6</t>
  </si>
  <si>
    <t>cons: 27/6</t>
  </si>
  <si>
    <t>030/06 CPG</t>
  </si>
  <si>
    <t>006-06</t>
  </si>
  <si>
    <t>problemas gremiales en la planta-se resuelve a fines de Julio (dan un insentivo)</t>
  </si>
  <si>
    <t>Cons: 13/10</t>
  </si>
  <si>
    <t>062/06 CPG</t>
  </si>
  <si>
    <t>011-06</t>
  </si>
  <si>
    <t xml:space="preserve">Docs con la </t>
  </si>
  <si>
    <t>mercaderia</t>
  </si>
  <si>
    <t>012-06</t>
  </si>
  <si>
    <t>282 valvulas</t>
  </si>
  <si>
    <t>G328388</t>
  </si>
  <si>
    <t>via Miami</t>
  </si>
  <si>
    <t>IAHAE313550</t>
  </si>
  <si>
    <t>058/06 CEC</t>
  </si>
  <si>
    <t>1300 anillos, 369 valvulas</t>
  </si>
  <si>
    <t>G328386</t>
  </si>
  <si>
    <t>a Miami</t>
  </si>
  <si>
    <t>cons: 5/12</t>
  </si>
  <si>
    <t>NOTA:  Debido a un Paro general en el Sur (por el Impuesto a las ganancias), se demora la salida de la mercaderia desde la Planta (Pta. cerrada). Se arreglo el problema y se termina la fabricacion, salida fines de Nov.</t>
  </si>
  <si>
    <r>
      <t>NOTA:</t>
    </r>
    <r>
      <rPr>
        <sz val="8"/>
        <color indexed="10"/>
        <rFont val="Arial"/>
        <family val="2"/>
      </rPr>
      <t xml:space="preserve">  Debido a un Paro general en el Sur (por el Impuesto a las ganancias), se demora la salida de la mercaderia desde la Planta (Pta. cerrada). Se arreglo el problema y se termina la fabricacion, salida fines de Nov.</t>
    </r>
  </si>
  <si>
    <t>arribo al embarcador</t>
  </si>
  <si>
    <t>001/07 CPG</t>
  </si>
  <si>
    <t>002-07</t>
  </si>
  <si>
    <t>SI - 03 May</t>
  </si>
  <si>
    <t>SI - 29 Jun</t>
  </si>
  <si>
    <t>003-07</t>
  </si>
  <si>
    <r>
      <t xml:space="preserve">12 valvulas </t>
    </r>
    <r>
      <rPr>
        <sz val="8"/>
        <color indexed="12"/>
        <rFont val="Arial"/>
        <family val="2"/>
      </rPr>
      <t>-</t>
    </r>
    <r>
      <rPr>
        <sz val="8"/>
        <rFont val="Arial"/>
        <family val="2"/>
      </rPr>
      <t xml:space="preserve"> </t>
    </r>
    <r>
      <rPr>
        <sz val="8"/>
        <color indexed="12"/>
        <rFont val="Arial"/>
        <family val="2"/>
      </rPr>
      <t>VIA DHL - ENVIA GAMMA</t>
    </r>
  </si>
  <si>
    <t>G328455</t>
  </si>
  <si>
    <t>SI- 08 May</t>
  </si>
  <si>
    <r>
      <t xml:space="preserve"> 2 barriles - </t>
    </r>
    <r>
      <rPr>
        <sz val="8"/>
        <color indexed="12"/>
        <rFont val="Arial"/>
        <family val="2"/>
      </rPr>
      <t>ENVIA GAMMA</t>
    </r>
  </si>
  <si>
    <t>G328484</t>
  </si>
  <si>
    <t>SI - 06 Sep.</t>
  </si>
  <si>
    <t>MANSAROVAR</t>
  </si>
  <si>
    <t>035/08 CPG</t>
  </si>
  <si>
    <t>23-FOR080499</t>
  </si>
  <si>
    <r>
      <t xml:space="preserve">3 bombas - </t>
    </r>
    <r>
      <rPr>
        <sz val="8"/>
        <color indexed="12"/>
        <rFont val="Arial"/>
        <family val="2"/>
      </rPr>
      <t>ENTREGAR AL FORWARDER</t>
    </r>
  </si>
  <si>
    <t>SI - 13 de Jun.</t>
  </si>
  <si>
    <t>SI - 20 Jul</t>
  </si>
  <si>
    <t>Petroingenieria lleva una comision del 5 %</t>
  </si>
  <si>
    <t>036/08 CEC</t>
  </si>
  <si>
    <t>Colombia-Cartagena</t>
  </si>
  <si>
    <t>Cap San Marco</t>
  </si>
  <si>
    <r>
      <t xml:space="preserve">Fittings - </t>
    </r>
    <r>
      <rPr>
        <sz val="8"/>
        <color indexed="12"/>
        <rFont val="Arial"/>
        <family val="2"/>
      </rPr>
      <t>ENTREGAR AL FORWARDER</t>
    </r>
  </si>
  <si>
    <t>SI - 3 Sep.</t>
  </si>
  <si>
    <t>Desde el 19 de Junio la mercadería esta lista en nuestra planta esperando que Ecopetrol le de la autorización a su forwarder (Panalpina) para que puedan recibir la carga. - Atraso real 15 dias</t>
  </si>
  <si>
    <r>
      <t xml:space="preserve">1 bomba PENDIENTE del pedido anterior - </t>
    </r>
    <r>
      <rPr>
        <sz val="8"/>
        <color indexed="12"/>
        <rFont val="Arial"/>
        <family val="2"/>
      </rPr>
      <t>ENTREGAR AL FORWARDER</t>
    </r>
  </si>
  <si>
    <t>con la carga - 129-55414096</t>
  </si>
  <si>
    <t>SI - 15 Oct.</t>
  </si>
  <si>
    <t>Petroingenieria lleva una comisión del 5 %</t>
  </si>
  <si>
    <t>043/08 CMA</t>
  </si>
  <si>
    <t>23-FOR080516</t>
  </si>
  <si>
    <r>
      <t xml:space="preserve">2 bombas - </t>
    </r>
    <r>
      <rPr>
        <sz val="8"/>
        <color indexed="12"/>
        <rFont val="Arial"/>
        <family val="2"/>
      </rPr>
      <t>ENTREGAR AL FORWARDER</t>
    </r>
  </si>
  <si>
    <t>072/08 CPG</t>
  </si>
  <si>
    <t>007-08</t>
  </si>
  <si>
    <t>24 tubos</t>
  </si>
  <si>
    <t>con la carga 045-56991196</t>
  </si>
  <si>
    <t>SI - 6 Oct.</t>
  </si>
  <si>
    <t>067/08 CPG</t>
  </si>
  <si>
    <t>008-08</t>
  </si>
  <si>
    <r>
      <t xml:space="preserve">4 bombas + fittings - </t>
    </r>
    <r>
      <rPr>
        <sz val="8"/>
        <color indexed="12"/>
        <rFont val="Arial"/>
        <family val="2"/>
      </rPr>
      <t>ENTREGAR AL FORWARDER</t>
    </r>
  </si>
  <si>
    <t>se envia con la carga</t>
  </si>
  <si>
    <t>SI - 04 Nov.</t>
  </si>
  <si>
    <t>075/08 CPG</t>
  </si>
  <si>
    <t>23-FOR080701</t>
  </si>
  <si>
    <r>
      <t>4 bombas -</t>
    </r>
    <r>
      <rPr>
        <sz val="8"/>
        <color indexed="12"/>
        <rFont val="Arial"/>
        <family val="2"/>
      </rPr>
      <t xml:space="preserve"> ENTREGAR AL FORWARDER</t>
    </r>
  </si>
  <si>
    <t>SI - 13 Ene</t>
  </si>
  <si>
    <t>SI - 03 Ab.</t>
  </si>
  <si>
    <t>098/08 CEC</t>
  </si>
  <si>
    <t>Maersk Rades</t>
  </si>
  <si>
    <r>
      <t xml:space="preserve">Fittings - </t>
    </r>
    <r>
      <rPr>
        <sz val="8"/>
        <color indexed="12"/>
        <rFont val="Arial"/>
        <family val="2"/>
      </rPr>
      <t xml:space="preserve">CONSORCIO TISAT LOGISTICS </t>
    </r>
  </si>
  <si>
    <t>SI - 18 May.</t>
  </si>
  <si>
    <t>Se postergo la entrega ya que Ecopetrol no nos informo el nuevo forwarder (la mercaderia esta lista en Planta desde 27 de Feb.) - Atraso real 14 dias</t>
  </si>
  <si>
    <t>031/09 CEC</t>
  </si>
  <si>
    <t>Maersk Rades v.918</t>
  </si>
  <si>
    <t>SI - 4 Sept.</t>
  </si>
  <si>
    <t>La carga estaba prevista que salga en el buque del 20 de Julio pero por la perdida de los documentos en la Aduana / maritima la carga no subio al buque.</t>
  </si>
  <si>
    <t>040/09 CEC</t>
  </si>
  <si>
    <t>Fittings + MAQUETA</t>
  </si>
  <si>
    <t>SI - 22 Sept.</t>
  </si>
  <si>
    <t>035/09 CEC</t>
  </si>
  <si>
    <t>SI - 06 Oct.</t>
  </si>
  <si>
    <t>24 de Agosto, el forwarder no tiene instrucciones sobre esta carga. La carga se tomo el 31 de Agosto y se coloco esta fecha en el BL pero realmente la carga embarco el 10 de Sept.</t>
  </si>
  <si>
    <t>096/09 CPG</t>
  </si>
  <si>
    <t>001-10</t>
  </si>
  <si>
    <t>SI - 25 Marz</t>
  </si>
  <si>
    <t>097/09 CEC</t>
  </si>
  <si>
    <t>Forwarder</t>
  </si>
  <si>
    <r>
      <t xml:space="preserve">Fittings </t>
    </r>
    <r>
      <rPr>
        <sz val="8"/>
        <color indexed="10"/>
        <rFont val="Arial"/>
        <family val="2"/>
      </rPr>
      <t>- ENTREGAR A GEODIS</t>
    </r>
  </si>
  <si>
    <t>SI - 14 May.</t>
  </si>
  <si>
    <t>SI - 13 May</t>
  </si>
  <si>
    <t>012/10 CEC</t>
  </si>
  <si>
    <t>043/10 CEC</t>
  </si>
  <si>
    <r>
      <t xml:space="preserve">Fittings - </t>
    </r>
    <r>
      <rPr>
        <b/>
        <sz val="8"/>
        <color indexed="10"/>
        <rFont val="Arial"/>
        <family val="2"/>
      </rPr>
      <t>ENTREGAR AL FORWARDER GEODIS</t>
    </r>
  </si>
  <si>
    <t>1° envio: U$ 44.273,80 - Embarco el 1 de Agosto</t>
  </si>
  <si>
    <t>069</t>
  </si>
  <si>
    <t>SI - 16 Sep.</t>
  </si>
  <si>
    <t>2° envio: U$ 182.116,30-  Embarco el 12 de Agosto</t>
  </si>
  <si>
    <t>SI _ 29 Sept.</t>
  </si>
  <si>
    <t>3° envio: U$ 6.352,10 - Embarco el 25 de Agosto</t>
  </si>
  <si>
    <t>072/10 CEC</t>
  </si>
  <si>
    <t>SI - 29 Sept.</t>
  </si>
  <si>
    <t>SI - 14 Oct.</t>
  </si>
  <si>
    <t>076/10 CPG</t>
  </si>
  <si>
    <t>013-10</t>
  </si>
  <si>
    <t>081/10 CEC</t>
  </si>
  <si>
    <r>
      <t xml:space="preserve">Fittings - </t>
    </r>
    <r>
      <rPr>
        <b/>
        <sz val="8"/>
        <color indexed="10"/>
        <rFont val="Arial"/>
        <family val="2"/>
      </rPr>
      <t xml:space="preserve">ENTREGAR AL FORWARDER GEODIS </t>
    </r>
    <r>
      <rPr>
        <b/>
        <sz val="8"/>
        <color indexed="12"/>
        <rFont val="Arial"/>
        <family val="2"/>
      </rPr>
      <t>- 1° ENVIO</t>
    </r>
  </si>
  <si>
    <t>SI - 15/11</t>
  </si>
  <si>
    <t>1° envío: U$ 90.316,10 - Recibido el 20/10/10</t>
  </si>
  <si>
    <t>086/10 CEC</t>
  </si>
  <si>
    <r>
      <t xml:space="preserve">Fittings - </t>
    </r>
    <r>
      <rPr>
        <b/>
        <sz val="8"/>
        <color indexed="10"/>
        <rFont val="Arial"/>
        <family val="2"/>
      </rPr>
      <t xml:space="preserve">ENTREGAR AL FORWARDER GEODIS </t>
    </r>
    <r>
      <rPr>
        <b/>
        <sz val="8"/>
        <color indexed="12"/>
        <rFont val="Arial"/>
        <family val="2"/>
      </rPr>
      <t>-1° ENVIO</t>
    </r>
  </si>
  <si>
    <t>097</t>
  </si>
  <si>
    <t>por mail</t>
  </si>
  <si>
    <t>SI - 29 Nov.</t>
  </si>
  <si>
    <t>087/10 CEC</t>
  </si>
  <si>
    <t>Maersk Jambi</t>
  </si>
  <si>
    <r>
      <t xml:space="preserve">Fittings - </t>
    </r>
    <r>
      <rPr>
        <b/>
        <sz val="8"/>
        <color indexed="10"/>
        <rFont val="Arial"/>
        <family val="2"/>
      </rPr>
      <t xml:space="preserve">ENTREGAR AL FORWARDER GEODIS </t>
    </r>
  </si>
  <si>
    <t>096</t>
  </si>
  <si>
    <t>SI - 16 Dic.</t>
  </si>
  <si>
    <t>093/10 CEC</t>
  </si>
  <si>
    <t>Problemas con el latón, nos postergan el vencimiento, del 02 al 09 de Nov.</t>
  </si>
  <si>
    <r>
      <t xml:space="preserve">Fittings(barriles) - </t>
    </r>
    <r>
      <rPr>
        <b/>
        <sz val="8"/>
        <color indexed="10"/>
        <rFont val="Arial"/>
        <family val="2"/>
      </rPr>
      <t xml:space="preserve">ENTREGAR AL FORWARDER GEODIS </t>
    </r>
    <r>
      <rPr>
        <b/>
        <sz val="8"/>
        <color indexed="12"/>
        <rFont val="Arial"/>
        <family val="2"/>
      </rPr>
      <t>-2° ENVIO</t>
    </r>
  </si>
  <si>
    <t>2° envío: U$ 73.338</t>
  </si>
  <si>
    <r>
      <t xml:space="preserve">Fittings - </t>
    </r>
    <r>
      <rPr>
        <b/>
        <sz val="8"/>
        <color indexed="10"/>
        <rFont val="Arial"/>
        <family val="2"/>
      </rPr>
      <t>ENTREGAR AL FORWARDER GEODIS</t>
    </r>
    <r>
      <rPr>
        <b/>
        <sz val="8"/>
        <color indexed="12"/>
        <rFont val="Arial"/>
        <family val="2"/>
      </rPr>
      <t xml:space="preserve"> -2° ENVIO</t>
    </r>
  </si>
  <si>
    <t>095/10 CEC</t>
  </si>
  <si>
    <t>U$ 128.871,10 - Problemas con el latón - Se posterga por paro en la Planta</t>
  </si>
  <si>
    <r>
      <t xml:space="preserve">Fittings - </t>
    </r>
    <r>
      <rPr>
        <b/>
        <sz val="8"/>
        <color indexed="10"/>
        <rFont val="Arial"/>
        <family val="2"/>
      </rPr>
      <t xml:space="preserve">ENTREGAR AL FORWARDER GEODIS </t>
    </r>
    <r>
      <rPr>
        <b/>
        <sz val="8"/>
        <color indexed="12"/>
        <rFont val="Arial"/>
        <family val="2"/>
      </rPr>
      <t>- 2° ENVIO</t>
    </r>
  </si>
  <si>
    <t>U$ 87.749,00</t>
  </si>
  <si>
    <t>125/10 CPG</t>
  </si>
  <si>
    <t>016-10</t>
  </si>
  <si>
    <t>SI  - 27 Dic.</t>
  </si>
  <si>
    <t>131/10 CEC</t>
  </si>
  <si>
    <r>
      <t xml:space="preserve">Fittings - </t>
    </r>
    <r>
      <rPr>
        <b/>
        <sz val="8"/>
        <color indexed="10"/>
        <rFont val="Arial"/>
        <family val="2"/>
      </rPr>
      <t xml:space="preserve">ENTREGAR AL FORWARDER GEODIS                     </t>
    </r>
    <r>
      <rPr>
        <b/>
        <sz val="8"/>
        <color indexed="12"/>
        <rFont val="Arial"/>
        <family val="2"/>
      </rPr>
      <t xml:space="preserve"> EL CENTRO</t>
    </r>
  </si>
  <si>
    <t>Petroingenieria 5,8%  (se pago la comision)</t>
  </si>
  <si>
    <r>
      <t xml:space="preserve">Fittings - </t>
    </r>
    <r>
      <rPr>
        <b/>
        <sz val="8"/>
        <color indexed="10"/>
        <rFont val="Arial"/>
        <family val="2"/>
      </rPr>
      <t xml:space="preserve">ENTREGAR AL FORWARDER GEODIS                     </t>
    </r>
    <r>
      <rPr>
        <b/>
        <sz val="8"/>
        <color indexed="12"/>
        <rFont val="Arial"/>
        <family val="2"/>
      </rPr>
      <t xml:space="preserve"> LA CIRA INFANTAS</t>
    </r>
  </si>
  <si>
    <t xml:space="preserve"> Petroingenieria 5,8%  (se pago la comision)</t>
  </si>
  <si>
    <t>140/10 CEC</t>
  </si>
  <si>
    <r>
      <t xml:space="preserve">Fittings - </t>
    </r>
    <r>
      <rPr>
        <b/>
        <sz val="8"/>
        <color indexed="10"/>
        <rFont val="Arial"/>
        <family val="2"/>
      </rPr>
      <t xml:space="preserve">ENTREGAR AL FORWARDER GEODIS                     </t>
    </r>
    <r>
      <rPr>
        <b/>
        <sz val="8"/>
        <color indexed="12"/>
        <rFont val="Arial"/>
        <family val="2"/>
      </rPr>
      <t xml:space="preserve"> EL CENTRO - 1° ENTREGA</t>
    </r>
  </si>
  <si>
    <t>Petroingenieria 5,8% (se pago la comision)</t>
  </si>
  <si>
    <r>
      <t xml:space="preserve">Fittings - </t>
    </r>
    <r>
      <rPr>
        <b/>
        <sz val="8"/>
        <color indexed="10"/>
        <rFont val="Arial"/>
        <family val="2"/>
      </rPr>
      <t xml:space="preserve">ENTREGAR AL FORWARDER GEODIS                     </t>
    </r>
    <r>
      <rPr>
        <b/>
        <sz val="8"/>
        <color indexed="12"/>
        <rFont val="Arial"/>
        <family val="2"/>
      </rPr>
      <t xml:space="preserve"> LA CIRA INFANTAS - 1° ENTREGA</t>
    </r>
  </si>
  <si>
    <t>MV MAERKS JEDDAH</t>
  </si>
  <si>
    <t>MV MAERKS JAMBI</t>
  </si>
  <si>
    <r>
      <t xml:space="preserve">Fittings - </t>
    </r>
    <r>
      <rPr>
        <b/>
        <sz val="8"/>
        <color indexed="10"/>
        <rFont val="Arial"/>
        <family val="2"/>
      </rPr>
      <t xml:space="preserve">ENTREGAR AL FORWARDER GEODIS                     </t>
    </r>
    <r>
      <rPr>
        <b/>
        <sz val="8"/>
        <color indexed="12"/>
        <rFont val="Arial"/>
        <family val="2"/>
      </rPr>
      <t xml:space="preserve"> EL CENTRO - 2° ENTREGA</t>
    </r>
  </si>
  <si>
    <r>
      <t xml:space="preserve">Fittings - </t>
    </r>
    <r>
      <rPr>
        <b/>
        <sz val="8"/>
        <color indexed="10"/>
        <rFont val="Arial"/>
        <family val="2"/>
      </rPr>
      <t xml:space="preserve">ENTREGAR AL FORWARDER GEODIS                      </t>
    </r>
    <r>
      <rPr>
        <b/>
        <sz val="8"/>
        <color indexed="12"/>
        <rFont val="Arial"/>
        <family val="2"/>
      </rPr>
      <t xml:space="preserve"> LA CIRA INFANTAS - 2° ENTREGA</t>
    </r>
  </si>
  <si>
    <r>
      <t xml:space="preserve">Fittings - </t>
    </r>
    <r>
      <rPr>
        <b/>
        <sz val="8"/>
        <color indexed="10"/>
        <rFont val="Arial"/>
        <family val="2"/>
      </rPr>
      <t xml:space="preserve">ENTREGAR AL FORWARDER GEODIS                     </t>
    </r>
    <r>
      <rPr>
        <b/>
        <sz val="8"/>
        <color indexed="12"/>
        <rFont val="Arial"/>
        <family val="2"/>
      </rPr>
      <t xml:space="preserve"> LA CIRA INFANTAS - 3° ENTREGA</t>
    </r>
  </si>
  <si>
    <r>
      <t xml:space="preserve">Fittings - </t>
    </r>
    <r>
      <rPr>
        <b/>
        <sz val="8"/>
        <color indexed="10"/>
        <rFont val="Arial"/>
        <family val="2"/>
      </rPr>
      <t xml:space="preserve">ENTREGAR AL FORWARDER GEODIS                     </t>
    </r>
    <r>
      <rPr>
        <b/>
        <sz val="8"/>
        <color indexed="12"/>
        <rFont val="Arial"/>
        <family val="2"/>
      </rPr>
      <t xml:space="preserve"> EL CENTRO - 3° ENTREGA</t>
    </r>
  </si>
  <si>
    <t>067/11 CEC</t>
  </si>
  <si>
    <t>AWB</t>
  </si>
  <si>
    <t>Se entrega al forwarder en Bue</t>
  </si>
  <si>
    <t>(se pago la comision)</t>
  </si>
  <si>
    <t>066/11 CEC</t>
  </si>
  <si>
    <r>
      <t xml:space="preserve">Fittings - </t>
    </r>
    <r>
      <rPr>
        <b/>
        <sz val="8"/>
        <color indexed="10"/>
        <rFont val="Arial"/>
        <family val="2"/>
      </rPr>
      <t xml:space="preserve">ENTREGAR AL FORWARDER GEODIS       </t>
    </r>
  </si>
  <si>
    <t>se entrega al forwarder en Bue</t>
  </si>
  <si>
    <t xml:space="preserve"> SI -01/11/2011</t>
  </si>
  <si>
    <t>Pago 1/11/2011.Petroingeniera 5,8%  (se pago la comision)</t>
  </si>
  <si>
    <t>123/11 CEC</t>
  </si>
  <si>
    <t>Nipples</t>
  </si>
  <si>
    <t>SI - 10 Ene 12</t>
  </si>
  <si>
    <t>105/11 CEC</t>
  </si>
  <si>
    <t>009-11</t>
  </si>
  <si>
    <t>101/11 CPG</t>
  </si>
  <si>
    <t>0010-11</t>
  </si>
  <si>
    <t>006/12 CPG</t>
  </si>
  <si>
    <t>004-12</t>
  </si>
  <si>
    <t>SI-07 Mayo</t>
  </si>
  <si>
    <t>041/11 CEC</t>
  </si>
  <si>
    <t>CMA CGM Bizet</t>
  </si>
  <si>
    <r>
      <t>Fittings</t>
    </r>
    <r>
      <rPr>
        <b/>
        <sz val="8"/>
        <color indexed="10"/>
        <rFont val="Arial"/>
        <family val="2"/>
      </rPr>
      <t xml:space="preserve"> - 1° PARCIAL</t>
    </r>
  </si>
  <si>
    <t>SI - 8 Jun.</t>
  </si>
  <si>
    <t>Comision: 5,6%  - Aviso de la carga a Geodis: 25/04 - Entregada: 03/05</t>
  </si>
  <si>
    <t>024/12 CEC</t>
  </si>
  <si>
    <t>SI - 07 de Junio</t>
  </si>
  <si>
    <t>Mataquito</t>
  </si>
  <si>
    <r>
      <t>Fittings</t>
    </r>
    <r>
      <rPr>
        <b/>
        <sz val="8"/>
        <color indexed="10"/>
        <rFont val="Arial"/>
        <family val="2"/>
      </rPr>
      <t xml:space="preserve"> - 2° PARCIAL</t>
    </r>
  </si>
  <si>
    <t>Comision: 5,6%  - Aviso de la carga a Geodis: 16/05</t>
  </si>
  <si>
    <t>SI - 12 Jul.</t>
  </si>
  <si>
    <t>Comision: 5,6%</t>
  </si>
  <si>
    <t xml:space="preserve">CSAV LAJA </t>
  </si>
  <si>
    <r>
      <t>Fittings</t>
    </r>
    <r>
      <rPr>
        <b/>
        <sz val="8"/>
        <color indexed="10"/>
        <rFont val="Arial"/>
        <family val="2"/>
      </rPr>
      <t xml:space="preserve"> - 3° PARCIAL</t>
    </r>
  </si>
  <si>
    <t>Comision: 5,6% - Aviso de la carga: 28/05 - Entregado a Geodis: 8/06</t>
  </si>
  <si>
    <t>Comision: 5,6% - Aviso de la carga: 28/05 - Entregado a Geodis: 08/06</t>
  </si>
  <si>
    <t>022/12 CPG</t>
  </si>
  <si>
    <t>006-12</t>
  </si>
  <si>
    <t xml:space="preserve">CAP JERVIS             
</t>
  </si>
  <si>
    <r>
      <t>Fittings</t>
    </r>
    <r>
      <rPr>
        <b/>
        <sz val="8"/>
        <color indexed="10"/>
        <rFont val="Arial"/>
        <family val="2"/>
      </rPr>
      <t xml:space="preserve"> - 4° PARCIAL</t>
    </r>
  </si>
  <si>
    <t>051/12 CEC</t>
  </si>
  <si>
    <r>
      <t>Fittings</t>
    </r>
    <r>
      <rPr>
        <b/>
        <sz val="8"/>
        <color indexed="10"/>
        <rFont val="Arial"/>
        <family val="2"/>
      </rPr>
      <t xml:space="preserve"> - 1° PARCIAL - FORWARDER GEODIS - </t>
    </r>
    <r>
      <rPr>
        <b/>
        <sz val="8"/>
        <color indexed="12"/>
        <rFont val="Arial"/>
        <family val="2"/>
      </rPr>
      <t>ENVIAR MAQUETA</t>
    </r>
  </si>
  <si>
    <t>Si - 9 Oct.</t>
  </si>
  <si>
    <t xml:space="preserve">Comision: 5,6%  </t>
  </si>
  <si>
    <t>059/12 CEC</t>
  </si>
  <si>
    <r>
      <t>Fittings</t>
    </r>
    <r>
      <rPr>
        <b/>
        <sz val="8"/>
        <color indexed="10"/>
        <rFont val="Arial"/>
        <family val="2"/>
      </rPr>
      <t xml:space="preserve"> - FORWARDER GEODIS</t>
    </r>
  </si>
  <si>
    <t>SI - 30 Oct.</t>
  </si>
  <si>
    <t>062/12 CEC</t>
  </si>
  <si>
    <r>
      <t>Fittings</t>
    </r>
    <r>
      <rPr>
        <b/>
        <sz val="8"/>
        <color indexed="10"/>
        <rFont val="Arial"/>
        <family val="2"/>
      </rPr>
      <t xml:space="preserve"> - 2° PARCIAL - FORWARDER GEODIS</t>
    </r>
  </si>
  <si>
    <t>SI - 2  Nov.</t>
  </si>
  <si>
    <t>095/12 CEC</t>
  </si>
  <si>
    <r>
      <t>1  bomba</t>
    </r>
    <r>
      <rPr>
        <b/>
        <sz val="8"/>
        <color indexed="10"/>
        <rFont val="Arial"/>
        <family val="2"/>
      </rPr>
      <t xml:space="preserve"> - FORWARDER GEODIS</t>
    </r>
  </si>
  <si>
    <t>128/12 CMA</t>
  </si>
  <si>
    <t>23-FOR121942</t>
  </si>
  <si>
    <t>con carga - DHL 6466170211</t>
  </si>
  <si>
    <t>127/12 CEC</t>
  </si>
  <si>
    <r>
      <t xml:space="preserve">Fittings </t>
    </r>
    <r>
      <rPr>
        <b/>
        <sz val="8"/>
        <color indexed="10"/>
        <rFont val="Arial"/>
        <family val="2"/>
      </rPr>
      <t>- 1° ENVIO</t>
    </r>
  </si>
  <si>
    <r>
      <t xml:space="preserve">Fittings </t>
    </r>
    <r>
      <rPr>
        <b/>
        <sz val="8"/>
        <color indexed="10"/>
        <rFont val="Arial"/>
        <family val="2"/>
      </rPr>
      <t>- 2° ENVIO</t>
    </r>
  </si>
  <si>
    <t>SI - 26 Jun.</t>
  </si>
  <si>
    <t>021/13 CEC</t>
  </si>
  <si>
    <r>
      <t>6 Bombas -</t>
    </r>
    <r>
      <rPr>
        <b/>
        <sz val="8"/>
        <color indexed="10"/>
        <rFont val="Arial"/>
        <family val="2"/>
      </rPr>
      <t xml:space="preserve"> ENVIAR JUNTO AL 2° ENVIO DE LA PO 596770</t>
    </r>
  </si>
  <si>
    <t>RHL Agilitas</t>
  </si>
  <si>
    <r>
      <t xml:space="preserve">Fittings </t>
    </r>
    <r>
      <rPr>
        <b/>
        <sz val="8"/>
        <color indexed="10"/>
        <rFont val="Arial"/>
        <family val="2"/>
      </rPr>
      <t>- 3° ENVIO</t>
    </r>
  </si>
  <si>
    <t>SI - 4 Julio</t>
  </si>
  <si>
    <t>013/13 CEC</t>
  </si>
  <si>
    <r>
      <t xml:space="preserve">Fittings </t>
    </r>
    <r>
      <rPr>
        <sz val="8"/>
        <color indexed="12"/>
        <rFont val="Arial"/>
        <family val="2"/>
      </rPr>
      <t xml:space="preserve">- </t>
    </r>
    <r>
      <rPr>
        <b/>
        <sz val="8"/>
        <color indexed="12"/>
        <rFont val="Arial"/>
        <family val="2"/>
      </rPr>
      <t>1° ENVIO</t>
    </r>
  </si>
  <si>
    <t>SI - 29 Jul.</t>
  </si>
  <si>
    <t>020/13 CPG</t>
  </si>
  <si>
    <t>004-13</t>
  </si>
  <si>
    <t>Si - 12 Agos.</t>
  </si>
  <si>
    <r>
      <t xml:space="preserve">Fittings </t>
    </r>
    <r>
      <rPr>
        <sz val="8"/>
        <color indexed="12"/>
        <rFont val="Arial"/>
        <family val="2"/>
      </rPr>
      <t>-</t>
    </r>
    <r>
      <rPr>
        <b/>
        <sz val="8"/>
        <color indexed="12"/>
        <rFont val="Arial"/>
        <family val="2"/>
      </rPr>
      <t xml:space="preserve"> 2° ENVIO</t>
    </r>
  </si>
  <si>
    <t>Si - 09 Sept.</t>
  </si>
  <si>
    <t>029/13 CEC</t>
  </si>
  <si>
    <t>082/13 CEC</t>
  </si>
  <si>
    <t xml:space="preserve">MONTEVIDEO EXPRESS V1344
</t>
  </si>
  <si>
    <t>098/13 CPG</t>
  </si>
  <si>
    <t>014-13</t>
  </si>
  <si>
    <t>SI - 27 Nov.</t>
  </si>
  <si>
    <t>107/13 CEC</t>
  </si>
  <si>
    <t>THEODOR STORM</t>
  </si>
  <si>
    <r>
      <t xml:space="preserve">Fittings - </t>
    </r>
    <r>
      <rPr>
        <b/>
        <sz val="9"/>
        <color indexed="10"/>
        <rFont val="Arial"/>
        <family val="2"/>
      </rPr>
      <t>1° ENVIO</t>
    </r>
  </si>
  <si>
    <t>100/13 CEC</t>
  </si>
  <si>
    <t>TIM-S</t>
  </si>
  <si>
    <r>
      <t xml:space="preserve">Fittings  - </t>
    </r>
    <r>
      <rPr>
        <b/>
        <sz val="9"/>
        <color indexed="10"/>
        <rFont val="Arial"/>
        <family val="2"/>
      </rPr>
      <t>1° ENVIO</t>
    </r>
  </si>
  <si>
    <t>SI - 02 Mayo</t>
  </si>
  <si>
    <t>Marzo</t>
  </si>
  <si>
    <t>Sta Clara 418N</t>
  </si>
  <si>
    <r>
      <t>Fittings -</t>
    </r>
    <r>
      <rPr>
        <b/>
        <sz val="9"/>
        <color indexed="10"/>
        <rFont val="Arial"/>
        <family val="2"/>
      </rPr>
      <t xml:space="preserve"> 2° ENVIO</t>
    </r>
  </si>
  <si>
    <t>SI - 2 Jun.</t>
  </si>
  <si>
    <t>110/13 CEC</t>
  </si>
  <si>
    <r>
      <t>Fittings</t>
    </r>
    <r>
      <rPr>
        <b/>
        <sz val="9"/>
        <color indexed="10"/>
        <rFont val="Arial"/>
        <family val="2"/>
      </rPr>
      <t xml:space="preserve"> - 2° ENVIO</t>
    </r>
  </si>
  <si>
    <t>014/14 CEC</t>
  </si>
  <si>
    <t>SI - 19 Jun.</t>
  </si>
  <si>
    <t>028/14 CEC</t>
  </si>
  <si>
    <t>002-14</t>
  </si>
  <si>
    <t>020/14 CEC</t>
  </si>
  <si>
    <t>SI - 27 de Agos.</t>
  </si>
  <si>
    <r>
      <t>5 barriles</t>
    </r>
    <r>
      <rPr>
        <b/>
        <sz val="9"/>
        <color indexed="10"/>
        <rFont val="Arial"/>
        <family val="2"/>
      </rPr>
      <t xml:space="preserve"> - 3° ENVIO</t>
    </r>
  </si>
  <si>
    <t>SI - 03 Sept.</t>
  </si>
  <si>
    <t>032/14 CEC</t>
  </si>
  <si>
    <t>114/13 CPG</t>
  </si>
  <si>
    <t>003-14</t>
  </si>
  <si>
    <t>054/14 CEC</t>
  </si>
  <si>
    <t>Si - 29 Dic.</t>
  </si>
  <si>
    <t>109/14 CEC</t>
  </si>
  <si>
    <t>15014EC01000136A</t>
  </si>
  <si>
    <t>086/14 COX</t>
  </si>
  <si>
    <t>con la carga - mail</t>
  </si>
  <si>
    <t>SI - 15 Jun.</t>
  </si>
  <si>
    <t>15073EC01014152X</t>
  </si>
  <si>
    <t>108/14 CPG</t>
  </si>
  <si>
    <t>004-15</t>
  </si>
  <si>
    <t>SI - 03 Jun.</t>
  </si>
  <si>
    <t>15073EC01014431X</t>
  </si>
  <si>
    <t>111/14 CEC</t>
  </si>
  <si>
    <t>ILVA</t>
  </si>
  <si>
    <t>La carga estaba lista el 26 de mayo en planta, pero no teiamos la autorizacion de Colombia.</t>
  </si>
  <si>
    <r>
      <t>16 Barriles -</t>
    </r>
    <r>
      <rPr>
        <sz val="9"/>
        <color indexed="10"/>
        <rFont val="Arial"/>
        <family val="2"/>
      </rPr>
      <t xml:space="preserve"> 2° ENVIO</t>
    </r>
  </si>
  <si>
    <t>15091EC01016658V</t>
  </si>
  <si>
    <t>112/15 CPG</t>
  </si>
  <si>
    <t>011/15</t>
  </si>
  <si>
    <t>Bombas + fittings</t>
  </si>
  <si>
    <t>SI - 15 Dic.</t>
  </si>
  <si>
    <t>Se demora la salida por la falta de confirmacion por parte del cliente sobre el tipo de envio (envio muy costoso por ser epoca de perecederos, Petroingenieria no aceptaba los valores. Finalmente se acuerda una tarifa y se hace aereo)</t>
  </si>
  <si>
    <t>15073EC01037248T</t>
  </si>
  <si>
    <t>ECOPETROL AMERICA</t>
  </si>
  <si>
    <t>150/14 UEC</t>
  </si>
  <si>
    <r>
      <t xml:space="preserve">40 Barriles - </t>
    </r>
    <r>
      <rPr>
        <sz val="9"/>
        <color indexed="10"/>
        <rFont val="Arial"/>
        <family val="2"/>
      </rPr>
      <t>3° ENVIO</t>
    </r>
  </si>
  <si>
    <t>SI - 28 Ene.</t>
  </si>
  <si>
    <t>Se demora la salida por la falta de confirmacion por parte del cliente sobre el tipo de envio (Ecopetrol no da la autorizacion final para entregar la carga y realizar el embarque)</t>
  </si>
  <si>
    <t>15091EC01026790T</t>
  </si>
  <si>
    <t>TDA</t>
  </si>
  <si>
    <t>094/15 CTA</t>
  </si>
  <si>
    <t>ANTICIPADO</t>
  </si>
  <si>
    <t>Pago anticipado:  50% con la PO y 50% al momento del embarque</t>
  </si>
  <si>
    <t>047/15 CPG</t>
  </si>
  <si>
    <t>004-16</t>
  </si>
  <si>
    <t>ER BERLIN</t>
  </si>
  <si>
    <r>
      <t xml:space="preserve">Fittings - </t>
    </r>
    <r>
      <rPr>
        <b/>
        <sz val="9"/>
        <color indexed="10"/>
        <rFont val="Arial"/>
        <family val="2"/>
      </rPr>
      <t>ENVIAR MUESTA DE LOS ANILLOS "D"</t>
    </r>
    <r>
      <rPr>
        <sz val="9"/>
        <rFont val="Arial"/>
        <family val="2"/>
      </rPr>
      <t xml:space="preserve"> (MATERIAL PARA MANSAROVAR)</t>
    </r>
  </si>
  <si>
    <t>SI - 25 Abr.</t>
  </si>
  <si>
    <t>15/05:  se suspende hasta neuvo aviso del cliente por un problema de medida de los anclajes</t>
  </si>
  <si>
    <t>033/16 CPG</t>
  </si>
  <si>
    <t>005-16</t>
  </si>
  <si>
    <t>Fittings (MATERIAL PARA ECOPETROL)</t>
  </si>
  <si>
    <t>044/16 COX</t>
  </si>
  <si>
    <t>Fittings - ENVIAR CERTIFICADO DE CALIDAD</t>
  </si>
  <si>
    <t>SI  - 22 Sept.</t>
  </si>
  <si>
    <t>La semana del 15 de agosto confirman que la carga sale via aerea.</t>
  </si>
  <si>
    <t>1607EC01023618Z</t>
  </si>
  <si>
    <t>agosto</t>
  </si>
  <si>
    <t>062/16 CPG</t>
  </si>
  <si>
    <t>007-16</t>
  </si>
  <si>
    <t>ZANTE</t>
  </si>
  <si>
    <t>Bombas + Fittings (MATERIAL PARA OXY)</t>
  </si>
  <si>
    <t>23/10 se informa el forwarder - Forwarder:  LCL IMPORTACION - SE PAGA EL 10 DE DIC.</t>
  </si>
  <si>
    <t>CONTRATO ALCI 0075 y Mansarovar</t>
  </si>
  <si>
    <t>012-16</t>
  </si>
  <si>
    <t>Fittings (MATERIAL PARA OXY Y MANSAROVAR)</t>
  </si>
  <si>
    <t>SI - 01/11</t>
  </si>
  <si>
    <t>FORWARDER: GEFCO</t>
  </si>
  <si>
    <t>065/16 CPG</t>
  </si>
  <si>
    <t>008-16</t>
  </si>
  <si>
    <t>E.R.DENMARK</t>
  </si>
  <si>
    <t>Fittings (MATERIAL PARA MANSAROVAR)</t>
  </si>
  <si>
    <t>SI - 27 Dic.</t>
  </si>
  <si>
    <t>Forwarder:  LCL IMPORTACION</t>
  </si>
  <si>
    <t>16001EC01047580L</t>
  </si>
  <si>
    <t>009-16</t>
  </si>
  <si>
    <t>Forwarder:  LCL IMPORTACION - PAGOS:  1° : 23 DE DIC.(OK - 27 Dic. U$ 22.679) --- 2° : 23 DE ENE (OK - 17 Ene. U$ 136.811,50) --- 3° : 20 DE FEB. (OK - 10 Feb. U$ 107.000)</t>
  </si>
  <si>
    <t>010-16</t>
  </si>
  <si>
    <t>E.R.SEOUL V 1645</t>
  </si>
  <si>
    <t>Fittings (MATERIAL PARA OXY)</t>
  </si>
  <si>
    <t>SE PAGA EL 20 DE FEB. (OK - 10 Feb. - U$ 25,691) (OK - 15 Feb. - U$ 30.000) - (OK -20 Mar. -U$ 30.000)  - Forwarder: Navetrans</t>
  </si>
  <si>
    <t>16001EC01051393X</t>
  </si>
  <si>
    <t>067/16 COX</t>
  </si>
  <si>
    <r>
      <t>32 Bombas -</t>
    </r>
    <r>
      <rPr>
        <sz val="9"/>
        <color indexed="10"/>
        <rFont val="Arial"/>
        <family val="2"/>
      </rPr>
      <t xml:space="preserve"> </t>
    </r>
    <r>
      <rPr>
        <b/>
        <sz val="9"/>
        <color indexed="10"/>
        <rFont val="Arial"/>
        <family val="2"/>
      </rPr>
      <t>1° ENVIO</t>
    </r>
  </si>
  <si>
    <t>SI - 09 Marzo</t>
  </si>
  <si>
    <t>Recien a fin de Dicimbre nos dan instrucciones para mover la carga, un mes parada la carga en Bue.</t>
  </si>
  <si>
    <t>16073EC01038546W</t>
  </si>
  <si>
    <t>E.R.DENMARK V 1705</t>
  </si>
  <si>
    <r>
      <t>20 Bombas -</t>
    </r>
    <r>
      <rPr>
        <sz val="9"/>
        <color indexed="10"/>
        <rFont val="Arial"/>
        <family val="2"/>
      </rPr>
      <t xml:space="preserve"> </t>
    </r>
    <r>
      <rPr>
        <b/>
        <sz val="9"/>
        <color indexed="10"/>
        <rFont val="Arial"/>
        <family val="2"/>
      </rPr>
      <t>2° ENVIO</t>
    </r>
  </si>
  <si>
    <t>SI - 20 Abri.</t>
  </si>
  <si>
    <t>011-16</t>
  </si>
  <si>
    <t>E.R.Seoul V 1653</t>
  </si>
  <si>
    <t>PAGOS:  1° : 10 DE ABRIL (u$ 200.000 - pagado 11/04/17)   -     2° : U$ 12.000 pagado 17 de Mayo - 3°:  u$ 15.311 pagado el 19 de junio -  Forwarder: Navetrans</t>
  </si>
  <si>
    <t>17001EC01003210R</t>
  </si>
  <si>
    <t>002-17</t>
  </si>
  <si>
    <t>LUDOVICA</t>
  </si>
  <si>
    <t>Fittings + 6 bombas (MATERIAL PARA OXY y Ecopetrol)</t>
  </si>
  <si>
    <t>PAGOS  1° : 10 DE JUNIO - Forwarder: Navetrans</t>
  </si>
  <si>
    <t>17001EC01019314G</t>
  </si>
  <si>
    <t>068/16 CEC</t>
  </si>
  <si>
    <t xml:space="preserve">E.R. Canada v.1720 </t>
  </si>
  <si>
    <t>Fittings y bombas</t>
  </si>
  <si>
    <t>SI - 14 Juli.</t>
  </si>
  <si>
    <t>17001EC01036629Y</t>
  </si>
  <si>
    <t>003-17</t>
  </si>
  <si>
    <t>SI - 28 Jul.</t>
  </si>
  <si>
    <r>
      <t xml:space="preserve">PAGO:  1° : 10 DE JULIO - </t>
    </r>
    <r>
      <rPr>
        <sz val="8"/>
        <color indexed="10"/>
        <rFont val="Arial"/>
        <family val="2"/>
      </rPr>
      <t xml:space="preserve">SE POSTERGA UNA SEMANA POR EL TEMPORAL EN CDR  - </t>
    </r>
    <r>
      <rPr>
        <sz val="8"/>
        <rFont val="Arial"/>
        <family val="2"/>
      </rPr>
      <t>Forwarder: Navetrans</t>
    </r>
  </si>
  <si>
    <t>17001EC01027849S</t>
  </si>
  <si>
    <t>004-17</t>
  </si>
  <si>
    <r>
      <t xml:space="preserve">PAGOS:  U$ 63.000 cancelado el 28 de Julio - resto (U$ 23134,60) en Agosto - Pagada 08 Agos.  -----   </t>
    </r>
    <r>
      <rPr>
        <sz val="8"/>
        <color indexed="10"/>
        <rFont val="Arial"/>
        <family val="2"/>
      </rPr>
      <t xml:space="preserve">SE POSTERGA UNA SEMANA POR EL TEMPORAL EN CDR  -  </t>
    </r>
    <r>
      <rPr>
        <sz val="8"/>
        <rFont val="Arial"/>
        <family val="2"/>
      </rPr>
      <t>Forwarder: Navetrans</t>
    </r>
  </si>
  <si>
    <t>015/17 CEC</t>
  </si>
  <si>
    <t>016/17 CEC</t>
  </si>
  <si>
    <t>005-17</t>
  </si>
  <si>
    <t>CHACABUCO V 1722</t>
  </si>
  <si>
    <t>PAGO: Fin de Septiembre    ----  A pedido del cliente se solicita demorar la salida de esta orden (prevista para fin de mayo) para enviarla junto a  la PO 007-17 - Forwarder: Navetrans</t>
  </si>
  <si>
    <t>17001EC01037761M</t>
  </si>
  <si>
    <t>035/17 CPG</t>
  </si>
  <si>
    <t>007-17</t>
  </si>
  <si>
    <t>6 pistones</t>
  </si>
  <si>
    <t>PAGO: Fin de Septiembre    ----    A pedido del cliente se despacha junto a la PO 005-17 - Forwarder: Navetrans</t>
  </si>
  <si>
    <t>025/17 CPG</t>
  </si>
  <si>
    <t>006-17</t>
  </si>
  <si>
    <t>PAGO:  Segunda semana de Octubre   ---    Forwarder: Navetrans</t>
  </si>
  <si>
    <t>17001EC01045819P</t>
  </si>
  <si>
    <t>032/17 CPG</t>
  </si>
  <si>
    <t>008-17</t>
  </si>
  <si>
    <t>Fittings - Ecopetrol</t>
  </si>
  <si>
    <t>SI -  02 Ene</t>
  </si>
  <si>
    <t>Forwarder: NaveTrans</t>
  </si>
  <si>
    <t>17001EC01067423K</t>
  </si>
  <si>
    <t>056/17 CPG</t>
  </si>
  <si>
    <t>009-17</t>
  </si>
  <si>
    <t>Fittings - OXY</t>
  </si>
  <si>
    <t>062/17 CPG</t>
  </si>
  <si>
    <t>010-17</t>
  </si>
  <si>
    <t>SI - 12 ene</t>
  </si>
  <si>
    <t>17001EC01070520C</t>
  </si>
  <si>
    <t>055/17 CPG</t>
  </si>
  <si>
    <t>011-17</t>
  </si>
  <si>
    <t>11 bombas - OXY</t>
  </si>
  <si>
    <t>068/17 CPG</t>
  </si>
  <si>
    <t>012-17</t>
  </si>
  <si>
    <t>CONTI DARWIN</t>
  </si>
  <si>
    <t>14 bombas - OXY - Certificados</t>
  </si>
  <si>
    <r>
      <t xml:space="preserve">Forwarder: NaveTrans - Se roleo la carga, del 02/12 paso al 9/12  - </t>
    </r>
    <r>
      <rPr>
        <b/>
        <sz val="8"/>
        <rFont val="Arial"/>
        <family val="2"/>
      </rPr>
      <t>PAGO:  Parcial:  20 de Feb. (US$79.423) - Resto: 1° sem. de Marzo (US$111.000)</t>
    </r>
  </si>
  <si>
    <t>17001EC01078453P</t>
  </si>
  <si>
    <t>013-17</t>
  </si>
  <si>
    <t>20 Feb.-U$ 38.294 - 22 Feb-U$ 111.000</t>
  </si>
  <si>
    <t xml:space="preserve">VENEZUELA </t>
  </si>
  <si>
    <t>BOEX</t>
  </si>
  <si>
    <t>Pto. Venezuela</t>
  </si>
  <si>
    <t>sin valor comercial</t>
  </si>
  <si>
    <t>VENEZUELA</t>
  </si>
  <si>
    <t>stock para inicio sociedad</t>
  </si>
  <si>
    <t>feb</t>
  </si>
  <si>
    <t>(válvulas) entrega GAMMA</t>
  </si>
  <si>
    <t>(barriles) 1º entrega de GAMMA</t>
  </si>
  <si>
    <t>(barriles) 2º entrega GAMMA</t>
  </si>
  <si>
    <r>
      <t xml:space="preserve">sale </t>
    </r>
    <r>
      <rPr>
        <b/>
        <sz val="8"/>
        <rFont val="Arial"/>
        <family val="2"/>
      </rPr>
      <t>INCOMPLETO</t>
    </r>
  </si>
  <si>
    <t>sale con Navales el 26-3, llega el 31-3</t>
  </si>
  <si>
    <t>material faltante del envío anterior</t>
  </si>
  <si>
    <t xml:space="preserve">Latin Cargo </t>
  </si>
  <si>
    <t>8-5 estará listo en planta / 20-5 por Patagonia</t>
  </si>
  <si>
    <t>BOLLAND</t>
  </si>
  <si>
    <t>barriles y o'rings</t>
  </si>
  <si>
    <t>24 enero de BAI a Maracaibo</t>
  </si>
  <si>
    <t>FACTURACIÓN DICIEMBRE</t>
  </si>
  <si>
    <t>017/00 VBV</t>
  </si>
  <si>
    <t>BND DE VENEZUELA</t>
  </si>
  <si>
    <t>019/00 VBV</t>
  </si>
  <si>
    <t>CARACAS</t>
  </si>
  <si>
    <t>reemplazo mat. fallado + repuesto PDVSA</t>
  </si>
  <si>
    <t>020/00 VBV</t>
  </si>
  <si>
    <t>+ bomba REPSOL</t>
  </si>
  <si>
    <t>018/00 VBV</t>
  </si>
  <si>
    <t>repuestos PDVSA</t>
  </si>
  <si>
    <r>
      <t xml:space="preserve">una parte la lleva Horacio, resto por </t>
    </r>
    <r>
      <rPr>
        <b/>
        <sz val="8"/>
        <rFont val="Arial"/>
        <family val="2"/>
      </rPr>
      <t>COURIER</t>
    </r>
  </si>
  <si>
    <t>B-1670600022 y 23</t>
  </si>
  <si>
    <t>MARACAIBO</t>
  </si>
  <si>
    <t>o'rings + anillos</t>
  </si>
  <si>
    <t>válvulas + barriles</t>
  </si>
  <si>
    <t>036/00 VBV</t>
  </si>
  <si>
    <t>lo pendiente se envía en el próximo despacho</t>
  </si>
  <si>
    <t>TOTAL O.C.</t>
  </si>
  <si>
    <t>051/00 VBV</t>
  </si>
  <si>
    <t>B-1670600067</t>
  </si>
  <si>
    <t>adelanto de R13-25 x 200 y R13-30 x 200</t>
  </si>
  <si>
    <t>con material</t>
  </si>
  <si>
    <t>por aéreo</t>
  </si>
  <si>
    <t>28//8</t>
  </si>
  <si>
    <t>186 R13-35-4000</t>
  </si>
  <si>
    <t>adelanto</t>
  </si>
  <si>
    <t>198 R13-35-4000</t>
  </si>
  <si>
    <t>1º despacho parcial</t>
  </si>
  <si>
    <t>2º despacho parcial</t>
  </si>
  <si>
    <t>sale lo pendiente de la 0022/0023</t>
  </si>
  <si>
    <t>063/00 VBV</t>
  </si>
  <si>
    <t>B-1670600070</t>
  </si>
  <si>
    <t>envío junto con 2º despacho de 0067</t>
  </si>
  <si>
    <t>DESPACHA GAMMA 1º</t>
  </si>
  <si>
    <t>G003400</t>
  </si>
  <si>
    <t>155 barriles (+10 de la 0022) + o'rings + válvulas</t>
  </si>
  <si>
    <t>DESPACHA GAMMA 2º</t>
  </si>
  <si>
    <t>G003400B</t>
  </si>
  <si>
    <t>FALTANTE BARRILES</t>
  </si>
  <si>
    <t>075/00 VBV</t>
  </si>
  <si>
    <t>A-7009010</t>
  </si>
  <si>
    <t>(25-oct de BAI)</t>
  </si>
  <si>
    <t>12 ítems  +  pendientes de la 0067</t>
  </si>
  <si>
    <t>total 109.827,60</t>
  </si>
  <si>
    <t>INCOMPLETA</t>
  </si>
  <si>
    <t>073/00 VBV</t>
  </si>
  <si>
    <t>A-7009007</t>
  </si>
  <si>
    <t>1º envío</t>
  </si>
  <si>
    <t>total 193.468,02</t>
  </si>
  <si>
    <t>076/00 VBV</t>
  </si>
  <si>
    <t>A-7009012</t>
  </si>
  <si>
    <t>envío completo</t>
  </si>
  <si>
    <t>074/00 VBV</t>
  </si>
  <si>
    <t>A-7009009</t>
  </si>
  <si>
    <t>total 24.661,03</t>
  </si>
  <si>
    <t>2º envío</t>
  </si>
  <si>
    <t>7/nov de BAI</t>
  </si>
  <si>
    <t>A-7009020</t>
  </si>
  <si>
    <t>G004500</t>
  </si>
  <si>
    <t>válvulas + R14-20</t>
  </si>
  <si>
    <t>B-1670600065</t>
  </si>
  <si>
    <t>G004900</t>
  </si>
  <si>
    <t>parcial válvulas especiales</t>
  </si>
  <si>
    <t>A-7009006 / 08 / 11</t>
  </si>
  <si>
    <t>G003400-C</t>
  </si>
  <si>
    <t>parcial válvulas</t>
  </si>
  <si>
    <t>A-7009030</t>
  </si>
  <si>
    <t>G005100</t>
  </si>
  <si>
    <t>bolas</t>
  </si>
  <si>
    <t>3º envío</t>
  </si>
  <si>
    <t>c/Donati</t>
  </si>
  <si>
    <t>BAI</t>
  </si>
  <si>
    <t>088/00 VBV</t>
  </si>
  <si>
    <t>081/00 VBV</t>
  </si>
  <si>
    <t>A-7009019</t>
  </si>
  <si>
    <t>total 152.793</t>
  </si>
  <si>
    <t>C18-325</t>
  </si>
  <si>
    <t>G4900-B</t>
  </si>
  <si>
    <t>total 149.079</t>
  </si>
  <si>
    <t>G003400-D</t>
  </si>
  <si>
    <t>total 447.282</t>
  </si>
  <si>
    <t>G003401-F</t>
  </si>
  <si>
    <t>G003401-E</t>
  </si>
  <si>
    <t>barriles</t>
  </si>
  <si>
    <t>4º envío</t>
  </si>
  <si>
    <t>A-7009032</t>
  </si>
  <si>
    <t>A-7009034</t>
  </si>
  <si>
    <t>G4901-C</t>
  </si>
  <si>
    <t>válvulas especiales / parcial V12B225M</t>
  </si>
  <si>
    <t>G3401-G</t>
  </si>
  <si>
    <t>A-7009035</t>
  </si>
  <si>
    <t>G032101</t>
  </si>
  <si>
    <t>G3401-I</t>
  </si>
  <si>
    <t>valvulas</t>
  </si>
  <si>
    <t>G3401-H</t>
  </si>
  <si>
    <t>G004501-B</t>
  </si>
  <si>
    <t>total 118.631</t>
  </si>
  <si>
    <t>valvulas SIS + bola de cobalto para</t>
  </si>
  <si>
    <t>G4901-D</t>
  </si>
  <si>
    <t>valvulas + bolas</t>
  </si>
  <si>
    <t>G005101-B</t>
  </si>
  <si>
    <t>total 10.276</t>
  </si>
  <si>
    <t>total 15.442,18</t>
  </si>
  <si>
    <t>A-7009039</t>
  </si>
  <si>
    <t>pendientes T11</t>
  </si>
  <si>
    <t>total 59.713</t>
  </si>
  <si>
    <t>a Vzla.</t>
  </si>
  <si>
    <t>Pendiente 2 items(T11-150-158/152)</t>
  </si>
  <si>
    <t>A-7009049</t>
  </si>
  <si>
    <t>1º Parcial</t>
  </si>
  <si>
    <t>A-7009047</t>
  </si>
  <si>
    <t>G0423-3-01</t>
  </si>
  <si>
    <t>en Vzla.</t>
  </si>
  <si>
    <t>G005101-C</t>
  </si>
  <si>
    <t>enviado</t>
  </si>
  <si>
    <t>en Vzla</t>
  </si>
  <si>
    <t>G032101-C</t>
  </si>
  <si>
    <t>enviados</t>
  </si>
  <si>
    <t>barriles + válvulas</t>
  </si>
  <si>
    <t>Pendiente 1 items(T11-150-158)</t>
  </si>
  <si>
    <t>total 6.402,37</t>
  </si>
  <si>
    <t>Pendiente: 1 item(T11-150-152)</t>
  </si>
  <si>
    <t>2º Parcial</t>
  </si>
  <si>
    <t>pendiente</t>
  </si>
  <si>
    <t>Fin de Junio</t>
  </si>
  <si>
    <t>eta</t>
  </si>
  <si>
    <t>043/01 VBV</t>
  </si>
  <si>
    <t>A-7009078</t>
  </si>
  <si>
    <t>Maracaibo</t>
  </si>
  <si>
    <t>2 bombas para Maxus de Venezuela</t>
  </si>
  <si>
    <t>044/01 VBV</t>
  </si>
  <si>
    <t>A-7009077</t>
  </si>
  <si>
    <t>048/01 VBV</t>
  </si>
  <si>
    <t>A-7009082</t>
  </si>
  <si>
    <t>Entregar junto a la 77/78</t>
  </si>
  <si>
    <t>055/01 VBV</t>
  </si>
  <si>
    <t>A-7009096</t>
  </si>
  <si>
    <t>B/L BAI</t>
  </si>
  <si>
    <t>058/01 VBV</t>
  </si>
  <si>
    <t>A-7009098</t>
  </si>
  <si>
    <t>Midmarine Transmodal 85</t>
  </si>
  <si>
    <t>fecha B/L</t>
  </si>
  <si>
    <r>
      <t>Lykes Voyager</t>
    </r>
    <r>
      <rPr>
        <b/>
        <sz val="8"/>
        <rFont val="Arial"/>
        <family val="2"/>
      </rPr>
      <t xml:space="preserve"> ETA 2/dic</t>
    </r>
  </si>
  <si>
    <t>001/02 VBV</t>
  </si>
  <si>
    <t>A-7009127</t>
  </si>
  <si>
    <t>012/02 VBV</t>
  </si>
  <si>
    <t>A-7009136</t>
  </si>
  <si>
    <t>Camion a Bai</t>
  </si>
  <si>
    <t>G0424202</t>
  </si>
  <si>
    <t>total: 13684</t>
  </si>
  <si>
    <t>Airborne Express 9051254785</t>
  </si>
  <si>
    <t>Cons: 28/06</t>
  </si>
  <si>
    <t>036/02 VBV</t>
  </si>
  <si>
    <t>A-7009152</t>
  </si>
  <si>
    <t>G0724402</t>
  </si>
  <si>
    <t>x mail</t>
  </si>
  <si>
    <t>llega: 6/8</t>
  </si>
  <si>
    <t>050/02 VBV</t>
  </si>
  <si>
    <t>A-7009159</t>
  </si>
  <si>
    <t>G0724302</t>
  </si>
  <si>
    <t>3 BARRILES</t>
  </si>
  <si>
    <t>Cons:  8/8</t>
  </si>
  <si>
    <t>041/02 VBV</t>
  </si>
  <si>
    <t>A-7009158</t>
  </si>
  <si>
    <t>10 BOMBAS</t>
  </si>
  <si>
    <t>ETA:  27/8</t>
  </si>
  <si>
    <t>ENVIAR O'RINGS CON DOCS (DHL)</t>
  </si>
  <si>
    <t>064/02 VBV</t>
  </si>
  <si>
    <t>A-7009167</t>
  </si>
  <si>
    <t>G0910102</t>
  </si>
  <si>
    <t xml:space="preserve"> (Ball &amp; Seat) - via aereo</t>
  </si>
  <si>
    <t>G0925102</t>
  </si>
  <si>
    <t>Valvulas para las 10 bombas (Sambar y Ball &amp; Seat)</t>
  </si>
  <si>
    <t>075/02 VBV</t>
  </si>
  <si>
    <t>A-7009181</t>
  </si>
  <si>
    <t>O'rings Aflas</t>
  </si>
  <si>
    <t>G1025202</t>
  </si>
  <si>
    <t>Cons: 28/11</t>
  </si>
  <si>
    <t>Llega: 16/12</t>
  </si>
  <si>
    <t>Pto Veracruz</t>
  </si>
  <si>
    <t xml:space="preserve">7 B11-250-12ACI </t>
  </si>
  <si>
    <t>074/02 VBV</t>
  </si>
  <si>
    <t>A-7009178</t>
  </si>
  <si>
    <t>859</t>
  </si>
  <si>
    <t>(Maersk)</t>
  </si>
  <si>
    <t>089/02 VBV</t>
  </si>
  <si>
    <t>A-7009202</t>
  </si>
  <si>
    <t>Fittings (9 items)</t>
  </si>
  <si>
    <t>091/02 VBV</t>
  </si>
  <si>
    <t>A-7009201</t>
  </si>
  <si>
    <t>095/02 VBV</t>
  </si>
  <si>
    <t>A-7009208</t>
  </si>
  <si>
    <t>70 Barriles</t>
  </si>
  <si>
    <t>012/03 VBV</t>
  </si>
  <si>
    <t>A-7009213</t>
  </si>
  <si>
    <t xml:space="preserve">PARCIAL </t>
  </si>
  <si>
    <t>Vzla. 17/3</t>
  </si>
  <si>
    <t>G107303</t>
  </si>
  <si>
    <t>Vzla. 21/03 aprox.</t>
  </si>
  <si>
    <t>G3072103</t>
  </si>
  <si>
    <t>5- R13B30-300</t>
  </si>
  <si>
    <t>Llega 11/6</t>
  </si>
  <si>
    <t>PENDIENTE</t>
  </si>
  <si>
    <t>105 - B11-250-12ACI</t>
  </si>
  <si>
    <t>30 - B11-200-12ACI</t>
  </si>
  <si>
    <t>020/03 VBV</t>
  </si>
  <si>
    <t>A-7009215</t>
  </si>
  <si>
    <t>G0129303</t>
  </si>
  <si>
    <t>G50603</t>
  </si>
  <si>
    <t>G0129403</t>
  </si>
  <si>
    <t>G0501503</t>
  </si>
  <si>
    <t>Barriles, O'rings, asientos y bolas</t>
  </si>
  <si>
    <t>G0425203</t>
  </si>
  <si>
    <t xml:space="preserve">mediados de </t>
  </si>
  <si>
    <t>Asiento y bolas</t>
  </si>
  <si>
    <t>G0428103</t>
  </si>
  <si>
    <t>Anillos</t>
  </si>
  <si>
    <t>BOLLAND DE VENEZUELA</t>
  </si>
  <si>
    <t>054/03 VBV</t>
  </si>
  <si>
    <t>A-7009232</t>
  </si>
  <si>
    <t>Bolas y asientos</t>
  </si>
  <si>
    <t>G06302203</t>
  </si>
  <si>
    <t>092/03 VBV</t>
  </si>
  <si>
    <t>A-7009271</t>
  </si>
  <si>
    <t>G1016303</t>
  </si>
  <si>
    <t>810-9378-6910</t>
  </si>
  <si>
    <t>ADELANTO DE 9 ITEMS</t>
  </si>
  <si>
    <t>110/03 VBV</t>
  </si>
  <si>
    <t>A-7009288</t>
  </si>
  <si>
    <t>16/12/03- llega</t>
  </si>
  <si>
    <t>045-74749194</t>
  </si>
  <si>
    <r>
      <t>Item 1,2,4: en stock</t>
    </r>
    <r>
      <rPr>
        <b/>
        <sz val="8"/>
        <rFont val="Arial"/>
        <family val="2"/>
      </rPr>
      <t>-15/1</t>
    </r>
  </si>
  <si>
    <t>119/03VBV</t>
  </si>
  <si>
    <t>A-7009301</t>
  </si>
  <si>
    <r>
      <t>item 2,3:</t>
    </r>
    <r>
      <rPr>
        <b/>
        <sz val="8"/>
        <rFont val="Arial"/>
        <family val="2"/>
      </rPr>
      <t xml:space="preserve"> 8/3</t>
    </r>
  </si>
  <si>
    <t>Asientos y Bolas</t>
  </si>
  <si>
    <t>G0129104</t>
  </si>
  <si>
    <t>Cons: 15/1/04</t>
  </si>
  <si>
    <t>Envio Luis</t>
  </si>
  <si>
    <t>24 barriles (B12-225-16ACI)</t>
  </si>
  <si>
    <t>T.time: 25 dias</t>
  </si>
  <si>
    <t>116/03VBV</t>
  </si>
  <si>
    <t>A-7009297</t>
  </si>
  <si>
    <t>Resto item 2 y 3</t>
  </si>
  <si>
    <t>G217204</t>
  </si>
  <si>
    <r>
      <t xml:space="preserve">item 1,2: </t>
    </r>
    <r>
      <rPr>
        <b/>
        <sz val="8"/>
        <rFont val="Arial"/>
        <family val="2"/>
      </rPr>
      <t>21/1</t>
    </r>
  </si>
  <si>
    <r>
      <t>item 3:</t>
    </r>
    <r>
      <rPr>
        <b/>
        <sz val="8"/>
        <rFont val="Arial"/>
        <family val="2"/>
      </rPr>
      <t xml:space="preserve"> 15/1</t>
    </r>
  </si>
  <si>
    <t>Barriles y bolas</t>
  </si>
  <si>
    <t>G0204304</t>
  </si>
  <si>
    <t>009/04 VBV</t>
  </si>
  <si>
    <t>A7009322</t>
  </si>
  <si>
    <t>O'rings</t>
  </si>
  <si>
    <t>G0330704</t>
  </si>
  <si>
    <t>G429304</t>
  </si>
  <si>
    <t>150 barriles</t>
  </si>
  <si>
    <t>025/04 VBV</t>
  </si>
  <si>
    <t>A7009355</t>
  </si>
  <si>
    <t>G0429204</t>
  </si>
  <si>
    <t>2 barriles</t>
  </si>
  <si>
    <t>G429304B</t>
  </si>
  <si>
    <t>021/04 VBV</t>
  </si>
  <si>
    <t>A7009347</t>
  </si>
  <si>
    <t>valvulas: 21/5</t>
  </si>
  <si>
    <t>G609304</t>
  </si>
  <si>
    <t>027/04 VBV</t>
  </si>
  <si>
    <t>A7009356</t>
  </si>
  <si>
    <t>G611204</t>
  </si>
  <si>
    <t>G621204</t>
  </si>
  <si>
    <t>130 barriles</t>
  </si>
  <si>
    <t>30/7-barriles</t>
  </si>
  <si>
    <t>G0621104</t>
  </si>
  <si>
    <t>Se enviaron solo 42 barriles</t>
  </si>
  <si>
    <t>Insp.:24/5</t>
  </si>
  <si>
    <t>cut off: 9/6</t>
  </si>
  <si>
    <t>LLEVA INSPECCION DE PRE EMBARQUE</t>
  </si>
  <si>
    <t>14/6: 1º fecha de buque</t>
  </si>
  <si>
    <t>G0729104</t>
  </si>
  <si>
    <t>G0809204</t>
  </si>
  <si>
    <t>Faltan: 108 Barriles</t>
  </si>
  <si>
    <t>consol.: 5/8</t>
  </si>
  <si>
    <t>Ex W</t>
  </si>
  <si>
    <t>Puerto Cabello</t>
  </si>
  <si>
    <t>43 barriles + 10 pistones + fittings</t>
  </si>
  <si>
    <t>110 barriles + 150 pistones + fittings</t>
  </si>
  <si>
    <t>038/04 VBV</t>
  </si>
  <si>
    <t>A7009427</t>
  </si>
  <si>
    <t>20 valvulas desde Argentina</t>
  </si>
  <si>
    <t>048/04 VBV</t>
  </si>
  <si>
    <t>A7009451</t>
  </si>
  <si>
    <t>G0825104</t>
  </si>
  <si>
    <t>Cons:  1/9</t>
  </si>
  <si>
    <t>036/04 VBV</t>
  </si>
  <si>
    <t>A7009364</t>
  </si>
  <si>
    <t>58 barriles + 59 pistones + fittings</t>
  </si>
  <si>
    <t>(de Panta)</t>
  </si>
  <si>
    <t>A7009377</t>
  </si>
  <si>
    <t>15 barriles + 145 pistones + fittings</t>
  </si>
  <si>
    <t>4/10-NJ</t>
  </si>
  <si>
    <t>G928104</t>
  </si>
  <si>
    <t>810-9472-3775</t>
  </si>
  <si>
    <t>guia AWB</t>
  </si>
  <si>
    <t>G1005304</t>
  </si>
  <si>
    <t>810-9472-3786</t>
  </si>
  <si>
    <t>Cons.:  6/10</t>
  </si>
  <si>
    <t>25 - B11-250-18ACI</t>
  </si>
  <si>
    <t>13 - C18-250</t>
  </si>
  <si>
    <t>120  - C18-200 y 40 - C18-250 - 25 - R11-30V-267</t>
  </si>
  <si>
    <t>046/04 VBV</t>
  </si>
  <si>
    <t>A7009431</t>
  </si>
  <si>
    <t xml:space="preserve"> 60 barriles + Fittings</t>
  </si>
  <si>
    <t>(de Planta)</t>
  </si>
  <si>
    <t>A7009438</t>
  </si>
  <si>
    <t>20 barriles + 370 pistones + Fittings</t>
  </si>
  <si>
    <t>G1028104</t>
  </si>
  <si>
    <t>063/04 VBV</t>
  </si>
  <si>
    <t>A7009466</t>
  </si>
  <si>
    <t>243 barriles + 755 valvulas</t>
  </si>
  <si>
    <t>G112204</t>
  </si>
  <si>
    <t>064/04 VBV</t>
  </si>
  <si>
    <t>A7009467</t>
  </si>
  <si>
    <t>5 barriles + 880 valvulas</t>
  </si>
  <si>
    <t>G112104</t>
  </si>
  <si>
    <t>48 barriles + 235 pistones + fittings</t>
  </si>
  <si>
    <t>162 barriles + 175 pistones + fittings</t>
  </si>
  <si>
    <t>cons: 8/2</t>
  </si>
  <si>
    <t>0005</t>
  </si>
  <si>
    <t>M147 1834 639</t>
  </si>
  <si>
    <t>077/04 VBV</t>
  </si>
  <si>
    <t>A7009499</t>
  </si>
  <si>
    <t>50 barriles + 150 pistones + fittings</t>
  </si>
  <si>
    <t>078/04 VBV</t>
  </si>
  <si>
    <t>A7009498</t>
  </si>
  <si>
    <t>45 barriles + 350 pistones + fittings</t>
  </si>
  <si>
    <t>735 asientos + 275 bolas</t>
  </si>
  <si>
    <t>G107244</t>
  </si>
  <si>
    <t>Retraso por problemas con CADIVI</t>
  </si>
  <si>
    <t>Nacionalizacion 8/7</t>
  </si>
  <si>
    <t>602 asientos + 323 bolas</t>
  </si>
  <si>
    <t>G107243</t>
  </si>
  <si>
    <t>Cons: 31/5</t>
  </si>
  <si>
    <t>0018</t>
  </si>
  <si>
    <t>Lykes Ranger</t>
  </si>
  <si>
    <t>2º ENVIO-Retraso en la entrega por problemas con el CADIVI</t>
  </si>
  <si>
    <t>LLEVA INSPECCIÓN DE PRE EMBARQUE</t>
  </si>
  <si>
    <t>019/05 VBV</t>
  </si>
  <si>
    <t>A7009569</t>
  </si>
  <si>
    <t>75 bar.+265 asien.+190 bolas+ 3100 o'rings+ 650 anillos</t>
  </si>
  <si>
    <t>G328166</t>
  </si>
  <si>
    <t>Retraso por problemas con CADIVI - ENVIA GAMMA</t>
  </si>
  <si>
    <t>22/08/05-en taller 7/9</t>
  </si>
  <si>
    <t>020/05 VBV</t>
  </si>
  <si>
    <t>A7009570</t>
  </si>
  <si>
    <t>5 barriles +100 bolas + 100 anillos</t>
  </si>
  <si>
    <t>G328165</t>
  </si>
  <si>
    <t>Cons: 12/7</t>
  </si>
  <si>
    <t>0044</t>
  </si>
  <si>
    <t>3º ENVIO - Retraso en la entrega por problemas con SGS</t>
  </si>
  <si>
    <t>23/08/05-en taller 8/9</t>
  </si>
  <si>
    <t>185 barriles + 979 pistones + fittings</t>
  </si>
  <si>
    <t>1º ENVIO - Retraso en la entrega por problemas con SGS</t>
  </si>
  <si>
    <t>72 barriles + 15 pistones + fittings</t>
  </si>
  <si>
    <t>Cons: 09/08</t>
  </si>
  <si>
    <t>0056</t>
  </si>
  <si>
    <t>Cons: 8/11</t>
  </si>
  <si>
    <t>7 barriles+750 R13B</t>
  </si>
  <si>
    <t>0087</t>
  </si>
  <si>
    <t>Calaparana</t>
  </si>
  <si>
    <t>3º ENVIO - HUELGA EN CDR</t>
  </si>
  <si>
    <t>10 barriles</t>
  </si>
  <si>
    <t>047/05 VBV</t>
  </si>
  <si>
    <t>A7009633</t>
  </si>
  <si>
    <t>89 barriles + 678 pistones + fittings</t>
  </si>
  <si>
    <t>HUELGA EN CDR</t>
  </si>
  <si>
    <t>A7009639</t>
  </si>
  <si>
    <t>18 barriles + 393 asientos + 170 bolas</t>
  </si>
  <si>
    <t>G328245</t>
  </si>
  <si>
    <t>Piden que se envie todo el material junto-GAMMA</t>
  </si>
  <si>
    <t>en taller</t>
  </si>
  <si>
    <t>Cons.:  16/01</t>
  </si>
  <si>
    <t>062/05 VBV</t>
  </si>
  <si>
    <t>A7009681</t>
  </si>
  <si>
    <t>15 barriles + 215 pistones + fittings</t>
  </si>
  <si>
    <t>0095</t>
  </si>
  <si>
    <t>cons: 25/4</t>
  </si>
  <si>
    <t>028/06 VBV</t>
  </si>
  <si>
    <t>A-7009716</t>
  </si>
  <si>
    <t>Pto. Cabello</t>
  </si>
  <si>
    <t>177 barriles, 455 pistones, fittings varios</t>
  </si>
  <si>
    <t>AAD</t>
  </si>
  <si>
    <t>Venezuela</t>
  </si>
  <si>
    <t>01157645</t>
  </si>
  <si>
    <t>1° ENVIO</t>
  </si>
  <si>
    <t>018/06 VBV</t>
  </si>
  <si>
    <t>A-7009708</t>
  </si>
  <si>
    <t>49 barriles, 84 asientos, 162 bolas, 500 o'ring</t>
  </si>
  <si>
    <t>G328304</t>
  </si>
  <si>
    <t>01169046</t>
  </si>
  <si>
    <t>cons: 23/5</t>
  </si>
  <si>
    <t>1°problemas gremiales en la Pta.</t>
  </si>
  <si>
    <t>035/06 VBV</t>
  </si>
  <si>
    <t>A-7009727</t>
  </si>
  <si>
    <t>2 barriles, 66 pistones, fittings varios</t>
  </si>
  <si>
    <t>3/7 desconso.</t>
  </si>
  <si>
    <t>01208883</t>
  </si>
  <si>
    <t>2° ENVIO</t>
  </si>
  <si>
    <t>G328304B</t>
  </si>
  <si>
    <t>225v.</t>
  </si>
  <si>
    <t>3° ENVIO</t>
  </si>
  <si>
    <t>G328303</t>
  </si>
  <si>
    <t>01248479</t>
  </si>
  <si>
    <t>cons: 18/7</t>
  </si>
  <si>
    <t>1° problemas gremiales, se solucionand en Agosto con un insentivo. 2° problemas con el barco se paso del 11 al 18/7</t>
  </si>
  <si>
    <t>039/06 VBV</t>
  </si>
  <si>
    <t>A-7009748</t>
  </si>
  <si>
    <t>88 barriles, 48 pistones, fittings varios</t>
  </si>
  <si>
    <t>01270848</t>
  </si>
  <si>
    <t>050/06 VBV</t>
  </si>
  <si>
    <t>A-7009762</t>
  </si>
  <si>
    <t>43 barriles, 20 asientos, 150 bolas, 100 anillos</t>
  </si>
  <si>
    <t>G328359</t>
  </si>
  <si>
    <t>01352686</t>
  </si>
  <si>
    <t>1° problemas gremiales en la planta se resuelven a fines de Julio - 2° problemas para obtener el CADIVI en Vzla. (ver mail 01/08) Nos informan que se arreglo el sist. del CADIVI y a mas tardar el martes 15 ya tenemos la autorizacion (ver mail 10/8)</t>
  </si>
  <si>
    <t>A-7009763</t>
  </si>
  <si>
    <t>Puerto la Guaira</t>
  </si>
  <si>
    <t xml:space="preserve"> 131 pistones, fittings varios</t>
  </si>
  <si>
    <t>01319932</t>
  </si>
  <si>
    <t>Cons: 10/10</t>
  </si>
  <si>
    <t>NOTA:  Nos informan demora en el buque, la nueva fecha es el 19 de Oct. (antes 13 de Oct.-mail 17/10)</t>
  </si>
  <si>
    <t>067/06 VBV</t>
  </si>
  <si>
    <t>A-7009783</t>
  </si>
  <si>
    <t xml:space="preserve"> 164 barriles, 240 pistones, fittings varios</t>
  </si>
  <si>
    <t>01406082</t>
  </si>
  <si>
    <t>Cons: 25/10</t>
  </si>
  <si>
    <t>073/06 VBV</t>
  </si>
  <si>
    <t>A-7009805</t>
  </si>
  <si>
    <t>26 barriles, 35 pistones, fittings varios</t>
  </si>
  <si>
    <t>01447211</t>
  </si>
  <si>
    <t>A-7009784</t>
  </si>
  <si>
    <t>500 o'rings</t>
  </si>
  <si>
    <t>G328378</t>
  </si>
  <si>
    <t>Se solicita nuevo CADIVI ya que se modifico el peso, por lo cual cambia el monto del flete</t>
  </si>
  <si>
    <t>068/06 VBV</t>
  </si>
  <si>
    <t>A-7009799</t>
  </si>
  <si>
    <t>3 Pistones, 6 cuplas</t>
  </si>
  <si>
    <t xml:space="preserve">Se enviaron con </t>
  </si>
  <si>
    <t>01428904</t>
  </si>
  <si>
    <t>la carga</t>
  </si>
  <si>
    <t>A-7009771</t>
  </si>
  <si>
    <t>1000 o'rings</t>
  </si>
  <si>
    <t>G328380</t>
  </si>
  <si>
    <t>810-9627-8630</t>
  </si>
  <si>
    <t>01439059</t>
  </si>
  <si>
    <t>Cons: 29/11</t>
  </si>
  <si>
    <t>082/06 VBV</t>
  </si>
  <si>
    <t>A-7009815</t>
  </si>
  <si>
    <t>39 barriles, 81 pistones, fittings varios</t>
  </si>
  <si>
    <t>'01484723</t>
  </si>
  <si>
    <r>
      <t xml:space="preserve">NOTA:  </t>
    </r>
    <r>
      <rPr>
        <sz val="8"/>
        <color indexed="10"/>
        <rFont val="Arial"/>
        <family val="2"/>
      </rPr>
      <t>Debido a un Paro general en el Sur (por el Impuesto a las ganancias), se demora la salida de la mercaderia desde la Planta (Pta. cerrada). Se arreglo el problema y se termina la fabricacion, salida fines de Nov.</t>
    </r>
  </si>
  <si>
    <t>A-7009816</t>
  </si>
  <si>
    <t>128 bolas y 400 o'rings</t>
  </si>
  <si>
    <t>G328411</t>
  </si>
  <si>
    <r>
      <t xml:space="preserve">NOTA:  </t>
    </r>
    <r>
      <rPr>
        <sz val="8"/>
        <color indexed="10"/>
        <rFont val="Arial"/>
        <family val="2"/>
      </rPr>
      <t>Se demoro la entrega de la mercaderia ya que Ball &amp; Seat cierra por las fiestas. (mail 30/11 y  14/12)</t>
    </r>
  </si>
  <si>
    <t>A-7009828</t>
  </si>
  <si>
    <r>
      <t xml:space="preserve">50 anillos, 300 o'rings, 97 asientos y 340 bolas - </t>
    </r>
    <r>
      <rPr>
        <sz val="8"/>
        <color indexed="12"/>
        <rFont val="Arial"/>
        <family val="2"/>
      </rPr>
      <t>ENVIA GAMMA</t>
    </r>
  </si>
  <si>
    <t>G328415</t>
  </si>
  <si>
    <t>ADD 01563216</t>
  </si>
  <si>
    <t>SI -08 Feb.</t>
  </si>
  <si>
    <t>Se demoro la entrega de la mercaderia ya que Ball &amp; Seat cierra por las fiestas. (mail 30/11 y  14/12)</t>
  </si>
  <si>
    <t>090/06 VBV</t>
  </si>
  <si>
    <t>A-7009846</t>
  </si>
  <si>
    <t>156 barriles, 508 pistones, fittings varios</t>
  </si>
  <si>
    <t>ADD 01561763</t>
  </si>
  <si>
    <t>SI - 16/3 en taller</t>
  </si>
  <si>
    <t>Debido a un atraso en la entrega de unos materiales de Tantal, se debe retrasar la entrega de esta orden. (1° fecha prevista 29/12 - nueva fecha 09/01/07)</t>
  </si>
  <si>
    <t>A-7009874</t>
  </si>
  <si>
    <r>
      <t>1° ENVIO</t>
    </r>
    <r>
      <rPr>
        <sz val="8"/>
        <rFont val="Arial"/>
        <family val="2"/>
      </rPr>
      <t xml:space="preserve"> - 250 anillos, 400 o'rings, 730 bolas - </t>
    </r>
    <r>
      <rPr>
        <sz val="8"/>
        <color indexed="12"/>
        <rFont val="Arial"/>
        <family val="2"/>
      </rPr>
      <t>ENVIA GAMMA</t>
    </r>
  </si>
  <si>
    <t>G328439</t>
  </si>
  <si>
    <t>AAD 01694561</t>
  </si>
  <si>
    <t>SI - 26 Abr.</t>
  </si>
  <si>
    <t>013/07 VBV</t>
  </si>
  <si>
    <t>A-7009887</t>
  </si>
  <si>
    <t>390 barriles, 713 pistones, fittings varios</t>
  </si>
  <si>
    <t>AAD 01680445</t>
  </si>
  <si>
    <t>SI - 07 May.</t>
  </si>
  <si>
    <t>A-7009895</t>
  </si>
  <si>
    <r>
      <t>Anillos y o'rings -</t>
    </r>
    <r>
      <rPr>
        <sz val="8"/>
        <color indexed="12"/>
        <rFont val="Arial"/>
        <family val="2"/>
      </rPr>
      <t xml:space="preserve">  ENVIA GAMMA</t>
    </r>
  </si>
  <si>
    <t>G328452</t>
  </si>
  <si>
    <t>AAD 01750403</t>
  </si>
  <si>
    <t>SI - 01 Jun.</t>
  </si>
  <si>
    <t>022/07 VBV</t>
  </si>
  <si>
    <t>A-7009896</t>
  </si>
  <si>
    <t>186 barriles, 69 pistones, fittings varios</t>
  </si>
  <si>
    <t>AAD 01740434</t>
  </si>
  <si>
    <r>
      <t>2° ENVIO DE BARRILES -</t>
    </r>
    <r>
      <rPr>
        <sz val="8"/>
        <rFont val="Arial"/>
        <family val="2"/>
      </rPr>
      <t xml:space="preserve"> 6 barriles -  </t>
    </r>
    <r>
      <rPr>
        <sz val="8"/>
        <color indexed="12"/>
        <rFont val="Arial"/>
        <family val="2"/>
      </rPr>
      <t>ENVIA GAMMA</t>
    </r>
  </si>
  <si>
    <t>G328483</t>
  </si>
  <si>
    <t>AAD 5340570</t>
  </si>
  <si>
    <t>A-7009909</t>
  </si>
  <si>
    <r>
      <t>1° ENVIO -</t>
    </r>
    <r>
      <rPr>
        <sz val="8"/>
        <rFont val="Arial"/>
        <family val="2"/>
      </rPr>
      <t xml:space="preserve"> 94 anillos, 57 asientos y 4 bolas -  </t>
    </r>
    <r>
      <rPr>
        <sz val="8"/>
        <color indexed="12"/>
        <rFont val="Arial"/>
        <family val="2"/>
      </rPr>
      <t xml:space="preserve"> ENVIA GAMMA</t>
    </r>
  </si>
  <si>
    <t>G328482</t>
  </si>
  <si>
    <t>AAD 5340286</t>
  </si>
  <si>
    <t>032/07 VBV</t>
  </si>
  <si>
    <t>A-7009920</t>
  </si>
  <si>
    <t>197 barriles, 58 pistones, fittings varios</t>
  </si>
  <si>
    <t>AAD 01852469</t>
  </si>
  <si>
    <t>SI - 04 Sep.</t>
  </si>
  <si>
    <r>
      <t>2° ENVIO</t>
    </r>
    <r>
      <rPr>
        <sz val="8"/>
        <rFont val="Arial"/>
        <family val="2"/>
      </rPr>
      <t xml:space="preserve"> - 8 barriles -</t>
    </r>
    <r>
      <rPr>
        <sz val="8"/>
        <color indexed="12"/>
        <rFont val="Arial"/>
        <family val="2"/>
      </rPr>
      <t xml:space="preserve">  ENVIA GAMMA</t>
    </r>
  </si>
  <si>
    <t>G328498</t>
  </si>
  <si>
    <t>AAD 01975628</t>
  </si>
  <si>
    <t>044/07 VBV</t>
  </si>
  <si>
    <t>A-7009925</t>
  </si>
  <si>
    <t>252 barriles, 408 pistones, fittings varios</t>
  </si>
  <si>
    <t>AAD 5184706</t>
  </si>
  <si>
    <t>A pedido de Venezuela se posterga la salida hasta nuevo aviso, se espera poder despachar para Octubre (mail de J.L.Cuellar 20/08).  El dia 26/09 Jose Luis Cuellar no da la autorizacion para realizar el despacho de la PO. - Atraso real 51 dias</t>
  </si>
  <si>
    <t>A-7009977</t>
  </si>
  <si>
    <t>Amerijet International</t>
  </si>
  <si>
    <r>
      <t xml:space="preserve">3 barriles, 600 o'rings,  25 asientos, 11 bolas - </t>
    </r>
    <r>
      <rPr>
        <sz val="8"/>
        <color indexed="12"/>
        <rFont val="Arial"/>
        <family val="2"/>
      </rPr>
      <t>ENVIA GAMMA - 1° ENVIO</t>
    </r>
  </si>
  <si>
    <t>G328542</t>
  </si>
  <si>
    <t>AAD 2205644</t>
  </si>
  <si>
    <t>SI - 28 Dic.</t>
  </si>
  <si>
    <t>Se solicito el CADIVI el 22/10 pero por problemas en la pagina del Organismo no se entrega el mismo.</t>
  </si>
  <si>
    <r>
      <t>3 barriles, 600 o'rings,  25 asientos, 11 bolas</t>
    </r>
    <r>
      <rPr>
        <sz val="8"/>
        <color indexed="12"/>
        <rFont val="Arial"/>
        <family val="2"/>
      </rPr>
      <t xml:space="preserve"> - ENVIA GAMMA - 2° ENVIO</t>
    </r>
  </si>
  <si>
    <t>G328564</t>
  </si>
  <si>
    <t>sin CADIVI</t>
  </si>
  <si>
    <t>Problemas con el CADIVI - Atraso real 3 dias</t>
  </si>
  <si>
    <t>069/07 VBV</t>
  </si>
  <si>
    <t>A-7009992</t>
  </si>
  <si>
    <t>Longavi</t>
  </si>
  <si>
    <t>18 barriles, 25 pistones, fittings varios</t>
  </si>
  <si>
    <t>AAD 2191556</t>
  </si>
  <si>
    <t>Se solicito el CADIVI el 14/11 pero por problemas en la pagina del Organismo no se entrega el mismo. - Atraso real 19 dias</t>
  </si>
  <si>
    <t>007/08 VBV</t>
  </si>
  <si>
    <t>A-7010012</t>
  </si>
  <si>
    <t>AEREO - DHL</t>
  </si>
  <si>
    <t>100 copas</t>
  </si>
  <si>
    <t>6626519222 - con la carga</t>
  </si>
  <si>
    <t>006/08 VBV</t>
  </si>
  <si>
    <t>A-7010010</t>
  </si>
  <si>
    <t>30 barriles, 22 pistones, fittings varios</t>
  </si>
  <si>
    <t>AAD 02331708</t>
  </si>
  <si>
    <t>SI - Abril</t>
  </si>
  <si>
    <t>026/08 VBV</t>
  </si>
  <si>
    <t>A-7010035</t>
  </si>
  <si>
    <t>Longaby</t>
  </si>
  <si>
    <t>30 barriles, fittings varios</t>
  </si>
  <si>
    <t>AAD 02413703</t>
  </si>
  <si>
    <t>SI - Junio</t>
  </si>
  <si>
    <t>037/08 VBV</t>
  </si>
  <si>
    <t>A-7010059</t>
  </si>
  <si>
    <t>Wais Fligher 3</t>
  </si>
  <si>
    <t>133 barriles, 8 pistones y fittings varios</t>
  </si>
  <si>
    <t>ADD 02550329</t>
  </si>
  <si>
    <t>A-7010046</t>
  </si>
  <si>
    <t>Fittings varios</t>
  </si>
  <si>
    <t>PD0029</t>
  </si>
  <si>
    <t>ADD 02643448</t>
  </si>
  <si>
    <t>con carga - AWB 810-9796-1242</t>
  </si>
  <si>
    <t>SI - 12 Oct</t>
  </si>
  <si>
    <t>SI - 11 de Jul.</t>
  </si>
  <si>
    <t>062/08 BVB</t>
  </si>
  <si>
    <t>A-7010092</t>
  </si>
  <si>
    <t>Cap San Augustin</t>
  </si>
  <si>
    <t>150 nipples, 30 barriles y 20 pistones</t>
  </si>
  <si>
    <t>ADD 02728602</t>
  </si>
  <si>
    <t>SI - 17 Oct.</t>
  </si>
  <si>
    <t>20 barriles</t>
  </si>
  <si>
    <t>PD0076</t>
  </si>
  <si>
    <t>A-7010057</t>
  </si>
  <si>
    <t>053/08 VBV</t>
  </si>
  <si>
    <t>A-7010080</t>
  </si>
  <si>
    <t>Pto. La Guaira</t>
  </si>
  <si>
    <t>168 barriles, 35 pistones y fittings varios</t>
  </si>
  <si>
    <t>ADD 02956329</t>
  </si>
  <si>
    <t>SI - 2 Feb.</t>
  </si>
  <si>
    <t>Se detuvo la carga a pedido de Venezuela (falta de dinero para el pago)</t>
  </si>
  <si>
    <t>104/08 BVB</t>
  </si>
  <si>
    <t>A-7010118</t>
  </si>
  <si>
    <t>Monte Sarmiento</t>
  </si>
  <si>
    <t>33 nipples, 207 barriles y 64 pistones</t>
  </si>
  <si>
    <t>ADD 02958645</t>
  </si>
  <si>
    <t>A-7010117</t>
  </si>
  <si>
    <t>Anillos, o'rings, bolas</t>
  </si>
  <si>
    <t>PD0114</t>
  </si>
  <si>
    <t>ADD 3097554</t>
  </si>
  <si>
    <t>SI - 20 Ab.</t>
  </si>
  <si>
    <t>SI - 30 Mar</t>
  </si>
  <si>
    <t>Se esta esperando que Venezuela hago el pago y nos de el CADIVI - Atraso real  45 dias</t>
  </si>
  <si>
    <t>Industrial Diamond V. 291056</t>
  </si>
  <si>
    <t>5 barriles</t>
  </si>
  <si>
    <t>PD0113</t>
  </si>
  <si>
    <t>ADD 03176397</t>
  </si>
  <si>
    <t>SI-26 Mayo</t>
  </si>
  <si>
    <t>Se esta esperando que Venezuela hago el pago y nos de el CADIVI - Atraso real 266 dias</t>
  </si>
  <si>
    <t>A-7010157</t>
  </si>
  <si>
    <t>Monte Pascual</t>
  </si>
  <si>
    <t>27 barriles, 44 pistones, fittings</t>
  </si>
  <si>
    <t>ADD 03180578</t>
  </si>
  <si>
    <t>Aun no nos informan el CADIVI</t>
  </si>
  <si>
    <t>058/09 VBV</t>
  </si>
  <si>
    <t>A-7010189</t>
  </si>
  <si>
    <t>APBs</t>
  </si>
  <si>
    <t>se envian junto a la carga - HAWB ARBUE116735</t>
  </si>
  <si>
    <t>SI - 01 Oct.</t>
  </si>
  <si>
    <t>PDVSA</t>
  </si>
  <si>
    <t>031/10 VPV</t>
  </si>
  <si>
    <t>Long Gaby</t>
  </si>
  <si>
    <t>Estamos aguardando instrucciones del forwarder (DHL) y del cliente, pero ninguno nos da una respuesta. 21 de Octubre: el cliente se pone en contacto para pasarnos la información solicitada para realizar el despacho. De todas maneras seguimos esperando que el forwarder, nos tome la carga. Abono el 13/06/11</t>
  </si>
  <si>
    <t>030/11 VBV</t>
  </si>
  <si>
    <t>A-70102038</t>
  </si>
  <si>
    <t>COURIER</t>
  </si>
  <si>
    <t>10 aros de friccion</t>
  </si>
  <si>
    <t>PANAMA</t>
  </si>
  <si>
    <t xml:space="preserve">CARIBBEAN TECHNICAL </t>
  </si>
  <si>
    <t>084/11 VOP</t>
  </si>
  <si>
    <t>09-AA00598-08</t>
  </si>
  <si>
    <t>FCA</t>
  </si>
  <si>
    <t>Las Salinas.Venezuela</t>
  </si>
  <si>
    <t>CAP IRENE V.11N</t>
  </si>
  <si>
    <t>bombas y fittigs</t>
  </si>
  <si>
    <t>50% ANTICIPADO - 50% EMBARQUE</t>
  </si>
  <si>
    <r>
      <t xml:space="preserve">PAGO:  U$ 430,657,50 ANTICIPADO - OK  --- 16 de Ene se recibio el resto (U$ 430.265,07), pero se debio rechazar el pago. 28 de Marzo se recibio el pago restante. </t>
    </r>
    <r>
      <rPr>
        <b/>
        <sz val="8"/>
        <color indexed="10"/>
        <rFont val="Arial"/>
        <family val="2"/>
      </rPr>
      <t>FALTA PAGAR U$ 8.845 - Pago 30 Jul. 2012</t>
    </r>
  </si>
  <si>
    <t>PRODUCTION ASSOCIATION BELORUSNEFT</t>
  </si>
  <si>
    <t>082/11 RBB</t>
  </si>
  <si>
    <t>EUROS 55.699</t>
  </si>
  <si>
    <t>STADT WISMAR V.GB826N</t>
  </si>
  <si>
    <r>
      <t>26 bombas -</t>
    </r>
    <r>
      <rPr>
        <b/>
        <sz val="8"/>
        <color indexed="10"/>
        <rFont val="Arial"/>
        <family val="2"/>
      </rPr>
      <t xml:space="preserve"> CERTIFICADOS DE CALIDAD</t>
    </r>
  </si>
  <si>
    <t>58 4410 2456</t>
  </si>
  <si>
    <t>Carta de credito 190 dias (vto: 03/12)</t>
  </si>
  <si>
    <t>OIL PARTS SUPPLY</t>
  </si>
  <si>
    <t>037/12 VOP</t>
  </si>
  <si>
    <t>690-REV 1</t>
  </si>
  <si>
    <t>Fittigs</t>
  </si>
  <si>
    <t>53 1919 8544</t>
  </si>
  <si>
    <t>Recibido:  19/09/12 - U$ 164.640 - Resto U$ 173.010 (22 Ene.)</t>
  </si>
  <si>
    <t>031/12 VBV</t>
  </si>
  <si>
    <t>A-70102074</t>
  </si>
  <si>
    <t>SI - 03 Junio</t>
  </si>
  <si>
    <t>053/13 VBV</t>
  </si>
  <si>
    <t>A-70102078</t>
  </si>
  <si>
    <r>
      <t>Fittigs</t>
    </r>
    <r>
      <rPr>
        <sz val="8"/>
        <color indexed="12"/>
        <rFont val="Arial"/>
        <family val="2"/>
      </rPr>
      <t xml:space="preserve"> - </t>
    </r>
    <r>
      <rPr>
        <b/>
        <sz val="8"/>
        <color indexed="12"/>
        <rFont val="Arial"/>
        <family val="2"/>
      </rPr>
      <t>AGUARDAR CADIVI</t>
    </r>
  </si>
  <si>
    <t>ORDEN CANCELADA EL 07 DE AGOSTO</t>
  </si>
  <si>
    <t>FECHA PROGRM.</t>
  </si>
  <si>
    <t>FECHA DESPACH.</t>
  </si>
  <si>
    <t>BOLIVIA</t>
  </si>
  <si>
    <t>BOLLAND (para Tecpetrol S.A.)</t>
  </si>
  <si>
    <t>059/99 OBB</t>
  </si>
  <si>
    <t>10-500.026</t>
  </si>
  <si>
    <t>Base Santa Cruz</t>
  </si>
  <si>
    <t>TERRESTRE</t>
  </si>
  <si>
    <t>1 bomba, condición de venta DDP</t>
  </si>
  <si>
    <t>PETROVISA</t>
  </si>
  <si>
    <t>092/00 OPV</t>
  </si>
  <si>
    <t>lo antes posible</t>
  </si>
  <si>
    <t>desde Deseado</t>
  </si>
  <si>
    <t>centralizadores se compran en TULSA</t>
  </si>
  <si>
    <t>STERNER</t>
  </si>
  <si>
    <t>021/02 OST</t>
  </si>
  <si>
    <t>101/2002</t>
  </si>
  <si>
    <r>
      <t>5 Bombas -</t>
    </r>
    <r>
      <rPr>
        <sz val="8"/>
        <color indexed="12"/>
        <rFont val="Arial"/>
        <family val="2"/>
      </rPr>
      <t xml:space="preserve"> por camion a  BAI</t>
    </r>
  </si>
  <si>
    <t>si - 16 Jul</t>
  </si>
  <si>
    <t>x paro de camiones</t>
  </si>
  <si>
    <t>BOLLAND DE BOLIVIA</t>
  </si>
  <si>
    <t>004/08 OBB</t>
  </si>
  <si>
    <t>Bolivia</t>
  </si>
  <si>
    <t xml:space="preserve"> Sta Cruz de la Sierra</t>
  </si>
  <si>
    <t>5 pistones</t>
  </si>
  <si>
    <t>Por DHL con la carga</t>
  </si>
  <si>
    <t>103/08 OBB</t>
  </si>
  <si>
    <t>Santa Cruz de la Sierra</t>
  </si>
  <si>
    <t>Si - 23 Ene.</t>
  </si>
  <si>
    <t>030/14 OBB</t>
  </si>
  <si>
    <t>6 vástagos</t>
  </si>
  <si>
    <t>con la  carga</t>
  </si>
  <si>
    <t>Se esta aguardando la entrega de químicos para realizar un solo envio (ver mail 09/07/14 de Víctor Canestrari)</t>
  </si>
  <si>
    <t>049/99ETE</t>
  </si>
  <si>
    <t>TecpE-UIO-00135 - TecpE-UIO-00173</t>
  </si>
  <si>
    <r>
      <t xml:space="preserve">12 bombas + vástagos + niples - </t>
    </r>
    <r>
      <rPr>
        <sz val="8"/>
        <color indexed="12"/>
        <rFont val="Arial"/>
        <family val="2"/>
      </rPr>
      <t xml:space="preserve"> INSPECCIÓN PRE-EMBARQUE</t>
    </r>
  </si>
  <si>
    <t>preembarque</t>
  </si>
  <si>
    <t>046/01 ETE</t>
  </si>
  <si>
    <t>15-500.785</t>
  </si>
  <si>
    <r>
      <t xml:space="preserve">5 bombas - </t>
    </r>
    <r>
      <rPr>
        <b/>
        <sz val="8"/>
        <color indexed="12"/>
        <rFont val="Arial"/>
        <family val="2"/>
      </rPr>
      <t>entregar a forwarder JAS</t>
    </r>
  </si>
  <si>
    <t>por fax - orig. Con la carga</t>
  </si>
  <si>
    <t>076/02 ETE</t>
  </si>
  <si>
    <t>15-501.129</t>
  </si>
  <si>
    <t>2 BOMBAS</t>
  </si>
  <si>
    <t>6553188622 - 6553188762</t>
  </si>
  <si>
    <t>TECPECUADOR S.A</t>
  </si>
  <si>
    <t>092/02 ETE</t>
  </si>
  <si>
    <t>15-501,147</t>
  </si>
  <si>
    <r>
      <t>2 BOMBAS -</t>
    </r>
    <r>
      <rPr>
        <b/>
        <sz val="8"/>
        <color indexed="12"/>
        <rFont val="Arial"/>
        <family val="2"/>
      </rPr>
      <t xml:space="preserve"> AVISAR 3 DIAS ANTES DE EMBARCAR</t>
    </r>
  </si>
  <si>
    <t>POR CAMION A BUE</t>
  </si>
  <si>
    <t>total "en término"</t>
  </si>
  <si>
    <t>TECPECUADOR S.A.</t>
  </si>
  <si>
    <t>016/03 ETE</t>
  </si>
  <si>
    <t>15-501.218</t>
  </si>
  <si>
    <t>3 Bombas</t>
  </si>
  <si>
    <t>058/03 ETE</t>
  </si>
  <si>
    <t>15-501.348</t>
  </si>
  <si>
    <r>
      <t xml:space="preserve">Nipples y vastagos </t>
    </r>
    <r>
      <rPr>
        <sz val="8"/>
        <rFont val="Arial"/>
        <family val="2"/>
      </rPr>
      <t xml:space="preserve">- </t>
    </r>
    <r>
      <rPr>
        <sz val="8"/>
        <color indexed="12"/>
        <rFont val="Arial"/>
        <family val="2"/>
      </rPr>
      <t>ENTREGAR AL FORWARDER</t>
    </r>
  </si>
  <si>
    <t>069/03 ETE</t>
  </si>
  <si>
    <t>15-501.370</t>
  </si>
  <si>
    <r>
      <t>4 bombas -</t>
    </r>
    <r>
      <rPr>
        <b/>
        <sz val="8"/>
        <color indexed="12"/>
        <rFont val="Arial"/>
        <family val="2"/>
      </rPr>
      <t xml:space="preserve"> </t>
    </r>
    <r>
      <rPr>
        <sz val="8"/>
        <color indexed="12"/>
        <rFont val="Arial"/>
        <family val="2"/>
      </rPr>
      <t>ENTREGAR AL FORWARDER</t>
    </r>
  </si>
  <si>
    <t>EUADOR</t>
  </si>
  <si>
    <t>109/03 ETE</t>
  </si>
  <si>
    <t>PO 15-501,487</t>
  </si>
  <si>
    <r>
      <t xml:space="preserve">4 Bombas y 4 vastagos - </t>
    </r>
    <r>
      <rPr>
        <sz val="8"/>
        <color indexed="12"/>
        <rFont val="Arial"/>
        <family val="2"/>
      </rPr>
      <t>ENTREGAR AL FORWARDER - INSPECCION DE PRE EMBARQUE</t>
    </r>
  </si>
  <si>
    <t>por indicacion de ellos se cambio el medio</t>
  </si>
  <si>
    <t>026/04 ETE</t>
  </si>
  <si>
    <t>15-501-599</t>
  </si>
  <si>
    <r>
      <t xml:space="preserve">VASTAGOS - </t>
    </r>
    <r>
      <rPr>
        <sz val="8"/>
        <color indexed="12"/>
        <rFont val="Arial"/>
        <family val="2"/>
      </rPr>
      <t>ENTREGAR AL FORWARDER (JAS) - INSPECCION DE PRE EMBARQUE</t>
    </r>
  </si>
  <si>
    <t>34636475 - docs con carga</t>
  </si>
  <si>
    <t>La merc. estaba lista en el plazo acordado pero por falta de documentacion de parte del cliente no se pudo realizar la inspeccion</t>
  </si>
  <si>
    <t>066/04 ETE</t>
  </si>
  <si>
    <t>15-501.758</t>
  </si>
  <si>
    <r>
      <t>3 Vastagos, 5 bombas y 5 nipples -</t>
    </r>
    <r>
      <rPr>
        <sz val="8"/>
        <color indexed="12"/>
        <rFont val="Arial"/>
        <family val="2"/>
      </rPr>
      <t xml:space="preserve"> ENTREGAR AL FORWARDER (JAS) - LLEVA INSPECCION DE PRE-EMBARQUE</t>
    </r>
  </si>
  <si>
    <t>SML-2149 - docs al forwarder</t>
  </si>
  <si>
    <t>018/05 ETE</t>
  </si>
  <si>
    <t>15-501.941/1</t>
  </si>
  <si>
    <r>
      <t>4 bombas y 5 nipples -</t>
    </r>
    <r>
      <rPr>
        <sz val="8"/>
        <color indexed="12"/>
        <rFont val="Arial"/>
        <family val="2"/>
      </rPr>
      <t xml:space="preserve"> FORWARDER FAMILY EXPRESS - LLEVA INSPECCIÓN DE PRE-EMBARQUE</t>
    </r>
  </si>
  <si>
    <t>0050</t>
  </si>
  <si>
    <t>SI - 22 Ago</t>
  </si>
  <si>
    <t>SI - 15 Nov.</t>
  </si>
  <si>
    <t>011/06 ETE</t>
  </si>
  <si>
    <t>0015502296</t>
  </si>
  <si>
    <t>Pto. Guayaquil</t>
  </si>
  <si>
    <r>
      <t xml:space="preserve">5 bombas y 5 nipples - </t>
    </r>
    <r>
      <rPr>
        <sz val="8"/>
        <color indexed="12"/>
        <rFont val="Arial"/>
        <family val="2"/>
      </rPr>
      <t>INSPECCION DE PRE EMBARQUE - ENTREGAR AL FORWARDER</t>
    </r>
  </si>
  <si>
    <t>SI - 28 Jul</t>
  </si>
  <si>
    <t>Retraso para realizar la inpeccion, ya que no hay respuesta del forwarder (ida y vuelta de mails-23/5/06)</t>
  </si>
  <si>
    <t>094/06 ETE</t>
  </si>
  <si>
    <r>
      <t xml:space="preserve">4 bombas - </t>
    </r>
    <r>
      <rPr>
        <sz val="8"/>
        <color indexed="12"/>
        <rFont val="Arial"/>
        <family val="2"/>
      </rPr>
      <t>ENTREGAR AL FORWARDER - ALMAR - LLEVA INSPECCION DE PRE EMBARQUE - BALTIC</t>
    </r>
  </si>
  <si>
    <t>SI - 14 Mar</t>
  </si>
  <si>
    <t>SI -12 Jun</t>
  </si>
  <si>
    <t>NOTA:  Estas PO estaban previstas que se despachen via AEREA (22 de Marzo a Quito) pero por motivo en el costo alto del flete, el forwarder freno la salida ya que estan consultando con el cliente de enviarla via maritima.  03 de Abril: piden que se envie la carga via maritima, se va a realizar el cambio ya que ya se habia realizado todos los documentos para que salgan via aerea. - atraso real 33 dias</t>
  </si>
  <si>
    <t>002/07 ETE</t>
  </si>
  <si>
    <t>065/07 ETE</t>
  </si>
  <si>
    <t>15-502.803</t>
  </si>
  <si>
    <t>Montemar Europa V213</t>
  </si>
  <si>
    <r>
      <t xml:space="preserve">9 bombas - </t>
    </r>
    <r>
      <rPr>
        <sz val="8"/>
        <color indexed="10"/>
        <rFont val="Arial"/>
        <family val="2"/>
      </rPr>
      <t>LLEVA INSPECCION DE PRE EMBARQUE - ENTREGAR AL FORWARDER - ENVIAR CERTIFICADOS - PEDIR AUTORIZACION</t>
    </r>
  </si>
  <si>
    <t>OK, Baltic se encarga</t>
  </si>
  <si>
    <t>Baltic (SVI.UIO.  9711)</t>
  </si>
  <si>
    <t>058/08 ETE</t>
  </si>
  <si>
    <t>15-502.994</t>
  </si>
  <si>
    <t>Ecuador - Guayaquil</t>
  </si>
  <si>
    <t>Mapocho</t>
  </si>
  <si>
    <r>
      <t xml:space="preserve">42 bombas </t>
    </r>
    <r>
      <rPr>
        <sz val="8"/>
        <color indexed="12"/>
        <rFont val="Arial"/>
        <family val="2"/>
      </rPr>
      <t>- ENTREGAR AL FORWARDER</t>
    </r>
    <r>
      <rPr>
        <sz val="8"/>
        <rFont val="Arial"/>
        <family val="2"/>
      </rPr>
      <t xml:space="preserve">  (remito de Pta N° 6600005988)</t>
    </r>
  </si>
  <si>
    <t>Del buque Maruba Asia pasa al Maruba Parana (consolida el 09/10) y luego al Mapocho que esta consolidando el 14/10</t>
  </si>
  <si>
    <t>053/09 ETE</t>
  </si>
  <si>
    <t>15-503.217</t>
  </si>
  <si>
    <t>SI - 02 Nov. (se pago junto a los $1000 por el servicio de H. Donati)</t>
  </si>
  <si>
    <t xml:space="preserve">Horacio viaja a Ecuador para reemplazar estos repuestos </t>
  </si>
  <si>
    <t>066/09 ETE</t>
  </si>
  <si>
    <t>15-503.254</t>
  </si>
  <si>
    <r>
      <t>4 bombas -</t>
    </r>
    <r>
      <rPr>
        <b/>
        <sz val="8"/>
        <color indexed="12"/>
        <rFont val="Arial"/>
        <family val="2"/>
      </rPr>
      <t xml:space="preserve"> ENTREGAR A ALMAR</t>
    </r>
  </si>
  <si>
    <t>SI - 24 Feb.</t>
  </si>
  <si>
    <t>092/09 ETE</t>
  </si>
  <si>
    <t>15-503-332</t>
  </si>
  <si>
    <r>
      <t>10 nipples</t>
    </r>
    <r>
      <rPr>
        <b/>
        <sz val="8"/>
        <color indexed="10"/>
        <rFont val="Arial"/>
        <family val="2"/>
      </rPr>
      <t xml:space="preserve"> - ENTREGAR A INTERCILSA</t>
    </r>
  </si>
  <si>
    <t>Docs. con la carga</t>
  </si>
  <si>
    <t>TECPETROL</t>
  </si>
  <si>
    <t>071/10 ETE</t>
  </si>
  <si>
    <t>15-503.469</t>
  </si>
  <si>
    <t>Long Kiman</t>
  </si>
  <si>
    <t>válvulas antibloqueo</t>
  </si>
  <si>
    <t>SI - 25 Feb.</t>
  </si>
  <si>
    <t>Servicio Técnico U$ 2500 - El buque del 21/10 se postergo al 29/10 - Estima arribar el 15 de enero</t>
  </si>
  <si>
    <t>140/11 ETE</t>
  </si>
  <si>
    <t>15-503.877</t>
  </si>
  <si>
    <r>
      <t>4 bombas</t>
    </r>
    <r>
      <rPr>
        <sz val="8"/>
        <color indexed="10"/>
        <rFont val="Arial"/>
        <family val="2"/>
      </rPr>
      <t xml:space="preserve"> - 1° ENVIO</t>
    </r>
  </si>
  <si>
    <t>15-503.778/2</t>
  </si>
  <si>
    <t xml:space="preserve">CAP PALMAS V 144 </t>
  </si>
  <si>
    <r>
      <t xml:space="preserve">16 bombas </t>
    </r>
    <r>
      <rPr>
        <sz val="8"/>
        <color indexed="10"/>
        <rFont val="Arial"/>
        <family val="2"/>
      </rPr>
      <t>- 2° ENVIO</t>
    </r>
  </si>
  <si>
    <t>58 4393 9054</t>
  </si>
  <si>
    <t>135/11 ETE</t>
  </si>
  <si>
    <t>15-503.806</t>
  </si>
  <si>
    <t>15-503.807</t>
  </si>
  <si>
    <t>EXIGRESS S.L.U.</t>
  </si>
  <si>
    <t>012/13 EXI</t>
  </si>
  <si>
    <t>0010-2013</t>
  </si>
  <si>
    <t>Guayaquil</t>
  </si>
  <si>
    <t>TERRESTRE -MARITIMO</t>
  </si>
  <si>
    <t>1 bombas + 1 vastago</t>
  </si>
  <si>
    <t>53 1919 8570</t>
  </si>
  <si>
    <t>ANTICIPO: Pagado el 07/02 (U$ 3450) - Salida todos los viernes: Bue - Chile (terrestre 29/4-arriba el 1/5) - Chile - Ecuador (Maritimo) - PAGO TOTAL: U$ 3450 (22/04/13)</t>
  </si>
  <si>
    <t>PARDALISERVICES S:A.</t>
  </si>
  <si>
    <t>046/13 ETE</t>
  </si>
  <si>
    <t>5 bombas + fitings</t>
  </si>
  <si>
    <t>SI - 8 Nov.</t>
  </si>
  <si>
    <t>Despachar junto a las 4 bombas de la 066/13 ETE</t>
  </si>
  <si>
    <t xml:space="preserve">TECPECUADOR </t>
  </si>
  <si>
    <t>066/13 ETE</t>
  </si>
  <si>
    <t>15-504.326</t>
  </si>
  <si>
    <t>4 bombas + fitings</t>
  </si>
  <si>
    <t>Despachar junto a las 5 bombas de la 046/13 ETE</t>
  </si>
  <si>
    <t>109/13 ETE</t>
  </si>
  <si>
    <t>15-504.462</t>
  </si>
  <si>
    <t>Quito</t>
  </si>
  <si>
    <t>SI - 16 Abri.</t>
  </si>
  <si>
    <t>046/14 ETE</t>
  </si>
  <si>
    <t>15-504.664</t>
  </si>
  <si>
    <t>WARNOW DOLPHIN</t>
  </si>
  <si>
    <t>SI - 29 Dic.</t>
  </si>
  <si>
    <t>octubre</t>
  </si>
  <si>
    <t>ASOCIACION SMC DEL ECUADOR</t>
  </si>
  <si>
    <t>040/15 EPE</t>
  </si>
  <si>
    <t>AS2000332</t>
  </si>
  <si>
    <t>Sin valor comercial</t>
  </si>
  <si>
    <t>Quito, Ecuador</t>
  </si>
  <si>
    <r>
      <t>Pistones y copas -</t>
    </r>
    <r>
      <rPr>
        <sz val="9"/>
        <color indexed="10"/>
        <rFont val="Arial"/>
        <family val="2"/>
      </rPr>
      <t xml:space="preserve"> SIN VALOR COMERCIAL</t>
    </r>
  </si>
  <si>
    <t>Van en reemplazo de las enviadas en el primer envio de la PO AS2000332</t>
  </si>
  <si>
    <t>15073EC01022050E</t>
  </si>
  <si>
    <t>1° Pago: 20 de Oct. - U$ 15.503 - 2° pago: 02 de Diciembre:  U$ 3667</t>
  </si>
  <si>
    <t>041/16 ETE</t>
  </si>
  <si>
    <t>15-505.118</t>
  </si>
  <si>
    <t>16073EC01025887D</t>
  </si>
  <si>
    <t>PERU</t>
  </si>
  <si>
    <t>PET. MONTERRICO</t>
  </si>
  <si>
    <t>026/99 PMO</t>
  </si>
  <si>
    <t>CL-99-0019</t>
  </si>
  <si>
    <t>válvulas - despacha GAMMA</t>
  </si>
  <si>
    <t>1-2 weeks</t>
  </si>
  <si>
    <t>a Lima</t>
  </si>
  <si>
    <t>listas en Sanbar</t>
  </si>
  <si>
    <t>CL-99-0017</t>
  </si>
  <si>
    <t>Pto. Arg.</t>
  </si>
  <si>
    <t>INSPECCIÓN 17-08</t>
  </si>
  <si>
    <t>45-60 días</t>
  </si>
  <si>
    <t>no sale en avión del 9-9</t>
  </si>
  <si>
    <t>Cotecna</t>
  </si>
  <si>
    <t>PETROMONT</t>
  </si>
  <si>
    <t>061/99 PMO</t>
  </si>
  <si>
    <t>IMP-2000-0157</t>
  </si>
  <si>
    <t>(27-Ene)</t>
  </si>
  <si>
    <t>por camión de PIC</t>
  </si>
  <si>
    <t>lleva inspección pre-embarque</t>
  </si>
  <si>
    <t>007/00 PMO</t>
  </si>
  <si>
    <t>IMP-2000-198</t>
  </si>
  <si>
    <t>IMP-2000-0197</t>
  </si>
  <si>
    <t>CALLAO</t>
  </si>
  <si>
    <t>48 ítems</t>
  </si>
  <si>
    <t>(PERU)</t>
  </si>
  <si>
    <t>IMP-2001-3058</t>
  </si>
  <si>
    <r>
      <t xml:space="preserve">ENTREGA </t>
    </r>
    <r>
      <rPr>
        <b/>
        <u/>
        <sz val="8"/>
        <rFont val="Arial"/>
        <family val="2"/>
      </rPr>
      <t>GAMMA</t>
    </r>
    <r>
      <rPr>
        <b/>
        <sz val="8"/>
        <rFont val="Arial"/>
        <family val="2"/>
      </rPr>
      <t xml:space="preserve"> A FORWARDER</t>
    </r>
  </si>
  <si>
    <t>G020501</t>
  </si>
  <si>
    <t>inspección Cotecna</t>
  </si>
  <si>
    <t>inspección Cotecna ( en el PIC)</t>
  </si>
  <si>
    <t>041/00 PMO</t>
  </si>
  <si>
    <t>IMP-2001-3057</t>
  </si>
  <si>
    <t>FIN DE MARZO</t>
  </si>
  <si>
    <t>IMP-2001-3199</t>
  </si>
  <si>
    <t>x camión a BAI</t>
  </si>
  <si>
    <t>038/01 PMO</t>
  </si>
  <si>
    <t>IMP-2001-3304</t>
  </si>
  <si>
    <t>Se envia por DHL</t>
  </si>
  <si>
    <t>Recibida en Peru</t>
  </si>
  <si>
    <t>(Flete collect)</t>
  </si>
  <si>
    <t>A Danzas:</t>
  </si>
  <si>
    <t>014/02 PMO</t>
  </si>
  <si>
    <t>IMP-2002-4716</t>
  </si>
  <si>
    <t>12 Vastagos - Entregar al Forwarder DANZAS</t>
  </si>
  <si>
    <t>por camion a  BAI - Despacho Danzas el 26/4</t>
  </si>
  <si>
    <t>INSPECCION DE PRE EMBARQUE - CERTIFICADO DE ORIGEN</t>
  </si>
  <si>
    <t>PECOM</t>
  </si>
  <si>
    <t>021/03 PPE</t>
  </si>
  <si>
    <t>3900019 XI</t>
  </si>
  <si>
    <t>19/04 - Llega: 04/05</t>
  </si>
  <si>
    <t>cut off:  7/7</t>
  </si>
  <si>
    <t>INSPECCION DE PRE EMBARQUE</t>
  </si>
  <si>
    <t>041/03 PPE</t>
  </si>
  <si>
    <t>3900039XI</t>
  </si>
  <si>
    <t>Lima-Peru</t>
  </si>
  <si>
    <t>60 Vastagos</t>
  </si>
  <si>
    <t>(20 dias)</t>
  </si>
  <si>
    <t>PETROBRAS ENERGIA</t>
  </si>
  <si>
    <t>062/03 PPE</t>
  </si>
  <si>
    <t>3900056 XI</t>
  </si>
  <si>
    <t>Lima</t>
  </si>
  <si>
    <t>sale:  21/8 - llega: 07/09</t>
  </si>
  <si>
    <t>23/1-Lynk</t>
  </si>
  <si>
    <t>ENTREGAR AL FORWARDER (LYNX CARGO INT.S.A.)</t>
  </si>
  <si>
    <t>PETROBRAS DEL PERU S.A.</t>
  </si>
  <si>
    <t>070/03 PPE</t>
  </si>
  <si>
    <t>PO 3900060-001-XI</t>
  </si>
  <si>
    <t>Peru</t>
  </si>
  <si>
    <t>VASTAGOS</t>
  </si>
  <si>
    <t>cut off: 1/6</t>
  </si>
  <si>
    <t>SERMEPET E.I.R.L.</t>
  </si>
  <si>
    <t>065/04 PSE</t>
  </si>
  <si>
    <t>SMP04-00235</t>
  </si>
  <si>
    <t>50 valvulas</t>
  </si>
  <si>
    <t>PAGO ANTICIPADO</t>
  </si>
  <si>
    <t>Cons:  9/12</t>
  </si>
  <si>
    <t>ENTREGAR AL FORWARDER "LYNX"</t>
  </si>
  <si>
    <t>PETROBRAS DEL PERU</t>
  </si>
  <si>
    <t>067/04 PPE</t>
  </si>
  <si>
    <t>4900170-001 XI</t>
  </si>
  <si>
    <t>100 vastagos</t>
  </si>
  <si>
    <t>NO LLEVA INSPECCION</t>
  </si>
  <si>
    <t>071/04 PPE</t>
  </si>
  <si>
    <t>4900181 XI</t>
  </si>
  <si>
    <t>0006</t>
  </si>
  <si>
    <t>SERMEPET</t>
  </si>
  <si>
    <t>082/04 PSE</t>
  </si>
  <si>
    <t>SMP05-00023</t>
  </si>
  <si>
    <t>100 valvulas</t>
  </si>
  <si>
    <t>G107223</t>
  </si>
  <si>
    <t>Cons: 31/8</t>
  </si>
  <si>
    <t>FORWARDER TRANSUNION ARG.</t>
  </si>
  <si>
    <t>033/05 PMO</t>
  </si>
  <si>
    <t>006983</t>
  </si>
  <si>
    <t>LIMA</t>
  </si>
  <si>
    <t>0067</t>
  </si>
  <si>
    <t>6505563750-Petromont</t>
  </si>
  <si>
    <t>6505563746-Resertec</t>
  </si>
  <si>
    <t>Cons: 8/9</t>
  </si>
  <si>
    <t>EMBARCADOR AUSTRAL</t>
  </si>
  <si>
    <t>035/05 PPE</t>
  </si>
  <si>
    <t>5900056-001-XI</t>
  </si>
  <si>
    <t>20 vastagos</t>
  </si>
  <si>
    <t>0068</t>
  </si>
  <si>
    <t>Cons: 4/11</t>
  </si>
  <si>
    <t>048/05 PPE</t>
  </si>
  <si>
    <t>5900068-001-XI</t>
  </si>
  <si>
    <t>0086</t>
  </si>
  <si>
    <t>Maruba Fitz Roy</t>
  </si>
  <si>
    <t>Cons: 5/7</t>
  </si>
  <si>
    <t>UTECO</t>
  </si>
  <si>
    <t>021/06 PUT</t>
  </si>
  <si>
    <t>0010000222</t>
  </si>
  <si>
    <t>Pto. Callao</t>
  </si>
  <si>
    <t>320 vastagos</t>
  </si>
  <si>
    <t>074/06 PSE</t>
  </si>
  <si>
    <t>SMTP2006-0025</t>
  </si>
  <si>
    <t>Lima - Peru</t>
  </si>
  <si>
    <t>G328389</t>
  </si>
  <si>
    <t>076/06 PPE</t>
  </si>
  <si>
    <t>6900120 XI</t>
  </si>
  <si>
    <t>97 vastagos</t>
  </si>
  <si>
    <t>SI - 16 Feb</t>
  </si>
  <si>
    <t>SI -05 Mar</t>
  </si>
  <si>
    <t>075/06 PPE</t>
  </si>
  <si>
    <t>6900117 XI</t>
  </si>
  <si>
    <t>047/07 PSE</t>
  </si>
  <si>
    <t>SMTP2007-0030</t>
  </si>
  <si>
    <r>
      <t xml:space="preserve">100 valvulas </t>
    </r>
    <r>
      <rPr>
        <sz val="8"/>
        <color indexed="12"/>
        <rFont val="Arial"/>
        <family val="2"/>
      </rPr>
      <t>ENVIA GAMMA</t>
    </r>
  </si>
  <si>
    <t>G328493</t>
  </si>
  <si>
    <t>SI - 23 Agos.</t>
  </si>
  <si>
    <t>033/07 PMO</t>
  </si>
  <si>
    <t>L000000068</t>
  </si>
  <si>
    <r>
      <t>Fittings -</t>
    </r>
    <r>
      <rPr>
        <sz val="8"/>
        <color indexed="12"/>
        <rFont val="Arial"/>
        <family val="2"/>
      </rPr>
      <t xml:space="preserve"> ENTREGAR AL EMBARCADOR</t>
    </r>
  </si>
  <si>
    <t>SI-24 Oct.</t>
  </si>
  <si>
    <t>L000000067</t>
  </si>
  <si>
    <r>
      <t xml:space="preserve">40 valvulas - </t>
    </r>
    <r>
      <rPr>
        <sz val="8"/>
        <color indexed="12"/>
        <rFont val="Arial"/>
        <family val="2"/>
      </rPr>
      <t>ENVIA GAMMA</t>
    </r>
  </si>
  <si>
    <t>G328519</t>
  </si>
  <si>
    <t>083/07 PSE</t>
  </si>
  <si>
    <t>SMTP2007-0042</t>
  </si>
  <si>
    <r>
      <t xml:space="preserve">100 valvulas </t>
    </r>
    <r>
      <rPr>
        <sz val="8"/>
        <color indexed="12"/>
        <rFont val="Arial"/>
        <family val="2"/>
      </rPr>
      <t>- ENVIA GAMMA</t>
    </r>
  </si>
  <si>
    <t>G328589</t>
  </si>
  <si>
    <t>SI - 18 Ene</t>
  </si>
  <si>
    <t>013/08 PMO</t>
  </si>
  <si>
    <t>L000000159</t>
  </si>
  <si>
    <t>Mapocho V.216</t>
  </si>
  <si>
    <r>
      <t xml:space="preserve">Fittings </t>
    </r>
    <r>
      <rPr>
        <sz val="8"/>
        <color indexed="12"/>
        <rFont val="Arial"/>
        <family val="2"/>
      </rPr>
      <t>- ENTREGAR AL FORWARDER</t>
    </r>
  </si>
  <si>
    <t>SI - en campo 10 de Junio</t>
  </si>
  <si>
    <t>UNIPETRO</t>
  </si>
  <si>
    <t>081/07 PUP</t>
  </si>
  <si>
    <r>
      <t>Valvulas</t>
    </r>
    <r>
      <rPr>
        <sz val="8"/>
        <color indexed="12"/>
        <rFont val="Arial"/>
        <family val="2"/>
      </rPr>
      <t xml:space="preserve"> - ENVIA PANDELTA</t>
    </r>
  </si>
  <si>
    <t>PD0024</t>
  </si>
  <si>
    <t>SI - 10 Jun</t>
  </si>
  <si>
    <t>SI - 5 Ago.</t>
  </si>
  <si>
    <t xml:space="preserve">Liftoil lleva una comision de un 5% </t>
  </si>
  <si>
    <t>Libra Ecuador V.217</t>
  </si>
  <si>
    <t xml:space="preserve">30 bombas, Fittings   </t>
  </si>
  <si>
    <t>SI - 25 Ago.</t>
  </si>
  <si>
    <t>Liftoil lleva una comision de un 5% . Retraso de buque:  Del 06 de Junio se paso al 9 de Junio y del 9 de Junio se paso al 13 de Junio</t>
  </si>
  <si>
    <t>050/08 PSE</t>
  </si>
  <si>
    <t>2008-SMPT0006</t>
  </si>
  <si>
    <t>Perú</t>
  </si>
  <si>
    <r>
      <t>válvulas -</t>
    </r>
    <r>
      <rPr>
        <sz val="8"/>
        <color indexed="12"/>
        <rFont val="Arial"/>
        <family val="2"/>
      </rPr>
      <t xml:space="preserve"> ENVIA PANDELTA</t>
    </r>
  </si>
  <si>
    <t>PD0062</t>
  </si>
  <si>
    <t>con la carga - 8153279971</t>
  </si>
  <si>
    <t>SI - 21 Agos.</t>
  </si>
  <si>
    <t>048/08 PPE</t>
  </si>
  <si>
    <t>8900046 XI</t>
  </si>
  <si>
    <t>Maruba Africa</t>
  </si>
  <si>
    <t>5 vástagos</t>
  </si>
  <si>
    <t>Uteco tiene un 10% de comisión.  Motivos de la demora en la entrega:  la semana del 28/7 no hubo buque (mail 21/8 de Luis), próxima fecha el 9/08, esa fecha se retraso para el 12/08 y finalmente se paso para el 19/8 (mail de luis 21/8)</t>
  </si>
  <si>
    <t>054/08 PPE</t>
  </si>
  <si>
    <t>8900061 XI</t>
  </si>
  <si>
    <t>Montemar Europa</t>
  </si>
  <si>
    <r>
      <t xml:space="preserve">150 vástagos </t>
    </r>
    <r>
      <rPr>
        <sz val="8"/>
        <color indexed="12"/>
        <rFont val="Arial"/>
        <family val="2"/>
      </rPr>
      <t>- ENTREGAR AL EMBARCADOR AMERICA AUSTRAL SRL</t>
    </r>
  </si>
  <si>
    <t>Uteco tiene un 10% de comisión - Del buque Maruba Asia pasa al Maruba Parana (consolida el 09/10) y salida el 25/10. Se olvidan de cargar el contenedor, recien va a salir el 6/11 en el Montemar Europa (mail 28/10).  El buque entra en reparacion y sale recien el 13/11</t>
  </si>
  <si>
    <t>057/08 PPE</t>
  </si>
  <si>
    <t>8900064 XI</t>
  </si>
  <si>
    <r>
      <t xml:space="preserve">38 vástagos </t>
    </r>
    <r>
      <rPr>
        <sz val="8"/>
        <color indexed="12"/>
        <rFont val="Arial"/>
        <family val="2"/>
      </rPr>
      <t>- ENTREGAR AL EMBARCADOR AMERICA AUSTRAL SRL</t>
    </r>
  </si>
  <si>
    <t>Uteco tiene un 10% de comisión  - Del buque Maruba Asia pasa al Maruba Parana (consolida el 09/10) y salida el 25/10. Se olvidan de cargar el contenedor, recien va a salir el 6/11 en el Montemar Europa (mail 28/10). El buque entra en reparacion y sale recien el 13/11</t>
  </si>
  <si>
    <t>003/09 PSE</t>
  </si>
  <si>
    <t>2009-SMPT0002</t>
  </si>
  <si>
    <r>
      <t>100 valvulas -</t>
    </r>
    <r>
      <rPr>
        <b/>
        <sz val="8"/>
        <color indexed="12"/>
        <rFont val="Arial"/>
        <family val="2"/>
      </rPr>
      <t xml:space="preserve"> ENVIA PANDELTA</t>
    </r>
  </si>
  <si>
    <t>PD0136</t>
  </si>
  <si>
    <t>ABS SAC</t>
  </si>
  <si>
    <t>114/08 PAB</t>
  </si>
  <si>
    <t>ABS-OC/0124/09</t>
  </si>
  <si>
    <t>Peru - Lima</t>
  </si>
  <si>
    <t xml:space="preserve">20 Vastagos </t>
  </si>
  <si>
    <t>en mano M. Belzurce</t>
  </si>
  <si>
    <t>SI - 17 Feb.</t>
  </si>
  <si>
    <t>SI - 20 Ab. -        U$ 9.720 +          U$ 30 gastos</t>
  </si>
  <si>
    <t>116/08 PAB</t>
  </si>
  <si>
    <t>ABS-OC/0123/09</t>
  </si>
  <si>
    <t>8 bombas + 8 nipples</t>
  </si>
  <si>
    <t>SI - 13 Ab.</t>
  </si>
  <si>
    <t>SI - 02 Jun. (U$ 13.850)</t>
  </si>
  <si>
    <t>Se postergo el cut off (del 13 al 17/3)</t>
  </si>
  <si>
    <t>024/09 PAB</t>
  </si>
  <si>
    <t>ABS-OC/0126/09</t>
  </si>
  <si>
    <t>CSAV Rotterdam</t>
  </si>
  <si>
    <t>SI - 05 Ago.</t>
  </si>
  <si>
    <t>ABS</t>
  </si>
  <si>
    <t>004/10 PAB</t>
  </si>
  <si>
    <t>ABS-OC/00132/10</t>
  </si>
  <si>
    <t>TERRESTRE Y MARITIMO</t>
  </si>
  <si>
    <t>195 vastagos</t>
  </si>
  <si>
    <t>La carga viene a Bue, hace aduana y sale via terrestre a Chile (27/4), sale el 30/4 via maritima a Peru arriba el 6/5</t>
  </si>
  <si>
    <t>073/10 PSE</t>
  </si>
  <si>
    <t>2010-SMPT0012</t>
  </si>
  <si>
    <r>
      <t xml:space="preserve">150 valvulas - </t>
    </r>
    <r>
      <rPr>
        <b/>
        <sz val="8"/>
        <color indexed="10"/>
        <rFont val="Arial"/>
        <family val="2"/>
      </rPr>
      <t>ENVIA PANDELTA</t>
    </r>
  </si>
  <si>
    <t>PD0249</t>
  </si>
  <si>
    <t>ABS S.A.</t>
  </si>
  <si>
    <t>099/10 PAB</t>
  </si>
  <si>
    <t>ABS-OC/00143/10</t>
  </si>
  <si>
    <t>4 Bombas</t>
  </si>
  <si>
    <t>MEXICO</t>
  </si>
  <si>
    <t>126/10 ZTE</t>
  </si>
  <si>
    <t>60-500.133</t>
  </si>
  <si>
    <t>Veracruz</t>
  </si>
  <si>
    <t>BOSS Services</t>
  </si>
  <si>
    <t>018/11 ZBO</t>
  </si>
  <si>
    <t>00101 - Rev. 2</t>
  </si>
  <si>
    <t>AÉREO (via LAN)</t>
  </si>
  <si>
    <r>
      <t>2 bombas -</t>
    </r>
    <r>
      <rPr>
        <b/>
        <sz val="8"/>
        <color indexed="10"/>
        <rFont val="Arial"/>
        <family val="2"/>
      </rPr>
      <t xml:space="preserve"> PAGO ANTICIPADO</t>
    </r>
  </si>
  <si>
    <t>SI - 04 Mayo</t>
  </si>
  <si>
    <t>SI - 04 Mar.</t>
  </si>
  <si>
    <t>Se postergo el vuelo, del 21 al 28 de abril (mail de Luis del 25/04/11)</t>
  </si>
  <si>
    <t>se informó 31-3 fin de producción</t>
  </si>
  <si>
    <t>7-804</t>
  </si>
  <si>
    <t xml:space="preserve">45-60 días </t>
  </si>
  <si>
    <t>28-5 a Pto Spain</t>
  </si>
  <si>
    <t xml:space="preserve"> (s/fax 26-6-98)</t>
  </si>
  <si>
    <t>027/02 TAL</t>
  </si>
  <si>
    <t>Por camion a Bai</t>
  </si>
  <si>
    <t>Cons:  30/5 - Sale: 3/6 - Port Spain: 18/7</t>
  </si>
  <si>
    <t>072/02 TAL</t>
  </si>
  <si>
    <t>sale:  12/12 - llega:  01/02</t>
  </si>
  <si>
    <t>Cons: 30/1</t>
  </si>
  <si>
    <t>Cartajena - Trinidad (29/3 - 31/3 - Uruguay 3613)</t>
  </si>
  <si>
    <t>085/02 TAL</t>
  </si>
  <si>
    <t>16 Marzo en Pto Spain</t>
  </si>
  <si>
    <t>POR CAMION</t>
  </si>
  <si>
    <t>Cut off: 25/3</t>
  </si>
  <si>
    <t>094/02 TAL</t>
  </si>
  <si>
    <t>Ship:Mol Pride-45days a P. Sapin</t>
  </si>
  <si>
    <t>011/03 TAL</t>
  </si>
  <si>
    <t>300 - S12-25C</t>
  </si>
  <si>
    <t>8259 1159 2116</t>
  </si>
  <si>
    <t>Cutt off: 29/05</t>
  </si>
  <si>
    <t>033/03 TAL</t>
  </si>
  <si>
    <t>27/5 al Fw.</t>
  </si>
  <si>
    <t>"Libra Rio"</t>
  </si>
  <si>
    <t>045/03 TAL</t>
  </si>
  <si>
    <t>PARCIAL JUNTO A LA PO 14154</t>
  </si>
  <si>
    <t>American Airlines</t>
  </si>
  <si>
    <t>RESTANTE</t>
  </si>
  <si>
    <t>Consolidacion</t>
  </si>
  <si>
    <t>102/03 TAL</t>
  </si>
  <si>
    <t>PO 16446</t>
  </si>
  <si>
    <t>11/12 - Desde Bue</t>
  </si>
  <si>
    <t>105/03 TAL</t>
  </si>
  <si>
    <t>PO 16489</t>
  </si>
  <si>
    <t>cut off: 12/2</t>
  </si>
  <si>
    <t>004/04 TAL</t>
  </si>
  <si>
    <t>Cut off: 22/4</t>
  </si>
  <si>
    <t>020/04 TAL</t>
  </si>
  <si>
    <t>19/4 al Forwarder</t>
  </si>
  <si>
    <t>El forwarder solicito que le demos la merc. esa fecha ya que no tiene deposito</t>
  </si>
  <si>
    <t>cut off:  9/6</t>
  </si>
  <si>
    <t>033/04 TAL</t>
  </si>
  <si>
    <t>Singapore</t>
  </si>
  <si>
    <t>desde Colombia a P. Spain</t>
  </si>
  <si>
    <t>ENVIAR CON MAQUETA</t>
  </si>
  <si>
    <t>993-maq.</t>
  </si>
  <si>
    <t>Cut off: 14/7</t>
  </si>
  <si>
    <t>039/04 TAL</t>
  </si>
  <si>
    <t>040/04 TAL</t>
  </si>
  <si>
    <t>consol.: 12/8</t>
  </si>
  <si>
    <t>043/04 TAL</t>
  </si>
  <si>
    <t>Port Spain</t>
  </si>
  <si>
    <t>Consol:  9/9</t>
  </si>
  <si>
    <t>047/04 TAL</t>
  </si>
  <si>
    <t>Consol:  14/10</t>
  </si>
  <si>
    <t>060/04 TAL</t>
  </si>
  <si>
    <t xml:space="preserve">140 pistones + Fittings </t>
  </si>
  <si>
    <t>cons:  16/12</t>
  </si>
  <si>
    <t>2º PARCIAL DE PISTONES</t>
  </si>
  <si>
    <t>45 Pistones</t>
  </si>
  <si>
    <t>072/04 TAL</t>
  </si>
  <si>
    <t>35 pistones + Fittings</t>
  </si>
  <si>
    <t>cons: 5/1</t>
  </si>
  <si>
    <t>076/04 TAL</t>
  </si>
  <si>
    <t>Cons: 21/4</t>
  </si>
  <si>
    <t>004/05 TAL</t>
  </si>
  <si>
    <t>0029</t>
  </si>
  <si>
    <t>006/05 TAL</t>
  </si>
  <si>
    <t>Fitting (1 Item)</t>
  </si>
  <si>
    <t>Cons: 24/5</t>
  </si>
  <si>
    <t>013/05 TAL</t>
  </si>
  <si>
    <t xml:space="preserve">Fitting </t>
  </si>
  <si>
    <t>0039</t>
  </si>
  <si>
    <t>014/05 TAL</t>
  </si>
  <si>
    <t>8 pistones</t>
  </si>
  <si>
    <t>Cons: 29/7</t>
  </si>
  <si>
    <t>80 plungers</t>
  </si>
  <si>
    <t>0057</t>
  </si>
  <si>
    <t>en Miami</t>
  </si>
  <si>
    <t>023/05 TAL</t>
  </si>
  <si>
    <t>Cons: 12/8</t>
  </si>
  <si>
    <t>024/05 TAL</t>
  </si>
  <si>
    <t>0061</t>
  </si>
  <si>
    <t>7/11-esperan liberacion</t>
  </si>
  <si>
    <t>028/05 TAL</t>
  </si>
  <si>
    <t>0070</t>
  </si>
  <si>
    <t>032/05 TAL</t>
  </si>
  <si>
    <t>cons: 9/11</t>
  </si>
  <si>
    <t>040/05 TAL</t>
  </si>
  <si>
    <t>0083</t>
  </si>
  <si>
    <t>"CP Denali"</t>
  </si>
  <si>
    <t>cons: 25/01</t>
  </si>
  <si>
    <t>054/05 TAL</t>
  </si>
  <si>
    <t>Fittings, 745 pistones, 80 barriles</t>
  </si>
  <si>
    <t>0096</t>
  </si>
  <si>
    <t>130 pistones, 20 barriles</t>
  </si>
  <si>
    <t>Enviar junto al 2° envio de la PO 803</t>
  </si>
  <si>
    <t>002/06 TAL</t>
  </si>
  <si>
    <t>150 nipples</t>
  </si>
  <si>
    <t>034/06 TAL</t>
  </si>
  <si>
    <t>Fittings + 189 pistones</t>
  </si>
  <si>
    <t>a Miami + 20 dias a P.Spain</t>
  </si>
  <si>
    <t>085/06 TAL</t>
  </si>
  <si>
    <r>
      <t>Fittings -</t>
    </r>
    <r>
      <rPr>
        <sz val="8"/>
        <color indexed="12"/>
        <rFont val="Arial"/>
        <family val="2"/>
      </rPr>
      <t xml:space="preserve"> ENTREGAR AL FORWARDER -CERTIFICADO DE CALIDAD</t>
    </r>
  </si>
  <si>
    <t>SI - 23 Mar - U$ 4403,7</t>
  </si>
  <si>
    <t>091/06 TAL</t>
  </si>
  <si>
    <r>
      <t xml:space="preserve">83 pistones - </t>
    </r>
    <r>
      <rPr>
        <sz val="8"/>
        <color indexed="12"/>
        <rFont val="Arial"/>
        <family val="2"/>
      </rPr>
      <t>ENTREGAR AL FORWARDER -CERTIFICADO DE CALIDAD</t>
    </r>
  </si>
  <si>
    <t>SI -23 Abr.</t>
  </si>
  <si>
    <t>007/07 TAL</t>
  </si>
  <si>
    <r>
      <t>165 pistones -</t>
    </r>
    <r>
      <rPr>
        <sz val="8"/>
        <color indexed="12"/>
        <rFont val="Arial"/>
        <family val="2"/>
      </rPr>
      <t xml:space="preserve"> ENTREGAR AL FORWARDER -CERTIFICADO DE CALIDAD</t>
    </r>
  </si>
  <si>
    <t>SI - mail 26/6</t>
  </si>
  <si>
    <t>a Miami + 20 dias a P.Spain - NOTA:  Nos informan que el buque del 12 de Abril se postergo para el 22 de Abril</t>
  </si>
  <si>
    <t>059/07 TAL</t>
  </si>
  <si>
    <t>Cap San Antonio</t>
  </si>
  <si>
    <r>
      <t>Fittings</t>
    </r>
    <r>
      <rPr>
        <sz val="8"/>
        <color indexed="12"/>
        <rFont val="Arial"/>
        <family val="2"/>
      </rPr>
      <t xml:space="preserve"> - ENTREGAR AL FORWARDER - CERTIFICADOS DE CALIDAD</t>
    </r>
  </si>
  <si>
    <t>SI - 11 Ene.</t>
  </si>
  <si>
    <t>068/07 TAL</t>
  </si>
  <si>
    <r>
      <t xml:space="preserve">Fittings - </t>
    </r>
    <r>
      <rPr>
        <sz val="8"/>
        <color indexed="12"/>
        <rFont val="Arial"/>
        <family val="2"/>
      </rPr>
      <t>ENTREGAR AL FORWARDER - CERTIFICADOS DE CALIDAD</t>
    </r>
  </si>
  <si>
    <t>077/07 TAL</t>
  </si>
  <si>
    <t>Cap. San Nicolas</t>
  </si>
  <si>
    <t>Si- 21 Abril</t>
  </si>
  <si>
    <t>SI - 01 May</t>
  </si>
  <si>
    <t>078/07 TAL</t>
  </si>
  <si>
    <t>Cap. San Marco</t>
  </si>
  <si>
    <t>SI - 27 May.</t>
  </si>
  <si>
    <t>003/08 TAL</t>
  </si>
  <si>
    <t>073/08 TAL</t>
  </si>
  <si>
    <t>MSC England</t>
  </si>
  <si>
    <r>
      <t>Fittings</t>
    </r>
    <r>
      <rPr>
        <sz val="8"/>
        <color indexed="12"/>
        <rFont val="Arial"/>
        <family val="2"/>
      </rPr>
      <t xml:space="preserve"> - ENTREGAR AL FORWARDER - CERTIFICADO DE CALIDAD</t>
    </r>
  </si>
  <si>
    <t>037/09 TAL</t>
  </si>
  <si>
    <t>AEREO - Fedex</t>
  </si>
  <si>
    <t>con carga - Fedex 8469 1862 6967</t>
  </si>
  <si>
    <t>SI - 21 Jul.</t>
  </si>
  <si>
    <t>048/09 TAL</t>
  </si>
  <si>
    <t>Camelia</t>
  </si>
  <si>
    <t>SI - 14 Ene.</t>
  </si>
  <si>
    <t>054/09 TAL</t>
  </si>
  <si>
    <t>063/09 TAL</t>
  </si>
  <si>
    <t>MAERSK JAIPUR VY GB510N</t>
  </si>
  <si>
    <t>80 pistones</t>
  </si>
  <si>
    <t>El buque cambio de fecha: salia el 18/10 y paso al 26/10. Nueva fecha 28/10</t>
  </si>
  <si>
    <t>072/09 TAL</t>
  </si>
  <si>
    <t>Port Lisas</t>
  </si>
  <si>
    <t>Conti-Valencia (Via Cartagena)</t>
  </si>
  <si>
    <r>
      <t xml:space="preserve">Fittings (nipples) </t>
    </r>
    <r>
      <rPr>
        <b/>
        <sz val="8"/>
        <color indexed="10"/>
        <rFont val="Arial"/>
        <family val="2"/>
      </rPr>
      <t xml:space="preserve"> - FORWARDER CRANE</t>
    </r>
  </si>
  <si>
    <t>065/09 TAL</t>
  </si>
  <si>
    <r>
      <t>Fittings</t>
    </r>
    <r>
      <rPr>
        <b/>
        <sz val="8"/>
        <color indexed="10"/>
        <rFont val="Arial"/>
        <family val="2"/>
      </rPr>
      <t xml:space="preserve"> - FORWARDER CRANE</t>
    </r>
  </si>
  <si>
    <t>SI - 19 de Marzo</t>
  </si>
  <si>
    <t>018/10 TAL</t>
  </si>
  <si>
    <t xml:space="preserve">American Airlines 908 - AWB 001-4477 1016  </t>
  </si>
  <si>
    <r>
      <t>Fittings</t>
    </r>
    <r>
      <rPr>
        <b/>
        <sz val="8"/>
        <color indexed="10"/>
        <rFont val="Arial"/>
        <family val="2"/>
      </rPr>
      <t xml:space="preserve"> - FORWARDER JARVIS INT. FREIGHT</t>
    </r>
  </si>
  <si>
    <t xml:space="preserve">AWB 001-4477 1016  </t>
  </si>
  <si>
    <t>SI - 02 Sep.</t>
  </si>
  <si>
    <t>065/10 TAL</t>
  </si>
  <si>
    <t>CSAV LONQUIMAY</t>
  </si>
  <si>
    <t>SI - 17 Dic</t>
  </si>
  <si>
    <t>108/10 TAL</t>
  </si>
  <si>
    <t>118/10 TAL</t>
  </si>
  <si>
    <t>003/11 TAL</t>
  </si>
  <si>
    <t>ER KOBE (Bue-Manzanillo-Panama_P. Spain)</t>
  </si>
  <si>
    <t>Se postergo el buque, del 05 ald 12 de Mayo. Buque con averia, aun en puerto.</t>
  </si>
  <si>
    <t>040/11 TAL</t>
  </si>
  <si>
    <t>MSL C Z1130D</t>
  </si>
  <si>
    <t>072/11 TAL</t>
  </si>
  <si>
    <t>Singapore 1136N</t>
  </si>
  <si>
    <t>SI - 20 Ene</t>
  </si>
  <si>
    <t>080/11 TAL</t>
  </si>
  <si>
    <t>110/11  TAL</t>
  </si>
  <si>
    <t>CSAV Houston</t>
  </si>
  <si>
    <t>SI - 23 Mar</t>
  </si>
  <si>
    <t>114/11  TAL</t>
  </si>
  <si>
    <t>131/11 TAL</t>
  </si>
  <si>
    <t>SI - 21 mayo</t>
  </si>
  <si>
    <t>Por problemas con el navio se sigue postergando el arribo de esta carga a Trinidad (mail 16/03/12 de Luis)</t>
  </si>
  <si>
    <t>011/12 TAL</t>
  </si>
  <si>
    <t>Manzanillo PA</t>
  </si>
  <si>
    <t>58 4393 9076</t>
  </si>
  <si>
    <t>SI - 10 Jul.</t>
  </si>
  <si>
    <t>Original del BL en destino</t>
  </si>
  <si>
    <t>080/12 TAL</t>
  </si>
  <si>
    <t>58 4393 9150</t>
  </si>
  <si>
    <t>SI - 21 Dic.</t>
  </si>
  <si>
    <t>084/12 TAL</t>
  </si>
  <si>
    <t>123/12 TAL</t>
  </si>
  <si>
    <t>53 1919 8463</t>
  </si>
  <si>
    <t>017/13 TAL</t>
  </si>
  <si>
    <t>53 1919 8640</t>
  </si>
  <si>
    <t>SI - 15 Jul.</t>
  </si>
  <si>
    <t>025/14 TAL</t>
  </si>
  <si>
    <t xml:space="preserve">SUAPE EXPRESS
</t>
  </si>
  <si>
    <t>SI - 21 Oct.</t>
  </si>
  <si>
    <t>050/15 TAL</t>
  </si>
  <si>
    <t>15091EC01010921X</t>
  </si>
  <si>
    <t>008/16 TAL</t>
  </si>
  <si>
    <t>SI - 30 May.</t>
  </si>
  <si>
    <t>16091EC01006929W</t>
  </si>
  <si>
    <t>009/16 TAL</t>
  </si>
  <si>
    <t>024/17 TAL</t>
  </si>
  <si>
    <t>MARCH</t>
  </si>
  <si>
    <t>17001EC01032546X</t>
  </si>
  <si>
    <t>030/17 TAL</t>
  </si>
  <si>
    <t>17001EC01040219E</t>
  </si>
  <si>
    <t>CERTIFICADO DE ORIGEN Y DE CALIDAD</t>
  </si>
  <si>
    <t>INDONESIA</t>
  </si>
  <si>
    <t>PT. SURITAMA</t>
  </si>
  <si>
    <t>028/04 YPS</t>
  </si>
  <si>
    <t>005/SAP-PO/IV/04</t>
  </si>
  <si>
    <t>SURITIMA</t>
  </si>
  <si>
    <t>049/05 YPS</t>
  </si>
  <si>
    <t>021/SAP-PO/X/05</t>
  </si>
  <si>
    <t>40 valvulas</t>
  </si>
  <si>
    <t>G328242</t>
  </si>
  <si>
    <t>cons: 9/12</t>
  </si>
  <si>
    <t>042/05 YPS</t>
  </si>
  <si>
    <t>020/SAP-PO/X/05</t>
  </si>
  <si>
    <t>cons: 16/6</t>
  </si>
  <si>
    <t>70 % - PAGO ANTICIPADO</t>
  </si>
  <si>
    <t>70%-22.375</t>
  </si>
  <si>
    <t>SURITAMA</t>
  </si>
  <si>
    <t>013/06 YPS</t>
  </si>
  <si>
    <t>005 / SAP - PO / IV / 06</t>
  </si>
  <si>
    <t>30%-9.587</t>
  </si>
  <si>
    <t>cons: 4/7</t>
  </si>
  <si>
    <t xml:space="preserve"> PAGO ANTICIPADO</t>
  </si>
  <si>
    <t>022/06 YPS</t>
  </si>
  <si>
    <t>006 / SAP - PO / IV / 06</t>
  </si>
  <si>
    <t>007 / SAP - PO / IV / 06</t>
  </si>
  <si>
    <t>G328342</t>
  </si>
  <si>
    <t>070/06 YPS</t>
  </si>
  <si>
    <t>018/SAP-PO/XI/06</t>
  </si>
  <si>
    <t>Indonesia</t>
  </si>
  <si>
    <r>
      <t xml:space="preserve">5 bombas - </t>
    </r>
    <r>
      <rPr>
        <sz val="8"/>
        <color indexed="12"/>
        <rFont val="Arial"/>
        <family val="2"/>
      </rPr>
      <t>PAGO ANTICIPADO - CERTIFICADO DE CALIDAD</t>
    </r>
  </si>
  <si>
    <t>SI - U$ 5962,74</t>
  </si>
  <si>
    <t>024/07 YPS</t>
  </si>
  <si>
    <t>06/SAP-PO/V/06</t>
  </si>
  <si>
    <r>
      <t xml:space="preserve">200 valvulas - </t>
    </r>
    <r>
      <rPr>
        <sz val="8"/>
        <color indexed="12"/>
        <rFont val="Arial"/>
        <family val="2"/>
      </rPr>
      <t>PAGO ANTICIPADO - ENVIA GAMMA</t>
    </r>
  </si>
  <si>
    <t>G328465</t>
  </si>
  <si>
    <t>SI - 4 Jun</t>
  </si>
  <si>
    <t>021/07 YPS</t>
  </si>
  <si>
    <t>07/SAP-PO/V/06</t>
  </si>
  <si>
    <r>
      <t xml:space="preserve">20 pistones - </t>
    </r>
    <r>
      <rPr>
        <sz val="8"/>
        <color indexed="12"/>
        <rFont val="Arial"/>
        <family val="2"/>
      </rPr>
      <t>PAGO ANTICIPADO</t>
    </r>
  </si>
  <si>
    <t>SI - 8 Jun</t>
  </si>
  <si>
    <t>N. De credito: U$ 170</t>
  </si>
  <si>
    <t>018/07 YPS</t>
  </si>
  <si>
    <t>05/SAP-PO/IV/06</t>
  </si>
  <si>
    <r>
      <t>Fittings -</t>
    </r>
    <r>
      <rPr>
        <sz val="8"/>
        <color indexed="12"/>
        <rFont val="Arial"/>
        <family val="2"/>
      </rPr>
      <t xml:space="preserve"> PAGO ANTICIPADO</t>
    </r>
  </si>
  <si>
    <t>SI - 26 Jul</t>
  </si>
  <si>
    <t>(quedo a cuenta U$ 170-descontar a esta PO)</t>
  </si>
  <si>
    <t>041/08 YPS</t>
  </si>
  <si>
    <t>07/SAP-PO/V/08</t>
  </si>
  <si>
    <r>
      <t>40 válvulas -</t>
    </r>
    <r>
      <rPr>
        <sz val="8"/>
        <color indexed="12"/>
        <rFont val="Arial"/>
        <family val="2"/>
      </rPr>
      <t xml:space="preserve"> ENVÍA PAN DELTA - PAGO ANTICIPADO - ENTREGAR AL FORWARDER</t>
    </r>
  </si>
  <si>
    <t>PD0041</t>
  </si>
  <si>
    <t>023-0973-7022</t>
  </si>
  <si>
    <t>SI - 30 de Jun.</t>
  </si>
  <si>
    <t>074/08 YPS</t>
  </si>
  <si>
    <t>21/SAP-PO/X/08</t>
  </si>
  <si>
    <r>
      <t xml:space="preserve">100 nipples </t>
    </r>
    <r>
      <rPr>
        <sz val="8"/>
        <color indexed="12"/>
        <rFont val="Arial"/>
        <family val="2"/>
      </rPr>
      <t>- PAGO ANTICIPADO</t>
    </r>
  </si>
  <si>
    <t>SI - 23 Feb.</t>
  </si>
  <si>
    <t>088/08 YPS</t>
  </si>
  <si>
    <t>05/SAP-PO/II/09-A</t>
  </si>
  <si>
    <r>
      <t xml:space="preserve">50 valvulas - </t>
    </r>
    <r>
      <rPr>
        <b/>
        <sz val="8"/>
        <color indexed="10"/>
        <rFont val="Arial"/>
        <family val="2"/>
      </rPr>
      <t>ENVIA PAN DELTA - PAGO ANTICIPADO</t>
    </r>
  </si>
  <si>
    <t>PD0141</t>
  </si>
  <si>
    <t>con la carga - 023 0973 7044</t>
  </si>
  <si>
    <t>05/SAP-PO/II/09-B</t>
  </si>
  <si>
    <r>
      <t xml:space="preserve">Fittings </t>
    </r>
    <r>
      <rPr>
        <sz val="8"/>
        <color indexed="12"/>
        <rFont val="Arial"/>
        <family val="2"/>
      </rPr>
      <t>- PAGO ANTICIPADO</t>
    </r>
  </si>
  <si>
    <t>SI - 29 Mayo</t>
  </si>
  <si>
    <t>SI - 21 Ab.</t>
  </si>
  <si>
    <t>032/09 YPS</t>
  </si>
  <si>
    <t>08/SAP-PO/VI/09</t>
  </si>
  <si>
    <t>con carga - ARBUE116194 - DHL 90099104863</t>
  </si>
  <si>
    <t>SI - 24 Agos.</t>
  </si>
  <si>
    <t>SI - 16 Jul.</t>
  </si>
  <si>
    <t>088/09 YPS</t>
  </si>
  <si>
    <t>11/SAP-PO/XII/09</t>
  </si>
  <si>
    <t>MOL DOMINANCE v.3309</t>
  </si>
  <si>
    <r>
      <t>Fittings</t>
    </r>
    <r>
      <rPr>
        <sz val="8"/>
        <color indexed="12"/>
        <rFont val="Arial"/>
        <family val="2"/>
      </rPr>
      <t xml:space="preserve">  - PAGO ANTICIPADO</t>
    </r>
  </si>
  <si>
    <t>SI - 03 Abr.</t>
  </si>
  <si>
    <t>PT. INTERDRIL</t>
  </si>
  <si>
    <t>046/10 YPI</t>
  </si>
  <si>
    <t>M10LL0006B</t>
  </si>
  <si>
    <t>CCNI Fortaleza</t>
  </si>
  <si>
    <t>SI-5 Agos. (30%) - 25 Oct. (70%)</t>
  </si>
  <si>
    <t>Forma de pago: 30% (U$ 14.642) con la PO y 70% (33.680,11) antes de embarcar</t>
  </si>
  <si>
    <t>PT PRO ENERGY OILFIELD</t>
  </si>
  <si>
    <t>057/11YHJ</t>
  </si>
  <si>
    <t>057-HJ/PO~PUR/V-11</t>
  </si>
  <si>
    <t>Fowarder</t>
  </si>
  <si>
    <t>Jakarta</t>
  </si>
  <si>
    <t>ZIM MONACO</t>
  </si>
  <si>
    <t>PT.PETRO ENERGY OILFIELD</t>
  </si>
  <si>
    <t>010/13 YEO</t>
  </si>
  <si>
    <t>118-PEO</t>
  </si>
  <si>
    <r>
      <t>Fittings -</t>
    </r>
    <r>
      <rPr>
        <sz val="8"/>
        <color indexed="12"/>
        <rFont val="Arial"/>
        <family val="2"/>
      </rPr>
      <t xml:space="preserve"> </t>
    </r>
    <r>
      <rPr>
        <b/>
        <sz val="8"/>
        <color indexed="12"/>
        <rFont val="Arial"/>
        <family val="2"/>
      </rPr>
      <t>CERTIFICADOS DE CALIDAD - FORWARDER</t>
    </r>
  </si>
  <si>
    <t>53 1753 0223</t>
  </si>
  <si>
    <t>Pago del 50% el 08 de Abril - OK - ----  Resta el 50% -llego el resto (U$ 5707) el 18 de Jun.</t>
  </si>
  <si>
    <t>CV. HARAPAN JAYA</t>
  </si>
  <si>
    <t>014/17 YEO</t>
  </si>
  <si>
    <t>198-PEO/PO/PURCH/III-2017</t>
  </si>
  <si>
    <t>SKYROS V 718</t>
  </si>
  <si>
    <t>Fittings - PAGO:  50% CON PO Y 50% ANTES DEL EMBARQUE</t>
  </si>
  <si>
    <t>PAGO:  11/04 se hizo el pago anticipado (USD  12753.5 ) - 27/04 se pago el resto (U$ 13.359,50)</t>
  </si>
  <si>
    <t>17001EC01035523G</t>
  </si>
  <si>
    <t>Cons:  3/2</t>
  </si>
  <si>
    <t>8/3 en Hamberes</t>
  </si>
  <si>
    <t>ESPAÑA</t>
  </si>
  <si>
    <t>REPSOL YPF</t>
  </si>
  <si>
    <t>075/04 LYP</t>
  </si>
  <si>
    <t>TFR-135-2004-REV.0</t>
  </si>
  <si>
    <t>España</t>
  </si>
  <si>
    <t>4 bombas y repuestos</t>
  </si>
  <si>
    <t>0007</t>
  </si>
  <si>
    <t>arriba a Marsella</t>
  </si>
  <si>
    <t>Arribo a Argelia</t>
  </si>
  <si>
    <t>Cons: 4/7</t>
  </si>
  <si>
    <t>031/06 LYP</t>
  </si>
  <si>
    <t>OC-TFR-115-2006 REV 0</t>
  </si>
  <si>
    <t>Argelia</t>
  </si>
  <si>
    <t>2 bombas y nipples</t>
  </si>
  <si>
    <t>a Valencia + 5 dias a Argelia + 15 dias al deposito</t>
  </si>
  <si>
    <t>NOTA:  Nos informan que la carga se envio por equivocacion al Puerto de Orán, ahora estan realizando todos los tramites para enviarla al destino correcto, Argelia.  Seguimos detras este problema.</t>
  </si>
  <si>
    <t>REPSOL</t>
  </si>
  <si>
    <t>017/07 LYP</t>
  </si>
  <si>
    <t>OC-TFR-07017 REV 0</t>
  </si>
  <si>
    <t>DHL 6631322622</t>
  </si>
  <si>
    <r>
      <t xml:space="preserve">2 nipples - </t>
    </r>
    <r>
      <rPr>
        <sz val="8"/>
        <color indexed="12"/>
        <rFont val="Arial"/>
        <family val="2"/>
      </rPr>
      <t>RETIRA EL TRANSPORTE EN PTA.</t>
    </r>
  </si>
  <si>
    <t>SI - 17 Sep. Al yac.</t>
  </si>
  <si>
    <t>SI - 05 Sep.</t>
  </si>
  <si>
    <t>Nos piden que realicemos nosotros el transporte (antes pasaban a retirar de la Planta) - atraso real 31 dias</t>
  </si>
  <si>
    <t>067/07 LYP</t>
  </si>
  <si>
    <t>OC-TFR-07122 RV 1</t>
  </si>
  <si>
    <t>Cala Palamos</t>
  </si>
  <si>
    <r>
      <t>2 bombas + Fittings</t>
    </r>
    <r>
      <rPr>
        <sz val="8"/>
        <color indexed="12"/>
        <rFont val="Arial"/>
        <family val="2"/>
      </rPr>
      <t xml:space="preserve">  - CERTIFICADOS DE CALIDAD</t>
    </r>
  </si>
  <si>
    <t>6626518920 / 6626518916</t>
  </si>
  <si>
    <t>SI - 11 Feb.</t>
  </si>
  <si>
    <t>Bue - Valencia / Valencia - Argelia:  8/12 - 27/12 / 17/01 - 19/01</t>
  </si>
  <si>
    <t>080/07 LYP</t>
  </si>
  <si>
    <t>OC-TFR-07138 RV 0</t>
  </si>
  <si>
    <t>Csav Itaim</t>
  </si>
  <si>
    <r>
      <t>2 vastagos</t>
    </r>
    <r>
      <rPr>
        <sz val="8"/>
        <color indexed="12"/>
        <rFont val="Arial"/>
        <family val="2"/>
      </rPr>
      <t xml:space="preserve">  - CERTIFICADOS DE CALIDAD</t>
    </r>
  </si>
  <si>
    <t>6626519034 / 6626519023</t>
  </si>
  <si>
    <t>Arribo al Puerto de Barcelona 31/01. Desconsolidación 04/02.</t>
  </si>
  <si>
    <t>042/08 LYP</t>
  </si>
  <si>
    <t>OC-TFR-08029-Rev 0</t>
  </si>
  <si>
    <t>6 unión de vástago</t>
  </si>
  <si>
    <t>042/09 LYP</t>
  </si>
  <si>
    <t>OC-TFR-09031-Rev 0</t>
  </si>
  <si>
    <t>CAP Harrisson</t>
  </si>
  <si>
    <t>2 bombas + 2 vastagos</t>
  </si>
  <si>
    <t>Si - 26 Nov.</t>
  </si>
  <si>
    <t xml:space="preserve">La mercaderia esta lista en Planta pero por una nueva reglamentacion de Argelia (pago por carta de credito) quedo suspendida hasta que el cliente confirme-El cliente informo que el pago sale de España asi que no entra esta reglamentacion.  Salida de Buque: del 08 de Sept. se paso al 15 de Sept. y de luego se paso para el 25 de Sept. - Realmente hubo 21 dias de atraso hasta que finalmente salio la carga (debido a las varias modificaciones en el buque), pero esta demora no fue por motivo de Bolland y en todo momento el cliente estuvo informado de los cambios y atrasos. </t>
  </si>
  <si>
    <t>038/10 LYP</t>
  </si>
  <si>
    <t>TFR-PR-10-010</t>
  </si>
  <si>
    <t>Monte Cervantes</t>
  </si>
  <si>
    <t>119/10 LYP</t>
  </si>
  <si>
    <t>OC-HMD-TFR-10-0161</t>
  </si>
  <si>
    <t>AIR France</t>
  </si>
  <si>
    <r>
      <t xml:space="preserve">Fittings </t>
    </r>
    <r>
      <rPr>
        <b/>
        <sz val="8"/>
        <color indexed="12"/>
        <rFont val="Arial"/>
        <family val="2"/>
      </rPr>
      <t>- 1° ENVÍO</t>
    </r>
  </si>
  <si>
    <t>AÉREO-TERRESTRE-MARÍTIMO</t>
  </si>
  <si>
    <r>
      <t>2 Bombas</t>
    </r>
    <r>
      <rPr>
        <b/>
        <sz val="8"/>
        <color indexed="12"/>
        <rFont val="Arial"/>
        <family val="2"/>
      </rPr>
      <t xml:space="preserve"> - 2° ENVÍO</t>
    </r>
  </si>
  <si>
    <t>Si - 22 Mar.</t>
  </si>
  <si>
    <t>025/11 LYP</t>
  </si>
  <si>
    <t>OC-HMD-TFR-14-079</t>
  </si>
  <si>
    <t>CAP HARRISON/163</t>
  </si>
  <si>
    <t xml:space="preserve">2 bombas - </t>
  </si>
  <si>
    <t>SI - 19 Ene.</t>
  </si>
  <si>
    <t>ARGELIA</t>
  </si>
  <si>
    <t>008/13 LYP</t>
  </si>
  <si>
    <t>OC-HMD-TFR-13-032</t>
  </si>
  <si>
    <r>
      <t xml:space="preserve">Fittings - </t>
    </r>
    <r>
      <rPr>
        <b/>
        <sz val="8"/>
        <color indexed="10"/>
        <rFont val="Arial"/>
        <family val="2"/>
      </rPr>
      <t>CERTIFICADOS DE CALIDAD</t>
    </r>
  </si>
  <si>
    <t>53 1919 8592</t>
  </si>
  <si>
    <t>SI - 24 Jun.</t>
  </si>
  <si>
    <t>CHILE</t>
  </si>
  <si>
    <t>GEOPARK</t>
  </si>
  <si>
    <t>059/06 WGP</t>
  </si>
  <si>
    <t>Chile</t>
  </si>
  <si>
    <t>Com. Riv.</t>
  </si>
  <si>
    <t>---</t>
  </si>
  <si>
    <t>8 bombas y fittings</t>
  </si>
  <si>
    <t>8-599</t>
  </si>
  <si>
    <t>SI - 27 Oct.</t>
  </si>
  <si>
    <t>La gente de Geopark pide que se envie esta carga junto con la mercaderia de la empresa Lufkin. Retira un camion desde la Planta.</t>
  </si>
  <si>
    <t>044/08 WGP</t>
  </si>
  <si>
    <t>GCN-080079-11</t>
  </si>
  <si>
    <t>Rio Gallegos</t>
  </si>
  <si>
    <t xml:space="preserve">2 bombas, fittings </t>
  </si>
  <si>
    <t>SI, recibida en deposito (3/7)</t>
  </si>
  <si>
    <t>SI - Agosto</t>
  </si>
  <si>
    <t>Enviar con camión a Rio Gallegos y allí realizar los tramites de exportación con el despachante nuestro. La carga se entrego el 26 de Junio pero recién se va a enviar a Chile el 16 de Julio, ya que la juntaron con otra carga. - Atraso real 16 dias</t>
  </si>
  <si>
    <t>043/09 WGP</t>
  </si>
  <si>
    <t>GCN-090120-01</t>
  </si>
  <si>
    <t>1 bomba + 2 vastagos</t>
  </si>
  <si>
    <t>se entrego en las of. de Bue</t>
  </si>
  <si>
    <t>SI - 2 Sept.</t>
  </si>
  <si>
    <t>Viajo a Rio Gallegos el viernes 10 de Julio y llego el lunes 13 de Julio.  La aduana de chile esta de paro el 14 y 15 de Julio, el jueves 16 es feriado en chile y recien el viernes 17 de Julio cruzaria a chile</t>
  </si>
  <si>
    <t>ENAP</t>
  </si>
  <si>
    <t>052/09 WEN</t>
  </si>
  <si>
    <t>Comodoro Rivadavia</t>
  </si>
  <si>
    <r>
      <t xml:space="preserve">4 bombas + 4 vastagos + 4 nipples - </t>
    </r>
    <r>
      <rPr>
        <b/>
        <sz val="8"/>
        <color indexed="12"/>
        <rFont val="Arial"/>
        <family val="2"/>
      </rPr>
      <t>ENTREGAR AL EMBARCADOR</t>
    </r>
  </si>
  <si>
    <t>junto con la carga</t>
  </si>
  <si>
    <t>SI - 3 Sept.</t>
  </si>
  <si>
    <t>SI - 02 Oct.</t>
  </si>
  <si>
    <t>Envian un camion desde Pta. Arenas a nuestra Planta para retirar la carga - atraso rela 4 dias</t>
  </si>
  <si>
    <t>055/09 WGP</t>
  </si>
  <si>
    <t>GCN-090165-02</t>
  </si>
  <si>
    <t>Cruz del Sur</t>
  </si>
  <si>
    <t>1 bomba + fittings</t>
  </si>
  <si>
    <t>075/09 WGP</t>
  </si>
  <si>
    <t>GCN-090204-01</t>
  </si>
  <si>
    <t>SI - 01 Mar.</t>
  </si>
  <si>
    <t>011/10 WEN</t>
  </si>
  <si>
    <r>
      <t xml:space="preserve">Fittings - </t>
    </r>
    <r>
      <rPr>
        <b/>
        <sz val="8"/>
        <color indexed="10"/>
        <rFont val="Arial"/>
        <family val="2"/>
      </rPr>
      <t>EMBARCADOR KONIG</t>
    </r>
  </si>
  <si>
    <t>SI - 27 Mayo</t>
  </si>
  <si>
    <t>Prodeng S.A. Comision de U$ 876,40</t>
  </si>
  <si>
    <t>025/10 WGP</t>
  </si>
  <si>
    <t>GCN-100088-01</t>
  </si>
  <si>
    <t>Fittings  - Cruz del Sur a Rio Gallegos</t>
  </si>
  <si>
    <t>SI - 14 Ab.</t>
  </si>
  <si>
    <t>SI - 30 Jul.</t>
  </si>
  <si>
    <t>033/10 WGP</t>
  </si>
  <si>
    <t>GCN-100116-01</t>
  </si>
  <si>
    <t>Nipples  - Cruz del Sur a Rio Gallegos</t>
  </si>
  <si>
    <t>Enviar junto a otra carga de quimicos</t>
  </si>
  <si>
    <t>058/10 WGP</t>
  </si>
  <si>
    <t>GCN-100218-01</t>
  </si>
  <si>
    <t>APACHE</t>
  </si>
  <si>
    <t>064/10 WAP</t>
  </si>
  <si>
    <t>CH 0022</t>
  </si>
  <si>
    <t xml:space="preserve">Fittings   </t>
  </si>
  <si>
    <t>en Bue</t>
  </si>
  <si>
    <t>Aguardamos instrucciones de Ivanmet</t>
  </si>
  <si>
    <t>053/10 WGP</t>
  </si>
  <si>
    <t>GCN-100223-03</t>
  </si>
  <si>
    <t>Tubing</t>
  </si>
  <si>
    <t>075/10 WGP</t>
  </si>
  <si>
    <t>GCN-100283-01</t>
  </si>
  <si>
    <t>079/10 WGP</t>
  </si>
  <si>
    <t>GCN-100281-02</t>
  </si>
  <si>
    <t>4 nipples</t>
  </si>
  <si>
    <t>082/10 WGP</t>
  </si>
  <si>
    <t>GCN-100281-04</t>
  </si>
  <si>
    <t>2 vastagos</t>
  </si>
  <si>
    <t>069/10 WGP</t>
  </si>
  <si>
    <t>GCN-100281-01</t>
  </si>
  <si>
    <t>SI - 2 Nov.</t>
  </si>
  <si>
    <t>052/10 WEN</t>
  </si>
  <si>
    <t>SI -5 Nov.</t>
  </si>
  <si>
    <t>096/10 WGP</t>
  </si>
  <si>
    <t>GCN-100356-03</t>
  </si>
  <si>
    <t>Est. Alvarez</t>
  </si>
  <si>
    <t>107</t>
  </si>
  <si>
    <t>107/10 WGP</t>
  </si>
  <si>
    <t>GCN-100388-01</t>
  </si>
  <si>
    <t>4 válvulas reg. De presión</t>
  </si>
  <si>
    <t>Estaba prevista la salida de Planta el 5 de Nov. Pero a pedido del cliente se junta con la carga d elas bombas (18 de Nov.)</t>
  </si>
  <si>
    <t>GEO PARK</t>
  </si>
  <si>
    <t>005/11 WGP</t>
  </si>
  <si>
    <t>GCN-100510-01</t>
  </si>
  <si>
    <t>3 nipples</t>
  </si>
  <si>
    <t>SI - 31 Mar.</t>
  </si>
  <si>
    <t>020/11 WGP</t>
  </si>
  <si>
    <t>GCN-110050-01</t>
  </si>
  <si>
    <t>3 vastagos</t>
  </si>
  <si>
    <t>007/11 WEN</t>
  </si>
  <si>
    <t>Punta Arenas</t>
  </si>
  <si>
    <r>
      <t xml:space="preserve">8 bombas + fittings - </t>
    </r>
    <r>
      <rPr>
        <b/>
        <sz val="8"/>
        <color indexed="10"/>
        <rFont val="Arial"/>
        <family val="2"/>
      </rPr>
      <t>ENTREGAR AL TRANSP. KONIX</t>
    </r>
  </si>
  <si>
    <t xml:space="preserve">SI  </t>
  </si>
  <si>
    <t>042/11 WGP</t>
  </si>
  <si>
    <t>GCN-110121-01</t>
  </si>
  <si>
    <t>034/11 WGP</t>
  </si>
  <si>
    <t>GCN-110092-02-03</t>
  </si>
  <si>
    <t>6 bombas + fittings</t>
  </si>
  <si>
    <t>099/11 WEN</t>
  </si>
  <si>
    <t>CRT</t>
  </si>
  <si>
    <t>113/11 WGP</t>
  </si>
  <si>
    <t>GCN-110302-03/04</t>
  </si>
  <si>
    <t>BEDINO (p/Konig)</t>
  </si>
  <si>
    <t>vastagos y separadores</t>
  </si>
  <si>
    <t>119/11 WGP</t>
  </si>
  <si>
    <t>GCN-110335-02</t>
  </si>
  <si>
    <t>SI - 06 Jun.</t>
  </si>
  <si>
    <t>134/11 WEN</t>
  </si>
  <si>
    <t xml:space="preserve"> fittings</t>
  </si>
  <si>
    <t>SI - 16 Abr.</t>
  </si>
  <si>
    <t>PAN AMERICAN ENERGY</t>
  </si>
  <si>
    <t>013/12 WPA</t>
  </si>
  <si>
    <r>
      <t xml:space="preserve">3 bombas </t>
    </r>
    <r>
      <rPr>
        <b/>
        <sz val="8"/>
        <color indexed="10"/>
        <rFont val="Arial"/>
        <family val="2"/>
      </rPr>
      <t>- ENTREGAR A TRANSP. VESPRINI</t>
    </r>
  </si>
  <si>
    <t>SI - 01 Agos.</t>
  </si>
  <si>
    <t>Retiran desde CDR</t>
  </si>
  <si>
    <t>122/11 WGP</t>
  </si>
  <si>
    <t>GCN-120140-01</t>
  </si>
  <si>
    <t>TERRESTRE a Gallegos</t>
  </si>
  <si>
    <t xml:space="preserve"> 9 Bombas</t>
  </si>
  <si>
    <t>09 de Marzo: modifican la PO N° GCN-110335-03, ya que piden otro tipo de bombas, por lo tanto se genera una neuva PO con un nuevo numero.</t>
  </si>
  <si>
    <t>009/12 WGP</t>
  </si>
  <si>
    <t>GCN-120047-01</t>
  </si>
  <si>
    <r>
      <t>Fittings -</t>
    </r>
    <r>
      <rPr>
        <sz val="8"/>
        <color indexed="10"/>
        <rFont val="Arial"/>
        <family val="2"/>
      </rPr>
      <t xml:space="preserve"> RIO GALLEGOS</t>
    </r>
  </si>
  <si>
    <r>
      <t xml:space="preserve">22 Bombas - </t>
    </r>
    <r>
      <rPr>
        <b/>
        <sz val="12"/>
        <color indexed="10"/>
        <rFont val="Arial"/>
        <family val="2"/>
      </rPr>
      <t>ENVIAR EL REPORTE DE ARMADO</t>
    </r>
  </si>
  <si>
    <t>054/12 WGP</t>
  </si>
  <si>
    <t>GCN-120233-01</t>
  </si>
  <si>
    <r>
      <t xml:space="preserve">2 vastagos </t>
    </r>
    <r>
      <rPr>
        <sz val="8"/>
        <color indexed="10"/>
        <rFont val="Arial"/>
        <family val="2"/>
      </rPr>
      <t>- Rio Gallegos</t>
    </r>
  </si>
  <si>
    <t>GCN-120233-02</t>
  </si>
  <si>
    <t xml:space="preserve">8 vastagos </t>
  </si>
  <si>
    <t>Retira GeoPark de CDR</t>
  </si>
  <si>
    <t>056/12 WGP</t>
  </si>
  <si>
    <t>GCN-120257-01</t>
  </si>
  <si>
    <r>
      <t>6 bombas + fittings</t>
    </r>
    <r>
      <rPr>
        <b/>
        <sz val="8"/>
        <color indexed="10"/>
        <rFont val="Arial"/>
        <family val="2"/>
      </rPr>
      <t xml:space="preserve"> - TRANSPORTE KONIG</t>
    </r>
  </si>
  <si>
    <t>con caga</t>
  </si>
  <si>
    <t>067/12 WGP</t>
  </si>
  <si>
    <t>GCN-120252-01</t>
  </si>
  <si>
    <r>
      <t>5 vastagos</t>
    </r>
    <r>
      <rPr>
        <b/>
        <sz val="8"/>
        <color indexed="10"/>
        <rFont val="Arial"/>
        <family val="2"/>
      </rPr>
      <t xml:space="preserve"> - TRANSPORTE KONIG</t>
    </r>
  </si>
  <si>
    <t>Enviar junto a las bombas d ela PO GCN-120257-01</t>
  </si>
  <si>
    <t>091/12 WGP</t>
  </si>
  <si>
    <t>GCN-120418-02</t>
  </si>
  <si>
    <r>
      <t>12 nipples</t>
    </r>
    <r>
      <rPr>
        <b/>
        <sz val="8"/>
        <color indexed="10"/>
        <rFont val="Arial"/>
        <family val="2"/>
      </rPr>
      <t xml:space="preserve"> </t>
    </r>
  </si>
  <si>
    <t>Enviar junto a quimicos</t>
  </si>
  <si>
    <t>104/12 WGP</t>
  </si>
  <si>
    <t>GCN-120473-02</t>
  </si>
  <si>
    <t>7 vastagos</t>
  </si>
  <si>
    <t>SI - 01 Feb.</t>
  </si>
  <si>
    <t>097/12 WGP</t>
  </si>
  <si>
    <t>GCN-120527-01</t>
  </si>
  <si>
    <t>SI - 22 de Abril</t>
  </si>
  <si>
    <t>108/12 WEN</t>
  </si>
  <si>
    <t>Fittings + 32 bombas</t>
  </si>
  <si>
    <t>SI - 10 Jun.</t>
  </si>
  <si>
    <t>Esta OC reemplazo a la OC N° 4500147958</t>
  </si>
  <si>
    <t>025/13 WGP</t>
  </si>
  <si>
    <t>GCN 130027-03</t>
  </si>
  <si>
    <t>Si - 4 Jun.</t>
  </si>
  <si>
    <t>002/13 WEN</t>
  </si>
  <si>
    <r>
      <t xml:space="preserve">Fittings  </t>
    </r>
    <r>
      <rPr>
        <b/>
        <sz val="8"/>
        <color indexed="10"/>
        <rFont val="Arial"/>
        <family val="2"/>
      </rPr>
      <t>- TRANSPORTE KONIG</t>
    </r>
  </si>
  <si>
    <t>53 1919 8581</t>
  </si>
  <si>
    <t>005/13 WGP</t>
  </si>
  <si>
    <t>TFN-130033-01</t>
  </si>
  <si>
    <t>Si - 5 Jul.</t>
  </si>
  <si>
    <t>028/13 WGP</t>
  </si>
  <si>
    <t>GCN 130027-02</t>
  </si>
  <si>
    <r>
      <t>Fittings</t>
    </r>
    <r>
      <rPr>
        <sz val="8"/>
        <color indexed="12"/>
        <rFont val="Arial"/>
        <family val="2"/>
      </rPr>
      <t>-</t>
    </r>
    <r>
      <rPr>
        <b/>
        <sz val="8"/>
        <color indexed="12"/>
        <rFont val="Arial"/>
        <family val="2"/>
      </rPr>
      <t>1° ENVIO</t>
    </r>
  </si>
  <si>
    <t>018/13 WEN</t>
  </si>
  <si>
    <r>
      <t xml:space="preserve">Fittings  </t>
    </r>
    <r>
      <rPr>
        <b/>
        <sz val="8"/>
        <color indexed="12"/>
        <rFont val="Arial"/>
        <family val="2"/>
      </rPr>
      <t>- TRANSPORTE KONIG</t>
    </r>
  </si>
  <si>
    <t>con la carga (53 1753 0212)</t>
  </si>
  <si>
    <t>051/13 WGP</t>
  </si>
  <si>
    <t>GCN 130208-01</t>
  </si>
  <si>
    <r>
      <t>Fittings</t>
    </r>
    <r>
      <rPr>
        <sz val="8"/>
        <color indexed="12"/>
        <rFont val="Arial"/>
        <family val="2"/>
      </rPr>
      <t>-</t>
    </r>
    <r>
      <rPr>
        <b/>
        <sz val="8"/>
        <color indexed="12"/>
        <rFont val="Arial"/>
        <family val="2"/>
      </rPr>
      <t>2° ENVIO</t>
    </r>
  </si>
  <si>
    <t>026/13 WEN</t>
  </si>
  <si>
    <r>
      <t xml:space="preserve">Fittings  </t>
    </r>
    <r>
      <rPr>
        <b/>
        <sz val="8"/>
        <color indexed="12"/>
        <rFont val="Arial"/>
        <family val="2"/>
      </rPr>
      <t>- TRANSPORTE IVANMET CHILE</t>
    </r>
  </si>
  <si>
    <t>53 1753 0315</t>
  </si>
  <si>
    <t>Si - 08 Agos.</t>
  </si>
  <si>
    <t>041/13 WEN</t>
  </si>
  <si>
    <t>Si - 03 Sept.</t>
  </si>
  <si>
    <t>045/13 WGP</t>
  </si>
  <si>
    <t>GCN 130200-01</t>
  </si>
  <si>
    <r>
      <t>76 bombas +</t>
    </r>
    <r>
      <rPr>
        <b/>
        <sz val="8"/>
        <color indexed="12"/>
        <rFont val="Arial"/>
        <family val="2"/>
      </rPr>
      <t xml:space="preserve"> MAQUETA</t>
    </r>
  </si>
  <si>
    <t>071/13 WGP</t>
  </si>
  <si>
    <t>GCN 130294-01</t>
  </si>
  <si>
    <t>091/13 WGP</t>
  </si>
  <si>
    <t>GCN 130346-01</t>
  </si>
  <si>
    <t>093/13 WGP</t>
  </si>
  <si>
    <t>GCN 130346-02</t>
  </si>
  <si>
    <t>Desde el lunes 25/11  la aduana en chile estan de paro (72hs)</t>
  </si>
  <si>
    <t>080/13 WEN</t>
  </si>
  <si>
    <r>
      <t xml:space="preserve">50 bombas  </t>
    </r>
    <r>
      <rPr>
        <b/>
        <sz val="8"/>
        <color indexed="12"/>
        <rFont val="Arial"/>
        <family val="2"/>
      </rPr>
      <t>- TRANSPORTE IVANMET</t>
    </r>
  </si>
  <si>
    <t>SI - 08 Ene.</t>
  </si>
  <si>
    <t>Desde el lunes 25/11 la aduana en chile estan de paro (72hs). No nos dan instrucciones para despachar</t>
  </si>
  <si>
    <t>077/13 WEN</t>
  </si>
  <si>
    <r>
      <t xml:space="preserve">Fittings  </t>
    </r>
    <r>
      <rPr>
        <b/>
        <sz val="8"/>
        <color indexed="12"/>
        <rFont val="Arial"/>
        <family val="2"/>
      </rPr>
      <t>- TRANSPORTE IVANMET</t>
    </r>
  </si>
  <si>
    <t>Certificado de calidad</t>
  </si>
  <si>
    <t>104/13 WEN</t>
  </si>
  <si>
    <r>
      <t xml:space="preserve">Fittings  </t>
    </r>
    <r>
      <rPr>
        <b/>
        <sz val="9"/>
        <color indexed="12"/>
        <rFont val="Arial"/>
        <family val="2"/>
      </rPr>
      <t>- TRANSPORTE KONIG</t>
    </r>
  </si>
  <si>
    <t>Si - 21 Feb.</t>
  </si>
  <si>
    <t>Certificado de calidad. Se postergo por tema de las Fiestas y toco canal rojo.</t>
  </si>
  <si>
    <t>117/13 WGP</t>
  </si>
  <si>
    <t>GCN 130451-05</t>
  </si>
  <si>
    <t>001/14 WGP</t>
  </si>
  <si>
    <t>GCN 130493-01</t>
  </si>
  <si>
    <t>009/14 WGP</t>
  </si>
  <si>
    <t>GCN 130451-07</t>
  </si>
  <si>
    <t>007/14 WEN</t>
  </si>
  <si>
    <t>Si - 10 Jun.</t>
  </si>
  <si>
    <t>015/14 WGP</t>
  </si>
  <si>
    <t>GCN 140075-01</t>
  </si>
  <si>
    <t>008/14 WEN</t>
  </si>
  <si>
    <t>022/14 WEN</t>
  </si>
  <si>
    <t>SI - 22 Agos.</t>
  </si>
  <si>
    <t>026/14 WEN</t>
  </si>
  <si>
    <t>SI - 23 Sept.</t>
  </si>
  <si>
    <t>042/14 WEN</t>
  </si>
  <si>
    <t>031/14 WGP</t>
  </si>
  <si>
    <t>GCN 140157-02</t>
  </si>
  <si>
    <t>SI - 30 Sept.</t>
  </si>
  <si>
    <t>067/14 WEN</t>
  </si>
  <si>
    <r>
      <t xml:space="preserve">Bombas + Fittings - </t>
    </r>
    <r>
      <rPr>
        <b/>
        <sz val="9"/>
        <color indexed="10"/>
        <rFont val="Arial"/>
        <family val="2"/>
      </rPr>
      <t>ENVIAR MAQUETA</t>
    </r>
  </si>
  <si>
    <t>072/14 WGP</t>
  </si>
  <si>
    <t>GCN 140255-01</t>
  </si>
  <si>
    <t>074/14 WGP</t>
  </si>
  <si>
    <t>TFN-140167-01</t>
  </si>
  <si>
    <t>075/14 WGP</t>
  </si>
  <si>
    <t>GCN-140240-01</t>
  </si>
  <si>
    <t>094/14 WEN</t>
  </si>
  <si>
    <t xml:space="preserve">2 Bombas </t>
  </si>
  <si>
    <t>020/15 WEN</t>
  </si>
  <si>
    <t>SI - 02 Jun</t>
  </si>
  <si>
    <t>15092EC01001247K</t>
  </si>
  <si>
    <t>030/15 WGP</t>
  </si>
  <si>
    <t>15091EC01004395Z</t>
  </si>
  <si>
    <t>045/15 WEN</t>
  </si>
  <si>
    <t>SI - 27 Agos.</t>
  </si>
  <si>
    <t>15092EC01009903R</t>
  </si>
  <si>
    <t>057/15 WEN</t>
  </si>
  <si>
    <t>066/15 WEN</t>
  </si>
  <si>
    <t>15092EC01024760P</t>
  </si>
  <si>
    <t>097/15 WEN</t>
  </si>
  <si>
    <t>15092EC01026444Z</t>
  </si>
  <si>
    <t>101/15 WEN</t>
  </si>
  <si>
    <t>096/15 WGP</t>
  </si>
  <si>
    <t>21 bombas + Fitings</t>
  </si>
  <si>
    <t>SI - 22 Dic.</t>
  </si>
  <si>
    <t>15014EC01000336C</t>
  </si>
  <si>
    <t>126/15 WEN</t>
  </si>
  <si>
    <t>15092EC01031694T</t>
  </si>
  <si>
    <t>140/15 WEN</t>
  </si>
  <si>
    <t>055/16 WEN</t>
  </si>
  <si>
    <r>
      <t xml:space="preserve">1 Maqueta - </t>
    </r>
    <r>
      <rPr>
        <b/>
        <sz val="9"/>
        <color indexed="10"/>
        <rFont val="Arial"/>
        <family val="2"/>
      </rPr>
      <t>TRANSPORTE KONIG</t>
    </r>
  </si>
  <si>
    <t>049/16 WEN</t>
  </si>
  <si>
    <r>
      <t>Fittings -</t>
    </r>
    <r>
      <rPr>
        <b/>
        <sz val="9"/>
        <color indexed="10"/>
        <rFont val="Arial"/>
        <family val="2"/>
      </rPr>
      <t xml:space="preserve"> TRANSPORTE KONIG</t>
    </r>
  </si>
  <si>
    <t>La orden de compra nos llego el 13 de julio</t>
  </si>
  <si>
    <t>003/17 WEN</t>
  </si>
  <si>
    <t>SI - 09 Jun.</t>
  </si>
  <si>
    <t>17001EC01022168H</t>
  </si>
  <si>
    <t>007/17 WEN</t>
  </si>
  <si>
    <t>027/17 WEN</t>
  </si>
  <si>
    <t>1 valvula de purga</t>
  </si>
  <si>
    <t>066/17 WGP</t>
  </si>
  <si>
    <t>17014EC01000361C</t>
  </si>
  <si>
    <t>072/17 WGP</t>
  </si>
  <si>
    <t>EGIPTO</t>
  </si>
  <si>
    <t>UNICO</t>
  </si>
  <si>
    <t>057/09 GUN</t>
  </si>
  <si>
    <t>001-2009</t>
  </si>
  <si>
    <t>Egipto</t>
  </si>
  <si>
    <r>
      <t>2 bombas -</t>
    </r>
    <r>
      <rPr>
        <sz val="8"/>
        <color indexed="10"/>
        <rFont val="Arial"/>
        <family val="2"/>
      </rPr>
      <t xml:space="preserve"> PAGO ANTICIPADO</t>
    </r>
  </si>
  <si>
    <t>con la carga - MAWB: 057-50800525 - HAWB: BUE 8828</t>
  </si>
  <si>
    <t>SI - 5 Oct.</t>
  </si>
  <si>
    <t>UNICO SALES</t>
  </si>
  <si>
    <t>070/09 GUN</t>
  </si>
  <si>
    <t>0018009</t>
  </si>
  <si>
    <t>Alexandria - Egipto</t>
  </si>
  <si>
    <t>SI - 17 Dic.</t>
  </si>
  <si>
    <t>SI - 26 Oct. -      U$ 10.241</t>
  </si>
  <si>
    <t>El vuelo que teni fecha del 27 de Oct. se paso para el domingo 01 de Nov. Desde Egipto pararon la carga ya que el valor del aereo se encarecio debido a la epoca del año (epoca perecedera, cobrabran U$ 27.000 para el envio) hasta el momento no hay nuevas instrucciones de Egipto. Se decidio enviar via maritima junto a la otra carga de las 8 bombas.</t>
  </si>
  <si>
    <t>079/09 GUN</t>
  </si>
  <si>
    <t>0025009</t>
  </si>
  <si>
    <t xml:space="preserve">Copa de anclaje </t>
  </si>
  <si>
    <t>con la carga - '9005003313</t>
  </si>
  <si>
    <t>SI - 13 Nov. (U$ 255)</t>
  </si>
  <si>
    <t>Enviar desde la planta por Jet Pack</t>
  </si>
  <si>
    <t>085/09 GUN</t>
  </si>
  <si>
    <t>0042009</t>
  </si>
  <si>
    <t>DHL 9005003232</t>
  </si>
  <si>
    <t>1 guia</t>
  </si>
  <si>
    <t>SI - 18 Nov.</t>
  </si>
  <si>
    <t>084/09 GUN</t>
  </si>
  <si>
    <t>0038009</t>
  </si>
  <si>
    <t>SI - 50% 18/11 - 50% 20/11</t>
  </si>
  <si>
    <t>FORMA DE PAGO:  Carta de credito:  50% contra entrega de los documentos y 50% a los 2 meses</t>
  </si>
  <si>
    <t>042/10 GUN</t>
  </si>
  <si>
    <t>DHP 005-10</t>
  </si>
  <si>
    <t>075-78695374</t>
  </si>
  <si>
    <t>Si - 28 Mayo</t>
  </si>
  <si>
    <t>Forma de pago: anticipado</t>
  </si>
  <si>
    <t>016/10 GUN</t>
  </si>
  <si>
    <t>DHP 004-10</t>
  </si>
  <si>
    <t xml:space="preserve">Buque Lircay       (Bue-Valencia-Alexandria)
</t>
  </si>
  <si>
    <r>
      <t>3 bombas -</t>
    </r>
    <r>
      <rPr>
        <b/>
        <sz val="8"/>
        <color indexed="10"/>
        <rFont val="Arial"/>
        <family val="2"/>
      </rPr>
      <t xml:space="preserve"> FORWARDER PENTAGON</t>
    </r>
  </si>
  <si>
    <t>SI (respuesta a RD en su viaje)</t>
  </si>
  <si>
    <t>Forma de pago: carta de crédito</t>
  </si>
  <si>
    <t>063/10 GUN</t>
  </si>
  <si>
    <t>DHP 006-10</t>
  </si>
  <si>
    <t>Buque YocoHama</t>
  </si>
  <si>
    <r>
      <t>Fittings y 12 bombas -</t>
    </r>
    <r>
      <rPr>
        <b/>
        <sz val="8"/>
        <color indexed="10"/>
        <rFont val="Arial"/>
        <family val="2"/>
      </rPr>
      <t xml:space="preserve"> FORWARDER PENTAGON - PAGO ANTICIPADO</t>
    </r>
  </si>
  <si>
    <t>U$ 90.875,51 (recibida 28/10) - U$ 3.966,55 (recibida 01/11)</t>
  </si>
  <si>
    <t>055/11 GUN</t>
  </si>
  <si>
    <t>DHP-001-11</t>
  </si>
  <si>
    <t>El Cairo</t>
  </si>
  <si>
    <t>amticipado</t>
  </si>
  <si>
    <t>083/11 GUN</t>
  </si>
  <si>
    <t>DHP-002-11</t>
  </si>
  <si>
    <t>ANCLAS</t>
  </si>
  <si>
    <t>103-101</t>
  </si>
  <si>
    <t>090/11 GUN</t>
  </si>
  <si>
    <t>DHP-003-11</t>
  </si>
  <si>
    <t>Se pago pero aun no se envio porque querian enviar la carga junto con la 004/11, que aun no la pagaron</t>
  </si>
  <si>
    <t>108/11 GUN</t>
  </si>
  <si>
    <t>DHP-006-11</t>
  </si>
  <si>
    <t>Cupla de extension</t>
  </si>
  <si>
    <t>118/11 GUN</t>
  </si>
  <si>
    <t>DHP-007-11</t>
  </si>
  <si>
    <t>Alexandria</t>
  </si>
  <si>
    <t>DHL 3111221116</t>
  </si>
  <si>
    <t>Seating Mandrel</t>
  </si>
  <si>
    <t>096/11 GUN</t>
  </si>
  <si>
    <t>DHP-004-11</t>
  </si>
  <si>
    <t xml:space="preserve">50% ANTICIPADO - RESTO: 90 DIAS </t>
  </si>
  <si>
    <t>Se pago Anticipo (20 Ene): U$ 50.520 - Pendiente:  U$ 33.680-PAGO:  12 Jul.</t>
  </si>
  <si>
    <t>036/13 GUN</t>
  </si>
  <si>
    <t>DHSRP-002-013</t>
  </si>
  <si>
    <r>
      <t>Fittings -</t>
    </r>
    <r>
      <rPr>
        <b/>
        <sz val="9"/>
        <color indexed="12"/>
        <rFont val="Arial"/>
        <family val="2"/>
      </rPr>
      <t xml:space="preserve"> PAGO ANTICIPADO</t>
    </r>
  </si>
  <si>
    <t>53 1919 8511</t>
  </si>
  <si>
    <t xml:space="preserve"> PAGO ANTICIPADO - se paga con la PO 120/12 GUN</t>
  </si>
  <si>
    <t>120/12 GUN</t>
  </si>
  <si>
    <t>DHSRP-001-013</t>
  </si>
  <si>
    <t>Santa Clara</t>
  </si>
  <si>
    <r>
      <t>Fittings -</t>
    </r>
    <r>
      <rPr>
        <b/>
        <sz val="8"/>
        <color indexed="10"/>
        <rFont val="Arial"/>
        <family val="2"/>
      </rPr>
      <t xml:space="preserve"> PAGO ANTICIPADO</t>
    </r>
  </si>
  <si>
    <t>53 1753 0186</t>
  </si>
  <si>
    <t>PAGO ANTICIPADO - Hasta el 10 de mayo no se hizo el pago</t>
  </si>
  <si>
    <t>037/12 GUN</t>
  </si>
  <si>
    <t>DHSRP-003-013</t>
  </si>
  <si>
    <r>
      <t xml:space="preserve">Fittings </t>
    </r>
    <r>
      <rPr>
        <sz val="8"/>
        <color indexed="12"/>
        <rFont val="Arial"/>
        <family val="2"/>
      </rPr>
      <t>-</t>
    </r>
    <r>
      <rPr>
        <b/>
        <sz val="8"/>
        <color indexed="12"/>
        <rFont val="Arial"/>
        <family val="2"/>
      </rPr>
      <t xml:space="preserve"> PAGO ANTICIPADO</t>
    </r>
  </si>
  <si>
    <t>Si - 19 Sept.</t>
  </si>
  <si>
    <t>016/13 GUN</t>
  </si>
  <si>
    <t>DHSRP-004-013</t>
  </si>
  <si>
    <t>MSC CADIZ V.338</t>
  </si>
  <si>
    <t>057/13 GUN</t>
  </si>
  <si>
    <t>DHSRP-005-013</t>
  </si>
  <si>
    <r>
      <t xml:space="preserve">10 bombas </t>
    </r>
    <r>
      <rPr>
        <sz val="9"/>
        <color indexed="12"/>
        <rFont val="Arial"/>
        <family val="2"/>
      </rPr>
      <t>-</t>
    </r>
    <r>
      <rPr>
        <b/>
        <sz val="9"/>
        <color indexed="12"/>
        <rFont val="Arial"/>
        <family val="2"/>
      </rPr>
      <t xml:space="preserve"> PAGO ANTICIPADO</t>
    </r>
  </si>
  <si>
    <t xml:space="preserve">
7638759251
</t>
  </si>
  <si>
    <t>Buque via Valencia</t>
  </si>
  <si>
    <t>084/14 GUN</t>
  </si>
  <si>
    <t>DHSRP-003-014</t>
  </si>
  <si>
    <t>MSC CADIZ</t>
  </si>
  <si>
    <r>
      <t xml:space="preserve">Fittings  </t>
    </r>
    <r>
      <rPr>
        <b/>
        <sz val="9"/>
        <color indexed="10"/>
        <rFont val="Arial"/>
        <family val="2"/>
      </rPr>
      <t>- PAGO ANTICIPADO</t>
    </r>
  </si>
  <si>
    <t>14001 EC01 100745C</t>
  </si>
  <si>
    <t>090/14 GUN</t>
  </si>
  <si>
    <t>DHSRP-004-014</t>
  </si>
  <si>
    <t>MSC VIGO V.524</t>
  </si>
  <si>
    <t>SI - 6 de Mayo</t>
  </si>
  <si>
    <r>
      <t xml:space="preserve">Material terminado el 10 de feb. Estamos aguardando el pago del cliente. - </t>
    </r>
    <r>
      <rPr>
        <sz val="9"/>
        <color indexed="10"/>
        <rFont val="Arial"/>
        <family val="2"/>
      </rPr>
      <t>CANCELAMOS LA PO POR FALTA DE PAGO</t>
    </r>
  </si>
  <si>
    <t>TURQUIA</t>
  </si>
  <si>
    <t>AF TRADING GMBH</t>
  </si>
  <si>
    <t>130/10QAK</t>
  </si>
  <si>
    <t>AFPO-061REV1-10</t>
  </si>
  <si>
    <t>Austria</t>
  </si>
  <si>
    <t>MSC ANTARES</t>
  </si>
  <si>
    <r>
      <t xml:space="preserve">Bombas y Fittings - </t>
    </r>
    <r>
      <rPr>
        <b/>
        <sz val="8"/>
        <color indexed="12"/>
        <rFont val="Arial"/>
        <family val="2"/>
      </rPr>
      <t>PAGO ANTICIPADO</t>
    </r>
  </si>
  <si>
    <t>SI - 13 Abr.</t>
  </si>
  <si>
    <t>CONFIRMAR FLETE (AÉREO O MARÍTIMO?)-Maritimo. Bue - Amberes - Stambuerg</t>
  </si>
  <si>
    <t>AF Trading GmbH</t>
  </si>
  <si>
    <t>029/14 TAK</t>
  </si>
  <si>
    <t>AFPO-030-14</t>
  </si>
  <si>
    <t>Se hizo el pago anticipado total.  Desde el 25 de Junio estamos esperando instrucciones del cliente para despachar la carga</t>
  </si>
  <si>
    <t>SALEN DESDE MZA.</t>
  </si>
  <si>
    <t>ARGENTINA</t>
  </si>
  <si>
    <t xml:space="preserve">TENARIS </t>
  </si>
  <si>
    <t>069/04 NTE</t>
  </si>
  <si>
    <t>Ex W.</t>
  </si>
  <si>
    <t>Argetnina</t>
  </si>
  <si>
    <t>Villa Mercedes</t>
  </si>
  <si>
    <t>9 Vastagos</t>
  </si>
  <si>
    <t>Desde Mza</t>
  </si>
  <si>
    <t>METALMECANICA S.A.</t>
  </si>
  <si>
    <t>Camionera Mendozina</t>
  </si>
  <si>
    <t>TRANSPORTE PAGO POR ELLOS</t>
  </si>
  <si>
    <t>ECO-LIFT</t>
  </si>
  <si>
    <t>047/09 NEL</t>
  </si>
  <si>
    <t>entregada en sus oficinas</t>
  </si>
  <si>
    <r>
      <t xml:space="preserve">2 valvulas contrapresion - </t>
    </r>
    <r>
      <rPr>
        <b/>
        <sz val="8"/>
        <color indexed="10"/>
        <rFont val="Arial"/>
        <family val="2"/>
      </rPr>
      <t>RETIRA EL MATERIAL EN LAS OF. DE BOLLAND BUE</t>
    </r>
  </si>
  <si>
    <t>SI - 22 Jul.</t>
  </si>
  <si>
    <t>SI - 29 Jul. (cheque diferido al 20/8)</t>
  </si>
  <si>
    <t>ENVIAR VIA DHL</t>
  </si>
  <si>
    <t>POLONIA</t>
  </si>
  <si>
    <t>EUROTECH</t>
  </si>
  <si>
    <t>124/03(B)JET</t>
  </si>
  <si>
    <t>040119/T/02</t>
  </si>
  <si>
    <t>Polonia</t>
  </si>
  <si>
    <t>Cut off: 1/4</t>
  </si>
  <si>
    <t>ENVIAR CERTIFICADO DE CALIDAD</t>
  </si>
  <si>
    <t>EURO TECH</t>
  </si>
  <si>
    <t>124/03 JET</t>
  </si>
  <si>
    <t>040204/T/45</t>
  </si>
  <si>
    <t>16 Bombas</t>
  </si>
  <si>
    <t>cut off:  10/6</t>
  </si>
  <si>
    <t>011/04 JET</t>
  </si>
  <si>
    <t>040323/T/139</t>
  </si>
  <si>
    <t>PAGO ANTICIPADO - ENTREGAR AL FORWARDER</t>
  </si>
  <si>
    <t>023/04 JET</t>
  </si>
  <si>
    <t>040323/T/140</t>
  </si>
  <si>
    <t>47 Bombas</t>
  </si>
  <si>
    <t>058/04 JET</t>
  </si>
  <si>
    <t>040908/T/331</t>
  </si>
  <si>
    <t>Cons:  14/4</t>
  </si>
  <si>
    <t>En Pto. Amberes:</t>
  </si>
  <si>
    <t>079/04 JET</t>
  </si>
  <si>
    <t>041227/T/418</t>
  </si>
  <si>
    <t>Fittings + 5 bombas</t>
  </si>
  <si>
    <t>0030</t>
  </si>
  <si>
    <r>
      <t xml:space="preserve">Arriba a Gdynia: </t>
    </r>
    <r>
      <rPr>
        <b/>
        <sz val="8"/>
        <color indexed="10"/>
        <rFont val="Arial"/>
        <family val="2"/>
      </rPr>
      <t xml:space="preserve"> 29/05</t>
    </r>
  </si>
  <si>
    <t>cons: 19/5</t>
  </si>
  <si>
    <t>Pto.Amberes: 19/6</t>
  </si>
  <si>
    <t>003/05 JET</t>
  </si>
  <si>
    <t>050210/T/46</t>
  </si>
  <si>
    <t>7 Nipples + 17 bombas</t>
  </si>
  <si>
    <t>0040</t>
  </si>
  <si>
    <t>Cons: 5/10</t>
  </si>
  <si>
    <t>Retraso debido a falta de documentos de Eurotech, por retraso en el pago anticipado, por retraso en la comunicación de su forwarder (finalmente nunca llamo)</t>
  </si>
  <si>
    <t>Eurotech</t>
  </si>
  <si>
    <t>019/06 JET</t>
  </si>
  <si>
    <t>6T247</t>
  </si>
  <si>
    <t>Via Hamburgo</t>
  </si>
  <si>
    <t>LLegada a Gdynia: 7/11</t>
  </si>
  <si>
    <t>PAGO ANTICIPADO - ENVIA GAMMA</t>
  </si>
  <si>
    <t>NOTA:  Se retraso el despacho por la demora en el pago y por la demora en el contacto del forwarder.</t>
  </si>
  <si>
    <t>049/06 JET</t>
  </si>
  <si>
    <t>6M454</t>
  </si>
  <si>
    <t>280 valvulas</t>
  </si>
  <si>
    <t>G328372</t>
  </si>
  <si>
    <t>UPS</t>
  </si>
  <si>
    <t>CERTIFICADOS - ENVIA FORWARDER</t>
  </si>
  <si>
    <r>
      <t xml:space="preserve">NOTA: </t>
    </r>
    <r>
      <rPr>
        <sz val="8"/>
        <color indexed="10"/>
        <rFont val="Arial"/>
        <family val="2"/>
      </rPr>
      <t xml:space="preserve"> Se retraso el despacho por la demora en el pago y por la demora en el contacto del forwarder.</t>
    </r>
  </si>
  <si>
    <t>Cons: 7/11</t>
  </si>
  <si>
    <t>NOTA: Por retraso en la entrega de unos materiales, se realizaran dos envios: el primer envio via maritima y el segundo envio via DHL.</t>
  </si>
  <si>
    <t>6M527</t>
  </si>
  <si>
    <t>Via Amberes</t>
  </si>
  <si>
    <t>NOTA: Nos informan que debido a un paro de los remolcadores de buques, el barco no pudo entrar en puerto.  Por lo tanto, la carga no se cargo en el barco y esta esperando a que se levante el paro para poder embarcar ( ver mail del 13/11). La carga ya esta consolidada desde el 7 de Nov. y recien salio el 19 de Nov.</t>
  </si>
  <si>
    <t>Por retraso en la entrega de unos materiales, se realizaran dos envios: el primer envio via maritima y el segundo envio via DHL.</t>
  </si>
  <si>
    <r>
      <t>NOTA:</t>
    </r>
    <r>
      <rPr>
        <sz val="8"/>
        <color indexed="10"/>
        <rFont val="Arial"/>
        <family val="2"/>
      </rPr>
      <t xml:space="preserve"> Por retraso en la entrega de unos materiales, se realizaran dos envios: el primer envio via maritima y el segundo envio via DHL.</t>
    </r>
  </si>
  <si>
    <t>003/07 JET</t>
  </si>
  <si>
    <t>7M162</t>
  </si>
  <si>
    <r>
      <t xml:space="preserve">valvulas y bolas - </t>
    </r>
    <r>
      <rPr>
        <sz val="8"/>
        <color indexed="12"/>
        <rFont val="Arial"/>
        <family val="2"/>
      </rPr>
      <t>PAGO ANTICIPADO - ENVIA GAMMA- RETIRA EL CLIENTE DE BALL &amp; SEAT</t>
    </r>
  </si>
  <si>
    <t>G328440</t>
  </si>
  <si>
    <t>SI - 10 Abr</t>
  </si>
  <si>
    <t>SI - 20 Mar</t>
  </si>
  <si>
    <t>082/08 JET</t>
  </si>
  <si>
    <t>8ES476</t>
  </si>
  <si>
    <t>AEREO - UPS</t>
  </si>
  <si>
    <r>
      <t>Fittings</t>
    </r>
    <r>
      <rPr>
        <sz val="8"/>
        <color indexed="12"/>
        <rFont val="Arial"/>
        <family val="2"/>
      </rPr>
      <t xml:space="preserve"> - PAGO ANTICIPADO - CERTIFICADO DE CALIDAD - ENVIAR POR UPS</t>
    </r>
  </si>
  <si>
    <t>con la carga - 5419380043</t>
  </si>
  <si>
    <t>SI - 9 Dic.</t>
  </si>
  <si>
    <t>8ES477</t>
  </si>
  <si>
    <r>
      <t>Valvulas</t>
    </r>
    <r>
      <rPr>
        <sz val="8"/>
        <color indexed="12"/>
        <rFont val="Arial"/>
        <family val="2"/>
      </rPr>
      <t xml:space="preserve"> - PAGO ANTICIPADO - CERTIFICADO DE CALIDAD </t>
    </r>
    <r>
      <rPr>
        <b/>
        <sz val="8"/>
        <color indexed="10"/>
        <rFont val="Arial"/>
        <family val="2"/>
      </rPr>
      <t>- ENVIA PANDELTA</t>
    </r>
  </si>
  <si>
    <t>PD0106</t>
  </si>
  <si>
    <t>SI - 8 Dic.</t>
  </si>
  <si>
    <t>last week Ene</t>
  </si>
  <si>
    <t>last week Feb</t>
  </si>
  <si>
    <t>QPPI</t>
  </si>
  <si>
    <t>980119B</t>
  </si>
  <si>
    <t>6-may-jun</t>
  </si>
  <si>
    <t>demorado x finalización acuerdo con QPPI</t>
  </si>
  <si>
    <t>980119C</t>
  </si>
  <si>
    <t>(15-5)</t>
  </si>
  <si>
    <t>salió de planta el 21/4 - Patagonia: llega 2-5</t>
  </si>
  <si>
    <t>980528B</t>
  </si>
  <si>
    <t>6-sep-oct</t>
  </si>
  <si>
    <t>barco atrasado salió el 4-7 de Pto. Deseado</t>
  </si>
  <si>
    <t>de Bs. As.</t>
  </si>
  <si>
    <t>Buque San Fernando.  Fecha B/L 27-7</t>
  </si>
  <si>
    <t>en Odessa</t>
  </si>
  <si>
    <t>30-7 de Deseado</t>
  </si>
  <si>
    <t xml:space="preserve">11-8 de Bs. As. en el Libra Houston (salió el 13/8) </t>
  </si>
  <si>
    <t>980713W</t>
  </si>
  <si>
    <t>6-nov-dic</t>
  </si>
  <si>
    <t xml:space="preserve">con Maruba "Senator" </t>
  </si>
  <si>
    <t>de Deseado</t>
  </si>
  <si>
    <t>9-ene (real)</t>
  </si>
  <si>
    <t>980910X</t>
  </si>
  <si>
    <t>6-ene-feb</t>
  </si>
  <si>
    <t>agregar material sin cargo:</t>
  </si>
  <si>
    <t>de BUE</t>
  </si>
  <si>
    <t>2 B11-150-16ACI y 4 C13-150SS</t>
  </si>
  <si>
    <t>s/QPPI</t>
  </si>
  <si>
    <t>006/00 UQP</t>
  </si>
  <si>
    <t>981214W + 990506</t>
  </si>
  <si>
    <t>FACTURACION FEBRERO</t>
  </si>
  <si>
    <t>en partes</t>
  </si>
  <si>
    <t>rejunte de 2 ordenes + oferta especial barriles</t>
  </si>
  <si>
    <t>039/00 UQP</t>
  </si>
  <si>
    <t>20410K</t>
  </si>
  <si>
    <t>1º despacho 039/00 UQP</t>
  </si>
  <si>
    <t>2º despacho 039/00 UQP</t>
  </si>
  <si>
    <t>067/00 UQP</t>
  </si>
  <si>
    <t>20817JJ</t>
  </si>
  <si>
    <t>6-dic / 6-ene</t>
  </si>
  <si>
    <t>077/00 UQP</t>
  </si>
  <si>
    <t>20105J</t>
  </si>
  <si>
    <t>total: 138.805</t>
  </si>
  <si>
    <t>6-ene  /  6-feb</t>
  </si>
  <si>
    <t>093/00 UQP</t>
  </si>
  <si>
    <t>20105J + 201214JK + 201214k</t>
  </si>
  <si>
    <t>parciales</t>
  </si>
  <si>
    <t>007/01 UQP</t>
  </si>
  <si>
    <t>010207PP</t>
  </si>
  <si>
    <t>a USA</t>
  </si>
  <si>
    <t>093-077/00 UQP</t>
  </si>
  <si>
    <t>201214JK + 201214k</t>
  </si>
  <si>
    <t xml:space="preserve">010207PP </t>
  </si>
  <si>
    <t>032/01UQP</t>
  </si>
  <si>
    <t>010508JK + 20105J</t>
  </si>
  <si>
    <t>20105J + 010508JK</t>
  </si>
  <si>
    <t>032/01 UQP</t>
  </si>
  <si>
    <t>032/01 + 007/01</t>
  </si>
  <si>
    <t>20105J / 010702KK</t>
  </si>
  <si>
    <t>047/01 + 077/00</t>
  </si>
  <si>
    <t>010207PP / 010508JK</t>
  </si>
  <si>
    <t>Fines deAgosto</t>
  </si>
  <si>
    <t>UQP</t>
  </si>
  <si>
    <t>Cons:  28/1</t>
  </si>
  <si>
    <t xml:space="preserve">PRO TECH - </t>
  </si>
  <si>
    <t>065/02 UPR</t>
  </si>
  <si>
    <t>M256</t>
  </si>
  <si>
    <t>Pistones, barriles  y fittings</t>
  </si>
  <si>
    <t>6552932260 (Pro Tech)</t>
  </si>
  <si>
    <t>MAIN LOCATION</t>
  </si>
  <si>
    <t>Llega:  26/02</t>
  </si>
  <si>
    <t>6552932120 (Tommy)</t>
  </si>
  <si>
    <t>066/02 UPR</t>
  </si>
  <si>
    <t>ST128</t>
  </si>
  <si>
    <t>Pistones y Barriles</t>
  </si>
  <si>
    <t>SOUTH TEXAS</t>
  </si>
  <si>
    <t>Cut off: 24/6</t>
  </si>
  <si>
    <t>DESCONTARLES U$ 3000</t>
  </si>
  <si>
    <t xml:space="preserve">PRO TECH </t>
  </si>
  <si>
    <t>035/03 UPR</t>
  </si>
  <si>
    <t>PO 4153</t>
  </si>
  <si>
    <t>Barriles y Fitting</t>
  </si>
  <si>
    <t>9025376846 (Pro Tech)</t>
  </si>
  <si>
    <t>Menor a 90 dias</t>
  </si>
  <si>
    <t>En el pronostico solicitan un tipo de material para el barril, pero piden otro y se atraso porq' Siderca entrega tarde el material</t>
  </si>
  <si>
    <t>9025376850 (Tommy)</t>
  </si>
  <si>
    <t>034/03 UPR</t>
  </si>
  <si>
    <t>PO 4154</t>
  </si>
  <si>
    <t>Barriles, pistones y fittings</t>
  </si>
  <si>
    <t>llega: 25/7</t>
  </si>
  <si>
    <t>Cons:  18/11</t>
  </si>
  <si>
    <t>ENVIAR TODO A PRO TECH EN CAJONES SEPARADOS</t>
  </si>
  <si>
    <t>PRO TECH</t>
  </si>
  <si>
    <t>090/03 UPR</t>
  </si>
  <si>
    <t>PO 4294</t>
  </si>
  <si>
    <t>6626629962 (Pro Tech)</t>
  </si>
  <si>
    <t>tarda 25 dias.</t>
  </si>
  <si>
    <t>TENER EN CUENTA LA IDENTIFICACION - FACTURAR TODO A PRO TECH</t>
  </si>
  <si>
    <t>6626629951 (Tommy)</t>
  </si>
  <si>
    <t>cut off: 28/6</t>
  </si>
  <si>
    <t>013/04 UPR</t>
  </si>
  <si>
    <t>Pistones y barriles</t>
  </si>
  <si>
    <t>6657506295 (Pro Tech)</t>
  </si>
  <si>
    <t>Se le informo al cliente que se enviaran las 2 ordenes juntas (hubo demoras con el buque)</t>
  </si>
  <si>
    <t>6657506306 (Tommy)</t>
  </si>
  <si>
    <t>012/04 UPR</t>
  </si>
  <si>
    <t>Pistones, barriles y fittings</t>
  </si>
  <si>
    <t>cons: 8/11</t>
  </si>
  <si>
    <t>051/04 UPR</t>
  </si>
  <si>
    <t>6656007201 (Pro Tech)</t>
  </si>
  <si>
    <t>Pend: 9.344</t>
  </si>
  <si>
    <t>Pend: barriles 11/01</t>
  </si>
  <si>
    <t>6656007212 (Tommy)</t>
  </si>
  <si>
    <t>050/04 UPR</t>
  </si>
  <si>
    <t>Pend: 6.835</t>
  </si>
  <si>
    <t>055/04 UPR</t>
  </si>
  <si>
    <t>40 Pistones</t>
  </si>
  <si>
    <t>Embalar con la PO 4503</t>
  </si>
  <si>
    <t>047/01 UQP</t>
  </si>
  <si>
    <t>010702KK</t>
  </si>
  <si>
    <t>061/01 UQP</t>
  </si>
  <si>
    <t>011011spec</t>
  </si>
  <si>
    <t>6-feb/mar</t>
  </si>
  <si>
    <t>slow moving parts</t>
  </si>
  <si>
    <t>062/01 UQP</t>
  </si>
  <si>
    <t>011010BPF</t>
  </si>
  <si>
    <t>Cons:  18/1</t>
  </si>
  <si>
    <t>Se pago  15413 ya que se desconto 765,22 del embajale (se envio todo junto)</t>
  </si>
  <si>
    <t>Pistones, barriles</t>
  </si>
  <si>
    <t>0004</t>
  </si>
  <si>
    <t>6673533915 (Pro)</t>
  </si>
  <si>
    <t>6656007315 (Tommy)</t>
  </si>
  <si>
    <t>0003</t>
  </si>
  <si>
    <t>OXY USA</t>
  </si>
  <si>
    <t>023/06 UOX</t>
  </si>
  <si>
    <t>Kansas</t>
  </si>
  <si>
    <t>3 jaulas</t>
  </si>
  <si>
    <t>se enviaron con la carga</t>
  </si>
  <si>
    <t>ENVIO POR DHL</t>
  </si>
  <si>
    <r>
      <t xml:space="preserve">NOTA: </t>
    </r>
    <r>
      <rPr>
        <sz val="8"/>
        <rFont val="Arial"/>
        <family val="2"/>
      </rPr>
      <t>Nos informan que debido a un paro de los remolcadores de buques, el barco no pudo entrar en puerto.  Por lo tanto, la carga no se cargo en el barco y esta esperando a que se levante el paro para poder embarcar ( ver mail del 13/11). La carga ya esta consolidada desde el 7 de Nov. y recien salio el 26 de Nov.</t>
    </r>
  </si>
  <si>
    <t>CT LIFT SYSTEMS</t>
  </si>
  <si>
    <t>069/06 UCT</t>
  </si>
  <si>
    <t>069/06 CT</t>
  </si>
  <si>
    <t>CPT</t>
  </si>
  <si>
    <t>Casper</t>
  </si>
  <si>
    <t>2 bombas (una dual)</t>
  </si>
  <si>
    <t>a Houston+2 sem. a Casper</t>
  </si>
  <si>
    <r>
      <t xml:space="preserve">NOTA: </t>
    </r>
    <r>
      <rPr>
        <sz val="8"/>
        <color indexed="10"/>
        <rFont val="Arial"/>
        <family val="2"/>
      </rPr>
      <t>Nos informan que debido a un paro de los remolcadores de buques, el barco no pudo entrar en puerto.  Por lo tanto, la carga no se cargo en el barco y esta esperando a que se levante el paro para poder embarcar ( ver mail del 13/11). La carga ya esta consolidada desde el 7 de Nov. y recien salio el 26 de Nov.</t>
    </r>
  </si>
  <si>
    <t>ADVANCED PRODUCTS SUPPLY LLC.</t>
  </si>
  <si>
    <t>090/12 UAS</t>
  </si>
  <si>
    <t>1206071-1</t>
  </si>
  <si>
    <t>Miami</t>
  </si>
  <si>
    <t xml:space="preserve">
Cap Harold v.56 
</t>
  </si>
  <si>
    <r>
      <t xml:space="preserve">Fittings - </t>
    </r>
    <r>
      <rPr>
        <b/>
        <sz val="8"/>
        <color indexed="10"/>
        <rFont val="Arial"/>
        <family val="2"/>
      </rPr>
      <t xml:space="preserve">CERTIFICADOS DE CALIDAD - </t>
    </r>
    <r>
      <rPr>
        <b/>
        <sz val="8"/>
        <color indexed="30"/>
        <rFont val="Arial"/>
        <family val="2"/>
      </rPr>
      <t>1° ENVIO</t>
    </r>
  </si>
  <si>
    <t>53 1919 8636</t>
  </si>
  <si>
    <r>
      <t>Pago  50% anticipado - 50 % al momento del embarque -</t>
    </r>
    <r>
      <rPr>
        <b/>
        <sz val="8"/>
        <rFont val="Arial"/>
        <family val="2"/>
      </rPr>
      <t xml:space="preserve"> PAGADO:  U$ 141.201,25 Ene. 2013 - U$ 117.060,65  Abril 2013</t>
    </r>
  </si>
  <si>
    <r>
      <t xml:space="preserve">Fittings - </t>
    </r>
    <r>
      <rPr>
        <b/>
        <sz val="8"/>
        <color indexed="12"/>
        <rFont val="Arial"/>
        <family val="2"/>
      </rPr>
      <t>CERTIFICADOS DE CALIDAD - 2° ENVIO</t>
    </r>
  </si>
  <si>
    <t>53 1753 0304</t>
  </si>
  <si>
    <r>
      <t>Pago  50% anticipado - 50 % al momento del embarque -</t>
    </r>
    <r>
      <rPr>
        <b/>
        <sz val="8"/>
        <rFont val="Arial"/>
        <family val="2"/>
      </rPr>
      <t xml:space="preserve"> U$ 141.201,25 Ene. 2013 - U$ 22.782,30 pagado el 10 de Jun.</t>
    </r>
  </si>
  <si>
    <t>111/13 UAS</t>
  </si>
  <si>
    <t>1206071-2</t>
  </si>
  <si>
    <t>MS Saula</t>
  </si>
  <si>
    <r>
      <t xml:space="preserve">Fittings  </t>
    </r>
    <r>
      <rPr>
        <b/>
        <sz val="9"/>
        <color indexed="12"/>
        <rFont val="Arial"/>
        <family val="2"/>
      </rPr>
      <t>- CERTIFICADOS DE CALIDAD</t>
    </r>
  </si>
  <si>
    <r>
      <t xml:space="preserve">Pago  50% anticipado - 50 % al momento del embarque - </t>
    </r>
    <r>
      <rPr>
        <sz val="9"/>
        <color indexed="10"/>
        <rFont val="Arial"/>
        <family val="2"/>
      </rPr>
      <t>03/12 se pago el anticipo (U$ 108.952,50) - 30/05 cancelado</t>
    </r>
  </si>
  <si>
    <t>056/14 UAS</t>
  </si>
  <si>
    <t>1206071-3</t>
  </si>
  <si>
    <t>Portugal</t>
  </si>
  <si>
    <t>53 1753 0271</t>
  </si>
  <si>
    <r>
      <t xml:space="preserve">Pago  50% anticipado - 50 % al momento del embarque (U$ 198.920) - </t>
    </r>
    <r>
      <rPr>
        <sz val="9"/>
        <color indexed="10"/>
        <rFont val="Arial"/>
        <family val="2"/>
      </rPr>
      <t xml:space="preserve">1° PAGO RECIBIDO EL 12 DE NOV. - 2° PAGO RECIBIDO EL 20 DE MARZO. </t>
    </r>
  </si>
  <si>
    <t>Nov. y marzo</t>
  </si>
  <si>
    <t>BLACK GOLD PUMP &amp; SUPPLY INC</t>
  </si>
  <si>
    <t>067/15 UGB</t>
  </si>
  <si>
    <t>California</t>
  </si>
  <si>
    <r>
      <rPr>
        <sz val="9"/>
        <color indexed="10"/>
        <rFont val="Arial"/>
        <family val="2"/>
      </rPr>
      <t xml:space="preserve">FALTA FORWARDER - </t>
    </r>
    <r>
      <rPr>
        <sz val="9"/>
        <rFont val="Arial"/>
        <family val="2"/>
      </rPr>
      <t>Pago anticipado:  50% con la PO y 50% al momento del embarque - Anticipo cancelado el 15 de Julio (U$ 2510,50) - segundo pago: 15 de septiembre. Se paso la salida al 2/10 por tema de coneccion de vuelo</t>
    </r>
  </si>
  <si>
    <t>18073EC01029373T</t>
  </si>
  <si>
    <t>QUALIFY</t>
  </si>
  <si>
    <t>004/17 UQE</t>
  </si>
  <si>
    <t>SB004/17</t>
  </si>
  <si>
    <t>Florida</t>
  </si>
  <si>
    <t>PAGADO</t>
  </si>
  <si>
    <t>PAGO:  27/01 se hizo el pago anticipado del 50% - 18/04 se recibio el resto</t>
  </si>
  <si>
    <t>17073EC01010914M</t>
  </si>
  <si>
    <t>Con:  1/8</t>
  </si>
  <si>
    <t>MYANMAR</t>
  </si>
  <si>
    <t>MYANMAR PETROLEUM</t>
  </si>
  <si>
    <t>043/02 MPR</t>
  </si>
  <si>
    <t>2756-02</t>
  </si>
  <si>
    <t>ETA:  3/9</t>
  </si>
  <si>
    <t>Tener en cuenta las instrucciones en la PO</t>
  </si>
  <si>
    <t>Cons:6/2</t>
  </si>
  <si>
    <t>093/02 MPR</t>
  </si>
  <si>
    <t>2756A-02</t>
  </si>
  <si>
    <t>12/3 en Singapore</t>
  </si>
  <si>
    <t xml:space="preserve">AVISARLES ANTES DEL ENVIO PARA QUE TRANFIERAN </t>
  </si>
  <si>
    <t>098/02 MPR</t>
  </si>
  <si>
    <t>3149/02</t>
  </si>
  <si>
    <t>6552932142 (7/3)</t>
  </si>
  <si>
    <t>Frankfud-Singapore 27/3</t>
  </si>
  <si>
    <t>Docs orig. con carga</t>
  </si>
  <si>
    <t>015/03 MPR</t>
  </si>
  <si>
    <t>3198-02</t>
  </si>
  <si>
    <t>Sale: 23/4 - Singapore: 25/5</t>
  </si>
  <si>
    <t>TRANSFERENCIA ANTES DEL EMBARQUE</t>
  </si>
  <si>
    <t>019/03 MPR</t>
  </si>
  <si>
    <t>3216-021</t>
  </si>
  <si>
    <t>(45 dias)</t>
  </si>
  <si>
    <t>046/03 MPR</t>
  </si>
  <si>
    <t>3238-03</t>
  </si>
  <si>
    <t>20 Nipples</t>
  </si>
  <si>
    <t>llega: 7/7</t>
  </si>
  <si>
    <t>057/03 MPR</t>
  </si>
  <si>
    <t>3409A-03</t>
  </si>
  <si>
    <t>Fittings (2 itmes)</t>
  </si>
  <si>
    <t>En Bue ya que no transferian el pago</t>
  </si>
  <si>
    <t>(Via Bue-Paris-Singapore-AWB Nº057-39416506)</t>
  </si>
  <si>
    <t>cut off: 31/5</t>
  </si>
  <si>
    <t>DESCONTAR U$ 11,38</t>
  </si>
  <si>
    <t>003/04 MPR</t>
  </si>
  <si>
    <t>3293-03</t>
  </si>
  <si>
    <t>DESCONTARLES SD$ 20 (U$ 1 = SD$ 1,74) - U$ 11,38</t>
  </si>
  <si>
    <t>Esperando el pago</t>
  </si>
  <si>
    <t>024/04 MPR</t>
  </si>
  <si>
    <t>3658-041</t>
  </si>
  <si>
    <t>Originales con la</t>
  </si>
  <si>
    <t>041/04 MPR</t>
  </si>
  <si>
    <t>3806-04</t>
  </si>
  <si>
    <t>carga</t>
  </si>
  <si>
    <t>057-53192005</t>
  </si>
  <si>
    <t>consol.: 10/8</t>
  </si>
  <si>
    <t>034/04 MPR</t>
  </si>
  <si>
    <t>3736-04</t>
  </si>
  <si>
    <t xml:space="preserve">Docs junto con   </t>
  </si>
  <si>
    <t>070/04 MPR</t>
  </si>
  <si>
    <t>3886A-04</t>
  </si>
  <si>
    <t>BIELORRUSIA</t>
  </si>
  <si>
    <t>BELORUSNEFT</t>
  </si>
  <si>
    <t>029/12 RBB</t>
  </si>
  <si>
    <t>Euro 29330,86</t>
  </si>
  <si>
    <t>Bielorrusia</t>
  </si>
  <si>
    <t>53 1919 8474</t>
  </si>
  <si>
    <t>SI - 25 Marzo</t>
  </si>
  <si>
    <t>Carta de credito 180 dias (vto: 31/3/13)</t>
  </si>
  <si>
    <t>INDIA</t>
  </si>
  <si>
    <t>ONGC</t>
  </si>
  <si>
    <t>037/00 ION</t>
  </si>
  <si>
    <t xml:space="preserve">ZR/MM/OBG/IMD/35/227/99-2000 </t>
  </si>
  <si>
    <t xml:space="preserve">listo para el </t>
  </si>
  <si>
    <t>CARTA DE CREDITO</t>
  </si>
  <si>
    <t>P3-3705</t>
  </si>
  <si>
    <t>10795,37 a Bolland</t>
  </si>
  <si>
    <t>Set-11</t>
  </si>
  <si>
    <t>TOTAL DE PO POR PAIS</t>
  </si>
  <si>
    <t>Brasil</t>
  </si>
  <si>
    <t>Cantidad de PO</t>
  </si>
  <si>
    <t>en termino</t>
  </si>
  <si>
    <t>% cumplimiento</t>
  </si>
  <si>
    <t>Myanmar</t>
  </si>
  <si>
    <t>TOTALES</t>
  </si>
  <si>
    <t>Total de operaciones</t>
  </si>
  <si>
    <t>Total en término</t>
  </si>
  <si>
    <t>Porcentaje de cumplimiento</t>
  </si>
  <si>
    <t>AÑO</t>
  </si>
  <si>
    <t>CUMPLIMIENTO</t>
  </si>
  <si>
    <t>MES</t>
  </si>
  <si>
    <t>Atrasado(0) o en termino (1)</t>
  </si>
  <si>
    <r>
      <t xml:space="preserve">Fittings - </t>
    </r>
    <r>
      <rPr>
        <sz val="7"/>
        <color indexed="12"/>
        <rFont val="Arial"/>
        <family val="2"/>
      </rPr>
      <t>ENTREGAR AL FORWARDER -CERTIFICADO DE FUMIGACION-INFORMAR UNA SEMANA ANTES DE LA SALIDA DE PTA.</t>
    </r>
  </si>
  <si>
    <t>Se esta demorando el embarque ya que Petrobras de America no da la autorizacion de embarque al forwarder de Bs. As. Una vez que nos dieron la autorizacion de embarque se debio demorar nuevamente la salida debido a problemas en la confeccion de los documen</t>
  </si>
  <si>
    <r>
      <t xml:space="preserve">180 vastagos </t>
    </r>
    <r>
      <rPr>
        <sz val="7"/>
        <color indexed="12"/>
        <rFont val="Arial"/>
        <family val="2"/>
      </rPr>
      <t>- 6° ENVIO - GLOBAL DE VASTAGOS</t>
    </r>
  </si>
  <si>
    <r>
      <t xml:space="preserve">Demora por no contar con el barco de Deseado con el Waver. </t>
    </r>
    <r>
      <rPr>
        <sz val="7"/>
        <color indexed="10"/>
        <rFont val="Arial"/>
        <family val="2"/>
      </rPr>
      <t>No corresponder multa según mail 13/04.</t>
    </r>
  </si>
  <si>
    <r>
      <t>12 bombas para</t>
    </r>
    <r>
      <rPr>
        <b/>
        <sz val="7"/>
        <rFont val="Arial"/>
        <family val="2"/>
      </rPr>
      <t xml:space="preserve"> </t>
    </r>
    <r>
      <rPr>
        <b/>
        <sz val="7"/>
        <color indexed="12"/>
        <rFont val="Arial"/>
        <family val="2"/>
      </rPr>
      <t>KOCH</t>
    </r>
  </si>
  <si>
    <r>
      <t xml:space="preserve">4 pistones - </t>
    </r>
    <r>
      <rPr>
        <sz val="7"/>
        <color indexed="12"/>
        <rFont val="Arial"/>
        <family val="2"/>
      </rPr>
      <t>ENVIAR VIA AEREA</t>
    </r>
  </si>
  <si>
    <t xml:space="preserve">Demora por falta de materia prima (laton - mail 13/07 E. Urien) - De esta PCS se eliminaron 15 bombas (item 100), informado el 19/07 por mail. Nos informan que se rompio el buque ("Frota manaos": fecha: 02/08). Nos pasan al buque "Frota Rios" del 11/08.  </t>
  </si>
  <si>
    <r>
      <t>Repuestos -</t>
    </r>
    <r>
      <rPr>
        <sz val="7"/>
        <color indexed="12"/>
        <rFont val="Arial"/>
        <family val="2"/>
      </rPr>
      <t xml:space="preserve"> 1° ENVIO</t>
    </r>
  </si>
  <si>
    <r>
      <t>Repuestos -</t>
    </r>
    <r>
      <rPr>
        <sz val="7"/>
        <color indexed="12"/>
        <rFont val="Arial"/>
        <family val="2"/>
      </rPr>
      <t xml:space="preserve"> ENTREGAR AL FORWARDER (JAS)</t>
    </r>
  </si>
  <si>
    <r>
      <t xml:space="preserve">Retraso en la salida por la inspeccion (V.Veritas recien puede ir el 21/08). Petrobras adelanto la inspeccion para el 14/08. - </t>
    </r>
    <r>
      <rPr>
        <sz val="7"/>
        <color indexed="10"/>
        <rFont val="Arial"/>
        <family val="2"/>
      </rPr>
      <t>PCS perdida</t>
    </r>
  </si>
  <si>
    <r>
      <t xml:space="preserve">Repuestos - </t>
    </r>
    <r>
      <rPr>
        <sz val="7"/>
        <color indexed="12"/>
        <rFont val="Arial"/>
        <family val="2"/>
      </rPr>
      <t>ENTREGAR AL FORWARDER (JAS)</t>
    </r>
  </si>
  <si>
    <r>
      <t xml:space="preserve">102 vástagos </t>
    </r>
    <r>
      <rPr>
        <sz val="7"/>
        <color indexed="12"/>
        <rFont val="Arial"/>
        <family val="2"/>
      </rPr>
      <t>- 7° ENVIO - GLOBAL DE VÁSTAGOS</t>
    </r>
  </si>
  <si>
    <r>
      <t>5 bombas para</t>
    </r>
    <r>
      <rPr>
        <sz val="7"/>
        <color indexed="12"/>
        <rFont val="Arial"/>
        <family val="2"/>
      </rPr>
      <t xml:space="preserve"> </t>
    </r>
    <r>
      <rPr>
        <b/>
        <sz val="7"/>
        <color indexed="12"/>
        <rFont val="Arial"/>
        <family val="2"/>
      </rPr>
      <t>KOCH</t>
    </r>
  </si>
  <si>
    <r>
      <t xml:space="preserve">Repuestos (39 vástagos) - </t>
    </r>
    <r>
      <rPr>
        <sz val="7"/>
        <color indexed="12"/>
        <rFont val="Arial"/>
        <family val="2"/>
      </rPr>
      <t>2° ENVIO</t>
    </r>
  </si>
  <si>
    <r>
      <t>15 bombas</t>
    </r>
    <r>
      <rPr>
        <sz val="7"/>
        <color indexed="12"/>
        <rFont val="Arial"/>
        <family val="2"/>
      </rPr>
      <t xml:space="preserve"> - PETRORECONCAVO</t>
    </r>
  </si>
  <si>
    <r>
      <t>33 vastagos -</t>
    </r>
    <r>
      <rPr>
        <sz val="7"/>
        <color indexed="12"/>
        <rFont val="Arial"/>
        <family val="2"/>
      </rPr>
      <t xml:space="preserve"> 1° ENVIO</t>
    </r>
  </si>
  <si>
    <t>Se solicito el CADIVI el 14/11 pero por problemas en la pagina del Organismo no se entrega el mismo. - Atraso real 31 dias</t>
  </si>
  <si>
    <r>
      <t xml:space="preserve">4 bombas - </t>
    </r>
    <r>
      <rPr>
        <sz val="7"/>
        <color indexed="12"/>
        <rFont val="Arial"/>
        <family val="2"/>
      </rPr>
      <t>ENTREGAR AL FORWARDER - ALMAR - LLEVA INSPECCION DE PRE EMBARQUE - BALTIC</t>
    </r>
  </si>
  <si>
    <t xml:space="preserve">NOTA:  Estas PO estaban previstas que se despachen via AEREA (22 de Marzo a Quito) pero por motivo en el costo alto del flete, el forwarder freno la salida ya que estan consultando con el cliente de enviarla via maritima.  03 de Abril: piden que se envie </t>
  </si>
  <si>
    <r>
      <t xml:space="preserve">9 bombas - </t>
    </r>
    <r>
      <rPr>
        <sz val="7"/>
        <color indexed="10"/>
        <rFont val="Arial"/>
        <family val="2"/>
      </rPr>
      <t>LLEVA INSPECCION DE PRE EMBARQUE - ENTREGAR AL FORWARDER - ENVIAR CERTIFICADOS - PEDIR AUTORIZACION</t>
    </r>
  </si>
  <si>
    <r>
      <t>Fittings -</t>
    </r>
    <r>
      <rPr>
        <sz val="7"/>
        <color indexed="12"/>
        <rFont val="Arial"/>
        <family val="2"/>
      </rPr>
      <t xml:space="preserve"> ENTREGAR AL EMBARCADOR</t>
    </r>
  </si>
  <si>
    <r>
      <t>Fittings -</t>
    </r>
    <r>
      <rPr>
        <sz val="7"/>
        <color indexed="12"/>
        <rFont val="Arial"/>
        <family val="2"/>
      </rPr>
      <t xml:space="preserve"> ENTREGAR AL FORWARDER -CERTIFICADO DE CALIDAD</t>
    </r>
  </si>
  <si>
    <r>
      <t xml:space="preserve">83 pistones - </t>
    </r>
    <r>
      <rPr>
        <sz val="7"/>
        <color indexed="12"/>
        <rFont val="Arial"/>
        <family val="2"/>
      </rPr>
      <t>ENTREGAR AL FORWARDER -CERTIFICADO DE CALIDAD</t>
    </r>
  </si>
  <si>
    <r>
      <t>165 pistones -</t>
    </r>
    <r>
      <rPr>
        <sz val="7"/>
        <color indexed="12"/>
        <rFont val="Arial"/>
        <family val="2"/>
      </rPr>
      <t xml:space="preserve"> ENTREGAR AL FORWARDER -CERTIFICADO DE CALIDAD</t>
    </r>
  </si>
  <si>
    <r>
      <t>Fittings</t>
    </r>
    <r>
      <rPr>
        <sz val="7"/>
        <color indexed="12"/>
        <rFont val="Arial"/>
        <family val="2"/>
      </rPr>
      <t xml:space="preserve"> - ENTREGAR AL FORWARDER - CERTIFICADOS DE CALIDAD</t>
    </r>
  </si>
  <si>
    <r>
      <t xml:space="preserve">Fittings - </t>
    </r>
    <r>
      <rPr>
        <sz val="7"/>
        <color indexed="12"/>
        <rFont val="Arial"/>
        <family val="2"/>
      </rPr>
      <t>ENTREGAR AL FORWARDER - CERTIFICADOS DE CALIDAD</t>
    </r>
  </si>
  <si>
    <r>
      <t xml:space="preserve">5 bombas - </t>
    </r>
    <r>
      <rPr>
        <sz val="7"/>
        <color indexed="12"/>
        <rFont val="Arial"/>
        <family val="2"/>
      </rPr>
      <t>PAGO ANTICIPADO - CERTIFICADO DE CALIDAD</t>
    </r>
  </si>
  <si>
    <r>
      <t xml:space="preserve">20 pistones - </t>
    </r>
    <r>
      <rPr>
        <sz val="7"/>
        <color indexed="12"/>
        <rFont val="Arial"/>
        <family val="2"/>
      </rPr>
      <t>PAGO ANTICIPADO</t>
    </r>
  </si>
  <si>
    <r>
      <t>Fittings -</t>
    </r>
    <r>
      <rPr>
        <sz val="7"/>
        <color indexed="12"/>
        <rFont val="Arial"/>
        <family val="2"/>
      </rPr>
      <t xml:space="preserve"> PAGO ANTICIPADO</t>
    </r>
  </si>
  <si>
    <r>
      <t xml:space="preserve">2 nipples - </t>
    </r>
    <r>
      <rPr>
        <sz val="7"/>
        <color indexed="12"/>
        <rFont val="Arial"/>
        <family val="2"/>
      </rPr>
      <t>RETIRA EL TRANSPORTE EN PTA.</t>
    </r>
  </si>
  <si>
    <t>Nos piden que realicemos nosotros el transporte (antes pasaban a retirar de la Planta) - Atraso real 31 dias</t>
  </si>
  <si>
    <r>
      <t>2 bombas + Fittings</t>
    </r>
    <r>
      <rPr>
        <sz val="7"/>
        <color indexed="12"/>
        <rFont val="Arial"/>
        <family val="2"/>
      </rPr>
      <t xml:space="preserve">  - CERTIFICADOS DE CALIDAD</t>
    </r>
  </si>
  <si>
    <r>
      <t>68 vastagos -</t>
    </r>
    <r>
      <rPr>
        <sz val="7"/>
        <color indexed="12"/>
        <rFont val="Arial"/>
        <family val="2"/>
      </rPr>
      <t xml:space="preserve"> 3° ENVIO</t>
    </r>
  </si>
  <si>
    <r>
      <t>145 vastagos -</t>
    </r>
    <r>
      <rPr>
        <sz val="7"/>
        <color indexed="12"/>
        <rFont val="Arial"/>
        <family val="2"/>
      </rPr>
      <t xml:space="preserve"> 2° ENVIO</t>
    </r>
  </si>
  <si>
    <r>
      <t xml:space="preserve">84 vástagos </t>
    </r>
    <r>
      <rPr>
        <sz val="7"/>
        <color indexed="12"/>
        <rFont val="Arial"/>
        <family val="2"/>
      </rPr>
      <t>- 8° ENVIO - GLOBAL DE VÁSTAGOS</t>
    </r>
  </si>
  <si>
    <r>
      <t xml:space="preserve">57 vástagos </t>
    </r>
    <r>
      <rPr>
        <sz val="7"/>
        <color indexed="12"/>
        <rFont val="Arial"/>
        <family val="2"/>
      </rPr>
      <t>- 9° ENVIO - GLOBAL DE VÁSTAGOS</t>
    </r>
  </si>
  <si>
    <r>
      <t xml:space="preserve">127 vástagos </t>
    </r>
    <r>
      <rPr>
        <sz val="7"/>
        <color indexed="12"/>
        <rFont val="Arial"/>
        <family val="2"/>
      </rPr>
      <t>- 10° ENVIO - GLOBAL DE VÁSTAGOS</t>
    </r>
  </si>
  <si>
    <r>
      <t xml:space="preserve">La PCS se envio a la Planta para comenzar con la fabricacion pero aun no esta la orden corregida. </t>
    </r>
    <r>
      <rPr>
        <sz val="7"/>
        <color indexed="10"/>
        <rFont val="Arial"/>
        <family val="2"/>
      </rPr>
      <t>PCS perdida</t>
    </r>
  </si>
  <si>
    <r>
      <t xml:space="preserve">3 bombas - </t>
    </r>
    <r>
      <rPr>
        <sz val="7"/>
        <color indexed="12"/>
        <rFont val="Arial"/>
        <family val="2"/>
      </rPr>
      <t>KOCH</t>
    </r>
  </si>
  <si>
    <r>
      <t xml:space="preserve">30 bombas + fittings </t>
    </r>
    <r>
      <rPr>
        <sz val="7"/>
        <color indexed="12"/>
        <rFont val="Arial"/>
        <family val="2"/>
      </rPr>
      <t>- KOCH</t>
    </r>
  </si>
  <si>
    <r>
      <t xml:space="preserve">40 válvulas - </t>
    </r>
    <r>
      <rPr>
        <sz val="7"/>
        <color indexed="12"/>
        <rFont val="Arial"/>
        <family val="2"/>
      </rPr>
      <t>SE ENVÍAN DESDE TANTAL</t>
    </r>
  </si>
  <si>
    <r>
      <t>150 vástagos -</t>
    </r>
    <r>
      <rPr>
        <sz val="7"/>
        <color indexed="12"/>
        <rFont val="Arial"/>
        <family val="2"/>
      </rPr>
      <t xml:space="preserve"> 4° ENVIO</t>
    </r>
  </si>
  <si>
    <r>
      <t>20 vástagos -</t>
    </r>
    <r>
      <rPr>
        <sz val="7"/>
        <color indexed="12"/>
        <rFont val="Arial"/>
        <family val="2"/>
      </rPr>
      <t xml:space="preserve"> 5° ENVIO</t>
    </r>
  </si>
  <si>
    <r>
      <t>110 vástagos -</t>
    </r>
    <r>
      <rPr>
        <sz val="7"/>
        <color indexed="12"/>
        <rFont val="Arial"/>
        <family val="2"/>
      </rPr>
      <t xml:space="preserve"> 7° ENVIO</t>
    </r>
  </si>
  <si>
    <r>
      <t xml:space="preserve">350 vástagos - </t>
    </r>
    <r>
      <rPr>
        <sz val="7"/>
        <color indexed="12"/>
        <rFont val="Arial"/>
        <family val="2"/>
      </rPr>
      <t>1° ENVIO de 100 vástagos</t>
    </r>
  </si>
  <si>
    <r>
      <t>120 vástagos -</t>
    </r>
    <r>
      <rPr>
        <sz val="7"/>
        <color indexed="12"/>
        <rFont val="Arial"/>
        <family val="2"/>
      </rPr>
      <t xml:space="preserve"> 8° ENVIO</t>
    </r>
  </si>
  <si>
    <r>
      <t>150 vástagos -</t>
    </r>
    <r>
      <rPr>
        <sz val="7"/>
        <color indexed="12"/>
        <rFont val="Arial"/>
        <family val="2"/>
      </rPr>
      <t xml:space="preserve"> 6° ENVIO</t>
    </r>
  </si>
  <si>
    <r>
      <t xml:space="preserve">150 válvulas - </t>
    </r>
    <r>
      <rPr>
        <sz val="7"/>
        <color indexed="12"/>
        <rFont val="Arial"/>
        <family val="2"/>
      </rPr>
      <t>SE ENVÍAN DESDE TANTAL</t>
    </r>
  </si>
  <si>
    <r>
      <t xml:space="preserve">56 copas y 21 válvulas - </t>
    </r>
    <r>
      <rPr>
        <sz val="7"/>
        <color indexed="12"/>
        <rFont val="Arial"/>
        <family val="2"/>
      </rPr>
      <t>SE ENVÍAN DESDE TANTAL</t>
    </r>
  </si>
  <si>
    <r>
      <t>100 vástagos -</t>
    </r>
    <r>
      <rPr>
        <sz val="7"/>
        <color indexed="12"/>
        <rFont val="Arial"/>
        <family val="2"/>
      </rPr>
      <t xml:space="preserve"> 9° ENVIO</t>
    </r>
  </si>
  <si>
    <r>
      <t xml:space="preserve">350 vástagos - </t>
    </r>
    <r>
      <rPr>
        <sz val="7"/>
        <color indexed="12"/>
        <rFont val="Arial"/>
        <family val="2"/>
      </rPr>
      <t>2° ENVIO de 250 vástagos</t>
    </r>
  </si>
  <si>
    <r>
      <t xml:space="preserve">180 válvulas - </t>
    </r>
    <r>
      <rPr>
        <sz val="7"/>
        <color indexed="12"/>
        <rFont val="Arial"/>
        <family val="2"/>
      </rPr>
      <t>SE ENVÍAN DESDE TANTAL</t>
    </r>
  </si>
  <si>
    <r>
      <t xml:space="preserve">4 bombas </t>
    </r>
    <r>
      <rPr>
        <b/>
        <sz val="7"/>
        <color indexed="12"/>
        <rFont val="Arial"/>
        <family val="2"/>
      </rPr>
      <t>- PARA PETRORECONCAVO</t>
    </r>
  </si>
  <si>
    <r>
      <t xml:space="preserve">11 bombas - </t>
    </r>
    <r>
      <rPr>
        <b/>
        <sz val="7"/>
        <color indexed="12"/>
        <rFont val="Arial"/>
        <family val="2"/>
      </rPr>
      <t>ADICIONES</t>
    </r>
  </si>
  <si>
    <r>
      <t xml:space="preserve">3 bombas - </t>
    </r>
    <r>
      <rPr>
        <sz val="7"/>
        <color indexed="12"/>
        <rFont val="Arial"/>
        <family val="2"/>
      </rPr>
      <t>ENTREGAR AL FORWARDER</t>
    </r>
  </si>
  <si>
    <r>
      <t xml:space="preserve">Fittings - </t>
    </r>
    <r>
      <rPr>
        <sz val="7"/>
        <color indexed="12"/>
        <rFont val="Arial"/>
        <family val="2"/>
      </rPr>
      <t>ENTREGAR AL FORWARDER</t>
    </r>
  </si>
  <si>
    <r>
      <t xml:space="preserve">1 bomba PENDIENTE del pedido anterior - </t>
    </r>
    <r>
      <rPr>
        <sz val="7"/>
        <color indexed="12"/>
        <rFont val="Arial"/>
        <family val="2"/>
      </rPr>
      <t>ENTREGAR AL FORWARDER</t>
    </r>
  </si>
  <si>
    <r>
      <t xml:space="preserve">2 bombas - </t>
    </r>
    <r>
      <rPr>
        <sz val="7"/>
        <color indexed="12"/>
        <rFont val="Arial"/>
        <family val="2"/>
      </rPr>
      <t>ENTREGAR AL FORWARDER</t>
    </r>
  </si>
  <si>
    <r>
      <t xml:space="preserve">4 bombas + fittings - </t>
    </r>
    <r>
      <rPr>
        <sz val="7"/>
        <color indexed="12"/>
        <rFont val="Arial"/>
        <family val="2"/>
      </rPr>
      <t>ENTREGAR AL FORWARDER</t>
    </r>
  </si>
  <si>
    <r>
      <t>4 bombas -</t>
    </r>
    <r>
      <rPr>
        <sz val="7"/>
        <color indexed="12"/>
        <rFont val="Arial"/>
        <family val="2"/>
      </rPr>
      <t xml:space="preserve"> ENTREGAR AL FORWARDER</t>
    </r>
  </si>
  <si>
    <r>
      <t xml:space="preserve">42 bombas </t>
    </r>
    <r>
      <rPr>
        <sz val="7"/>
        <color indexed="12"/>
        <rFont val="Arial"/>
        <family val="2"/>
      </rPr>
      <t>- ENTREGAR AL FORWARDER</t>
    </r>
    <r>
      <rPr>
        <sz val="7"/>
        <rFont val="Arial"/>
        <family val="2"/>
      </rPr>
      <t xml:space="preserve">  (remito de Pta N° 6600005988)</t>
    </r>
  </si>
  <si>
    <r>
      <t xml:space="preserve">Fittings </t>
    </r>
    <r>
      <rPr>
        <sz val="7"/>
        <color indexed="12"/>
        <rFont val="Arial"/>
        <family val="2"/>
      </rPr>
      <t>- ENTREGAR AL FORWARDER</t>
    </r>
  </si>
  <si>
    <r>
      <t xml:space="preserve">150 vástagos </t>
    </r>
    <r>
      <rPr>
        <sz val="7"/>
        <color indexed="12"/>
        <rFont val="Arial"/>
        <family val="2"/>
      </rPr>
      <t>- ENTREGAR AL EMBARCADOR AMERICA AUSTRAL SRL</t>
    </r>
  </si>
  <si>
    <t>Uteco tiene un 10% de comisión - Del buque Maruba Asia pasa al Maruba Parana (consolida el 09/10) y salida el 25/10. Se olvidan de cargar el contenedor, recien va a salir el 6/11 en el Montemar Europa (mail 28/10).  El buque entra en reparacion y sale rec</t>
  </si>
  <si>
    <r>
      <t xml:space="preserve">38 vástagos </t>
    </r>
    <r>
      <rPr>
        <sz val="7"/>
        <color indexed="12"/>
        <rFont val="Arial"/>
        <family val="2"/>
      </rPr>
      <t>- ENTREGAR AL EMBARCADOR AMERICA AUSTRAL SRL</t>
    </r>
  </si>
  <si>
    <t>Uteco tiene un 10% de comisión  - Del buque Maruba Asia pasa al Maruba Parana (consolida el 09/10) y salida el 25/10. Se olvidan de cargar el contenedor, recien va a salir el 6/11 en el Montemar Europa (mail 28/10). El buque entra en reparacion y sale rec</t>
  </si>
  <si>
    <r>
      <t>Fittings</t>
    </r>
    <r>
      <rPr>
        <sz val="7"/>
        <color indexed="12"/>
        <rFont val="Arial"/>
        <family val="2"/>
      </rPr>
      <t xml:space="preserve"> - ENTREGAR AL FORWARDER - CERTIFICADO DE CALIDAD</t>
    </r>
  </si>
  <si>
    <r>
      <t xml:space="preserve">100 nipples </t>
    </r>
    <r>
      <rPr>
        <sz val="7"/>
        <color indexed="12"/>
        <rFont val="Arial"/>
        <family val="2"/>
      </rPr>
      <t>- PAGO ANTICIPADO</t>
    </r>
  </si>
  <si>
    <r>
      <t>Fittings</t>
    </r>
    <r>
      <rPr>
        <sz val="7"/>
        <color indexed="12"/>
        <rFont val="Arial"/>
        <family val="2"/>
      </rPr>
      <t xml:space="preserve"> - PAGO ANTICIPADO - CERTIFICADO DE CALIDAD - ENVIAR POR UPS</t>
    </r>
  </si>
  <si>
    <r>
      <t>2 vastagos</t>
    </r>
    <r>
      <rPr>
        <sz val="7"/>
        <color indexed="12"/>
        <rFont val="Arial"/>
        <family val="2"/>
      </rPr>
      <t xml:space="preserve">  - CERTIFICADOS DE CALIDAD</t>
    </r>
  </si>
  <si>
    <t>Enviar con camión a Rio Gallegos y allí realizar los tramites de exportación con el despachante nuestro. La carga se entrego el 26 de Junio pero recién se va a enviar a Chile el 16 de Julio, ya que la juntaron con otra carga. - Atraso 16 dias</t>
  </si>
  <si>
    <r>
      <t>190 vástagos -</t>
    </r>
    <r>
      <rPr>
        <sz val="7"/>
        <color indexed="12"/>
        <rFont val="Arial"/>
        <family val="2"/>
      </rPr>
      <t xml:space="preserve"> 1° ENVIO</t>
    </r>
  </si>
  <si>
    <r>
      <t xml:space="preserve">100 válvulas - </t>
    </r>
    <r>
      <rPr>
        <sz val="7"/>
        <color indexed="12"/>
        <rFont val="Arial"/>
        <family val="2"/>
      </rPr>
      <t>SE ENVÍAN DESDE TANTAL</t>
    </r>
  </si>
  <si>
    <r>
      <t>60 vástagos -</t>
    </r>
    <r>
      <rPr>
        <sz val="7"/>
        <color indexed="12"/>
        <rFont val="Arial"/>
        <family val="2"/>
      </rPr>
      <t xml:space="preserve"> 2° ENVIO</t>
    </r>
  </si>
  <si>
    <r>
      <t xml:space="preserve">120 válvulas - </t>
    </r>
    <r>
      <rPr>
        <sz val="7"/>
        <color indexed="12"/>
        <rFont val="Arial"/>
        <family val="2"/>
      </rPr>
      <t>SE ENVÍAN DESDE TANTAL</t>
    </r>
  </si>
  <si>
    <r>
      <t xml:space="preserve">200 válvulas - </t>
    </r>
    <r>
      <rPr>
        <sz val="7"/>
        <color indexed="12"/>
        <rFont val="Arial"/>
        <family val="2"/>
      </rPr>
      <t>SE ENVÍAN DESDE TANTAL</t>
    </r>
  </si>
  <si>
    <r>
      <t>150 vástagos -</t>
    </r>
    <r>
      <rPr>
        <sz val="7"/>
        <color indexed="12"/>
        <rFont val="Arial"/>
        <family val="2"/>
      </rPr>
      <t xml:space="preserve"> 3° ENVIO</t>
    </r>
  </si>
  <si>
    <r>
      <t xml:space="preserve">70 válvulas - </t>
    </r>
    <r>
      <rPr>
        <sz val="7"/>
        <color indexed="12"/>
        <rFont val="Arial"/>
        <family val="2"/>
      </rPr>
      <t>SE ENVÍAN DESDE TANTAL</t>
    </r>
  </si>
  <si>
    <r>
      <t xml:space="preserve">200 valvulas - </t>
    </r>
    <r>
      <rPr>
        <sz val="7"/>
        <color indexed="12"/>
        <rFont val="Arial"/>
        <family val="2"/>
      </rPr>
      <t>SE ENVÍAN DESDE TANTAL</t>
    </r>
  </si>
  <si>
    <r>
      <t xml:space="preserve">6 válvulas - </t>
    </r>
    <r>
      <rPr>
        <sz val="7"/>
        <color indexed="12"/>
        <rFont val="Arial"/>
        <family val="2"/>
      </rPr>
      <t>SE ENVÍAN DESDE TANTAL</t>
    </r>
  </si>
  <si>
    <r>
      <t xml:space="preserve">100 valvulas - </t>
    </r>
    <r>
      <rPr>
        <sz val="7"/>
        <color indexed="12"/>
        <rFont val="Arial"/>
        <family val="2"/>
      </rPr>
      <t>SE ENVÍAN DESDE TANTAL</t>
    </r>
  </si>
  <si>
    <r>
      <t>90 vástagos -</t>
    </r>
    <r>
      <rPr>
        <sz val="7"/>
        <color indexed="12"/>
        <rFont val="Arial"/>
        <family val="2"/>
      </rPr>
      <t xml:space="preserve"> 4° ENVIO</t>
    </r>
  </si>
  <si>
    <r>
      <t xml:space="preserve">350 valvulas - </t>
    </r>
    <r>
      <rPr>
        <sz val="7"/>
        <color indexed="12"/>
        <rFont val="Arial"/>
        <family val="2"/>
      </rPr>
      <t>SE ENVÍAN DESDE TANTAL</t>
    </r>
  </si>
  <si>
    <t>Desde el dia 11 de Agosto hay paro para ingresar a realizar el consolidado (Exolgan), por lo tanto pasariamos al buque proximo. El 19/8 nos informan que cambian el buque Belem por el HS Smetana pero no tiene bandera brasilera por lo que hay que esperar el</t>
  </si>
  <si>
    <r>
      <t>95 vástagos -</t>
    </r>
    <r>
      <rPr>
        <sz val="7"/>
        <color indexed="12"/>
        <rFont val="Arial"/>
        <family val="2"/>
      </rPr>
      <t xml:space="preserve"> 5° ENVIO</t>
    </r>
  </si>
  <si>
    <r>
      <t xml:space="preserve">10 bombas + fittings </t>
    </r>
    <r>
      <rPr>
        <sz val="7"/>
        <color indexed="12"/>
        <rFont val="Arial"/>
        <family val="2"/>
      </rPr>
      <t>- KOCH</t>
    </r>
  </si>
  <si>
    <r>
      <t>120 vástagos -</t>
    </r>
    <r>
      <rPr>
        <sz val="7"/>
        <color indexed="12"/>
        <rFont val="Arial"/>
        <family val="2"/>
      </rPr>
      <t xml:space="preserve"> 6° ENVIO</t>
    </r>
  </si>
  <si>
    <r>
      <t>59 vástagos -</t>
    </r>
    <r>
      <rPr>
        <sz val="7"/>
        <color indexed="12"/>
        <rFont val="Arial"/>
        <family val="2"/>
      </rPr>
      <t xml:space="preserve"> 7° ENVIO</t>
    </r>
  </si>
  <si>
    <r>
      <t xml:space="preserve">120 valvulas - </t>
    </r>
    <r>
      <rPr>
        <sz val="7"/>
        <color indexed="12"/>
        <rFont val="Arial"/>
        <family val="2"/>
      </rPr>
      <t>SE ENVÍAN DESDE TANTAL</t>
    </r>
  </si>
  <si>
    <r>
      <t xml:space="preserve">300 valvulas - </t>
    </r>
    <r>
      <rPr>
        <sz val="7"/>
        <color indexed="12"/>
        <rFont val="Arial"/>
        <family val="2"/>
      </rPr>
      <t>SE ENVÍAN DESDE TANTAL</t>
    </r>
  </si>
  <si>
    <r>
      <t xml:space="preserve">150 valvulas - </t>
    </r>
    <r>
      <rPr>
        <sz val="7"/>
        <color indexed="12"/>
        <rFont val="Arial"/>
        <family val="2"/>
      </rPr>
      <t>SE ENVÍAN DESDE TANTAL</t>
    </r>
  </si>
  <si>
    <r>
      <t>70 vástagos -</t>
    </r>
    <r>
      <rPr>
        <sz val="7"/>
        <color indexed="12"/>
        <rFont val="Arial"/>
        <family val="2"/>
      </rPr>
      <t xml:space="preserve"> 9° ENVIO</t>
    </r>
  </si>
  <si>
    <r>
      <t>170 vástagos -</t>
    </r>
    <r>
      <rPr>
        <sz val="7"/>
        <color indexed="12"/>
        <rFont val="Arial"/>
        <family val="2"/>
      </rPr>
      <t xml:space="preserve"> 8° ENVIO</t>
    </r>
  </si>
  <si>
    <r>
      <t xml:space="preserve">Fittings - </t>
    </r>
    <r>
      <rPr>
        <sz val="7"/>
        <color indexed="12"/>
        <rFont val="Arial"/>
        <family val="2"/>
      </rPr>
      <t xml:space="preserve">CONSORCIO TISAT LOGISTICS </t>
    </r>
  </si>
  <si>
    <r>
      <t xml:space="preserve">Fittings (nipples) </t>
    </r>
    <r>
      <rPr>
        <b/>
        <sz val="7"/>
        <color indexed="10"/>
        <rFont val="Arial"/>
        <family val="2"/>
      </rPr>
      <t xml:space="preserve"> - FORWARDER CRANE</t>
    </r>
  </si>
  <si>
    <r>
      <t>Fittings</t>
    </r>
    <r>
      <rPr>
        <b/>
        <sz val="7"/>
        <color indexed="10"/>
        <rFont val="Arial"/>
        <family val="2"/>
      </rPr>
      <t xml:space="preserve"> - FORWARDER CRANE</t>
    </r>
  </si>
  <si>
    <r>
      <t xml:space="preserve">Fittings </t>
    </r>
    <r>
      <rPr>
        <sz val="7"/>
        <color indexed="12"/>
        <rFont val="Arial"/>
        <family val="2"/>
      </rPr>
      <t>- PAGO ANTICIPADO</t>
    </r>
  </si>
  <si>
    <r>
      <t xml:space="preserve">4 bombas + 4 vastagos + 4 nipples - </t>
    </r>
    <r>
      <rPr>
        <b/>
        <sz val="7"/>
        <color indexed="12"/>
        <rFont val="Arial"/>
        <family val="2"/>
      </rPr>
      <t>ENTREGAR AL EMBARCADOR</t>
    </r>
  </si>
  <si>
    <r>
      <t xml:space="preserve">2 valvulas contrapresion - </t>
    </r>
    <r>
      <rPr>
        <b/>
        <sz val="7"/>
        <color indexed="10"/>
        <rFont val="Arial"/>
        <family val="2"/>
      </rPr>
      <t>RETIRA EL MATERIAL EN LAS OF. DE BOLLAND BUE</t>
    </r>
  </si>
  <si>
    <r>
      <t>2 bombas -</t>
    </r>
    <r>
      <rPr>
        <sz val="7"/>
        <color indexed="10"/>
        <rFont val="Arial"/>
        <family val="2"/>
      </rPr>
      <t xml:space="preserve"> PAGO ANTICIPADO</t>
    </r>
  </si>
  <si>
    <t>El vuelo que teni fecha del 27 de Oct. se paso para el domingo 01 de Nov. Desde Egipto pararon la carga ya que el valor del aereo se encarecio debido a la epoca del año (epoca perecedera, cobrabran U$ 27.000 para el envio) hasta el momento no hay nuevas i</t>
  </si>
  <si>
    <r>
      <t>3 bombas -</t>
    </r>
    <r>
      <rPr>
        <b/>
        <sz val="7"/>
        <color indexed="10"/>
        <rFont val="Arial"/>
        <family val="2"/>
      </rPr>
      <t xml:space="preserve"> FORWARDER PENTAGON</t>
    </r>
  </si>
  <si>
    <r>
      <t>Fittings y 12 bombas -</t>
    </r>
    <r>
      <rPr>
        <b/>
        <sz val="7"/>
        <color indexed="10"/>
        <rFont val="Arial"/>
        <family val="2"/>
      </rPr>
      <t xml:space="preserve"> FORWARDER PENTAGON - PAGO ANTICIPADO</t>
    </r>
  </si>
  <si>
    <r>
      <t xml:space="preserve">Fittings - </t>
    </r>
    <r>
      <rPr>
        <b/>
        <sz val="7"/>
        <color indexed="10"/>
        <rFont val="Arial"/>
        <family val="2"/>
      </rPr>
      <t>EMBARCADOR KONIG</t>
    </r>
  </si>
  <si>
    <r>
      <t>Fittings</t>
    </r>
    <r>
      <rPr>
        <sz val="7"/>
        <color indexed="12"/>
        <rFont val="Arial"/>
        <family val="2"/>
      </rPr>
      <t xml:space="preserve">  - PAGO ANTICIPADO</t>
    </r>
  </si>
  <si>
    <r>
      <t>Fittings</t>
    </r>
    <r>
      <rPr>
        <b/>
        <sz val="7"/>
        <color indexed="10"/>
        <rFont val="Arial"/>
        <family val="2"/>
      </rPr>
      <t xml:space="preserve"> - FORWARDER JARVIS INT. FREIGHT</t>
    </r>
  </si>
  <si>
    <r>
      <t xml:space="preserve">150 valvulas - </t>
    </r>
    <r>
      <rPr>
        <b/>
        <sz val="7"/>
        <color indexed="10"/>
        <rFont val="Arial"/>
        <family val="2"/>
      </rPr>
      <t>ENVIA PANDELTA</t>
    </r>
  </si>
  <si>
    <r>
      <t>10 nipples</t>
    </r>
    <r>
      <rPr>
        <b/>
        <sz val="7"/>
        <color indexed="10"/>
        <rFont val="Arial"/>
        <family val="2"/>
      </rPr>
      <t xml:space="preserve"> - ENTREGAR A INTERCILSA</t>
    </r>
  </si>
  <si>
    <r>
      <t xml:space="preserve">Fittings </t>
    </r>
    <r>
      <rPr>
        <sz val="7"/>
        <color indexed="10"/>
        <rFont val="Arial"/>
        <family val="2"/>
      </rPr>
      <t>- ENTREGAR A GEODIS</t>
    </r>
  </si>
  <si>
    <r>
      <t xml:space="preserve">Fittings - </t>
    </r>
    <r>
      <rPr>
        <b/>
        <sz val="7"/>
        <color indexed="10"/>
        <rFont val="Arial"/>
        <family val="2"/>
      </rPr>
      <t>ENTREGAR AL FORWARDER GEODIS</t>
    </r>
  </si>
  <si>
    <r>
      <t xml:space="preserve">Fittings - </t>
    </r>
    <r>
      <rPr>
        <b/>
        <sz val="7"/>
        <color indexed="10"/>
        <rFont val="Arial"/>
        <family val="2"/>
      </rPr>
      <t xml:space="preserve">ENTREGAR AL FORWARDER GEODIS </t>
    </r>
    <r>
      <rPr>
        <b/>
        <sz val="7"/>
        <color indexed="12"/>
        <rFont val="Arial"/>
        <family val="2"/>
      </rPr>
      <t>- 1° ENVIO</t>
    </r>
  </si>
  <si>
    <r>
      <t xml:space="preserve">Fittings - </t>
    </r>
    <r>
      <rPr>
        <b/>
        <sz val="7"/>
        <color indexed="10"/>
        <rFont val="Arial"/>
        <family val="2"/>
      </rPr>
      <t xml:space="preserve">ENTREGAR AL FORWARDER GEODIS </t>
    </r>
    <r>
      <rPr>
        <b/>
        <sz val="7"/>
        <color indexed="12"/>
        <rFont val="Arial"/>
        <family val="2"/>
      </rPr>
      <t>-1° ENVIO</t>
    </r>
  </si>
  <si>
    <r>
      <t xml:space="preserve">Fittings - </t>
    </r>
    <r>
      <rPr>
        <b/>
        <sz val="7"/>
        <color indexed="10"/>
        <rFont val="Arial"/>
        <family val="2"/>
      </rPr>
      <t xml:space="preserve">ENTREGAR AL FORWARDER GEODIS </t>
    </r>
  </si>
  <si>
    <r>
      <t xml:space="preserve">Fittings(barriles) - </t>
    </r>
    <r>
      <rPr>
        <b/>
        <sz val="7"/>
        <color indexed="10"/>
        <rFont val="Arial"/>
        <family val="2"/>
      </rPr>
      <t xml:space="preserve">ENTREGAR AL FORWARDER GEODIS </t>
    </r>
    <r>
      <rPr>
        <b/>
        <sz val="7"/>
        <color indexed="12"/>
        <rFont val="Arial"/>
        <family val="2"/>
      </rPr>
      <t>-2° ENVIO</t>
    </r>
  </si>
  <si>
    <r>
      <t xml:space="preserve">Fittings - </t>
    </r>
    <r>
      <rPr>
        <b/>
        <sz val="7"/>
        <color indexed="10"/>
        <rFont val="Arial"/>
        <family val="2"/>
      </rPr>
      <t>ENTREGAR AL FORWARDER GEODIS</t>
    </r>
    <r>
      <rPr>
        <b/>
        <sz val="7"/>
        <color indexed="12"/>
        <rFont val="Arial"/>
        <family val="2"/>
      </rPr>
      <t xml:space="preserve"> -2° ENVIO</t>
    </r>
  </si>
  <si>
    <r>
      <t xml:space="preserve">Fittings - </t>
    </r>
    <r>
      <rPr>
        <b/>
        <sz val="7"/>
        <color indexed="10"/>
        <rFont val="Arial"/>
        <family val="2"/>
      </rPr>
      <t xml:space="preserve">ENTREGAR AL FORWARDER GEODIS </t>
    </r>
    <r>
      <rPr>
        <b/>
        <sz val="7"/>
        <color indexed="12"/>
        <rFont val="Arial"/>
        <family val="2"/>
      </rPr>
      <t>- 2° ENVIO</t>
    </r>
  </si>
  <si>
    <r>
      <t>22 vástagos -</t>
    </r>
    <r>
      <rPr>
        <sz val="7"/>
        <color indexed="12"/>
        <rFont val="Arial"/>
        <family val="2"/>
      </rPr>
      <t xml:space="preserve"> 10°  ENVIO</t>
    </r>
  </si>
  <si>
    <r>
      <t xml:space="preserve">180 valvulas - </t>
    </r>
    <r>
      <rPr>
        <sz val="7"/>
        <color indexed="12"/>
        <rFont val="Arial"/>
        <family val="2"/>
      </rPr>
      <t>SE ENVÍAN DESDE TANTAL</t>
    </r>
  </si>
  <si>
    <r>
      <t>100 vástagos -</t>
    </r>
    <r>
      <rPr>
        <sz val="7"/>
        <color indexed="12"/>
        <rFont val="Arial"/>
        <family val="2"/>
      </rPr>
      <t xml:space="preserve"> 11°  ENVIO</t>
    </r>
  </si>
  <si>
    <r>
      <t>4 vástagos -</t>
    </r>
    <r>
      <rPr>
        <sz val="7"/>
        <color indexed="12"/>
        <rFont val="Arial"/>
        <family val="2"/>
      </rPr>
      <t xml:space="preserve"> 13°  ENVIO</t>
    </r>
  </si>
  <si>
    <r>
      <t>40 vástagos -</t>
    </r>
    <r>
      <rPr>
        <sz val="7"/>
        <color indexed="12"/>
        <rFont val="Arial"/>
        <family val="2"/>
      </rPr>
      <t xml:space="preserve"> 12° ENVIO</t>
    </r>
  </si>
  <si>
    <r>
      <t>100 vástagos</t>
    </r>
    <r>
      <rPr>
        <b/>
        <sz val="7"/>
        <color indexed="10"/>
        <rFont val="Arial"/>
        <family val="2"/>
      </rPr>
      <t>- 1° ENVIO</t>
    </r>
  </si>
  <si>
    <r>
      <t>300 vastagos</t>
    </r>
    <r>
      <rPr>
        <b/>
        <sz val="7"/>
        <color indexed="10"/>
        <rFont val="Arial"/>
        <family val="2"/>
      </rPr>
      <t xml:space="preserve"> - 2° ENVIO</t>
    </r>
  </si>
  <si>
    <r>
      <t>70 vástagos -</t>
    </r>
    <r>
      <rPr>
        <sz val="7"/>
        <color indexed="12"/>
        <rFont val="Arial"/>
        <family val="2"/>
      </rPr>
      <t xml:space="preserve"> 14°  ENVIO</t>
    </r>
  </si>
  <si>
    <r>
      <t>80 vástagos -</t>
    </r>
    <r>
      <rPr>
        <sz val="7"/>
        <color indexed="12"/>
        <rFont val="Arial"/>
        <family val="2"/>
      </rPr>
      <t xml:space="preserve"> 15°  ENVIO</t>
    </r>
  </si>
  <si>
    <r>
      <t xml:space="preserve">ORDEN EXTRAVIADA EN PUERTO DE BRASIL. </t>
    </r>
    <r>
      <rPr>
        <sz val="7"/>
        <rFont val="Arial"/>
        <family val="2"/>
      </rPr>
      <t>21 de Julio: las válvulas están viajando de Aracaju a Salvador para ser nacionalizadas y ser entregadas a Petrobras y cumplir con la orden.</t>
    </r>
  </si>
  <si>
    <r>
      <t>18 vástagos -</t>
    </r>
    <r>
      <rPr>
        <sz val="7"/>
        <color indexed="12"/>
        <rFont val="Arial"/>
        <family val="2"/>
      </rPr>
      <t xml:space="preserve"> 16°  ENVIO</t>
    </r>
  </si>
  <si>
    <r>
      <t>24 vástagos -</t>
    </r>
    <r>
      <rPr>
        <sz val="7"/>
        <color indexed="12"/>
        <rFont val="Arial"/>
        <family val="2"/>
      </rPr>
      <t xml:space="preserve"> 17°  ENVIO</t>
    </r>
  </si>
  <si>
    <r>
      <t xml:space="preserve">310 válvulas - </t>
    </r>
    <r>
      <rPr>
        <sz val="7"/>
        <color indexed="12"/>
        <rFont val="Arial"/>
        <family val="2"/>
      </rPr>
      <t>SE ENVÍAN DESDE TANTAL</t>
    </r>
  </si>
  <si>
    <r>
      <t>5 bombas -</t>
    </r>
    <r>
      <rPr>
        <sz val="7"/>
        <color indexed="12"/>
        <rFont val="Arial"/>
        <family val="2"/>
      </rPr>
      <t xml:space="preserve"> KOCH</t>
    </r>
  </si>
  <si>
    <r>
      <t xml:space="preserve">217 válvulas - </t>
    </r>
    <r>
      <rPr>
        <sz val="7"/>
        <color indexed="12"/>
        <rFont val="Arial"/>
        <family val="2"/>
      </rPr>
      <t>SE ENVÍAN DESDE TANTAL</t>
    </r>
  </si>
  <si>
    <r>
      <t>4 bombas -</t>
    </r>
    <r>
      <rPr>
        <sz val="7"/>
        <color indexed="12"/>
        <rFont val="Arial"/>
        <family val="2"/>
      </rPr>
      <t xml:space="preserve"> W. PETROLEO</t>
    </r>
  </si>
  <si>
    <r>
      <t>Fittings -</t>
    </r>
    <r>
      <rPr>
        <sz val="7"/>
        <color indexed="12"/>
        <rFont val="Arial"/>
        <family val="2"/>
      </rPr>
      <t xml:space="preserve"> PETRORRECONCAVO</t>
    </r>
  </si>
  <si>
    <r>
      <t xml:space="preserve">160 válvulas - </t>
    </r>
    <r>
      <rPr>
        <sz val="7"/>
        <color indexed="12"/>
        <rFont val="Arial"/>
        <family val="2"/>
      </rPr>
      <t>SE ENVÍAN DESDE TANTAL</t>
    </r>
  </si>
  <si>
    <r>
      <t xml:space="preserve">373 válvulas - </t>
    </r>
    <r>
      <rPr>
        <sz val="7"/>
        <color indexed="12"/>
        <rFont val="Arial"/>
        <family val="2"/>
      </rPr>
      <t>SE ENVÍAN DESDE TANTAL</t>
    </r>
  </si>
  <si>
    <t>090/11GUN</t>
  </si>
  <si>
    <r>
      <t xml:space="preserve">8 bombas + fittings - </t>
    </r>
    <r>
      <rPr>
        <b/>
        <sz val="7"/>
        <color indexed="10"/>
        <rFont val="Arial"/>
        <family val="2"/>
      </rPr>
      <t>ENTREGAR AL TRANSP. KONIX</t>
    </r>
  </si>
  <si>
    <t>099/11WEN</t>
  </si>
  <si>
    <t>GCN-110302-03</t>
  </si>
  <si>
    <r>
      <t>2 Bombas</t>
    </r>
    <r>
      <rPr>
        <b/>
        <sz val="7"/>
        <color indexed="12"/>
        <rFont val="Arial"/>
        <family val="2"/>
      </rPr>
      <t xml:space="preserve"> - 2° ENVÍO</t>
    </r>
  </si>
  <si>
    <t>080/11TAL</t>
  </si>
  <si>
    <t>110/11 TAL</t>
  </si>
  <si>
    <t>114/11 TAL</t>
  </si>
  <si>
    <r>
      <t>2 bombas -</t>
    </r>
    <r>
      <rPr>
        <b/>
        <sz val="7"/>
        <color indexed="10"/>
        <rFont val="Arial"/>
        <family val="2"/>
      </rPr>
      <t xml:space="preserve"> PAGO ANTICIPADO</t>
    </r>
  </si>
  <si>
    <r>
      <t xml:space="preserve">Fittings - </t>
    </r>
    <r>
      <rPr>
        <b/>
        <sz val="7"/>
        <color indexed="10"/>
        <rFont val="Arial"/>
        <family val="2"/>
      </rPr>
      <t xml:space="preserve">ENTREGAR AL FORWARDER GEODIS                     </t>
    </r>
    <r>
      <rPr>
        <b/>
        <sz val="7"/>
        <color indexed="12"/>
        <rFont val="Arial"/>
        <family val="2"/>
      </rPr>
      <t xml:space="preserve"> EL CENTRO</t>
    </r>
  </si>
  <si>
    <t xml:space="preserve">Petroingenieria 5,8% </t>
  </si>
  <si>
    <r>
      <t xml:space="preserve">Fittings - </t>
    </r>
    <r>
      <rPr>
        <b/>
        <sz val="7"/>
        <color indexed="10"/>
        <rFont val="Arial"/>
        <family val="2"/>
      </rPr>
      <t xml:space="preserve">ENTREGAR AL FORWARDER GEODIS                     </t>
    </r>
    <r>
      <rPr>
        <b/>
        <sz val="7"/>
        <color indexed="12"/>
        <rFont val="Arial"/>
        <family val="2"/>
      </rPr>
      <t xml:space="preserve"> LA CIRA INFANTAS</t>
    </r>
  </si>
  <si>
    <r>
      <t xml:space="preserve">Fittings - </t>
    </r>
    <r>
      <rPr>
        <b/>
        <sz val="7"/>
        <color indexed="10"/>
        <rFont val="Arial"/>
        <family val="2"/>
      </rPr>
      <t xml:space="preserve">ENTREGAR AL FORWARDER GEODIS                     </t>
    </r>
    <r>
      <rPr>
        <b/>
        <sz val="7"/>
        <color indexed="12"/>
        <rFont val="Arial"/>
        <family val="2"/>
      </rPr>
      <t xml:space="preserve"> EL CENTRO - 1° ENTREGA</t>
    </r>
  </si>
  <si>
    <t>Petroingenieria 5,8%</t>
  </si>
  <si>
    <r>
      <t xml:space="preserve">Fittings - </t>
    </r>
    <r>
      <rPr>
        <b/>
        <sz val="7"/>
        <color indexed="10"/>
        <rFont val="Arial"/>
        <family val="2"/>
      </rPr>
      <t xml:space="preserve">ENTREGAR AL FORWARDER GEODIS                     </t>
    </r>
    <r>
      <rPr>
        <b/>
        <sz val="7"/>
        <color indexed="12"/>
        <rFont val="Arial"/>
        <family val="2"/>
      </rPr>
      <t xml:space="preserve"> LA CIRA INFANTAS - 1° ENTREGA</t>
    </r>
  </si>
  <si>
    <r>
      <t xml:space="preserve">Fittings - </t>
    </r>
    <r>
      <rPr>
        <b/>
        <sz val="7"/>
        <color indexed="10"/>
        <rFont val="Arial"/>
        <family val="2"/>
      </rPr>
      <t xml:space="preserve">ENTREGAR AL FORWARDER GEODIS                     </t>
    </r>
    <r>
      <rPr>
        <b/>
        <sz val="7"/>
        <color indexed="12"/>
        <rFont val="Arial"/>
        <family val="2"/>
      </rPr>
      <t xml:space="preserve"> EL CENTRO - 2° ENTREGA</t>
    </r>
  </si>
  <si>
    <r>
      <t xml:space="preserve">Fittings - </t>
    </r>
    <r>
      <rPr>
        <b/>
        <sz val="7"/>
        <color indexed="10"/>
        <rFont val="Arial"/>
        <family val="2"/>
      </rPr>
      <t xml:space="preserve">ENTREGAR AL FORWARDER GEODIS                      </t>
    </r>
    <r>
      <rPr>
        <b/>
        <sz val="7"/>
        <color indexed="12"/>
        <rFont val="Arial"/>
        <family val="2"/>
      </rPr>
      <t xml:space="preserve"> LA CIRA INFANTAS - 2° ENTREGA</t>
    </r>
  </si>
  <si>
    <r>
      <t xml:space="preserve">Fittings - </t>
    </r>
    <r>
      <rPr>
        <b/>
        <sz val="7"/>
        <color indexed="10"/>
        <rFont val="Arial"/>
        <family val="2"/>
      </rPr>
      <t xml:space="preserve">ENTREGAR AL FORWARDER GEODIS                     </t>
    </r>
    <r>
      <rPr>
        <b/>
        <sz val="7"/>
        <color indexed="12"/>
        <rFont val="Arial"/>
        <family val="2"/>
      </rPr>
      <t xml:space="preserve"> LA CIRA INFANTAS - 3° ENTREGA</t>
    </r>
  </si>
  <si>
    <r>
      <t xml:space="preserve">Fittings - </t>
    </r>
    <r>
      <rPr>
        <b/>
        <sz val="7"/>
        <color indexed="10"/>
        <rFont val="Arial"/>
        <family val="2"/>
      </rPr>
      <t xml:space="preserve">ENTREGAR AL FORWARDER GEODIS                     </t>
    </r>
    <r>
      <rPr>
        <b/>
        <sz val="7"/>
        <color indexed="12"/>
        <rFont val="Arial"/>
        <family val="2"/>
      </rPr>
      <t xml:space="preserve"> EL CENTRO - 3° ENTREGA</t>
    </r>
  </si>
  <si>
    <r>
      <t xml:space="preserve">Fittings - </t>
    </r>
    <r>
      <rPr>
        <b/>
        <sz val="7"/>
        <color indexed="10"/>
        <rFont val="Arial"/>
        <family val="2"/>
      </rPr>
      <t xml:space="preserve">ENTREGAR AL FORWARDER GEODIS       </t>
    </r>
  </si>
  <si>
    <t>Pago 1/11/2011.Petroingeniera 5,8%</t>
  </si>
  <si>
    <t>123/11CEC</t>
  </si>
  <si>
    <t>AUSTRIA</t>
  </si>
  <si>
    <r>
      <t xml:space="preserve">Bombas y Fittings - </t>
    </r>
    <r>
      <rPr>
        <b/>
        <sz val="7"/>
        <color indexed="12"/>
        <rFont val="Arial"/>
        <family val="2"/>
      </rPr>
      <t>PAGO ANTICIPADO</t>
    </r>
  </si>
  <si>
    <r>
      <t>50 vástagos</t>
    </r>
    <r>
      <rPr>
        <b/>
        <sz val="7"/>
        <color indexed="12"/>
        <rFont val="Arial"/>
        <family val="2"/>
      </rPr>
      <t xml:space="preserve">  - 1° ENVÍO</t>
    </r>
  </si>
  <si>
    <r>
      <t>178 vástagos</t>
    </r>
    <r>
      <rPr>
        <b/>
        <sz val="7"/>
        <color indexed="12"/>
        <rFont val="Arial"/>
        <family val="2"/>
      </rPr>
      <t xml:space="preserve"> - 2° ENVÍO</t>
    </r>
  </si>
  <si>
    <r>
      <t xml:space="preserve">136 válvulas - </t>
    </r>
    <r>
      <rPr>
        <sz val="7"/>
        <color indexed="12"/>
        <rFont val="Arial"/>
        <family val="2"/>
      </rPr>
      <t>SE ENVÍAN DESDE TANTAL</t>
    </r>
  </si>
  <si>
    <t>Petrobras nos posterga el vencimiento, del 14/04 al 23/04 (mail del 14/04-por el problema del paro)</t>
  </si>
  <si>
    <r>
      <t xml:space="preserve">234 válvulas - </t>
    </r>
    <r>
      <rPr>
        <sz val="7"/>
        <color indexed="12"/>
        <rFont val="Arial"/>
        <family val="2"/>
      </rPr>
      <t>SE ENVÍAN DESDE TANTAL</t>
    </r>
  </si>
  <si>
    <r>
      <t xml:space="preserve">300 válvulas - </t>
    </r>
    <r>
      <rPr>
        <sz val="7"/>
        <color indexed="12"/>
        <rFont val="Arial"/>
        <family val="2"/>
      </rPr>
      <t>SE ENVÍAN DESDE TANTAL</t>
    </r>
  </si>
  <si>
    <r>
      <t xml:space="preserve">224 válvulas - </t>
    </r>
    <r>
      <rPr>
        <sz val="7"/>
        <color indexed="12"/>
        <rFont val="Arial"/>
        <family val="2"/>
      </rPr>
      <t>SE ENVÍAN DESDE TANTAL</t>
    </r>
  </si>
  <si>
    <r>
      <t xml:space="preserve">3 bombas </t>
    </r>
    <r>
      <rPr>
        <b/>
        <sz val="7"/>
        <color indexed="10"/>
        <rFont val="Arial"/>
        <family val="2"/>
      </rPr>
      <t>- ENTREGAR A TRANSP. VESPRINI</t>
    </r>
  </si>
  <si>
    <r>
      <t>Fittings -</t>
    </r>
    <r>
      <rPr>
        <sz val="7"/>
        <color indexed="10"/>
        <rFont val="Arial"/>
        <family val="2"/>
      </rPr>
      <t xml:space="preserve"> RIO GALLEGOS</t>
    </r>
  </si>
  <si>
    <r>
      <t xml:space="preserve">22 Bombas - </t>
    </r>
    <r>
      <rPr>
        <b/>
        <sz val="7"/>
        <color indexed="10"/>
        <rFont val="Arial"/>
        <family val="2"/>
      </rPr>
      <t>ENVIAR EL REPORTE DE ARMADO</t>
    </r>
  </si>
  <si>
    <r>
      <t xml:space="preserve">2 vastagos </t>
    </r>
    <r>
      <rPr>
        <sz val="7"/>
        <color indexed="10"/>
        <rFont val="Arial"/>
        <family val="2"/>
      </rPr>
      <t>- Rio Gallegos</t>
    </r>
  </si>
  <si>
    <r>
      <t>6 bombas + fittings</t>
    </r>
    <r>
      <rPr>
        <b/>
        <sz val="7"/>
        <color indexed="10"/>
        <rFont val="Arial"/>
        <family val="2"/>
      </rPr>
      <t xml:space="preserve"> - TRANSPORTE KONIG</t>
    </r>
  </si>
  <si>
    <r>
      <t>5 vastagos</t>
    </r>
    <r>
      <rPr>
        <b/>
        <sz val="7"/>
        <color indexed="10"/>
        <rFont val="Arial"/>
        <family val="2"/>
      </rPr>
      <t xml:space="preserve"> - TRANSPORTE KONIG</t>
    </r>
  </si>
  <si>
    <r>
      <t>12 nipples</t>
    </r>
    <r>
      <rPr>
        <b/>
        <sz val="7"/>
        <color indexed="10"/>
        <rFont val="Arial"/>
        <family val="2"/>
      </rPr>
      <t xml:space="preserve"> </t>
    </r>
  </si>
  <si>
    <r>
      <t>4 bombas</t>
    </r>
    <r>
      <rPr>
        <sz val="7"/>
        <color indexed="10"/>
        <rFont val="Arial"/>
        <family val="2"/>
      </rPr>
      <t xml:space="preserve"> - 1° ENVIO</t>
    </r>
  </si>
  <si>
    <r>
      <t xml:space="preserve">16 bombas </t>
    </r>
    <r>
      <rPr>
        <sz val="7"/>
        <color indexed="10"/>
        <rFont val="Arial"/>
        <family val="2"/>
      </rPr>
      <t>- 2° ENVIO</t>
    </r>
  </si>
  <si>
    <r>
      <t xml:space="preserve">PAGO:  U$ 430,657,50 ANTICIPADO - OK  --- 16 de Ene se recibio el resto (U$ 430.265,07), pero se debio rechazar el pago. 28 de Marzo se recibio el pago restante. </t>
    </r>
    <r>
      <rPr>
        <b/>
        <sz val="7"/>
        <color indexed="10"/>
        <rFont val="Arial"/>
        <family val="2"/>
      </rPr>
      <t>FALTA PAGAR U$ 8.845 - Pago 30 Jul. 2012</t>
    </r>
  </si>
  <si>
    <r>
      <t>26 bombas -</t>
    </r>
    <r>
      <rPr>
        <b/>
        <sz val="7"/>
        <color indexed="10"/>
        <rFont val="Arial"/>
        <family val="2"/>
      </rPr>
      <t xml:space="preserve"> CERTIFICADOS DE CALIDAD</t>
    </r>
  </si>
  <si>
    <t>Recibido:  19/09/12 - U$ 164.640</t>
  </si>
  <si>
    <r>
      <t>Fittings</t>
    </r>
    <r>
      <rPr>
        <b/>
        <sz val="7"/>
        <color indexed="10"/>
        <rFont val="Arial"/>
        <family val="2"/>
      </rPr>
      <t xml:space="preserve"> - 1° PARCIAL</t>
    </r>
  </si>
  <si>
    <r>
      <t>Fittings</t>
    </r>
    <r>
      <rPr>
        <b/>
        <sz val="7"/>
        <color indexed="10"/>
        <rFont val="Arial"/>
        <family val="2"/>
      </rPr>
      <t xml:space="preserve"> - 2° PARCIAL</t>
    </r>
  </si>
  <si>
    <r>
      <t>Fittings</t>
    </r>
    <r>
      <rPr>
        <b/>
        <sz val="7"/>
        <color indexed="10"/>
        <rFont val="Arial"/>
        <family val="2"/>
      </rPr>
      <t xml:space="preserve"> - 3° PARCIAL</t>
    </r>
  </si>
  <si>
    <r>
      <t>Fittings</t>
    </r>
    <r>
      <rPr>
        <b/>
        <sz val="7"/>
        <color indexed="10"/>
        <rFont val="Arial"/>
        <family val="2"/>
      </rPr>
      <t xml:space="preserve"> - 4° PARCIAL</t>
    </r>
  </si>
  <si>
    <r>
      <t>Fittings</t>
    </r>
    <r>
      <rPr>
        <b/>
        <sz val="7"/>
        <color indexed="10"/>
        <rFont val="Arial"/>
        <family val="2"/>
      </rPr>
      <t xml:space="preserve"> - 1° PARCIAL - FORWARDER GEODIS - </t>
    </r>
    <r>
      <rPr>
        <b/>
        <sz val="7"/>
        <color indexed="12"/>
        <rFont val="Arial"/>
        <family val="2"/>
      </rPr>
      <t>ENVIAR MAQUETA</t>
    </r>
  </si>
  <si>
    <r>
      <t>Fittings</t>
    </r>
    <r>
      <rPr>
        <b/>
        <sz val="7"/>
        <color indexed="10"/>
        <rFont val="Arial"/>
        <family val="2"/>
      </rPr>
      <t xml:space="preserve"> - FORWARDER GEODIS</t>
    </r>
  </si>
  <si>
    <r>
      <t>Fittings</t>
    </r>
    <r>
      <rPr>
        <b/>
        <sz val="7"/>
        <color indexed="10"/>
        <rFont val="Arial"/>
        <family val="2"/>
      </rPr>
      <t xml:space="preserve"> - 2° PARCIAL - FORWARDER GEODIS</t>
    </r>
  </si>
  <si>
    <r>
      <t>1  bomba</t>
    </r>
    <r>
      <rPr>
        <b/>
        <sz val="7"/>
        <color indexed="10"/>
        <rFont val="Arial"/>
        <family val="2"/>
      </rPr>
      <t xml:space="preserve"> - FORWARDER GEODIS</t>
    </r>
  </si>
  <si>
    <r>
      <t xml:space="preserve">Barriles - </t>
    </r>
    <r>
      <rPr>
        <b/>
        <sz val="7"/>
        <color indexed="10"/>
        <rFont val="Arial"/>
        <family val="2"/>
      </rPr>
      <t>ENVIAR EN CONTENEDOR COMPLETO EXCLUSIVO</t>
    </r>
  </si>
  <si>
    <r>
      <t xml:space="preserve">5 nipples - </t>
    </r>
    <r>
      <rPr>
        <b/>
        <sz val="7"/>
        <color indexed="10"/>
        <rFont val="Arial"/>
        <family val="2"/>
      </rPr>
      <t>DESPACHAR CON OTRA CARGA</t>
    </r>
  </si>
  <si>
    <r>
      <t xml:space="preserve">45 bombas + Fittings - </t>
    </r>
    <r>
      <rPr>
        <b/>
        <sz val="7"/>
        <color indexed="10"/>
        <rFont val="Arial"/>
        <family val="2"/>
      </rPr>
      <t>1° ENVIO</t>
    </r>
  </si>
  <si>
    <r>
      <t>44 bombas</t>
    </r>
    <r>
      <rPr>
        <b/>
        <sz val="7"/>
        <color indexed="10"/>
        <rFont val="Arial"/>
        <family val="2"/>
      </rPr>
      <t xml:space="preserve"> - 2° ENVIO</t>
    </r>
  </si>
  <si>
    <r>
      <t xml:space="preserve">2 bombas + nipples- </t>
    </r>
    <r>
      <rPr>
        <b/>
        <sz val="7"/>
        <color indexed="10"/>
        <rFont val="Arial"/>
        <family val="2"/>
      </rPr>
      <t>W. PETROLEO</t>
    </r>
  </si>
  <si>
    <r>
      <t>25 bombas + Fittings -</t>
    </r>
    <r>
      <rPr>
        <b/>
        <sz val="7"/>
        <color indexed="10"/>
        <rFont val="Arial"/>
        <family val="2"/>
      </rPr>
      <t xml:space="preserve"> 2° ENVIO</t>
    </r>
  </si>
  <si>
    <t>atrasado</t>
  </si>
  <si>
    <t>en término</t>
  </si>
  <si>
    <r>
      <t xml:space="preserve">10 bombas </t>
    </r>
    <r>
      <rPr>
        <b/>
        <sz val="7"/>
        <color indexed="10"/>
        <rFont val="Arial"/>
        <family val="2"/>
      </rPr>
      <t>- 1° ENVIO</t>
    </r>
  </si>
  <si>
    <r>
      <t xml:space="preserve">45 vastagos </t>
    </r>
    <r>
      <rPr>
        <b/>
        <sz val="7"/>
        <color indexed="10"/>
        <rFont val="Arial"/>
        <family val="2"/>
      </rPr>
      <t>- 1° ENVIO</t>
    </r>
  </si>
  <si>
    <r>
      <t xml:space="preserve">Fittings  </t>
    </r>
    <r>
      <rPr>
        <b/>
        <sz val="7"/>
        <color indexed="12"/>
        <rFont val="Arial"/>
        <family val="2"/>
      </rPr>
      <t>- CERTIFICADOS DE CALIDAD</t>
    </r>
  </si>
  <si>
    <r>
      <t xml:space="preserve">Pago  50% anticipado - 50 % al momento del embarque - </t>
    </r>
    <r>
      <rPr>
        <sz val="7"/>
        <color indexed="10"/>
        <rFont val="Arial"/>
        <family val="2"/>
      </rPr>
      <t>03/12 se pago el anticipo (U$ 108.952,50) - 30/05 cancelado</t>
    </r>
  </si>
  <si>
    <r>
      <t xml:space="preserve">10 bombas </t>
    </r>
    <r>
      <rPr>
        <sz val="7"/>
        <color indexed="12"/>
        <rFont val="Arial"/>
        <family val="2"/>
      </rPr>
      <t>-</t>
    </r>
    <r>
      <rPr>
        <b/>
        <sz val="7"/>
        <color indexed="12"/>
        <rFont val="Arial"/>
        <family val="2"/>
      </rPr>
      <t xml:space="preserve"> PAGO ANTICIPADO</t>
    </r>
  </si>
  <si>
    <r>
      <t xml:space="preserve">Fittings  </t>
    </r>
    <r>
      <rPr>
        <b/>
        <sz val="7"/>
        <color indexed="10"/>
        <rFont val="Arial"/>
        <family val="2"/>
      </rPr>
      <t>- PAGO ANTICIPADO</t>
    </r>
  </si>
  <si>
    <r>
      <t xml:space="preserve">Fittings - </t>
    </r>
    <r>
      <rPr>
        <b/>
        <sz val="7"/>
        <color indexed="10"/>
        <rFont val="Arial"/>
        <family val="2"/>
      </rPr>
      <t>1° ENVIO</t>
    </r>
  </si>
  <si>
    <r>
      <t>Fittings -</t>
    </r>
    <r>
      <rPr>
        <b/>
        <sz val="7"/>
        <color indexed="10"/>
        <rFont val="Arial"/>
        <family val="2"/>
      </rPr>
      <t xml:space="preserve"> 2° ENVIO</t>
    </r>
  </si>
  <si>
    <r>
      <t xml:space="preserve">Bombas + Fittings - </t>
    </r>
    <r>
      <rPr>
        <b/>
        <sz val="7"/>
        <color indexed="10"/>
        <rFont val="Arial"/>
        <family val="2"/>
      </rPr>
      <t>ENVIAR MAQUETA</t>
    </r>
  </si>
  <si>
    <r>
      <t xml:space="preserve">Fittings  - </t>
    </r>
    <r>
      <rPr>
        <b/>
        <sz val="7"/>
        <color indexed="10"/>
        <rFont val="Arial"/>
        <family val="2"/>
      </rPr>
      <t>1° ENVIO</t>
    </r>
  </si>
  <si>
    <r>
      <t>Fittings</t>
    </r>
    <r>
      <rPr>
        <b/>
        <sz val="7"/>
        <color indexed="10"/>
        <rFont val="Arial"/>
        <family val="2"/>
      </rPr>
      <t xml:space="preserve"> - 2° ENVIO</t>
    </r>
  </si>
  <si>
    <r>
      <t>5 barriles</t>
    </r>
    <r>
      <rPr>
        <b/>
        <sz val="7"/>
        <color indexed="10"/>
        <rFont val="Arial"/>
        <family val="2"/>
      </rPr>
      <t xml:space="preserve"> - 3° ENVIO</t>
    </r>
  </si>
  <si>
    <r>
      <t>Fittings -</t>
    </r>
    <r>
      <rPr>
        <b/>
        <sz val="7"/>
        <color indexed="10"/>
        <rFont val="Arial"/>
        <family val="2"/>
      </rPr>
      <t xml:space="preserve"> Se envian desde USA</t>
    </r>
  </si>
  <si>
    <r>
      <t xml:space="preserve">Pago  50% anticipado - 50 % al momento del embarque (U$ 198.920) - </t>
    </r>
    <r>
      <rPr>
        <sz val="7"/>
        <color indexed="10"/>
        <rFont val="Arial"/>
        <family val="2"/>
      </rPr>
      <t xml:space="preserve">1° PAGO RECIBIDO EL 12 DE NOV. - 2° PAGO RECIBIDO EL 20 DE MARZO. </t>
    </r>
  </si>
  <si>
    <r>
      <rPr>
        <sz val="7"/>
        <color indexed="10"/>
        <rFont val="Arial"/>
        <family val="2"/>
      </rPr>
      <t xml:space="preserve">FALTA FORWARDER - </t>
    </r>
    <r>
      <rPr>
        <sz val="7"/>
        <rFont val="Arial"/>
        <family val="2"/>
      </rPr>
      <t>Pago anticipado:  50% con la PO y 50% al momento del embarque - Anticipo cancelado el 15 de Julio (U$ 2510,50)</t>
    </r>
  </si>
  <si>
    <r>
      <t xml:space="preserve">Material terminado el 10 de feb. Estamos aguardando el pago del cliente. - </t>
    </r>
    <r>
      <rPr>
        <sz val="7"/>
        <color indexed="10"/>
        <rFont val="Arial"/>
        <family val="2"/>
      </rPr>
      <t>CANCELAMOS LA PO POR FALTA DE PAGO</t>
    </r>
  </si>
  <si>
    <t>FALTA FORWARDER</t>
  </si>
  <si>
    <r>
      <t>3 bombas</t>
    </r>
    <r>
      <rPr>
        <b/>
        <sz val="7"/>
        <color indexed="10"/>
        <rFont val="Arial"/>
        <family val="2"/>
      </rPr>
      <t xml:space="preserve"> - PUERTO DE SANTOS - INSPECCION TIPO B</t>
    </r>
  </si>
  <si>
    <r>
      <t xml:space="preserve">35 bombas </t>
    </r>
    <r>
      <rPr>
        <b/>
        <sz val="7"/>
        <color indexed="10"/>
        <rFont val="Arial"/>
        <family val="2"/>
      </rPr>
      <t>- PUERTO DE SANTOS - INSPECCION TIPO A</t>
    </r>
  </si>
  <si>
    <r>
      <t>80 bombas</t>
    </r>
    <r>
      <rPr>
        <b/>
        <sz val="7"/>
        <color indexed="10"/>
        <rFont val="Arial"/>
        <family val="2"/>
      </rPr>
      <t xml:space="preserve"> </t>
    </r>
  </si>
  <si>
    <r>
      <t>58 bombas -</t>
    </r>
    <r>
      <rPr>
        <b/>
        <sz val="9"/>
        <color indexed="10"/>
        <rFont val="Arial"/>
        <family val="2"/>
      </rPr>
      <t xml:space="preserve"> 2° ENVIO</t>
    </r>
  </si>
  <si>
    <r>
      <t xml:space="preserve">31 Bombas + Fittings </t>
    </r>
    <r>
      <rPr>
        <sz val="7"/>
        <color indexed="10"/>
        <rFont val="Arial"/>
        <family val="2"/>
      </rPr>
      <t>- 1° ENVIO</t>
    </r>
  </si>
  <si>
    <r>
      <t xml:space="preserve">3 Bombas + Fittings </t>
    </r>
    <r>
      <rPr>
        <sz val="7"/>
        <color indexed="10"/>
        <rFont val="Arial"/>
        <family val="2"/>
      </rPr>
      <t>- 2° ENVIO</t>
    </r>
  </si>
  <si>
    <r>
      <t>8 Bombas + Fittings</t>
    </r>
    <r>
      <rPr>
        <sz val="7"/>
        <color indexed="10"/>
        <rFont val="Arial"/>
        <family val="2"/>
      </rPr>
      <t>- 1° ENVIO</t>
    </r>
  </si>
  <si>
    <r>
      <t>4 Bombas + Fittings</t>
    </r>
    <r>
      <rPr>
        <sz val="7"/>
        <color indexed="10"/>
        <rFont val="Arial"/>
        <family val="2"/>
      </rPr>
      <t>- 2° ENVIO</t>
    </r>
  </si>
  <si>
    <r>
      <t>53 Bombas + Fittings</t>
    </r>
    <r>
      <rPr>
        <sz val="7"/>
        <color indexed="10"/>
        <rFont val="Arial"/>
        <family val="2"/>
      </rPr>
      <t>- 1° ENVIO</t>
    </r>
  </si>
  <si>
    <r>
      <t>10 Bombas + Fittings</t>
    </r>
    <r>
      <rPr>
        <sz val="7"/>
        <color indexed="10"/>
        <rFont val="Arial"/>
        <family val="2"/>
      </rPr>
      <t>- 2° ENVIO</t>
    </r>
  </si>
  <si>
    <r>
      <t>100 vastagos -</t>
    </r>
    <r>
      <rPr>
        <sz val="7"/>
        <color indexed="10"/>
        <rFont val="Arial"/>
        <family val="2"/>
      </rPr>
      <t xml:space="preserve"> 1° ENVIO</t>
    </r>
  </si>
  <si>
    <r>
      <t>400 vastagos -</t>
    </r>
    <r>
      <rPr>
        <sz val="7"/>
        <color indexed="10"/>
        <rFont val="Arial"/>
        <family val="2"/>
      </rPr>
      <t xml:space="preserve"> 2° ENVIO</t>
    </r>
  </si>
  <si>
    <r>
      <t xml:space="preserve">Fittings - </t>
    </r>
    <r>
      <rPr>
        <b/>
        <sz val="7"/>
        <color indexed="10"/>
        <rFont val="Arial"/>
        <family val="2"/>
      </rPr>
      <t>ENVIAR MUESTA DE LOS ANILLOS "D"</t>
    </r>
  </si>
  <si>
    <t>Forwarder:  LCL IMPORTACION - PAGOS:  1° : 23 DE DIC. - 2° : 23 DE ENE - 3° : 23 DE FEB.</t>
  </si>
  <si>
    <t>SE PAGA EL 20 DE FEB. (OK - 10 Feb. - U$ 25,691) (OK - 15 Feb. - U$ 30.000) - 20 DE MARZ. (U$ 30.000)  - Forwarder: Navetrans</t>
  </si>
  <si>
    <t>PAGOS:  1° : 10 DE ABRIL (u$ 200.000) - 2° : 10 DE MAYO (u$ 33.988) -  Forwarder: Navetrans</t>
  </si>
  <si>
    <t>PAGOS  1° : 10 DE JUNIO - Forwarder: Senator</t>
  </si>
  <si>
    <t>Se posterga una semana por el temporal de CDR</t>
  </si>
  <si>
    <t>PAGO:  1° : 10 DE JULIO - Se posterga una semana por el temporal de CDR - Forwarder: Navetrans</t>
  </si>
  <si>
    <t>PAGOS:  1° : 60 dias de BL (u$ 29.000) - 2° : 90 dias de BL (u$ 29.000) - 3° : 120 dias de BL (u$ 28.134,60)  - SE POSTERGA UNA SEMANA POR EL TEMPORAL EN CDR  -  Forwarder: Navetrans</t>
  </si>
  <si>
    <t>PAGOS: 1° : 60 dias de BL (u$ 165.000) - 2° : 90 dias de BL (u$ 35.000) - 3° : 120 dias de BL (u$ 29.749,78)   -  A pedido del cliente se solicita demorar la salida de esta orden (prevista para fin de mayo) para enviarla junto a  la PO 007-17</t>
  </si>
  <si>
    <t>Se envia junto a la 005</t>
  </si>
  <si>
    <t>Forwarder: NaveTrans - Se roleo la carga, del 02/12 paso al 9/12</t>
  </si>
  <si>
    <t>Se pidio juntar esta orden con la PO 17020001</t>
  </si>
  <si>
    <t>141 bombas</t>
  </si>
  <si>
    <t>PAGO:  27/01 se hizo el pago anticipado del 50%</t>
  </si>
  <si>
    <t>PAGO:  11/04 se hizo el pago anticipado (USD  12753.5 )</t>
  </si>
  <si>
    <t>(Todas)</t>
  </si>
  <si>
    <t>Suma de MONTO U$S</t>
  </si>
  <si>
    <t>Total</t>
  </si>
  <si>
    <t>Total 2007</t>
  </si>
  <si>
    <t>Total 2008</t>
  </si>
  <si>
    <t>Total 2009</t>
  </si>
  <si>
    <t>Total 2010</t>
  </si>
  <si>
    <t>Total 2011</t>
  </si>
  <si>
    <t>Total 2012</t>
  </si>
  <si>
    <t>Total 2013</t>
  </si>
  <si>
    <t>Total 2014</t>
  </si>
  <si>
    <t>Total 2015</t>
  </si>
  <si>
    <t>Total 2016</t>
  </si>
  <si>
    <t>Total 2017</t>
  </si>
  <si>
    <t>Total general</t>
  </si>
  <si>
    <t>Promedio de Adelanto/Atraso</t>
  </si>
  <si>
    <t>AÑO2</t>
  </si>
  <si>
    <t>EN TERMINO = 1 // ATRASADO = 0</t>
  </si>
  <si>
    <t>Suma de PO en término</t>
  </si>
  <si>
    <t>007-18</t>
  </si>
  <si>
    <t xml:space="preserve"> Fittings ( Mansarovar)</t>
  </si>
  <si>
    <t>161 Bombas</t>
  </si>
  <si>
    <t>017/18 TAL</t>
  </si>
  <si>
    <t>078/17 BBR</t>
  </si>
  <si>
    <t>AGROILECOM</t>
  </si>
  <si>
    <t>022/18WGP</t>
  </si>
  <si>
    <t>Santiago</t>
  </si>
  <si>
    <t>Comodoro Riv</t>
  </si>
  <si>
    <t>TERRESTE</t>
  </si>
  <si>
    <t>61 Bombas</t>
  </si>
  <si>
    <t>18040002(4508256012)</t>
  </si>
  <si>
    <t>Bomar v.023</t>
  </si>
  <si>
    <t>vastagos (5)</t>
  </si>
  <si>
    <t>awb53031419721</t>
  </si>
  <si>
    <t>MSC BARCELONA V1814</t>
  </si>
  <si>
    <t>005/18 BBR</t>
  </si>
  <si>
    <t>029/18CPG</t>
  </si>
  <si>
    <t>008-18</t>
  </si>
  <si>
    <t>18060001(4508337567)</t>
  </si>
  <si>
    <t>031/18CPG</t>
  </si>
  <si>
    <t>009-18</t>
  </si>
  <si>
    <t xml:space="preserve">                    </t>
  </si>
  <si>
    <t>010-18</t>
  </si>
  <si>
    <t xml:space="preserve"> Fittings </t>
  </si>
  <si>
    <t>011-18</t>
  </si>
  <si>
    <t>Rita v,11</t>
  </si>
  <si>
    <t>23 a 25 jul</t>
  </si>
  <si>
    <t>En mano AP</t>
  </si>
  <si>
    <t>Rita v.12</t>
  </si>
  <si>
    <t xml:space="preserve">Rita v.12
</t>
  </si>
  <si>
    <t>005/18/ BBR</t>
  </si>
  <si>
    <t>17 bombas,fittinga y copas</t>
  </si>
  <si>
    <t>36 fittings</t>
  </si>
  <si>
    <t>16 fittings</t>
  </si>
  <si>
    <t>15 bombas ,fittings y copas</t>
  </si>
  <si>
    <t>fittings y copas</t>
  </si>
  <si>
    <r>
      <t>A. Pigni:  solicita pagar en 90 dias.</t>
    </r>
    <r>
      <rPr>
        <b/>
        <sz val="8"/>
        <rFont val="Arial"/>
        <family val="2"/>
      </rPr>
      <t xml:space="preserve"> 1 entrega Salida planta :11/10
2 entrega: Salida planta : 06/12</t>
    </r>
  </si>
  <si>
    <t>A. Pigni:  solicita pagar en 90 dias.</t>
  </si>
  <si>
    <t>Niples y pistones</t>
  </si>
  <si>
    <r>
      <t>A. Pigni:  solicita pagar en 90 dias.</t>
    </r>
    <r>
      <rPr>
        <sz val="8"/>
        <rFont val="Arial"/>
        <family val="2"/>
      </rPr>
      <t xml:space="preserve">
</t>
    </r>
  </si>
  <si>
    <t>Rita v.13</t>
  </si>
  <si>
    <t>013-18</t>
  </si>
  <si>
    <t>041/18 WPG</t>
  </si>
  <si>
    <t>SI-23 Sept</t>
  </si>
  <si>
    <t>18050001 (4508280149)</t>
  </si>
  <si>
    <t>18070008 (4508346143)</t>
  </si>
  <si>
    <t>18060002 (4508334616)</t>
  </si>
  <si>
    <t>18060007 (4508334616)</t>
  </si>
  <si>
    <t>10al12/9</t>
  </si>
  <si>
    <r>
      <t xml:space="preserve">14 bombas, fittings, copas y valvulas -    </t>
    </r>
    <r>
      <rPr>
        <sz val="9"/>
        <color rgb="FFFF0000"/>
        <rFont val="Arial"/>
        <family val="2"/>
      </rPr>
      <t>1° ENTREGA</t>
    </r>
  </si>
  <si>
    <r>
      <t xml:space="preserve">14 bombas, fittings, copas y valvulas -     </t>
    </r>
    <r>
      <rPr>
        <sz val="9"/>
        <color rgb="FFFF0000"/>
        <rFont val="Arial"/>
        <family val="2"/>
      </rPr>
      <t>2° ENTREGA</t>
    </r>
  </si>
  <si>
    <r>
      <t xml:space="preserve">160 bombas , fittings y pistones -              </t>
    </r>
    <r>
      <rPr>
        <sz val="9"/>
        <color rgb="FFFF0000"/>
        <rFont val="Arial"/>
        <family val="2"/>
      </rPr>
      <t>1°  ENTREGA</t>
    </r>
  </si>
  <si>
    <r>
      <t xml:space="preserve">160 bombas , fittings y pistones  -            </t>
    </r>
    <r>
      <rPr>
        <sz val="9"/>
        <color rgb="FFFF0000"/>
        <rFont val="Arial"/>
        <family val="2"/>
      </rPr>
      <t>2° ENTREGA</t>
    </r>
  </si>
  <si>
    <t xml:space="preserve">Rita v.13
</t>
  </si>
  <si>
    <t>Bomar v 27.</t>
  </si>
  <si>
    <r>
      <t xml:space="preserve">160 bombas , fittings y pistones  -            </t>
    </r>
    <r>
      <rPr>
        <sz val="9"/>
        <color rgb="FFFF0000"/>
        <rFont val="Arial"/>
        <family val="2"/>
      </rPr>
      <t>3° ENTREGA</t>
    </r>
  </si>
  <si>
    <t>18070004 (4508346140)</t>
  </si>
  <si>
    <r>
      <t xml:space="preserve">30 bombas - </t>
    </r>
    <r>
      <rPr>
        <sz val="9"/>
        <color rgb="FFFF0000"/>
        <rFont val="Arial"/>
        <family val="2"/>
      </rPr>
      <t xml:space="preserve"> 1°  ENTREGA</t>
    </r>
  </si>
  <si>
    <r>
      <t xml:space="preserve">30 bombas -   </t>
    </r>
    <r>
      <rPr>
        <sz val="9"/>
        <color rgb="FFFF0000"/>
        <rFont val="Arial"/>
        <family val="2"/>
      </rPr>
      <t>2°  ENTREGA</t>
    </r>
  </si>
  <si>
    <t>18070005 (4508346140)</t>
  </si>
  <si>
    <t>18070003 (4508351040)</t>
  </si>
  <si>
    <r>
      <t>A. Pigni:  solicita pagar en 90 dias.</t>
    </r>
    <r>
      <rPr>
        <sz val="8"/>
        <color rgb="FF0000FF"/>
        <rFont val="Arial"/>
        <family val="2"/>
      </rPr>
      <t/>
    </r>
  </si>
  <si>
    <t>18070001 (4508351042)</t>
  </si>
  <si>
    <t>2 bombas (se suspenden 4 bombas)</t>
  </si>
  <si>
    <t>18080005 (4508595390)</t>
  </si>
  <si>
    <t>18080007 (4508583680)</t>
  </si>
  <si>
    <t>18080006 (4508583682)</t>
  </si>
  <si>
    <t>18090001 (4508584886)</t>
  </si>
  <si>
    <t>18060003 (4508386980)</t>
  </si>
  <si>
    <t>18060004 (4508386980)</t>
  </si>
  <si>
    <r>
      <t xml:space="preserve">158 Fittings y 80 Pistones - </t>
    </r>
    <r>
      <rPr>
        <sz val="9"/>
        <color rgb="FFFF0000"/>
        <rFont val="Arial"/>
        <family val="2"/>
      </rPr>
      <t>1° ENTREGA</t>
    </r>
  </si>
  <si>
    <r>
      <t xml:space="preserve">158 Fittings y 80 Pistones - </t>
    </r>
    <r>
      <rPr>
        <sz val="9"/>
        <color rgb="FFFF0000"/>
        <rFont val="Arial"/>
        <family val="2"/>
      </rPr>
      <t>2° ENTREGA</t>
    </r>
  </si>
  <si>
    <t>18070010 (4508481182)</t>
  </si>
  <si>
    <t>18070011 (4508476044)</t>
  </si>
  <si>
    <t>18070009 (4508506147)</t>
  </si>
  <si>
    <t>18080001 (4508583772)</t>
  </si>
  <si>
    <t>18080002 (4508583772)</t>
  </si>
  <si>
    <t>18080003 (4508583772)</t>
  </si>
  <si>
    <r>
      <t xml:space="preserve">60 pistones - </t>
    </r>
    <r>
      <rPr>
        <sz val="9"/>
        <color rgb="FFFF0000"/>
        <rFont val="Arial"/>
        <family val="2"/>
      </rPr>
      <t>1° ENTREGA</t>
    </r>
  </si>
  <si>
    <t>18090002 (4508683380)</t>
  </si>
  <si>
    <t>18090003 (4508661341)</t>
  </si>
  <si>
    <t>18080004 (4508574932)</t>
  </si>
  <si>
    <t>045/18 BBR</t>
  </si>
  <si>
    <t>18050003 (4508335354)</t>
  </si>
  <si>
    <t>ACUERDO ECOPETROL (076/17 CPG)</t>
  </si>
  <si>
    <t>052/18 CPG</t>
  </si>
  <si>
    <t>037/18 CPG</t>
  </si>
  <si>
    <t>032/18 CPG</t>
  </si>
  <si>
    <t>Palena</t>
  </si>
  <si>
    <t>SI - 09 Oct.</t>
  </si>
  <si>
    <t>SI - 09 Oct</t>
  </si>
  <si>
    <t>023/18CPG</t>
  </si>
  <si>
    <t>QT4078/07</t>
  </si>
  <si>
    <t>Jacaranda V 093N</t>
  </si>
  <si>
    <t>026/18 EAG</t>
  </si>
  <si>
    <t>NORDIC MACAU V.017</t>
  </si>
  <si>
    <t>CSCL SAN JOSE</t>
  </si>
  <si>
    <t>ER CANADA</t>
  </si>
  <si>
    <t>012/18 BBR</t>
  </si>
  <si>
    <t>005-18</t>
  </si>
  <si>
    <t>Rhodos</t>
  </si>
  <si>
    <t>082/17CPG</t>
  </si>
  <si>
    <t>004-18</t>
  </si>
  <si>
    <t>081/17CPG</t>
  </si>
  <si>
    <t>003-18</t>
  </si>
  <si>
    <t>18001EC01072403F</t>
  </si>
  <si>
    <t>18100001 (4508708975)</t>
  </si>
  <si>
    <t>18014EC01000352J</t>
  </si>
  <si>
    <t>Se demoro por tema de materia prima y despues el buque. De Planta salia el el 21/09 pero salio el 4/10.  El buque iba a ser el 20/10 pero se paso al 27/10.</t>
  </si>
  <si>
    <t>REPRESENTACIONES GLOBAL AMERICA C.A.</t>
  </si>
  <si>
    <t>OC-0001172</t>
  </si>
  <si>
    <t>18100002 (4508616751)</t>
  </si>
  <si>
    <t>ACUERDO MANSAROVAR</t>
  </si>
  <si>
    <t>015-18</t>
  </si>
  <si>
    <t>18110002 (4508771520)</t>
  </si>
  <si>
    <t>18110001 (4508764770)</t>
  </si>
  <si>
    <r>
      <t>A. Pigni:  solicita pagar en 90 dias.</t>
    </r>
    <r>
      <rPr>
        <b/>
        <sz val="8"/>
        <rFont val="Arial"/>
        <family val="2"/>
      </rPr>
      <t xml:space="preserve"> 1 entrega Salida planta :11/10
2 entrega se posterga, del 08/11 pasa al 15/11 por falta de inspeccion</t>
    </r>
  </si>
  <si>
    <t>Salida de planta se posterga, del 08/11 pasa al 15/11 por falta de inspeccion</t>
  </si>
  <si>
    <r>
      <t xml:space="preserve">A. Pigni:  solicita pagar en 90 dias. </t>
    </r>
    <r>
      <rPr>
        <b/>
        <sz val="8"/>
        <rFont val="Arial"/>
        <family val="2"/>
      </rPr>
      <t>Salida de planta se posterga, del 08/11 pasa al 15/11 por falta de inspeccion</t>
    </r>
  </si>
  <si>
    <r>
      <t xml:space="preserve">A. Pigni:  solicita pagar en 90 dias.  </t>
    </r>
    <r>
      <rPr>
        <b/>
        <sz val="8"/>
        <rFont val="Arial"/>
        <family val="2"/>
      </rPr>
      <t>Salida de planta se posterga, del 08/11 pasa al 15/11 por falta de inspeccion</t>
    </r>
  </si>
  <si>
    <r>
      <t xml:space="preserve">A. Pigni:  solicita pagar en 90 dias  -  Se anula PCS original , cambia para numero 4508595390.  </t>
    </r>
    <r>
      <rPr>
        <b/>
        <sz val="8"/>
        <rFont val="Arial"/>
        <family val="2"/>
      </rPr>
      <t>Salida de planta se posterga, del 08/11 pasa al 15/11 por falta de inspeccion</t>
    </r>
  </si>
  <si>
    <t>Rita V. 015</t>
  </si>
  <si>
    <t>18110003 (4508787093)</t>
  </si>
  <si>
    <t>18050002 (4508317910)</t>
  </si>
  <si>
    <t>18060005 (4508337567)</t>
  </si>
  <si>
    <t>18060006 (4508337567)</t>
  </si>
  <si>
    <t>Total 2018</t>
  </si>
  <si>
    <t>18110004 (4508796578)</t>
  </si>
  <si>
    <t>18014EC01000400U</t>
  </si>
  <si>
    <t>SI - 16/8</t>
  </si>
  <si>
    <t>018/18 CPG</t>
  </si>
  <si>
    <t>001-19</t>
  </si>
  <si>
    <t>002-19</t>
  </si>
  <si>
    <t>Forwarder: Delpa</t>
  </si>
  <si>
    <r>
      <t>A. Pigni:  solicita pagar en 90 dias.</t>
    </r>
    <r>
      <rPr>
        <b/>
        <sz val="8"/>
        <rFont val="Arial"/>
        <family val="2"/>
      </rPr>
      <t xml:space="preserve"> 1 entrega Salida planta :11/10 
2 entrega: Salida planta : 06/12 -  </t>
    </r>
    <r>
      <rPr>
        <b/>
        <sz val="8"/>
        <color rgb="FFFF0000"/>
        <rFont val="Arial"/>
        <family val="2"/>
      </rPr>
      <t>- Se posterga la salida para 13/12 ya que Petrobras no envia el inspector</t>
    </r>
  </si>
  <si>
    <r>
      <t>A. Pigni:  solicita pagar en 90 dias -</t>
    </r>
    <r>
      <rPr>
        <sz val="8"/>
        <color rgb="FFFF0000"/>
        <rFont val="Arial"/>
        <family val="2"/>
      </rPr>
      <t xml:space="preserve"> Se posterga la salida para 13/12 ya que Petrobras no envia el inspector</t>
    </r>
  </si>
  <si>
    <r>
      <t>A. Pigni:  solicita pagar en 90 dias  -</t>
    </r>
    <r>
      <rPr>
        <sz val="8"/>
        <color rgb="FFFF0000"/>
        <rFont val="Arial"/>
        <family val="2"/>
      </rPr>
      <t xml:space="preserve"> Se posterga la salida para 13/12 ya que Petrobras no envia el inspector</t>
    </r>
  </si>
  <si>
    <r>
      <t xml:space="preserve">A. Pigni:  solicita pagar en 90 dias - </t>
    </r>
    <r>
      <rPr>
        <sz val="8"/>
        <color rgb="FFFF0000"/>
        <rFont val="Arial"/>
        <family val="2"/>
      </rPr>
      <t xml:space="preserve"> Se posterga la salida para 13/12 ya que Petrobras no envia el inspector</t>
    </r>
  </si>
  <si>
    <t>058/18 BBR</t>
  </si>
  <si>
    <t xml:space="preserve">Rita v 016 </t>
  </si>
  <si>
    <t>18120001 (4508772224)</t>
  </si>
  <si>
    <r>
      <t xml:space="preserve">1 piston </t>
    </r>
    <r>
      <rPr>
        <b/>
        <sz val="9"/>
        <color rgb="FFFF0000"/>
        <rFont val="Arial"/>
        <family val="2"/>
      </rPr>
      <t>- 1° ENTREGA</t>
    </r>
  </si>
  <si>
    <r>
      <t xml:space="preserve">fittings y 109 bombas </t>
    </r>
    <r>
      <rPr>
        <b/>
        <sz val="9"/>
        <color rgb="FFFF0000"/>
        <rFont val="Arial"/>
        <family val="2"/>
      </rPr>
      <t>- 2° ENTREGA</t>
    </r>
  </si>
  <si>
    <t>11y12/12</t>
  </si>
  <si>
    <r>
      <t xml:space="preserve">180 pistones - </t>
    </r>
    <r>
      <rPr>
        <sz val="9"/>
        <color rgb="FFFF0000"/>
        <rFont val="Arial"/>
        <family val="2"/>
      </rPr>
      <t>2° ENTREGA</t>
    </r>
  </si>
  <si>
    <r>
      <t xml:space="preserve">120 pistones - </t>
    </r>
    <r>
      <rPr>
        <sz val="9"/>
        <color rgb="FFFF0000"/>
        <rFont val="Arial"/>
        <family val="2"/>
      </rPr>
      <t>3° ENTREGA</t>
    </r>
  </si>
  <si>
    <t xml:space="preserve">2 bombas  </t>
  </si>
  <si>
    <t xml:space="preserve">120 pistones   </t>
  </si>
  <si>
    <t>fittings y 45 bombas</t>
  </si>
  <si>
    <t>2 bombas + fittings para Petroreconcavo</t>
  </si>
  <si>
    <t>fittings y 21 bombas</t>
  </si>
  <si>
    <t>67 pistones</t>
  </si>
  <si>
    <r>
      <t xml:space="preserve">51 bombas - OXY- </t>
    </r>
    <r>
      <rPr>
        <sz val="9"/>
        <color rgb="FFFF0000"/>
        <rFont val="Arial"/>
        <family val="2"/>
      </rPr>
      <t xml:space="preserve"> LLEVA CERTIFICADOS DE CALIDAD</t>
    </r>
  </si>
  <si>
    <r>
      <t xml:space="preserve"> Fittings  -  </t>
    </r>
    <r>
      <rPr>
        <sz val="9"/>
        <color rgb="FFFF0000"/>
        <rFont val="Arial"/>
        <family val="2"/>
      </rPr>
      <t>LLEVA CERTIFICADOS DE CALIDAD</t>
    </r>
  </si>
  <si>
    <t>Petroreconcavo N° 74288</t>
  </si>
  <si>
    <r>
      <t xml:space="preserve"> Fittings -  </t>
    </r>
    <r>
      <rPr>
        <sz val="9"/>
        <color rgb="FFFF0000"/>
        <rFont val="Arial"/>
        <family val="2"/>
      </rPr>
      <t xml:space="preserve"> LLEVA CERTIFICADOS DE CALIDAD</t>
    </r>
  </si>
  <si>
    <t>65 bombas + fittings</t>
  </si>
  <si>
    <t>003-19</t>
  </si>
  <si>
    <t>LOG-IN M.Guarani v 008</t>
  </si>
  <si>
    <t>18014EC01000424D</t>
  </si>
  <si>
    <t>18120002 (4508850800)</t>
  </si>
  <si>
    <t>18120003 (4508730953)</t>
  </si>
  <si>
    <t>045/15 CPG</t>
  </si>
  <si>
    <t>038/18 PWP</t>
  </si>
  <si>
    <t>SI - 26 Dic.</t>
  </si>
  <si>
    <t>25 bombas + Fittings</t>
  </si>
  <si>
    <t>Bomar 032</t>
  </si>
  <si>
    <t>26 5216 8901</t>
  </si>
  <si>
    <t>25 4139 6174</t>
  </si>
  <si>
    <t>19010001 (4508917411)</t>
  </si>
  <si>
    <t>25al27/1</t>
  </si>
  <si>
    <t>RHODOS</t>
  </si>
  <si>
    <t>062/18 WEN</t>
  </si>
  <si>
    <t>88 bombas + Fittings</t>
  </si>
  <si>
    <r>
      <t xml:space="preserve">fittings y 65 bombas </t>
    </r>
    <r>
      <rPr>
        <b/>
        <sz val="9"/>
        <color rgb="FFFF0000"/>
        <rFont val="Arial"/>
        <family val="2"/>
      </rPr>
      <t>- 3° ENTREGA</t>
    </r>
  </si>
  <si>
    <r>
      <t xml:space="preserve">fittings y 12 bombas </t>
    </r>
    <r>
      <rPr>
        <b/>
        <sz val="9"/>
        <color rgb="FFFF0000"/>
        <rFont val="Arial"/>
        <family val="2"/>
      </rPr>
      <t>- 4° ENTREGA</t>
    </r>
  </si>
  <si>
    <t>Forwarder: MSL Argentina</t>
  </si>
  <si>
    <t>19073EC01000331G</t>
  </si>
  <si>
    <t>18001EC01091941N</t>
  </si>
  <si>
    <t>UASC BUBIYAN 1848N</t>
  </si>
  <si>
    <t>19014EC01000014W</t>
  </si>
  <si>
    <t>18 4560 7470</t>
  </si>
  <si>
    <t>25al27/2</t>
  </si>
  <si>
    <t>15y16/01</t>
  </si>
  <si>
    <t>19001EC01006461H</t>
  </si>
  <si>
    <t>80 bombas + Fittings</t>
  </si>
  <si>
    <t>A. Pigni:  solicita pagar en 120 dias</t>
  </si>
  <si>
    <t>SI - Dic.</t>
  </si>
  <si>
    <t>18014EC01000348X</t>
  </si>
  <si>
    <t>Sept.</t>
  </si>
  <si>
    <t>19020001 (4508923410)</t>
  </si>
  <si>
    <t>19020002 (4508989272)</t>
  </si>
  <si>
    <t>004-19</t>
  </si>
  <si>
    <t>014/19 BBR</t>
  </si>
  <si>
    <t>19020004 (4509004566)</t>
  </si>
  <si>
    <t>Fittings (jaulas)</t>
  </si>
  <si>
    <r>
      <t xml:space="preserve">A. Pigni:  solicita pagar en 90 dias - </t>
    </r>
    <r>
      <rPr>
        <b/>
        <sz val="8"/>
        <color rgb="FFFF0000"/>
        <rFont val="Arial"/>
        <family val="2"/>
      </rPr>
      <t>Si Petrobras autoriza las entregas, se harian 6 entregas a apartir de Junio (87 bombas) y luego 88 bombas por mes hasta Noviembre inclusive</t>
    </r>
  </si>
  <si>
    <t>007/19 BBR</t>
  </si>
  <si>
    <t>Jacaranda. v 103</t>
  </si>
  <si>
    <t/>
  </si>
  <si>
    <t>19030001 (4509022998)</t>
  </si>
  <si>
    <t>19030002 (4509007467)</t>
  </si>
  <si>
    <t>19014EC01000103V</t>
  </si>
  <si>
    <r>
      <t xml:space="preserve"> Fittings - </t>
    </r>
    <r>
      <rPr>
        <b/>
        <sz val="9"/>
        <color rgb="FF0000FF"/>
        <rFont val="Arial"/>
        <family val="2"/>
      </rPr>
      <t xml:space="preserve">3° ENTREGA - </t>
    </r>
    <r>
      <rPr>
        <b/>
        <sz val="9"/>
        <color rgb="FFFF0000"/>
        <rFont val="Arial"/>
        <family val="2"/>
      </rPr>
      <t>LLEVA CERTIFICADOS DE CALIDAD</t>
    </r>
  </si>
  <si>
    <r>
      <t xml:space="preserve">Fittings - </t>
    </r>
    <r>
      <rPr>
        <b/>
        <sz val="9"/>
        <color rgb="FF0000FF"/>
        <rFont val="Arial"/>
        <family val="2"/>
      </rPr>
      <t xml:space="preserve">2° ENTREGA - </t>
    </r>
    <r>
      <rPr>
        <b/>
        <sz val="9"/>
        <color rgb="FFFF0000"/>
        <rFont val="Arial"/>
        <family val="2"/>
      </rPr>
      <t>LLEVA CERTIFICADOS DE CALIDAD</t>
    </r>
  </si>
  <si>
    <r>
      <t xml:space="preserve">Fittings - </t>
    </r>
    <r>
      <rPr>
        <b/>
        <sz val="9"/>
        <color rgb="FF0000FF"/>
        <rFont val="Arial"/>
        <family val="2"/>
      </rPr>
      <t xml:space="preserve">1° ENTREGA - </t>
    </r>
    <r>
      <rPr>
        <b/>
        <sz val="9"/>
        <color rgb="FFFF0000"/>
        <rFont val="Arial"/>
        <family val="2"/>
      </rPr>
      <t>LLEVA CERTIFICADOS DE CALIDAD</t>
    </r>
  </si>
  <si>
    <r>
      <t xml:space="preserve"> Bombas + Fittings -</t>
    </r>
    <r>
      <rPr>
        <b/>
        <sz val="9"/>
        <color rgb="FF0000FF"/>
        <rFont val="Arial"/>
        <family val="2"/>
      </rPr>
      <t xml:space="preserve"> 4° ENTREGA - </t>
    </r>
    <r>
      <rPr>
        <b/>
        <sz val="9"/>
        <color rgb="FFFF0000"/>
        <rFont val="Arial"/>
        <family val="2"/>
      </rPr>
      <t>LLEVA CERTIFICADOS DE CALIDAD</t>
    </r>
  </si>
  <si>
    <t>19001EC01016333G</t>
  </si>
  <si>
    <t xml:space="preserve">Jacaranda. v 104 </t>
  </si>
  <si>
    <t>019/19 EAG</t>
  </si>
  <si>
    <t>19014EC01000133B</t>
  </si>
  <si>
    <t>012-19</t>
  </si>
  <si>
    <t>Aereo con NaveTrans</t>
  </si>
  <si>
    <t>017/19 BBR</t>
  </si>
  <si>
    <t>19030003 (4509095899)</t>
  </si>
  <si>
    <t>027/19 TAL</t>
  </si>
  <si>
    <t>026/19 WEN</t>
  </si>
  <si>
    <t>022/19 BBR</t>
  </si>
  <si>
    <t>85 8560 3946</t>
  </si>
  <si>
    <t>028/19 BBR</t>
  </si>
  <si>
    <t>19040001 (4509131560)</t>
  </si>
  <si>
    <t>1904002 (4509136402)</t>
  </si>
  <si>
    <t>19040003 (4509120205)</t>
  </si>
  <si>
    <t>19040004 (4509134975)</t>
  </si>
  <si>
    <t>MSC Barcelona</t>
  </si>
  <si>
    <t>17 4774 8015</t>
  </si>
  <si>
    <t>19040005 (4509136256)</t>
  </si>
  <si>
    <t>19073EC01009413Z</t>
  </si>
  <si>
    <t>19014EC01000174G</t>
  </si>
  <si>
    <t>029/19 WEN</t>
  </si>
  <si>
    <t>en mano A.Pigni</t>
  </si>
  <si>
    <t>vastagos (96)</t>
  </si>
  <si>
    <t>19050002 (4509199238)</t>
  </si>
  <si>
    <t>19050004 (4509207174)</t>
  </si>
  <si>
    <t>19050005 (4509207442)</t>
  </si>
  <si>
    <t>19050006 (4509207444)</t>
  </si>
  <si>
    <t>19050007 (4509210958)</t>
  </si>
  <si>
    <t>Total 2019</t>
  </si>
  <si>
    <t>Bomar R. v 036</t>
  </si>
  <si>
    <t>BOMAR RESOLVE</t>
  </si>
  <si>
    <t>33 7462 7896</t>
  </si>
  <si>
    <t>35 bombas + Fittings</t>
  </si>
  <si>
    <t>Anticipado (50% restante + U$ 850)</t>
  </si>
  <si>
    <t>19001EC01034517K</t>
  </si>
  <si>
    <t>19050010 (4509272435)</t>
  </si>
  <si>
    <t>19050011 (4509272436)</t>
  </si>
  <si>
    <t>19050008 (4509244208)</t>
  </si>
  <si>
    <t>19050009 (4509246667)</t>
  </si>
  <si>
    <t>IMP 215/2019 (011-19)</t>
  </si>
  <si>
    <t>CEDIQUIM</t>
  </si>
  <si>
    <t>035/19 CDQ</t>
  </si>
  <si>
    <t>013/19 CDQ</t>
  </si>
  <si>
    <t>IMP 214/2019 (007-19)</t>
  </si>
  <si>
    <t>012/19 CDQ</t>
  </si>
  <si>
    <t>IMP 213/2019 (006-19)</t>
  </si>
  <si>
    <t>011/19 CDQ</t>
  </si>
  <si>
    <t>IMP 212/2019 (005-19)</t>
  </si>
  <si>
    <t>010/19 CDQ</t>
  </si>
  <si>
    <t>IMP 211/2019 (004-19)</t>
  </si>
  <si>
    <t>19060001 (4509270348)</t>
  </si>
  <si>
    <t>19060002 (4509278405)</t>
  </si>
  <si>
    <t>19001EC01033455K</t>
  </si>
  <si>
    <t>020/19 CDQ</t>
  </si>
  <si>
    <t>021/19 CDQ</t>
  </si>
  <si>
    <t>039/18 CDQ</t>
  </si>
  <si>
    <r>
      <t xml:space="preserve">83 bombas - </t>
    </r>
    <r>
      <rPr>
        <b/>
        <sz val="9"/>
        <color rgb="FFFF0000"/>
        <rFont val="Arial"/>
        <family val="2"/>
      </rPr>
      <t>1° ENTREGA (valor con el 4% de descuento)</t>
    </r>
  </si>
  <si>
    <t>74 3321 8656</t>
  </si>
  <si>
    <t>CSCL MONTEVIDEO</t>
  </si>
  <si>
    <t>IMP 216/2019 (004-19)</t>
  </si>
  <si>
    <t>IMP 217/2019 (005-19)</t>
  </si>
  <si>
    <t>IMP 218/2019 (007-19)</t>
  </si>
  <si>
    <t>IMP 219/2019 (009-19)</t>
  </si>
  <si>
    <t>IMP 220/2019 (010-19)</t>
  </si>
  <si>
    <t>040/19 WEN</t>
  </si>
  <si>
    <r>
      <t xml:space="preserve">83 bombas - </t>
    </r>
    <r>
      <rPr>
        <b/>
        <sz val="9"/>
        <color rgb="FFFF0000"/>
        <rFont val="Arial"/>
        <family val="2"/>
      </rPr>
      <t xml:space="preserve">1° ENTREGA (valor con el 4% de descuento) </t>
    </r>
    <r>
      <rPr>
        <b/>
        <sz val="9"/>
        <color rgb="FF0000FF"/>
        <rFont val="Arial"/>
        <family val="2"/>
      </rPr>
      <t>- LIBERAN LA INSPECCION</t>
    </r>
  </si>
  <si>
    <r>
      <t xml:space="preserve">100 bombas + Fittings </t>
    </r>
    <r>
      <rPr>
        <b/>
        <sz val="9"/>
        <color rgb="FF0000FF"/>
        <rFont val="Arial"/>
        <family val="2"/>
      </rPr>
      <t>- LIBERAN LA INSPECCION</t>
    </r>
  </si>
  <si>
    <r>
      <t xml:space="preserve">Fittings </t>
    </r>
    <r>
      <rPr>
        <b/>
        <sz val="9"/>
        <color rgb="FF0000FF"/>
        <rFont val="Arial"/>
        <family val="2"/>
      </rPr>
      <t>- LIBERAN LA INSPECCION</t>
    </r>
  </si>
  <si>
    <t>Log-In Jacaranda 108</t>
  </si>
  <si>
    <t>19060003 (4509305860)</t>
  </si>
  <si>
    <t>KEA V. 1923N</t>
  </si>
  <si>
    <t xml:space="preserve"> Bomar R. v 037</t>
  </si>
  <si>
    <t>15al18/7</t>
  </si>
  <si>
    <t>037/19 WGP</t>
  </si>
  <si>
    <r>
      <t xml:space="preserve">24 bombas - </t>
    </r>
    <r>
      <rPr>
        <b/>
        <sz val="9"/>
        <color rgb="FFFF0000"/>
        <rFont val="Arial"/>
        <family val="2"/>
      </rPr>
      <t>1° ENVIO</t>
    </r>
  </si>
  <si>
    <r>
      <t xml:space="preserve">1 bombas - </t>
    </r>
    <r>
      <rPr>
        <b/>
        <sz val="9"/>
        <color rgb="FFFF0000"/>
        <rFont val="Arial"/>
        <family val="2"/>
      </rPr>
      <t>2° ENVIO</t>
    </r>
  </si>
  <si>
    <r>
      <t xml:space="preserve">20 bombas - </t>
    </r>
    <r>
      <rPr>
        <b/>
        <sz val="9"/>
        <color rgb="FFFF0000"/>
        <rFont val="Arial"/>
        <family val="2"/>
      </rPr>
      <t>2° ENVIO</t>
    </r>
  </si>
  <si>
    <t>48 6639 7815</t>
  </si>
  <si>
    <t>19014EC01000246G</t>
  </si>
  <si>
    <t>IMP 221/2019 (004-19)</t>
  </si>
  <si>
    <t>IMP 222/2019 (005-19)</t>
  </si>
  <si>
    <t>IMP 223/2019 (007-19)</t>
  </si>
  <si>
    <r>
      <t>Fittings y 75 bombas -</t>
    </r>
    <r>
      <rPr>
        <b/>
        <sz val="9"/>
        <color rgb="FF0000FF"/>
        <rFont val="Arial"/>
        <family val="2"/>
      </rPr>
      <t xml:space="preserve"> LIBERAN LA INSPECCION</t>
    </r>
  </si>
  <si>
    <r>
      <t>Fittings y 46 bombas -</t>
    </r>
    <r>
      <rPr>
        <b/>
        <sz val="9"/>
        <color rgb="FF0000FF"/>
        <rFont val="Arial"/>
        <family val="2"/>
      </rPr>
      <t xml:space="preserve"> LIBERAN LA INSPECCION</t>
    </r>
  </si>
  <si>
    <r>
      <t xml:space="preserve">88 bombas - </t>
    </r>
    <r>
      <rPr>
        <b/>
        <sz val="9"/>
        <color rgb="FFFF0000"/>
        <rFont val="Arial"/>
        <family val="2"/>
      </rPr>
      <t xml:space="preserve">5° ENTREGA (valor con el 4% de descuento) </t>
    </r>
    <r>
      <rPr>
        <b/>
        <sz val="9"/>
        <color rgb="FF0000FF"/>
        <rFont val="Arial"/>
        <family val="2"/>
      </rPr>
      <t>- LIBERAN LA INSPECCION</t>
    </r>
  </si>
  <si>
    <r>
      <t xml:space="preserve">88 bombas - </t>
    </r>
    <r>
      <rPr>
        <b/>
        <sz val="9"/>
        <color rgb="FFFF0000"/>
        <rFont val="Arial"/>
        <family val="2"/>
      </rPr>
      <t xml:space="preserve">4° ENTREGA (valor con el 4% de descuento) </t>
    </r>
    <r>
      <rPr>
        <b/>
        <sz val="9"/>
        <color rgb="FF0000FF"/>
        <rFont val="Arial"/>
        <family val="2"/>
      </rPr>
      <t>- LIBERAN LA INSPECCION</t>
    </r>
  </si>
  <si>
    <r>
      <t xml:space="preserve">88 bombas - </t>
    </r>
    <r>
      <rPr>
        <b/>
        <sz val="9"/>
        <color rgb="FFFF0000"/>
        <rFont val="Arial"/>
        <family val="2"/>
      </rPr>
      <t xml:space="preserve">3° ENTREGA (valor con el 4% de descuento) </t>
    </r>
    <r>
      <rPr>
        <b/>
        <sz val="9"/>
        <color rgb="FF0000FF"/>
        <rFont val="Arial"/>
        <family val="2"/>
      </rPr>
      <t>- LIBERAN LA INSPECCION</t>
    </r>
  </si>
  <si>
    <r>
      <t xml:space="preserve">92 bombas - </t>
    </r>
    <r>
      <rPr>
        <b/>
        <sz val="9"/>
        <color rgb="FFFF0000"/>
        <rFont val="Arial"/>
        <family val="2"/>
      </rPr>
      <t xml:space="preserve">2° ENTREGA (valor con el 4% de descuento) </t>
    </r>
    <r>
      <rPr>
        <b/>
        <sz val="9"/>
        <color rgb="FF0000FF"/>
        <rFont val="Arial"/>
        <family val="2"/>
      </rPr>
      <t>- LIBERAN LA INSPECCION</t>
    </r>
  </si>
  <si>
    <t>19001EC01040069J</t>
  </si>
  <si>
    <t>044/19 WGP</t>
  </si>
  <si>
    <t>19001EC01044014D</t>
  </si>
  <si>
    <r>
      <t>Fittings, pistones  y 10 bombas</t>
    </r>
    <r>
      <rPr>
        <b/>
        <sz val="9"/>
        <color rgb="FF0000FF"/>
        <rFont val="Arial"/>
        <family val="2"/>
      </rPr>
      <t xml:space="preserve"> - LIBERAN LA INSPECCION</t>
    </r>
  </si>
  <si>
    <t>045/18 CDQ</t>
  </si>
  <si>
    <r>
      <t xml:space="preserve">88 bombas - </t>
    </r>
    <r>
      <rPr>
        <b/>
        <sz val="9"/>
        <color rgb="FFFF0000"/>
        <rFont val="Arial"/>
        <family val="2"/>
      </rPr>
      <t xml:space="preserve">6° ENTREGA (valor con el 4% de descuento) </t>
    </r>
    <r>
      <rPr>
        <b/>
        <sz val="9"/>
        <color rgb="FF0000FF"/>
        <rFont val="Arial"/>
        <family val="2"/>
      </rPr>
      <t>- LIBERAN LA INSPECCION</t>
    </r>
  </si>
  <si>
    <t>71 5973 3943</t>
  </si>
  <si>
    <t>7 bombas + Fittings</t>
  </si>
  <si>
    <t>ER Canada</t>
  </si>
  <si>
    <t>Aldebaran v 054</t>
  </si>
  <si>
    <t>20y21/8</t>
  </si>
  <si>
    <t>19070003 (4509410578)</t>
  </si>
  <si>
    <t>19070001 (4509410571)</t>
  </si>
  <si>
    <t>19070002 (4509410560)</t>
  </si>
  <si>
    <t>19014EC01000271E</t>
  </si>
  <si>
    <r>
      <t xml:space="preserve"> Bombas + Fittings -</t>
    </r>
    <r>
      <rPr>
        <b/>
        <sz val="9"/>
        <color rgb="FF0000FF"/>
        <rFont val="Arial"/>
        <family val="2"/>
      </rPr>
      <t xml:space="preserve"> 5° ENTREGA - </t>
    </r>
    <r>
      <rPr>
        <b/>
        <sz val="9"/>
        <color rgb="FFFF0000"/>
        <rFont val="Arial"/>
        <family val="2"/>
      </rPr>
      <t>LLEVA CERTIFICADOS DE CALIDAD</t>
    </r>
  </si>
  <si>
    <t>IMP 227/2019 (004-19)</t>
  </si>
  <si>
    <t>IMP 225/2019 (008-19)</t>
  </si>
  <si>
    <t>IMP 226/2019 (013-19)</t>
  </si>
  <si>
    <r>
      <t xml:space="preserve">A. Pigni:  solicita pagar en 90 dias - </t>
    </r>
    <r>
      <rPr>
        <b/>
        <sz val="8"/>
        <color rgb="FF0000FF"/>
        <rFont val="Arial"/>
        <family val="2"/>
      </rPr>
      <t>2/8: se anticipo U$S 100,000</t>
    </r>
  </si>
  <si>
    <t xml:space="preserve">Fittings + 47 bombas </t>
  </si>
  <si>
    <r>
      <t xml:space="preserve">Fittings y 70 bombas - </t>
    </r>
    <r>
      <rPr>
        <b/>
        <sz val="9"/>
        <color rgb="FFFF0000"/>
        <rFont val="Arial"/>
        <family val="2"/>
      </rPr>
      <t xml:space="preserve">1° ENVIO - </t>
    </r>
    <r>
      <rPr>
        <b/>
        <sz val="9"/>
        <color rgb="FF0000FF"/>
        <rFont val="Arial"/>
        <family val="2"/>
      </rPr>
      <t>LIBERACION DE INSPECCION</t>
    </r>
  </si>
  <si>
    <r>
      <t>Fittings y 21 bombas -</t>
    </r>
    <r>
      <rPr>
        <b/>
        <sz val="9"/>
        <color rgb="FF0000FF"/>
        <rFont val="Arial"/>
        <family val="2"/>
      </rPr>
      <t xml:space="preserve"> LIBERACION DE INSPECCION</t>
    </r>
  </si>
  <si>
    <r>
      <t xml:space="preserve">Fittings -  </t>
    </r>
    <r>
      <rPr>
        <b/>
        <sz val="9"/>
        <color rgb="FF0000FF"/>
        <rFont val="Arial"/>
        <family val="2"/>
      </rPr>
      <t>LIBERACION DE INSPECCION</t>
    </r>
  </si>
  <si>
    <t>19080001 (4509363467)</t>
  </si>
  <si>
    <t xml:space="preserve">12 bombas </t>
  </si>
  <si>
    <t>031/19 BBR</t>
  </si>
  <si>
    <t>015/19 BBR</t>
  </si>
  <si>
    <t>19080002 (4509363465)</t>
  </si>
  <si>
    <t>19014EC01000288M</t>
  </si>
  <si>
    <t>19001EC01052703H</t>
  </si>
  <si>
    <t>vastagos (10)</t>
  </si>
  <si>
    <t>Se roleo del 10 al 17/08/19</t>
  </si>
  <si>
    <t xml:space="preserve">Fittings + 15 bombas </t>
  </si>
  <si>
    <t>704 173 3930</t>
  </si>
  <si>
    <t>19001EC01051202A</t>
  </si>
  <si>
    <r>
      <t>13 pistones -</t>
    </r>
    <r>
      <rPr>
        <b/>
        <sz val="9"/>
        <color rgb="FFFF0000"/>
        <rFont val="Arial"/>
        <family val="2"/>
      </rPr>
      <t xml:space="preserve"> 2° ENVIO</t>
    </r>
  </si>
  <si>
    <r>
      <t xml:space="preserve">36 bombas + Fittings - </t>
    </r>
    <r>
      <rPr>
        <b/>
        <sz val="9"/>
        <color rgb="FFFF0000"/>
        <rFont val="Arial"/>
        <family val="2"/>
      </rPr>
      <t>1° ENVIO</t>
    </r>
  </si>
  <si>
    <t>19080004 (4509505392)</t>
  </si>
  <si>
    <t>19080005 (4509508802)</t>
  </si>
  <si>
    <t>19080007 (4509494058)</t>
  </si>
  <si>
    <t>19080006 (4509476060)</t>
  </si>
  <si>
    <t>19080009 (4509469322)</t>
  </si>
  <si>
    <r>
      <t>A. Pigni:  solicita pagar en 90 dias -</t>
    </r>
    <r>
      <rPr>
        <b/>
        <sz val="8"/>
        <color rgb="FF0000FF"/>
        <rFont val="Arial"/>
        <family val="2"/>
      </rPr>
      <t xml:space="preserve"> 28/08:se paga el resto U$ 76.407,70</t>
    </r>
  </si>
  <si>
    <r>
      <t xml:space="preserve">A. Pigni:  solicita pagar en 90 dias -  </t>
    </r>
    <r>
      <rPr>
        <b/>
        <sz val="8"/>
        <color rgb="FF0000FF"/>
        <rFont val="Arial"/>
        <family val="2"/>
      </rPr>
      <t>28/08:se paga el resto U$ 76.407,70</t>
    </r>
  </si>
  <si>
    <t>TOLTEN V1933</t>
  </si>
  <si>
    <t>19014EC1000307E</t>
  </si>
  <si>
    <t>0919-000006 (4509545895)</t>
  </si>
  <si>
    <t>0919-000007 (4509447269)</t>
  </si>
  <si>
    <t>0919-000005 (4509541279)</t>
  </si>
  <si>
    <t>Fittings - valvulas</t>
  </si>
  <si>
    <t>0919-000003 (4509552652)</t>
  </si>
  <si>
    <t>vastagos (50)</t>
  </si>
  <si>
    <t>0919-000004 (4509528108)</t>
  </si>
  <si>
    <t>vastagos (139)</t>
  </si>
  <si>
    <t>0919-000002 (4509553689)</t>
  </si>
  <si>
    <t>vastago (1)</t>
  </si>
  <si>
    <t>Bomar R. 039</t>
  </si>
  <si>
    <t>Jacaranda 110</t>
  </si>
  <si>
    <t>1 bomba + Fittings</t>
  </si>
  <si>
    <t>Se demora la salida a pedido de Bolland Brasil debido a la nueva legislacion del Bco. Central (pago 30 dias del cumplimiento)</t>
  </si>
  <si>
    <r>
      <t xml:space="preserve">Pago: 30 dias del cumplimiento - </t>
    </r>
    <r>
      <rPr>
        <b/>
        <sz val="8"/>
        <color rgb="FFFF0000"/>
        <rFont val="Arial"/>
        <family val="2"/>
      </rPr>
      <t>Si Petrobras autoriza las entregas, se harian 6 entregas a apartir de Junio (87 bombas) y luego 88 bombas por mes hasta Noviembre inclusive</t>
    </r>
  </si>
  <si>
    <t>0919-000008 (4509583192)</t>
  </si>
  <si>
    <r>
      <t xml:space="preserve">35 bombas + Fittings </t>
    </r>
    <r>
      <rPr>
        <b/>
        <sz val="9"/>
        <color rgb="FF0000FF"/>
        <rFont val="Arial"/>
        <family val="2"/>
      </rPr>
      <t>- LIBERAN LA INSPECCION</t>
    </r>
  </si>
  <si>
    <r>
      <t xml:space="preserve">24 bombas - </t>
    </r>
    <r>
      <rPr>
        <b/>
        <sz val="9"/>
        <color rgb="FFFF0000"/>
        <rFont val="Arial"/>
        <family val="2"/>
      </rPr>
      <t>1° ENVIO -</t>
    </r>
    <r>
      <rPr>
        <b/>
        <sz val="9"/>
        <color rgb="FF0000FF"/>
        <rFont val="Arial"/>
        <family val="2"/>
      </rPr>
      <t xml:space="preserve"> LIBERAN LA INSPECCION</t>
    </r>
  </si>
  <si>
    <r>
      <t xml:space="preserve">1 bombas - </t>
    </r>
    <r>
      <rPr>
        <b/>
        <sz val="9"/>
        <color rgb="FFFF0000"/>
        <rFont val="Arial"/>
        <family val="2"/>
      </rPr>
      <t xml:space="preserve">2° ENVIO - </t>
    </r>
    <r>
      <rPr>
        <b/>
        <sz val="9"/>
        <color rgb="FF0000FF"/>
        <rFont val="Arial"/>
        <family val="2"/>
      </rPr>
      <t>LIBERAN LA INSPECCION</t>
    </r>
  </si>
  <si>
    <r>
      <t xml:space="preserve">36 bombas + Fittings - </t>
    </r>
    <r>
      <rPr>
        <b/>
        <sz val="9"/>
        <color rgb="FFFF0000"/>
        <rFont val="Arial"/>
        <family val="2"/>
      </rPr>
      <t>1° ENVIO</t>
    </r>
    <r>
      <rPr>
        <b/>
        <sz val="9"/>
        <color rgb="FF0000FF"/>
        <rFont val="Arial"/>
        <family val="2"/>
      </rPr>
      <t xml:space="preserve"> - LIBERAN LA INSPECCION</t>
    </r>
  </si>
  <si>
    <r>
      <t>13 pistones -</t>
    </r>
    <r>
      <rPr>
        <b/>
        <sz val="9"/>
        <color rgb="FFFF0000"/>
        <rFont val="Arial"/>
        <family val="2"/>
      </rPr>
      <t xml:space="preserve"> 2° ENVIO - </t>
    </r>
    <r>
      <rPr>
        <b/>
        <sz val="9"/>
        <color rgb="FF0000FF"/>
        <rFont val="Arial"/>
        <family val="2"/>
      </rPr>
      <t>LIBERAN LA INSPECCION</t>
    </r>
  </si>
  <si>
    <t>050/19 CDQ</t>
  </si>
  <si>
    <t>051/19 CDQ</t>
  </si>
  <si>
    <t>052/19 BBR</t>
  </si>
  <si>
    <t>0919-000009 (4509588874)</t>
  </si>
  <si>
    <t>0519-00000710</t>
  </si>
  <si>
    <t>58 2399 7480</t>
  </si>
  <si>
    <t>19014EC01000325E</t>
  </si>
  <si>
    <t>0919-000011 (4509600054)</t>
  </si>
  <si>
    <t>Pistones (27)</t>
  </si>
  <si>
    <t>Pago: 60 dias del cumplimiento</t>
  </si>
  <si>
    <t>Se demora la salida a pedido de Bolland Brasil debido a la nueva legislacion del Bco. Central (pago 60 dias del cumplimiento)</t>
  </si>
  <si>
    <t>Pago 60 dias del cumplimiento</t>
  </si>
  <si>
    <t>0919-000010 (4509600053)</t>
  </si>
  <si>
    <t>0519-00000711</t>
  </si>
  <si>
    <t>049/19 WEN</t>
  </si>
  <si>
    <t>90 bombas + Fittings</t>
  </si>
  <si>
    <t>053/19 CDQ</t>
  </si>
  <si>
    <t>054/19 CDQ</t>
  </si>
  <si>
    <t>IMP 229/2019 (019-19)</t>
  </si>
  <si>
    <t>IMP 231/2019 (004-19)</t>
  </si>
  <si>
    <t>IMP 230/2019 (015-19)</t>
  </si>
  <si>
    <t>1019-000001 (4509447268)</t>
  </si>
  <si>
    <r>
      <t xml:space="preserve">30 pistones -  </t>
    </r>
    <r>
      <rPr>
        <sz val="9"/>
        <color rgb="FFFF0000"/>
        <rFont val="Arial"/>
        <family val="2"/>
      </rPr>
      <t xml:space="preserve"> LLEVA CERTIFICADOS DE CALIDAD - </t>
    </r>
    <r>
      <rPr>
        <sz val="9"/>
        <rFont val="Arial"/>
        <family val="2"/>
      </rPr>
      <t>Forwarder: Navetrans</t>
    </r>
  </si>
  <si>
    <t>0519-00000712</t>
  </si>
  <si>
    <t>Forwarder Almar</t>
  </si>
  <si>
    <t>12y13/11</t>
  </si>
  <si>
    <t>0519-00000713</t>
  </si>
  <si>
    <t>0519-00000714</t>
  </si>
  <si>
    <t>57 5197 6241</t>
  </si>
  <si>
    <t>TOLTEN</t>
  </si>
  <si>
    <t xml:space="preserve">90 bombas + Fittings </t>
  </si>
  <si>
    <t>Aldebaran 57</t>
  </si>
  <si>
    <t>64 5296 7835</t>
  </si>
  <si>
    <t>0519-00000716</t>
  </si>
  <si>
    <t>1119-000001 (4509700035)</t>
  </si>
  <si>
    <t>Fittings + 4 bombas</t>
  </si>
  <si>
    <t>1119-000002 (0290-2019)</t>
  </si>
  <si>
    <t>Central Resources</t>
  </si>
  <si>
    <t>056/19 BBR</t>
  </si>
  <si>
    <t>057/19 WGP</t>
  </si>
  <si>
    <t>Pago: 60 dias del cumplimiento - Pedido SAP N° 1058110</t>
  </si>
  <si>
    <t>Pago: 30 dias del cumplimiento. Pedido SAP N° 1058108</t>
  </si>
  <si>
    <t>Pago: 60 dias del cumplimiento. Pedido SAP N° 1058126</t>
  </si>
  <si>
    <t>Se demora la salida a pedido de Bolland Brasil debido a la nueva legislacion del Bco. Central (pago 60 dias del cumplimiento).  Pedido SAP N° 1058128</t>
  </si>
  <si>
    <t>Pago: 60 dias del cumplimiento.  Pedido SAP N° 1058129</t>
  </si>
  <si>
    <t>Pedido SAP N° 1058134</t>
  </si>
  <si>
    <t>Pedido SAP N° 1058146</t>
  </si>
  <si>
    <t>Pago: 60 dias del cumplimiento - Pedido SAP N° 1058152</t>
  </si>
  <si>
    <t>Pago: 60 dias del cumplimiento - Pedido SAP N° 1058153</t>
  </si>
  <si>
    <t>Pago: 60 dias del cumplimiento - Pedido SAP N° 1058157</t>
  </si>
  <si>
    <t>Se demora la salida a pedido de Bolland Brasil debido a la nueva legislacion del Bco. Central (pago 60 dias del cumplimiento) -  Pedido SAP N° 1058160</t>
  </si>
  <si>
    <t>Se demora la salida a pedido de Bolland Brasil debido a la nueva legislacion del Bco. Central (pago 30 dias del cumplimiento) - Pedido SAP N° 1058161</t>
  </si>
  <si>
    <t>Se demora la salida a pedido de Bolland Brasil debido a la nueva legislacion del Bco. Central (pago 60 dias del cumplimiento) - Pedido SAP N° 1058162</t>
  </si>
  <si>
    <t>Se demora la salida a pedido de Bolland Brasil debido a la nueva legislacion del Bco. Central (pago 60 dias del cumplimiento) - Pedido SAP N° 1058167</t>
  </si>
  <si>
    <t>Pago 60 dias del cumplimiento - Pedido SAP N° 1058169</t>
  </si>
  <si>
    <t>Pago 60 dias del cumplimiento - Pedido SAP N° 1058171</t>
  </si>
  <si>
    <r>
      <rPr>
        <b/>
        <sz val="8"/>
        <color rgb="FFFF0000"/>
        <rFont val="Arial"/>
        <family val="2"/>
      </rPr>
      <t xml:space="preserve">Si Petrobras autoriza las entregas, se harian 6 entregas a apartir de Junio (87 bombas) y luego 88 bombas por mes hasta Noviembre inclusive.  </t>
    </r>
    <r>
      <rPr>
        <b/>
        <sz val="8"/>
        <rFont val="Arial"/>
        <family val="2"/>
      </rPr>
      <t xml:space="preserve">Se demora la salida a pedido de Bolland Brasil debido a la nueva legislacion del Bco. Central (pago 60 dias del cumplimiento) - </t>
    </r>
    <r>
      <rPr>
        <sz val="8"/>
        <rFont val="Arial"/>
        <family val="2"/>
      </rPr>
      <t>Pedido SAP N° 1058187</t>
    </r>
  </si>
  <si>
    <r>
      <rPr>
        <b/>
        <sz val="8"/>
        <color rgb="FFFF0000"/>
        <rFont val="Arial"/>
        <family val="2"/>
      </rPr>
      <t xml:space="preserve">Si Petrobras autoriza las entregas, se harian 6 entregas a apartir de Junio (87 bombas) y luego 88 bombas por mes hasta Noviembre inclusive.  </t>
    </r>
    <r>
      <rPr>
        <b/>
        <sz val="8"/>
        <rFont val="Arial"/>
        <family val="2"/>
      </rPr>
      <t xml:space="preserve">Se demora la salida a pedido de Bolland Brasil debido a la nueva legislacion del Bco. Central (pago 60 dias del cumplimiento) - </t>
    </r>
    <r>
      <rPr>
        <sz val="8"/>
        <rFont val="Arial"/>
        <family val="2"/>
      </rPr>
      <t>Pedido SAP N° 1058192</t>
    </r>
  </si>
  <si>
    <t>Pago: 60 dias del cumplimiento - Pedido SAP N° 1058197</t>
  </si>
  <si>
    <t>Pago: 60 dias del cumplimiento -  Pedido SAP N° 1058199</t>
  </si>
  <si>
    <t>IMP 233/2019 (017-19)</t>
  </si>
  <si>
    <t>IMP 234/2019 (018-19)</t>
  </si>
  <si>
    <t>Pedido SAP N° 1058259</t>
  </si>
  <si>
    <t>Pedido SAP N° 1058260</t>
  </si>
  <si>
    <t>19001EC01077517R</t>
  </si>
  <si>
    <t>47 7174 4681</t>
  </si>
  <si>
    <t>19014EC01000350C</t>
  </si>
  <si>
    <r>
      <t>A. Pigni:  solicita pagar en 90 dias -</t>
    </r>
    <r>
      <rPr>
        <sz val="8"/>
        <color rgb="FF0000FF"/>
        <rFont val="Arial"/>
        <family val="2"/>
      </rPr>
      <t xml:space="preserve"> Se paga parcial 3/10 - U$ 96,040 - U$ 270.725</t>
    </r>
  </si>
  <si>
    <r>
      <t xml:space="preserve">A. Pigni:  solicita pagar en 90 dias - </t>
    </r>
    <r>
      <rPr>
        <sz val="8"/>
        <color rgb="FF0000FF"/>
        <rFont val="Arial"/>
        <family val="2"/>
      </rPr>
      <t>Se paga parcial 3/10 - U$ 96,040 - U$ 270.725 (4/11)</t>
    </r>
  </si>
  <si>
    <r>
      <t xml:space="preserve">A. Pigni:  solicita pagar en 90 dias - </t>
    </r>
    <r>
      <rPr>
        <b/>
        <sz val="8"/>
        <color rgb="FFFF0000"/>
        <rFont val="Arial"/>
        <family val="2"/>
      </rPr>
      <t xml:space="preserve">Si Petrobras autoriza las entregas, se harian 6 entregas a apartir de Junio (87 bombas) y luego 88 bombas por mes hasta Noviembre inclusive  </t>
    </r>
    <r>
      <rPr>
        <sz val="8"/>
        <color rgb="FF0000FF"/>
        <rFont val="Arial"/>
        <family val="2"/>
      </rPr>
      <t>Se paga parcial 3/10 - U$ 96,040 - U$ 270.725 (4/11)</t>
    </r>
  </si>
  <si>
    <t>Se demora la salida a pedido de Bolland Brasil debido a la nueva legislacion del Bco. Central (pago 60 dias del cumplimiento).  Pedido SAP N° 1058122 (se factura U$ 160.285 x un desceunto que no se habia realizado en la facturacion del mes pasado)</t>
  </si>
  <si>
    <t>19014EC01000406E</t>
  </si>
  <si>
    <t>060/19 CDQ</t>
  </si>
  <si>
    <r>
      <t xml:space="preserve">Fittings -  </t>
    </r>
    <r>
      <rPr>
        <sz val="9"/>
        <color rgb="FFFF0000"/>
        <rFont val="Arial"/>
        <family val="2"/>
      </rPr>
      <t xml:space="preserve"> LLEVA CERTIFICADOS DE CALIDAD </t>
    </r>
  </si>
  <si>
    <t>Bomar R.042</t>
  </si>
  <si>
    <t>055/19 BBR</t>
  </si>
  <si>
    <t>1219-000003 (4509760981)</t>
  </si>
  <si>
    <t>061/19 BBR</t>
  </si>
  <si>
    <t>1219-000001 (4509757538)</t>
  </si>
  <si>
    <t>062/19 BBR</t>
  </si>
  <si>
    <t>1219-000002 (4509760969)</t>
  </si>
  <si>
    <r>
      <t xml:space="preserve">Fittings </t>
    </r>
    <r>
      <rPr>
        <b/>
        <sz val="9"/>
        <color rgb="FFFF0000"/>
        <rFont val="Arial"/>
        <family val="2"/>
      </rPr>
      <t>- 1° ENVIO</t>
    </r>
  </si>
  <si>
    <t>Pago: 60 dias del cumplimiento - Pedido SAP N° 1059451</t>
  </si>
  <si>
    <t>Pago: 60 dias del cumplimiento - Pedido SAP N° 1059453</t>
  </si>
  <si>
    <t>Pago: 60 dias del cumplimiento - Pedido SAP N° 1059457</t>
  </si>
  <si>
    <r>
      <t xml:space="preserve">Fittings (56 valvulas) </t>
    </r>
    <r>
      <rPr>
        <b/>
        <sz val="9"/>
        <color rgb="FFFF0000"/>
        <rFont val="Arial"/>
        <family val="2"/>
      </rPr>
      <t>- 2° ENVIO</t>
    </r>
  </si>
  <si>
    <t>0502-00000522</t>
  </si>
  <si>
    <r>
      <t xml:space="preserve"> Fittings -  </t>
    </r>
    <r>
      <rPr>
        <sz val="9"/>
        <color rgb="FFFF0000"/>
        <rFont val="Arial"/>
        <family val="2"/>
      </rPr>
      <t xml:space="preserve"> LLEVA CERTIFICADOS DE CALIDAD - </t>
    </r>
    <r>
      <rPr>
        <sz val="9"/>
        <rFont val="Arial"/>
        <family val="2"/>
      </rPr>
      <t>Forwarder: Navetrans</t>
    </r>
  </si>
  <si>
    <r>
      <t xml:space="preserve">A. Pigni:  solicita pagar en 90 dias - </t>
    </r>
    <r>
      <rPr>
        <b/>
        <sz val="8"/>
        <color rgb="FFFF0000"/>
        <rFont val="Arial"/>
        <family val="2"/>
      </rPr>
      <t>Si Petrobras autoriza las entregas, se harian 6 entregas a apartir de Junio (87 bombas) y luego 88 bombas por mes hasta Noviembre inclusive -</t>
    </r>
    <r>
      <rPr>
        <b/>
        <sz val="8"/>
        <rFont val="Arial"/>
        <family val="2"/>
      </rPr>
      <t xml:space="preserve"> PAGO:  U$ 369.000 Oct + U$ 173.345 Nov.</t>
    </r>
  </si>
  <si>
    <r>
      <t xml:space="preserve">A. Pigni:  solicita pagar en 90 dias </t>
    </r>
    <r>
      <rPr>
        <b/>
        <sz val="8"/>
        <rFont val="Arial"/>
        <family val="2"/>
      </rPr>
      <t>-  PAGO:  U$ 369.000 Oct + U$ 173.345 Nov.</t>
    </r>
  </si>
  <si>
    <r>
      <t xml:space="preserve">A. Pigni:  solicita pagar en 90 dias  </t>
    </r>
    <r>
      <rPr>
        <b/>
        <sz val="8"/>
        <rFont val="Arial"/>
        <family val="2"/>
      </rPr>
      <t>-  PAGO:  U$ 369.000 Oct + U$ 173.345 Nov.</t>
    </r>
  </si>
  <si>
    <r>
      <t>A. Pigni:  solicita pagar en 90 dias</t>
    </r>
    <r>
      <rPr>
        <b/>
        <sz val="8"/>
        <rFont val="Arial"/>
        <family val="2"/>
      </rPr>
      <t xml:space="preserve"> -  PAGO:  U$ 369.000 Oct + U$ 173.345 Nov.</t>
    </r>
  </si>
  <si>
    <t>Se demora la salida a pedido de Bolland Brasil debido a la nueva legislacion del Bco. Central (pago 60 dias del cumplimiento) - Pedido SAP N° 1059609</t>
  </si>
  <si>
    <t>0502-00000523</t>
  </si>
  <si>
    <t>TUCAPEL V 1947</t>
  </si>
  <si>
    <t>064/19 CDQ</t>
  </si>
  <si>
    <t>Un item faltante de la PO 021 - Pedido SAP 1059731</t>
  </si>
  <si>
    <t>066/19 CDQ</t>
  </si>
  <si>
    <t>1219-000004 (4509791392)</t>
  </si>
  <si>
    <t>1219-000005 (4509786769)</t>
  </si>
  <si>
    <t>Pago: 60 dias del cumplimiento -  Pedido SAP N° 1060096</t>
  </si>
  <si>
    <t>Pago: 60 dias del cumplimiento -  Pedido SAP N° 1060097</t>
  </si>
  <si>
    <t>1219-000006 (4509763877)</t>
  </si>
  <si>
    <t>Pago: 60 dias del cumplimiento -  Pedido SAP N° 1060146</t>
  </si>
  <si>
    <t>058/19 WGP</t>
  </si>
  <si>
    <t>Pedido SAP N° 1060558</t>
  </si>
  <si>
    <t>0502-00000526</t>
  </si>
  <si>
    <t>Se demora la salida a pedido de Bolland Brasil debido a la nueva legislacion del Bco. Central (pago 60 dias del cumplimiento) - Pedido SAP N° 1058173(valor anterior U$ 6922)</t>
  </si>
  <si>
    <t>Pago 60 dias del cumplimiento - Pedido SAP N° 1058164 (valor anterior U$ 7708)</t>
  </si>
  <si>
    <t>1219-000007 (4509835517)</t>
  </si>
  <si>
    <t>Pago: 60 dias del cumplimiento -  Pedido SAP N° 1061164</t>
  </si>
  <si>
    <t>0502-00000527</t>
  </si>
  <si>
    <t>IMP 246/2020 (017-19 y 002-20)</t>
  </si>
  <si>
    <t>0120-000001 (4509881839)</t>
  </si>
  <si>
    <t>Pago: 60 dias del cumplimiento -  Pedido SAP N° 1061500</t>
  </si>
  <si>
    <t>Aldebaran 059N</t>
  </si>
  <si>
    <t>19014EC01000442E</t>
  </si>
  <si>
    <t>19001EC01060219X</t>
  </si>
  <si>
    <t>19001EC01086510K</t>
  </si>
  <si>
    <t>19001EC01094172N</t>
  </si>
  <si>
    <t>0502-00000528</t>
  </si>
  <si>
    <t>190001EC01088245R</t>
  </si>
  <si>
    <t>76 1627 5100</t>
  </si>
  <si>
    <t>20014EC01000012M</t>
  </si>
  <si>
    <t>Guarani 022</t>
  </si>
  <si>
    <r>
      <t xml:space="preserve">Se demora la salida a pedido de Bolland Brasil debido a la nueva legislacion del Bco. Central (pago 60 dias del cumplimiento) - Pedido SAP N° 1059609 - </t>
    </r>
    <r>
      <rPr>
        <b/>
        <sz val="8"/>
        <color rgb="FFFF0000"/>
        <rFont val="Arial"/>
        <family val="2"/>
      </rPr>
      <t>La carga fue parada en DHL de San Pablo. 15/01 aun no la liberan.</t>
    </r>
  </si>
  <si>
    <t>0120-000002 (4509860207)</t>
  </si>
  <si>
    <t>Pago: 60 dias del cumplimiento -  Pedido SAP N° 1062018</t>
  </si>
  <si>
    <t>0220-000001 (4509938762)</t>
  </si>
  <si>
    <t>19 bombas + Fittings</t>
  </si>
  <si>
    <t>Pago: 60 dias del cumplimiento -  Pedido SAP N° 1063537</t>
  </si>
  <si>
    <t>0502-00000530</t>
  </si>
  <si>
    <t>0502-00000531</t>
  </si>
  <si>
    <t>0502-00000529</t>
  </si>
  <si>
    <t>M.Guarani 022</t>
  </si>
  <si>
    <t>20073EC01001686M</t>
  </si>
  <si>
    <t>IMP 250/2020 (001-20)</t>
  </si>
  <si>
    <t>IMP 249/2019 (021-19)</t>
  </si>
  <si>
    <t>PECOM DE COLOMBIA</t>
  </si>
  <si>
    <t>004/20 CDQ</t>
  </si>
  <si>
    <t>Forwarder:  Excel Logistics - Pedido SAP N° 1063788</t>
  </si>
  <si>
    <t>Forwarder:  Excel Logistics - Pedido SAP N° 1063793</t>
  </si>
  <si>
    <t>TUBUL V 2007</t>
  </si>
  <si>
    <t>001/20 BBR</t>
  </si>
  <si>
    <t>0220-000002 (0061-2020)</t>
  </si>
  <si>
    <t>Pago: 60 dias del cumplimiento -  Pedido SAP N° 1064982</t>
  </si>
  <si>
    <t>0502-00000536</t>
  </si>
  <si>
    <t>0502-00000537</t>
  </si>
  <si>
    <t>0502-00000538</t>
  </si>
  <si>
    <t>10 8421 4541</t>
  </si>
  <si>
    <t>0320-000003 (4510015631)</t>
  </si>
  <si>
    <t>Pago: 60 dias del cumplimiento -  Pedido SAP N° 1065242</t>
  </si>
  <si>
    <t>0320-000001 (4510028580)</t>
  </si>
  <si>
    <t>Pago: 60 dias del cumplimiento -  Pedido SAP N° 1065244</t>
  </si>
  <si>
    <t>0320-000002 (4510015630)</t>
  </si>
  <si>
    <t>Pago: 60 dias del cumplimiento -  Pedido SAP N° 1065253</t>
  </si>
  <si>
    <t>IMP 249/2019  (021-19)</t>
  </si>
  <si>
    <t>0320-000004 (4510034401)</t>
  </si>
  <si>
    <t>0320-000005 (4510034402)</t>
  </si>
  <si>
    <t>Pago: 60 dias del cumplimiento -  Pedido SAP N° 1065844</t>
  </si>
  <si>
    <t>Pago: 60 dias del cumplimiento -  Pedido SAP N° 1065845</t>
  </si>
  <si>
    <t>0320-000007 (4510071059)</t>
  </si>
  <si>
    <t>Pago: 60 dias del cumplimiento -  Pedido SAP N° 1066054</t>
  </si>
  <si>
    <t>Pago: 60 dias del cumplimiento -  Pedido SAP N° 1066055</t>
  </si>
  <si>
    <t>26 bombas + fittings</t>
  </si>
  <si>
    <t>0320-000006 (4510071035)</t>
  </si>
  <si>
    <t>0320-000008 (4510066165)</t>
  </si>
  <si>
    <r>
      <t xml:space="preserve">21 bombas - </t>
    </r>
    <r>
      <rPr>
        <b/>
        <sz val="9"/>
        <color rgb="FFFF0000"/>
        <rFont val="Arial"/>
        <family val="2"/>
      </rPr>
      <t>1° ENTREGA</t>
    </r>
  </si>
  <si>
    <r>
      <t xml:space="preserve">27 bombas - </t>
    </r>
    <r>
      <rPr>
        <b/>
        <sz val="9"/>
        <color rgb="FFFF0000"/>
        <rFont val="Arial"/>
        <family val="2"/>
      </rPr>
      <t>2° ENTREGA</t>
    </r>
  </si>
  <si>
    <t>Tipo B</t>
  </si>
  <si>
    <t>Pago: 60 dias del cumplimiento -  Pedido SAP N° 1066367</t>
  </si>
  <si>
    <t>Pago: 60 dias del cumplimiento -  Pedido SAP N° 1066370</t>
  </si>
  <si>
    <t>IMP 256/2020 (004-20)</t>
  </si>
  <si>
    <t>IMP 255/2020 (003-20)</t>
  </si>
  <si>
    <t>Pedido SAP N° 1066391</t>
  </si>
  <si>
    <t>015/20 CDQ</t>
  </si>
  <si>
    <t>Pedido SAP N° 1066423</t>
  </si>
  <si>
    <t>0420-000001 (4510087913)</t>
  </si>
  <si>
    <t>Pago: 60 dias del cumplimiento -  Pedido SAP N° 1066535</t>
  </si>
  <si>
    <t>0502-00000539</t>
  </si>
  <si>
    <t>20014EC01000120M</t>
  </si>
  <si>
    <t>016/20 CDQ</t>
  </si>
  <si>
    <t>017/20 CDQ</t>
  </si>
  <si>
    <t>018/20 CDQ</t>
  </si>
  <si>
    <t xml:space="preserve"> IMP 258/2020 (006-20)</t>
  </si>
  <si>
    <t>IMP 257/2020 (005-20)</t>
  </si>
  <si>
    <t>IMP 259/2020 (007-20)</t>
  </si>
  <si>
    <t>Pedido SAP N° 1067220</t>
  </si>
  <si>
    <t>Pedido SAP N° 1067226</t>
  </si>
  <si>
    <t>Pedido SAP N° 1067239</t>
  </si>
  <si>
    <t>20014EC01000069B</t>
  </si>
  <si>
    <t>20001EC01021953C</t>
  </si>
  <si>
    <t>0520-00000540</t>
  </si>
  <si>
    <t>Guarani 024N</t>
  </si>
  <si>
    <r>
      <t xml:space="preserve">9-P24-225-10C -  </t>
    </r>
    <r>
      <rPr>
        <sz val="9"/>
        <color rgb="FFFF0000"/>
        <rFont val="Arial"/>
        <family val="2"/>
      </rPr>
      <t xml:space="preserve"> LLEVA CERTIFICADOS DE CALIDAD -</t>
    </r>
    <r>
      <rPr>
        <b/>
        <sz val="9"/>
        <color rgb="FFFF0000"/>
        <rFont val="Arial"/>
        <family val="2"/>
      </rPr>
      <t>2° ENVIO</t>
    </r>
  </si>
  <si>
    <r>
      <t xml:space="preserve">20-LPS125-3 -  </t>
    </r>
    <r>
      <rPr>
        <sz val="9"/>
        <color rgb="FFFF0000"/>
        <rFont val="Arial"/>
        <family val="2"/>
      </rPr>
      <t xml:space="preserve"> LLEVA CERTIFICADOS DE CALIDAD -</t>
    </r>
    <r>
      <rPr>
        <b/>
        <sz val="9"/>
        <color rgb="FFFF0000"/>
        <rFont val="Arial"/>
        <family val="2"/>
      </rPr>
      <t>2° ENVIO</t>
    </r>
  </si>
  <si>
    <t>Pedido SAP N° 1068095</t>
  </si>
  <si>
    <t>Pedido SAP N° 1068094</t>
  </si>
  <si>
    <t>TEMPANO V.2020</t>
  </si>
  <si>
    <t>0502-00000544</t>
  </si>
  <si>
    <t>20001EC01033179F</t>
  </si>
  <si>
    <r>
      <t xml:space="preserve">Fittings -  </t>
    </r>
    <r>
      <rPr>
        <sz val="9"/>
        <color rgb="FFFF0000"/>
        <rFont val="Arial"/>
        <family val="2"/>
      </rPr>
      <t xml:space="preserve"> LLEVA CERTIFICADOS DE CALIDAD  - </t>
    </r>
    <r>
      <rPr>
        <b/>
        <sz val="9"/>
        <color rgb="FFFF0000"/>
        <rFont val="Arial"/>
        <family val="2"/>
      </rPr>
      <t>1  ENVIO</t>
    </r>
  </si>
  <si>
    <r>
      <t xml:space="preserve">Fittings -  </t>
    </r>
    <r>
      <rPr>
        <sz val="9"/>
        <color rgb="FFFF0000"/>
        <rFont val="Arial"/>
        <family val="2"/>
      </rPr>
      <t xml:space="preserve"> LLEVA CERTIFICADOS DE CALIDAD - </t>
    </r>
    <r>
      <rPr>
        <b/>
        <sz val="9"/>
        <color rgb="FFFF0000"/>
        <rFont val="Arial"/>
        <family val="2"/>
      </rPr>
      <t>2 ENVIO</t>
    </r>
  </si>
  <si>
    <t>Pedido SAP N° 1068812</t>
  </si>
  <si>
    <t>IMP 260/2020 (008-20)</t>
  </si>
  <si>
    <t>019/20 CDQ</t>
  </si>
  <si>
    <t>Pedido SAP N° 1068899</t>
  </si>
  <si>
    <t xml:space="preserve"> ORDENES DE COMPRA MERCADOS EXTERNOS</t>
  </si>
  <si>
    <t>Pago: 60 dias del cumplimiento -  Pedido SAP N° 1069140</t>
  </si>
  <si>
    <t>9 bombas + Fittings</t>
  </si>
  <si>
    <t>Tipo B  -     15 de junio</t>
  </si>
  <si>
    <t>IMP 261/2020 (009-20)</t>
  </si>
  <si>
    <t>Pedido SAP N° 1069174</t>
  </si>
  <si>
    <t>020/20 CDQ</t>
  </si>
  <si>
    <t>021/20 CDQ</t>
  </si>
  <si>
    <t>IMP 262/2020 (010-20)</t>
  </si>
  <si>
    <t>Pedido SAP N° 1069176</t>
  </si>
  <si>
    <t>TUBUL v2023</t>
  </si>
  <si>
    <t>JATOBA 206</t>
  </si>
  <si>
    <t xml:space="preserve">  </t>
  </si>
  <si>
    <t>Total 2020</t>
  </si>
  <si>
    <t>ENDURANCE 003N</t>
  </si>
  <si>
    <t>20001EC01033564D</t>
  </si>
  <si>
    <t>0502-00000549</t>
  </si>
  <si>
    <r>
      <t xml:space="preserve">Fittings -  </t>
    </r>
    <r>
      <rPr>
        <sz val="9"/>
        <color rgb="FFFF0000"/>
        <rFont val="Arial"/>
        <family val="2"/>
      </rPr>
      <t xml:space="preserve"> LLEVA CERTIFICADOS DE CALIDAD - </t>
    </r>
    <r>
      <rPr>
        <b/>
        <sz val="9"/>
        <color rgb="FFFF0000"/>
        <rFont val="Arial"/>
        <family val="2"/>
      </rPr>
      <t>1  ENVIO</t>
    </r>
  </si>
  <si>
    <r>
      <t xml:space="preserve">(30) R11-25-280SS y (80) R11-30-280SS -  </t>
    </r>
    <r>
      <rPr>
        <sz val="9"/>
        <color rgb="FFFF0000"/>
        <rFont val="Arial"/>
        <family val="2"/>
      </rPr>
      <t xml:space="preserve"> LLEVA CERTIFICADOS DE CALIDAD - - </t>
    </r>
    <r>
      <rPr>
        <b/>
        <sz val="9"/>
        <color rgb="FFFF0000"/>
        <rFont val="Arial"/>
        <family val="2"/>
      </rPr>
      <t>2 ENVIO</t>
    </r>
  </si>
  <si>
    <t>0502-00000552</t>
  </si>
  <si>
    <t>20001EC01014779K</t>
  </si>
  <si>
    <r>
      <t xml:space="preserve">5   B19-225-24ACI4 y 35   P21-275-3ML5 -  </t>
    </r>
    <r>
      <rPr>
        <sz val="9"/>
        <color rgb="FFFF0000"/>
        <rFont val="Arial"/>
        <family val="2"/>
      </rPr>
      <t xml:space="preserve"> LLEVA CERTIFICADOS DE CALIDAD - </t>
    </r>
    <r>
      <rPr>
        <b/>
        <sz val="9"/>
        <color rgb="FFFF0000"/>
        <rFont val="Arial"/>
        <family val="2"/>
      </rPr>
      <t>2 ENVIO</t>
    </r>
  </si>
  <si>
    <t>20001EC01036904G</t>
  </si>
  <si>
    <t>0502-00000553</t>
  </si>
  <si>
    <t>8610112921 - 1471509325</t>
  </si>
  <si>
    <t>0720-000019 (4510214122)</t>
  </si>
  <si>
    <t>Pago: 60 dias del cumplimiento -  Pedido SAP N° 1070322</t>
  </si>
  <si>
    <t>0720-000018 (4510231872)</t>
  </si>
  <si>
    <t>Pago: 60 dias del cumplimiento -  Pedido SAP N° 1070325</t>
  </si>
  <si>
    <t>0720-000017 (4510108743)</t>
  </si>
  <si>
    <t>022/20 BBR</t>
  </si>
  <si>
    <t>Pago: 60 dias del cumplimiento -  Pedido SAP N° 1070347</t>
  </si>
  <si>
    <t>023/20 BBR</t>
  </si>
  <si>
    <t>0720-000029 (4510273220)</t>
  </si>
  <si>
    <t>Pago: 60 dias del cumplimiento -  Pedido SAP N° 1070348</t>
  </si>
  <si>
    <t>0620-000011 (4510182583)</t>
  </si>
  <si>
    <t>Jacaranda 121</t>
  </si>
  <si>
    <t>0720-000032 (4510034402)</t>
  </si>
  <si>
    <t>Pago: 60 dias del cumplimiento -  Pedido SAP N° 1070379</t>
  </si>
  <si>
    <t>IMP 255/2020 (003-20) -              EL CENTRO</t>
  </si>
  <si>
    <t>IMP 262/2020 (010-20) - CANTAGALLO</t>
  </si>
  <si>
    <t xml:space="preserve"> IMP 258/2020 (006-20) -            LA CIRA</t>
  </si>
  <si>
    <t>IMP 259/2020 (007-20) -              LA CIRA</t>
  </si>
  <si>
    <t>IMP 261/2020 (009-20) -             LA CIRA</t>
  </si>
  <si>
    <t>20001EC01039710C</t>
  </si>
  <si>
    <t>80015544 (doc + carga)</t>
  </si>
  <si>
    <t>Tucapel V 2027N</t>
  </si>
  <si>
    <t>028/20 BBR</t>
  </si>
  <si>
    <t>0720-000049 (4510293370)</t>
  </si>
  <si>
    <t>Pago: 60 dias del cumplimiento -  Pedido SAP N° 1070795</t>
  </si>
  <si>
    <t>0720-000050 (4510293386)</t>
  </si>
  <si>
    <t>Pago: 60 dias del cumplimiento -  Pedido SAP N° 1070799</t>
  </si>
  <si>
    <t>039/20 BBR</t>
  </si>
  <si>
    <t>0720-000052 (4510292958)</t>
  </si>
  <si>
    <t>0720-000053 (4510292959)</t>
  </si>
  <si>
    <t>Pago: 60 dias del cumplimiento -  Pedido SAP N° 1070910</t>
  </si>
  <si>
    <t>Pago: 60 dias del cumplimiento -  Pedido SAP N° 1070911</t>
  </si>
  <si>
    <t>IMP 264/2020 (011-20) - LA CIRA Y CENTRO</t>
  </si>
  <si>
    <t>IMP 265/2020 (012-20) - CANTAGALLO</t>
  </si>
  <si>
    <t>IMP 266/2020 (013-20)</t>
  </si>
  <si>
    <t>041/20 CDQ</t>
  </si>
  <si>
    <t>042/20 CDQ</t>
  </si>
  <si>
    <t>043/20 CDQ</t>
  </si>
  <si>
    <t>0820-000004 (4510015631)</t>
  </si>
  <si>
    <t>Pago: 60 dias del cumplimiento -  Pedido SAP N° 1071591</t>
  </si>
  <si>
    <t>0820-000010 (4510307114)</t>
  </si>
  <si>
    <t>Fittings (22 PISTONES)</t>
  </si>
  <si>
    <t>Pago: 60 dias del cumplimiento -  Pedido SAP N° 1071668</t>
  </si>
  <si>
    <t>0820-000011 (4510301593)</t>
  </si>
  <si>
    <t>Pago: 60 dias del cumplimiento -  Pedido SAP N° 1071669</t>
  </si>
  <si>
    <t>0820-000012 (4510307115)</t>
  </si>
  <si>
    <t>Fittings (32 PISTONES)</t>
  </si>
  <si>
    <t>Pago: 60 dias del cumplimiento -  Pedido SAP N° 1071671</t>
  </si>
  <si>
    <t>0502-00000556</t>
  </si>
  <si>
    <t>Pago: 60 dias del cumplimiento -  Pedido SAP N° 1071788</t>
  </si>
  <si>
    <t>0820-000019 (4510016960/4509990985/4510013257/4509980757/4510041919/4510090274/4510031768)</t>
  </si>
  <si>
    <t>20001EC1045757K</t>
  </si>
  <si>
    <t>3R - Pedido 20</t>
  </si>
  <si>
    <t>0820-000028</t>
  </si>
  <si>
    <t>Pago: 60 dias del cumplimiento -  Pedido SAP N° 1071969</t>
  </si>
  <si>
    <t>027/20 BBR</t>
  </si>
  <si>
    <t>0820-000034 (4510356191)</t>
  </si>
  <si>
    <t>Pago: 60 dias del cumplimiento -  Pedido SAP N° 1072008</t>
  </si>
  <si>
    <t>0820-000036 (4510356188)</t>
  </si>
  <si>
    <t>Pago: 60 dias del cumplimiento -  Pedido SAP N° 1072016</t>
  </si>
  <si>
    <t>0820-000037 (4510356190)</t>
  </si>
  <si>
    <t>Pago: 60 dias del cumplimiento -  Pedido SAP N° 1072018</t>
  </si>
  <si>
    <t>0820-000038 (4510356189)</t>
  </si>
  <si>
    <t>Pago: 60 dias del cumplimiento -  Pedido SAP N° 1072020</t>
  </si>
  <si>
    <r>
      <t xml:space="preserve">20 bombas - </t>
    </r>
    <r>
      <rPr>
        <b/>
        <sz val="9"/>
        <color rgb="FFFF0000"/>
        <rFont val="Arial"/>
        <family val="2"/>
      </rPr>
      <t>AEREO por OPEN SEA</t>
    </r>
  </si>
  <si>
    <t>0820-000042</t>
  </si>
  <si>
    <t>036/20 BBR</t>
  </si>
  <si>
    <t>Fittings - PETRORECONCAVO</t>
  </si>
  <si>
    <t>Pago: 60 dias del cumplimiento -  Pedido SAP N° 1072198</t>
  </si>
  <si>
    <t>0920-000001 (4510383182)</t>
  </si>
  <si>
    <t>14 bombas + Fittings</t>
  </si>
  <si>
    <t>0920-000002 (4510374769)</t>
  </si>
  <si>
    <t>Pago: 60 dias del cumplimiento -  Pedido SAP N° 1072929</t>
  </si>
  <si>
    <t>0920-000023</t>
  </si>
  <si>
    <t>046/20 BBR</t>
  </si>
  <si>
    <t>Pago: 60 dias del cumplimiento -  Pedido SAP N° 1073211</t>
  </si>
  <si>
    <t>Pago: 60 dias del cumplimiento -  Pedido SAP N° 1073216</t>
  </si>
  <si>
    <t>Mercosul Guarani 029N</t>
  </si>
  <si>
    <t>0502-00000558</t>
  </si>
  <si>
    <t>20001EC01057439K</t>
  </si>
  <si>
    <t>0502-00000555</t>
  </si>
  <si>
    <t>049/20 CDQ</t>
  </si>
  <si>
    <t>050/20 CDQ</t>
  </si>
  <si>
    <t>Jatoba 210</t>
  </si>
  <si>
    <t>IMP 267/2020 (014-20)</t>
  </si>
  <si>
    <t>6 bombas + Fittings</t>
  </si>
  <si>
    <t>DHPSP-00103/20</t>
  </si>
  <si>
    <t>Pedido SAP N° 1074786 (ANTICIPO)</t>
  </si>
  <si>
    <t>052/20 GUN</t>
  </si>
  <si>
    <t>BIELORUSIA</t>
  </si>
  <si>
    <t>034/20 RRB</t>
  </si>
  <si>
    <t>20001EC01051918G</t>
  </si>
  <si>
    <t>0502-00000557</t>
  </si>
  <si>
    <t>1020-000032 (4510398580)</t>
  </si>
  <si>
    <t>1020-000033 (4510410950)</t>
  </si>
  <si>
    <t>3 bombas y fitting</t>
  </si>
  <si>
    <t>1020-000034 (4510431625)</t>
  </si>
  <si>
    <t>11 bombas y fittings</t>
  </si>
  <si>
    <t>1020-000035 (4510463094)</t>
  </si>
  <si>
    <t>10 bombasy fittings</t>
  </si>
  <si>
    <t>Pago: 60 dias del cumplimiento -  Pedido SAP N° 1074821</t>
  </si>
  <si>
    <t>Pago: 60 dias del cumplimiento -  Pedido SAP N° 1074824</t>
  </si>
  <si>
    <t>Pago: 60 dias del cumplimiento -  Pedido SAP N° 1074827</t>
  </si>
  <si>
    <t>Pago: 60 dias del cumplimiento -  Pedido SAP N° 1074829</t>
  </si>
  <si>
    <t>TIPO B - 5/11</t>
  </si>
  <si>
    <t>Tipo B - 3 Dic.</t>
  </si>
  <si>
    <t>IMP 268/2020 (015-20)</t>
  </si>
  <si>
    <t>054/20 CDQ</t>
  </si>
  <si>
    <t>055/20 CDQ</t>
  </si>
  <si>
    <t>IMP 269/2020 (016-20)</t>
  </si>
  <si>
    <t>IMP 270/2020 (017-20)</t>
  </si>
  <si>
    <t>Pedido SAP N° 1074999</t>
  </si>
  <si>
    <t>Pedido SAP N° 1075008</t>
  </si>
  <si>
    <t>Pedido SAP N° 1075009</t>
  </si>
  <si>
    <t>Pago: 60 dias del cumplimiento -  Pedido SAP N° 1075017</t>
  </si>
  <si>
    <t>29 bombasy fittings</t>
  </si>
  <si>
    <t>1020-000040 (4510485574)</t>
  </si>
  <si>
    <t>01628</t>
  </si>
  <si>
    <t xml:space="preserve"> Fittings - PAGO ANTICIPADO</t>
  </si>
  <si>
    <t>33 bombas - PAGO ANTICIPADO</t>
  </si>
  <si>
    <t>0502-00000560</t>
  </si>
  <si>
    <t>20073EC01018247N</t>
  </si>
  <si>
    <t>0502-00000561</t>
  </si>
  <si>
    <t>1120-000002 (4510498753)</t>
  </si>
  <si>
    <t>1120-000014 (4510471602)</t>
  </si>
  <si>
    <t>Tirua V.2041</t>
  </si>
  <si>
    <t>20001EC01073945K</t>
  </si>
  <si>
    <t>0502-00000565</t>
  </si>
  <si>
    <r>
      <t>Pedido SAP N° 1074992 - La salida del buque estaba programada para el 4/11, se postergo para el 10/11</t>
    </r>
    <r>
      <rPr>
        <b/>
        <sz val="8"/>
        <rFont val="Arial"/>
        <family val="2"/>
      </rPr>
      <t>- Despacho con la muestra sin valor comercial (C35-30 - cant: 1) del embarque anterior</t>
    </r>
  </si>
  <si>
    <r>
      <t>Pedido SAP N° 1074398 - La salida del buque estaba programada para el 4/11, se postergo para el 10/11</t>
    </r>
    <r>
      <rPr>
        <b/>
        <sz val="8"/>
        <rFont val="Arial"/>
        <family val="2"/>
      </rPr>
      <t>- Despacho con la muestra sin valor comercial (C35-30 - cant: 1) del embarque anterior</t>
    </r>
  </si>
  <si>
    <r>
      <t xml:space="preserve">Pedido SAP N° 1071181 - La salida del buque estaba programada para el 4/11, se postergo para el 10/11- </t>
    </r>
    <r>
      <rPr>
        <b/>
        <sz val="8"/>
        <rFont val="Arial"/>
        <family val="2"/>
      </rPr>
      <t>Despacho con la muestra sin valor comercial (C35-30 - cant: 1) del embarque anterior</t>
    </r>
  </si>
  <si>
    <r>
      <t xml:space="preserve">Pedido SAP N° 1071178 - La salida del buque estaba programada para el 4/11, se postergo para el 10/11- </t>
    </r>
    <r>
      <rPr>
        <b/>
        <sz val="8"/>
        <rFont val="Arial"/>
        <family val="2"/>
      </rPr>
      <t>Despacho con la muestra sin valor comercial (C35-30 - cant: 1) del embarque anterior</t>
    </r>
  </si>
  <si>
    <r>
      <t xml:space="preserve">Pedido SAP N° 1071163 - La salida del buque estaba programada para el 4/11, se postergo para el 10/11 - </t>
    </r>
    <r>
      <rPr>
        <b/>
        <sz val="8"/>
        <rFont val="Arial"/>
        <family val="2"/>
      </rPr>
      <t>Despacho con la muestra sin valor comercial (C35-30 - cant: 1) del embarque anterior</t>
    </r>
  </si>
  <si>
    <t>1120-000040 (4510556207)</t>
  </si>
  <si>
    <t>47 bombas + fittings</t>
  </si>
  <si>
    <t>20073EC01022676Y</t>
  </si>
  <si>
    <t>0502-00000567</t>
  </si>
  <si>
    <t>1120-000055 (4510575136)</t>
  </si>
  <si>
    <t>1120-000056 (4510575145)</t>
  </si>
  <si>
    <t>29 7803 7285</t>
  </si>
  <si>
    <t>20001EC01078608L</t>
  </si>
  <si>
    <t>1120-000063 (4510567661)</t>
  </si>
  <si>
    <t>1220-000022 (4510562398)</t>
  </si>
  <si>
    <t>Fittings (4 Pistones)</t>
  </si>
  <si>
    <t>1220-000021 (4510562397)</t>
  </si>
  <si>
    <t>31 bombas + fittings</t>
  </si>
  <si>
    <t>SI - 14 Dic.</t>
  </si>
  <si>
    <t>20001EC01084515F</t>
  </si>
  <si>
    <t>067/20 BBR</t>
  </si>
  <si>
    <t>1220-000057 (281)</t>
  </si>
  <si>
    <t>1220-000058 (283)</t>
  </si>
  <si>
    <t>1220-000059 (284)</t>
  </si>
  <si>
    <t>068/20 BBR</t>
  </si>
  <si>
    <t>069/20 BBR</t>
  </si>
  <si>
    <t>1220-000060 (4510590271)</t>
  </si>
  <si>
    <t>0502-00000570</t>
  </si>
  <si>
    <r>
      <t xml:space="preserve">A. Pigni:  solicita pagar en 90 dias - </t>
    </r>
    <r>
      <rPr>
        <b/>
        <sz val="8"/>
        <color rgb="FFFF0000"/>
        <rFont val="Arial"/>
        <family val="2"/>
      </rPr>
      <t xml:space="preserve">Si Petrobras autoriza las entregas, se harian 6 entregas a apartir de Junio (87 bombas) y luego 88 bombas por mes hasta Noviembre inclusive </t>
    </r>
    <r>
      <rPr>
        <b/>
        <sz val="8"/>
        <rFont val="Arial"/>
        <family val="2"/>
      </rPr>
      <t>- PAGO: Parcial U$ 150.000 Nov. - PENDIENTE:  U$ 186.569,04</t>
    </r>
  </si>
  <si>
    <r>
      <t>A. Pigni:  solicita pagar en 90 dias</t>
    </r>
    <r>
      <rPr>
        <b/>
        <sz val="8"/>
        <rFont val="Arial"/>
        <family val="2"/>
      </rPr>
      <t xml:space="preserve"> - PAGO: Parcial U$ 150.000 Nov. - PENDIENTE:  U$ 186.569,04</t>
    </r>
  </si>
  <si>
    <r>
      <t xml:space="preserve">A. Pigni:  solicita pagar en 90 dias </t>
    </r>
    <r>
      <rPr>
        <b/>
        <sz val="8"/>
        <rFont val="Arial"/>
        <family val="2"/>
      </rPr>
      <t>- PAGO: Parcial U$ 150.000 Nov.- PENDIENTE:  U$ 186.569,04</t>
    </r>
  </si>
  <si>
    <r>
      <t xml:space="preserve">A. Pigni:  solicita pagar en 90 dias </t>
    </r>
    <r>
      <rPr>
        <b/>
        <sz val="8"/>
        <rFont val="Arial"/>
        <family val="2"/>
      </rPr>
      <t>- PAGO: Parcial U$ 105.000 Dic.-PENDIENTE: U$ 100.295,50</t>
    </r>
  </si>
  <si>
    <t>20001EC01087027G</t>
  </si>
  <si>
    <t>Pedido SAP N° 1074786 (ANTICIPO) - SAP N° 1077455 (2° ANTICIPO) - SAP N° 1077579 (orden de compra) - Factura anticipo:  0502-00000562</t>
  </si>
  <si>
    <t>0502-00000575</t>
  </si>
  <si>
    <t>Log-In Endurance 011</t>
  </si>
  <si>
    <t>Mes de factura</t>
  </si>
  <si>
    <t>Vto. De pago</t>
  </si>
  <si>
    <t>Demora del pago</t>
  </si>
  <si>
    <t>Se pago en termino o no</t>
  </si>
  <si>
    <t>Total 2021</t>
  </si>
  <si>
    <t>Endurance 010N</t>
  </si>
  <si>
    <t>Pago: 60 dias del cumplimiento -  Pedido SAP N° 1074821 - Reprogramacion de buque por paro de remolcadores, del 19/12/20 pasa al 7/1/21</t>
  </si>
  <si>
    <t>Pago: 60 dias del cumplimiento -  Pedido SAP N° 1074824 - Reprogramacion de buque por paro de remolcadores, del 19/12/20 pasa al 7/1/21</t>
  </si>
  <si>
    <t>Pago: 60 dias del cumplimiento -  Pedido SAP N° 1074827 - Reprogramacion de buque por paro de remolcadores, del 19/12/20 pasa al 7/1/21</t>
  </si>
  <si>
    <t>Pago: 60 dias del cumplimiento -  Pedido SAP N° 1074829 - Reprogramacion de buque por paro de remolcadores, del 19/12/20 pasa al 7/1/21</t>
  </si>
  <si>
    <t>0121-000012 (4510618341)</t>
  </si>
  <si>
    <t>0121-000013 (4510640665)</t>
  </si>
  <si>
    <t>0121-000014 (4510620943)</t>
  </si>
  <si>
    <t>0121-000015 (4510673592)</t>
  </si>
  <si>
    <t>0121-000016 (4510651844)</t>
  </si>
  <si>
    <t>0121-000018 (4510677906)</t>
  </si>
  <si>
    <t>002/21 CDQ</t>
  </si>
  <si>
    <t>IMP 272/2021 (001-21)</t>
  </si>
  <si>
    <t>IMP 273/2021 (002-21) - CASABE</t>
  </si>
  <si>
    <t>003/21 CDQ</t>
  </si>
  <si>
    <t>IMP 274/2021 (003-21)</t>
  </si>
  <si>
    <t>004/21 CDQ</t>
  </si>
  <si>
    <t>Pago: 60 dias del cumplimiento -  Pedido SAP N° 1075017 - La carga salio de la planta el 29/12/20 pero recien habia buque para el 23/01 por lo tanto se decidio juntar todas las cargas en ese buque.</t>
  </si>
  <si>
    <t>Pedido SAP N° 1080512</t>
  </si>
  <si>
    <t>Pedido SAP N° 1069731 - NUEVO: 1080513</t>
  </si>
  <si>
    <t>Pago: 60 dias del cumplimiento -  Pedido SAP N° 1075929 - NUEVO:  1080535</t>
  </si>
  <si>
    <t>Pago: 60 dias del cumplimiento -  Pedido SAP N° 1076393 - NUEVO: 1080537</t>
  </si>
  <si>
    <t>Pago: 60 dias del cumplimiento -  Pedido SAP N° 1080538</t>
  </si>
  <si>
    <t>Pago: 60 dias del cumplimiento -  Pedido SAP N° 1080540</t>
  </si>
  <si>
    <t>Pago: 60 dias del cumplimiento -  Pedido SAP N° 1080541</t>
  </si>
  <si>
    <t>Pago: 60 dias del cumplimiento -  Pedido SAP N° 1078289 - NUEVO: 1080614</t>
  </si>
  <si>
    <t>Pago: 60 dias del cumplimiento -  Pedido SAP N° 1076771 - NUEVO: 1080616</t>
  </si>
  <si>
    <t>Pago: 60 dias del cumplimiento -  Pedido SAP N° 1077431 - NUEVO: 1080618</t>
  </si>
  <si>
    <t>Pago: 60 dias del cumplimiento -  Pedido SAP N° 1076662 - NUEVO: 1080620</t>
  </si>
  <si>
    <t>Pago: 60 dias del cumplimiento -  Pedido SAP N° 1078263 - NUEVO:  1080626</t>
  </si>
  <si>
    <t>Pago: 60 dias del cumplimiento -  Pedido SAP N° 1076084 - NUEVO: 1080654</t>
  </si>
  <si>
    <t>Pago: 60 dias del cumplimiento -  Pedido SAP N° 1077451 - NUEVO: 1080663</t>
  </si>
  <si>
    <t>Pago: 60 dias del cumplimiento -  Pedido SAP N° 1078248 - NUEVO: 1080692</t>
  </si>
  <si>
    <t>Pago: 60 dias del cumplimiento -  Pedido SAP N° 1078253 - NUEVO: 1080696</t>
  </si>
  <si>
    <t>0121-000035 (4510706324)</t>
  </si>
  <si>
    <t>0121-000034 (451046311)</t>
  </si>
  <si>
    <t>Pago: 60 dias del cumplimiento -  Pedido SAP N° 1080924</t>
  </si>
  <si>
    <t>Pago: 60 dias del cumplimiento -  Pedido SAP N° 1081058</t>
  </si>
  <si>
    <t>21001EC01003545A</t>
  </si>
  <si>
    <t>21001EC01004829G</t>
  </si>
  <si>
    <t>0502-00000573</t>
  </si>
  <si>
    <t>0101-00000004</t>
  </si>
  <si>
    <t>66 pistones</t>
  </si>
  <si>
    <t>Pago: 60 dias del cumplimiento -  Pedido SAP N° 1082584</t>
  </si>
  <si>
    <t>Pago: 60 dias del cumplimiento -  Pedido SAP N° 1082585</t>
  </si>
  <si>
    <t>011/21 BBR</t>
  </si>
  <si>
    <t>0221-000016 (4510450828)</t>
  </si>
  <si>
    <t>6 Valvulas</t>
  </si>
  <si>
    <t>Pago: 60 dias del cumplimiento -  Pedido SAP N° 1082598</t>
  </si>
  <si>
    <t>0221-000002 (4510722641)</t>
  </si>
  <si>
    <t>0221-000001 (4510726227)</t>
  </si>
  <si>
    <t>0221-000023 (4510741027)</t>
  </si>
  <si>
    <t>0221-000024 (4510744316)</t>
  </si>
  <si>
    <t>0221-000025 (4510744309)</t>
  </si>
  <si>
    <r>
      <t>22 bombas</t>
    </r>
    <r>
      <rPr>
        <b/>
        <sz val="9"/>
        <color rgb="FFFF0000"/>
        <rFont val="Arial"/>
        <family val="2"/>
      </rPr>
      <t xml:space="preserve"> - 1° ENVIO</t>
    </r>
  </si>
  <si>
    <r>
      <t>30 bombas</t>
    </r>
    <r>
      <rPr>
        <b/>
        <sz val="9"/>
        <color rgb="FFFF0000"/>
        <rFont val="Arial"/>
        <family val="2"/>
      </rPr>
      <t xml:space="preserve"> - 2° ENVIO</t>
    </r>
  </si>
  <si>
    <r>
      <t xml:space="preserve">37 bombas </t>
    </r>
    <r>
      <rPr>
        <b/>
        <sz val="9"/>
        <color rgb="FFFF0000"/>
        <rFont val="Arial"/>
        <family val="2"/>
      </rPr>
      <t>- 3° ENVIO</t>
    </r>
  </si>
  <si>
    <t>Pago: 60 dias del cumplimiento -  Pedido SAP N° 1082635</t>
  </si>
  <si>
    <t>Pago: 60 dias del cumplimiento -  Pedido SAP N° 1082636</t>
  </si>
  <si>
    <t>0221-000026 (4510740952)</t>
  </si>
  <si>
    <r>
      <t xml:space="preserve">30 bombas - </t>
    </r>
    <r>
      <rPr>
        <b/>
        <sz val="9"/>
        <color rgb="FFFF0000"/>
        <rFont val="Arial"/>
        <family val="2"/>
      </rPr>
      <t>1° ENVIO</t>
    </r>
  </si>
  <si>
    <r>
      <t xml:space="preserve">70 bombas - </t>
    </r>
    <r>
      <rPr>
        <b/>
        <sz val="9"/>
        <color rgb="FFFF0000"/>
        <rFont val="Arial"/>
        <family val="2"/>
      </rPr>
      <t>2° ENVIO</t>
    </r>
  </si>
  <si>
    <t>0221-000027 (4510744310)</t>
  </si>
  <si>
    <r>
      <t xml:space="preserve">57 bombas - </t>
    </r>
    <r>
      <rPr>
        <b/>
        <sz val="9"/>
        <color rgb="FFFF0000"/>
        <rFont val="Arial"/>
        <family val="2"/>
      </rPr>
      <t>1° ENVIO</t>
    </r>
  </si>
  <si>
    <r>
      <t xml:space="preserve">60 bombas - </t>
    </r>
    <r>
      <rPr>
        <b/>
        <sz val="9"/>
        <color rgb="FFFF0000"/>
        <rFont val="Arial"/>
        <family val="2"/>
      </rPr>
      <t>2° ENVIO</t>
    </r>
  </si>
  <si>
    <t>Pago: 60 dias del cumplimiento -  Pedido SAP N° 1082647</t>
  </si>
  <si>
    <r>
      <t xml:space="preserve">Fittings (20 barriles) - </t>
    </r>
    <r>
      <rPr>
        <b/>
        <sz val="9"/>
        <color rgb="FFFF0000"/>
        <rFont val="Arial"/>
        <family val="2"/>
      </rPr>
      <t>1° ENVIO</t>
    </r>
  </si>
  <si>
    <r>
      <t>Fittings (18 barriles) -</t>
    </r>
    <r>
      <rPr>
        <b/>
        <sz val="9"/>
        <color rgb="FFFF0000"/>
        <rFont val="Arial"/>
        <family val="2"/>
      </rPr>
      <t xml:space="preserve"> 2° ENVIO</t>
    </r>
  </si>
  <si>
    <t>Pago: 60 dias del cumplimiento -  Pedido SAP N° 1082784</t>
  </si>
  <si>
    <t>0502-0000568</t>
  </si>
  <si>
    <t>Pago: 60 dias del cumplimiento -  Pedido SAP N° 1083002</t>
  </si>
  <si>
    <t>Jatoba 215</t>
  </si>
  <si>
    <t>21001EC01012385C</t>
  </si>
  <si>
    <t>50%-26/10 / 50%-23/02</t>
  </si>
  <si>
    <t>00523-00000001</t>
  </si>
  <si>
    <t>15 9531 0566</t>
  </si>
  <si>
    <t>Jacaranda 128</t>
  </si>
  <si>
    <t>0101-00000003</t>
  </si>
  <si>
    <t>Log Endurance 09</t>
  </si>
  <si>
    <t>21001EC01014067B</t>
  </si>
  <si>
    <t>0101-00000006</t>
  </si>
  <si>
    <t>M. Guarani 035</t>
  </si>
  <si>
    <t>0101-0000007</t>
  </si>
  <si>
    <t>21001EC0101634U</t>
  </si>
  <si>
    <t>018/21 CDQ</t>
  </si>
  <si>
    <t>IMP 275/2021 (004-21) - CASABE y CANTAGALLO</t>
  </si>
  <si>
    <t>21001EC01017980X</t>
  </si>
  <si>
    <t>Pago: 60 dias del cumplimiento -  Pedido SAP N°  1084752</t>
  </si>
  <si>
    <t>0321-000041 (4510812652)</t>
  </si>
  <si>
    <t>21 pistones</t>
  </si>
  <si>
    <t>Pago: 60 dias del cumplimiento -  Pedido SAP N° 1084815</t>
  </si>
  <si>
    <t>0321-000042 (4510812645)</t>
  </si>
  <si>
    <t>9 bombas + 18 pistones</t>
  </si>
  <si>
    <t>Pago: 60 dias del cumplimiento -  Pedido SAP N°  1084829</t>
  </si>
  <si>
    <t>Pedido SAP N° 1074809 (ANTICIPO) - SAP N° 1077580 (ANTICIPO) NUEVO:  1080785 - SAP N° 1075335 (X 33 BOMBAS) - NUEVO:  1081199 (reemplaza al 1080672) - Pistones fisurados, del 18/12 se posterga entrega para el 15/1/21.  Informan por mail (23/3/21) que se cancelo el buque del 28/3 y pasa al del 5/4/21.</t>
  </si>
  <si>
    <t>0321-000049 (4510342602)</t>
  </si>
  <si>
    <t>Pago: 60 dias del cumplimiento -  Pedido SAP N°  1085321</t>
  </si>
  <si>
    <t>Jacaranda 130</t>
  </si>
  <si>
    <t>Pago: 60 dias del cumplimiento -  Pedido SAP N° 1076661 - NUEVO: 1080615 (1085493)</t>
  </si>
  <si>
    <t>Pago: 60 dias del cumplimiento -  Pedido SAP N° 1077012 - NUEVO:  1080657 (1085494)</t>
  </si>
  <si>
    <t>026/21 BBR</t>
  </si>
  <si>
    <t>0321-000050</t>
  </si>
  <si>
    <t>Pago: 60 dias del cumplimiento -  Pedido SAP N° 1085891</t>
  </si>
  <si>
    <t>21001EC01022766G</t>
  </si>
  <si>
    <t>0101-00000009</t>
  </si>
  <si>
    <t>Pedido SAP N° 1080501 - La salida de planta estaba prevista para el 15 de marzo pero se paso al 26 de marzo por la demora en la entrega del proveedor de los APB. Se vuelve a postergar para el 6/4/21</t>
  </si>
  <si>
    <t>0421-000007 (4510829292)</t>
  </si>
  <si>
    <t>53 bombas</t>
  </si>
  <si>
    <t>0421-000008 (4510854005)</t>
  </si>
  <si>
    <t>Pago: 60 dias del cumplimiento -  Pedido SAP N°  1086164</t>
  </si>
  <si>
    <t>Petroreconcavo 102021</t>
  </si>
  <si>
    <t>Pedido SAP N° 1074809 (ANTICIPO) - SAP N° 1077580 (ANTICIPO) NUEVO:  1080785 - SAP N° 1075335 (X 33 BOMBAS) - NUEVO:  1081199 (reemplaza al 1080672) - Pistones fisurados, del 18/12 se posterga entrega para el 15/1/21.  Informan por mail (23/3/21) que se cancelo el buque del 28/3 y pasa al del 5/4/21. Nuevo cambio, mail 6/4, se posrterga el buque al 14/4</t>
  </si>
  <si>
    <t>030/21 CDQ</t>
  </si>
  <si>
    <t>031/21 CDQ</t>
  </si>
  <si>
    <t>032/21 CDQ</t>
  </si>
  <si>
    <r>
      <t xml:space="preserve">Fittings -  </t>
    </r>
    <r>
      <rPr>
        <sz val="9"/>
        <color rgb="FFFF0000"/>
        <rFont val="Arial"/>
        <family val="2"/>
      </rPr>
      <t xml:space="preserve"> LLEVA CERTIFICADOS DE CALIDAD  </t>
    </r>
    <r>
      <rPr>
        <b/>
        <sz val="9"/>
        <rFont val="Arial"/>
        <family val="2"/>
      </rPr>
      <t>- NAVETRANS</t>
    </r>
  </si>
  <si>
    <t>Jatoba 217</t>
  </si>
  <si>
    <t>21073EC01007563N</t>
  </si>
  <si>
    <t>0101-00000010</t>
  </si>
  <si>
    <r>
      <t xml:space="preserve">Fittings -  </t>
    </r>
    <r>
      <rPr>
        <sz val="9"/>
        <color rgb="FFFF0000"/>
        <rFont val="Arial"/>
        <family val="2"/>
      </rPr>
      <t xml:space="preserve"> LLEVA CERTIFICADOS DE CALIDAD </t>
    </r>
    <r>
      <rPr>
        <b/>
        <sz val="9"/>
        <color rgb="FF0000FF"/>
        <rFont val="Arial"/>
        <family val="2"/>
      </rPr>
      <t>- 1° ENVIO</t>
    </r>
  </si>
  <si>
    <t>IMP 278/2021 (005-21) - LA CIRA</t>
  </si>
  <si>
    <t>IMP 279/2021 (006-21) - LA CIRA</t>
  </si>
  <si>
    <t>IMP 280/2021 (007-21) - LA CIRA</t>
  </si>
  <si>
    <t>50%- 50%-</t>
  </si>
  <si>
    <t>Fittings - PAGO ANTICIPADO</t>
  </si>
  <si>
    <t>INDHP-00402/21</t>
  </si>
  <si>
    <t>029/21 GUN</t>
  </si>
  <si>
    <t>070/20 BBR</t>
  </si>
  <si>
    <t>Petroreconcavo 10767</t>
  </si>
  <si>
    <t>0421-000015</t>
  </si>
  <si>
    <t>21001EC01027255E</t>
  </si>
  <si>
    <t>CAP SAN AUGUSTIN</t>
  </si>
  <si>
    <t>Pedido SAP N° 1080509 - OPEN SEA</t>
  </si>
  <si>
    <t>Pedido SAP N° 1084383  - OPEN SEA</t>
  </si>
  <si>
    <t>Pedido SAP N° 1086458  - OPEN SEA</t>
  </si>
  <si>
    <t>0421-000045 (4510910872)</t>
  </si>
  <si>
    <t>Pago: 60 dias del cumplimiento -  Pedido SAP N°  1087306</t>
  </si>
  <si>
    <t>0101-00000013</t>
  </si>
  <si>
    <t>21001EC01029735J</t>
  </si>
  <si>
    <t>21001EC01031121Y</t>
  </si>
  <si>
    <t>Tucapel 2114N</t>
  </si>
  <si>
    <t>0101-00000014</t>
  </si>
  <si>
    <t>0421-000070 (4510920375)</t>
  </si>
  <si>
    <t>0421-000071 (4510920413)</t>
  </si>
  <si>
    <t>0101-00000012</t>
  </si>
  <si>
    <t>Pago: 60 dias del cumplimiento -  Pedido SAP N° 1080544 - Se cancela el buque del 12/4 y pasa al buque del 18/4. Finalmente paso para el buque del 26/4</t>
  </si>
  <si>
    <t>Pago: 60 dias del cumplimiento -  Pedido SAP N° 1080542 - Se cancela el buque del 12/4 y pasa al buque del 18/4. Finalmente paso para el buque del 26/4</t>
  </si>
  <si>
    <t>Pago: 60 dias del cumplimiento -  Pedido SAP N° 1080543 - Se cancela el buque del 12/4 y pasa al buque del 18/4. Finalmente paso para el buque del 26/4</t>
  </si>
  <si>
    <t>Pago: 60 dias del cumplimiento -  Pedido SAP N°  1088117</t>
  </si>
  <si>
    <t>Pago: 60 dias del cumplimiento -  Pedido SAP N°  1088118 (ANULADO:1088037)</t>
  </si>
  <si>
    <t>040/21 CDQ</t>
  </si>
  <si>
    <t>IMP 281/2021 (008-21) - LA CIRA</t>
  </si>
  <si>
    <t>0101-0000008</t>
  </si>
  <si>
    <t>32 2480 2501</t>
  </si>
  <si>
    <t>0521-000040 (4510922783)</t>
  </si>
  <si>
    <t>Pago: 60 dias del cumplimiento -  Pedido SAP N°  1088693</t>
  </si>
  <si>
    <t>0521-000053 (4510939689)</t>
  </si>
  <si>
    <t>0521-000054 (4510927172)</t>
  </si>
  <si>
    <t>0521-000055 (4510939654)</t>
  </si>
  <si>
    <t xml:space="preserve">13 bombas </t>
  </si>
  <si>
    <t>Pago: 60 dias del cumplimiento -  Pedido SAP N°  1088765</t>
  </si>
  <si>
    <t>0521-000056 (4510939690)</t>
  </si>
  <si>
    <t xml:space="preserve">6 bombas </t>
  </si>
  <si>
    <t>Pago: 60 dias del cumplimiento -  Pedido SAP N°  1088767</t>
  </si>
  <si>
    <t>0521-000064 (4510917546)</t>
  </si>
  <si>
    <t>0521-000065 (4510941685)</t>
  </si>
  <si>
    <t>Fittings (10 pistones)</t>
  </si>
  <si>
    <t>Pago: 60 dias del cumplimiento -  Pedido SAP N°  1088914</t>
  </si>
  <si>
    <t>0521-000066 (4510915613)</t>
  </si>
  <si>
    <t>Fittings (2 pistones)</t>
  </si>
  <si>
    <t>Pago: 60 dias del cumplimiento -  Pedido SAP N°  1088918</t>
  </si>
  <si>
    <t>0521-000067 (4510914418)</t>
  </si>
  <si>
    <t>Pago: 60 dias del cumplimiento -  Pedido SAP N°  1088923</t>
  </si>
  <si>
    <t>0521-000068 (4510910883)</t>
  </si>
  <si>
    <t xml:space="preserve">5 bombas </t>
  </si>
  <si>
    <t>Pago: 60 dias del cumplimiento -  Pedido SAP N°  1088955</t>
  </si>
  <si>
    <t>0521-000069 (4510957412)</t>
  </si>
  <si>
    <t>Pago: 60 dias del cumplimiento -  Pedido SAP N°  1088956</t>
  </si>
  <si>
    <t>0521-000072 (4510963104)</t>
  </si>
  <si>
    <t>Fittings (20 pistones)</t>
  </si>
  <si>
    <t>Pago: 60 dias del cumplimiento -  Pedido SAP N°  1088957</t>
  </si>
  <si>
    <t>Pago: 60 dias del cumplimiento -  Pedido SAP N°  1088992</t>
  </si>
  <si>
    <t>Pago: 60 dias del cumplimiento -  Pedido SAP N°  1088994</t>
  </si>
  <si>
    <t>0521-000081 (4510958163)</t>
  </si>
  <si>
    <t>Pago: 60 dias del cumplimiento -  Pedido SAP N°  1089026</t>
  </si>
  <si>
    <t>Endurance 016</t>
  </si>
  <si>
    <t>0521-000138 (4510915615)</t>
  </si>
  <si>
    <t>0521-000139 (4510970579)</t>
  </si>
  <si>
    <t>Pago: 60 dias del cumplimiento -  Pedido SAP N°  1089406</t>
  </si>
  <si>
    <t>Pago: 60 dias del cumplimiento -  Pedido SAP N°  1089408</t>
  </si>
  <si>
    <t>0521-000162 (4510978588)</t>
  </si>
  <si>
    <t>4510985855 (7003478973)</t>
  </si>
  <si>
    <t>0521-000163</t>
  </si>
  <si>
    <t>046/21 BBR</t>
  </si>
  <si>
    <t>Pago: 60 dias del cumplimiento -  Pedido SAP N°  1089520</t>
  </si>
  <si>
    <t>Pago: 60 dias del cumplimiento -  Pedido SAP N° 1089646</t>
  </si>
  <si>
    <t>34 1954 6126</t>
  </si>
  <si>
    <t>0621-000018 (4510995500)</t>
  </si>
  <si>
    <t>0621-000019 (4510995477)</t>
  </si>
  <si>
    <t>Pago: 60 dias del cumplimiento -  Pedido SAP N°  1090105</t>
  </si>
  <si>
    <t>Pago: 60 dias del cumplimiento -  Pedido SAP N°  1090107</t>
  </si>
  <si>
    <t>21001EC01042161U</t>
  </si>
  <si>
    <t>7 bombas - 1° ENVIO</t>
  </si>
  <si>
    <t>9 bombas - 2° ENVIO</t>
  </si>
  <si>
    <t>21001EC01042452A</t>
  </si>
  <si>
    <r>
      <t xml:space="preserve">193 pistones + 37 bombas - </t>
    </r>
    <r>
      <rPr>
        <b/>
        <sz val="9"/>
        <color rgb="FFFF0000"/>
        <rFont val="Arial"/>
        <family val="2"/>
      </rPr>
      <t>1° ENVIO</t>
    </r>
  </si>
  <si>
    <r>
      <t xml:space="preserve">108 pistones - </t>
    </r>
    <r>
      <rPr>
        <b/>
        <sz val="9"/>
        <color rgb="FFFF0000"/>
        <rFont val="Arial"/>
        <family val="2"/>
      </rPr>
      <t>2° ENVIO</t>
    </r>
  </si>
  <si>
    <t>0101-00000020</t>
  </si>
  <si>
    <t>21001EC01045995P</t>
  </si>
  <si>
    <t>0101-00000022</t>
  </si>
  <si>
    <t>mail</t>
  </si>
  <si>
    <t>Pago: 60 dias del cumplimiento -  Pedido SAP N°  1086163 - Estaba previsto para el buque Jacaranda 132 para el  dia 28/6 pero no ingresa a Buenos Aires.  Se pasa para el Guarani 039-4/7.</t>
  </si>
  <si>
    <t>Guarani 039N</t>
  </si>
  <si>
    <t>Discovery 004</t>
  </si>
  <si>
    <r>
      <t xml:space="preserve">Fittings + item 41 y 43 de la PO 006 -  </t>
    </r>
    <r>
      <rPr>
        <sz val="9"/>
        <color rgb="FFFF0000"/>
        <rFont val="Arial"/>
        <family val="2"/>
      </rPr>
      <t xml:space="preserve"> LLEVA CERTIFICADOS DE CALIDAD </t>
    </r>
  </si>
  <si>
    <t>21001EC01049919P</t>
  </si>
  <si>
    <t>0101-00000024</t>
  </si>
  <si>
    <t>Pedido SAP N° 1086590 - NAVETRANS - Se cancelo el buque Tucapel que salia el 24/6 y paso para el buque Tempanos 1/7 (mail 30/6) - Mail del 6/7 avisan que el buque Tempanos no sale el 10/7 y sale en un nuevo buque Toltel el 17/7</t>
  </si>
  <si>
    <t>Buque Toltel</t>
  </si>
  <si>
    <t>0721-000046 (4511076828)</t>
  </si>
  <si>
    <t>0721-000047 (4511068854)</t>
  </si>
  <si>
    <t>Pago: 60 dias del cumplimiento -  Pedido SAP N°  1092240</t>
  </si>
  <si>
    <t>Pago: 60 dias del cumplimiento -  Pedido SAP N°  1092241</t>
  </si>
  <si>
    <t>060/21 CDQ</t>
  </si>
  <si>
    <t>061/21 CDQ</t>
  </si>
  <si>
    <t>IMP 284/2021 (011-21) - LA CIRA</t>
  </si>
  <si>
    <t>062/21 CDQ</t>
  </si>
  <si>
    <t>0721-000069 (4511095221)</t>
  </si>
  <si>
    <t>Pago: 60 dias del cumplimiento -  Pedido SAP N°  1092532</t>
  </si>
  <si>
    <r>
      <t>Pago: 60 dias del cumplimiento -  Pedido SAP N° 1082785</t>
    </r>
    <r>
      <rPr>
        <b/>
        <sz val="8"/>
        <color rgb="FFFF0000"/>
        <rFont val="Arial"/>
        <family val="2"/>
      </rPr>
      <t xml:space="preserve"> - SE SUSPENDE EL ENVIO (mail 16/7 de Marcelo Falabella)</t>
    </r>
  </si>
  <si>
    <r>
      <t xml:space="preserve">Pago: 60 dias del cumplimiento -  Pedido SAP N° 1082786 </t>
    </r>
    <r>
      <rPr>
        <b/>
        <sz val="8"/>
        <color rgb="FFFF0000"/>
        <rFont val="Arial"/>
        <family val="2"/>
      </rPr>
      <t xml:space="preserve"> - SE SUSPENDE EL ENVIO (mail 16/7 de Marcelo Falabella)</t>
    </r>
  </si>
  <si>
    <r>
      <t xml:space="preserve">Pago: 60 dias del cumplimiento -  Pedido SAP N° 1083003  </t>
    </r>
    <r>
      <rPr>
        <b/>
        <sz val="8"/>
        <color rgb="FFFF0000"/>
        <rFont val="Arial"/>
        <family val="2"/>
      </rPr>
      <t>- SE SUSPENDE EL ENVIO (mail 16/7 de Marcelo Falabella)</t>
    </r>
  </si>
  <si>
    <r>
      <t xml:space="preserve">Pago: 60 dias del cumplimiento -  Pedido SAP N° 1082649  </t>
    </r>
    <r>
      <rPr>
        <b/>
        <sz val="8"/>
        <color rgb="FFFF0000"/>
        <rFont val="Arial"/>
        <family val="2"/>
      </rPr>
      <t>- SE SUSPENDE EL ENVIO (mail 16/7 de Marcelo Falabella)</t>
    </r>
  </si>
  <si>
    <t>0721-000073 (4511102436)</t>
  </si>
  <si>
    <t>0721-000157 (4511044405)</t>
  </si>
  <si>
    <t>Pago: 60 dias del cumplimiento -  Pedido SAP N°  1093044</t>
  </si>
  <si>
    <t>Pago: 60 dias del cumplimiento -  Pedido SAP N° 1086854 -Estaba previsto para el buque Jacaranda 132 para el  dia 28/6 pero no ingresa a Buenos Aires.  Se pasa para el Guarani 039-4/7.</t>
  </si>
  <si>
    <t>Guarani 040</t>
  </si>
  <si>
    <t>Discovery 005</t>
  </si>
  <si>
    <t>Pedido SAP N° 1092320 - Salio el 8/7 de planta pero lo tuvimos que regresar a la planta por una equivocacion en un item asi que nuevamente volvio a Bue el 27/7</t>
  </si>
  <si>
    <t>21073EC01017562N</t>
  </si>
  <si>
    <t>0101-00000019</t>
  </si>
  <si>
    <t>0721-000190 (4511134468)</t>
  </si>
  <si>
    <t>Pago: 60 dias del cumplimiento -  Pedido SAP N°  1093918</t>
  </si>
  <si>
    <t>0101-00000027</t>
  </si>
  <si>
    <t>21001EC01055849Y</t>
  </si>
  <si>
    <t>0101-00000028</t>
  </si>
  <si>
    <t>0101-00000025</t>
  </si>
  <si>
    <t>21001EC01054132V</t>
  </si>
  <si>
    <t>056/21 BBR</t>
  </si>
  <si>
    <t>3R 101343</t>
  </si>
  <si>
    <t>0821-000057</t>
  </si>
  <si>
    <t>33 0026 1086</t>
  </si>
  <si>
    <t>20 4426 5145</t>
  </si>
  <si>
    <t>Pedido SAP N° 1086595 - NAVETRANS - Se cancela el buque Tubul que salia el 22/7 (31/7 zarpe) y paso para el buque ER Canada 29/7 (7/8 zarpe), según mail del 26/7. Según mail del 9/8 el buque entro a reparacion y pasa para el 24/8.</t>
  </si>
  <si>
    <t>Pedido SAP N° 1088162 - NAVETRANS - Se cancela el buque Tubul que salia el 22/7 (31/7 zarpe) y paso para el buque ER Canada 29/7 (7/8 zarpe), según mail del 26/7. Según mail del 9/8 el buque entro a reparacion y pasa para el 24/8.</t>
  </si>
  <si>
    <r>
      <t>Pago: 60 dias del cumplimiento -  Pedido SAP N°  1093043 -</t>
    </r>
    <r>
      <rPr>
        <b/>
        <sz val="8"/>
        <rFont val="Arial"/>
        <family val="2"/>
      </rPr>
      <t xml:space="preserve"> PEDIDO CANCELADO EL 11/8</t>
    </r>
  </si>
  <si>
    <t>067/21 BBR</t>
  </si>
  <si>
    <t>0821-000085</t>
  </si>
  <si>
    <t>Potiguar 16369</t>
  </si>
  <si>
    <t>Pago: 60 dias del cumplimiento -  Pedido SAP N° 1094480</t>
  </si>
  <si>
    <t>Pago: 60 dias del cumplimiento -  Pedido SAP N° 1094490</t>
  </si>
  <si>
    <t>0821-000092 (4511188771)</t>
  </si>
  <si>
    <t>Pago: 60 dias del cumplimiento -  Pedido SAP N°  1094514</t>
  </si>
  <si>
    <t>0821-000093 (4511189549)</t>
  </si>
  <si>
    <t>Pago: 60 dias del cumplimiento -  Pedido SAP N°  1094631</t>
  </si>
  <si>
    <t>Guarani 041</t>
  </si>
  <si>
    <t>Discovery 006</t>
  </si>
  <si>
    <t>Buque Tirua v2128N</t>
  </si>
  <si>
    <t>0821-000143 (4511200135)</t>
  </si>
  <si>
    <t>3 bombas + 289 pistones</t>
  </si>
  <si>
    <t>Pago: 60 dias del cumplimiento -  Pedido SAP N°  1094882</t>
  </si>
  <si>
    <t>0821-000170 (4511207882)</t>
  </si>
  <si>
    <t>113 pistones</t>
  </si>
  <si>
    <t>Pago: 60 dias del cumplimiento -  Pedido SAP N°  1095172</t>
  </si>
  <si>
    <t>0821-000207 (4511213726)</t>
  </si>
  <si>
    <t>Pago: 60 dias del cumplimiento -  Pedido SAP N°  1095434</t>
  </si>
  <si>
    <t>Pago: 60 dias del cumplimiento -  Pedido SAP N°  1095542</t>
  </si>
  <si>
    <t>0821-000238 (4511224267)</t>
  </si>
  <si>
    <t>Pago: 60 dias del cumplimiento -  Pedido SAP N° 1095674</t>
  </si>
  <si>
    <t>3 bombas + 25 pistones</t>
  </si>
  <si>
    <t>0101-00000029</t>
  </si>
  <si>
    <t>21001EC01058751J</t>
  </si>
  <si>
    <r>
      <t xml:space="preserve">Pago: 60 dias del cumplimiento -  Pedido SAP N°  1088764 - </t>
    </r>
    <r>
      <rPr>
        <b/>
        <sz val="8"/>
        <color rgb="FFFF0000"/>
        <rFont val="Arial"/>
        <family val="2"/>
      </rPr>
      <t>PEDIDO CANCELADO MAIL 01/09</t>
    </r>
  </si>
  <si>
    <t>21001EC01068833L</t>
  </si>
  <si>
    <t>0101-00000033</t>
  </si>
  <si>
    <t>21001EC01063990K</t>
  </si>
  <si>
    <t>0101-00000031</t>
  </si>
  <si>
    <t>21001EC01066106C</t>
  </si>
  <si>
    <t>0101-00000032</t>
  </si>
  <si>
    <t>83 4260 3522</t>
  </si>
  <si>
    <t>Guarani 042</t>
  </si>
  <si>
    <t>Pedido SAP N° 1092368 - Forwarder: INTERAMERICAN - Estaba prevista para el B.Tolten del 13/9 con Geodis pero se debio cambiar de tamaño de contenedor, por lo tanto se re programa a nuevo buque</t>
  </si>
  <si>
    <t>0101-00000035</t>
  </si>
  <si>
    <t>21001EC01072432B</t>
  </si>
  <si>
    <t>21001EC01072988R</t>
  </si>
  <si>
    <t>IMP 283/2021 (010-21) - MANSAROVAR</t>
  </si>
  <si>
    <t>IMP 285/2021 (012-21)</t>
  </si>
  <si>
    <r>
      <t xml:space="preserve">Fittings + P24-275-10C (3)-  </t>
    </r>
    <r>
      <rPr>
        <sz val="9"/>
        <color rgb="FFFF0000"/>
        <rFont val="Arial"/>
        <family val="2"/>
      </rPr>
      <t xml:space="preserve"> LLEVA CERTIFICADOS DE CALIDAD </t>
    </r>
  </si>
  <si>
    <t>21/074 CDQ</t>
  </si>
  <si>
    <t>21/075 CDQ</t>
  </si>
  <si>
    <t>21/076 CDQ</t>
  </si>
  <si>
    <t>21/077 CDQ</t>
  </si>
  <si>
    <t>0921-000172 (4511263453)</t>
  </si>
  <si>
    <t>0921-000171 (4511260944)</t>
  </si>
  <si>
    <t>18 bomba</t>
  </si>
  <si>
    <t xml:space="preserve">IMP 286/2021 (013-21) </t>
  </si>
  <si>
    <t xml:space="preserve">IMP 287/2021 (015-21) </t>
  </si>
  <si>
    <r>
      <t xml:space="preserve"> R11-25-280SS (22) + R11-30-280SS (157) -   </t>
    </r>
    <r>
      <rPr>
        <sz val="9"/>
        <color rgb="FFFF0000"/>
        <rFont val="Arial"/>
        <family val="2"/>
      </rPr>
      <t xml:space="preserve">LLEVA CERTIFICADOS DE CALIDAD </t>
    </r>
  </si>
  <si>
    <t xml:space="preserve">Pedido SAP N° 1097795 </t>
  </si>
  <si>
    <t>21/078 CDQ</t>
  </si>
  <si>
    <r>
      <t>Pedido SAP N° 1097798  -</t>
    </r>
    <r>
      <rPr>
        <sz val="8"/>
        <color rgb="FFFF0000"/>
        <rFont val="Arial"/>
        <family val="2"/>
      </rPr>
      <t xml:space="preserve"> R11-25 Y R11-30 PO IMP 280-2021 (ORIGINAL), LUEGO PASARON A LA PO IMP 285-2021 (U$ 59.687,85)</t>
    </r>
  </si>
  <si>
    <t>Pedido SAP N° 1092379 - Forwarder: INTERAMERICAN - No se llego al buque del 03/10 y pasamos para el 15/10, la juntamos con la 011</t>
  </si>
  <si>
    <t>Pedido SAP N° 1086590 - NAVETRANS - Se cancelo el buque Tucapel que salia el 24/6 y paso para el buque Tempanos-cut off 1/7 - salida 10/7 (mail 30/6) - Mail del 6/7 avisan que el buque Tempanos no sale el 10/7 y sale en un nuevo buque Toltel el 17/7</t>
  </si>
  <si>
    <t>Pedido SAP N° 1092379 - Forwarder: INTERAMERICAN - No se llego al buque del 03/10 y pasamos para el 15/10, la juntamos con la 011. Se debe cambiar pieza en transporte, listo el cambio el 13/9</t>
  </si>
  <si>
    <t xml:space="preserve">IMP 287A/2021 (015A-21) </t>
  </si>
  <si>
    <t>0101-00000036</t>
  </si>
  <si>
    <t>1021-000130 (4511333601)</t>
  </si>
  <si>
    <t>(datos columna AG)</t>
  </si>
  <si>
    <t>Buque Tubul</t>
  </si>
  <si>
    <t xml:space="preserve">Buque AGIOS DIMITRIOS </t>
  </si>
  <si>
    <t>Buque Tirua 2137N</t>
  </si>
  <si>
    <t>21001EC01081790X</t>
  </si>
  <si>
    <t>21/084 BBR</t>
  </si>
  <si>
    <t>Potiguar 15452</t>
  </si>
  <si>
    <t>1021-000180</t>
  </si>
  <si>
    <t>73 3418 7652</t>
  </si>
  <si>
    <t>21/045 BBR</t>
  </si>
  <si>
    <t>21/049 BBR</t>
  </si>
  <si>
    <t>1021-000230</t>
  </si>
  <si>
    <t>1021-000228</t>
  </si>
  <si>
    <t>Petroreconcavo 104452</t>
  </si>
  <si>
    <t>Petroreconcavo 891385</t>
  </si>
  <si>
    <t>Pago: 60 dias del cumplimiento -  Pedido SAP N°  1092240 - Se descompuso el buque, desde el 26/9 esta en reparacion.  Nos informan en mail del 5/10 que la nueva fecha de salida es el 11/10.  El 15/10 nos informan que el buque sigue en reparacion, la nueva fecha es el 20/10.  El Guarani hace trasbordo en Santos (mail02/11)</t>
  </si>
  <si>
    <t>Pago: 60 dias del cumplimiento -  Pedido SAP N°  1092241 - Se descompuso el buque, desde el 26/9 esta en reparacion.  Nos informan en mail del 5/10 que la nueva fecha de salida es el 11/10.  El 15/10 nos informan que el buque sigue en reparacion, la nueva fecha es el 20/10.  El Guarani hace trasbordo en Santos (mail02/11)</t>
  </si>
  <si>
    <t>Pago: 60 dias del cumplimiento -  Pedido SAP N°  1092532 - Se descompuso el buque, desde el 26/9 esta en reparacion.  Nos informan en mail del 5/10 que la nueva fecha de salida es el 11/10. El 15/10 nos informan que el buque sigue en reparacion, la nueva fecha es el 20/10.  El Guarani hace trasbordo en Santos (mail02/11)</t>
  </si>
  <si>
    <t>Pago: 60 dias del cumplimiento -  Pedido SAP N°  1093044 - Se descompuso el buque, desde el 26/9 esta en reparacion.  Nos informan en mail del 5/10 que la nueva fecha de salida es el 11/10.  El 15/10 nos informan que el buque sigue en reparacion, la nueva fecha es el 20/10.  El Guarani hace trasbordo en Santos (mail02/11)</t>
  </si>
  <si>
    <t>Pago: 60 dias del cumplimiento -  Pedido SAP N°  1093918 - Se descompuso el buque, desde el 26/9 esta en reparacion.  Nos informan en mail del 5/10 que la nueva fecha de salida es el 11/10.  El 15/10 nos informan que el buque sigue en reparacion, la nueva fecha es el 20/10.  El Guarani hace trasbordo en Santos (mail02/11)</t>
  </si>
  <si>
    <r>
      <t xml:space="preserve">Pedido SAP N° 1097794 - </t>
    </r>
    <r>
      <rPr>
        <sz val="8"/>
        <color rgb="FFFF0000"/>
        <rFont val="Arial"/>
        <family val="2"/>
      </rPr>
      <t>P24-275-10C PO IMP 280-2021 (ORIGINAL), LUEGO PASARON A LA PO 284-2021 (U$ 432,63)</t>
    </r>
    <r>
      <rPr>
        <sz val="8"/>
        <rFont val="Arial"/>
        <family val="2"/>
      </rPr>
      <t xml:space="preserve"> .  No habia lugar en el buque anterior (mail 22/10)</t>
    </r>
  </si>
  <si>
    <t>Pago: 60 dias del cumplimiento -  Pedido SAP N° 1094490.  El buque Jatoba 223 (1/11) se compio por lo tanto se pasa al Guarani 044</t>
  </si>
  <si>
    <t>Guarani 044</t>
  </si>
  <si>
    <t>0101-00000039</t>
  </si>
  <si>
    <t>PECOM DO BRASIL</t>
  </si>
  <si>
    <t>21001EC01085798U</t>
  </si>
  <si>
    <t>0101-00000040</t>
  </si>
  <si>
    <t>s/valor</t>
  </si>
  <si>
    <t>6 - C14-25ABGD150</t>
  </si>
  <si>
    <t>Se envian 6 piezas sin valor comercial por DHl, por un error en las piezas enviadas anteriormente</t>
  </si>
  <si>
    <t>Pago: 60 dias del cumplimiento -  Pedido SAP N°  1094514 - El buque Jatoba 223 (1/11) se compio por lo tanto se pasa al Guarani 044</t>
  </si>
  <si>
    <t>Pago: 60 dias del cumplimiento -  Pedido SAP N°  1094631 - El buque Jatoba 223 (1/11) se compio por lo tanto se pasa al Guarani 044</t>
  </si>
  <si>
    <t>13 7791 4425</t>
  </si>
  <si>
    <t>TK0016</t>
  </si>
  <si>
    <t>Jacaranda 137</t>
  </si>
  <si>
    <t>Guarani 045</t>
  </si>
  <si>
    <t>0101-00000042</t>
  </si>
  <si>
    <t>21001EC01086088N</t>
  </si>
  <si>
    <t>21073EC01027625Y</t>
  </si>
  <si>
    <t>AE-006690 (con carga)</t>
  </si>
  <si>
    <t>1121-000121 (4511386940)</t>
  </si>
  <si>
    <t>1121-000122 (4511402923)</t>
  </si>
  <si>
    <t>1121-000123 (4511391013)</t>
  </si>
  <si>
    <t>1121-000124 (4511394423)</t>
  </si>
  <si>
    <t>0101-00000045</t>
  </si>
  <si>
    <r>
      <t xml:space="preserve">Valvulas + 302 pistones - </t>
    </r>
    <r>
      <rPr>
        <b/>
        <sz val="9"/>
        <color rgb="FFFF0000"/>
        <rFont val="Arial"/>
        <family val="2"/>
      </rPr>
      <t>1° ENVIO</t>
    </r>
  </si>
  <si>
    <r>
      <t xml:space="preserve">Valvulas + 264 pistones - </t>
    </r>
    <r>
      <rPr>
        <b/>
        <sz val="9"/>
        <color rgb="FFFF0000"/>
        <rFont val="Arial"/>
        <family val="2"/>
      </rPr>
      <t>2° ENVIO</t>
    </r>
  </si>
  <si>
    <t xml:space="preserve">Pago: 60 dias del cumplimiento -  Pedido SAP N° 1101406 </t>
  </si>
  <si>
    <t>1121-000154 (4511417169)</t>
  </si>
  <si>
    <t>Fittings + 15 bombas</t>
  </si>
  <si>
    <t>1121-000155 (4511419643)</t>
  </si>
  <si>
    <t>15 barriles</t>
  </si>
  <si>
    <t>Pago: 60 dias del cumplimiento -  Pedido SAP N° 1101528</t>
  </si>
  <si>
    <t>Pago: 60 dias del cumplimiento -  Pedido SAP N° 1101530</t>
  </si>
  <si>
    <t>Buque Barbara</t>
  </si>
  <si>
    <t>1121-000139 (4511404213)</t>
  </si>
  <si>
    <t>1121-000140 (4511406291)</t>
  </si>
  <si>
    <t>Pago: 60 dias del cumplimiento -  Pedido SAP N° 1101665</t>
  </si>
  <si>
    <t>Pago: 60 dias del cumplimiento -  Pedido SAP N° 1101666</t>
  </si>
  <si>
    <t>21001EC01088711X</t>
  </si>
  <si>
    <t>0101-00000047</t>
  </si>
  <si>
    <t>21001EC01092249J</t>
  </si>
  <si>
    <r>
      <t>Pedido SAP N° 1086817 (1° PAGO) --</t>
    </r>
    <r>
      <rPr>
        <sz val="8"/>
        <color rgb="FFFF0000"/>
        <rFont val="Arial"/>
        <family val="2"/>
      </rPr>
      <t>(pagado: 22/6/21)</t>
    </r>
    <r>
      <rPr>
        <sz val="8"/>
        <rFont val="Arial"/>
        <family val="2"/>
      </rPr>
      <t>--1086822 (2° PAGO) --</t>
    </r>
    <r>
      <rPr>
        <sz val="8"/>
        <color rgb="FFFF0000"/>
        <rFont val="Arial"/>
        <family val="2"/>
      </rPr>
      <t>(pagado: 12/10/21)</t>
    </r>
    <r>
      <rPr>
        <sz val="8"/>
        <rFont val="Arial"/>
        <family val="2"/>
      </rPr>
      <t>--- Pedido SAP N° 1086820 (PEDIDO COMPLETO)-Luego de recibir el pago el dia 22/10 se envio la carga a Bue. En la semana se contacta el forwarder y nos dice qu ela carga es aerea asi que tuvimos que regresar la carga a PIC para cambiar el cajon.  La carga vuelve a Bue el 29/10 para coordinar con el forwarder el despacho via aerea.   Se cancela el vuelo a Egipto para el 30/11 (mail 29/11) - No sale la carga por falta de lugar (mail del 02/12)</t>
    </r>
  </si>
  <si>
    <t>1221-000108 (4511444863)</t>
  </si>
  <si>
    <t>1221-000109 (4511456381)</t>
  </si>
  <si>
    <t xml:space="preserve">24 bombas  </t>
  </si>
  <si>
    <t>1221-000067 (4511433548)</t>
  </si>
  <si>
    <t>1221-000068 (4511430789)</t>
  </si>
  <si>
    <t>1221-000069 (4511426199)</t>
  </si>
  <si>
    <t>1221-000080 (4511436376)</t>
  </si>
  <si>
    <t>Pago: 60 dias del cumplimiento -  Pedido SAP N° 1102829</t>
  </si>
  <si>
    <t>Pago: 60 dias del cumplimiento -  Pedido SAP N° 1102830</t>
  </si>
  <si>
    <r>
      <t>300 pistones -</t>
    </r>
    <r>
      <rPr>
        <b/>
        <sz val="9"/>
        <color rgb="FFFF0000"/>
        <rFont val="Arial"/>
        <family val="2"/>
      </rPr>
      <t xml:space="preserve"> 3° ENVIO</t>
    </r>
  </si>
  <si>
    <r>
      <t xml:space="preserve">400 pistones - </t>
    </r>
    <r>
      <rPr>
        <b/>
        <sz val="9"/>
        <color rgb="FFFF0000"/>
        <rFont val="Arial"/>
        <family val="2"/>
      </rPr>
      <t>4° ENVIO</t>
    </r>
  </si>
  <si>
    <t xml:space="preserve">IMP 288/2021 (016-21) </t>
  </si>
  <si>
    <t xml:space="preserve">IMP 289/2021 (017-21) </t>
  </si>
  <si>
    <t>1221-000159 (4511476896)</t>
  </si>
  <si>
    <t>1221-000160 (4511473816)</t>
  </si>
  <si>
    <t>Pago: 60 dias del cumplimiento -  Pedido SAP N° 1103135</t>
  </si>
  <si>
    <t>Pago: 60 dias del cumplimiento -  Pedido SAP N° 1103137</t>
  </si>
  <si>
    <t>21001EC010977345L</t>
  </si>
  <si>
    <t>CM453</t>
  </si>
  <si>
    <t>0101-00000050</t>
  </si>
  <si>
    <t>21073EC01031574M</t>
  </si>
  <si>
    <t>Pago: 60 dias del cumplimiento -  Pedido SAP N° 1097553 - Se rolea la carga para el Guarani 046 y luego apra para Jacaranda 139</t>
  </si>
  <si>
    <t>Pago: 60 dias del cumplimiento -  Pedido SAP N° 1097556 - Se rolea la carga para el Guarani 046 y luego apra para Jacaranda 139</t>
  </si>
  <si>
    <t>Pago: 60 dias del cumplimiento -  Pedido SAP N° 1099110 - Se rolea la carga para el Guarani 046 y luego apra para Jacaranda 139</t>
  </si>
  <si>
    <t>Jacaranda 139 N</t>
  </si>
  <si>
    <t>TOLTEN 2148N</t>
  </si>
  <si>
    <t>21/085 BBR</t>
  </si>
  <si>
    <t>3R - 100031</t>
  </si>
  <si>
    <t>1221-000278</t>
  </si>
  <si>
    <t>CE</t>
  </si>
  <si>
    <t>Pago: 60 dias del cumplimiento -  Pedido SAP N° 1104438</t>
  </si>
  <si>
    <t>0101-00000043</t>
  </si>
  <si>
    <t>0101-00000049</t>
  </si>
  <si>
    <t>21001EC01100710P</t>
  </si>
  <si>
    <t>Guarani 048</t>
  </si>
  <si>
    <t>Guarani 047</t>
  </si>
  <si>
    <t>0122-000081 (4511507818)</t>
  </si>
  <si>
    <t>11 bombas + fittings</t>
  </si>
  <si>
    <t>Diana 2152N</t>
  </si>
  <si>
    <t>0101-00000051</t>
  </si>
  <si>
    <t>38 2714 1323 // 80 1531 6352</t>
  </si>
  <si>
    <t>Pedido SAP N° 1102990.  DHL extravio el sobre.  Se hace un segundo enivo con la documentacion (20/1/22)</t>
  </si>
  <si>
    <t>22001EC01004460V</t>
  </si>
  <si>
    <t>0101-00000052</t>
  </si>
  <si>
    <t>22001EC01005094C</t>
  </si>
  <si>
    <t>0101-00000053</t>
  </si>
  <si>
    <t>0101-00000054</t>
  </si>
  <si>
    <t>0122-000244 (4511573987)</t>
  </si>
  <si>
    <t>Pago: 60 dias del cumplimiento -  Pedido SAP N° 1106193</t>
  </si>
  <si>
    <t>89 6375 6093</t>
  </si>
  <si>
    <t>22/019 CDQ</t>
  </si>
  <si>
    <t xml:space="preserve">IMP 291/2022 (001-22) </t>
  </si>
  <si>
    <t>Pedido SAP N° 1107029</t>
  </si>
  <si>
    <t>Pago: 60 dias del cumplimiento -  Pedido SAP N° 1101405 - Del 4/3 se demora la salida de planta para el 11/3, según mail de MF del 21/2</t>
  </si>
  <si>
    <t>Pago: 60 dias del cumplimiento -  Pedido SAP N° 1102736  - Del 4/3 se demora la salida de planta para el 11/3, según mail de MF del 21/2</t>
  </si>
  <si>
    <t>Pago: 60 dias del cumplimiento -  Pedido SAP N° 1102737  - Del 4/3 se demora la salida de planta para el 11/3, según mail de MF del 21/2</t>
  </si>
  <si>
    <t>Pago: 60 dias del cumplimiento -  Pedido SAP N° 1102746  - Del 4/3 se demora la salida de planta para el 11/3, según mail de MF del 21/2</t>
  </si>
  <si>
    <t>Pago: 60 dias del cumplimiento -  Pedido SAP N° 1102748  - Del 4/3 se demora la salida de planta para el 11/3, según mail de MF del 21/2</t>
  </si>
  <si>
    <t>1 bomba + 40 pistones + fittings</t>
  </si>
  <si>
    <t>0222-000156 (4511604056)</t>
  </si>
  <si>
    <t>0222-000158 (4511613957)</t>
  </si>
  <si>
    <t>0222-000157 (4511604235)</t>
  </si>
  <si>
    <t>4 pistones</t>
  </si>
  <si>
    <t>0222-000135 (4511394788)</t>
  </si>
  <si>
    <t>0222-000177 (4511622805)</t>
  </si>
  <si>
    <t>Pago: 60 dias del cumplimiento -  Pedido SAP N°  1107879</t>
  </si>
  <si>
    <t>Pago: 60 dias del cumplimiento -  Pedido SAP N° 1107880</t>
  </si>
  <si>
    <t>Pago: 60 dias del cumplimiento -  Pedido SAP N° 1107881</t>
  </si>
  <si>
    <t>Pago: 60 dias del cumplimiento -  Pedido SAP N° 1107882</t>
  </si>
  <si>
    <t>Pago: 60 dias del cumplimiento -  Pedido SAP N° 1107924</t>
  </si>
  <si>
    <t>22001EC01012379G</t>
  </si>
  <si>
    <t>22001EC01015458H</t>
  </si>
  <si>
    <t>0322-000125 (4511629598)</t>
  </si>
  <si>
    <t>16 bombas + valvulas</t>
  </si>
  <si>
    <t>Pago: 60 dias del cumplimiento -  Pedido SAP N° 1108361</t>
  </si>
  <si>
    <t>3R - 102583</t>
  </si>
  <si>
    <t>0322-000126</t>
  </si>
  <si>
    <t>22/017 BBR</t>
  </si>
  <si>
    <t>Pago: 60 dias del cumplimiento -  Pedido SAP N° 1108368</t>
  </si>
  <si>
    <t>Guarani 49</t>
  </si>
  <si>
    <t>0322-000133 (4511655835)</t>
  </si>
  <si>
    <t>Pago: 60 dias del cumplimiento -  Pedido SAP N° 1108419</t>
  </si>
  <si>
    <t>0101-00000058</t>
  </si>
  <si>
    <t xml:space="preserve">Pago: 60 dias del cumplimiento -  Pedido SAP N° 1104710 - Estaba prevista para salir de planta el 1/4 pero para que no se despache sola se pasa al 8/4 </t>
  </si>
  <si>
    <t>22/014 BBR</t>
  </si>
  <si>
    <t>0322-000172</t>
  </si>
  <si>
    <t>fittings - 1° pedido taller</t>
  </si>
  <si>
    <t>Pago: 60 dias del cumplimiento -  Pedido SAP N° 1109118</t>
  </si>
  <si>
    <t>Pago: 60 dias del cumplimiento -  Pedido SAP N° 1109121</t>
  </si>
  <si>
    <t>fittings - 2° pedido taller</t>
  </si>
  <si>
    <t>0322-000173</t>
  </si>
  <si>
    <t>22/015 BBR</t>
  </si>
  <si>
    <t>Rotterdam Star</t>
  </si>
  <si>
    <t>22001EC01019692L</t>
  </si>
  <si>
    <t>0101-00000060</t>
  </si>
  <si>
    <t>0101-00000057</t>
  </si>
  <si>
    <t>0322-000365 (4511689455)</t>
  </si>
  <si>
    <t>Pago: 60 dias del cumplimiento -  Pedido SAP N° 1110267</t>
  </si>
  <si>
    <t>Endurance 027</t>
  </si>
  <si>
    <t>0422-000105 (4511699836)</t>
  </si>
  <si>
    <t>Pago: 60 dias del cumplimiento -  Pedido SAP N° 1110764</t>
  </si>
  <si>
    <t>22001EC01025487K</t>
  </si>
  <si>
    <t>22001EC01025486J</t>
  </si>
  <si>
    <t>0101-00000063</t>
  </si>
  <si>
    <t>0101-00000064</t>
  </si>
  <si>
    <t>Pago: 60 dias del cumplimiento -  Pedido SAP N° 1101409 - Salida de planta prevista para el 6/5, pero por demora de Siderca pasa al 10/6 (mail del 18/4 de MF)</t>
  </si>
  <si>
    <t>22/022 BBR</t>
  </si>
  <si>
    <t>0422-000194</t>
  </si>
  <si>
    <t>fittings - Potiguar</t>
  </si>
  <si>
    <t>032288</t>
  </si>
  <si>
    <t>0422-000196 (4511733534)</t>
  </si>
  <si>
    <t>8 bomba + nipple</t>
  </si>
  <si>
    <t>Pago: 60 dias del cumplimiento -  Pedido SAP N° 1111183</t>
  </si>
  <si>
    <t>22/024 BBR</t>
  </si>
  <si>
    <t>0422-000210</t>
  </si>
  <si>
    <t>100194/100195</t>
  </si>
  <si>
    <t>31 bombas+ fittings - 3R</t>
  </si>
  <si>
    <t>Pago: 60 dias del cumplimiento -  Pedido SAP N°  1111268</t>
  </si>
  <si>
    <t>22/025 BBR</t>
  </si>
  <si>
    <t>0422-000213</t>
  </si>
  <si>
    <t>0220</t>
  </si>
  <si>
    <t>58 bombas - Seacrest</t>
  </si>
  <si>
    <t>Pago: 60 dias del cumplimiento -  Pedido SAP N°  1111298</t>
  </si>
  <si>
    <r>
      <t>Pedido SAP N° 1086817 (1° PAGO) --</t>
    </r>
    <r>
      <rPr>
        <sz val="7"/>
        <color rgb="FFFF0000"/>
        <rFont val="Arial"/>
        <family val="2"/>
      </rPr>
      <t>(pagado: 22/6/21)</t>
    </r>
    <r>
      <rPr>
        <sz val="7"/>
        <rFont val="Arial"/>
        <family val="2"/>
      </rPr>
      <t>--1086822 (2° PAGO) --</t>
    </r>
    <r>
      <rPr>
        <sz val="7"/>
        <color rgb="FFFF0000"/>
        <rFont val="Arial"/>
        <family val="2"/>
      </rPr>
      <t>(pagado: 12/10/21)</t>
    </r>
    <r>
      <rPr>
        <sz val="7"/>
        <rFont val="Arial"/>
        <family val="2"/>
      </rPr>
      <t>--- Pedido SAP N° 1086820 (PEDIDO COMPLETO)-Luego de recibir el pago el dia 22/10 se envio la carga a Bue. En la semana se contacta el forwarder y nos dice qu ela carga es aerea asi que tuvimos que regresar la carga a PIC para cambiar el cajon.  La carga vuelve a Bue el 29/10 para coordinar con el forwarder el despacho via aerea.   Se cancela el vuelo a Egipto para el 30/11 (mail 29/11) - No sale la carga por falta de lugar (mail del 02/12)</t>
    </r>
  </si>
  <si>
    <t>Total 2022</t>
  </si>
  <si>
    <t>Pago: 60 dias del cumplimiento -  Pedido SAP N° 1101390 - PARTE DE LA CARGA VIAJO A COLOMBIA - Salida de Colombia 02/05/22 - Arribo a Brasil el 15 de Mayo (mail 6/4 de Tornado)</t>
  </si>
  <si>
    <t>Pago: 60 dias del cumplimiento -  Pedido SAP N° 1101391 - PARTE DE LA CARGA VIAJO A COLOMBIA - Salida de Colombia 02/05/22 -  Arribo a Brasil el 15 de Mayo (mail 6/4 de Tornado)</t>
  </si>
  <si>
    <t>Pago: 60 dias del cumplimiento -  Pedido SAP N° 1101392 - PARTE DE LA CARGA VIAJO A COLOMBIA - Salida de Colombia 02/05/22 - Arribo a Brasil el 15 de Mayo (mail 6/4 de Tornado)</t>
  </si>
  <si>
    <t>Pago: 60 dias del cumplimiento -  Pedido SAP N°  1101404 - PARTE DE LA CARGA VIAJO A COLOMBIA - Salida de Colombia 02/05/22 - Arribo a Brasil el 15 de Mayo (mail 6/4 de Tornado)</t>
  </si>
  <si>
    <t>Pago: 60 dias del cumplimiento -  Pedido SAP N° 1100226 - PARTE DE LA CARGA VIAJO A COLOMBIA - Salida de Colombia 02/05/22 - Arribo a Brasil el 15 de Mayo (mail 6/4 de Tornado)</t>
  </si>
  <si>
    <t>Pago: 60 dias del cumplimiento -  Pedido SAP N° 1100227 - PARTE DE LA CARGA VIAJO A COLOMBIA - Salida de Colombia 02/05/22 - Arribo a Brasil el 15 de Mayo (mail 6/4 de Tornado)</t>
  </si>
  <si>
    <t>Pago: 60 dias del cumplimiento -  Pedido SAP N° 1099694 - PARTE DE LA CARGA VIAJO A COLOMBIA - Salida de Colombia 02/05/22 - Arribo a Brasil el 15 de Mayo (mail 6/4 de Tornado)</t>
  </si>
  <si>
    <t>0522-000007 (4511750879)</t>
  </si>
  <si>
    <t>0522-000009(4511762080)</t>
  </si>
  <si>
    <t>0522-000015 (4511762081)</t>
  </si>
  <si>
    <t>111 bombas + fittings</t>
  </si>
  <si>
    <t>0522-000018 (4511762082)</t>
  </si>
  <si>
    <t>0522-000019 (4511762383)</t>
  </si>
  <si>
    <t>0522-000020 (4511765600)</t>
  </si>
  <si>
    <t>Pago: 60 dias del cumplimiento -  Pedido SAP N° 1112461</t>
  </si>
  <si>
    <t>Pago: 60 dias del cumplimiento -  Pedido SAP N° 1112462</t>
  </si>
  <si>
    <t>Pago: 60 dias del cumplimiento -  Pedido SAP N° 1112463</t>
  </si>
  <si>
    <t>Pago: 60 dias del cumplimiento -  Pedido SAP N° 1112492</t>
  </si>
  <si>
    <t>Pago: 60 dias del cumplimiento -  Pedido SAP N° 1112489</t>
  </si>
  <si>
    <t>Pago: 60 dias del cumplimiento -  Pedido SAP N° 1112504</t>
  </si>
  <si>
    <t>22001EC01033298J</t>
  </si>
  <si>
    <t>Pedido SAP N° 1102975 - PARTE DE LA CARGA VIAJO A BRASIL (nueva fecha de arribo a Colombia el 17/4-6/5 se entrego a PTI)</t>
  </si>
  <si>
    <t>22/041 CDQ</t>
  </si>
  <si>
    <t xml:space="preserve">IMP 294/2022 (002-22) </t>
  </si>
  <si>
    <t>004-22</t>
  </si>
  <si>
    <t>MUESTRA</t>
  </si>
  <si>
    <t>6 copas</t>
  </si>
  <si>
    <t xml:space="preserve">ENDURANCE 028  </t>
  </si>
  <si>
    <t>0101-00000068</t>
  </si>
  <si>
    <t>22/032 TAL</t>
  </si>
  <si>
    <t>Pedido SAP N° 1112764 - se envio desde la planta por OCA y luego va a manos de DHL</t>
  </si>
  <si>
    <t>59 9132 8910</t>
  </si>
  <si>
    <t>0101-00000073</t>
  </si>
  <si>
    <t>22001EC01038780K</t>
  </si>
  <si>
    <t>22/045 CDQ</t>
  </si>
  <si>
    <t xml:space="preserve">IMP 295/2022 (003-22) </t>
  </si>
  <si>
    <t>Jatoba 229</t>
  </si>
  <si>
    <t>0101-00000074</t>
  </si>
  <si>
    <t>22 001 EC01 039614 H</t>
  </si>
  <si>
    <t>Guarani 052</t>
  </si>
  <si>
    <t>7/6 - Se entregaron a PTI el 8/6</t>
  </si>
  <si>
    <t>Tempanos V2219N</t>
  </si>
  <si>
    <t>13 4035 6080</t>
  </si>
  <si>
    <t>Pago: 60 dias del cumplimiento -  Pedido SAP N° 1111181 - Estaba previsto para el 8/7 pero se definio juntar este unico despacho con el resto para el 15/7</t>
  </si>
  <si>
    <t>Endurance 030</t>
  </si>
  <si>
    <t>Hella V 2222N</t>
  </si>
  <si>
    <t>0101-00000075</t>
  </si>
  <si>
    <t>22001EC01044906H</t>
  </si>
  <si>
    <t>Pedido SAP N° 1112818 -Se demora la salida del buque.  1° salida:  12/6 -  2° salida: 20/6 - 3° salida: 22/6.</t>
  </si>
  <si>
    <t>22 001 EC01 043721 B</t>
  </si>
  <si>
    <t>0101-00000076</t>
  </si>
  <si>
    <t>22/016 GUN</t>
  </si>
  <si>
    <t>DHP-00409/22</t>
  </si>
  <si>
    <t>Anticipo SAP N° 1116570 - Pedido SAP N° 1116670</t>
  </si>
  <si>
    <t>Pedido SAP N° 1114408 - Según mail de Vero del 11/7 el buque cambio de fecha del 9/7 al 14/7</t>
  </si>
  <si>
    <t>22 001 EC01 049318J</t>
  </si>
  <si>
    <t>0101-00000080</t>
  </si>
  <si>
    <t>Endurance 031</t>
  </si>
  <si>
    <t>Pago: 60 dias del cumplimiento -  Pedido SAP N° 1111183 - Según mail de VTornado del 19/7 nos informan que no hay lugar para el Jatoba 231 del 1/8, por lo que debemos tomar el proximo buque del 8/8-Endurance 031</t>
  </si>
  <si>
    <t>Pago: 60 dias del cumplimiento -  Pedido SAP N° 1112461 - Según mail de VTornado del 19/7 nos informan que no hay lugar para el Jatoba 231 del 1/8, por lo que debemos tomar el proximo buque del 8/8-Endurance 031</t>
  </si>
  <si>
    <t>Pago: 60 dias del cumplimiento -  Pedido SAP N° 1112462- Según mail de VTornado del 19/7 nos informan que no hay lugar para el Jatoba 231 del 1/8, por lo que debemos tomar el proximo buque del 8/8-Endurance 031</t>
  </si>
  <si>
    <t>Pago: 60 dias del cumplimiento -  Pedido SAP N° 1112504- Según mail de VTornado del 19/7 nos informan que no hay lugar para el Jatoba 231 del 1/8, por lo que debemos tomar el proximo buque del 8/8-Endurance 031</t>
  </si>
  <si>
    <t>Pago: 60 dias del cumplimiento -  Pedido SAP N° 1112492- Según mail de VTornado del 19/7 nos informan que no hay lugar para el Jatoba 231 del 1/8, por lo que debemos tomar el proximo buque del 8/8-Endurance 031</t>
  </si>
  <si>
    <t>Pago: 60 dias del cumplimiento -  Pedido SAP N° 1112463- Según mail de VTornado del 19/7 nos informan que no hay lugar para el Jatoba 231 del 1/8, por lo que debemos tomar el proximo buque del 8/8-Endurance 031</t>
  </si>
  <si>
    <t>22/051 CDQ</t>
  </si>
  <si>
    <t xml:space="preserve">IMP 297/2022 (005-22) </t>
  </si>
  <si>
    <t>0722-000367</t>
  </si>
  <si>
    <t>MACAU</t>
  </si>
  <si>
    <t>Fittings para Taller Macau</t>
  </si>
  <si>
    <t>Pago: 60 dias del cumplimiento -  Pedido SAP N° 1118011</t>
  </si>
  <si>
    <t>22/053 BBR</t>
  </si>
  <si>
    <t>21/095 BBR</t>
  </si>
  <si>
    <t>SCM-0331</t>
  </si>
  <si>
    <t>40 bombas - Contrato 3R</t>
  </si>
  <si>
    <t>Pago: 60 dias del cumplimiento -  Pedido SAP N° 1119713</t>
  </si>
  <si>
    <t>22/061 BBR</t>
  </si>
  <si>
    <t>0822-000360</t>
  </si>
  <si>
    <t>Pago: 60 dias del cumplimiento -  Pedido SAP N° 1119891</t>
  </si>
  <si>
    <t>22001EC01056675</t>
  </si>
  <si>
    <t>0101-00000082</t>
  </si>
  <si>
    <t>0822-000288 (100362)</t>
  </si>
  <si>
    <t>HELLA V2231N</t>
  </si>
  <si>
    <t>Pedido SAP N° 1117813 - Se roleo el buque del 28/8 al 4/9 ya que no pasaba por Cartagena (ver mail de V.Tornado del 24/8)</t>
  </si>
  <si>
    <t>PT. BRANKY BUMIASRI</t>
  </si>
  <si>
    <t>2408/MERUAP-BBA/22</t>
  </si>
  <si>
    <t>22/036 YZZ</t>
  </si>
  <si>
    <t>22/067 CDQ</t>
  </si>
  <si>
    <t xml:space="preserve">IMP 299/2022 (007-22) </t>
  </si>
  <si>
    <t>Pedido SAP N° 1121026</t>
  </si>
  <si>
    <t>22001EC01060923E</t>
  </si>
  <si>
    <t>0101-00000087</t>
  </si>
  <si>
    <t>63 7144 4424</t>
  </si>
  <si>
    <t>Anticipo SAP N° 1120504 (1° anticipo) Pago: 7/9  - Pedido SAP N° 1120542</t>
  </si>
  <si>
    <t>22/079 CDQ</t>
  </si>
  <si>
    <t>Pedido SAP N° 1121886</t>
  </si>
  <si>
    <t xml:space="preserve">IMP 300/2022 (008-22) </t>
  </si>
  <si>
    <t>TEMPANOS</t>
  </si>
  <si>
    <t>22001EC010707776L</t>
  </si>
  <si>
    <t>0101-00000091</t>
  </si>
  <si>
    <t>22001EC01070259H</t>
  </si>
  <si>
    <t>44 9393 3651</t>
  </si>
  <si>
    <t>0101-00000095</t>
  </si>
  <si>
    <t>0101-00000094</t>
  </si>
  <si>
    <t>Anticipo SAP N° 1113523 (1° pago U$ 5005 - recibido 3/6) - 2° Anticipo SAP N° 1118869 (pago: 10/8/22) - Pedido SAP N° 1113421 - Estuvimos esperando 25 dias para hacer contacto con el forwarder.  Según mail del 3/10 se paso del buque del 30/9 por un tema de espacio al buque del 25/10</t>
  </si>
  <si>
    <t>Anticipo SAP N° 1113525 ( 1° pago U$ 5643 -recibido 3/6) - 2° Anticipo SAP N° 1118870 (pago: 10/8/22) -  Pedido SAP N° 1113419 - Estuvimos esperando 25 dias para hacer contacto con el forwarder.  Según mail del 3/10 se paso del buque del 30/9 por un tema de espacio al buque del 25/10</t>
  </si>
  <si>
    <t>MSC AQUARIUS</t>
  </si>
  <si>
    <t>Anticipo SAP N° 1113523 (1° pago U$ 5005 - recibido 3/6) - 2° Anticipo SAP N° 1118869 (pago: 10/8/22) - Pedido SAP N° 1113421 - Estuvimos esperando 25 dias para hacer contacto con el forwarder.  Según mail del 3/10 se paso del buque del 30/9 por un tema de espacio al buque del 25/10.  Segun mail del 10/11 se cancelo el buque Sofia  del 25/10 y se pasa al buque CZECH del 2/11. Segun mail de 19/10 se cancela el buque del 2/11 y pasa al 10/11.  Segun mail del 25/10 se cancela buque y se pasa al del 17/11.</t>
  </si>
  <si>
    <t>Anticipo SAP N° 1113525 ( 1° pago U$ 5643 -recibido 3/6) - 2° Anticipo SAP N° 1118870 (pago: 10/8/22) -  Pedido SAP N° 1113419 - Estuvimos esperando 25 dias para hacer contacto con el forwarder.  Según mail del 3/10 se paso del buque del 30/9 por un tema de espacio al buque del 25/10.  .  Segun mail del 10/11 se cancelo el buque Sofia  del 25/10 y se pasa al buque CZECH del 2/11. Segun mail de 19/10 se cancela el buque del 2/11 y pasa al 10/11. Segun mail del 25/10 se cancela buque y se pasa al del 17/11.</t>
  </si>
  <si>
    <t>PALAK</t>
  </si>
  <si>
    <t>Discovery 012</t>
  </si>
  <si>
    <t>22001EC01076571K</t>
  </si>
  <si>
    <t>22/081 CDQ</t>
  </si>
  <si>
    <t xml:space="preserve">IMP 301/2022 (009-22) </t>
  </si>
  <si>
    <t>22/082 CDQ</t>
  </si>
  <si>
    <t>Pago: 60 dias del cumplimiento -  Pedido SAP N° 1119891 - Se posterga la salida de planta del 21/10 al 4/11 para realizar un solo despacho.  Por un problema con la entrega de las bolas se pasa la salida de planta del 4 al 8/11.</t>
  </si>
  <si>
    <t>Pago: 60 dias del cumplimiento -  Pedido SAP N° 1119713.  Por un problema con la entrega de las bolas se pasa la salida de planta del 4 al 8/11.</t>
  </si>
  <si>
    <t>0101-00000099</t>
  </si>
  <si>
    <t>0101-00000100</t>
  </si>
  <si>
    <t>22001EC01080944J</t>
  </si>
  <si>
    <t>15 5415 8550</t>
  </si>
  <si>
    <t>0101-00000097</t>
  </si>
  <si>
    <t>18-10: recibimos el 50% - Se posterga la fecha de planta (18/01) por demora en la entrega prima se pasa al 28/2 - se pide el resto del pago pero no lo cancelan (04/04), la carga esta en Bue.  En Octubre/Noviembre del 2022 se decidio regresar la carga a la planta de CDR</t>
  </si>
  <si>
    <t>22001EC01085244H</t>
  </si>
  <si>
    <t>0101-00000101</t>
  </si>
  <si>
    <t>MAIPO 2246N</t>
  </si>
  <si>
    <t>0101-00000103</t>
  </si>
  <si>
    <t>22001EC01086913L</t>
  </si>
  <si>
    <t>Anticipo SAP N° 1120504 (1° anticipo) Pago: 7/9  - SAP N°  1125369 (2° anticipo) Pago:  4/11   -   Pedido SAP N° 1120542.   Según mail del 30/11 nos informan que no hay espacio en el buque del 10/12, por lo que se pasa al siguiente buque del 21/12. Según mail del 7/12 se posterga el buque del 21/12 al 29/12.</t>
  </si>
  <si>
    <t>SEASPAN RAPTOR</t>
  </si>
  <si>
    <t>Pedido SAP N° 1124641 - Según mail del 19/12 el buque se retraso y del 15/12 se pasa al 23/12</t>
  </si>
  <si>
    <t>96 0604 3716</t>
  </si>
  <si>
    <t>NYK DIANA V 2250N</t>
  </si>
  <si>
    <t>22/085 GUN</t>
  </si>
  <si>
    <t>DHPS-0011/23</t>
  </si>
  <si>
    <t xml:space="preserve">4500569473 (IMP 302/2022 (010-22)) </t>
  </si>
  <si>
    <r>
      <t xml:space="preserve">Fittings -  </t>
    </r>
    <r>
      <rPr>
        <sz val="9"/>
        <color rgb="FFFF0000"/>
        <rFont val="Arial"/>
        <family val="2"/>
      </rPr>
      <t xml:space="preserve"> LLEVA CERTIFICADOS DE CALIDAD</t>
    </r>
    <r>
      <rPr>
        <sz val="9"/>
        <color rgb="FF0000FF"/>
        <rFont val="Arial"/>
        <family val="2"/>
      </rPr>
      <t xml:space="preserve"> </t>
    </r>
  </si>
  <si>
    <t>23/005 CDQ</t>
  </si>
  <si>
    <t>4500575737 (011-22)</t>
  </si>
  <si>
    <t>Pedido SAP N° 1130042</t>
  </si>
  <si>
    <t>Pedido SAP N° 1124657 - según mail del 2/12 se confirma 2 envios (R11, se pasan a la PO 011)</t>
  </si>
  <si>
    <r>
      <t xml:space="preserve">Fittings -  </t>
    </r>
    <r>
      <rPr>
        <sz val="9"/>
        <color rgb="FFFF0000"/>
        <rFont val="Arial"/>
        <family val="2"/>
      </rPr>
      <t xml:space="preserve"> LLEVA CERTIFICADOS DE CALIDAD</t>
    </r>
    <r>
      <rPr>
        <sz val="9"/>
        <color rgb="FF0000FF"/>
        <rFont val="Arial"/>
        <family val="2"/>
      </rPr>
      <t xml:space="preserve"> </t>
    </r>
    <r>
      <rPr>
        <sz val="9"/>
        <rFont val="Arial"/>
        <family val="2"/>
      </rPr>
      <t xml:space="preserve"> (quedan pendientes barriles-item 2 -cant: 3- e item 4-cant: 1)</t>
    </r>
  </si>
  <si>
    <t>TEMPANOS V 2301N</t>
  </si>
  <si>
    <t>55 7018 0033</t>
  </si>
  <si>
    <t>22001EC01092445X</t>
  </si>
  <si>
    <t>0101-00000107</t>
  </si>
  <si>
    <t>23001EC01004474E</t>
  </si>
  <si>
    <t>0101-00000110</t>
  </si>
  <si>
    <t>49 4039 5935</t>
  </si>
  <si>
    <t>23/013 CDQ</t>
  </si>
  <si>
    <t>4500579182 (014-22)</t>
  </si>
  <si>
    <r>
      <t xml:space="preserve">Fittings -  </t>
    </r>
    <r>
      <rPr>
        <sz val="9"/>
        <color rgb="FFFF0000"/>
        <rFont val="Arial"/>
        <family val="2"/>
      </rPr>
      <t xml:space="preserve"> LLEVA CERTIFICADOS DE CALIDAD</t>
    </r>
    <r>
      <rPr>
        <sz val="9"/>
        <color rgb="FF0000FF"/>
        <rFont val="Arial"/>
        <family val="2"/>
      </rPr>
      <t xml:space="preserve"> </t>
    </r>
    <r>
      <rPr>
        <sz val="9"/>
        <rFont val="Arial"/>
        <family val="2"/>
      </rPr>
      <t xml:space="preserve"> </t>
    </r>
  </si>
  <si>
    <t>Pedido SAP N° 1131493</t>
  </si>
  <si>
    <t>0223-000096 (4512348001)</t>
  </si>
  <si>
    <t>0223-000097 (4512345453)</t>
  </si>
  <si>
    <t>0223-000099 (4512311636)</t>
  </si>
  <si>
    <t>0223-000220 (4512361880)</t>
  </si>
  <si>
    <t>Nipples y valvulas</t>
  </si>
  <si>
    <t>0223-000221 (4512355713)</t>
  </si>
  <si>
    <t>Pago: 60 dias del cumplimiento -  Pedido SAP N° 1132673</t>
  </si>
  <si>
    <t>Pago: 60 dias del cumplimiento -  Pedido SAP N° 1132675</t>
  </si>
  <si>
    <t>Pago: 60 dias del cumplimiento -  Pedido SAP N° 1132677</t>
  </si>
  <si>
    <t>Pago: 60 dias del cumplimiento -  Pedido SAP N° 1132678</t>
  </si>
  <si>
    <t>Pago: 60 dias del cumplimiento -  Pedido SAP N° 1132679</t>
  </si>
  <si>
    <t>0223-000223 (105810)</t>
  </si>
  <si>
    <t>30 bombas - Contrato 3R</t>
  </si>
  <si>
    <t>0223-000224 (102693)</t>
  </si>
  <si>
    <t>5 bombas - Contrato 3R</t>
  </si>
  <si>
    <t>22/077 BBR</t>
  </si>
  <si>
    <t xml:space="preserve"> 4600671981-71982-71983-71984-71985-71986-71987-71988-71989-71990</t>
  </si>
  <si>
    <t>0223-000138 (4512353193)</t>
  </si>
  <si>
    <t>Pago: 60 dias del cumplimiento -  Pedido SAP N° 1132880</t>
  </si>
  <si>
    <t>NYK DIANA</t>
  </si>
  <si>
    <t>CV. GLOBAL INTERNATIONAL SERVICE</t>
  </si>
  <si>
    <t>22/057 YZZ</t>
  </si>
  <si>
    <t>0303/BWPM-GIS/23</t>
  </si>
  <si>
    <t>0323-000129 (101657)</t>
  </si>
  <si>
    <t>80 pistones - Contrato 3R</t>
  </si>
  <si>
    <t>Pago: 60 dias del cumplimiento -  Pedido SAP N° 1133696</t>
  </si>
  <si>
    <t>Pago: 60 dias del cumplimiento -  Pedido SAP N° 1133697</t>
  </si>
  <si>
    <t>Pago: 60 dias del cumplimiento -  Pedido SAP N° 1133698</t>
  </si>
  <si>
    <t>0323-0000158 (4512400729)</t>
  </si>
  <si>
    <t>1 barril</t>
  </si>
  <si>
    <t>0323-0000160 (4512417127)</t>
  </si>
  <si>
    <t>1 valvula</t>
  </si>
  <si>
    <t>Pago: 60 dias del cumplimiento -  Pedido SAP N° 1133809</t>
  </si>
  <si>
    <t>Pago: 60 dias del cumplimiento -  Pedido SAP N° 1133810</t>
  </si>
  <si>
    <t>90 5217 8575</t>
  </si>
  <si>
    <t>0101-00000114</t>
  </si>
  <si>
    <t>23001EC01012605W</t>
  </si>
  <si>
    <t>23/012 BBR</t>
  </si>
  <si>
    <t>0323-0000237 (1398)</t>
  </si>
  <si>
    <t>Fittings - Seacrest</t>
  </si>
  <si>
    <t>Pago: 60 dias del cumplimiento -  Pedido SAP N° 1134051</t>
  </si>
  <si>
    <t>SIN COSTO</t>
  </si>
  <si>
    <t>Estos pistones se envian sin valor comercial y sin PO - Se envian para reemplazar los que se enviaron erroneamente.</t>
  </si>
  <si>
    <t>(2408/MERUAP-BBA/22)</t>
  </si>
  <si>
    <t>Jacaranda 152</t>
  </si>
  <si>
    <t>Total 2023</t>
  </si>
  <si>
    <t>23/027 CDQ</t>
  </si>
  <si>
    <t>4500584496 (001-23)</t>
  </si>
  <si>
    <t>Pedido SAP N° 1134653</t>
  </si>
  <si>
    <t>23001EC01019644J</t>
  </si>
  <si>
    <t>23001EC01019586Y</t>
  </si>
  <si>
    <t>0101- 00000116</t>
  </si>
  <si>
    <t>0101-00000117</t>
  </si>
  <si>
    <t>HUNGARY</t>
  </si>
  <si>
    <t>0323-000336</t>
  </si>
  <si>
    <t>Pago: 60 dias del cumplimiento -  Pedido SAP N° 1136107. Se entrega cuando de el OK PECOM Brasil</t>
  </si>
  <si>
    <t>0423-000168 (870)</t>
  </si>
  <si>
    <t>RN</t>
  </si>
  <si>
    <t>27 bombas + fittings - Contrato 3R</t>
  </si>
  <si>
    <t>0423-000169 (869)</t>
  </si>
  <si>
    <t>Pago: 60 dias del cumplimiento -  Pedido SAP N° 1136209</t>
  </si>
  <si>
    <t>Pago: 60 dias del cumplimiento -  Pedido SAP N° 1136212</t>
  </si>
  <si>
    <r>
      <rPr>
        <b/>
        <sz val="9"/>
        <color rgb="FFFF0000"/>
        <rFont val="Arial"/>
        <family val="2"/>
      </rPr>
      <t>1° ENVIO</t>
    </r>
    <r>
      <rPr>
        <sz val="9"/>
        <rFont val="Arial"/>
        <family val="2"/>
      </rPr>
      <t xml:space="preserve"> - 32 bombas + fittings - Contrato 3R</t>
    </r>
  </si>
  <si>
    <r>
      <rPr>
        <b/>
        <sz val="9"/>
        <color rgb="FFFF0000"/>
        <rFont val="Arial"/>
        <family val="2"/>
      </rPr>
      <t>2° ENVIO</t>
    </r>
    <r>
      <rPr>
        <sz val="9"/>
        <rFont val="Arial"/>
        <family val="2"/>
      </rPr>
      <t xml:space="preserve"> - 40 bombas - Contrato 3R</t>
    </r>
  </si>
  <si>
    <t>Endurance 041</t>
  </si>
  <si>
    <t>Pago: 60 dias del cumplimiento -  Pedido SAP N° 1136262</t>
  </si>
  <si>
    <t>1800            (sin costo)</t>
  </si>
  <si>
    <t>0423-000213 (985090 CAR-MD-23-0097)</t>
  </si>
  <si>
    <t>SE</t>
  </si>
  <si>
    <r>
      <rPr>
        <b/>
        <sz val="9"/>
        <color rgb="FFFF0000"/>
        <rFont val="Arial"/>
        <family val="2"/>
      </rPr>
      <t>1° ENVIO</t>
    </r>
    <r>
      <rPr>
        <sz val="9"/>
        <rFont val="Arial"/>
        <family val="2"/>
      </rPr>
      <t xml:space="preserve"> - Fittings - CarmoEnergy</t>
    </r>
  </si>
  <si>
    <t>Pago: 60 dias del cumplimiento -  Pedido SAP N° 1136949</t>
  </si>
  <si>
    <r>
      <rPr>
        <b/>
        <sz val="9"/>
        <color rgb="FFFF0000"/>
        <rFont val="Arial"/>
        <family val="2"/>
      </rPr>
      <t>2° ENVIO</t>
    </r>
    <r>
      <rPr>
        <sz val="9"/>
        <rFont val="Arial"/>
        <family val="2"/>
      </rPr>
      <t xml:space="preserve"> - Fittings - CarmoEnergy</t>
    </r>
  </si>
  <si>
    <r>
      <rPr>
        <b/>
        <sz val="9"/>
        <color rgb="FFFF0000"/>
        <rFont val="Arial"/>
        <family val="2"/>
      </rPr>
      <t>3° ENVIO</t>
    </r>
    <r>
      <rPr>
        <sz val="9"/>
        <rFont val="Arial"/>
        <family val="2"/>
      </rPr>
      <t xml:space="preserve"> - Fittings - CarmoEnergy</t>
    </r>
  </si>
  <si>
    <t>Pago: 60 dias del cumplimiento -  Pedido SAP N° 1137052</t>
  </si>
  <si>
    <t>23/033 BBR</t>
  </si>
  <si>
    <t>23/031 BBR</t>
  </si>
  <si>
    <t>0101-00000120</t>
  </si>
  <si>
    <t>23001EC01027298N</t>
  </si>
  <si>
    <t>0101-00000121</t>
  </si>
  <si>
    <t>23001EC01027681J</t>
  </si>
  <si>
    <t>0523-000087 (4512511615)</t>
  </si>
  <si>
    <t>1 nipple</t>
  </si>
  <si>
    <t>0523-000088 (4512549453)</t>
  </si>
  <si>
    <r>
      <rPr>
        <b/>
        <sz val="9"/>
        <color rgb="FFFF0000"/>
        <rFont val="Arial"/>
        <family val="2"/>
      </rPr>
      <t>1° ENVIO</t>
    </r>
    <r>
      <rPr>
        <sz val="9"/>
        <rFont val="Arial"/>
        <family val="2"/>
      </rPr>
      <t xml:space="preserve"> - 111 bombas - Contrato 3R</t>
    </r>
  </si>
  <si>
    <t>0523-000091 (1021)</t>
  </si>
  <si>
    <t>0523-000036</t>
  </si>
  <si>
    <t>Fittings para Taller Macau (DPH)</t>
  </si>
  <si>
    <t>23/035 BBR</t>
  </si>
  <si>
    <t>Pago: 60 dias del cumplimiento -  Pedido SAP N° 1138373</t>
  </si>
  <si>
    <t>34 2633 8366</t>
  </si>
  <si>
    <t>BUQUE SUAPE EXPRESS 2315 N</t>
  </si>
  <si>
    <t>0523-000331 (4512598172)</t>
  </si>
  <si>
    <t>2 nipples</t>
  </si>
  <si>
    <t>0523-000425 (4512604295)</t>
  </si>
  <si>
    <t>3 barriles</t>
  </si>
  <si>
    <t>0523-000427 (4512608870)</t>
  </si>
  <si>
    <t>5 nipples</t>
  </si>
  <si>
    <t>Endurance 042</t>
  </si>
  <si>
    <t>0523-000495 (4512618526)</t>
  </si>
  <si>
    <t>0523-000518 (4512624361)</t>
  </si>
  <si>
    <t>Pedido SAP N° 1139605</t>
  </si>
  <si>
    <t>23/038 CDQ</t>
  </si>
  <si>
    <t>4500592079</t>
  </si>
  <si>
    <r>
      <t xml:space="preserve">1 BOMBA (PetroSantander) -  </t>
    </r>
    <r>
      <rPr>
        <sz val="9"/>
        <color rgb="FFFF0000"/>
        <rFont val="Arial"/>
        <family val="2"/>
      </rPr>
      <t xml:space="preserve"> LLEVA CERTIFICADOS DE CALIDAD</t>
    </r>
    <r>
      <rPr>
        <sz val="9"/>
        <color rgb="FF0000FF"/>
        <rFont val="Arial"/>
        <family val="2"/>
      </rPr>
      <t xml:space="preserve"> </t>
    </r>
    <r>
      <rPr>
        <sz val="9"/>
        <rFont val="Arial"/>
        <family val="2"/>
      </rPr>
      <t xml:space="preserve"> </t>
    </r>
  </si>
  <si>
    <t>0523-000555 (4512628781)</t>
  </si>
  <si>
    <t>Pago: 60 dias del cumplimiento -  Pedido SAP N° 1139787</t>
  </si>
  <si>
    <t>0523-000556 (4512626719)</t>
  </si>
  <si>
    <t>23 001 EC01 034183 E</t>
  </si>
  <si>
    <t>0101-00000124</t>
  </si>
  <si>
    <t>4500592090 (002-23)</t>
  </si>
  <si>
    <t>23/040 CDQ</t>
  </si>
  <si>
    <t>0623-000090 (4512656696)</t>
  </si>
  <si>
    <t>0623-000089 (4512651410)</t>
  </si>
  <si>
    <t>0623-000082 (101901)</t>
  </si>
  <si>
    <t>23/043 BBR</t>
  </si>
  <si>
    <t>Pago: 60 dias del cumplimiento -  Pedido SAP N° 1140599</t>
  </si>
  <si>
    <t>Pago: 60 dias del cumplimiento -  Pedido SAP N° 1140601</t>
  </si>
  <si>
    <t>Pago: 60 dias del cumplimiento -  Pedido SAP N° 1140602</t>
  </si>
  <si>
    <t>RECHAZADA</t>
  </si>
  <si>
    <t>12 pistones + valvulas - 3R</t>
  </si>
  <si>
    <t>23001EC01036804G</t>
  </si>
  <si>
    <t>MSC LAUSANNE 2321N</t>
  </si>
  <si>
    <t>23001EC01037921H</t>
  </si>
  <si>
    <t>0101-00000127</t>
  </si>
  <si>
    <t>2007 al 2023</t>
  </si>
  <si>
    <t>0101-00000126</t>
  </si>
  <si>
    <t>61 2041 6864</t>
  </si>
  <si>
    <t>Pedido SAP N° 1129817 (1° ANTICIPO u$ 4240,80) Pago: 2/5/23  - SAP N° 1130363 -80072549 (2° ANTICIPO u$ 4240,80) Pago: 12/6/23 - SAP N° 1130360 (orden de compra)  - FORWARDER: INES ARZUBI</t>
  </si>
  <si>
    <t>23/046 CDQ</t>
  </si>
  <si>
    <t>4500594921 (003-23)</t>
  </si>
  <si>
    <t>22/063 BBR</t>
  </si>
  <si>
    <t>0623-000463 (985090CAR-UP- 23-0051)</t>
  </si>
  <si>
    <r>
      <rPr>
        <b/>
        <sz val="9"/>
        <color rgb="FFFF0000"/>
        <rFont val="Arial"/>
        <family val="2"/>
      </rPr>
      <t xml:space="preserve">1° ENVIO </t>
    </r>
    <r>
      <rPr>
        <sz val="9"/>
        <rFont val="Arial"/>
        <family val="2"/>
      </rPr>
      <t xml:space="preserve">- 31 bombas - Carmoenergy </t>
    </r>
  </si>
  <si>
    <r>
      <rPr>
        <b/>
        <sz val="9"/>
        <color rgb="FFFF0000"/>
        <rFont val="Arial"/>
        <family val="2"/>
      </rPr>
      <t xml:space="preserve">2° ENVIO </t>
    </r>
    <r>
      <rPr>
        <sz val="9"/>
        <rFont val="Arial"/>
        <family val="2"/>
      </rPr>
      <t xml:space="preserve">- 77 bombas - Carmoenergy </t>
    </r>
  </si>
  <si>
    <t>Anticipo 50% SAP N° 1133606 - U$ 21.472,50  (Pago: 28/3/23)   - Anticipo 50% SAP N° 1138559 - U$ 21.472,50 (Pago: 6/6/23) -   Pedido SAP N°  1135159 (orden de compra) - Según mail del 23/6 se reprograma el buque al siguente, del 29/6 pasa al 7/7</t>
  </si>
  <si>
    <t>SALVADOR EXPRESS</t>
  </si>
  <si>
    <t>Pago: 60 dias del cumplimiento -  Pedido SAP N° 1137054 - Según mail de V Tornado del 23/6 por asueto en el puerto se pospone para el proximo buque, del 4/7 pasa al 11/7</t>
  </si>
  <si>
    <t>Pago: 60 dias del cumplimiento -  Pedido SAP N° 1138367 - Según mail de V Tornado del 23/6 por asueto en el puerto se pospone para el proximo buque, del 4/7 pasa al 11/7</t>
  </si>
  <si>
    <t>Pago: 60 dias del cumplimiento -  Pedido SAP N° 1138370 - Según mail de V Tornado del 23/6 por asueto en el puerto se pospone para el proximo buque, del 4/7 pasa al 11/7</t>
  </si>
  <si>
    <t>Pago: 60 dias del cumplimiento -  Pedido SAP N° 1139184 - Según mail de V Tornado del 23/6 por asueto en el puerto se pospone para el proximo buque, del 4/7 pasa al 11/7</t>
  </si>
  <si>
    <t>Pago: 60 dias del cumplimiento -  Pedido SAP N° 1139418 - Según mail de V Tornado del 23/6 por asueto en el puerto se pospone para el proximo buque, del 4/7 pasa al 11/7</t>
  </si>
  <si>
    <t>Pago: 60 dias del cumplimiento -  Pedido SAP N° 1139419 - Según mail de V Tornado del 23/6 por asueto en el puerto se pospone para el proximo buque, del 4/7 pasa al 11/7</t>
  </si>
  <si>
    <t>Pago: 60 dias del cumplimiento -  Pedido SAP N° 1139525 - Según mail de V Tornado del 23/6 por asueto en el puerto se pospone para el proximo buque, del 4/7 pasa al 11/7</t>
  </si>
  <si>
    <t>Pago: 60 dias del cumplimiento -  Pedido SAP N° 1139604 - Según mail de V Tornado del 23/6 por asueto en el puerto se pospone para el proximo buque, del 4/7 pasa al 11/7</t>
  </si>
  <si>
    <t>Pago: 60 dias del cumplimiento -  Pedido SAP N° 1139798 - Según mail de V Tornado del 23/6 por asueto en el puerto se pospone para el proximo buque, del 4/7 pasa al 11/7</t>
  </si>
  <si>
    <t xml:space="preserve">MSC Belmonte III 002 </t>
  </si>
  <si>
    <t>Pago: 60 dias del cumplimiento -  Pedido SAP N° 1141871</t>
  </si>
  <si>
    <t>23 001 EC01 041302 S</t>
  </si>
  <si>
    <t>22/047 BBR</t>
  </si>
  <si>
    <t>0623-000543 (985090CAR-MD-23-0113)</t>
  </si>
  <si>
    <r>
      <rPr>
        <b/>
        <sz val="9"/>
        <color rgb="FFFF0000"/>
        <rFont val="Arial"/>
        <family val="2"/>
      </rPr>
      <t>1° ENVIO</t>
    </r>
    <r>
      <rPr>
        <sz val="9"/>
        <rFont val="Arial"/>
        <family val="2"/>
      </rPr>
      <t xml:space="preserve"> - 40 COO278-78 - CarmoEnergy</t>
    </r>
  </si>
  <si>
    <r>
      <rPr>
        <b/>
        <sz val="9"/>
        <color rgb="FFFF0000"/>
        <rFont val="Arial"/>
        <family val="2"/>
      </rPr>
      <t>2° ENVIO</t>
    </r>
    <r>
      <rPr>
        <sz val="9"/>
        <rFont val="Arial"/>
        <family val="2"/>
      </rPr>
      <t xml:space="preserve"> - 40 COO278-78 - CarmoEnergy</t>
    </r>
  </si>
  <si>
    <t>Pago: 60 dias del cumplimiento -  Pedido SAP N° 1142271</t>
  </si>
  <si>
    <t>0101-00000128</t>
  </si>
  <si>
    <t>23 073 EC01 014484 P</t>
  </si>
  <si>
    <t>vuelo: AF0467 - AF0570</t>
  </si>
  <si>
    <t>0101-00000129</t>
  </si>
  <si>
    <t>0623-000606 (1519)</t>
  </si>
  <si>
    <t>Pago: 60 dias del cumplimiento -  Pedido SAP N° 1142609</t>
  </si>
  <si>
    <r>
      <rPr>
        <b/>
        <sz val="9"/>
        <color rgb="FFFF0000"/>
        <rFont val="Arial"/>
        <family val="2"/>
      </rPr>
      <t>2° ENVIO</t>
    </r>
    <r>
      <rPr>
        <sz val="9"/>
        <rFont val="Arial"/>
        <family val="2"/>
      </rPr>
      <t xml:space="preserve"> - 111 bombas - Contrato 3R</t>
    </r>
  </si>
  <si>
    <r>
      <rPr>
        <b/>
        <sz val="9"/>
        <color rgb="FFFF0000"/>
        <rFont val="Arial"/>
        <family val="2"/>
      </rPr>
      <t>1° ENVIO</t>
    </r>
    <r>
      <rPr>
        <sz val="9"/>
        <rFont val="Arial"/>
        <family val="2"/>
      </rPr>
      <t xml:space="preserve"> - 108 conj. piston + 10 pistones - 3R</t>
    </r>
  </si>
  <si>
    <r>
      <rPr>
        <b/>
        <sz val="9"/>
        <color rgb="FFFF0000"/>
        <rFont val="Arial"/>
        <family val="2"/>
      </rPr>
      <t>2° ENVIO</t>
    </r>
    <r>
      <rPr>
        <sz val="9"/>
        <rFont val="Arial"/>
        <family val="2"/>
      </rPr>
      <t xml:space="preserve"> - 288 conj. piston + 38 pistones - 3R</t>
    </r>
  </si>
  <si>
    <t>Jacaranda 156</t>
  </si>
  <si>
    <r>
      <t>550 Valvulas</t>
    </r>
    <r>
      <rPr>
        <b/>
        <sz val="9"/>
        <rFont val="Arial"/>
        <family val="2"/>
      </rPr>
      <t xml:space="preserve"> </t>
    </r>
    <r>
      <rPr>
        <b/>
        <u/>
        <sz val="9"/>
        <color rgb="FFFF0000"/>
        <rFont val="Arial"/>
        <family val="2"/>
      </rPr>
      <t>desde USA</t>
    </r>
  </si>
  <si>
    <r>
      <t xml:space="preserve">187 Valvulas </t>
    </r>
    <r>
      <rPr>
        <b/>
        <u/>
        <sz val="9"/>
        <color rgb="FFFF0000"/>
        <rFont val="Arial"/>
        <family val="2"/>
      </rPr>
      <t>desde USA</t>
    </r>
  </si>
  <si>
    <t>23 001 EC01 046158 J</t>
  </si>
  <si>
    <t>23/048 CDQ</t>
  </si>
  <si>
    <t>4500597886 (004-23)</t>
  </si>
  <si>
    <t>0101-00000132</t>
  </si>
  <si>
    <t>22/8 nacionalizacion, insp. Fisica - carga disponible el 25-26/8</t>
  </si>
  <si>
    <t>Pedido SAP N° 1140283 - Según mail de PTI (11/7) solicitan despachar juntas la PO 002 y 003 .  Po 002 de 28/7 pasa al 11/8, igual que PO 003  - PLUSCARGO</t>
  </si>
  <si>
    <t>Pedido SAP N° 1141833 - PLUSCARGO</t>
  </si>
  <si>
    <t>SEASPAN EMPIRE</t>
  </si>
  <si>
    <t>23001EC01055437J</t>
  </si>
  <si>
    <t>Pedido SAP N° 1144008 - Se posterga la salida de planta por un retraso del proveedor, antes 29/8.</t>
  </si>
  <si>
    <t>0101-00000133</t>
  </si>
  <si>
    <t>62 8827 9863</t>
  </si>
  <si>
    <t>0823-000107 (2483)</t>
  </si>
  <si>
    <t>18 bombas+ pistones</t>
  </si>
  <si>
    <t>0823-000289 (1884)</t>
  </si>
  <si>
    <r>
      <rPr>
        <b/>
        <sz val="9"/>
        <color rgb="FFFF0000"/>
        <rFont val="Arial"/>
        <family val="2"/>
      </rPr>
      <t xml:space="preserve">2° ENVIO - </t>
    </r>
    <r>
      <rPr>
        <sz val="9"/>
        <rFont val="Arial"/>
        <family val="2"/>
      </rPr>
      <t>60 bombas</t>
    </r>
  </si>
  <si>
    <t>Pago: 60 dias del cumplimiento -  Pedido SAP N° 1147208</t>
  </si>
  <si>
    <t>Pago: 60 dias del cumplimiento -  Pedido SAP N° 1147212</t>
  </si>
  <si>
    <t>Pago: 60 dias del cumplimiento -  Pedido SAP N° 1147214</t>
  </si>
  <si>
    <t>Pago: 60 dias del cumplimiento -  Pedido SAP N° 1147216</t>
  </si>
  <si>
    <t>4500602775 (006-23)</t>
  </si>
  <si>
    <t>Pedido SAP N° 1147543</t>
  </si>
  <si>
    <t>23/057 CDQ</t>
  </si>
  <si>
    <t>SE ENVIAN DESDE USA</t>
  </si>
  <si>
    <t>23 001 EC01 059711 X</t>
  </si>
  <si>
    <t>0101-00000135</t>
  </si>
  <si>
    <t>0923-000103 (4512651410)</t>
  </si>
  <si>
    <t>0923-000102 (4512656696)</t>
  </si>
  <si>
    <t>0923-000101 (4512694723)</t>
  </si>
  <si>
    <t>45 barriles</t>
  </si>
  <si>
    <t>Pago: 60 dias del cumplimiento -  Pedido SAP N° 1147955</t>
  </si>
  <si>
    <t>Pago: 60 dias del cumplimiento -  Pedido SAP N° 1147956</t>
  </si>
  <si>
    <t>Pago: 60 dias del cumplimiento -  Pedido SAP N° 1147957</t>
  </si>
  <si>
    <t>Pago: 60 dias del cumplimiento -  Pedido SAP N° 1142607  - Se posterga la salida de planta por un retraso del proveedor, antes 5/9.  Se junta con la carga de Carmo que estaba en el puerto de Bue.</t>
  </si>
  <si>
    <t>Belmonte III</t>
  </si>
  <si>
    <t>Pago: 60 dias del cumplimiento -  Pedido SAP N° 1138375 - Se posterga la salida de planta del 4/8 al 11/8 por corte de luz en la planta y paro de la UOM. - Según mail de IN del 11/8 se cancela la expo por falta de pago de Carmo. Quedo la carga en el deposito de Bue. 11/9 habilitan la salida de la carga, se factura en Sept.</t>
  </si>
  <si>
    <t>Pago: 60 dias del cumplimiento -  Pedido SAP N° 1141870 - Se posterga la salida de planta del 4/8 al 11/8 por corte de luz en la planta y paro de la UOM. - Según mail de IN del 11/8 se cancela la expo por falta de pago de Carmo. Quedo la carga en el deposito de Bue. 11/9 habilitan la salida de la carga., se factura en Sept.</t>
  </si>
  <si>
    <t>Pago: 60 dias del cumplimiento -  Pedido SAP N° 1142270 - Se posterga la salida de planta del 4/8 al 11/8 por corte de luz en la planta y paro de la UOM. - Según mail de IN del 11/8 se cancela la expo por falta de pago de Carmo. Quedo la carga en el deposito de Bue. 11/9 habilitan la salida de la carga, se factura en Sept.</t>
  </si>
  <si>
    <t>19 5550 9916</t>
  </si>
  <si>
    <t>23 001 EC01 063688 Z</t>
  </si>
  <si>
    <t>MAIPO V 2337N</t>
  </si>
  <si>
    <t>0101-00000137</t>
  </si>
  <si>
    <t>Fecha descarga en Pto de destino</t>
  </si>
  <si>
    <t>23 001 EC01 064909 N</t>
  </si>
  <si>
    <t>0101-00000138</t>
  </si>
  <si>
    <t>23/058 BBR</t>
  </si>
  <si>
    <t>0923-000551 (3117)</t>
  </si>
  <si>
    <t>Pago: 60 dias del cumplimiento -  Pedido SAP N° 1149683</t>
  </si>
  <si>
    <t>Pago: 60 dias del cumplimiento -  Pedido SAP N° 1138374 - La fecha prevista de planta era el 6/10 pero se postergo para el 12/10 por demora en la entrega de la materia prima (laton)</t>
  </si>
  <si>
    <t>Endurance 047</t>
  </si>
  <si>
    <t>ARICA EXPRESS 2334N</t>
  </si>
  <si>
    <t>La PO llego el 16/4 pero recien se hizo el 1° pago el 7/11 por lo tanto desde este dia se empieza con la fabricacion y contar el plazo de entrega.  Anticipo 20% SAP N° 1122412 - U$ 11554,60 (1116570 ANULADO) Pago: 7/11 -  Antcipo 30% SAP N° 1127686- U$ 17331,90 - Pago: 30/1/23 U$ 17.286,90 -     Anticipo 50% SAP N° 1130358 (80072530) - U$ 28.886,48 - Pago 10/10/23 - Pedido SAP N° 1116670.  Despues de varios dias de espera del contacto con el forwarder, se contacta y nos pasa fecha de buque.  Segun mail del 10/4 por falta de espacio se pasa al sig. buque (del Palak 11/4 al Hungary 18/4)</t>
  </si>
  <si>
    <t>23/034 BBR</t>
  </si>
  <si>
    <t>23/037 BBR</t>
  </si>
  <si>
    <t>0823-000762 (2387)</t>
  </si>
  <si>
    <t>25 bombas - Seacrest</t>
  </si>
  <si>
    <t>0823-000769 (1928)</t>
  </si>
  <si>
    <t>Pago: 60 dias del cumplimiento -  Pedido SAP N° 1150445</t>
  </si>
  <si>
    <t>Pago: 60 dias del cumplimiento -  Pedido SAP N° 1150448</t>
  </si>
  <si>
    <r>
      <rPr>
        <b/>
        <sz val="9"/>
        <color rgb="FFFF0000"/>
        <rFont val="Arial"/>
        <family val="2"/>
      </rPr>
      <t>1° ENVIO -</t>
    </r>
    <r>
      <rPr>
        <sz val="9"/>
        <rFont val="Arial"/>
        <family val="2"/>
      </rPr>
      <t xml:space="preserve"> 80 bombas</t>
    </r>
  </si>
  <si>
    <t>23 001 EC01 071919 M</t>
  </si>
  <si>
    <t>Jacaranda 160</t>
  </si>
  <si>
    <t>0101-00000141</t>
  </si>
  <si>
    <t>23 001 EC01 068723 L</t>
  </si>
  <si>
    <t>0101-00000140</t>
  </si>
  <si>
    <t>4500608933 (005-23)</t>
  </si>
  <si>
    <t>23/062 CDQ</t>
  </si>
  <si>
    <t>38 8967 8531 / 60 8834 5056</t>
  </si>
  <si>
    <t>23/063 BBR</t>
  </si>
  <si>
    <t>1123-000263 (3607)</t>
  </si>
  <si>
    <t>Pago: 60 dias del cumplimiento -  Pedido SAP N° 1152730</t>
  </si>
  <si>
    <t>Belmonte 007</t>
  </si>
  <si>
    <t>23 001 EC01 076233 G</t>
  </si>
  <si>
    <t>NORTH AMERICAN TRADE CORPORATION (NORAMCO)</t>
  </si>
  <si>
    <t>23/058 UZZ</t>
  </si>
  <si>
    <t>EWXW</t>
  </si>
  <si>
    <t>Fittings para Taller Macau (C13)</t>
  </si>
  <si>
    <t>1123-000292</t>
  </si>
  <si>
    <t>23/065 BBR</t>
  </si>
  <si>
    <t>Pago: 60 dias del cumplimiento -  Pedido SAP N° 1153489</t>
  </si>
  <si>
    <t>23/066BBR</t>
  </si>
  <si>
    <t>1123-000278</t>
  </si>
  <si>
    <t>Pago: 60 dias del cumplimiento -  Pedido SAP N° 1153739</t>
  </si>
  <si>
    <t>0101-00000142</t>
  </si>
  <si>
    <t>23 001 EC01 078881 R</t>
  </si>
  <si>
    <t>Pedido SAP N° 1151827 - Según maild el 29/11 se cancel el buque Palena del 9/12 y pasa al siguiente del 16/12 - Maipo</t>
  </si>
  <si>
    <t>MAIPO 2345N</t>
  </si>
  <si>
    <t>0101-000000145</t>
  </si>
  <si>
    <t>23/066 BBR</t>
  </si>
  <si>
    <r>
      <rPr>
        <b/>
        <sz val="9"/>
        <color rgb="FFFF0000"/>
        <rFont val="Arial"/>
        <family val="2"/>
      </rPr>
      <t>3° ENVIO -173</t>
    </r>
    <r>
      <rPr>
        <sz val="9"/>
        <rFont val="Arial"/>
        <family val="2"/>
      </rPr>
      <t xml:space="preserve"> bombas</t>
    </r>
  </si>
  <si>
    <t>23 001 EC01 083967 S</t>
  </si>
  <si>
    <t>0101-000000149</t>
  </si>
  <si>
    <t>Cma Cgm Santos 016</t>
  </si>
  <si>
    <r>
      <t xml:space="preserve">30 Bombas + 30 nipples - </t>
    </r>
    <r>
      <rPr>
        <b/>
        <sz val="9"/>
        <color rgb="FFFF0000"/>
        <rFont val="Arial"/>
        <family val="2"/>
      </rPr>
      <t xml:space="preserve">1° ENVIO </t>
    </r>
    <r>
      <rPr>
        <b/>
        <sz val="9"/>
        <rFont val="Arial"/>
        <family val="2"/>
      </rPr>
      <t>- CARMOENERGY</t>
    </r>
  </si>
  <si>
    <r>
      <t xml:space="preserve">162 Bombas + 131 nipples - </t>
    </r>
    <r>
      <rPr>
        <b/>
        <sz val="9"/>
        <color rgb="FFFF0000"/>
        <rFont val="Arial"/>
        <family val="2"/>
      </rPr>
      <t>2° ENVIO</t>
    </r>
    <r>
      <rPr>
        <sz val="9"/>
        <rFont val="Arial"/>
        <family val="2"/>
      </rPr>
      <t xml:space="preserve">- </t>
    </r>
    <r>
      <rPr>
        <b/>
        <sz val="9"/>
        <rFont val="Arial"/>
        <family val="2"/>
      </rPr>
      <t>CARMOENERGY</t>
    </r>
  </si>
  <si>
    <r>
      <t>Fittings -</t>
    </r>
    <r>
      <rPr>
        <b/>
        <sz val="9"/>
        <rFont val="Arial"/>
        <family val="2"/>
      </rPr>
      <t xml:space="preserve"> 3R</t>
    </r>
  </si>
  <si>
    <r>
      <t xml:space="preserve">Fittings - </t>
    </r>
    <r>
      <rPr>
        <b/>
        <sz val="9"/>
        <rFont val="Arial"/>
        <family val="2"/>
      </rPr>
      <t>3R</t>
    </r>
  </si>
  <si>
    <r>
      <t xml:space="preserve">Pago: 60 dias del cumplimiento -  Pedido SAP N° </t>
    </r>
    <r>
      <rPr>
        <strike/>
        <sz val="8"/>
        <rFont val="Arial"/>
        <family val="2"/>
      </rPr>
      <t>1153742</t>
    </r>
    <r>
      <rPr>
        <sz val="8"/>
        <rFont val="Arial"/>
        <family val="2"/>
      </rPr>
      <t xml:space="preserve"> - NUEVO 1157634</t>
    </r>
  </si>
  <si>
    <t>Pedido SAP N° 1152879 1° anticipo U$ 5278 (Pagado 23/11/23) - El 18/12 agregan un item mas.  Pendiente de pagar U$ 9643 (SAP N° 1156737-Pagado 12/1/24) - N° de pedido de SAP por PO: 1156738  - Desde el 12/1 estamos aguardando isntrucciones del cliente</t>
  </si>
  <si>
    <t>24 001 EC01 004003 Z</t>
  </si>
  <si>
    <t>0101-00000151</t>
  </si>
  <si>
    <t>24AR045057G / 014AR3702024</t>
  </si>
  <si>
    <t>0101-000000153</t>
  </si>
  <si>
    <t>24 001 EC01 012900 V</t>
  </si>
  <si>
    <r>
      <t xml:space="preserve">73 Bombas + 113 nipples - </t>
    </r>
    <r>
      <rPr>
        <b/>
        <sz val="9"/>
        <color rgb="FFFF0000"/>
        <rFont val="Arial"/>
        <family val="2"/>
      </rPr>
      <t>3° ENVIO</t>
    </r>
    <r>
      <rPr>
        <sz val="9"/>
        <rFont val="Arial"/>
        <family val="2"/>
      </rPr>
      <t xml:space="preserve">- </t>
    </r>
    <r>
      <rPr>
        <b/>
        <sz val="9"/>
        <rFont val="Arial"/>
        <family val="2"/>
      </rPr>
      <t>CARMOENERGY</t>
    </r>
  </si>
  <si>
    <r>
      <rPr>
        <b/>
        <sz val="9"/>
        <color rgb="FFFF0000"/>
        <rFont val="Arial"/>
        <family val="2"/>
      </rPr>
      <t xml:space="preserve">5° ENVIO - </t>
    </r>
    <r>
      <rPr>
        <sz val="9"/>
        <rFont val="Arial"/>
        <family val="2"/>
      </rPr>
      <t>9 bombas</t>
    </r>
  </si>
  <si>
    <r>
      <rPr>
        <b/>
        <sz val="9"/>
        <color rgb="FFFF0000"/>
        <rFont val="Arial"/>
        <family val="2"/>
      </rPr>
      <t xml:space="preserve">4° ENVIO - </t>
    </r>
    <r>
      <rPr>
        <sz val="9"/>
        <rFont val="Arial"/>
        <family val="2"/>
      </rPr>
      <t>38 bombas</t>
    </r>
  </si>
  <si>
    <t>4500620488 (001-24)</t>
  </si>
  <si>
    <t>24/001 CDQ</t>
  </si>
  <si>
    <t>Endurance 052</t>
  </si>
  <si>
    <t>0101-00000154</t>
  </si>
  <si>
    <t>0324-000070 (108674)</t>
  </si>
  <si>
    <r>
      <rPr>
        <b/>
        <sz val="9"/>
        <color rgb="FFFF0000"/>
        <rFont val="Arial"/>
        <family val="2"/>
      </rPr>
      <t xml:space="preserve">1° ENVIO - </t>
    </r>
    <r>
      <rPr>
        <sz val="9"/>
        <rFont val="Arial"/>
        <family val="2"/>
      </rPr>
      <t>60 bombas</t>
    </r>
  </si>
  <si>
    <r>
      <rPr>
        <b/>
        <sz val="9"/>
        <color rgb="FFFF0000"/>
        <rFont val="Arial"/>
        <family val="2"/>
      </rPr>
      <t xml:space="preserve">2° ENVIO - </t>
    </r>
    <r>
      <rPr>
        <sz val="9"/>
        <rFont val="Arial"/>
        <family val="2"/>
      </rPr>
      <t>20 bombas</t>
    </r>
  </si>
  <si>
    <r>
      <rPr>
        <b/>
        <sz val="9"/>
        <color rgb="FFFF0000"/>
        <rFont val="Arial"/>
        <family val="2"/>
      </rPr>
      <t xml:space="preserve">3° ENVIO - </t>
    </r>
    <r>
      <rPr>
        <sz val="9"/>
        <rFont val="Arial"/>
        <family val="2"/>
      </rPr>
      <t>35 bombas</t>
    </r>
  </si>
  <si>
    <t>Pago: 60 dias del cumplimiento -  Pedido SAP N°  1161553</t>
  </si>
  <si>
    <t>Pago: 60 dias del cumplimiento -  Pedido SAP N°  1161554</t>
  </si>
  <si>
    <t>Pago: 60 dias del cumplimiento -  Pedido SAP N°  1161555</t>
  </si>
  <si>
    <t>24 001 EC01 019637 M</t>
  </si>
  <si>
    <t>0101-00000158</t>
  </si>
  <si>
    <t>4500625070 (002-24)</t>
  </si>
  <si>
    <t>Pedido SAP N° 1163969</t>
  </si>
  <si>
    <t>Log-in-Endurance 053</t>
  </si>
  <si>
    <t>24 001 EC01 018144 E</t>
  </si>
  <si>
    <t>0101-00000156</t>
  </si>
  <si>
    <t>96 5923 7313</t>
  </si>
  <si>
    <t>Pedido SAP N° 1161404 - Según mail del 4/4 el buque del 11/4 cancela el Pto de Bue por lo tanto se pasa para el buque del 20/4.  Según mail del 16/4 la carga se rolea al sig. Buque, antes salia el 20/4 con arribo del 8/5/24</t>
  </si>
  <si>
    <t>ANNIE B</t>
  </si>
  <si>
    <t>24/003 BBR</t>
  </si>
  <si>
    <t>0424-000168 (4500001479)</t>
  </si>
  <si>
    <r>
      <rPr>
        <b/>
        <sz val="9"/>
        <color rgb="FFFF0000"/>
        <rFont val="Arial"/>
        <family val="2"/>
      </rPr>
      <t xml:space="preserve">1° ENVIO - </t>
    </r>
    <r>
      <rPr>
        <sz val="9"/>
        <rFont val="Arial"/>
        <family val="2"/>
      </rPr>
      <t>Fittings - CARMOENERGY</t>
    </r>
  </si>
  <si>
    <r>
      <rPr>
        <b/>
        <sz val="9"/>
        <color rgb="FFFF0000"/>
        <rFont val="Arial"/>
        <family val="2"/>
      </rPr>
      <t xml:space="preserve">2° ENVIO - </t>
    </r>
    <r>
      <rPr>
        <sz val="9"/>
        <rFont val="Arial"/>
        <family val="2"/>
      </rPr>
      <t>Fittings - CARMOENERGY</t>
    </r>
  </si>
  <si>
    <t>Pago: 60 dias del cumplimiento -  Pedido SAP N°  1164453</t>
  </si>
  <si>
    <t>Pago: 60 dias del cumplimiento -  Pedido SAP N°  1164474</t>
  </si>
  <si>
    <r>
      <t xml:space="preserve">Fittings -  </t>
    </r>
    <r>
      <rPr>
        <sz val="9"/>
        <color rgb="FFFF0000"/>
        <rFont val="Arial"/>
        <family val="2"/>
      </rPr>
      <t xml:space="preserve"> LLEVA CERTIFICADOS DE CALIDAD</t>
    </r>
    <r>
      <rPr>
        <sz val="9"/>
        <color rgb="FF0000FF"/>
        <rFont val="Arial"/>
        <family val="2"/>
      </rPr>
      <t xml:space="preserve"> </t>
    </r>
    <r>
      <rPr>
        <sz val="9"/>
        <rFont val="Arial"/>
        <family val="2"/>
      </rPr>
      <t xml:space="preserve"> - PLUSCARGO</t>
    </r>
  </si>
  <si>
    <r>
      <t xml:space="preserve">45 Bombas + 151 nipples - </t>
    </r>
    <r>
      <rPr>
        <b/>
        <sz val="9"/>
        <color rgb="FFFF0000"/>
        <rFont val="Arial"/>
        <family val="2"/>
      </rPr>
      <t>4° ENVIO</t>
    </r>
    <r>
      <rPr>
        <sz val="9"/>
        <rFont val="Arial"/>
        <family val="2"/>
      </rPr>
      <t xml:space="preserve">- </t>
    </r>
    <r>
      <rPr>
        <b/>
        <sz val="9"/>
        <rFont val="Arial"/>
        <family val="2"/>
      </rPr>
      <t>CARMOENERGY</t>
    </r>
  </si>
  <si>
    <t>CHLOE D V282N</t>
  </si>
  <si>
    <t>23/059 BBR</t>
  </si>
  <si>
    <t>0424-000293 (1212)</t>
  </si>
  <si>
    <r>
      <rPr>
        <b/>
        <sz val="9"/>
        <color rgb="FFFF0000"/>
        <rFont val="Arial"/>
        <family val="2"/>
      </rPr>
      <t xml:space="preserve">1° ENVIO </t>
    </r>
    <r>
      <rPr>
        <sz val="9"/>
        <rFont val="Arial"/>
        <family val="2"/>
      </rPr>
      <t>- 59 bombas - SEACREST</t>
    </r>
  </si>
  <si>
    <r>
      <rPr>
        <b/>
        <sz val="9"/>
        <color rgb="FFFF0000"/>
        <rFont val="Arial"/>
        <family val="2"/>
      </rPr>
      <t xml:space="preserve">2° ENVIO - </t>
    </r>
    <r>
      <rPr>
        <sz val="9"/>
        <rFont val="Arial"/>
        <family val="2"/>
      </rPr>
      <t>58 bombas -SEACREST</t>
    </r>
  </si>
  <si>
    <t>Pago: 60 dias del cumplimiento -  Pedido SAP N°  1165275</t>
  </si>
  <si>
    <t>Pago: 60 dias del cumplimiento -  Pedido SAP N°  1165276</t>
  </si>
  <si>
    <t>Pago: 60 dias del cumplimiento -  Pedido SAP N° 1151426 - según mail del 26/4, nos informan que el buque no para en Salvador. Asi que va a otro puerto y de ahí a Salvador.  Llegando asi en lugar del 27/4 llega el 3/5.</t>
  </si>
  <si>
    <t>Pago: 60 dias del cumplimiento -  Pedido SAP N° 1153747 - según mail del 26/4, nos informan que el buque no para en Salvador. Asi que va a otro puerto y de ahí a Salvador.  Llegando asi en lugar del 27/4 llega el 3/5.</t>
  </si>
  <si>
    <t>24 001 EC01 027348 K</t>
  </si>
  <si>
    <t>0101-00000160</t>
  </si>
  <si>
    <t>24 001 EC01 027394 L</t>
  </si>
  <si>
    <t>0101-00000161</t>
  </si>
  <si>
    <t>0424-000338 (007765)</t>
  </si>
  <si>
    <t>Pago: 60 dias del cumplimiento -  Pedido SAP N°  1166222</t>
  </si>
  <si>
    <t>Pago: 60 dias del cumplimiento -  Pedido SAP N°  1166224</t>
  </si>
  <si>
    <t>Pago: 60 dias del cumplimiento -  Pedido SAP N°  1166227</t>
  </si>
  <si>
    <t>Pago: 60 dias del cumplimiento -  Pedido SAP N°  1166229</t>
  </si>
  <si>
    <r>
      <t xml:space="preserve">1° ENVIO - </t>
    </r>
    <r>
      <rPr>
        <sz val="9"/>
        <rFont val="Arial"/>
        <family val="2"/>
      </rPr>
      <t>50 bombas</t>
    </r>
    <r>
      <rPr>
        <b/>
        <sz val="9"/>
        <color rgb="FFFF0000"/>
        <rFont val="Arial"/>
        <family val="2"/>
      </rPr>
      <t xml:space="preserve"> - 3R</t>
    </r>
  </si>
  <si>
    <r>
      <t xml:space="preserve">2° ENVIO - </t>
    </r>
    <r>
      <rPr>
        <sz val="9"/>
        <rFont val="Arial"/>
        <family val="2"/>
      </rPr>
      <t>60 bombas</t>
    </r>
    <r>
      <rPr>
        <b/>
        <sz val="9"/>
        <color rgb="FFFF0000"/>
        <rFont val="Arial"/>
        <family val="2"/>
      </rPr>
      <t xml:space="preserve"> - 3R</t>
    </r>
  </si>
  <si>
    <r>
      <t xml:space="preserve">3° ENVIO - </t>
    </r>
    <r>
      <rPr>
        <sz val="9"/>
        <rFont val="Arial"/>
        <family val="2"/>
      </rPr>
      <t>93 bombas</t>
    </r>
    <r>
      <rPr>
        <b/>
        <sz val="9"/>
        <color rgb="FFFF0000"/>
        <rFont val="Arial"/>
        <family val="2"/>
      </rPr>
      <t xml:space="preserve"> - 3R</t>
    </r>
  </si>
  <si>
    <r>
      <t xml:space="preserve">4° ENVIO - </t>
    </r>
    <r>
      <rPr>
        <sz val="9"/>
        <rFont val="Arial"/>
        <family val="2"/>
      </rPr>
      <t>155 bombas</t>
    </r>
    <r>
      <rPr>
        <b/>
        <sz val="9"/>
        <color rgb="FFFF0000"/>
        <rFont val="Arial"/>
        <family val="2"/>
      </rPr>
      <t xml:space="preserve"> - 3R</t>
    </r>
  </si>
  <si>
    <t>23/067 BBR</t>
  </si>
  <si>
    <t>0524-000080 (006977)</t>
  </si>
  <si>
    <r>
      <t xml:space="preserve">3° ENVIO - </t>
    </r>
    <r>
      <rPr>
        <sz val="9"/>
        <rFont val="Arial"/>
        <family val="2"/>
      </rPr>
      <t>22  bombas</t>
    </r>
    <r>
      <rPr>
        <b/>
        <sz val="9"/>
        <color rgb="FFFF0000"/>
        <rFont val="Arial"/>
        <family val="2"/>
      </rPr>
      <t xml:space="preserve"> - 3R</t>
    </r>
  </si>
  <si>
    <t>Pago: 60 dias del cumplimiento -  Pedido SAP N°  1166601</t>
  </si>
  <si>
    <t>Pago: 60 dias del cumplimiento -  Pedido SAP N°  1166602</t>
  </si>
  <si>
    <t>Pago: 60 dias del cumplimiento -  Pedido SAP N°  1166603</t>
  </si>
  <si>
    <t>24/006 BBR</t>
  </si>
  <si>
    <t>0524-000102</t>
  </si>
  <si>
    <t>Pago: 60 dias del cumplimiento -  Pedido SAP N° 1166697</t>
  </si>
  <si>
    <t>Pago: 60 dias del cumplimiento -  Pedido SAP N°  1161142 - Según mail del 13/5 de VT, el buque Belmonte III V013 omite Pto de Bue (salida 15/4) , para al buque Santos V020 (nueva salida 19/5).</t>
  </si>
  <si>
    <t>Pago: 60 dias del cumplimiento -  Pedido SAP N° 1153753 - Seun mail de MF del 22/4 por el retraso de Nacobo tuvimos que programar las cantidades y la fecha de entrega (antes 116 bombas ahora 45 bombas) - Según mail del 13/5 de VT, el buque Belmonte III V013 omite Pto de Bue (salida 15/4) , para al buque Santos V020 (nueva salida 19/5).</t>
  </si>
  <si>
    <t>Santos V020</t>
  </si>
  <si>
    <t>0524-000081 (007883)</t>
  </si>
  <si>
    <r>
      <t xml:space="preserve">1° ENVIO - </t>
    </r>
    <r>
      <rPr>
        <sz val="9"/>
        <rFont val="Arial"/>
        <family val="2"/>
      </rPr>
      <t>36 bombas</t>
    </r>
    <r>
      <rPr>
        <b/>
        <sz val="9"/>
        <color rgb="FFFF0000"/>
        <rFont val="Arial"/>
        <family val="2"/>
      </rPr>
      <t xml:space="preserve"> - 3R</t>
    </r>
  </si>
  <si>
    <r>
      <t xml:space="preserve">2° ENVIO - </t>
    </r>
    <r>
      <rPr>
        <sz val="9"/>
        <rFont val="Arial"/>
        <family val="2"/>
      </rPr>
      <t>63 bombas</t>
    </r>
    <r>
      <rPr>
        <b/>
        <sz val="9"/>
        <color rgb="FFFF0000"/>
        <rFont val="Arial"/>
        <family val="2"/>
      </rPr>
      <t xml:space="preserve"> - 3R</t>
    </r>
  </si>
  <si>
    <r>
      <t xml:space="preserve">3° ENVIO - </t>
    </r>
    <r>
      <rPr>
        <sz val="9"/>
        <rFont val="Arial"/>
        <family val="2"/>
      </rPr>
      <t>21 bombas</t>
    </r>
    <r>
      <rPr>
        <b/>
        <sz val="9"/>
        <color rgb="FFFF0000"/>
        <rFont val="Arial"/>
        <family val="2"/>
      </rPr>
      <t xml:space="preserve"> - 3R</t>
    </r>
  </si>
  <si>
    <r>
      <t xml:space="preserve">4° ENVIO - </t>
    </r>
    <r>
      <rPr>
        <sz val="9"/>
        <rFont val="Arial"/>
        <family val="2"/>
      </rPr>
      <t>140 bombas</t>
    </r>
    <r>
      <rPr>
        <b/>
        <sz val="9"/>
        <color rgb="FFFF0000"/>
        <rFont val="Arial"/>
        <family val="2"/>
      </rPr>
      <t xml:space="preserve"> - 3R</t>
    </r>
  </si>
  <si>
    <r>
      <t xml:space="preserve">5° ENVIO - </t>
    </r>
    <r>
      <rPr>
        <sz val="9"/>
        <rFont val="Arial"/>
        <family val="2"/>
      </rPr>
      <t>10 bombas</t>
    </r>
    <r>
      <rPr>
        <b/>
        <sz val="9"/>
        <color rgb="FFFF0000"/>
        <rFont val="Arial"/>
        <family val="2"/>
      </rPr>
      <t xml:space="preserve"> - 3R</t>
    </r>
  </si>
  <si>
    <r>
      <t xml:space="preserve">6° ENVIO - </t>
    </r>
    <r>
      <rPr>
        <sz val="9"/>
        <rFont val="Arial"/>
        <family val="2"/>
      </rPr>
      <t>135 bombas</t>
    </r>
    <r>
      <rPr>
        <b/>
        <sz val="9"/>
        <color rgb="FFFF0000"/>
        <rFont val="Arial"/>
        <family val="2"/>
      </rPr>
      <t xml:space="preserve"> - 3R</t>
    </r>
  </si>
  <si>
    <r>
      <t xml:space="preserve">7° ENVIO - </t>
    </r>
    <r>
      <rPr>
        <sz val="9"/>
        <rFont val="Arial"/>
        <family val="2"/>
      </rPr>
      <t>120 bombas</t>
    </r>
    <r>
      <rPr>
        <b/>
        <sz val="9"/>
        <color rgb="FFFF0000"/>
        <rFont val="Arial"/>
        <family val="2"/>
      </rPr>
      <t xml:space="preserve"> - 3R</t>
    </r>
  </si>
  <si>
    <t>Pago: 60 dias del cumplimiento -  Pedido SAP N°  1166789</t>
  </si>
  <si>
    <t>Pago: 60 dias del cumplimiento -  Pedido SAP N°  1166790</t>
  </si>
  <si>
    <t>Pago: 60 dias del cumplimiento -  Pedido SAP N°  1166792</t>
  </si>
  <si>
    <t>Pago: 60 dias del cumplimiento -  Pedido SAP N°  1166793</t>
  </si>
  <si>
    <t>Pago: 60 dias del cumplimiento -  Pedido SAP N°  1166795</t>
  </si>
  <si>
    <t>Pago: 60 dias del cumplimiento -  Pedido SAP N°  1166796</t>
  </si>
  <si>
    <t>Pago: 60 dias del cumplimiento -  Pedido SAP N°  1166797</t>
  </si>
  <si>
    <t>Enero 2025</t>
  </si>
  <si>
    <t>Febrero 2025</t>
  </si>
  <si>
    <t>Pago: 60 dias del cumplimiento -  Pedido SAP N° 1166878</t>
  </si>
  <si>
    <t>24/007 CDQ</t>
  </si>
  <si>
    <t>0524-000229 (4513401989)</t>
  </si>
  <si>
    <t>84 copas</t>
  </si>
  <si>
    <t>Pago: 60 dias del cumplimiento -  Pedido SAP N° 1167413</t>
  </si>
  <si>
    <r>
      <t xml:space="preserve">Fittings - </t>
    </r>
    <r>
      <rPr>
        <sz val="9"/>
        <color rgb="FFFF0000"/>
        <rFont val="Arial"/>
        <family val="2"/>
      </rPr>
      <t xml:space="preserve">  LLEVA CERTIFICADOS DE CALIDAD</t>
    </r>
    <r>
      <rPr>
        <sz val="9"/>
        <rFont val="Arial"/>
        <family val="2"/>
      </rPr>
      <t xml:space="preserve">  - PLUSCARGO</t>
    </r>
  </si>
  <si>
    <t>4500630068 (003-24)</t>
  </si>
  <si>
    <r>
      <t xml:space="preserve"> (122 Bombas) - </t>
    </r>
    <r>
      <rPr>
        <b/>
        <sz val="9"/>
        <color rgb="FFFF0000"/>
        <rFont val="Arial"/>
        <family val="2"/>
      </rPr>
      <t>5° ENVIO</t>
    </r>
    <r>
      <rPr>
        <sz val="9"/>
        <rFont val="Arial"/>
        <family val="2"/>
      </rPr>
      <t xml:space="preserve">- </t>
    </r>
    <r>
      <rPr>
        <b/>
        <sz val="9"/>
        <rFont val="Arial"/>
        <family val="2"/>
      </rPr>
      <t>CARMOENERGY</t>
    </r>
  </si>
  <si>
    <r>
      <t xml:space="preserve"> (167 Bombas) - </t>
    </r>
    <r>
      <rPr>
        <b/>
        <sz val="9"/>
        <color rgb="FFFF0000"/>
        <rFont val="Arial"/>
        <family val="2"/>
      </rPr>
      <t>6° ENVIO</t>
    </r>
    <r>
      <rPr>
        <sz val="9"/>
        <rFont val="Arial"/>
        <family val="2"/>
      </rPr>
      <t xml:space="preserve">- </t>
    </r>
    <r>
      <rPr>
        <b/>
        <sz val="9"/>
        <rFont val="Arial"/>
        <family val="2"/>
      </rPr>
      <t>CARMOENERGY</t>
    </r>
  </si>
  <si>
    <t>24/005 GUN</t>
  </si>
  <si>
    <t>INDHP-00512/24-Rev2</t>
  </si>
  <si>
    <t>Pedido SAP N° 1168207 (anticipo-contabilizar 80111628) - Pedido SAP N°  1168209 (orden de compra)</t>
  </si>
  <si>
    <t>24 001 EC01 034997 S</t>
  </si>
  <si>
    <t>24 001 EC01 034993 Y</t>
  </si>
  <si>
    <t>0101-00000163</t>
  </si>
  <si>
    <t>0101-00000164</t>
  </si>
  <si>
    <t>Pago: 60 dias del cumplimiento -  Pedido SAP N° 1161035 - Según mail del 6/6 el buque Belmonte 014 no pasa por Bue, por lo tanto pasa al buque Endurance 056</t>
  </si>
  <si>
    <t xml:space="preserve">LOG-IN ENDURANCE 056N </t>
  </si>
  <si>
    <r>
      <t xml:space="preserve">1° ENVIO - </t>
    </r>
    <r>
      <rPr>
        <sz val="9"/>
        <rFont val="Arial"/>
        <family val="2"/>
      </rPr>
      <t>41  bombas + 40 conj. de piston</t>
    </r>
    <r>
      <rPr>
        <b/>
        <sz val="9"/>
        <color rgb="FFFF0000"/>
        <rFont val="Arial"/>
        <family val="2"/>
      </rPr>
      <t xml:space="preserve"> - 3R</t>
    </r>
  </si>
  <si>
    <r>
      <t xml:space="preserve">2° ENVIO - </t>
    </r>
    <r>
      <rPr>
        <sz val="9"/>
        <rFont val="Arial"/>
        <family val="2"/>
      </rPr>
      <t>13  bombas + 30 conj. de psiton</t>
    </r>
    <r>
      <rPr>
        <b/>
        <sz val="9"/>
        <color rgb="FFFF0000"/>
        <rFont val="Arial"/>
        <family val="2"/>
      </rPr>
      <t xml:space="preserve"> - 3R</t>
    </r>
  </si>
  <si>
    <t>Pedido SAP N° 1167501 - Según mail del 10/6 se rolea la carga al buque del 22/6, antes 15/6 (ALS VESTA V936N)</t>
  </si>
  <si>
    <t>24/011 BBR</t>
  </si>
  <si>
    <t>0624-000152</t>
  </si>
  <si>
    <t>Pago: 60 dias del cumplimiento -  Pedido SAP N° 1169406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</si>
</sst>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quot;$&quot;\ #,##0.00"/>
    <numFmt numFmtId="166" formatCode="dd\-mm\-yy"/>
    <numFmt numFmtId="167" formatCode="dd/mm/yy"/>
    <numFmt numFmtId="168" formatCode="dd\ mmm"/>
  </numFmts>
  <fonts count="109" x14ac:knownFonts="1">
    <font>
      <sz val="10"/>
      <name val="Arial"/>
    </font>
    <font>
      <b/>
      <sz val="10"/>
      <name val="Arial"/>
      <family val="2"/>
    </font>
    <font>
      <sz val="10"/>
      <name val="Arial"/>
      <family val="2"/>
    </font>
    <font>
      <b/>
      <sz val="10"/>
      <name val="Arial"/>
      <family val="2"/>
    </font>
    <font>
      <sz val="8"/>
      <name val="Arial"/>
      <family val="2"/>
    </font>
    <font>
      <sz val="8"/>
      <color indexed="81"/>
      <name val="Tahoma"/>
      <family val="2"/>
    </font>
    <font>
      <b/>
      <i/>
      <sz val="8"/>
      <name val="Arial"/>
      <family val="2"/>
    </font>
    <font>
      <b/>
      <sz val="8"/>
      <name val="Arial"/>
      <family val="2"/>
    </font>
    <font>
      <sz val="7"/>
      <name val="Arial"/>
      <family val="2"/>
    </font>
    <font>
      <b/>
      <sz val="8"/>
      <color indexed="81"/>
      <name val="Tahoma"/>
      <family val="2"/>
    </font>
    <font>
      <sz val="7"/>
      <color indexed="81"/>
      <name val="Tahoma"/>
      <family val="2"/>
    </font>
    <font>
      <sz val="5"/>
      <name val="Arial"/>
      <family val="2"/>
    </font>
    <font>
      <sz val="8"/>
      <color indexed="10"/>
      <name val="Arial"/>
      <family val="2"/>
    </font>
    <font>
      <b/>
      <sz val="22"/>
      <color indexed="9"/>
      <name val="Britannic Bold"/>
      <family val="2"/>
    </font>
    <font>
      <i/>
      <sz val="8"/>
      <name val="Arial"/>
      <family val="2"/>
    </font>
    <font>
      <i/>
      <sz val="7"/>
      <name val="Arial"/>
      <family val="2"/>
    </font>
    <font>
      <b/>
      <i/>
      <strike/>
      <sz val="8"/>
      <name val="Arial"/>
      <family val="2"/>
    </font>
    <font>
      <b/>
      <sz val="8"/>
      <color indexed="17"/>
      <name val="Arial"/>
      <family val="2"/>
    </font>
    <font>
      <strike/>
      <sz val="8"/>
      <name val="Arial"/>
      <family val="2"/>
    </font>
    <font>
      <sz val="9"/>
      <color indexed="81"/>
      <name val="Tahoma"/>
      <family val="2"/>
    </font>
    <font>
      <i/>
      <strike/>
      <sz val="8"/>
      <name val="Arial"/>
      <family val="2"/>
    </font>
    <font>
      <sz val="8"/>
      <color indexed="57"/>
      <name val="Arial"/>
      <family val="2"/>
    </font>
    <font>
      <b/>
      <sz val="8"/>
      <color indexed="11"/>
      <name val="Arial"/>
      <family val="2"/>
    </font>
    <font>
      <u/>
      <sz val="10"/>
      <color indexed="12"/>
      <name val="Arial"/>
      <family val="2"/>
    </font>
    <font>
      <u/>
      <sz val="8"/>
      <name val="Arial"/>
      <family val="2"/>
    </font>
    <font>
      <b/>
      <sz val="8"/>
      <color indexed="48"/>
      <name val="Arial"/>
      <family val="2"/>
    </font>
    <font>
      <b/>
      <sz val="8"/>
      <color indexed="20"/>
      <name val="Arial"/>
      <family val="2"/>
    </font>
    <font>
      <sz val="8"/>
      <color indexed="50"/>
      <name val="Arial"/>
      <family val="2"/>
    </font>
    <font>
      <i/>
      <sz val="8"/>
      <color indexed="10"/>
      <name val="Arial"/>
      <family val="2"/>
    </font>
    <font>
      <b/>
      <sz val="7"/>
      <name val="Arial"/>
      <family val="2"/>
    </font>
    <font>
      <b/>
      <sz val="8"/>
      <color indexed="62"/>
      <name val="Arial"/>
      <family val="2"/>
    </font>
    <font>
      <b/>
      <sz val="7"/>
      <color indexed="81"/>
      <name val="Tahoma"/>
      <family val="2"/>
    </font>
    <font>
      <b/>
      <sz val="8"/>
      <color indexed="10"/>
      <name val="Arial"/>
      <family val="2"/>
    </font>
    <font>
      <b/>
      <sz val="8"/>
      <color indexed="57"/>
      <name val="Arial"/>
      <family val="2"/>
    </font>
    <font>
      <strike/>
      <sz val="8"/>
      <color indexed="81"/>
      <name val="Tahoma"/>
      <family val="2"/>
    </font>
    <font>
      <b/>
      <sz val="8"/>
      <color indexed="50"/>
      <name val="Arial"/>
      <family val="2"/>
    </font>
    <font>
      <b/>
      <sz val="8"/>
      <color indexed="18"/>
      <name val="Arial"/>
      <family val="2"/>
    </font>
    <font>
      <strike/>
      <sz val="8"/>
      <color indexed="62"/>
      <name val="Arial"/>
      <family val="2"/>
    </font>
    <font>
      <sz val="8"/>
      <color indexed="63"/>
      <name val="Arial"/>
      <family val="2"/>
    </font>
    <font>
      <sz val="8"/>
      <color indexed="23"/>
      <name val="Arial"/>
      <family val="2"/>
    </font>
    <font>
      <sz val="8"/>
      <color indexed="48"/>
      <name val="Arial"/>
      <family val="2"/>
    </font>
    <font>
      <sz val="8"/>
      <color indexed="9"/>
      <name val="Arial"/>
      <family val="2"/>
    </font>
    <font>
      <strike/>
      <sz val="8"/>
      <color indexed="23"/>
      <name val="Arial"/>
      <family val="2"/>
    </font>
    <font>
      <sz val="8"/>
      <color indexed="55"/>
      <name val="Arial"/>
      <family val="2"/>
    </font>
    <font>
      <sz val="8"/>
      <color indexed="12"/>
      <name val="Arial"/>
      <family val="2"/>
    </font>
    <font>
      <b/>
      <strike/>
      <sz val="8"/>
      <color indexed="62"/>
      <name val="Arial"/>
      <family val="2"/>
    </font>
    <font>
      <sz val="8"/>
      <color indexed="62"/>
      <name val="Arial"/>
      <family val="2"/>
    </font>
    <font>
      <b/>
      <u/>
      <sz val="8"/>
      <name val="Arial"/>
      <family val="2"/>
    </font>
    <font>
      <b/>
      <sz val="6"/>
      <color indexed="81"/>
      <name val="Tahoma"/>
      <family val="2"/>
    </font>
    <font>
      <sz val="6"/>
      <color indexed="81"/>
      <name val="Tahoma"/>
      <family val="2"/>
    </font>
    <font>
      <b/>
      <sz val="9"/>
      <name val="Arial"/>
      <family val="2"/>
    </font>
    <font>
      <b/>
      <sz val="8"/>
      <color indexed="55"/>
      <name val="Arial"/>
      <family val="2"/>
    </font>
    <font>
      <b/>
      <sz val="11"/>
      <color indexed="81"/>
      <name val="Tahoma"/>
      <family val="2"/>
    </font>
    <font>
      <b/>
      <sz val="8"/>
      <color indexed="12"/>
      <name val="Arial"/>
      <family val="2"/>
    </font>
    <font>
      <sz val="11"/>
      <name val="Arial Narrow"/>
      <family val="2"/>
    </font>
    <font>
      <b/>
      <sz val="11"/>
      <name val="Arial Narrow"/>
      <family val="2"/>
    </font>
    <font>
      <sz val="10"/>
      <color indexed="10"/>
      <name val="Arial"/>
      <family val="2"/>
    </font>
    <font>
      <sz val="10"/>
      <color indexed="9"/>
      <name val="Arial"/>
      <family val="2"/>
    </font>
    <font>
      <sz val="7"/>
      <color indexed="12"/>
      <name val="Arial"/>
      <family val="2"/>
    </font>
    <font>
      <b/>
      <sz val="10"/>
      <color indexed="10"/>
      <name val="Arial"/>
      <family val="2"/>
    </font>
    <font>
      <b/>
      <u/>
      <sz val="10"/>
      <color indexed="10"/>
      <name val="Arial"/>
      <family val="2"/>
    </font>
    <font>
      <b/>
      <strike/>
      <sz val="8"/>
      <name val="Arial"/>
      <family val="2"/>
    </font>
    <font>
      <b/>
      <strike/>
      <sz val="8"/>
      <color indexed="10"/>
      <name val="Arial"/>
      <family val="2"/>
    </font>
    <font>
      <strike/>
      <sz val="8"/>
      <color indexed="10"/>
      <name val="Arial"/>
      <family val="2"/>
    </font>
    <font>
      <b/>
      <strike/>
      <sz val="8"/>
      <color indexed="12"/>
      <name val="Arial"/>
      <family val="2"/>
    </font>
    <font>
      <b/>
      <sz val="20"/>
      <name val="Arial"/>
      <family val="2"/>
    </font>
    <font>
      <sz val="8"/>
      <name val="Arial"/>
      <family val="2"/>
    </font>
    <font>
      <sz val="8"/>
      <color indexed="54"/>
      <name val="Arial"/>
      <family val="2"/>
    </font>
    <font>
      <sz val="12"/>
      <name val="Arial"/>
      <family val="2"/>
    </font>
    <font>
      <b/>
      <sz val="16"/>
      <color indexed="9"/>
      <name val="Britannic Bold"/>
      <family val="2"/>
    </font>
    <font>
      <b/>
      <i/>
      <sz val="20"/>
      <color indexed="61"/>
      <name val="Arial"/>
      <family val="2"/>
    </font>
    <font>
      <sz val="11"/>
      <name val="Arial"/>
      <family val="2"/>
    </font>
    <font>
      <b/>
      <sz val="11"/>
      <name val="Arial"/>
      <family val="2"/>
    </font>
    <font>
      <b/>
      <sz val="11"/>
      <color indexed="10"/>
      <name val="Arial"/>
      <family val="2"/>
    </font>
    <font>
      <b/>
      <i/>
      <sz val="18"/>
      <color indexed="61"/>
      <name val="Arial"/>
      <family val="2"/>
    </font>
    <font>
      <b/>
      <sz val="20"/>
      <color indexed="9"/>
      <name val="Britannic Bold"/>
      <family val="2"/>
    </font>
    <font>
      <sz val="20"/>
      <name val="Arial"/>
      <family val="2"/>
    </font>
    <font>
      <i/>
      <sz val="10"/>
      <name val="Arial"/>
      <family val="2"/>
    </font>
    <font>
      <b/>
      <i/>
      <sz val="7"/>
      <name val="Arial"/>
      <family val="2"/>
    </font>
    <font>
      <b/>
      <sz val="7"/>
      <color indexed="10"/>
      <name val="Arial"/>
      <family val="2"/>
    </font>
    <font>
      <sz val="7"/>
      <color indexed="10"/>
      <name val="Arial"/>
      <family val="2"/>
    </font>
    <font>
      <b/>
      <sz val="7"/>
      <color indexed="12"/>
      <name val="Arial"/>
      <family val="2"/>
    </font>
    <font>
      <b/>
      <sz val="12"/>
      <color indexed="10"/>
      <name val="Arial"/>
      <family val="2"/>
    </font>
    <font>
      <sz val="7.5"/>
      <name val="Arial"/>
      <family val="2"/>
    </font>
    <font>
      <sz val="20"/>
      <color indexed="9"/>
      <name val="Britannic Bold"/>
      <family val="2"/>
    </font>
    <font>
      <b/>
      <sz val="8"/>
      <color indexed="30"/>
      <name val="Arial"/>
      <family val="2"/>
    </font>
    <font>
      <b/>
      <i/>
      <sz val="10"/>
      <name val="Arial"/>
      <family val="2"/>
    </font>
    <font>
      <sz val="9"/>
      <name val="Arial"/>
      <family val="2"/>
    </font>
    <font>
      <sz val="9"/>
      <color indexed="10"/>
      <name val="Arial"/>
      <family val="2"/>
    </font>
    <font>
      <b/>
      <sz val="9"/>
      <color indexed="10"/>
      <name val="Arial"/>
      <family val="2"/>
    </font>
    <font>
      <b/>
      <sz val="9"/>
      <color indexed="12"/>
      <name val="Arial"/>
      <family val="2"/>
    </font>
    <font>
      <sz val="9"/>
      <color indexed="12"/>
      <name val="Arial"/>
      <family val="2"/>
    </font>
    <font>
      <sz val="10"/>
      <name val="Britannic Bold"/>
      <family val="2"/>
    </font>
    <font>
      <b/>
      <sz val="8"/>
      <color rgb="FFFF0000"/>
      <name val="Arial"/>
      <family val="2"/>
    </font>
    <font>
      <b/>
      <sz val="7"/>
      <color rgb="FFFF0000"/>
      <name val="Arial"/>
      <family val="2"/>
    </font>
    <font>
      <sz val="8"/>
      <color rgb="FFFF0000"/>
      <name val="Arial"/>
      <family val="2"/>
    </font>
    <font>
      <b/>
      <i/>
      <sz val="8"/>
      <color theme="1"/>
      <name val="Arial"/>
      <family val="2"/>
    </font>
    <font>
      <b/>
      <sz val="9"/>
      <color rgb="FFFF0000"/>
      <name val="Arial"/>
      <family val="2"/>
    </font>
    <font>
      <sz val="9"/>
      <color rgb="FFFF0000"/>
      <name val="Arial"/>
      <family val="2"/>
    </font>
    <font>
      <sz val="7"/>
      <color rgb="FFFF0000"/>
      <name val="Arial"/>
      <family val="2"/>
    </font>
    <font>
      <b/>
      <sz val="10"/>
      <color rgb="FFFF0000"/>
      <name val="Arial"/>
      <family val="2"/>
    </font>
    <font>
      <sz val="10"/>
      <color rgb="FFFF0000"/>
      <name val="Arial"/>
      <family val="2"/>
    </font>
    <font>
      <sz val="8"/>
      <color rgb="FF0000FF"/>
      <name val="Arial"/>
      <family val="2"/>
    </font>
    <font>
      <b/>
      <sz val="9"/>
      <color rgb="FF0000FF"/>
      <name val="Arial"/>
      <family val="2"/>
    </font>
    <font>
      <b/>
      <sz val="8"/>
      <color rgb="FF0000FF"/>
      <name val="Arial"/>
      <family val="2"/>
    </font>
    <font>
      <b/>
      <sz val="11"/>
      <color rgb="FFFF0000"/>
      <name val="Arial"/>
      <family val="2"/>
    </font>
    <font>
      <sz val="6"/>
      <name val="Arial"/>
      <family val="2"/>
    </font>
    <font>
      <sz val="9"/>
      <color rgb="FF0000FF"/>
      <name val="Arial"/>
      <family val="2"/>
    </font>
    <font>
      <b/>
      <u/>
      <sz val="9"/>
      <color rgb="FFFF0000"/>
      <name val="Arial"/>
      <family val="2"/>
    </font>
  </fonts>
  <fills count="31">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13"/>
        <bgColor indexed="64"/>
      </patternFill>
    </fill>
    <fill>
      <patternFill patternType="solid">
        <fgColor indexed="51"/>
        <bgColor indexed="64"/>
      </patternFill>
    </fill>
    <fill>
      <patternFill patternType="solid">
        <fgColor indexed="47"/>
        <bgColor indexed="64"/>
      </patternFill>
    </fill>
    <fill>
      <patternFill patternType="darkGray">
        <fgColor indexed="26"/>
        <bgColor indexed="26"/>
      </patternFill>
    </fill>
    <fill>
      <patternFill patternType="solid">
        <fgColor indexed="26"/>
        <bgColor indexed="64"/>
      </patternFill>
    </fill>
    <fill>
      <patternFill patternType="solid">
        <fgColor indexed="43"/>
        <bgColor indexed="64"/>
      </patternFill>
    </fill>
    <fill>
      <patternFill patternType="solid">
        <fgColor indexed="26"/>
        <bgColor indexed="27"/>
      </patternFill>
    </fill>
    <fill>
      <patternFill patternType="solid">
        <fgColor indexed="65"/>
        <bgColor indexed="64"/>
      </patternFill>
    </fill>
    <fill>
      <patternFill patternType="solid">
        <fgColor indexed="47"/>
        <bgColor indexed="27"/>
      </patternFill>
    </fill>
    <fill>
      <patternFill patternType="solid">
        <fgColor indexed="9"/>
        <bgColor indexed="27"/>
      </patternFill>
    </fill>
    <fill>
      <patternFill patternType="solid">
        <fgColor indexed="9"/>
        <bgColor indexed="52"/>
      </patternFill>
    </fill>
    <fill>
      <patternFill patternType="solid">
        <fgColor indexed="50"/>
        <bgColor indexed="64"/>
      </patternFill>
    </fill>
    <fill>
      <patternFill patternType="solid">
        <fgColor indexed="50"/>
        <bgColor indexed="27"/>
      </patternFill>
    </fill>
    <fill>
      <patternFill patternType="solid">
        <fgColor indexed="61"/>
        <bgColor indexed="64"/>
      </patternFill>
    </fill>
    <fill>
      <patternFill patternType="solid">
        <fgColor theme="0"/>
        <bgColor indexed="64"/>
      </patternFill>
    </fill>
    <fill>
      <patternFill patternType="solid">
        <fgColor theme="3" tint="0.79989013336588644"/>
        <bgColor indexed="27"/>
      </patternFill>
    </fill>
    <fill>
      <patternFill patternType="solid">
        <fgColor theme="3" tint="0.79989013336588644"/>
        <bgColor indexed="64"/>
      </patternFill>
    </fill>
    <fill>
      <patternFill patternType="solid">
        <fgColor theme="5" tint="0.79998168889431442"/>
        <bgColor indexed="27"/>
      </patternFill>
    </fill>
    <fill>
      <patternFill patternType="solid">
        <fgColor theme="5"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59999389629810485"/>
        <bgColor indexed="27"/>
      </patternFill>
    </fill>
    <fill>
      <patternFill patternType="solid">
        <fgColor theme="7" tint="0.59999389629810485"/>
        <bgColor indexed="64"/>
      </patternFill>
    </fill>
    <fill>
      <patternFill patternType="solid">
        <fgColor theme="6" tint="0.39997558519241921"/>
        <bgColor indexed="64"/>
      </patternFill>
    </fill>
    <fill>
      <patternFill patternType="gray0625">
        <fgColor rgb="FFFF0000"/>
        <bgColor auto="1"/>
      </patternFill>
    </fill>
    <fill>
      <patternFill patternType="gray0625">
        <fgColor rgb="FFFF0000"/>
        <bgColor theme="0"/>
      </patternFill>
    </fill>
    <fill>
      <patternFill patternType="solid">
        <fgColor rgb="FF99FF99"/>
        <bgColor indexed="64"/>
      </patternFill>
    </fill>
  </fills>
  <borders count="65">
    <border>
      <left/>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diagonalUp="1">
      <left style="medium">
        <color indexed="64"/>
      </left>
      <right style="medium">
        <color indexed="64"/>
      </right>
      <top style="medium">
        <color indexed="64"/>
      </top>
      <bottom/>
      <diagonal style="hair">
        <color indexed="64"/>
      </diagonal>
    </border>
    <border diagonalUp="1">
      <left style="medium">
        <color indexed="64"/>
      </left>
      <right style="medium">
        <color indexed="64"/>
      </right>
      <top/>
      <bottom/>
      <diagonal style="hair">
        <color indexed="64"/>
      </diagonal>
    </border>
    <border diagonalUp="1">
      <left style="medium">
        <color indexed="64"/>
      </left>
      <right style="medium">
        <color indexed="64"/>
      </right>
      <top/>
      <bottom style="medium">
        <color indexed="64"/>
      </bottom>
      <diagonal style="hair">
        <color indexed="64"/>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diagonalUp="1">
      <left style="medium">
        <color indexed="64"/>
      </left>
      <right style="medium">
        <color indexed="64"/>
      </right>
      <top/>
      <bottom/>
      <diagonal style="double">
        <color indexed="64"/>
      </diagonal>
    </border>
    <border diagonalUp="1">
      <left/>
      <right style="medium">
        <color indexed="64"/>
      </right>
      <top style="medium">
        <color indexed="64"/>
      </top>
      <bottom/>
      <diagonal style="hair">
        <color indexed="64"/>
      </diagonal>
    </border>
    <border diagonalUp="1">
      <left/>
      <right style="medium">
        <color indexed="64"/>
      </right>
      <top/>
      <bottom/>
      <diagonal style="hair">
        <color indexed="64"/>
      </diagonal>
    </border>
    <border diagonalUp="1">
      <left/>
      <right style="medium">
        <color indexed="64"/>
      </right>
      <top/>
      <bottom style="medium">
        <color indexed="64"/>
      </bottom>
      <diagonal style="hair">
        <color indexed="64"/>
      </diagonal>
    </border>
    <border diagonalUp="1">
      <left style="medium">
        <color indexed="64"/>
      </left>
      <right style="medium">
        <color indexed="64"/>
      </right>
      <top/>
      <bottom/>
      <diagonal style="medium">
        <color indexed="64"/>
      </diagonal>
    </border>
    <border diagonalUp="1">
      <left style="medium">
        <color indexed="64"/>
      </left>
      <right style="medium">
        <color indexed="64"/>
      </right>
      <top/>
      <bottom style="medium">
        <color indexed="64"/>
      </bottom>
      <diagonal style="medium">
        <color indexed="64"/>
      </diagonal>
    </border>
    <border diagonalUp="1">
      <left style="medium">
        <color indexed="64"/>
      </left>
      <right style="medium">
        <color indexed="64"/>
      </right>
      <top style="medium">
        <color indexed="64"/>
      </top>
      <bottom/>
      <diagonal style="thin">
        <color indexed="64"/>
      </diagonal>
    </border>
    <border>
      <left style="medium">
        <color indexed="64"/>
      </left>
      <right style="medium">
        <color indexed="64"/>
      </right>
      <top/>
      <bottom style="thin">
        <color indexed="64"/>
      </bottom>
      <diagonal/>
    </border>
    <border diagonalUp="1">
      <left style="medium">
        <color indexed="64"/>
      </left>
      <right style="medium">
        <color indexed="64"/>
      </right>
      <top/>
      <bottom style="thin">
        <color indexed="64"/>
      </bottom>
      <diagonal style="hair">
        <color indexed="64"/>
      </diagonal>
    </border>
    <border>
      <left style="medium">
        <color indexed="64"/>
      </left>
      <right style="medium">
        <color indexed="64"/>
      </right>
      <top style="thin">
        <color indexed="64"/>
      </top>
      <bottom/>
      <diagonal/>
    </border>
    <border diagonalUp="1">
      <left style="medium">
        <color indexed="64"/>
      </left>
      <right style="medium">
        <color indexed="64"/>
      </right>
      <top style="thin">
        <color indexed="64"/>
      </top>
      <bottom/>
      <diagonal style="hair">
        <color indexed="64"/>
      </diagonal>
    </border>
    <border diagonalUp="1">
      <left style="medium">
        <color indexed="64"/>
      </left>
      <right style="medium">
        <color indexed="64"/>
      </right>
      <top/>
      <bottom/>
      <diagonal style="thin">
        <color indexed="64"/>
      </diagonal>
    </border>
    <border diagonalUp="1">
      <left style="medium">
        <color indexed="64"/>
      </left>
      <right style="medium">
        <color indexed="64"/>
      </right>
      <top/>
      <bottom style="medium">
        <color indexed="64"/>
      </bottom>
      <diagonal style="thin">
        <color indexed="64"/>
      </diagonal>
    </border>
    <border diagonalDown="1">
      <left style="medium">
        <color indexed="64"/>
      </left>
      <right style="medium">
        <color indexed="64"/>
      </right>
      <top style="medium">
        <color indexed="64"/>
      </top>
      <bottom/>
      <diagonal style="thin">
        <color indexed="64"/>
      </diagonal>
    </border>
    <border diagonalDown="1">
      <left style="medium">
        <color indexed="64"/>
      </left>
      <right style="medium">
        <color indexed="64"/>
      </right>
      <top/>
      <bottom/>
      <diagonal style="thin">
        <color indexed="64"/>
      </diagonal>
    </border>
    <border diagonalDown="1">
      <left style="medium">
        <color indexed="64"/>
      </left>
      <right style="medium">
        <color indexed="64"/>
      </right>
      <top/>
      <bottom style="medium">
        <color indexed="64"/>
      </bottom>
      <diagonal style="thin">
        <color indexed="64"/>
      </diagonal>
    </border>
    <border diagonalUp="1">
      <left style="medium">
        <color indexed="64"/>
      </left>
      <right/>
      <top/>
      <bottom/>
      <diagonal style="hair">
        <color indexed="64"/>
      </diagonal>
    </border>
    <border diagonalUp="1">
      <left style="medium">
        <color indexed="64"/>
      </left>
      <right/>
      <top/>
      <bottom style="medium">
        <color indexed="64"/>
      </bottom>
      <diagonal style="hair">
        <color indexed="64"/>
      </diagonal>
    </border>
    <border>
      <left style="medium">
        <color indexed="64"/>
      </left>
      <right/>
      <top style="medium">
        <color indexed="64"/>
      </top>
      <bottom style="medium">
        <color indexed="64"/>
      </bottom>
      <diagonal/>
    </border>
    <border>
      <left style="thin">
        <color indexed="64"/>
      </left>
      <right/>
      <top/>
      <bottom/>
      <diagonal/>
    </border>
    <border diagonalUp="1">
      <left style="medium">
        <color indexed="64"/>
      </left>
      <right/>
      <top style="medium">
        <color indexed="64"/>
      </top>
      <bottom/>
      <diagonal style="hair">
        <color indexed="64"/>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diagonalUp="1">
      <left style="medium">
        <color indexed="64"/>
      </left>
      <right style="medium">
        <color indexed="64"/>
      </right>
      <top style="medium">
        <color indexed="64"/>
      </top>
      <bottom style="medium">
        <color indexed="64"/>
      </bottom>
      <diagonal style="hair">
        <color indexed="64"/>
      </diagonal>
    </border>
    <border>
      <left/>
      <right/>
      <top style="thin">
        <color indexed="64"/>
      </top>
      <bottom/>
      <diagonal/>
    </border>
    <border>
      <left/>
      <right style="medium">
        <color indexed="64"/>
      </right>
      <top style="medium">
        <color indexed="64"/>
      </top>
      <bottom style="medium">
        <color indexed="64"/>
      </bottom>
      <diagonal/>
    </border>
    <border diagonalUp="1">
      <left/>
      <right style="medium">
        <color indexed="64"/>
      </right>
      <top style="medium">
        <color indexed="64"/>
      </top>
      <bottom style="medium">
        <color indexed="64"/>
      </bottom>
      <diagonal style="hair">
        <color indexed="64"/>
      </diagonal>
    </border>
    <border diagonalUp="1">
      <left style="medium">
        <color indexed="64"/>
      </left>
      <right/>
      <top style="medium">
        <color indexed="64"/>
      </top>
      <bottom style="medium">
        <color indexed="64"/>
      </bottom>
      <diagonal style="hair">
        <color indexed="64"/>
      </diagonal>
    </border>
    <border>
      <left style="thin">
        <color indexed="64"/>
      </left>
      <right style="medium">
        <color indexed="64"/>
      </right>
      <top style="medium">
        <color indexed="64"/>
      </top>
      <bottom style="medium">
        <color indexed="64"/>
      </bottom>
      <diagonal/>
    </border>
    <border diagonalUp="1">
      <left style="medium">
        <color indexed="64"/>
      </left>
      <right style="medium">
        <color indexed="64"/>
      </right>
      <top style="medium">
        <color indexed="64"/>
      </top>
      <bottom style="medium">
        <color indexed="64"/>
      </bottom>
      <diagonal style="thin">
        <color indexed="64"/>
      </diagonal>
    </border>
    <border>
      <left style="thin">
        <color indexed="64"/>
      </left>
      <right style="medium">
        <color indexed="64"/>
      </right>
      <top style="medium">
        <color indexed="64"/>
      </top>
      <bottom/>
      <diagonal/>
    </border>
    <border>
      <left style="double">
        <color indexed="10"/>
      </left>
      <right style="medium">
        <color indexed="64"/>
      </right>
      <top style="double">
        <color indexed="10"/>
      </top>
      <bottom style="double">
        <color indexed="10"/>
      </bottom>
      <diagonal/>
    </border>
    <border>
      <left style="medium">
        <color indexed="64"/>
      </left>
      <right style="medium">
        <color indexed="64"/>
      </right>
      <top style="double">
        <color indexed="10"/>
      </top>
      <bottom style="double">
        <color indexed="10"/>
      </bottom>
      <diagonal/>
    </border>
    <border>
      <left style="medium">
        <color indexed="64"/>
      </left>
      <right style="double">
        <color indexed="10"/>
      </right>
      <top style="double">
        <color indexed="10"/>
      </top>
      <bottom style="double">
        <color indexed="10"/>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diagonalUp="1">
      <left style="medium">
        <color indexed="64"/>
      </left>
      <right style="medium">
        <color indexed="64"/>
      </right>
      <top style="medium">
        <color indexed="64"/>
      </top>
      <bottom style="medium">
        <color indexed="64"/>
      </bottom>
      <diagonal style="dotted">
        <color indexed="64"/>
      </diagonal>
    </border>
    <border diagonalUp="1">
      <left/>
      <right/>
      <top style="medium">
        <color indexed="64"/>
      </top>
      <bottom style="medium">
        <color indexed="64"/>
      </bottom>
      <diagonal style="dotted">
        <color indexed="64"/>
      </diagonal>
    </border>
    <border>
      <left style="thin">
        <color indexed="64"/>
      </left>
      <right style="medium">
        <color indexed="64"/>
      </right>
      <top/>
      <bottom style="medium">
        <color indexed="64"/>
      </bottom>
      <diagonal/>
    </border>
    <border>
      <left style="medium">
        <color indexed="64"/>
      </left>
      <right style="medium">
        <color indexed="64"/>
      </right>
      <top style="double">
        <color rgb="FFFF0000"/>
      </top>
      <bottom style="medium">
        <color indexed="64"/>
      </bottom>
      <diagonal/>
    </border>
    <border>
      <left style="medium">
        <color indexed="64"/>
      </left>
      <right style="medium">
        <color indexed="64"/>
      </right>
      <top style="double">
        <color rgb="FFFF0000"/>
      </top>
      <bottom/>
      <diagonal/>
    </border>
    <border>
      <left style="medium">
        <color indexed="64"/>
      </left>
      <right style="medium">
        <color indexed="64"/>
      </right>
      <top style="medium">
        <color indexed="64"/>
      </top>
      <bottom style="double">
        <color rgb="FFFF0000"/>
      </bottom>
      <diagonal/>
    </border>
    <border>
      <left/>
      <right style="medium">
        <color indexed="64"/>
      </right>
      <top style="double">
        <color rgb="FFFF0000"/>
      </top>
      <bottom style="medium">
        <color indexed="64"/>
      </bottom>
      <diagonal/>
    </border>
    <border>
      <left/>
      <right style="medium">
        <color indexed="64"/>
      </right>
      <top style="double">
        <color rgb="FFFF0000"/>
      </top>
      <bottom/>
      <diagonal/>
    </border>
    <border>
      <left/>
      <right style="medium">
        <color indexed="64"/>
      </right>
      <top style="medium">
        <color indexed="64"/>
      </top>
      <bottom style="double">
        <color rgb="FFFF0000"/>
      </bottom>
      <diagonal/>
    </border>
    <border>
      <left/>
      <right/>
      <top style="medium">
        <color indexed="64"/>
      </top>
      <bottom style="double">
        <color rgb="FFFF0000"/>
      </bottom>
      <diagonal/>
    </border>
    <border>
      <left style="medium">
        <color indexed="64"/>
      </left>
      <right style="medium">
        <color indexed="64"/>
      </right>
      <top/>
      <bottom style="double">
        <color rgb="FFFF0000"/>
      </bottom>
      <diagonal/>
    </border>
    <border>
      <left/>
      <right style="medium">
        <color indexed="64"/>
      </right>
      <top/>
      <bottom style="double">
        <color rgb="FFFF0000"/>
      </bottom>
      <diagonal/>
    </border>
    <border>
      <left/>
      <right/>
      <top/>
      <bottom style="double">
        <color rgb="FFFF0000"/>
      </bottom>
      <diagonal/>
    </border>
  </borders>
  <cellStyleXfs count="5">
    <xf numFmtId="0" fontId="0" fillId="0" borderId="0"/>
    <xf numFmtId="0" fontId="23" fillId="0" borderId="0" applyNumberFormat="0" applyFill="0" applyBorder="0" applyAlignment="0" applyProtection="0">
      <alignment vertical="top"/>
      <protection locked="0"/>
    </xf>
    <xf numFmtId="9" fontId="2" fillId="0" borderId="0" applyFont="0" applyFill="0" applyBorder="0" applyAlignment="0" applyProtection="0"/>
    <xf numFmtId="0" fontId="2" fillId="0" borderId="0"/>
    <xf numFmtId="9" fontId="2" fillId="0" borderId="0" applyFont="0" applyFill="0" applyBorder="0" applyAlignment="0" applyProtection="0"/>
  </cellStyleXfs>
  <cellXfs count="1673">
    <xf numFmtId="0" fontId="0" fillId="0" borderId="0" xfId="0"/>
    <xf numFmtId="0" fontId="3" fillId="0" borderId="0" xfId="0" applyFont="1"/>
    <xf numFmtId="0" fontId="4" fillId="0" borderId="0" xfId="0" applyFont="1"/>
    <xf numFmtId="0" fontId="4" fillId="0" borderId="0" xfId="0" applyFont="1" applyAlignment="1">
      <alignment horizontal="center"/>
    </xf>
    <xf numFmtId="0" fontId="6" fillId="0" borderId="1" xfId="0" applyFont="1" applyFill="1" applyBorder="1" applyAlignment="1">
      <alignment horizontal="center"/>
    </xf>
    <xf numFmtId="0" fontId="4" fillId="0" borderId="1" xfId="0" applyFont="1" applyFill="1" applyBorder="1" applyAlignment="1">
      <alignment horizontal="center"/>
    </xf>
    <xf numFmtId="0" fontId="4" fillId="0" borderId="2" xfId="0" applyFont="1" applyFill="1" applyBorder="1" applyAlignment="1">
      <alignment horizontal="center"/>
    </xf>
    <xf numFmtId="16" fontId="4" fillId="0" borderId="2" xfId="0" applyNumberFormat="1" applyFont="1" applyFill="1" applyBorder="1" applyAlignment="1">
      <alignment horizontal="center"/>
    </xf>
    <xf numFmtId="0" fontId="6" fillId="0" borderId="3" xfId="0" applyFont="1" applyFill="1" applyBorder="1" applyAlignment="1">
      <alignment horizontal="center"/>
    </xf>
    <xf numFmtId="0" fontId="4" fillId="0" borderId="0" xfId="0" applyFont="1" applyFill="1"/>
    <xf numFmtId="0" fontId="4" fillId="0" borderId="0" xfId="0" applyFont="1" applyFill="1" applyAlignment="1">
      <alignment horizontal="center"/>
    </xf>
    <xf numFmtId="0" fontId="4" fillId="0" borderId="3" xfId="0" applyFont="1" applyFill="1" applyBorder="1"/>
    <xf numFmtId="0" fontId="4" fillId="0" borderId="3" xfId="0" applyFont="1" applyFill="1" applyBorder="1" applyAlignment="1">
      <alignment horizontal="center"/>
    </xf>
    <xf numFmtId="3" fontId="4" fillId="0" borderId="3" xfId="0" applyNumberFormat="1" applyFont="1" applyFill="1" applyBorder="1"/>
    <xf numFmtId="3" fontId="4" fillId="0" borderId="3" xfId="0" applyNumberFormat="1" applyFont="1" applyFill="1" applyBorder="1" applyAlignment="1">
      <alignment horizontal="center"/>
    </xf>
    <xf numFmtId="0" fontId="7" fillId="0" borderId="3" xfId="0" applyFont="1" applyFill="1" applyBorder="1" applyAlignment="1">
      <alignment horizontal="center"/>
    </xf>
    <xf numFmtId="0" fontId="4" fillId="0" borderId="2" xfId="0" applyFont="1" applyFill="1" applyBorder="1"/>
    <xf numFmtId="3" fontId="4" fillId="0" borderId="2" xfId="0" applyNumberFormat="1" applyFont="1" applyFill="1" applyBorder="1"/>
    <xf numFmtId="14" fontId="4" fillId="0" borderId="2" xfId="0" applyNumberFormat="1" applyFont="1" applyFill="1" applyBorder="1" applyAlignment="1">
      <alignment horizontal="center"/>
    </xf>
    <xf numFmtId="0" fontId="4" fillId="0" borderId="1" xfId="0" applyFont="1" applyFill="1" applyBorder="1"/>
    <xf numFmtId="3" fontId="4" fillId="0" borderId="1" xfId="0" applyNumberFormat="1" applyFont="1" applyFill="1" applyBorder="1"/>
    <xf numFmtId="3" fontId="4" fillId="0" borderId="1" xfId="0" applyNumberFormat="1" applyFont="1" applyFill="1" applyBorder="1" applyAlignment="1">
      <alignment horizontal="center"/>
    </xf>
    <xf numFmtId="0" fontId="7" fillId="0" borderId="1" xfId="0" applyFont="1" applyFill="1" applyBorder="1" applyAlignment="1">
      <alignment horizontal="center"/>
    </xf>
    <xf numFmtId="16" fontId="7" fillId="0" borderId="2" xfId="0" applyNumberFormat="1" applyFont="1" applyFill="1" applyBorder="1" applyAlignment="1">
      <alignment horizontal="center"/>
    </xf>
    <xf numFmtId="0" fontId="4" fillId="0" borderId="0" xfId="0" applyFont="1" applyAlignment="1">
      <alignment horizontal="right"/>
    </xf>
    <xf numFmtId="14" fontId="4" fillId="0" borderId="0" xfId="0" applyNumberFormat="1" applyFont="1" applyAlignment="1">
      <alignment horizontal="left"/>
    </xf>
    <xf numFmtId="3" fontId="4" fillId="0" borderId="1" xfId="0" applyNumberFormat="1" applyFont="1" applyFill="1" applyBorder="1" applyAlignment="1">
      <alignment horizontal="right"/>
    </xf>
    <xf numFmtId="16" fontId="4" fillId="0" borderId="1" xfId="0" applyNumberFormat="1" applyFont="1" applyFill="1" applyBorder="1" applyAlignment="1">
      <alignment horizontal="center"/>
    </xf>
    <xf numFmtId="0" fontId="4" fillId="0" borderId="0" xfId="0" applyFont="1" applyFill="1" applyBorder="1"/>
    <xf numFmtId="0" fontId="8" fillId="0" borderId="0" xfId="0" applyFont="1" applyFill="1" applyBorder="1" applyAlignment="1">
      <alignment horizontal="center"/>
    </xf>
    <xf numFmtId="0" fontId="4" fillId="0" borderId="0" xfId="0" applyFont="1" applyFill="1" applyBorder="1" applyAlignment="1">
      <alignment horizontal="center"/>
    </xf>
    <xf numFmtId="3" fontId="4" fillId="0" borderId="0" xfId="0" applyNumberFormat="1" applyFont="1" applyFill="1" applyBorder="1" applyAlignment="1">
      <alignment horizontal="center"/>
    </xf>
    <xf numFmtId="0" fontId="7" fillId="0" borderId="0" xfId="0" applyFont="1" applyFill="1" applyBorder="1" applyAlignment="1">
      <alignment horizontal="center"/>
    </xf>
    <xf numFmtId="3" fontId="4" fillId="0" borderId="0" xfId="0" applyNumberFormat="1" applyFont="1" applyFill="1" applyBorder="1"/>
    <xf numFmtId="0" fontId="4" fillId="0" borderId="4" xfId="0" applyFont="1" applyFill="1" applyBorder="1" applyAlignment="1">
      <alignment horizontal="center"/>
    </xf>
    <xf numFmtId="16" fontId="4" fillId="0" borderId="5" xfId="0" applyNumberFormat="1" applyFont="1" applyFill="1" applyBorder="1" applyAlignment="1">
      <alignment horizontal="center"/>
    </xf>
    <xf numFmtId="0" fontId="4" fillId="0" borderId="6" xfId="0" applyFont="1" applyFill="1" applyBorder="1" applyAlignment="1">
      <alignment horizontal="center"/>
    </xf>
    <xf numFmtId="0" fontId="4" fillId="0" borderId="0" xfId="0" applyFont="1" applyBorder="1"/>
    <xf numFmtId="0" fontId="4" fillId="0" borderId="0" xfId="0" applyFont="1" applyBorder="1" applyAlignment="1">
      <alignment horizontal="center"/>
    </xf>
    <xf numFmtId="3" fontId="4" fillId="0" borderId="2" xfId="0" applyNumberFormat="1" applyFont="1" applyFill="1" applyBorder="1" applyAlignment="1">
      <alignment horizontal="center"/>
    </xf>
    <xf numFmtId="0" fontId="7" fillId="0" borderId="2" xfId="0" applyFont="1" applyFill="1" applyBorder="1" applyAlignment="1">
      <alignment horizontal="center"/>
    </xf>
    <xf numFmtId="0" fontId="11" fillId="0" borderId="0" xfId="0" applyFont="1"/>
    <xf numFmtId="0" fontId="11" fillId="0" borderId="0" xfId="0" applyFont="1" applyFill="1"/>
    <xf numFmtId="0" fontId="11" fillId="0" borderId="0" xfId="0" applyFont="1" applyFill="1" applyBorder="1" applyAlignment="1">
      <alignment horizontal="center"/>
    </xf>
    <xf numFmtId="0" fontId="7" fillId="0" borderId="0" xfId="0" applyFont="1"/>
    <xf numFmtId="0" fontId="6" fillId="0" borderId="0" xfId="0" applyFont="1"/>
    <xf numFmtId="0" fontId="4" fillId="2" borderId="0" xfId="0" applyFont="1" applyFill="1"/>
    <xf numFmtId="0" fontId="4" fillId="0" borderId="5" xfId="0" applyFont="1" applyFill="1" applyBorder="1" applyAlignment="1">
      <alignment horizontal="center"/>
    </xf>
    <xf numFmtId="16" fontId="4" fillId="0" borderId="0" xfId="0" applyNumberFormat="1" applyFont="1" applyFill="1" applyBorder="1" applyAlignment="1">
      <alignment horizontal="center"/>
    </xf>
    <xf numFmtId="0" fontId="4" fillId="0" borderId="7" xfId="0" applyFont="1" applyFill="1" applyBorder="1"/>
    <xf numFmtId="0" fontId="4" fillId="0" borderId="7" xfId="0" applyFont="1" applyFill="1" applyBorder="1" applyAlignment="1">
      <alignment horizontal="center"/>
    </xf>
    <xf numFmtId="3" fontId="4" fillId="0" borderId="7" xfId="0" applyNumberFormat="1" applyFont="1" applyFill="1" applyBorder="1"/>
    <xf numFmtId="3" fontId="4" fillId="0" borderId="7" xfId="0" applyNumberFormat="1" applyFont="1" applyFill="1" applyBorder="1" applyAlignment="1">
      <alignment horizontal="center"/>
    </xf>
    <xf numFmtId="0" fontId="7" fillId="0" borderId="7" xfId="0" applyFont="1" applyFill="1" applyBorder="1" applyAlignment="1">
      <alignment horizontal="center"/>
    </xf>
    <xf numFmtId="16" fontId="4" fillId="0" borderId="7" xfId="0" applyNumberFormat="1" applyFont="1" applyFill="1" applyBorder="1" applyAlignment="1">
      <alignment horizontal="center"/>
    </xf>
    <xf numFmtId="0" fontId="4" fillId="0" borderId="6" xfId="0" applyFont="1" applyFill="1" applyBorder="1"/>
    <xf numFmtId="0" fontId="12" fillId="0" borderId="2" xfId="0" applyFont="1" applyFill="1" applyBorder="1" applyAlignment="1">
      <alignment horizontal="center"/>
    </xf>
    <xf numFmtId="0" fontId="4" fillId="0" borderId="8" xfId="0" applyFont="1" applyFill="1" applyBorder="1" applyAlignment="1">
      <alignment horizontal="center"/>
    </xf>
    <xf numFmtId="0" fontId="4" fillId="0" borderId="8" xfId="0" applyFont="1" applyFill="1" applyBorder="1"/>
    <xf numFmtId="0" fontId="4" fillId="0" borderId="9" xfId="0" applyFont="1" applyFill="1" applyBorder="1" applyAlignment="1">
      <alignment horizontal="center"/>
    </xf>
    <xf numFmtId="0" fontId="4" fillId="0" borderId="9" xfId="0" applyFont="1" applyFill="1" applyBorder="1"/>
    <xf numFmtId="0" fontId="4" fillId="0" borderId="10" xfId="0" applyFont="1" applyFill="1" applyBorder="1" applyAlignment="1">
      <alignment horizontal="center"/>
    </xf>
    <xf numFmtId="0" fontId="4" fillId="0" borderId="10" xfId="0" applyFont="1" applyFill="1" applyBorder="1"/>
    <xf numFmtId="0" fontId="14" fillId="0" borderId="0" xfId="0" applyFont="1"/>
    <xf numFmtId="0" fontId="14" fillId="2" borderId="0" xfId="0" applyFont="1" applyFill="1"/>
    <xf numFmtId="0" fontId="12" fillId="0" borderId="1" xfId="0" applyFont="1" applyFill="1" applyBorder="1" applyAlignment="1">
      <alignment horizontal="center"/>
    </xf>
    <xf numFmtId="0" fontId="4" fillId="0" borderId="11" xfId="0" applyFont="1" applyFill="1" applyBorder="1" applyAlignment="1">
      <alignment horizontal="center"/>
    </xf>
    <xf numFmtId="0" fontId="4" fillId="0" borderId="12" xfId="0" applyFont="1" applyFill="1" applyBorder="1" applyAlignment="1">
      <alignment horizontal="center"/>
    </xf>
    <xf numFmtId="0" fontId="4" fillId="0" borderId="13" xfId="0" applyFont="1" applyFill="1" applyBorder="1" applyAlignment="1">
      <alignment horizontal="center"/>
    </xf>
    <xf numFmtId="0" fontId="14" fillId="0" borderId="2" xfId="0" applyFont="1" applyFill="1" applyBorder="1"/>
    <xf numFmtId="0" fontId="14" fillId="0" borderId="2" xfId="0" applyFont="1" applyFill="1" applyBorder="1" applyAlignment="1">
      <alignment horizontal="center"/>
    </xf>
    <xf numFmtId="3" fontId="14" fillId="0" borderId="2" xfId="0" applyNumberFormat="1" applyFont="1" applyFill="1" applyBorder="1" applyAlignment="1">
      <alignment horizontal="right"/>
    </xf>
    <xf numFmtId="3" fontId="14" fillId="0" borderId="2" xfId="0" applyNumberFormat="1" applyFont="1" applyFill="1" applyBorder="1" applyAlignment="1">
      <alignment horizontal="center"/>
    </xf>
    <xf numFmtId="0" fontId="6" fillId="0" borderId="2" xfId="0" applyFont="1" applyFill="1" applyBorder="1" applyAlignment="1">
      <alignment horizontal="center"/>
    </xf>
    <xf numFmtId="16" fontId="14" fillId="0" borderId="2" xfId="0" applyNumberFormat="1" applyFont="1" applyFill="1" applyBorder="1" applyAlignment="1">
      <alignment horizontal="center"/>
    </xf>
    <xf numFmtId="0" fontId="14" fillId="0" borderId="9" xfId="0" applyFont="1" applyFill="1" applyBorder="1" applyAlignment="1">
      <alignment horizontal="center"/>
    </xf>
    <xf numFmtId="0" fontId="14" fillId="0" borderId="0" xfId="0" applyFont="1" applyFill="1"/>
    <xf numFmtId="3" fontId="14" fillId="0" borderId="1" xfId="0" applyNumberFormat="1" applyFont="1" applyFill="1" applyBorder="1" applyAlignment="1">
      <alignment horizontal="center"/>
    </xf>
    <xf numFmtId="0" fontId="14" fillId="0" borderId="3" xfId="0" applyFont="1" applyFill="1" applyBorder="1"/>
    <xf numFmtId="16" fontId="14" fillId="0" borderId="3" xfId="0" applyNumberFormat="1" applyFont="1" applyFill="1" applyBorder="1" applyAlignment="1">
      <alignment horizontal="center"/>
    </xf>
    <xf numFmtId="0" fontId="14" fillId="0" borderId="3" xfId="0" applyFont="1" applyFill="1" applyBorder="1" applyAlignment="1">
      <alignment horizontal="center"/>
    </xf>
    <xf numFmtId="3" fontId="14" fillId="0" borderId="3" xfId="0" applyNumberFormat="1" applyFont="1" applyFill="1" applyBorder="1"/>
    <xf numFmtId="0" fontId="14" fillId="0" borderId="8" xfId="0" applyFont="1" applyFill="1" applyBorder="1" applyAlignment="1">
      <alignment horizontal="center"/>
    </xf>
    <xf numFmtId="3" fontId="14" fillId="0" borderId="2" xfId="0" applyNumberFormat="1" applyFont="1" applyFill="1" applyBorder="1"/>
    <xf numFmtId="16" fontId="16" fillId="0" borderId="2" xfId="0" applyNumberFormat="1" applyFont="1" applyFill="1" applyBorder="1" applyAlignment="1">
      <alignment horizontal="center"/>
    </xf>
    <xf numFmtId="14" fontId="14" fillId="0" borderId="2" xfId="0" applyNumberFormat="1" applyFont="1" applyFill="1" applyBorder="1" applyAlignment="1">
      <alignment horizontal="center"/>
    </xf>
    <xf numFmtId="0" fontId="14" fillId="0" borderId="1" xfId="0" applyFont="1" applyFill="1" applyBorder="1"/>
    <xf numFmtId="0" fontId="14" fillId="0" borderId="1" xfId="0" applyFont="1" applyFill="1" applyBorder="1" applyAlignment="1">
      <alignment horizontal="center"/>
    </xf>
    <xf numFmtId="3" fontId="14" fillId="0" borderId="1" xfId="0" applyNumberFormat="1" applyFont="1" applyFill="1" applyBorder="1" applyAlignment="1">
      <alignment horizontal="right"/>
    </xf>
    <xf numFmtId="16" fontId="14" fillId="0" borderId="1" xfId="0" applyNumberFormat="1" applyFont="1" applyFill="1" applyBorder="1" applyAlignment="1">
      <alignment horizontal="center"/>
    </xf>
    <xf numFmtId="0" fontId="14" fillId="0" borderId="10" xfId="0" applyFont="1" applyFill="1" applyBorder="1" applyAlignment="1">
      <alignment horizontal="center"/>
    </xf>
    <xf numFmtId="16" fontId="4" fillId="0" borderId="3" xfId="0" applyNumberFormat="1" applyFont="1" applyFill="1" applyBorder="1" applyAlignment="1">
      <alignment horizontal="center"/>
    </xf>
    <xf numFmtId="0" fontId="18" fillId="0" borderId="2" xfId="0" applyFont="1" applyFill="1" applyBorder="1" applyAlignment="1">
      <alignment horizontal="center"/>
    </xf>
    <xf numFmtId="16" fontId="18" fillId="0" borderId="1" xfId="0" applyNumberFormat="1" applyFont="1" applyFill="1" applyBorder="1" applyAlignment="1">
      <alignment horizontal="center"/>
    </xf>
    <xf numFmtId="0" fontId="4" fillId="0" borderId="14" xfId="0" applyFont="1" applyFill="1" applyBorder="1" applyAlignment="1">
      <alignment horizontal="center"/>
    </xf>
    <xf numFmtId="16" fontId="4" fillId="0" borderId="6" xfId="0" applyNumberFormat="1" applyFont="1" applyFill="1" applyBorder="1" applyAlignment="1">
      <alignment horizontal="center"/>
    </xf>
    <xf numFmtId="16" fontId="4" fillId="0" borderId="13" xfId="0" applyNumberFormat="1" applyFont="1" applyFill="1" applyBorder="1" applyAlignment="1">
      <alignment horizontal="center"/>
    </xf>
    <xf numFmtId="0" fontId="4" fillId="0" borderId="14" xfId="0" applyFont="1" applyFill="1" applyBorder="1"/>
    <xf numFmtId="0" fontId="14" fillId="0" borderId="0" xfId="0" applyFont="1" applyFill="1" applyBorder="1"/>
    <xf numFmtId="0" fontId="14" fillId="0" borderId="0" xfId="0" applyFont="1" applyFill="1" applyBorder="1" applyAlignment="1">
      <alignment horizontal="center"/>
    </xf>
    <xf numFmtId="3" fontId="14" fillId="0" borderId="0" xfId="0" applyNumberFormat="1" applyFont="1" applyFill="1" applyBorder="1" applyAlignment="1">
      <alignment horizontal="right"/>
    </xf>
    <xf numFmtId="3" fontId="14" fillId="0" borderId="0" xfId="0" applyNumberFormat="1" applyFont="1" applyFill="1" applyBorder="1" applyAlignment="1">
      <alignment horizontal="center"/>
    </xf>
    <xf numFmtId="0" fontId="6" fillId="0" borderId="0" xfId="0" applyFont="1" applyFill="1" applyBorder="1" applyAlignment="1">
      <alignment horizontal="center"/>
    </xf>
    <xf numFmtId="16" fontId="14" fillId="0" borderId="0" xfId="0" applyNumberFormat="1" applyFont="1" applyFill="1" applyBorder="1" applyAlignment="1">
      <alignment horizontal="center"/>
    </xf>
    <xf numFmtId="3" fontId="12" fillId="0" borderId="2" xfId="0" applyNumberFormat="1" applyFont="1" applyFill="1" applyBorder="1" applyAlignment="1">
      <alignment horizontal="center"/>
    </xf>
    <xf numFmtId="3" fontId="4" fillId="0" borderId="1" xfId="0" quotePrefix="1" applyNumberFormat="1" applyFont="1" applyFill="1" applyBorder="1" applyAlignment="1">
      <alignment horizontal="right"/>
    </xf>
    <xf numFmtId="0" fontId="4" fillId="0" borderId="1" xfId="0" quotePrefix="1" applyFont="1" applyFill="1" applyBorder="1" applyAlignment="1">
      <alignment horizontal="center"/>
    </xf>
    <xf numFmtId="0" fontId="20" fillId="0" borderId="1" xfId="0" applyFont="1" applyFill="1" applyBorder="1" applyAlignment="1">
      <alignment horizontal="center"/>
    </xf>
    <xf numFmtId="0" fontId="14" fillId="0" borderId="14" xfId="0" applyFont="1" applyFill="1" applyBorder="1" applyAlignment="1">
      <alignment horizontal="center"/>
    </xf>
    <xf numFmtId="0" fontId="7" fillId="0" borderId="12" xfId="0" applyFont="1" applyFill="1" applyBorder="1" applyAlignment="1">
      <alignment horizontal="center"/>
    </xf>
    <xf numFmtId="0" fontId="14" fillId="0" borderId="13" xfId="0" applyFont="1" applyFill="1" applyBorder="1" applyAlignment="1">
      <alignment horizontal="center"/>
    </xf>
    <xf numFmtId="0" fontId="21" fillId="0" borderId="1" xfId="0" applyFont="1" applyFill="1" applyBorder="1" applyAlignment="1">
      <alignment horizontal="center"/>
    </xf>
    <xf numFmtId="0" fontId="22" fillId="0" borderId="2" xfId="0" applyFont="1" applyFill="1" applyBorder="1" applyAlignment="1">
      <alignment horizontal="center"/>
    </xf>
    <xf numFmtId="0" fontId="22" fillId="0" borderId="1" xfId="0" applyFont="1" applyFill="1" applyBorder="1" applyAlignment="1">
      <alignment horizontal="center"/>
    </xf>
    <xf numFmtId="0" fontId="17" fillId="3" borderId="2" xfId="0" applyFont="1" applyFill="1" applyBorder="1" applyAlignment="1">
      <alignment horizontal="center"/>
    </xf>
    <xf numFmtId="0" fontId="17" fillId="3" borderId="1" xfId="0" applyFont="1" applyFill="1" applyBorder="1" applyAlignment="1">
      <alignment horizontal="center"/>
    </xf>
    <xf numFmtId="3" fontId="8" fillId="0" borderId="0" xfId="0" quotePrefix="1" applyNumberFormat="1" applyFont="1" applyFill="1" applyBorder="1" applyAlignment="1">
      <alignment horizontal="right"/>
    </xf>
    <xf numFmtId="0" fontId="4" fillId="0" borderId="13" xfId="0" quotePrefix="1" applyFont="1" applyFill="1" applyBorder="1" applyAlignment="1">
      <alignment horizontal="center"/>
    </xf>
    <xf numFmtId="0" fontId="24" fillId="0" borderId="2" xfId="0" applyFont="1" applyFill="1" applyBorder="1" applyAlignment="1">
      <alignment horizontal="center"/>
    </xf>
    <xf numFmtId="3" fontId="4" fillId="0" borderId="0" xfId="0" applyNumberFormat="1" applyFont="1" applyFill="1" applyBorder="1" applyAlignment="1">
      <alignment horizontal="right"/>
    </xf>
    <xf numFmtId="0" fontId="15" fillId="0" borderId="0" xfId="0" applyFont="1" applyFill="1" applyBorder="1" applyAlignment="1">
      <alignment horizontal="center"/>
    </xf>
    <xf numFmtId="14" fontId="18" fillId="0" borderId="2" xfId="0" applyNumberFormat="1" applyFont="1" applyFill="1" applyBorder="1" applyAlignment="1">
      <alignment horizontal="center"/>
    </xf>
    <xf numFmtId="0" fontId="14" fillId="0" borderId="0" xfId="0" applyFont="1" applyBorder="1"/>
    <xf numFmtId="0" fontId="14" fillId="2" borderId="0" xfId="0" applyFont="1" applyFill="1" applyBorder="1"/>
    <xf numFmtId="0" fontId="8" fillId="0" borderId="7" xfId="0" applyFont="1" applyFill="1" applyBorder="1" applyAlignment="1">
      <alignment horizontal="center"/>
    </xf>
    <xf numFmtId="0" fontId="4" fillId="0" borderId="15" xfId="0" applyFont="1" applyFill="1" applyBorder="1"/>
    <xf numFmtId="16" fontId="25" fillId="0" borderId="0" xfId="0" applyNumberFormat="1" applyFont="1" applyFill="1" applyBorder="1" applyAlignment="1">
      <alignment horizontal="center"/>
    </xf>
    <xf numFmtId="16" fontId="7" fillId="0" borderId="1" xfId="0" applyNumberFormat="1" applyFont="1" applyFill="1" applyBorder="1" applyAlignment="1">
      <alignment horizontal="center"/>
    </xf>
    <xf numFmtId="0" fontId="28" fillId="0" borderId="3" xfId="0" applyFont="1" applyFill="1" applyBorder="1" applyAlignment="1">
      <alignment horizontal="center"/>
    </xf>
    <xf numFmtId="0" fontId="28" fillId="0" borderId="2" xfId="0" applyFont="1" applyFill="1" applyBorder="1" applyAlignment="1">
      <alignment horizontal="center"/>
    </xf>
    <xf numFmtId="0" fontId="28" fillId="0" borderId="1" xfId="0" applyFont="1" applyFill="1" applyBorder="1" applyAlignment="1">
      <alignment horizontal="center"/>
    </xf>
    <xf numFmtId="16" fontId="18" fillId="0" borderId="0" xfId="0" applyNumberFormat="1" applyFont="1" applyFill="1" applyBorder="1" applyAlignment="1">
      <alignment horizontal="center"/>
    </xf>
    <xf numFmtId="16" fontId="25" fillId="0" borderId="1" xfId="0" applyNumberFormat="1" applyFont="1" applyFill="1" applyBorder="1" applyAlignment="1">
      <alignment horizontal="center"/>
    </xf>
    <xf numFmtId="0" fontId="25" fillId="0" borderId="13" xfId="0" applyFont="1" applyFill="1" applyBorder="1" applyAlignment="1">
      <alignment horizontal="center"/>
    </xf>
    <xf numFmtId="16" fontId="7" fillId="0" borderId="3" xfId="0" applyNumberFormat="1" applyFont="1" applyFill="1" applyBorder="1" applyAlignment="1">
      <alignment horizontal="center"/>
    </xf>
    <xf numFmtId="0" fontId="26" fillId="0" borderId="2" xfId="0" applyFont="1" applyFill="1" applyBorder="1" applyAlignment="1">
      <alignment horizontal="center"/>
    </xf>
    <xf numFmtId="16" fontId="27" fillId="0" borderId="1" xfId="0" applyNumberFormat="1" applyFont="1" applyFill="1" applyBorder="1" applyAlignment="1">
      <alignment horizontal="center"/>
    </xf>
    <xf numFmtId="0" fontId="30" fillId="0" borderId="1" xfId="0" applyFont="1" applyFill="1" applyBorder="1" applyAlignment="1">
      <alignment horizontal="center"/>
    </xf>
    <xf numFmtId="0" fontId="32" fillId="0" borderId="2" xfId="0" applyFont="1" applyFill="1" applyBorder="1" applyAlignment="1">
      <alignment horizontal="center"/>
    </xf>
    <xf numFmtId="0" fontId="32" fillId="0" borderId="1" xfId="0" applyFont="1" applyFill="1" applyBorder="1" applyAlignment="1">
      <alignment horizontal="center"/>
    </xf>
    <xf numFmtId="16" fontId="7" fillId="0" borderId="0" xfId="0" applyNumberFormat="1" applyFont="1" applyFill="1" applyBorder="1" applyAlignment="1">
      <alignment horizontal="center"/>
    </xf>
    <xf numFmtId="16" fontId="25" fillId="0" borderId="3" xfId="0" applyNumberFormat="1" applyFont="1" applyFill="1" applyBorder="1" applyAlignment="1">
      <alignment horizontal="center"/>
    </xf>
    <xf numFmtId="16" fontId="25" fillId="0" borderId="2" xfId="0" applyNumberFormat="1" applyFont="1" applyFill="1" applyBorder="1" applyAlignment="1">
      <alignment horizontal="center"/>
    </xf>
    <xf numFmtId="16" fontId="4" fillId="0" borderId="16" xfId="0" applyNumberFormat="1" applyFont="1" applyFill="1" applyBorder="1" applyAlignment="1">
      <alignment horizontal="center"/>
    </xf>
    <xf numFmtId="3" fontId="4" fillId="0" borderId="3" xfId="0" applyNumberFormat="1" applyFont="1" applyFill="1" applyBorder="1" applyAlignment="1">
      <alignment horizontal="right"/>
    </xf>
    <xf numFmtId="0" fontId="36" fillId="0" borderId="1" xfId="0" applyFont="1" applyFill="1" applyBorder="1" applyAlignment="1">
      <alignment horizontal="center"/>
    </xf>
    <xf numFmtId="3" fontId="39" fillId="0" borderId="1" xfId="0" applyNumberFormat="1" applyFont="1" applyFill="1" applyBorder="1"/>
    <xf numFmtId="16" fontId="40" fillId="0" borderId="3" xfId="0" applyNumberFormat="1" applyFont="1" applyFill="1" applyBorder="1" applyAlignment="1">
      <alignment horizontal="center"/>
    </xf>
    <xf numFmtId="3" fontId="38" fillId="0" borderId="3" xfId="0" applyNumberFormat="1" applyFont="1" applyFill="1" applyBorder="1"/>
    <xf numFmtId="16" fontId="42" fillId="0" borderId="2" xfId="0" applyNumberFormat="1" applyFont="1" applyFill="1" applyBorder="1" applyAlignment="1">
      <alignment horizontal="center"/>
    </xf>
    <xf numFmtId="16" fontId="4" fillId="0" borderId="12" xfId="0" applyNumberFormat="1" applyFont="1" applyFill="1" applyBorder="1" applyAlignment="1">
      <alignment horizontal="center"/>
    </xf>
    <xf numFmtId="16" fontId="7" fillId="0" borderId="12" xfId="0" applyNumberFormat="1" applyFont="1" applyFill="1" applyBorder="1" applyAlignment="1">
      <alignment horizontal="center"/>
    </xf>
    <xf numFmtId="0" fontId="41" fillId="0" borderId="3" xfId="0" applyFont="1" applyFill="1" applyBorder="1" applyAlignment="1">
      <alignment horizontal="center"/>
    </xf>
    <xf numFmtId="3" fontId="4" fillId="0" borderId="2" xfId="0" applyNumberFormat="1" applyFont="1" applyFill="1" applyBorder="1" applyAlignment="1">
      <alignment horizontal="right"/>
    </xf>
    <xf numFmtId="16" fontId="4" fillId="0" borderId="14" xfId="0" applyNumberFormat="1" applyFont="1" applyFill="1" applyBorder="1" applyAlignment="1">
      <alignment horizontal="center"/>
    </xf>
    <xf numFmtId="3" fontId="4" fillId="0" borderId="14" xfId="0" applyNumberFormat="1" applyFont="1" applyFill="1" applyBorder="1"/>
    <xf numFmtId="3" fontId="4" fillId="0" borderId="14" xfId="0" applyNumberFormat="1" applyFont="1" applyFill="1" applyBorder="1" applyAlignment="1">
      <alignment horizontal="center"/>
    </xf>
    <xf numFmtId="0" fontId="7" fillId="0" borderId="14" xfId="0" applyFont="1" applyFill="1" applyBorder="1" applyAlignment="1">
      <alignment horizontal="center"/>
    </xf>
    <xf numFmtId="0" fontId="14" fillId="0" borderId="17" xfId="0" applyFont="1" applyFill="1" applyBorder="1" applyAlignment="1">
      <alignment horizontal="center"/>
    </xf>
    <xf numFmtId="3" fontId="4" fillId="0" borderId="12" xfId="0" applyNumberFormat="1" applyFont="1" applyFill="1" applyBorder="1"/>
    <xf numFmtId="3" fontId="4" fillId="0" borderId="12" xfId="0" applyNumberFormat="1" applyFont="1" applyFill="1" applyBorder="1" applyAlignment="1">
      <alignment horizontal="center"/>
    </xf>
    <xf numFmtId="14" fontId="4" fillId="0" borderId="12" xfId="0" applyNumberFormat="1" applyFont="1" applyFill="1" applyBorder="1" applyAlignment="1">
      <alignment horizontal="center"/>
    </xf>
    <xf numFmtId="16" fontId="33" fillId="0" borderId="2" xfId="0" applyNumberFormat="1" applyFont="1" applyFill="1" applyBorder="1" applyAlignment="1">
      <alignment horizontal="center"/>
    </xf>
    <xf numFmtId="0" fontId="14" fillId="0" borderId="12" xfId="0" applyFont="1" applyFill="1" applyBorder="1" applyAlignment="1">
      <alignment horizontal="center"/>
    </xf>
    <xf numFmtId="0" fontId="14" fillId="0" borderId="18" xfId="0" applyFont="1" applyFill="1" applyBorder="1" applyAlignment="1">
      <alignment horizontal="center"/>
    </xf>
    <xf numFmtId="0" fontId="4" fillId="0" borderId="13" xfId="0" applyFont="1" applyFill="1" applyBorder="1"/>
    <xf numFmtId="3" fontId="4" fillId="0" borderId="13" xfId="0" applyNumberFormat="1" applyFont="1" applyFill="1" applyBorder="1" applyAlignment="1">
      <alignment horizontal="center"/>
    </xf>
    <xf numFmtId="0" fontId="7" fillId="0" borderId="13" xfId="0" applyFont="1" applyFill="1" applyBorder="1" applyAlignment="1">
      <alignment horizontal="center"/>
    </xf>
    <xf numFmtId="0" fontId="14" fillId="0" borderId="19" xfId="0" applyFont="1" applyFill="1" applyBorder="1" applyAlignment="1">
      <alignment horizontal="center"/>
    </xf>
    <xf numFmtId="0" fontId="25" fillId="0" borderId="1" xfId="0" applyNumberFormat="1" applyFont="1" applyFill="1" applyBorder="1" applyAlignment="1">
      <alignment horizontal="center"/>
    </xf>
    <xf numFmtId="3" fontId="43" fillId="0" borderId="1" xfId="0" applyNumberFormat="1" applyFont="1" applyFill="1" applyBorder="1"/>
    <xf numFmtId="16" fontId="35" fillId="0" borderId="1" xfId="0" applyNumberFormat="1" applyFont="1" applyFill="1" applyBorder="1" applyAlignment="1">
      <alignment horizontal="center"/>
    </xf>
    <xf numFmtId="16" fontId="32" fillId="0" borderId="3" xfId="0" applyNumberFormat="1" applyFont="1" applyFill="1" applyBorder="1" applyAlignment="1">
      <alignment horizontal="center"/>
    </xf>
    <xf numFmtId="16" fontId="4" fillId="0" borderId="20" xfId="0" applyNumberFormat="1" applyFont="1" applyFill="1" applyBorder="1" applyAlignment="1">
      <alignment horizontal="center"/>
    </xf>
    <xf numFmtId="16" fontId="27" fillId="0" borderId="21" xfId="0" applyNumberFormat="1" applyFont="1" applyFill="1" applyBorder="1" applyAlignment="1">
      <alignment horizontal="center"/>
    </xf>
    <xf numFmtId="16" fontId="32" fillId="0" borderId="2" xfId="0" applyNumberFormat="1" applyFont="1" applyFill="1" applyBorder="1" applyAlignment="1">
      <alignment horizontal="center"/>
    </xf>
    <xf numFmtId="0" fontId="4" fillId="0" borderId="12" xfId="0" applyFont="1" applyFill="1" applyBorder="1"/>
    <xf numFmtId="0" fontId="4" fillId="0" borderId="18" xfId="0" applyFont="1" applyFill="1" applyBorder="1" applyAlignment="1">
      <alignment horizontal="center"/>
    </xf>
    <xf numFmtId="16" fontId="32" fillId="0" borderId="12" xfId="0" applyNumberFormat="1" applyFont="1" applyFill="1" applyBorder="1" applyAlignment="1">
      <alignment horizontal="center"/>
    </xf>
    <xf numFmtId="3" fontId="4" fillId="0" borderId="13" xfId="0" applyNumberFormat="1" applyFont="1" applyFill="1" applyBorder="1"/>
    <xf numFmtId="16" fontId="7" fillId="0" borderId="13" xfId="0" applyNumberFormat="1" applyFont="1" applyFill="1" applyBorder="1" applyAlignment="1">
      <alignment horizontal="center"/>
    </xf>
    <xf numFmtId="0" fontId="30" fillId="0" borderId="13" xfId="0" applyFont="1" applyFill="1" applyBorder="1" applyAlignment="1">
      <alignment horizontal="center"/>
    </xf>
    <xf numFmtId="0" fontId="4" fillId="0" borderId="19" xfId="0" applyFont="1" applyFill="1" applyBorder="1" applyAlignment="1">
      <alignment horizontal="center"/>
    </xf>
    <xf numFmtId="0" fontId="44" fillId="0" borderId="1" xfId="0" applyFont="1" applyFill="1" applyBorder="1" applyAlignment="1">
      <alignment horizontal="center"/>
    </xf>
    <xf numFmtId="0" fontId="30" fillId="0" borderId="2" xfId="0" applyFont="1" applyFill="1" applyBorder="1" applyAlignment="1">
      <alignment horizontal="center"/>
    </xf>
    <xf numFmtId="0" fontId="46" fillId="0" borderId="1" xfId="0" applyFont="1" applyFill="1" applyBorder="1" applyAlignment="1">
      <alignment horizontal="center"/>
    </xf>
    <xf numFmtId="22" fontId="7" fillId="0" borderId="2" xfId="0" applyNumberFormat="1" applyFont="1" applyFill="1" applyBorder="1" applyAlignment="1">
      <alignment horizontal="center"/>
    </xf>
    <xf numFmtId="14" fontId="4" fillId="0" borderId="1" xfId="0" applyNumberFormat="1" applyFont="1" applyFill="1" applyBorder="1" applyAlignment="1">
      <alignment horizontal="center"/>
    </xf>
    <xf numFmtId="165" fontId="4" fillId="0" borderId="1" xfId="0" applyNumberFormat="1" applyFont="1" applyFill="1" applyBorder="1" applyAlignment="1">
      <alignment horizontal="center"/>
    </xf>
    <xf numFmtId="14" fontId="4" fillId="0" borderId="3" xfId="0" applyNumberFormat="1" applyFont="1" applyFill="1" applyBorder="1" applyAlignment="1">
      <alignment horizontal="center"/>
    </xf>
    <xf numFmtId="0" fontId="30" fillId="0" borderId="3" xfId="0" applyFont="1" applyFill="1" applyBorder="1" applyAlignment="1">
      <alignment horizontal="center"/>
    </xf>
    <xf numFmtId="0" fontId="24" fillId="0" borderId="1" xfId="0" applyFont="1" applyFill="1" applyBorder="1" applyAlignment="1">
      <alignment horizontal="center"/>
    </xf>
    <xf numFmtId="15" fontId="7" fillId="0" borderId="2" xfId="0" applyNumberFormat="1" applyFont="1" applyFill="1" applyBorder="1" applyAlignment="1">
      <alignment horizontal="center"/>
    </xf>
    <xf numFmtId="4" fontId="4" fillId="0" borderId="2" xfId="0" applyNumberFormat="1" applyFont="1" applyFill="1" applyBorder="1"/>
    <xf numFmtId="0" fontId="4" fillId="0" borderId="1" xfId="0" applyFont="1" applyFill="1" applyBorder="1" applyAlignment="1">
      <alignment horizontal="right"/>
    </xf>
    <xf numFmtId="0" fontId="30" fillId="0" borderId="12" xfId="0" applyFont="1" applyFill="1" applyBorder="1" applyAlignment="1">
      <alignment horizontal="center"/>
    </xf>
    <xf numFmtId="16" fontId="14" fillId="0" borderId="12" xfId="0" applyNumberFormat="1" applyFont="1" applyFill="1" applyBorder="1" applyAlignment="1">
      <alignment horizontal="center"/>
    </xf>
    <xf numFmtId="0" fontId="44" fillId="0" borderId="3" xfId="0" applyFont="1" applyFill="1" applyBorder="1" applyAlignment="1">
      <alignment horizontal="center"/>
    </xf>
    <xf numFmtId="0" fontId="4" fillId="0" borderId="22" xfId="0" applyFont="1" applyFill="1" applyBorder="1" applyAlignment="1">
      <alignment horizontal="center"/>
    </xf>
    <xf numFmtId="16" fontId="7" fillId="0" borderId="14" xfId="0" applyNumberFormat="1" applyFont="1" applyFill="1" applyBorder="1" applyAlignment="1">
      <alignment horizontal="center"/>
    </xf>
    <xf numFmtId="0" fontId="4" fillId="0" borderId="17" xfId="0" applyFont="1" applyFill="1" applyBorder="1" applyAlignment="1">
      <alignment horizontal="center"/>
    </xf>
    <xf numFmtId="9" fontId="50" fillId="0" borderId="0" xfId="2" applyFont="1" applyAlignment="1">
      <alignment horizontal="center"/>
    </xf>
    <xf numFmtId="16" fontId="4" fillId="4" borderId="2" xfId="0" applyNumberFormat="1" applyFont="1" applyFill="1" applyBorder="1" applyAlignment="1">
      <alignment horizontal="center"/>
    </xf>
    <xf numFmtId="16" fontId="32" fillId="4" borderId="12" xfId="0" applyNumberFormat="1" applyFont="1" applyFill="1" applyBorder="1" applyAlignment="1">
      <alignment horizontal="center"/>
    </xf>
    <xf numFmtId="0" fontId="14" fillId="0" borderId="0" xfId="0" applyFont="1" applyBorder="1" applyAlignment="1">
      <alignment horizontal="center"/>
    </xf>
    <xf numFmtId="0" fontId="14" fillId="0" borderId="0" xfId="0" applyFont="1" applyFill="1" applyAlignment="1">
      <alignment horizontal="center"/>
    </xf>
    <xf numFmtId="0" fontId="14" fillId="0" borderId="0" xfId="0" applyFont="1" applyAlignment="1">
      <alignment horizontal="center"/>
    </xf>
    <xf numFmtId="0" fontId="14" fillId="4" borderId="0" xfId="0" applyFont="1" applyFill="1" applyAlignment="1">
      <alignment horizontal="center"/>
    </xf>
    <xf numFmtId="0" fontId="14" fillId="5" borderId="0" xfId="0" applyFont="1" applyFill="1" applyAlignment="1">
      <alignment horizontal="center"/>
    </xf>
    <xf numFmtId="16" fontId="51" fillId="0" borderId="3" xfId="0" applyNumberFormat="1" applyFont="1" applyFill="1" applyBorder="1" applyAlignment="1">
      <alignment horizontal="center"/>
    </xf>
    <xf numFmtId="15" fontId="7" fillId="0" borderId="1" xfId="0" applyNumberFormat="1" applyFont="1" applyFill="1" applyBorder="1" applyAlignment="1">
      <alignment horizontal="center"/>
    </xf>
    <xf numFmtId="0" fontId="18" fillId="0" borderId="3" xfId="0" applyFont="1" applyFill="1" applyBorder="1" applyAlignment="1">
      <alignment horizontal="center"/>
    </xf>
    <xf numFmtId="0" fontId="41" fillId="2" borderId="0" xfId="0" applyFont="1" applyFill="1" applyAlignment="1">
      <alignment horizontal="center"/>
    </xf>
    <xf numFmtId="0" fontId="41" fillId="2" borderId="0" xfId="0" applyFont="1" applyFill="1"/>
    <xf numFmtId="3" fontId="4" fillId="0" borderId="8" xfId="0" applyNumberFormat="1" applyFont="1" applyFill="1" applyBorder="1"/>
    <xf numFmtId="3" fontId="4" fillId="0" borderId="9" xfId="0" applyNumberFormat="1" applyFont="1" applyFill="1" applyBorder="1"/>
    <xf numFmtId="3" fontId="39" fillId="0" borderId="1" xfId="0" applyNumberFormat="1" applyFont="1" applyFill="1" applyBorder="1" applyAlignment="1">
      <alignment horizontal="right"/>
    </xf>
    <xf numFmtId="3" fontId="4" fillId="0" borderId="0" xfId="0" quotePrefix="1" applyNumberFormat="1" applyFont="1" applyFill="1" applyBorder="1" applyAlignment="1">
      <alignment horizontal="right"/>
    </xf>
    <xf numFmtId="3" fontId="39" fillId="0" borderId="0" xfId="0" applyNumberFormat="1" applyFont="1" applyFill="1" applyBorder="1" applyAlignment="1">
      <alignment horizontal="right"/>
    </xf>
    <xf numFmtId="16" fontId="29" fillId="0" borderId="0" xfId="0" applyNumberFormat="1" applyFont="1" applyFill="1" applyBorder="1" applyAlignment="1">
      <alignment horizontal="center"/>
    </xf>
    <xf numFmtId="0" fontId="53" fillId="0" borderId="2" xfId="0" applyFont="1" applyFill="1" applyBorder="1" applyAlignment="1">
      <alignment horizontal="center"/>
    </xf>
    <xf numFmtId="22" fontId="7" fillId="0" borderId="1" xfId="0" applyNumberFormat="1" applyFont="1" applyFill="1" applyBorder="1" applyAlignment="1">
      <alignment horizontal="center"/>
    </xf>
    <xf numFmtId="15" fontId="14" fillId="0" borderId="2" xfId="0" applyNumberFormat="1" applyFont="1" applyFill="1" applyBorder="1" applyAlignment="1">
      <alignment horizontal="center"/>
    </xf>
    <xf numFmtId="3" fontId="4" fillId="0" borderId="0" xfId="0" applyNumberFormat="1" applyFont="1"/>
    <xf numFmtId="0" fontId="53" fillId="0" borderId="1" xfId="0" applyFont="1" applyFill="1" applyBorder="1" applyAlignment="1">
      <alignment horizontal="center"/>
    </xf>
    <xf numFmtId="0" fontId="14" fillId="0" borderId="1" xfId="0" quotePrefix="1" applyFont="1" applyFill="1" applyBorder="1" applyAlignment="1">
      <alignment horizontal="center"/>
    </xf>
    <xf numFmtId="0" fontId="53" fillId="0" borderId="0" xfId="0" applyFont="1" applyFill="1" applyBorder="1" applyAlignment="1">
      <alignment horizontal="center"/>
    </xf>
    <xf numFmtId="0" fontId="53" fillId="0" borderId="3" xfId="0" applyFont="1" applyFill="1" applyBorder="1" applyAlignment="1">
      <alignment horizontal="center"/>
    </xf>
    <xf numFmtId="22" fontId="4" fillId="0" borderId="0" xfId="0" applyNumberFormat="1" applyFont="1"/>
    <xf numFmtId="0" fontId="14" fillId="0" borderId="7" xfId="0" applyFont="1" applyFill="1" applyBorder="1" applyAlignment="1">
      <alignment horizontal="center"/>
    </xf>
    <xf numFmtId="3" fontId="0" fillId="0" borderId="0" xfId="0" applyNumberFormat="1"/>
    <xf numFmtId="2" fontId="14" fillId="0" borderId="2" xfId="0" quotePrefix="1" applyNumberFormat="1" applyFont="1" applyFill="1" applyBorder="1" applyAlignment="1">
      <alignment horizontal="center"/>
    </xf>
    <xf numFmtId="0" fontId="4" fillId="0" borderId="11" xfId="0" applyFont="1" applyFill="1" applyBorder="1"/>
    <xf numFmtId="3" fontId="4" fillId="0" borderId="11" xfId="0" applyNumberFormat="1" applyFont="1" applyFill="1" applyBorder="1"/>
    <xf numFmtId="3" fontId="4" fillId="0" borderId="11" xfId="0" applyNumberFormat="1" applyFont="1" applyFill="1" applyBorder="1" applyAlignment="1">
      <alignment horizontal="center"/>
    </xf>
    <xf numFmtId="16" fontId="7" fillId="0" borderId="11" xfId="0" applyNumberFormat="1" applyFont="1" applyFill="1" applyBorder="1" applyAlignment="1">
      <alignment horizontal="center"/>
    </xf>
    <xf numFmtId="16" fontId="29" fillId="0" borderId="11" xfId="0" applyNumberFormat="1" applyFont="1" applyFill="1" applyBorder="1" applyAlignment="1">
      <alignment horizontal="center"/>
    </xf>
    <xf numFmtId="0" fontId="29" fillId="0" borderId="11" xfId="0" applyFont="1" applyFill="1" applyBorder="1" applyAlignment="1">
      <alignment horizontal="center"/>
    </xf>
    <xf numFmtId="0" fontId="53" fillId="0" borderId="11" xfId="0" applyFont="1" applyFill="1" applyBorder="1" applyAlignment="1">
      <alignment horizontal="center"/>
    </xf>
    <xf numFmtId="0" fontId="14" fillId="0" borderId="11" xfId="0" applyFont="1" applyFill="1" applyBorder="1" applyAlignment="1">
      <alignment horizontal="center"/>
    </xf>
    <xf numFmtId="0" fontId="15" fillId="0" borderId="11" xfId="0" applyFont="1" applyFill="1" applyBorder="1" applyAlignment="1">
      <alignment horizontal="center"/>
    </xf>
    <xf numFmtId="0" fontId="29" fillId="0" borderId="0" xfId="0" applyFont="1" applyFill="1" applyBorder="1" applyAlignment="1">
      <alignment horizontal="center"/>
    </xf>
    <xf numFmtId="3" fontId="4" fillId="0" borderId="7" xfId="0" quotePrefix="1" applyNumberFormat="1" applyFont="1" applyFill="1" applyBorder="1" applyAlignment="1">
      <alignment horizontal="right"/>
    </xf>
    <xf numFmtId="0" fontId="4" fillId="0" borderId="3" xfId="0" applyFont="1" applyFill="1" applyBorder="1" applyAlignment="1">
      <alignment horizontal="left"/>
    </xf>
    <xf numFmtId="0" fontId="32" fillId="0" borderId="3" xfId="0" applyFont="1" applyFill="1" applyBorder="1" applyAlignment="1">
      <alignment horizontal="center"/>
    </xf>
    <xf numFmtId="0" fontId="32" fillId="0" borderId="3" xfId="0" applyFont="1" applyFill="1" applyBorder="1" applyAlignment="1">
      <alignment horizontal="left"/>
    </xf>
    <xf numFmtId="0" fontId="4" fillId="0" borderId="2" xfId="0" applyFont="1" applyFill="1" applyBorder="1" applyAlignment="1">
      <alignment horizontal="left"/>
    </xf>
    <xf numFmtId="3" fontId="8" fillId="0" borderId="7" xfId="0" quotePrefix="1" applyNumberFormat="1" applyFont="1" applyFill="1" applyBorder="1" applyAlignment="1">
      <alignment horizontal="right"/>
    </xf>
    <xf numFmtId="16" fontId="7" fillId="0" borderId="7" xfId="0" applyNumberFormat="1" applyFont="1" applyFill="1" applyBorder="1" applyAlignment="1">
      <alignment horizontal="center"/>
    </xf>
    <xf numFmtId="16" fontId="29" fillId="0" borderId="7" xfId="0" applyNumberFormat="1" applyFont="1" applyFill="1" applyBorder="1" applyAlignment="1">
      <alignment horizontal="center"/>
    </xf>
    <xf numFmtId="0" fontId="44" fillId="0" borderId="7" xfId="0" applyFont="1" applyFill="1" applyBorder="1" applyAlignment="1">
      <alignment horizontal="center"/>
    </xf>
    <xf numFmtId="16" fontId="7" fillId="0" borderId="3" xfId="0" applyNumberFormat="1" applyFont="1" applyFill="1" applyBorder="1" applyAlignment="1">
      <alignment horizontal="right"/>
    </xf>
    <xf numFmtId="0" fontId="15" fillId="0" borderId="7" xfId="0" applyFont="1" applyFill="1" applyBorder="1" applyAlignment="1">
      <alignment horizontal="center"/>
    </xf>
    <xf numFmtId="0" fontId="44" fillId="0" borderId="0" xfId="0" applyFont="1" applyFill="1" applyBorder="1" applyAlignment="1">
      <alignment horizontal="center"/>
    </xf>
    <xf numFmtId="0" fontId="53" fillId="0" borderId="7" xfId="0" applyFont="1" applyFill="1" applyBorder="1" applyAlignment="1">
      <alignment horizontal="center"/>
    </xf>
    <xf numFmtId="0" fontId="4" fillId="0" borderId="23" xfId="0" applyFont="1" applyFill="1" applyBorder="1"/>
    <xf numFmtId="0" fontId="4" fillId="0" borderId="23" xfId="0" applyFont="1" applyFill="1" applyBorder="1" applyAlignment="1">
      <alignment horizontal="center"/>
    </xf>
    <xf numFmtId="3" fontId="4" fillId="0" borderId="23" xfId="0" quotePrefix="1" applyNumberFormat="1" applyFont="1" applyFill="1" applyBorder="1" applyAlignment="1">
      <alignment horizontal="right"/>
    </xf>
    <xf numFmtId="3" fontId="4" fillId="0" borderId="23" xfId="0" applyNumberFormat="1" applyFont="1" applyFill="1" applyBorder="1" applyAlignment="1">
      <alignment horizontal="center"/>
    </xf>
    <xf numFmtId="16" fontId="7" fillId="0" borderId="23" xfId="0" applyNumberFormat="1" applyFont="1" applyFill="1" applyBorder="1" applyAlignment="1">
      <alignment horizontal="center"/>
    </xf>
    <xf numFmtId="16" fontId="4" fillId="0" borderId="23" xfId="0" applyNumberFormat="1" applyFont="1" applyFill="1" applyBorder="1" applyAlignment="1">
      <alignment horizontal="center"/>
    </xf>
    <xf numFmtId="0" fontId="4" fillId="0" borderId="24" xfId="0" applyFont="1" applyFill="1" applyBorder="1" applyAlignment="1">
      <alignment horizontal="center"/>
    </xf>
    <xf numFmtId="0" fontId="4" fillId="0" borderId="25" xfId="0" applyFont="1" applyFill="1" applyBorder="1"/>
    <xf numFmtId="16" fontId="4" fillId="0" borderId="25" xfId="0" applyNumberFormat="1" applyFont="1" applyFill="1" applyBorder="1" applyAlignment="1">
      <alignment horizontal="center"/>
    </xf>
    <xf numFmtId="0" fontId="4" fillId="0" borderId="25" xfId="0" applyFont="1" applyFill="1" applyBorder="1" applyAlignment="1">
      <alignment horizontal="center"/>
    </xf>
    <xf numFmtId="3" fontId="4" fillId="0" borderId="25" xfId="0" applyNumberFormat="1" applyFont="1" applyFill="1" applyBorder="1"/>
    <xf numFmtId="16" fontId="7" fillId="0" borderId="25" xfId="0" applyNumberFormat="1" applyFont="1" applyFill="1" applyBorder="1" applyAlignment="1">
      <alignment horizontal="center"/>
    </xf>
    <xf numFmtId="0" fontId="4" fillId="0" borderId="26" xfId="0" applyFont="1" applyFill="1" applyBorder="1" applyAlignment="1">
      <alignment horizontal="center"/>
    </xf>
    <xf numFmtId="16" fontId="7" fillId="0" borderId="2" xfId="0" applyNumberFormat="1" applyFont="1" applyFill="1" applyBorder="1" applyAlignment="1">
      <alignment horizontal="left"/>
    </xf>
    <xf numFmtId="0" fontId="55" fillId="6" borderId="11" xfId="0" applyFont="1" applyFill="1" applyBorder="1"/>
    <xf numFmtId="0" fontId="55" fillId="6" borderId="7" xfId="0" applyFont="1" applyFill="1" applyBorder="1"/>
    <xf numFmtId="0" fontId="4" fillId="0" borderId="3" xfId="0" applyFont="1" applyBorder="1" applyAlignment="1">
      <alignment horizontal="center"/>
    </xf>
    <xf numFmtId="0" fontId="4" fillId="0" borderId="2" xfId="0" applyFont="1" applyBorder="1" applyAlignment="1">
      <alignment horizontal="center"/>
    </xf>
    <xf numFmtId="0" fontId="55" fillId="6" borderId="2" xfId="0" applyFont="1" applyFill="1" applyBorder="1"/>
    <xf numFmtId="9" fontId="4" fillId="0" borderId="2" xfId="0" applyNumberFormat="1" applyFont="1" applyBorder="1" applyAlignment="1">
      <alignment horizontal="center"/>
    </xf>
    <xf numFmtId="9" fontId="4" fillId="0" borderId="1" xfId="0" applyNumberFormat="1" applyFont="1" applyBorder="1" applyAlignment="1">
      <alignment horizontal="center"/>
    </xf>
    <xf numFmtId="0" fontId="56" fillId="0" borderId="0" xfId="0" applyFont="1"/>
    <xf numFmtId="0" fontId="57" fillId="0" borderId="0" xfId="0" applyFont="1"/>
    <xf numFmtId="16" fontId="0" fillId="0" borderId="0" xfId="0" applyNumberFormat="1"/>
    <xf numFmtId="0" fontId="4" fillId="0" borderId="15" xfId="0" applyFont="1" applyFill="1" applyBorder="1" applyAlignment="1">
      <alignment horizontal="center"/>
    </xf>
    <xf numFmtId="3" fontId="4" fillId="0" borderId="15" xfId="0" quotePrefix="1" applyNumberFormat="1" applyFont="1" applyFill="1" applyBorder="1" applyAlignment="1">
      <alignment horizontal="right"/>
    </xf>
    <xf numFmtId="3" fontId="4" fillId="0" borderId="15" xfId="0" applyNumberFormat="1" applyFont="1" applyFill="1" applyBorder="1" applyAlignment="1">
      <alignment horizontal="center"/>
    </xf>
    <xf numFmtId="16" fontId="4" fillId="0" borderId="15" xfId="0" applyNumberFormat="1" applyFont="1" applyFill="1" applyBorder="1" applyAlignment="1">
      <alignment horizontal="center"/>
    </xf>
    <xf numFmtId="0" fontId="53" fillId="0" borderId="15" xfId="0" applyFont="1" applyFill="1" applyBorder="1" applyAlignment="1">
      <alignment horizontal="center"/>
    </xf>
    <xf numFmtId="0" fontId="13" fillId="0" borderId="0" xfId="0" applyFont="1" applyFill="1" applyBorder="1" applyAlignment="1">
      <alignment horizontal="center"/>
    </xf>
    <xf numFmtId="0" fontId="4" fillId="0" borderId="27" xfId="0" applyFont="1" applyFill="1" applyBorder="1" applyAlignment="1">
      <alignment horizontal="center"/>
    </xf>
    <xf numFmtId="0" fontId="32" fillId="0" borderId="27" xfId="0" applyFont="1" applyFill="1" applyBorder="1" applyAlignment="1">
      <alignment horizontal="center"/>
    </xf>
    <xf numFmtId="0" fontId="4" fillId="0" borderId="28" xfId="0" applyFont="1" applyFill="1" applyBorder="1" applyAlignment="1">
      <alignment horizontal="center"/>
    </xf>
    <xf numFmtId="0" fontId="4" fillId="0" borderId="29" xfId="0" applyFont="1" applyBorder="1" applyAlignment="1">
      <alignment horizontal="center"/>
    </xf>
    <xf numFmtId="0" fontId="4" fillId="0" borderId="30" xfId="0" applyFont="1" applyBorder="1" applyAlignment="1">
      <alignment horizontal="center"/>
    </xf>
    <xf numFmtId="9" fontId="4" fillId="0" borderId="31" xfId="0" applyNumberFormat="1" applyFont="1" applyBorder="1" applyAlignment="1">
      <alignment horizontal="center"/>
    </xf>
    <xf numFmtId="9" fontId="4" fillId="0" borderId="30" xfId="0" applyNumberFormat="1" applyFont="1" applyBorder="1" applyAlignment="1">
      <alignment horizontal="center"/>
    </xf>
    <xf numFmtId="14" fontId="44" fillId="0" borderId="2" xfId="0" applyNumberFormat="1" applyFont="1" applyFill="1" applyBorder="1" applyAlignment="1">
      <alignment horizontal="center"/>
    </xf>
    <xf numFmtId="0" fontId="4" fillId="0" borderId="32" xfId="0" applyFont="1" applyFill="1" applyBorder="1" applyAlignment="1">
      <alignment horizontal="center"/>
    </xf>
    <xf numFmtId="0" fontId="4" fillId="0" borderId="33" xfId="0" applyFont="1" applyFill="1" applyBorder="1" applyAlignment="1">
      <alignment horizontal="center"/>
    </xf>
    <xf numFmtId="16" fontId="44" fillId="0" borderId="1" xfId="0" applyNumberFormat="1" applyFont="1" applyFill="1" applyBorder="1" applyAlignment="1">
      <alignment horizontal="center"/>
    </xf>
    <xf numFmtId="0" fontId="44" fillId="0" borderId="1" xfId="0" applyFont="1" applyFill="1" applyBorder="1" applyAlignment="1">
      <alignment horizontal="right"/>
    </xf>
    <xf numFmtId="0" fontId="7" fillId="0" borderId="15" xfId="0" applyFont="1" applyFill="1" applyBorder="1"/>
    <xf numFmtId="0" fontId="32" fillId="0" borderId="2" xfId="0" applyFont="1" applyFill="1" applyBorder="1" applyAlignment="1">
      <alignment horizontal="left"/>
    </xf>
    <xf numFmtId="16" fontId="7" fillId="0" borderId="5" xfId="0" applyNumberFormat="1" applyFont="1" applyFill="1" applyBorder="1" applyAlignment="1">
      <alignment horizontal="center"/>
    </xf>
    <xf numFmtId="16" fontId="4" fillId="0" borderId="4" xfId="0" applyNumberFormat="1" applyFont="1" applyFill="1" applyBorder="1" applyAlignment="1">
      <alignment horizontal="center" vertical="center"/>
    </xf>
    <xf numFmtId="0" fontId="4" fillId="0" borderId="6" xfId="0" applyFont="1" applyFill="1" applyBorder="1" applyAlignment="1">
      <alignment horizontal="right"/>
    </xf>
    <xf numFmtId="16" fontId="32" fillId="0" borderId="34" xfId="0" applyNumberFormat="1" applyFont="1" applyFill="1" applyBorder="1" applyAlignment="1">
      <alignment horizontal="center"/>
    </xf>
    <xf numFmtId="0" fontId="4" fillId="0" borderId="13" xfId="0" applyFont="1" applyFill="1" applyBorder="1" applyAlignment="1">
      <alignment horizontal="center" vertical="center"/>
    </xf>
    <xf numFmtId="0" fontId="4" fillId="2" borderId="0" xfId="0" applyFont="1" applyFill="1" applyBorder="1"/>
    <xf numFmtId="0" fontId="32" fillId="2" borderId="0" xfId="0" applyFont="1" applyFill="1" applyBorder="1" applyAlignment="1">
      <alignment horizontal="center"/>
    </xf>
    <xf numFmtId="0" fontId="4" fillId="2" borderId="0" xfId="0" applyFont="1" applyFill="1" applyBorder="1" applyAlignment="1">
      <alignment horizontal="center"/>
    </xf>
    <xf numFmtId="16" fontId="4" fillId="0" borderId="5" xfId="0" applyNumberFormat="1" applyFont="1" applyFill="1" applyBorder="1" applyAlignment="1">
      <alignment horizontal="left"/>
    </xf>
    <xf numFmtId="16" fontId="4" fillId="0" borderId="12" xfId="0" applyNumberFormat="1" applyFont="1" applyFill="1" applyBorder="1" applyAlignment="1">
      <alignment horizontal="left"/>
    </xf>
    <xf numFmtId="0" fontId="4" fillId="0" borderId="12" xfId="0" applyFont="1" applyFill="1" applyBorder="1" applyAlignment="1">
      <alignment horizontal="center" vertical="center"/>
    </xf>
    <xf numFmtId="0" fontId="4" fillId="0" borderId="0" xfId="0" applyFont="1" applyAlignment="1"/>
    <xf numFmtId="0" fontId="4" fillId="0" borderId="0" xfId="0" applyFont="1" applyFill="1" applyAlignment="1"/>
    <xf numFmtId="0" fontId="4" fillId="0" borderId="2" xfId="0" applyFont="1" applyFill="1" applyBorder="1" applyAlignment="1"/>
    <xf numFmtId="0" fontId="4" fillId="0" borderId="1" xfId="0" applyFont="1" applyFill="1" applyBorder="1" applyAlignment="1"/>
    <xf numFmtId="0" fontId="4" fillId="0" borderId="3" xfId="0" applyFont="1" applyFill="1" applyBorder="1" applyAlignment="1"/>
    <xf numFmtId="0" fontId="4" fillId="0" borderId="0" xfId="0" applyFont="1" applyFill="1" applyBorder="1" applyAlignment="1"/>
    <xf numFmtId="0" fontId="14" fillId="0" borderId="2" xfId="0" applyFont="1" applyFill="1" applyBorder="1" applyAlignment="1"/>
    <xf numFmtId="0" fontId="14" fillId="0" borderId="3" xfId="0" applyFont="1" applyFill="1" applyBorder="1" applyAlignment="1"/>
    <xf numFmtId="0" fontId="14" fillId="0" borderId="1" xfId="0" applyFont="1" applyFill="1" applyBorder="1" applyAlignment="1"/>
    <xf numFmtId="0" fontId="14" fillId="0" borderId="0" xfId="0" applyFont="1" applyFill="1" applyBorder="1" applyAlignment="1"/>
    <xf numFmtId="14" fontId="18" fillId="0" borderId="12" xfId="0" applyNumberFormat="1" applyFont="1" applyFill="1" applyBorder="1" applyAlignment="1">
      <alignment horizontal="center"/>
    </xf>
    <xf numFmtId="16" fontId="42" fillId="0" borderId="12" xfId="0" applyNumberFormat="1" applyFont="1" applyFill="1" applyBorder="1" applyAlignment="1">
      <alignment horizontal="center"/>
    </xf>
    <xf numFmtId="0" fontId="41" fillId="0" borderId="14" xfId="0" applyFont="1" applyFill="1" applyBorder="1" applyAlignment="1">
      <alignment horizontal="center"/>
    </xf>
    <xf numFmtId="0" fontId="0" fillId="0" borderId="0" xfId="0" applyAlignment="1"/>
    <xf numFmtId="0" fontId="4" fillId="0" borderId="7" xfId="0" applyFont="1" applyFill="1" applyBorder="1" applyAlignment="1"/>
    <xf numFmtId="16" fontId="4" fillId="0" borderId="0" xfId="0" applyNumberFormat="1" applyFont="1" applyAlignment="1"/>
    <xf numFmtId="0" fontId="4" fillId="0" borderId="11" xfId="0" applyFont="1" applyFill="1" applyBorder="1" applyAlignment="1"/>
    <xf numFmtId="0" fontId="7" fillId="0" borderId="15" xfId="0" applyFont="1" applyFill="1" applyBorder="1" applyAlignment="1"/>
    <xf numFmtId="0" fontId="4" fillId="0" borderId="35" xfId="0" applyFont="1" applyFill="1" applyBorder="1"/>
    <xf numFmtId="0" fontId="4" fillId="0" borderId="36" xfId="0" applyFont="1" applyFill="1" applyBorder="1" applyAlignment="1">
      <alignment horizontal="center"/>
    </xf>
    <xf numFmtId="0" fontId="4" fillId="0" borderId="37" xfId="0" applyFont="1" applyFill="1" applyBorder="1"/>
    <xf numFmtId="1" fontId="4" fillId="0" borderId="2" xfId="0" applyNumberFormat="1" applyFont="1" applyFill="1" applyBorder="1" applyAlignment="1">
      <alignment horizontal="center"/>
    </xf>
    <xf numFmtId="0" fontId="53" fillId="0" borderId="13" xfId="0" applyFont="1" applyFill="1" applyBorder="1" applyAlignment="1">
      <alignment horizontal="center"/>
    </xf>
    <xf numFmtId="0" fontId="4" fillId="0" borderId="37" xfId="0" applyFont="1" applyFill="1" applyBorder="1" applyAlignment="1">
      <alignment horizontal="center"/>
    </xf>
    <xf numFmtId="0" fontId="32" fillId="0" borderId="13" xfId="0" applyFont="1" applyFill="1" applyBorder="1" applyAlignment="1">
      <alignment horizontal="center"/>
    </xf>
    <xf numFmtId="0" fontId="60" fillId="0" borderId="0" xfId="0" applyFont="1" applyFill="1" applyBorder="1" applyAlignment="1"/>
    <xf numFmtId="0" fontId="60" fillId="0" borderId="11" xfId="0" applyFont="1" applyFill="1" applyBorder="1" applyAlignment="1">
      <alignment horizontal="left" wrapText="1"/>
    </xf>
    <xf numFmtId="0" fontId="59" fillId="0" borderId="0" xfId="0" applyFont="1" applyFill="1" applyBorder="1" applyAlignment="1">
      <alignment horizontal="left" wrapText="1"/>
    </xf>
    <xf numFmtId="16" fontId="12" fillId="0" borderId="2" xfId="0" applyNumberFormat="1" applyFont="1" applyFill="1" applyBorder="1" applyAlignment="1">
      <alignment horizontal="center"/>
    </xf>
    <xf numFmtId="0" fontId="32" fillId="0" borderId="11" xfId="0" applyFont="1" applyFill="1" applyBorder="1" applyAlignment="1">
      <alignment horizontal="center"/>
    </xf>
    <xf numFmtId="0" fontId="4" fillId="0" borderId="2" xfId="0" quotePrefix="1" applyFont="1" applyFill="1" applyBorder="1" applyAlignment="1">
      <alignment horizontal="center"/>
    </xf>
    <xf numFmtId="0" fontId="4" fillId="0" borderId="5" xfId="0" quotePrefix="1" applyFont="1" applyFill="1" applyBorder="1" applyAlignment="1">
      <alignment horizontal="center"/>
    </xf>
    <xf numFmtId="0" fontId="7" fillId="2" borderId="0" xfId="0" applyFont="1" applyFill="1" applyBorder="1" applyAlignment="1">
      <alignment horizontal="center"/>
    </xf>
    <xf numFmtId="0" fontId="6" fillId="2" borderId="15" xfId="0" applyFont="1" applyFill="1" applyBorder="1" applyAlignment="1">
      <alignment horizontal="center"/>
    </xf>
    <xf numFmtId="3" fontId="6" fillId="2" borderId="15" xfId="0" applyNumberFormat="1" applyFont="1" applyFill="1" applyBorder="1" applyAlignment="1">
      <alignment horizontal="center"/>
    </xf>
    <xf numFmtId="0" fontId="7" fillId="2" borderId="15" xfId="0" applyFont="1" applyFill="1" applyBorder="1" applyAlignment="1">
      <alignment horizontal="center"/>
    </xf>
    <xf numFmtId="0" fontId="14" fillId="2" borderId="15" xfId="0" applyFont="1" applyFill="1" applyBorder="1" applyAlignment="1">
      <alignment horizontal="center"/>
    </xf>
    <xf numFmtId="1" fontId="7" fillId="2" borderId="15" xfId="0" quotePrefix="1" applyNumberFormat="1" applyFont="1" applyFill="1" applyBorder="1" applyAlignment="1">
      <alignment horizontal="center"/>
    </xf>
    <xf numFmtId="14" fontId="7" fillId="0" borderId="2" xfId="0" applyNumberFormat="1" applyFont="1" applyFill="1" applyBorder="1" applyAlignment="1">
      <alignment horizontal="center"/>
    </xf>
    <xf numFmtId="14" fontId="32" fillId="0" borderId="2" xfId="0" applyNumberFormat="1" applyFont="1" applyFill="1" applyBorder="1" applyAlignment="1">
      <alignment horizontal="center"/>
    </xf>
    <xf numFmtId="14" fontId="32" fillId="0" borderId="1" xfId="0" applyNumberFormat="1" applyFont="1" applyFill="1" applyBorder="1" applyAlignment="1">
      <alignment horizontal="center"/>
    </xf>
    <xf numFmtId="14" fontId="4" fillId="0" borderId="1" xfId="0" applyNumberFormat="1" applyFont="1" applyFill="1" applyBorder="1"/>
    <xf numFmtId="4" fontId="4" fillId="0" borderId="1" xfId="0" quotePrefix="1" applyNumberFormat="1" applyFont="1" applyFill="1" applyBorder="1" applyAlignment="1">
      <alignment horizontal="right"/>
    </xf>
    <xf numFmtId="3" fontId="4" fillId="0" borderId="0" xfId="0" applyNumberFormat="1" applyFont="1" applyAlignment="1">
      <alignment horizontal="center"/>
    </xf>
    <xf numFmtId="1" fontId="4" fillId="0" borderId="1" xfId="0" applyNumberFormat="1" applyFont="1" applyFill="1" applyBorder="1" applyAlignment="1">
      <alignment horizontal="center"/>
    </xf>
    <xf numFmtId="14" fontId="7" fillId="0" borderId="1" xfId="0" applyNumberFormat="1" applyFont="1" applyFill="1" applyBorder="1" applyAlignment="1">
      <alignment horizontal="center"/>
    </xf>
    <xf numFmtId="0" fontId="29" fillId="0" borderId="7" xfId="0" applyFont="1" applyFill="1" applyBorder="1" applyAlignment="1">
      <alignment horizontal="center"/>
    </xf>
    <xf numFmtId="16" fontId="12" fillId="0" borderId="1" xfId="0" applyNumberFormat="1" applyFont="1" applyFill="1" applyBorder="1" applyAlignment="1">
      <alignment horizontal="center"/>
    </xf>
    <xf numFmtId="14" fontId="12" fillId="0" borderId="2" xfId="0" applyNumberFormat="1" applyFont="1" applyFill="1" applyBorder="1" applyAlignment="1">
      <alignment horizontal="center"/>
    </xf>
    <xf numFmtId="4" fontId="4" fillId="0" borderId="1" xfId="0" applyNumberFormat="1" applyFont="1" applyFill="1" applyBorder="1" applyAlignment="1">
      <alignment horizontal="center"/>
    </xf>
    <xf numFmtId="14" fontId="4" fillId="0" borderId="1" xfId="0" quotePrefix="1" applyNumberFormat="1" applyFont="1" applyFill="1" applyBorder="1" applyAlignment="1">
      <alignment horizontal="center"/>
    </xf>
    <xf numFmtId="0" fontId="4" fillId="0" borderId="3" xfId="0" quotePrefix="1" applyFont="1" applyBorder="1" applyAlignment="1">
      <alignment horizontal="center"/>
    </xf>
    <xf numFmtId="14" fontId="4" fillId="0" borderId="7" xfId="0" applyNumberFormat="1" applyFont="1" applyFill="1" applyBorder="1" applyAlignment="1">
      <alignment horizontal="center"/>
    </xf>
    <xf numFmtId="0" fontId="32" fillId="0" borderId="7" xfId="0" applyFont="1" applyFill="1" applyBorder="1" applyAlignment="1">
      <alignment horizontal="center"/>
    </xf>
    <xf numFmtId="14" fontId="4" fillId="0" borderId="0" xfId="0" applyNumberFormat="1" applyFont="1" applyFill="1" applyBorder="1" applyAlignment="1">
      <alignment horizontal="center"/>
    </xf>
    <xf numFmtId="0" fontId="32" fillId="0" borderId="0" xfId="0" applyFont="1" applyFill="1" applyBorder="1" applyAlignment="1">
      <alignment horizontal="center"/>
    </xf>
    <xf numFmtId="0" fontId="18" fillId="0" borderId="2" xfId="0" applyFont="1" applyFill="1" applyBorder="1"/>
    <xf numFmtId="16" fontId="18" fillId="0" borderId="2" xfId="0" applyNumberFormat="1" applyFont="1" applyFill="1" applyBorder="1" applyAlignment="1">
      <alignment horizontal="center"/>
    </xf>
    <xf numFmtId="3" fontId="18" fillId="0" borderId="2" xfId="0" applyNumberFormat="1" applyFont="1" applyFill="1" applyBorder="1"/>
    <xf numFmtId="3" fontId="18" fillId="0" borderId="2" xfId="0" applyNumberFormat="1" applyFont="1" applyFill="1" applyBorder="1" applyAlignment="1">
      <alignment horizontal="center"/>
    </xf>
    <xf numFmtId="1" fontId="18" fillId="0" borderId="2" xfId="0" applyNumberFormat="1" applyFont="1" applyFill="1" applyBorder="1" applyAlignment="1">
      <alignment horizontal="center"/>
    </xf>
    <xf numFmtId="14" fontId="61" fillId="0" borderId="2" xfId="0" applyNumberFormat="1" applyFont="1" applyFill="1" applyBorder="1" applyAlignment="1">
      <alignment horizontal="center"/>
    </xf>
    <xf numFmtId="14" fontId="62" fillId="0" borderId="2" xfId="0" quotePrefix="1" applyNumberFormat="1" applyFont="1" applyFill="1" applyBorder="1" applyAlignment="1">
      <alignment horizontal="center"/>
    </xf>
    <xf numFmtId="0" fontId="18" fillId="0" borderId="5" xfId="0" quotePrefix="1" applyFont="1" applyFill="1" applyBorder="1" applyAlignment="1">
      <alignment horizontal="center"/>
    </xf>
    <xf numFmtId="0" fontId="18" fillId="0" borderId="9" xfId="0" applyFont="1" applyFill="1" applyBorder="1" applyAlignment="1">
      <alignment horizontal="center"/>
    </xf>
    <xf numFmtId="0" fontId="18" fillId="0" borderId="18" xfId="0" applyFont="1" applyFill="1" applyBorder="1" applyAlignment="1">
      <alignment horizontal="center"/>
    </xf>
    <xf numFmtId="0" fontId="18" fillId="0" borderId="1" xfId="0" applyFont="1" applyFill="1" applyBorder="1"/>
    <xf numFmtId="0" fontId="18" fillId="0" borderId="1" xfId="0" applyFont="1" applyFill="1" applyBorder="1" applyAlignment="1">
      <alignment horizontal="center"/>
    </xf>
    <xf numFmtId="3" fontId="18" fillId="0" borderId="1" xfId="0" quotePrefix="1" applyNumberFormat="1" applyFont="1" applyFill="1" applyBorder="1" applyAlignment="1">
      <alignment horizontal="right"/>
    </xf>
    <xf numFmtId="3" fontId="18" fillId="0" borderId="1" xfId="0" applyNumberFormat="1" applyFont="1" applyFill="1" applyBorder="1" applyAlignment="1">
      <alignment horizontal="center"/>
    </xf>
    <xf numFmtId="14" fontId="18" fillId="0" borderId="1" xfId="0" applyNumberFormat="1" applyFont="1" applyFill="1" applyBorder="1" applyAlignment="1">
      <alignment horizontal="center"/>
    </xf>
    <xf numFmtId="0" fontId="64" fillId="0" borderId="1" xfId="0" applyFont="1" applyFill="1" applyBorder="1" applyAlignment="1">
      <alignment horizontal="center"/>
    </xf>
    <xf numFmtId="0" fontId="18" fillId="0" borderId="6" xfId="0" applyFont="1" applyFill="1" applyBorder="1" applyAlignment="1">
      <alignment horizontal="center"/>
    </xf>
    <xf numFmtId="0" fontId="18" fillId="0" borderId="10" xfId="0" applyFont="1" applyFill="1" applyBorder="1" applyAlignment="1">
      <alignment horizontal="center"/>
    </xf>
    <xf numFmtId="0" fontId="18" fillId="0" borderId="19" xfId="0" applyFont="1" applyFill="1" applyBorder="1" applyAlignment="1">
      <alignment horizontal="center"/>
    </xf>
    <xf numFmtId="3" fontId="4" fillId="0" borderId="2" xfId="0" quotePrefix="1" applyNumberFormat="1" applyFont="1" applyFill="1" applyBorder="1" applyAlignment="1">
      <alignment horizontal="right"/>
    </xf>
    <xf numFmtId="14" fontId="32" fillId="0" borderId="7" xfId="0" applyNumberFormat="1" applyFont="1" applyFill="1" applyBorder="1" applyAlignment="1">
      <alignment horizontal="center"/>
    </xf>
    <xf numFmtId="0" fontId="12" fillId="0" borderId="35" xfId="0" applyFont="1" applyFill="1" applyBorder="1"/>
    <xf numFmtId="0" fontId="12" fillId="0" borderId="6" xfId="0" applyFont="1" applyFill="1" applyBorder="1"/>
    <xf numFmtId="0" fontId="12" fillId="0" borderId="7" xfId="0" applyFont="1" applyFill="1" applyBorder="1"/>
    <xf numFmtId="0" fontId="12" fillId="0" borderId="7" xfId="0" applyFont="1" applyFill="1" applyBorder="1" applyAlignment="1">
      <alignment horizontal="center"/>
    </xf>
    <xf numFmtId="3" fontId="12" fillId="0" borderId="7" xfId="0" quotePrefix="1" applyNumberFormat="1" applyFont="1" applyFill="1" applyBorder="1" applyAlignment="1">
      <alignment horizontal="right"/>
    </xf>
    <xf numFmtId="3" fontId="12" fillId="0" borderId="7" xfId="0" applyNumberFormat="1" applyFont="1" applyFill="1" applyBorder="1" applyAlignment="1">
      <alignment horizontal="center"/>
    </xf>
    <xf numFmtId="16" fontId="12" fillId="0" borderId="7" xfId="0" applyNumberFormat="1" applyFont="1" applyFill="1" applyBorder="1" applyAlignment="1">
      <alignment horizontal="center"/>
    </xf>
    <xf numFmtId="14" fontId="12" fillId="0" borderId="7" xfId="0" applyNumberFormat="1" applyFont="1" applyFill="1" applyBorder="1" applyAlignment="1">
      <alignment horizontal="center"/>
    </xf>
    <xf numFmtId="16" fontId="12" fillId="0" borderId="13" xfId="0" applyNumberFormat="1" applyFont="1" applyFill="1" applyBorder="1" applyAlignment="1">
      <alignment horizontal="center"/>
    </xf>
    <xf numFmtId="0" fontId="12" fillId="0" borderId="37" xfId="0" applyFont="1" applyFill="1" applyBorder="1"/>
    <xf numFmtId="0" fontId="12" fillId="0" borderId="0" xfId="0" applyFont="1" applyFill="1"/>
    <xf numFmtId="0" fontId="12" fillId="0" borderId="1" xfId="0" applyFont="1" applyFill="1" applyBorder="1"/>
    <xf numFmtId="3" fontId="4" fillId="0" borderId="37" xfId="0" applyNumberFormat="1" applyFont="1" applyFill="1" applyBorder="1"/>
    <xf numFmtId="0" fontId="32" fillId="0" borderId="1" xfId="0" applyFont="1" applyFill="1" applyBorder="1"/>
    <xf numFmtId="14" fontId="12" fillId="0" borderId="1" xfId="0" applyNumberFormat="1" applyFont="1" applyFill="1" applyBorder="1" applyAlignment="1">
      <alignment horizontal="center"/>
    </xf>
    <xf numFmtId="14" fontId="32" fillId="0" borderId="2" xfId="0" quotePrefix="1" applyNumberFormat="1" applyFont="1" applyFill="1" applyBorder="1" applyAlignment="1">
      <alignment horizontal="center"/>
    </xf>
    <xf numFmtId="14" fontId="7" fillId="0" borderId="3" xfId="0" applyNumberFormat="1" applyFont="1" applyFill="1" applyBorder="1" applyAlignment="1">
      <alignment horizontal="center"/>
    </xf>
    <xf numFmtId="0" fontId="4" fillId="0" borderId="1" xfId="0" applyFont="1" applyFill="1" applyBorder="1" applyAlignment="1">
      <alignment horizontal="left"/>
    </xf>
    <xf numFmtId="0" fontId="32" fillId="0" borderId="2" xfId="0" applyFont="1" applyFill="1" applyBorder="1"/>
    <xf numFmtId="164" fontId="4" fillId="0" borderId="2" xfId="0" applyNumberFormat="1" applyFont="1" applyFill="1" applyBorder="1" applyAlignment="1">
      <alignment horizontal="center"/>
    </xf>
    <xf numFmtId="14" fontId="32" fillId="0" borderId="1" xfId="0" quotePrefix="1" applyNumberFormat="1" applyFont="1" applyFill="1" applyBorder="1" applyAlignment="1">
      <alignment horizontal="center"/>
    </xf>
    <xf numFmtId="1" fontId="4" fillId="2" borderId="15" xfId="0" quotePrefix="1" applyNumberFormat="1" applyFont="1" applyFill="1" applyBorder="1" applyAlignment="1">
      <alignment horizontal="center"/>
    </xf>
    <xf numFmtId="0" fontId="4" fillId="2" borderId="37" xfId="0" applyFont="1" applyFill="1" applyBorder="1" applyAlignment="1">
      <alignment vertical="center"/>
    </xf>
    <xf numFmtId="0" fontId="4" fillId="0" borderId="0" xfId="0" applyFont="1" applyAlignment="1">
      <alignment vertical="center"/>
    </xf>
    <xf numFmtId="0" fontId="4" fillId="2" borderId="35" xfId="0" applyFont="1" applyFill="1" applyBorder="1" applyAlignment="1">
      <alignment vertical="center"/>
    </xf>
    <xf numFmtId="0" fontId="4" fillId="0" borderId="0" xfId="0" applyFont="1" applyFill="1" applyAlignment="1">
      <alignment horizontal="center" vertical="center"/>
    </xf>
    <xf numFmtId="0" fontId="4" fillId="2" borderId="0" xfId="0" applyFont="1" applyFill="1" applyAlignment="1">
      <alignment vertical="center"/>
    </xf>
    <xf numFmtId="0" fontId="4" fillId="7" borderId="38" xfId="0" applyFont="1" applyFill="1" applyBorder="1" applyAlignment="1">
      <alignment vertical="center"/>
    </xf>
    <xf numFmtId="16" fontId="4" fillId="7" borderId="38" xfId="0" applyNumberFormat="1" applyFont="1" applyFill="1" applyBorder="1" applyAlignment="1">
      <alignment horizontal="center" vertical="center"/>
    </xf>
    <xf numFmtId="14" fontId="4" fillId="8" borderId="38" xfId="0" applyNumberFormat="1" applyFont="1" applyFill="1" applyBorder="1" applyAlignment="1">
      <alignment horizontal="center" vertical="center"/>
    </xf>
    <xf numFmtId="1" fontId="4" fillId="8" borderId="38" xfId="0" applyNumberFormat="1" applyFont="1" applyFill="1" applyBorder="1" applyAlignment="1">
      <alignment horizontal="center" vertical="center"/>
    </xf>
    <xf numFmtId="0" fontId="4" fillId="6" borderId="38" xfId="0" applyFont="1" applyFill="1" applyBorder="1" applyAlignment="1">
      <alignment vertical="center"/>
    </xf>
    <xf numFmtId="16" fontId="4" fillId="6" borderId="38" xfId="0" applyNumberFormat="1" applyFont="1" applyFill="1" applyBorder="1" applyAlignment="1">
      <alignment horizontal="center" vertical="center"/>
    </xf>
    <xf numFmtId="0" fontId="4" fillId="6" borderId="38" xfId="0" applyFont="1" applyFill="1" applyBorder="1" applyAlignment="1">
      <alignment horizontal="center" vertical="center"/>
    </xf>
    <xf numFmtId="3" fontId="4" fillId="6" borderId="38" xfId="0" applyNumberFormat="1" applyFont="1" applyFill="1" applyBorder="1" applyAlignment="1">
      <alignment vertical="center"/>
    </xf>
    <xf numFmtId="3" fontId="4" fillId="6" borderId="38" xfId="0" applyNumberFormat="1" applyFont="1" applyFill="1" applyBorder="1" applyAlignment="1">
      <alignment horizontal="center" vertical="center"/>
    </xf>
    <xf numFmtId="14" fontId="4" fillId="6" borderId="38" xfId="0" applyNumberFormat="1" applyFont="1" applyFill="1" applyBorder="1" applyAlignment="1">
      <alignment horizontal="center" vertical="center"/>
    </xf>
    <xf numFmtId="1" fontId="4" fillId="6" borderId="38" xfId="0" applyNumberFormat="1" applyFont="1" applyFill="1" applyBorder="1" applyAlignment="1">
      <alignment horizontal="center" vertical="center"/>
    </xf>
    <xf numFmtId="14" fontId="7" fillId="6" borderId="38" xfId="0" applyNumberFormat="1" applyFont="1" applyFill="1" applyBorder="1" applyAlignment="1">
      <alignment horizontal="center" vertical="center"/>
    </xf>
    <xf numFmtId="0" fontId="4" fillId="6" borderId="39" xfId="0" applyFont="1" applyFill="1" applyBorder="1" applyAlignment="1">
      <alignment horizontal="center" vertical="center"/>
    </xf>
    <xf numFmtId="0" fontId="4" fillId="2" borderId="0" xfId="0" applyFont="1" applyFill="1" applyBorder="1" applyAlignment="1">
      <alignment horizontal="left"/>
    </xf>
    <xf numFmtId="0" fontId="6" fillId="2" borderId="15" xfId="0" applyFont="1" applyFill="1" applyBorder="1" applyAlignment="1">
      <alignment horizontal="left"/>
    </xf>
    <xf numFmtId="0" fontId="4" fillId="2" borderId="40" xfId="0" applyFont="1" applyFill="1" applyBorder="1"/>
    <xf numFmtId="0" fontId="4" fillId="2" borderId="40" xfId="0" applyFont="1" applyFill="1" applyBorder="1" applyAlignment="1">
      <alignment horizontal="center"/>
    </xf>
    <xf numFmtId="3" fontId="4" fillId="2" borderId="40" xfId="0" applyNumberFormat="1" applyFont="1" applyFill="1" applyBorder="1"/>
    <xf numFmtId="4" fontId="7" fillId="2" borderId="40" xfId="0" applyNumberFormat="1" applyFont="1" applyFill="1" applyBorder="1" applyAlignment="1">
      <alignment horizontal="center"/>
    </xf>
    <xf numFmtId="3" fontId="4" fillId="2" borderId="40" xfId="0" applyNumberFormat="1" applyFont="1" applyFill="1" applyBorder="1" applyAlignment="1">
      <alignment horizontal="center"/>
    </xf>
    <xf numFmtId="0" fontId="4" fillId="2" borderId="40" xfId="0" applyFont="1" applyFill="1" applyBorder="1" applyAlignment="1">
      <alignment horizontal="left"/>
    </xf>
    <xf numFmtId="0" fontId="4" fillId="0" borderId="0" xfId="0" applyFont="1" applyAlignment="1">
      <alignment horizontal="left"/>
    </xf>
    <xf numFmtId="0" fontId="4" fillId="6" borderId="38" xfId="0" applyFont="1" applyFill="1" applyBorder="1" applyAlignment="1">
      <alignment horizontal="center" vertical="center" wrapText="1"/>
    </xf>
    <xf numFmtId="0" fontId="4" fillId="7" borderId="38" xfId="0" applyFont="1" applyFill="1" applyBorder="1" applyAlignment="1">
      <alignment horizontal="center" vertical="center" wrapText="1"/>
    </xf>
    <xf numFmtId="0" fontId="6" fillId="2" borderId="35" xfId="0" applyFont="1" applyFill="1" applyBorder="1" applyAlignment="1">
      <alignment vertical="center" wrapText="1"/>
    </xf>
    <xf numFmtId="0" fontId="4" fillId="2" borderId="37" xfId="0" applyFont="1" applyFill="1" applyBorder="1" applyAlignment="1">
      <alignment vertical="center" wrapText="1"/>
    </xf>
    <xf numFmtId="0" fontId="4" fillId="0" borderId="0" xfId="0" applyFont="1" applyAlignment="1">
      <alignment vertical="center" wrapText="1"/>
    </xf>
    <xf numFmtId="0" fontId="6" fillId="0" borderId="0" xfId="0" applyFont="1" applyAlignment="1">
      <alignment vertical="center" wrapText="1"/>
    </xf>
    <xf numFmtId="0" fontId="4" fillId="0" borderId="4" xfId="0" applyFont="1" applyFill="1" applyBorder="1" applyAlignment="1">
      <alignment horizontal="center" vertical="center"/>
    </xf>
    <xf numFmtId="0" fontId="4" fillId="0" borderId="14" xfId="0" applyFont="1" applyFill="1" applyBorder="1" applyAlignment="1">
      <alignment horizontal="center" vertical="center"/>
    </xf>
    <xf numFmtId="0" fontId="4" fillId="0" borderId="5" xfId="0" applyFont="1" applyFill="1" applyBorder="1" applyAlignment="1">
      <alignment horizontal="center" vertical="center"/>
    </xf>
    <xf numFmtId="0" fontId="4" fillId="0" borderId="6" xfId="0" applyFont="1" applyFill="1" applyBorder="1" applyAlignment="1">
      <alignment horizontal="center" vertical="center"/>
    </xf>
    <xf numFmtId="0" fontId="4" fillId="0" borderId="3" xfId="0" applyFont="1" applyFill="1" applyBorder="1" applyAlignment="1">
      <alignment horizontal="center" vertical="center" wrapText="1"/>
    </xf>
    <xf numFmtId="0" fontId="63" fillId="0" borderId="2" xfId="0" applyFont="1" applyFill="1" applyBorder="1" applyAlignment="1">
      <alignment horizontal="center"/>
    </xf>
    <xf numFmtId="0" fontId="12" fillId="0" borderId="3" xfId="0" applyFont="1" applyFill="1" applyBorder="1" applyAlignment="1">
      <alignment horizontal="center"/>
    </xf>
    <xf numFmtId="0" fontId="17" fillId="0" borderId="2" xfId="0" applyFont="1" applyFill="1" applyBorder="1" applyAlignment="1">
      <alignment horizontal="center"/>
    </xf>
    <xf numFmtId="0" fontId="17" fillId="0" borderId="1" xfId="0" applyFont="1" applyFill="1" applyBorder="1" applyAlignment="1">
      <alignment horizontal="center"/>
    </xf>
    <xf numFmtId="0" fontId="6" fillId="9" borderId="38" xfId="0" applyFont="1" applyFill="1" applyBorder="1" applyAlignment="1">
      <alignment horizontal="center" vertical="center" wrapText="1"/>
    </xf>
    <xf numFmtId="0" fontId="6" fillId="9" borderId="41" xfId="0" applyFont="1" applyFill="1" applyBorder="1" applyAlignment="1">
      <alignment horizontal="center" vertical="center" wrapText="1"/>
    </xf>
    <xf numFmtId="3" fontId="6" fillId="9" borderId="38" xfId="0" applyNumberFormat="1" applyFont="1" applyFill="1" applyBorder="1" applyAlignment="1">
      <alignment horizontal="center" vertical="center" wrapText="1"/>
    </xf>
    <xf numFmtId="0" fontId="6" fillId="9" borderId="15" xfId="0" applyFont="1" applyFill="1" applyBorder="1" applyAlignment="1">
      <alignment horizontal="center" vertical="center" wrapText="1"/>
    </xf>
    <xf numFmtId="0" fontId="4" fillId="0" borderId="38" xfId="0" applyFont="1" applyFill="1" applyBorder="1" applyAlignment="1">
      <alignment vertical="center"/>
    </xf>
    <xf numFmtId="16" fontId="4" fillId="0" borderId="38" xfId="0" applyNumberFormat="1" applyFont="1" applyFill="1" applyBorder="1" applyAlignment="1">
      <alignment horizontal="center" vertical="center"/>
    </xf>
    <xf numFmtId="0" fontId="4" fillId="0" borderId="38" xfId="0" applyFont="1" applyFill="1" applyBorder="1" applyAlignment="1">
      <alignment horizontal="center" vertical="center"/>
    </xf>
    <xf numFmtId="3" fontId="4" fillId="0" borderId="38" xfId="0" applyNumberFormat="1" applyFont="1" applyFill="1" applyBorder="1" applyAlignment="1">
      <alignment vertical="center"/>
    </xf>
    <xf numFmtId="3" fontId="4" fillId="0" borderId="38" xfId="0" applyNumberFormat="1" applyFont="1" applyFill="1" applyBorder="1" applyAlignment="1">
      <alignment horizontal="center" vertical="center"/>
    </xf>
    <xf numFmtId="14" fontId="4" fillId="0" borderId="38" xfId="0" applyNumberFormat="1" applyFont="1" applyFill="1" applyBorder="1" applyAlignment="1">
      <alignment horizontal="center" vertical="center"/>
    </xf>
    <xf numFmtId="1" fontId="4" fillId="0" borderId="38" xfId="0" applyNumberFormat="1" applyFont="1" applyFill="1" applyBorder="1" applyAlignment="1">
      <alignment horizontal="center" vertical="center"/>
    </xf>
    <xf numFmtId="14" fontId="7" fillId="0" borderId="38" xfId="0" applyNumberFormat="1" applyFont="1" applyFill="1" applyBorder="1" applyAlignment="1">
      <alignment horizontal="center" vertical="center"/>
    </xf>
    <xf numFmtId="14" fontId="4" fillId="0" borderId="38" xfId="0" quotePrefix="1" applyNumberFormat="1" applyFont="1" applyFill="1" applyBorder="1" applyAlignment="1">
      <alignment horizontal="center" vertical="center"/>
    </xf>
    <xf numFmtId="14" fontId="32" fillId="0" borderId="38" xfId="0" quotePrefix="1"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34" xfId="0" quotePrefix="1" applyFont="1" applyFill="1" applyBorder="1" applyAlignment="1">
      <alignment horizontal="center" vertical="center"/>
    </xf>
    <xf numFmtId="0" fontId="4" fillId="0" borderId="39" xfId="0" applyFont="1" applyFill="1" applyBorder="1" applyAlignment="1">
      <alignment horizontal="center" vertical="center"/>
    </xf>
    <xf numFmtId="0" fontId="4" fillId="0" borderId="38" xfId="0" applyFont="1" applyFill="1" applyBorder="1" applyAlignment="1">
      <alignment horizontal="center" vertical="center" wrapText="1"/>
    </xf>
    <xf numFmtId="0" fontId="18" fillId="0" borderId="34" xfId="0" applyFont="1" applyFill="1" applyBorder="1" applyAlignment="1">
      <alignment horizontal="center" vertical="center" wrapText="1"/>
    </xf>
    <xf numFmtId="14" fontId="4" fillId="0" borderId="38" xfId="0" applyNumberFormat="1" applyFont="1" applyFill="1" applyBorder="1" applyAlignment="1">
      <alignment horizontal="left" vertical="center" wrapText="1"/>
    </xf>
    <xf numFmtId="14" fontId="32" fillId="0" borderId="38" xfId="0" applyNumberFormat="1" applyFont="1" applyFill="1" applyBorder="1" applyAlignment="1">
      <alignment horizontal="center" vertical="center"/>
    </xf>
    <xf numFmtId="0" fontId="4" fillId="0" borderId="34" xfId="0" applyFont="1" applyFill="1" applyBorder="1" applyAlignment="1">
      <alignment horizontal="center" vertical="center"/>
    </xf>
    <xf numFmtId="14" fontId="12" fillId="0" borderId="38" xfId="0" applyNumberFormat="1" applyFont="1" applyFill="1" applyBorder="1" applyAlignment="1">
      <alignment horizontal="center" vertical="center"/>
    </xf>
    <xf numFmtId="0" fontId="4" fillId="0" borderId="38" xfId="0" applyFont="1" applyFill="1" applyBorder="1" applyAlignment="1">
      <alignment horizontal="left" vertical="center"/>
    </xf>
    <xf numFmtId="0" fontId="4" fillId="0" borderId="38" xfId="0" applyFont="1" applyBorder="1" applyAlignment="1">
      <alignment vertical="center" wrapText="1"/>
    </xf>
    <xf numFmtId="0" fontId="4" fillId="0" borderId="38" xfId="0" applyFont="1" applyFill="1" applyBorder="1" applyAlignment="1">
      <alignment horizontal="left" vertical="center" wrapText="1"/>
    </xf>
    <xf numFmtId="14" fontId="12" fillId="0" borderId="38" xfId="0" applyNumberFormat="1" applyFont="1" applyFill="1" applyBorder="1" applyAlignment="1">
      <alignment horizontal="center" vertical="center" wrapText="1"/>
    </xf>
    <xf numFmtId="16" fontId="7" fillId="0" borderId="38" xfId="0" applyNumberFormat="1" applyFont="1" applyFill="1" applyBorder="1" applyAlignment="1">
      <alignment horizontal="center" vertical="center"/>
    </xf>
    <xf numFmtId="0" fontId="14" fillId="0" borderId="38" xfId="0" applyFont="1" applyFill="1" applyBorder="1" applyAlignment="1">
      <alignment horizontal="center" vertical="center"/>
    </xf>
    <xf numFmtId="0" fontId="14" fillId="0" borderId="39" xfId="0" applyFont="1" applyFill="1" applyBorder="1" applyAlignment="1">
      <alignment horizontal="center" vertical="center"/>
    </xf>
    <xf numFmtId="0" fontId="7" fillId="0" borderId="38" xfId="0" applyFont="1" applyFill="1" applyBorder="1" applyAlignment="1">
      <alignment horizontal="center" vertical="center"/>
    </xf>
    <xf numFmtId="0" fontId="4" fillId="0" borderId="39" xfId="0" applyFont="1" applyFill="1" applyBorder="1" applyAlignment="1">
      <alignment vertical="center"/>
    </xf>
    <xf numFmtId="0" fontId="14" fillId="0" borderId="0" xfId="0" applyFont="1" applyFill="1" applyAlignment="1">
      <alignment vertical="center"/>
    </xf>
    <xf numFmtId="16" fontId="14" fillId="0" borderId="38" xfId="0" applyNumberFormat="1" applyFont="1" applyFill="1" applyBorder="1" applyAlignment="1">
      <alignment horizontal="center" vertical="center"/>
    </xf>
    <xf numFmtId="3" fontId="4" fillId="0" borderId="38" xfId="0" applyNumberFormat="1" applyFont="1" applyFill="1" applyBorder="1" applyAlignment="1">
      <alignment horizontal="right" vertical="center"/>
    </xf>
    <xf numFmtId="15" fontId="7" fillId="0" borderId="38" xfId="0" applyNumberFormat="1" applyFont="1" applyFill="1" applyBorder="1" applyAlignment="1">
      <alignment horizontal="center" vertical="center"/>
    </xf>
    <xf numFmtId="0" fontId="18" fillId="0" borderId="38" xfId="0" applyFont="1" applyFill="1" applyBorder="1" applyAlignment="1">
      <alignment horizontal="center" vertical="center"/>
    </xf>
    <xf numFmtId="0" fontId="7" fillId="0" borderId="38" xfId="0" applyFont="1" applyFill="1" applyBorder="1" applyAlignment="1">
      <alignment horizontal="center" vertical="center" wrapText="1"/>
    </xf>
    <xf numFmtId="0" fontId="32" fillId="0" borderId="38" xfId="0" applyFont="1" applyFill="1" applyBorder="1" applyAlignment="1">
      <alignment horizontal="center" vertical="center"/>
    </xf>
    <xf numFmtId="16" fontId="32" fillId="0" borderId="38" xfId="0" applyNumberFormat="1" applyFont="1" applyFill="1" applyBorder="1" applyAlignment="1">
      <alignment horizontal="center" vertical="center"/>
    </xf>
    <xf numFmtId="0" fontId="4" fillId="0" borderId="43" xfId="0" applyFont="1" applyFill="1" applyBorder="1" applyAlignment="1">
      <alignment horizontal="center" vertical="center"/>
    </xf>
    <xf numFmtId="15" fontId="4" fillId="0" borderId="38" xfId="0" applyNumberFormat="1" applyFont="1" applyFill="1" applyBorder="1" applyAlignment="1">
      <alignment horizontal="left" vertical="center" wrapText="1"/>
    </xf>
    <xf numFmtId="0" fontId="4" fillId="0" borderId="38" xfId="0" quotePrefix="1" applyFont="1" applyFill="1" applyBorder="1" applyAlignment="1">
      <alignment horizontal="center" vertical="center"/>
    </xf>
    <xf numFmtId="0" fontId="4" fillId="0" borderId="38" xfId="0" applyFont="1" applyFill="1" applyBorder="1" applyAlignment="1">
      <alignment vertical="center" wrapText="1"/>
    </xf>
    <xf numFmtId="0" fontId="4" fillId="0" borderId="35" xfId="0" applyFont="1" applyFill="1" applyBorder="1" applyAlignment="1">
      <alignment horizontal="left"/>
    </xf>
    <xf numFmtId="16" fontId="4" fillId="0" borderId="38" xfId="0" applyNumberFormat="1" applyFont="1" applyFill="1" applyBorder="1" applyAlignment="1">
      <alignment horizontal="left" vertical="center"/>
    </xf>
    <xf numFmtId="1" fontId="4" fillId="0" borderId="38" xfId="0" applyNumberFormat="1" applyFont="1" applyFill="1" applyBorder="1" applyAlignment="1">
      <alignment horizontal="left" vertical="center"/>
    </xf>
    <xf numFmtId="0" fontId="4" fillId="0" borderId="39" xfId="0" applyFont="1" applyFill="1" applyBorder="1" applyAlignment="1">
      <alignment horizontal="left" vertical="center"/>
    </xf>
    <xf numFmtId="16" fontId="4" fillId="0" borderId="38" xfId="0" applyNumberFormat="1" applyFont="1" applyFill="1" applyBorder="1" applyAlignment="1">
      <alignment horizontal="left" vertical="center" wrapText="1"/>
    </xf>
    <xf numFmtId="0" fontId="4" fillId="0" borderId="0" xfId="0" applyFont="1" applyFill="1" applyAlignment="1">
      <alignment horizontal="left"/>
    </xf>
    <xf numFmtId="16" fontId="4" fillId="0" borderId="38" xfId="0" applyNumberFormat="1" applyFont="1" applyFill="1" applyBorder="1" applyAlignment="1">
      <alignment horizontal="center" vertical="center" wrapText="1"/>
    </xf>
    <xf numFmtId="0" fontId="60" fillId="0" borderId="0" xfId="0" applyFont="1" applyFill="1" applyBorder="1" applyAlignment="1">
      <alignment horizontal="left" wrapText="1"/>
    </xf>
    <xf numFmtId="14" fontId="12" fillId="0" borderId="38" xfId="0" quotePrefix="1" applyNumberFormat="1" applyFont="1" applyFill="1" applyBorder="1" applyAlignment="1">
      <alignment horizontal="center" vertical="center"/>
    </xf>
    <xf numFmtId="3" fontId="4" fillId="0" borderId="3" xfId="0" quotePrefix="1" applyNumberFormat="1" applyFont="1" applyFill="1" applyBorder="1" applyAlignment="1">
      <alignment horizontal="right"/>
    </xf>
    <xf numFmtId="0" fontId="4" fillId="0" borderId="5" xfId="0" applyFont="1" applyFill="1" applyBorder="1" applyAlignment="1">
      <alignment vertical="center" wrapText="1"/>
    </xf>
    <xf numFmtId="9" fontId="7" fillId="0" borderId="0" xfId="2" applyFont="1" applyAlignment="1">
      <alignment horizontal="center"/>
    </xf>
    <xf numFmtId="15" fontId="4" fillId="0" borderId="2" xfId="0" applyNumberFormat="1" applyFont="1" applyFill="1" applyBorder="1" applyAlignment="1">
      <alignment horizontal="center"/>
    </xf>
    <xf numFmtId="0" fontId="12" fillId="0" borderId="2" xfId="0" applyFont="1" applyFill="1" applyBorder="1" applyAlignment="1">
      <alignment horizontal="left" wrapText="1"/>
    </xf>
    <xf numFmtId="0" fontId="12" fillId="0" borderId="1" xfId="0" applyFont="1" applyBorder="1" applyAlignment="1">
      <alignment horizontal="left" wrapText="1"/>
    </xf>
    <xf numFmtId="0" fontId="12" fillId="0" borderId="1" xfId="0" applyFont="1" applyFill="1" applyBorder="1" applyAlignment="1">
      <alignment horizontal="left"/>
    </xf>
    <xf numFmtId="15" fontId="12" fillId="0" borderId="2" xfId="0" applyNumberFormat="1" applyFont="1" applyFill="1" applyBorder="1" applyAlignment="1">
      <alignment horizontal="center"/>
    </xf>
    <xf numFmtId="0" fontId="4" fillId="0" borderId="3" xfId="0" applyFont="1" applyFill="1" applyBorder="1" applyAlignment="1">
      <alignment horizontal="center" wrapText="1"/>
    </xf>
    <xf numFmtId="16" fontId="17" fillId="3" borderId="2" xfId="0" applyNumberFormat="1" applyFont="1" applyFill="1" applyBorder="1" applyAlignment="1">
      <alignment horizontal="center"/>
    </xf>
    <xf numFmtId="16" fontId="17" fillId="0" borderId="2" xfId="0" applyNumberFormat="1" applyFont="1" applyFill="1" applyBorder="1" applyAlignment="1">
      <alignment horizontal="center"/>
    </xf>
    <xf numFmtId="15" fontId="4" fillId="0" borderId="2" xfId="0" applyNumberFormat="1" applyFont="1" applyBorder="1" applyAlignment="1">
      <alignment horizontal="center"/>
    </xf>
    <xf numFmtId="15" fontId="4" fillId="0" borderId="3" xfId="0" applyNumberFormat="1" applyFont="1" applyBorder="1" applyAlignment="1">
      <alignment horizontal="center"/>
    </xf>
    <xf numFmtId="15" fontId="4" fillId="0" borderId="1" xfId="0" applyNumberFormat="1" applyFont="1" applyBorder="1" applyAlignment="1">
      <alignment horizontal="center"/>
    </xf>
    <xf numFmtId="15" fontId="12" fillId="0" borderId="2" xfId="0" applyNumberFormat="1" applyFont="1" applyBorder="1" applyAlignment="1"/>
    <xf numFmtId="15" fontId="4" fillId="0" borderId="1" xfId="0" applyNumberFormat="1" applyFont="1" applyFill="1" applyBorder="1" applyAlignment="1">
      <alignment horizontal="center"/>
    </xf>
    <xf numFmtId="15" fontId="4" fillId="0" borderId="3" xfId="0" applyNumberFormat="1" applyFont="1" applyFill="1" applyBorder="1" applyAlignment="1">
      <alignment horizontal="center"/>
    </xf>
    <xf numFmtId="15" fontId="12" fillId="0" borderId="1" xfId="0" applyNumberFormat="1" applyFont="1" applyFill="1" applyBorder="1" applyAlignment="1"/>
    <xf numFmtId="15" fontId="12" fillId="0" borderId="3" xfId="0" applyNumberFormat="1" applyFont="1" applyFill="1" applyBorder="1" applyAlignment="1"/>
    <xf numFmtId="15" fontId="4" fillId="0" borderId="0" xfId="0" applyNumberFormat="1" applyFont="1" applyFill="1" applyBorder="1" applyAlignment="1">
      <alignment horizontal="center"/>
    </xf>
    <xf numFmtId="15" fontId="12" fillId="0" borderId="3" xfId="0" applyNumberFormat="1" applyFont="1" applyFill="1" applyBorder="1" applyAlignment="1">
      <alignment horizontal="center"/>
    </xf>
    <xf numFmtId="15" fontId="12" fillId="0" borderId="1" xfId="0" applyNumberFormat="1" applyFont="1" applyFill="1" applyBorder="1" applyAlignment="1">
      <alignment horizontal="center"/>
    </xf>
    <xf numFmtId="15" fontId="12" fillId="0" borderId="15" xfId="0" applyNumberFormat="1" applyFont="1" applyFill="1" applyBorder="1" applyAlignment="1">
      <alignment horizontal="center"/>
    </xf>
    <xf numFmtId="0" fontId="39" fillId="0" borderId="1" xfId="0" applyFont="1" applyFill="1" applyBorder="1" applyAlignment="1">
      <alignment horizontal="center"/>
    </xf>
    <xf numFmtId="0" fontId="67" fillId="0" borderId="2" xfId="0" applyFont="1" applyFill="1" applyBorder="1" applyAlignment="1">
      <alignment horizontal="center"/>
    </xf>
    <xf numFmtId="16" fontId="67" fillId="0" borderId="2" xfId="0" applyNumberFormat="1" applyFont="1" applyFill="1" applyBorder="1" applyAlignment="1">
      <alignment horizontal="center"/>
    </xf>
    <xf numFmtId="3" fontId="4" fillId="0" borderId="13" xfId="0" applyNumberFormat="1" applyFont="1" applyFill="1" applyBorder="1" applyAlignment="1">
      <alignment horizontal="right"/>
    </xf>
    <xf numFmtId="0" fontId="4" fillId="0" borderId="2"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12" fillId="0" borderId="0" xfId="0" applyFont="1" applyFill="1" applyBorder="1"/>
    <xf numFmtId="0" fontId="12" fillId="0" borderId="15" xfId="0" applyFont="1" applyBorder="1"/>
    <xf numFmtId="0" fontId="12" fillId="0" borderId="15" xfId="0" applyFont="1" applyBorder="1" applyAlignment="1">
      <alignment horizontal="center"/>
    </xf>
    <xf numFmtId="0" fontId="12" fillId="0" borderId="0" xfId="0" applyFont="1" applyAlignment="1">
      <alignment horizontal="center"/>
    </xf>
    <xf numFmtId="0" fontId="12" fillId="0" borderId="0" xfId="0" applyFont="1"/>
    <xf numFmtId="16" fontId="4" fillId="0" borderId="2" xfId="0" applyNumberFormat="1" applyFont="1" applyFill="1" applyBorder="1" applyAlignment="1">
      <alignment horizontal="center" vertical="center"/>
    </xf>
    <xf numFmtId="16" fontId="4" fillId="0" borderId="1" xfId="0" applyNumberFormat="1" applyFont="1" applyFill="1" applyBorder="1" applyAlignment="1">
      <alignment horizontal="center" vertical="center"/>
    </xf>
    <xf numFmtId="0" fontId="68" fillId="0" borderId="0" xfId="0" applyFont="1"/>
    <xf numFmtId="0" fontId="68" fillId="0" borderId="0" xfId="0" applyFont="1" applyAlignment="1">
      <alignment horizontal="center"/>
    </xf>
    <xf numFmtId="0" fontId="68" fillId="0" borderId="0" xfId="0" applyFont="1" applyAlignment="1"/>
    <xf numFmtId="0" fontId="68" fillId="0" borderId="0" xfId="0" applyFont="1" applyFill="1" applyBorder="1"/>
    <xf numFmtId="0" fontId="69" fillId="0" borderId="0" xfId="0" applyFont="1" applyFill="1" applyBorder="1" applyAlignment="1">
      <alignment horizontal="center" vertical="center"/>
    </xf>
    <xf numFmtId="0" fontId="70" fillId="0" borderId="0" xfId="0" applyFont="1"/>
    <xf numFmtId="0" fontId="71" fillId="0" borderId="0" xfId="0" applyFont="1" applyAlignment="1">
      <alignment horizontal="right"/>
    </xf>
    <xf numFmtId="14" fontId="71" fillId="0" borderId="0" xfId="0" applyNumberFormat="1" applyFont="1" applyAlignment="1">
      <alignment horizontal="left"/>
    </xf>
    <xf numFmtId="0" fontId="72" fillId="2" borderId="40" xfId="0" applyFont="1" applyFill="1" applyBorder="1" applyAlignment="1">
      <alignment horizontal="left"/>
    </xf>
    <xf numFmtId="0" fontId="71" fillId="2" borderId="40" xfId="0" applyFont="1" applyFill="1" applyBorder="1"/>
    <xf numFmtId="0" fontId="71" fillId="0" borderId="40" xfId="0" applyFont="1" applyBorder="1"/>
    <xf numFmtId="15" fontId="73" fillId="2" borderId="40" xfId="0" applyNumberFormat="1" applyFont="1" applyFill="1" applyBorder="1" applyAlignment="1">
      <alignment horizontal="left"/>
    </xf>
    <xf numFmtId="0" fontId="74" fillId="0" borderId="0" xfId="0" applyFont="1"/>
    <xf numFmtId="0" fontId="75" fillId="0" borderId="0" xfId="0" applyFont="1" applyFill="1" applyBorder="1" applyAlignment="1">
      <alignment horizontal="center" vertical="center"/>
    </xf>
    <xf numFmtId="0" fontId="76" fillId="0" borderId="0" xfId="0" applyFont="1" applyFill="1" applyBorder="1"/>
    <xf numFmtId="0" fontId="76" fillId="0" borderId="0" xfId="0" applyFont="1" applyAlignment="1">
      <alignment horizontal="center"/>
    </xf>
    <xf numFmtId="0" fontId="76" fillId="0" borderId="0" xfId="0" applyFont="1"/>
    <xf numFmtId="9" fontId="3" fillId="0" borderId="0" xfId="2" applyFont="1" applyAlignment="1">
      <alignment horizontal="center"/>
    </xf>
    <xf numFmtId="0" fontId="70" fillId="0" borderId="0" xfId="0" applyFont="1" applyAlignment="1"/>
    <xf numFmtId="0" fontId="74" fillId="0" borderId="0" xfId="0" applyFont="1" applyAlignment="1"/>
    <xf numFmtId="0" fontId="76" fillId="0" borderId="0" xfId="0" applyFont="1" applyBorder="1"/>
    <xf numFmtId="0" fontId="44" fillId="0" borderId="38" xfId="0" applyFont="1" applyFill="1" applyBorder="1" applyAlignment="1">
      <alignment horizontal="center" vertical="center" wrapText="1"/>
    </xf>
    <xf numFmtId="3" fontId="4" fillId="0" borderId="14" xfId="0" applyNumberFormat="1" applyFont="1" applyFill="1" applyBorder="1" applyAlignment="1">
      <alignment horizontal="right"/>
    </xf>
    <xf numFmtId="3" fontId="4" fillId="0" borderId="3" xfId="0" applyNumberFormat="1" applyFont="1" applyFill="1" applyBorder="1" applyAlignment="1">
      <alignment horizontal="center" wrapText="1"/>
    </xf>
    <xf numFmtId="3" fontId="4" fillId="0" borderId="2" xfId="0" applyNumberFormat="1" applyFont="1" applyFill="1" applyBorder="1" applyAlignment="1">
      <alignment horizontal="right" wrapText="1"/>
    </xf>
    <xf numFmtId="16" fontId="7" fillId="0" borderId="2" xfId="0" applyNumberFormat="1" applyFont="1" applyFill="1" applyBorder="1" applyAlignment="1">
      <alignment horizontal="center" wrapText="1"/>
    </xf>
    <xf numFmtId="9" fontId="7" fillId="0" borderId="0" xfId="2" applyFont="1" applyBorder="1" applyAlignment="1">
      <alignment horizontal="center"/>
    </xf>
    <xf numFmtId="15" fontId="4" fillId="0" borderId="38" xfId="0" applyNumberFormat="1" applyFont="1" applyFill="1" applyBorder="1" applyAlignment="1">
      <alignment horizontal="center" vertical="center"/>
    </xf>
    <xf numFmtId="0" fontId="3" fillId="0" borderId="0" xfId="0" applyFont="1" applyFill="1" applyBorder="1" applyAlignment="1">
      <alignment horizontal="right"/>
    </xf>
    <xf numFmtId="0" fontId="77" fillId="0" borderId="0" xfId="0" applyFont="1" applyFill="1" applyBorder="1" applyAlignment="1">
      <alignment horizontal="center"/>
    </xf>
    <xf numFmtId="16" fontId="7" fillId="0" borderId="1" xfId="0" applyNumberFormat="1" applyFont="1" applyFill="1" applyBorder="1" applyAlignment="1">
      <alignment horizontal="right"/>
    </xf>
    <xf numFmtId="0" fontId="44" fillId="0" borderId="1" xfId="0" applyFont="1" applyFill="1" applyBorder="1" applyAlignment="1">
      <alignment horizontal="left" wrapText="1"/>
    </xf>
    <xf numFmtId="15" fontId="7" fillId="0" borderId="0" xfId="0" applyNumberFormat="1" applyFont="1" applyFill="1" applyBorder="1" applyAlignment="1">
      <alignment horizontal="center"/>
    </xf>
    <xf numFmtId="16" fontId="4" fillId="0" borderId="1" xfId="0" applyNumberFormat="1" applyFont="1" applyFill="1" applyBorder="1" applyAlignment="1">
      <alignment horizontal="right"/>
    </xf>
    <xf numFmtId="0" fontId="12" fillId="0" borderId="6" xfId="0" applyFont="1" applyFill="1" applyBorder="1" applyAlignment="1">
      <alignment horizontal="left" wrapText="1"/>
    </xf>
    <xf numFmtId="0" fontId="12" fillId="0" borderId="1" xfId="0" applyFont="1" applyFill="1" applyBorder="1" applyAlignment="1">
      <alignment horizontal="left" wrapText="1"/>
    </xf>
    <xf numFmtId="0" fontId="4" fillId="0" borderId="13" xfId="0" applyFont="1" applyBorder="1" applyAlignment="1">
      <alignment horizontal="right"/>
    </xf>
    <xf numFmtId="0" fontId="32" fillId="0" borderId="41" xfId="0" applyFont="1" applyBorder="1" applyAlignment="1"/>
    <xf numFmtId="0" fontId="32" fillId="0" borderId="15" xfId="0" applyFont="1" applyBorder="1" applyAlignment="1"/>
    <xf numFmtId="0" fontId="4" fillId="0" borderId="3" xfId="0" applyFont="1" applyFill="1" applyBorder="1" applyAlignment="1">
      <alignment horizontal="right"/>
    </xf>
    <xf numFmtId="16" fontId="32" fillId="0" borderId="1" xfId="0" applyNumberFormat="1" applyFont="1" applyFill="1" applyBorder="1" applyAlignment="1">
      <alignment horizontal="center"/>
    </xf>
    <xf numFmtId="16" fontId="32" fillId="0" borderId="0" xfId="0" applyNumberFormat="1" applyFont="1" applyFill="1" applyBorder="1" applyAlignment="1">
      <alignment horizontal="center"/>
    </xf>
    <xf numFmtId="0" fontId="4" fillId="0" borderId="40" xfId="0" applyFont="1" applyBorder="1"/>
    <xf numFmtId="0" fontId="4" fillId="6" borderId="44" xfId="0" applyFont="1" applyFill="1" applyBorder="1" applyAlignment="1">
      <alignment vertical="center"/>
    </xf>
    <xf numFmtId="0" fontId="4" fillId="0" borderId="35" xfId="0" applyFont="1" applyFill="1" applyBorder="1" applyAlignment="1">
      <alignment vertical="center"/>
    </xf>
    <xf numFmtId="0" fontId="4" fillId="0" borderId="44" xfId="0" applyFont="1" applyFill="1" applyBorder="1" applyAlignment="1">
      <alignment vertical="center"/>
    </xf>
    <xf numFmtId="0" fontId="4" fillId="0" borderId="37" xfId="0" applyFont="1" applyFill="1" applyBorder="1" applyAlignment="1">
      <alignment vertical="center"/>
    </xf>
    <xf numFmtId="0" fontId="4" fillId="0" borderId="0" xfId="0" applyFont="1" applyFill="1" applyAlignment="1">
      <alignment vertical="center"/>
    </xf>
    <xf numFmtId="166" fontId="4" fillId="0" borderId="38" xfId="0" applyNumberFormat="1" applyFont="1" applyFill="1" applyBorder="1" applyAlignment="1">
      <alignment horizontal="center" vertical="center"/>
    </xf>
    <xf numFmtId="14" fontId="4" fillId="0" borderId="38" xfId="0" applyNumberFormat="1" applyFont="1" applyFill="1" applyBorder="1" applyAlignment="1">
      <alignment horizontal="center" vertical="center" wrapText="1"/>
    </xf>
    <xf numFmtId="2" fontId="4" fillId="0" borderId="0" xfId="0" applyNumberFormat="1" applyFont="1" applyFill="1" applyAlignment="1">
      <alignment vertical="center"/>
    </xf>
    <xf numFmtId="1" fontId="4" fillId="0" borderId="38" xfId="0" applyNumberFormat="1" applyFont="1" applyFill="1" applyBorder="1" applyAlignment="1">
      <alignment horizontal="center" vertical="center" wrapText="1"/>
    </xf>
    <xf numFmtId="0" fontId="4" fillId="0" borderId="45" xfId="0" applyFont="1" applyFill="1" applyBorder="1" applyAlignment="1">
      <alignment horizontal="center" vertical="center"/>
    </xf>
    <xf numFmtId="3" fontId="4" fillId="0" borderId="0" xfId="0" applyNumberFormat="1" applyFont="1" applyFill="1" applyAlignment="1">
      <alignment vertical="center"/>
    </xf>
    <xf numFmtId="2" fontId="4" fillId="0" borderId="2" xfId="0" applyNumberFormat="1" applyFont="1" applyFill="1" applyBorder="1" applyAlignment="1">
      <alignment horizontal="center"/>
    </xf>
    <xf numFmtId="0" fontId="4" fillId="10" borderId="38" xfId="0" applyFont="1" applyFill="1" applyBorder="1" applyAlignment="1">
      <alignment horizontal="center" vertical="center"/>
    </xf>
    <xf numFmtId="3" fontId="4" fillId="10" borderId="38" xfId="0" applyNumberFormat="1" applyFont="1" applyFill="1" applyBorder="1" applyAlignment="1">
      <alignment vertical="center"/>
    </xf>
    <xf numFmtId="3" fontId="4" fillId="10" borderId="38" xfId="0" applyNumberFormat="1" applyFont="1" applyFill="1" applyBorder="1" applyAlignment="1">
      <alignment horizontal="center" vertical="center"/>
    </xf>
    <xf numFmtId="14" fontId="4" fillId="10" borderId="38" xfId="0" applyNumberFormat="1" applyFont="1" applyFill="1" applyBorder="1" applyAlignment="1">
      <alignment horizontal="center" vertical="center"/>
    </xf>
    <xf numFmtId="1" fontId="4" fillId="10" borderId="38" xfId="0" applyNumberFormat="1" applyFont="1" applyFill="1" applyBorder="1" applyAlignment="1">
      <alignment horizontal="center" vertical="center"/>
    </xf>
    <xf numFmtId="0" fontId="4" fillId="10" borderId="38" xfId="0" quotePrefix="1" applyFont="1" applyFill="1" applyBorder="1" applyAlignment="1">
      <alignment horizontal="center" vertical="center"/>
    </xf>
    <xf numFmtId="14" fontId="12" fillId="10" borderId="38" xfId="0" applyNumberFormat="1" applyFont="1" applyFill="1" applyBorder="1" applyAlignment="1">
      <alignment horizontal="center" vertical="center"/>
    </xf>
    <xf numFmtId="0" fontId="4" fillId="10" borderId="45" xfId="0" applyFont="1" applyFill="1" applyBorder="1" applyAlignment="1">
      <alignment horizontal="center" vertical="center"/>
    </xf>
    <xf numFmtId="1" fontId="4" fillId="6" borderId="38" xfId="0" applyNumberFormat="1" applyFont="1" applyFill="1" applyBorder="1" applyAlignment="1">
      <alignment horizontal="center" vertical="center" wrapText="1"/>
    </xf>
    <xf numFmtId="14" fontId="4" fillId="6" borderId="38" xfId="0" quotePrefix="1" applyNumberFormat="1" applyFont="1" applyFill="1" applyBorder="1" applyAlignment="1">
      <alignment horizontal="center" vertical="center"/>
    </xf>
    <xf numFmtId="14" fontId="7" fillId="6" borderId="38" xfId="0" quotePrefix="1" applyNumberFormat="1" applyFont="1" applyFill="1" applyBorder="1" applyAlignment="1">
      <alignment horizontal="center" vertical="center"/>
    </xf>
    <xf numFmtId="0" fontId="4" fillId="6" borderId="38" xfId="0" quotePrefix="1" applyFont="1" applyFill="1" applyBorder="1" applyAlignment="1">
      <alignment horizontal="center" vertical="center"/>
    </xf>
    <xf numFmtId="14" fontId="12" fillId="6" borderId="38" xfId="0" applyNumberFormat="1" applyFont="1" applyFill="1" applyBorder="1" applyAlignment="1">
      <alignment horizontal="center" vertical="center"/>
    </xf>
    <xf numFmtId="14" fontId="4" fillId="6" borderId="38" xfId="0" applyNumberFormat="1" applyFont="1" applyFill="1" applyBorder="1" applyAlignment="1">
      <alignment horizontal="left" vertical="center" wrapText="1"/>
    </xf>
    <xf numFmtId="0" fontId="4" fillId="11" borderId="0" xfId="0" applyFont="1" applyFill="1" applyAlignment="1">
      <alignment horizontal="center" vertical="center"/>
    </xf>
    <xf numFmtId="0" fontId="4" fillId="11" borderId="0" xfId="0" applyFont="1" applyFill="1" applyAlignment="1">
      <alignment vertical="center"/>
    </xf>
    <xf numFmtId="3" fontId="4" fillId="0" borderId="38" xfId="0" applyNumberFormat="1" applyFont="1" applyFill="1" applyBorder="1" applyAlignment="1">
      <alignment horizontal="center" vertical="center" wrapText="1"/>
    </xf>
    <xf numFmtId="0" fontId="4" fillId="12" borderId="44" xfId="0" applyFont="1" applyFill="1" applyBorder="1" applyAlignment="1">
      <alignment vertical="center"/>
    </xf>
    <xf numFmtId="0" fontId="4" fillId="12" borderId="38" xfId="0" applyFont="1" applyFill="1" applyBorder="1" applyAlignment="1">
      <alignment vertical="center"/>
    </xf>
    <xf numFmtId="16" fontId="4" fillId="12" borderId="38" xfId="0" applyNumberFormat="1" applyFont="1" applyFill="1" applyBorder="1" applyAlignment="1">
      <alignment horizontal="center" vertical="center"/>
    </xf>
    <xf numFmtId="0" fontId="4" fillId="12" borderId="38" xfId="0" applyFont="1" applyFill="1" applyBorder="1" applyAlignment="1">
      <alignment horizontal="center" vertical="center"/>
    </xf>
    <xf numFmtId="3" fontId="4" fillId="12" borderId="38" xfId="0" applyNumberFormat="1" applyFont="1" applyFill="1" applyBorder="1" applyAlignment="1">
      <alignment vertical="center"/>
    </xf>
    <xf numFmtId="3" fontId="4" fillId="12" borderId="38" xfId="0" applyNumberFormat="1" applyFont="1" applyFill="1" applyBorder="1" applyAlignment="1">
      <alignment horizontal="center" vertical="center"/>
    </xf>
    <xf numFmtId="14" fontId="4" fillId="12" borderId="38" xfId="0" applyNumberFormat="1" applyFont="1" applyFill="1" applyBorder="1" applyAlignment="1">
      <alignment horizontal="center" vertical="center"/>
    </xf>
    <xf numFmtId="1" fontId="4" fillId="12" borderId="38" xfId="0" applyNumberFormat="1" applyFont="1" applyFill="1" applyBorder="1" applyAlignment="1">
      <alignment horizontal="center" vertical="center"/>
    </xf>
    <xf numFmtId="14" fontId="7" fillId="12" borderId="38" xfId="0" applyNumberFormat="1" applyFont="1" applyFill="1" applyBorder="1" applyAlignment="1">
      <alignment horizontal="center" vertical="center"/>
    </xf>
    <xf numFmtId="1" fontId="4" fillId="12" borderId="38" xfId="0" applyNumberFormat="1" applyFont="1" applyFill="1" applyBorder="1" applyAlignment="1">
      <alignment horizontal="center" vertical="center" wrapText="1"/>
    </xf>
    <xf numFmtId="14" fontId="4" fillId="12" borderId="38" xfId="0" quotePrefix="1" applyNumberFormat="1" applyFont="1" applyFill="1" applyBorder="1" applyAlignment="1">
      <alignment horizontal="center" vertical="center"/>
    </xf>
    <xf numFmtId="14" fontId="32" fillId="12" borderId="38" xfId="0" quotePrefix="1" applyNumberFormat="1" applyFont="1" applyFill="1" applyBorder="1" applyAlignment="1">
      <alignment horizontal="center" vertical="center"/>
    </xf>
    <xf numFmtId="0" fontId="4" fillId="12" borderId="38" xfId="0" applyFont="1" applyFill="1" applyBorder="1" applyAlignment="1">
      <alignment horizontal="center" vertical="center" wrapText="1"/>
    </xf>
    <xf numFmtId="0" fontId="4" fillId="12" borderId="38" xfId="0" quotePrefix="1" applyFont="1" applyFill="1" applyBorder="1" applyAlignment="1">
      <alignment horizontal="center" vertical="center"/>
    </xf>
    <xf numFmtId="0" fontId="4" fillId="12" borderId="45" xfId="0" applyFont="1" applyFill="1" applyBorder="1" applyAlignment="1">
      <alignment horizontal="center" vertical="center"/>
    </xf>
    <xf numFmtId="14" fontId="12" fillId="12" borderId="38" xfId="0" applyNumberFormat="1" applyFont="1" applyFill="1" applyBorder="1" applyAlignment="1">
      <alignment horizontal="center" vertical="center"/>
    </xf>
    <xf numFmtId="0" fontId="4" fillId="12" borderId="38" xfId="0" applyFont="1" applyFill="1" applyBorder="1" applyAlignment="1">
      <alignment horizontal="left" vertical="center" wrapText="1"/>
    </xf>
    <xf numFmtId="4" fontId="4" fillId="0" borderId="0" xfId="0" applyNumberFormat="1" applyFont="1" applyFill="1" applyAlignment="1">
      <alignment vertical="center"/>
    </xf>
    <xf numFmtId="3" fontId="4" fillId="0" borderId="38" xfId="0" applyNumberFormat="1" applyFont="1" applyFill="1" applyBorder="1" applyAlignment="1">
      <alignment horizontal="left" vertical="center" wrapText="1"/>
    </xf>
    <xf numFmtId="0" fontId="4" fillId="0" borderId="38" xfId="0" applyNumberFormat="1" applyFont="1" applyFill="1" applyBorder="1" applyAlignment="1">
      <alignment horizontal="center" vertical="center" wrapText="1"/>
    </xf>
    <xf numFmtId="3" fontId="4" fillId="0" borderId="38" xfId="0" applyNumberFormat="1" applyFont="1" applyFill="1" applyBorder="1" applyAlignment="1">
      <alignment horizontal="right" vertical="center" wrapText="1"/>
    </xf>
    <xf numFmtId="14" fontId="7" fillId="0" borderId="38" xfId="0" applyNumberFormat="1" applyFont="1" applyFill="1" applyBorder="1" applyAlignment="1">
      <alignment horizontal="center" vertical="center" wrapText="1"/>
    </xf>
    <xf numFmtId="14" fontId="12" fillId="0" borderId="38" xfId="0" applyNumberFormat="1" applyFont="1" applyFill="1" applyBorder="1" applyAlignment="1">
      <alignment horizontal="left" vertical="center" wrapText="1"/>
    </xf>
    <xf numFmtId="16" fontId="4" fillId="10" borderId="38" xfId="0" applyNumberFormat="1" applyFont="1" applyFill="1" applyBorder="1" applyAlignment="1">
      <alignment horizontal="center" vertical="center" wrapText="1"/>
    </xf>
    <xf numFmtId="2" fontId="4" fillId="0" borderId="0" xfId="0" applyNumberFormat="1" applyFont="1"/>
    <xf numFmtId="4" fontId="4" fillId="0" borderId="0" xfId="0" applyNumberFormat="1" applyFont="1"/>
    <xf numFmtId="0" fontId="4" fillId="2" borderId="0" xfId="0" applyFont="1" applyFill="1" applyBorder="1" applyAlignment="1">
      <alignment vertical="center"/>
    </xf>
    <xf numFmtId="0" fontId="4" fillId="2" borderId="0" xfId="0" applyFont="1" applyFill="1" applyBorder="1" applyAlignment="1">
      <alignment horizontal="center" vertical="center"/>
    </xf>
    <xf numFmtId="3" fontId="4" fillId="0" borderId="3" xfId="0" applyNumberFormat="1" applyFont="1" applyFill="1" applyBorder="1" applyAlignment="1">
      <alignment horizontal="center" vertical="center" wrapText="1"/>
    </xf>
    <xf numFmtId="14" fontId="7" fillId="0" borderId="3" xfId="0" applyNumberFormat="1" applyFont="1" applyFill="1" applyBorder="1" applyAlignment="1">
      <alignment horizontal="center" vertical="center"/>
    </xf>
    <xf numFmtId="14" fontId="32" fillId="0" borderId="3" xfId="0" applyNumberFormat="1" applyFont="1" applyFill="1" applyBorder="1" applyAlignment="1">
      <alignment horizontal="center" vertical="center"/>
    </xf>
    <xf numFmtId="0" fontId="4" fillId="0" borderId="8" xfId="0" applyFont="1" applyFill="1" applyBorder="1" applyAlignment="1">
      <alignment horizontal="center" vertical="center"/>
    </xf>
    <xf numFmtId="14" fontId="4" fillId="0" borderId="3" xfId="0" applyNumberFormat="1" applyFont="1" applyFill="1" applyBorder="1" applyAlignment="1">
      <alignment horizontal="left" vertical="center" wrapText="1"/>
    </xf>
    <xf numFmtId="0" fontId="4" fillId="0" borderId="0" xfId="0" applyFont="1" applyFill="1" applyBorder="1" applyAlignment="1">
      <alignment horizontal="center" vertical="center"/>
    </xf>
    <xf numFmtId="0" fontId="4" fillId="11" borderId="0" xfId="0" applyFont="1" applyFill="1" applyBorder="1" applyAlignment="1">
      <alignment horizontal="center" vertical="center"/>
    </xf>
    <xf numFmtId="0" fontId="4" fillId="0" borderId="0" xfId="0" applyFont="1" applyBorder="1" applyAlignment="1">
      <alignment horizontal="center" vertical="center" wrapText="1"/>
    </xf>
    <xf numFmtId="16" fontId="4" fillId="0" borderId="0" xfId="0" applyNumberFormat="1" applyFont="1"/>
    <xf numFmtId="0" fontId="4" fillId="0" borderId="0" xfId="0" applyFont="1" applyFill="1" applyBorder="1" applyAlignment="1">
      <alignment vertical="center"/>
    </xf>
    <xf numFmtId="16" fontId="4" fillId="0" borderId="0" xfId="0" applyNumberFormat="1" applyFont="1" applyFill="1" applyBorder="1" applyAlignment="1">
      <alignment horizontal="center" vertical="center"/>
    </xf>
    <xf numFmtId="3" fontId="4" fillId="0" borderId="0" xfId="0" applyNumberFormat="1" applyFont="1" applyFill="1" applyBorder="1" applyAlignment="1">
      <alignment vertical="center"/>
    </xf>
    <xf numFmtId="3" fontId="4" fillId="0" borderId="0" xfId="0" applyNumberFormat="1" applyFont="1" applyFill="1" applyBorder="1" applyAlignment="1">
      <alignment horizontal="center" vertical="center" wrapText="1"/>
    </xf>
    <xf numFmtId="14" fontId="4" fillId="0" borderId="0" xfId="0" applyNumberFormat="1" applyFont="1" applyFill="1" applyBorder="1" applyAlignment="1">
      <alignment horizontal="center" vertical="center"/>
    </xf>
    <xf numFmtId="1" fontId="4" fillId="0" borderId="0" xfId="0" applyNumberFormat="1" applyFont="1" applyFill="1" applyBorder="1" applyAlignment="1">
      <alignment horizontal="center" vertical="center"/>
    </xf>
    <xf numFmtId="14" fontId="7" fillId="0" borderId="0" xfId="0" applyNumberFormat="1" applyFont="1" applyFill="1" applyBorder="1" applyAlignment="1">
      <alignment horizontal="center" vertical="center"/>
    </xf>
    <xf numFmtId="0" fontId="4" fillId="0" borderId="0" xfId="0" applyFont="1" applyFill="1" applyBorder="1" applyAlignment="1">
      <alignment horizontal="center" vertical="center" wrapText="1"/>
    </xf>
    <xf numFmtId="14" fontId="32" fillId="0" borderId="0" xfId="0" applyNumberFormat="1" applyFont="1" applyFill="1" applyBorder="1" applyAlignment="1">
      <alignment horizontal="center" vertical="center"/>
    </xf>
    <xf numFmtId="14" fontId="4" fillId="0" borderId="0" xfId="0" applyNumberFormat="1" applyFont="1" applyFill="1" applyBorder="1" applyAlignment="1">
      <alignment horizontal="left" vertical="center" wrapText="1"/>
    </xf>
    <xf numFmtId="0" fontId="4" fillId="0" borderId="3" xfId="0" quotePrefix="1" applyFont="1" applyFill="1" applyBorder="1" applyAlignment="1">
      <alignment horizontal="center" vertical="center"/>
    </xf>
    <xf numFmtId="0" fontId="4" fillId="0" borderId="47" xfId="0" applyFont="1" applyFill="1" applyBorder="1" applyAlignment="1">
      <alignment vertical="center"/>
    </xf>
    <xf numFmtId="1" fontId="4" fillId="0" borderId="48" xfId="0" applyNumberFormat="1" applyFont="1" applyFill="1" applyBorder="1" applyAlignment="1">
      <alignment horizontal="center" vertical="center" wrapText="1"/>
    </xf>
    <xf numFmtId="14" fontId="4" fillId="0" borderId="48" xfId="0" applyNumberFormat="1" applyFont="1" applyFill="1" applyBorder="1" applyAlignment="1">
      <alignment horizontal="center" vertical="center"/>
    </xf>
    <xf numFmtId="14" fontId="32" fillId="0" borderId="48" xfId="0" applyNumberFormat="1" applyFont="1" applyFill="1" applyBorder="1" applyAlignment="1">
      <alignment horizontal="center" vertical="center"/>
    </xf>
    <xf numFmtId="14" fontId="7" fillId="0" borderId="48" xfId="0" quotePrefix="1" applyNumberFormat="1" applyFont="1" applyFill="1" applyBorder="1" applyAlignment="1">
      <alignment horizontal="center" vertical="center"/>
    </xf>
    <xf numFmtId="0" fontId="4" fillId="0" borderId="48" xfId="0" applyFont="1" applyFill="1" applyBorder="1" applyAlignment="1">
      <alignment vertical="center"/>
    </xf>
    <xf numFmtId="16" fontId="4" fillId="0" borderId="48" xfId="0" applyNumberFormat="1" applyFont="1" applyFill="1" applyBorder="1" applyAlignment="1">
      <alignment horizontal="center" vertical="center"/>
    </xf>
    <xf numFmtId="0" fontId="4" fillId="0" borderId="48" xfId="0" applyFont="1" applyFill="1" applyBorder="1" applyAlignment="1">
      <alignment horizontal="center" vertical="center" wrapText="1"/>
    </xf>
    <xf numFmtId="0" fontId="4" fillId="0" borderId="48" xfId="0" applyFont="1" applyFill="1" applyBorder="1" applyAlignment="1">
      <alignment horizontal="center" vertical="center"/>
    </xf>
    <xf numFmtId="3" fontId="4" fillId="0" borderId="48" xfId="0" applyNumberFormat="1" applyFont="1" applyFill="1" applyBorder="1" applyAlignment="1">
      <alignment vertical="center"/>
    </xf>
    <xf numFmtId="3" fontId="4" fillId="0" borderId="48" xfId="0" applyNumberFormat="1" applyFont="1" applyFill="1" applyBorder="1" applyAlignment="1">
      <alignment horizontal="center" vertical="center"/>
    </xf>
    <xf numFmtId="1" fontId="4" fillId="0" borderId="48" xfId="0" applyNumberFormat="1" applyFont="1" applyFill="1" applyBorder="1" applyAlignment="1">
      <alignment horizontal="center" vertical="center"/>
    </xf>
    <xf numFmtId="14" fontId="7" fillId="0" borderId="48" xfId="0" applyNumberFormat="1" applyFont="1" applyFill="1" applyBorder="1" applyAlignment="1">
      <alignment horizontal="center" vertical="center"/>
    </xf>
    <xf numFmtId="0" fontId="4" fillId="0" borderId="48" xfId="0" quotePrefix="1" applyFont="1" applyFill="1" applyBorder="1" applyAlignment="1">
      <alignment horizontal="center" vertical="center"/>
    </xf>
    <xf numFmtId="14" fontId="12" fillId="0" borderId="48" xfId="0" applyNumberFormat="1" applyFont="1" applyFill="1" applyBorder="1" applyAlignment="1">
      <alignment horizontal="center" vertical="center"/>
    </xf>
    <xf numFmtId="14" fontId="32" fillId="0" borderId="49" xfId="0" applyNumberFormat="1" applyFont="1" applyFill="1" applyBorder="1" applyAlignment="1">
      <alignment horizontal="left" vertical="center" wrapText="1"/>
    </xf>
    <xf numFmtId="1" fontId="4" fillId="2" borderId="40" xfId="0" applyNumberFormat="1" applyFont="1" applyFill="1" applyBorder="1" applyAlignment="1">
      <alignment horizontal="center"/>
    </xf>
    <xf numFmtId="0" fontId="4" fillId="13" borderId="3" xfId="0" applyFont="1" applyFill="1" applyBorder="1" applyAlignment="1">
      <alignment vertical="center"/>
    </xf>
    <xf numFmtId="16" fontId="4" fillId="13" borderId="3" xfId="0" applyNumberFormat="1" applyFont="1" applyFill="1" applyBorder="1" applyAlignment="1">
      <alignment horizontal="center" vertical="center"/>
    </xf>
    <xf numFmtId="0" fontId="4" fillId="13" borderId="3" xfId="0" applyFont="1" applyFill="1" applyBorder="1" applyAlignment="1">
      <alignment horizontal="center" vertical="center"/>
    </xf>
    <xf numFmtId="3" fontId="4" fillId="13" borderId="3" xfId="0" applyNumberFormat="1" applyFont="1" applyFill="1" applyBorder="1" applyAlignment="1">
      <alignment vertical="center"/>
    </xf>
    <xf numFmtId="3" fontId="4" fillId="13" borderId="3" xfId="0" applyNumberFormat="1" applyFont="1" applyFill="1" applyBorder="1" applyAlignment="1">
      <alignment horizontal="center" vertical="center" wrapText="1"/>
    </xf>
    <xf numFmtId="14" fontId="4" fillId="13" borderId="3" xfId="0" applyNumberFormat="1" applyFont="1" applyFill="1" applyBorder="1" applyAlignment="1">
      <alignment horizontal="center" vertical="center"/>
    </xf>
    <xf numFmtId="1" fontId="4" fillId="13" borderId="3" xfId="0" applyNumberFormat="1" applyFont="1" applyFill="1" applyBorder="1" applyAlignment="1">
      <alignment horizontal="center" vertical="center"/>
    </xf>
    <xf numFmtId="14" fontId="7" fillId="13" borderId="3" xfId="0" applyNumberFormat="1" applyFont="1" applyFill="1" applyBorder="1" applyAlignment="1">
      <alignment horizontal="center" vertical="center"/>
    </xf>
    <xf numFmtId="0" fontId="4" fillId="13" borderId="3" xfId="0" applyFont="1" applyFill="1" applyBorder="1" applyAlignment="1">
      <alignment horizontal="center" vertical="center" wrapText="1"/>
    </xf>
    <xf numFmtId="14" fontId="32" fillId="13" borderId="3" xfId="0" applyNumberFormat="1" applyFont="1" applyFill="1" applyBorder="1" applyAlignment="1">
      <alignment horizontal="center" vertical="center"/>
    </xf>
    <xf numFmtId="0" fontId="4" fillId="13" borderId="8" xfId="0" applyFont="1" applyFill="1" applyBorder="1" applyAlignment="1">
      <alignment horizontal="center" vertical="center"/>
    </xf>
    <xf numFmtId="14" fontId="4" fillId="13" borderId="3" xfId="0" applyNumberFormat="1" applyFont="1" applyFill="1" applyBorder="1" applyAlignment="1">
      <alignment horizontal="left" vertical="center" wrapText="1"/>
    </xf>
    <xf numFmtId="0" fontId="4" fillId="0" borderId="34" xfId="0" applyFont="1" applyFill="1" applyBorder="1" applyAlignment="1">
      <alignment vertical="center"/>
    </xf>
    <xf numFmtId="16" fontId="4" fillId="0" borderId="3" xfId="0" applyNumberFormat="1" applyFont="1" applyFill="1" applyBorder="1" applyAlignment="1">
      <alignment horizontal="left" vertical="center"/>
    </xf>
    <xf numFmtId="1" fontId="4" fillId="0" borderId="4" xfId="0" applyNumberFormat="1" applyFont="1" applyFill="1" applyBorder="1" applyAlignment="1">
      <alignment horizontal="center" vertical="center"/>
    </xf>
    <xf numFmtId="1" fontId="4" fillId="0" borderId="14" xfId="0" applyNumberFormat="1" applyFont="1" applyFill="1" applyBorder="1" applyAlignment="1">
      <alignment horizontal="center" vertical="center"/>
    </xf>
    <xf numFmtId="16" fontId="4" fillId="0" borderId="22" xfId="0" applyNumberFormat="1" applyFont="1" applyFill="1" applyBorder="1" applyAlignment="1">
      <alignment horizontal="center" vertical="center"/>
    </xf>
    <xf numFmtId="1" fontId="4" fillId="0" borderId="34" xfId="0" applyNumberFormat="1" applyFont="1" applyFill="1" applyBorder="1" applyAlignment="1">
      <alignment horizontal="center" vertical="center"/>
    </xf>
    <xf numFmtId="1" fontId="4" fillId="0" borderId="41" xfId="0" applyNumberFormat="1" applyFont="1" applyFill="1" applyBorder="1" applyAlignment="1">
      <alignment horizontal="center" vertical="center"/>
    </xf>
    <xf numFmtId="14" fontId="7" fillId="2" borderId="38" xfId="0" applyNumberFormat="1" applyFont="1" applyFill="1" applyBorder="1" applyAlignment="1">
      <alignment horizontal="center" vertical="center"/>
    </xf>
    <xf numFmtId="16" fontId="4" fillId="0" borderId="0" xfId="0" applyNumberFormat="1" applyFont="1" applyFill="1" applyBorder="1" applyAlignment="1">
      <alignment horizontal="center" vertical="center" wrapText="1"/>
    </xf>
    <xf numFmtId="3" fontId="4" fillId="0" borderId="0" xfId="0" applyNumberFormat="1" applyFont="1" applyFill="1" applyBorder="1" applyAlignment="1">
      <alignment horizontal="center" vertical="center"/>
    </xf>
    <xf numFmtId="1" fontId="4" fillId="0" borderId="0" xfId="0" applyNumberFormat="1" applyFont="1" applyFill="1" applyBorder="1" applyAlignment="1">
      <alignment horizontal="center" vertical="center" wrapText="1"/>
    </xf>
    <xf numFmtId="14" fontId="32" fillId="0" borderId="0" xfId="0" quotePrefix="1" applyNumberFormat="1" applyFont="1" applyFill="1" applyBorder="1" applyAlignment="1">
      <alignment horizontal="center" vertical="center"/>
    </xf>
    <xf numFmtId="0" fontId="4" fillId="0" borderId="0" xfId="0" quotePrefix="1" applyFont="1" applyFill="1" applyBorder="1" applyAlignment="1">
      <alignment horizontal="center" vertical="center"/>
    </xf>
    <xf numFmtId="0" fontId="4" fillId="0" borderId="0" xfId="0" applyFont="1" applyFill="1" applyBorder="1" applyAlignment="1">
      <alignment horizontal="left" vertical="center" wrapText="1"/>
    </xf>
    <xf numFmtId="16" fontId="4" fillId="0" borderId="45" xfId="0" applyNumberFormat="1" applyFont="1" applyFill="1" applyBorder="1" applyAlignment="1">
      <alignment horizontal="center" vertical="center"/>
    </xf>
    <xf numFmtId="14" fontId="12" fillId="0" borderId="3" xfId="0" applyNumberFormat="1" applyFont="1" applyFill="1" applyBorder="1" applyAlignment="1">
      <alignment horizontal="center" vertical="center"/>
    </xf>
    <xf numFmtId="0" fontId="12" fillId="0" borderId="35" xfId="0" applyFont="1" applyFill="1" applyBorder="1" applyAlignment="1">
      <alignment vertical="center"/>
    </xf>
    <xf numFmtId="0" fontId="12" fillId="0" borderId="3" xfId="0" applyFont="1" applyFill="1" applyBorder="1" applyAlignment="1">
      <alignment vertical="center"/>
    </xf>
    <xf numFmtId="16" fontId="12" fillId="0" borderId="3" xfId="0" applyNumberFormat="1" applyFont="1" applyFill="1" applyBorder="1" applyAlignment="1">
      <alignment horizontal="center" vertical="center"/>
    </xf>
    <xf numFmtId="0" fontId="12" fillId="0" borderId="3" xfId="0" applyFont="1" applyFill="1" applyBorder="1" applyAlignment="1">
      <alignment horizontal="center" vertical="center" wrapText="1"/>
    </xf>
    <xf numFmtId="0" fontId="12" fillId="0" borderId="3" xfId="0" applyFont="1" applyFill="1" applyBorder="1" applyAlignment="1">
      <alignment horizontal="center" vertical="center"/>
    </xf>
    <xf numFmtId="3" fontId="12" fillId="0" borderId="3" xfId="0" applyNumberFormat="1" applyFont="1" applyFill="1" applyBorder="1" applyAlignment="1">
      <alignment vertical="center"/>
    </xf>
    <xf numFmtId="3" fontId="12" fillId="0" borderId="3" xfId="0" applyNumberFormat="1" applyFont="1" applyFill="1" applyBorder="1" applyAlignment="1">
      <alignment horizontal="center" vertical="center"/>
    </xf>
    <xf numFmtId="1" fontId="12" fillId="0" borderId="3" xfId="0" applyNumberFormat="1" applyFont="1" applyFill="1" applyBorder="1" applyAlignment="1">
      <alignment horizontal="center" vertical="center"/>
    </xf>
    <xf numFmtId="1" fontId="12" fillId="0" borderId="3" xfId="0" applyNumberFormat="1" applyFont="1" applyFill="1" applyBorder="1" applyAlignment="1">
      <alignment horizontal="center" vertical="center" wrapText="1"/>
    </xf>
    <xf numFmtId="0" fontId="12" fillId="0" borderId="3" xfId="0" quotePrefix="1" applyFont="1" applyFill="1" applyBorder="1" applyAlignment="1">
      <alignment horizontal="center" vertical="center"/>
    </xf>
    <xf numFmtId="16" fontId="12" fillId="0" borderId="22" xfId="0" applyNumberFormat="1" applyFont="1" applyFill="1" applyBorder="1" applyAlignment="1">
      <alignment horizontal="center" vertical="center"/>
    </xf>
    <xf numFmtId="14" fontId="12" fillId="0" borderId="3" xfId="0" applyNumberFormat="1" applyFont="1" applyFill="1" applyBorder="1" applyAlignment="1">
      <alignment horizontal="left" vertical="center" wrapText="1"/>
    </xf>
    <xf numFmtId="0" fontId="12" fillId="0" borderId="37" xfId="0" applyFont="1" applyFill="1" applyBorder="1" applyAlignment="1">
      <alignment vertical="center"/>
    </xf>
    <xf numFmtId="0" fontId="12" fillId="0" borderId="0" xfId="0" applyFont="1" applyFill="1" applyBorder="1" applyAlignment="1">
      <alignment horizontal="center" vertical="center"/>
    </xf>
    <xf numFmtId="0" fontId="12" fillId="0" borderId="0" xfId="0" applyFont="1" applyFill="1" applyAlignment="1">
      <alignment vertical="center"/>
    </xf>
    <xf numFmtId="0" fontId="12" fillId="10" borderId="38" xfId="0" applyFont="1" applyFill="1" applyBorder="1" applyAlignment="1">
      <alignment horizontal="left" vertical="center" wrapText="1"/>
    </xf>
    <xf numFmtId="14" fontId="4" fillId="0" borderId="38" xfId="0" applyNumberFormat="1" applyFont="1" applyFill="1" applyBorder="1" applyAlignment="1">
      <alignment horizontal="center" vertical="center" wrapText="1" shrinkToFit="1"/>
    </xf>
    <xf numFmtId="0" fontId="12" fillId="0" borderId="38" xfId="0" applyFont="1" applyFill="1" applyBorder="1" applyAlignment="1">
      <alignment horizontal="left" vertical="center" wrapText="1"/>
    </xf>
    <xf numFmtId="0" fontId="12" fillId="0" borderId="3" xfId="0" applyFont="1" applyFill="1" applyBorder="1" applyAlignment="1">
      <alignment horizontal="left" vertical="center" wrapText="1"/>
    </xf>
    <xf numFmtId="14" fontId="7" fillId="0" borderId="3" xfId="0" quotePrefix="1" applyNumberFormat="1" applyFont="1" applyFill="1" applyBorder="1" applyAlignment="1">
      <alignment horizontal="center" vertical="center"/>
    </xf>
    <xf numFmtId="14" fontId="7" fillId="0" borderId="38" xfId="0" applyNumberFormat="1" applyFont="1" applyFill="1" applyBorder="1" applyAlignment="1">
      <alignment horizontal="left" vertical="center" wrapText="1"/>
    </xf>
    <xf numFmtId="0" fontId="4" fillId="0" borderId="0" xfId="0" applyFont="1" applyBorder="1" applyAlignment="1">
      <alignment vertical="center"/>
    </xf>
    <xf numFmtId="1" fontId="4" fillId="0" borderId="2" xfId="0" applyNumberFormat="1" applyFont="1" applyBorder="1" applyAlignment="1">
      <alignment horizontal="center"/>
    </xf>
    <xf numFmtId="14" fontId="7" fillId="0" borderId="38" xfId="0" quotePrefix="1" applyNumberFormat="1" applyFont="1" applyFill="1" applyBorder="1" applyAlignment="1">
      <alignment horizontal="center" vertical="center"/>
    </xf>
    <xf numFmtId="0" fontId="4" fillId="0" borderId="2" xfId="0" applyFont="1" applyFill="1" applyBorder="1" applyAlignment="1">
      <alignment vertical="center"/>
    </xf>
    <xf numFmtId="16" fontId="4" fillId="0" borderId="2" xfId="0" applyNumberFormat="1" applyFont="1" applyFill="1" applyBorder="1" applyAlignment="1">
      <alignment horizontal="center" vertical="center" wrapText="1"/>
    </xf>
    <xf numFmtId="0" fontId="4" fillId="0" borderId="2" xfId="0" applyFont="1" applyFill="1" applyBorder="1" applyAlignment="1">
      <alignment horizontal="center" vertical="center"/>
    </xf>
    <xf numFmtId="3" fontId="4" fillId="0" borderId="2" xfId="0" applyNumberFormat="1" applyFont="1" applyFill="1" applyBorder="1" applyAlignment="1">
      <alignment vertical="center"/>
    </xf>
    <xf numFmtId="3" fontId="4" fillId="0" borderId="2" xfId="0" applyNumberFormat="1" applyFont="1" applyFill="1" applyBorder="1" applyAlignment="1">
      <alignment horizontal="center" vertical="center"/>
    </xf>
    <xf numFmtId="14" fontId="4" fillId="0" borderId="2" xfId="0" applyNumberFormat="1" applyFont="1" applyFill="1" applyBorder="1" applyAlignment="1">
      <alignment horizontal="center" vertical="center"/>
    </xf>
    <xf numFmtId="1" fontId="4" fillId="0" borderId="2" xfId="0" applyNumberFormat="1" applyFont="1" applyFill="1" applyBorder="1" applyAlignment="1">
      <alignment horizontal="center" vertical="center"/>
    </xf>
    <xf numFmtId="14" fontId="32" fillId="0" borderId="2" xfId="0" quotePrefix="1" applyNumberFormat="1" applyFont="1" applyFill="1" applyBorder="1" applyAlignment="1">
      <alignment horizontal="center" vertical="center"/>
    </xf>
    <xf numFmtId="0" fontId="4" fillId="0" borderId="2" xfId="0" quotePrefix="1" applyFont="1" applyFill="1" applyBorder="1" applyAlignment="1">
      <alignment horizontal="center" vertical="center"/>
    </xf>
    <xf numFmtId="0" fontId="4" fillId="0" borderId="9" xfId="0" applyFont="1" applyFill="1" applyBorder="1" applyAlignment="1">
      <alignment horizontal="center" vertical="center"/>
    </xf>
    <xf numFmtId="0" fontId="4" fillId="0" borderId="27" xfId="0" applyFont="1" applyFill="1" applyBorder="1" applyAlignment="1">
      <alignment horizontal="center" vertical="center"/>
    </xf>
    <xf numFmtId="14" fontId="12" fillId="0" borderId="2" xfId="0" applyNumberFormat="1" applyFont="1" applyFill="1" applyBorder="1" applyAlignment="1">
      <alignment horizontal="center" vertical="center"/>
    </xf>
    <xf numFmtId="0" fontId="12" fillId="0" borderId="2" xfId="0" applyFont="1" applyFill="1" applyBorder="1" applyAlignment="1">
      <alignment horizontal="left" vertical="center" wrapText="1"/>
    </xf>
    <xf numFmtId="9" fontId="3" fillId="0" borderId="0" xfId="2" applyFont="1" applyFill="1" applyAlignment="1">
      <alignment horizontal="center"/>
    </xf>
    <xf numFmtId="0" fontId="7" fillId="0" borderId="0" xfId="0" applyFont="1" applyFill="1"/>
    <xf numFmtId="0" fontId="4" fillId="0" borderId="1" xfId="0" applyFont="1" applyFill="1" applyBorder="1" applyAlignment="1">
      <alignment vertical="center"/>
    </xf>
    <xf numFmtId="14" fontId="4" fillId="0" borderId="1" xfId="0" applyNumberFormat="1" applyFont="1" applyFill="1" applyBorder="1" applyAlignment="1">
      <alignment horizontal="center" vertical="center"/>
    </xf>
    <xf numFmtId="1" fontId="4" fillId="0" borderId="1"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14" fontId="32" fillId="0" borderId="1" xfId="0" applyNumberFormat="1" applyFont="1" applyFill="1" applyBorder="1" applyAlignment="1">
      <alignment horizontal="center" vertical="center"/>
    </xf>
    <xf numFmtId="0" fontId="4" fillId="0" borderId="1" xfId="0" quotePrefix="1" applyFont="1" applyFill="1" applyBorder="1" applyAlignment="1">
      <alignment horizontal="center" vertical="center"/>
    </xf>
    <xf numFmtId="0" fontId="4" fillId="0" borderId="10" xfId="0" applyFont="1" applyFill="1" applyBorder="1" applyAlignment="1">
      <alignment horizontal="center" vertical="center"/>
    </xf>
    <xf numFmtId="167" fontId="4" fillId="10" borderId="38" xfId="0" applyNumberFormat="1" applyFont="1" applyFill="1" applyBorder="1" applyAlignment="1">
      <alignment horizontal="center" vertical="center" wrapText="1"/>
    </xf>
    <xf numFmtId="1" fontId="4" fillId="0" borderId="50" xfId="0" applyNumberFormat="1" applyFont="1" applyFill="1" applyBorder="1" applyAlignment="1">
      <alignment horizontal="center" vertical="center"/>
    </xf>
    <xf numFmtId="167" fontId="4" fillId="0" borderId="38" xfId="0" applyNumberFormat="1" applyFont="1" applyFill="1" applyBorder="1" applyAlignment="1">
      <alignment horizontal="center" vertical="center"/>
    </xf>
    <xf numFmtId="0" fontId="12" fillId="0" borderId="1" xfId="0" applyFont="1" applyFill="1" applyBorder="1" applyAlignment="1">
      <alignment horizontal="left" vertical="center" wrapText="1"/>
    </xf>
    <xf numFmtId="1" fontId="4" fillId="0" borderId="3" xfId="0" applyNumberFormat="1" applyFont="1" applyBorder="1" applyAlignment="1">
      <alignment horizontal="center"/>
    </xf>
    <xf numFmtId="1" fontId="4" fillId="0" borderId="2" xfId="0" applyNumberFormat="1" applyFont="1" applyFill="1" applyBorder="1" applyAlignment="1">
      <alignment horizontal="center" vertical="center" wrapText="1"/>
    </xf>
    <xf numFmtId="167" fontId="4" fillId="0" borderId="38" xfId="0" applyNumberFormat="1" applyFont="1" applyFill="1" applyBorder="1" applyAlignment="1">
      <alignment horizontal="center" vertical="center" wrapText="1"/>
    </xf>
    <xf numFmtId="167" fontId="4" fillId="0" borderId="3" xfId="0" applyNumberFormat="1" applyFont="1" applyFill="1" applyBorder="1" applyAlignment="1">
      <alignment horizontal="center" vertical="center" wrapText="1"/>
    </xf>
    <xf numFmtId="0" fontId="4" fillId="7" borderId="38" xfId="0" applyFont="1" applyFill="1" applyBorder="1" applyAlignment="1">
      <alignment horizontal="left" vertical="center"/>
    </xf>
    <xf numFmtId="3" fontId="4" fillId="0" borderId="1" xfId="0" applyNumberFormat="1" applyFont="1" applyFill="1" applyBorder="1" applyAlignment="1">
      <alignment horizontal="center" vertical="center" wrapText="1"/>
    </xf>
    <xf numFmtId="14" fontId="4" fillId="0" borderId="1" xfId="0" applyNumberFormat="1" applyFont="1" applyFill="1" applyBorder="1" applyAlignment="1">
      <alignment horizontal="left" vertical="center" wrapText="1"/>
    </xf>
    <xf numFmtId="0" fontId="55" fillId="6" borderId="12" xfId="0" applyFont="1" applyFill="1" applyBorder="1"/>
    <xf numFmtId="0" fontId="4" fillId="0" borderId="2" xfId="0" applyNumberFormat="1" applyFont="1" applyBorder="1" applyAlignment="1">
      <alignment horizontal="center"/>
    </xf>
    <xf numFmtId="0" fontId="4" fillId="11" borderId="41" xfId="0" applyFont="1" applyFill="1" applyBorder="1" applyAlignment="1">
      <alignment horizontal="center" vertical="center"/>
    </xf>
    <xf numFmtId="14" fontId="7" fillId="0" borderId="1" xfId="0" quotePrefix="1" applyNumberFormat="1" applyFont="1" applyFill="1" applyBorder="1" applyAlignment="1">
      <alignment horizontal="center" vertical="center"/>
    </xf>
    <xf numFmtId="0" fontId="12" fillId="13" borderId="38" xfId="0" applyFont="1" applyFill="1" applyBorder="1" applyAlignment="1">
      <alignment horizontal="left" vertical="center" wrapText="1"/>
    </xf>
    <xf numFmtId="0" fontId="12" fillId="13" borderId="3" xfId="0" applyFont="1" applyFill="1" applyBorder="1" applyAlignment="1">
      <alignment horizontal="left" vertical="center" wrapText="1"/>
    </xf>
    <xf numFmtId="0" fontId="4" fillId="13" borderId="38" xfId="0" applyFont="1" applyFill="1" applyBorder="1" applyAlignment="1">
      <alignment vertical="center"/>
    </xf>
    <xf numFmtId="16" fontId="4" fillId="13" borderId="38" xfId="0" applyNumberFormat="1" applyFont="1" applyFill="1" applyBorder="1" applyAlignment="1">
      <alignment horizontal="center" vertical="center"/>
    </xf>
    <xf numFmtId="0" fontId="4" fillId="13" borderId="38" xfId="0" applyFont="1" applyFill="1" applyBorder="1" applyAlignment="1">
      <alignment horizontal="center" vertical="center"/>
    </xf>
    <xf numFmtId="3" fontId="4" fillId="13" borderId="38" xfId="0" applyNumberFormat="1" applyFont="1" applyFill="1" applyBorder="1" applyAlignment="1">
      <alignment vertical="center"/>
    </xf>
    <xf numFmtId="3" fontId="4" fillId="13" borderId="38" xfId="0" applyNumberFormat="1" applyFont="1" applyFill="1" applyBorder="1" applyAlignment="1">
      <alignment horizontal="center" vertical="center" wrapText="1"/>
    </xf>
    <xf numFmtId="14" fontId="4" fillId="13" borderId="38" xfId="0" applyNumberFormat="1" applyFont="1" applyFill="1" applyBorder="1" applyAlignment="1">
      <alignment horizontal="center" vertical="center"/>
    </xf>
    <xf numFmtId="1" fontId="4" fillId="13" borderId="38" xfId="0" applyNumberFormat="1" applyFont="1" applyFill="1" applyBorder="1" applyAlignment="1">
      <alignment horizontal="center" vertical="center"/>
    </xf>
    <xf numFmtId="14" fontId="7" fillId="13" borderId="38" xfId="0" applyNumberFormat="1" applyFont="1" applyFill="1" applyBorder="1" applyAlignment="1">
      <alignment horizontal="center" vertical="center"/>
    </xf>
    <xf numFmtId="0" fontId="4" fillId="13" borderId="38" xfId="0" applyFont="1" applyFill="1" applyBorder="1" applyAlignment="1">
      <alignment horizontal="center" vertical="center" wrapText="1"/>
    </xf>
    <xf numFmtId="14" fontId="32" fillId="13" borderId="38" xfId="0" applyNumberFormat="1" applyFont="1" applyFill="1" applyBorder="1" applyAlignment="1">
      <alignment horizontal="center" vertical="center"/>
    </xf>
    <xf numFmtId="0" fontId="4" fillId="13" borderId="38" xfId="0" quotePrefix="1" applyFont="1" applyFill="1" applyBorder="1" applyAlignment="1">
      <alignment horizontal="center" vertical="center"/>
    </xf>
    <xf numFmtId="0" fontId="4" fillId="13" borderId="39" xfId="0" applyFont="1" applyFill="1" applyBorder="1" applyAlignment="1">
      <alignment horizontal="center" vertical="center"/>
    </xf>
    <xf numFmtId="14" fontId="7" fillId="13" borderId="38" xfId="0" applyNumberFormat="1" applyFont="1" applyFill="1" applyBorder="1" applyAlignment="1">
      <alignment horizontal="left" vertical="center" wrapText="1"/>
    </xf>
    <xf numFmtId="1" fontId="4" fillId="13" borderId="38" xfId="0" applyNumberFormat="1" applyFont="1" applyFill="1" applyBorder="1" applyAlignment="1">
      <alignment horizontal="center" vertical="center" wrapText="1"/>
    </xf>
    <xf numFmtId="14" fontId="12" fillId="13" borderId="38" xfId="0" applyNumberFormat="1" applyFont="1" applyFill="1" applyBorder="1" applyAlignment="1">
      <alignment horizontal="center" vertical="center"/>
    </xf>
    <xf numFmtId="14" fontId="4" fillId="13" borderId="38" xfId="0" applyNumberFormat="1" applyFont="1" applyFill="1" applyBorder="1" applyAlignment="1">
      <alignment horizontal="left" vertical="center" wrapText="1"/>
    </xf>
    <xf numFmtId="0" fontId="4" fillId="13" borderId="39" xfId="0" applyFont="1" applyFill="1" applyBorder="1" applyAlignment="1">
      <alignment vertical="center"/>
    </xf>
    <xf numFmtId="0" fontId="4" fillId="14" borderId="38" xfId="0" applyFont="1" applyFill="1" applyBorder="1" applyAlignment="1">
      <alignment vertical="center"/>
    </xf>
    <xf numFmtId="16" fontId="4" fillId="14" borderId="38" xfId="0" applyNumberFormat="1" applyFont="1" applyFill="1" applyBorder="1" applyAlignment="1">
      <alignment horizontal="center" vertical="center"/>
    </xf>
    <xf numFmtId="0" fontId="4" fillId="14" borderId="38" xfId="0" applyFont="1" applyFill="1" applyBorder="1" applyAlignment="1">
      <alignment horizontal="center" vertical="center"/>
    </xf>
    <xf numFmtId="3" fontId="4" fillId="14" borderId="38" xfId="0" applyNumberFormat="1" applyFont="1" applyFill="1" applyBorder="1" applyAlignment="1">
      <alignment vertical="center"/>
    </xf>
    <xf numFmtId="3" fontId="4" fillId="14" borderId="38" xfId="0" applyNumberFormat="1" applyFont="1" applyFill="1" applyBorder="1" applyAlignment="1">
      <alignment horizontal="center" vertical="center" wrapText="1"/>
    </xf>
    <xf numFmtId="14" fontId="4" fillId="14" borderId="38" xfId="0" applyNumberFormat="1" applyFont="1" applyFill="1" applyBorder="1" applyAlignment="1">
      <alignment horizontal="center" vertical="center"/>
    </xf>
    <xf numFmtId="1" fontId="4" fillId="14" borderId="38" xfId="0" applyNumberFormat="1" applyFont="1" applyFill="1" applyBorder="1" applyAlignment="1">
      <alignment horizontal="center" vertical="center"/>
    </xf>
    <xf numFmtId="14" fontId="7" fillId="14" borderId="38" xfId="0" applyNumberFormat="1" applyFont="1" applyFill="1" applyBorder="1" applyAlignment="1">
      <alignment horizontal="center" vertical="center"/>
    </xf>
    <xf numFmtId="0" fontId="4" fillId="14" borderId="38" xfId="0" applyFont="1" applyFill="1" applyBorder="1" applyAlignment="1">
      <alignment horizontal="center" vertical="center" wrapText="1"/>
    </xf>
    <xf numFmtId="14" fontId="32" fillId="14" borderId="38" xfId="0" applyNumberFormat="1" applyFont="1" applyFill="1" applyBorder="1" applyAlignment="1">
      <alignment horizontal="center" vertical="center"/>
    </xf>
    <xf numFmtId="14" fontId="32" fillId="14" borderId="38" xfId="0" quotePrefix="1" applyNumberFormat="1" applyFont="1" applyFill="1" applyBorder="1" applyAlignment="1">
      <alignment horizontal="center" vertical="center"/>
    </xf>
    <xf numFmtId="0" fontId="4" fillId="14" borderId="38" xfId="0" quotePrefix="1" applyFont="1" applyFill="1" applyBorder="1" applyAlignment="1">
      <alignment horizontal="center" vertical="center"/>
    </xf>
    <xf numFmtId="0" fontId="4" fillId="14" borderId="39" xfId="0" applyFont="1" applyFill="1" applyBorder="1" applyAlignment="1">
      <alignment horizontal="center" vertical="center"/>
    </xf>
    <xf numFmtId="14" fontId="4" fillId="14" borderId="38" xfId="0" applyNumberFormat="1" applyFont="1" applyFill="1" applyBorder="1" applyAlignment="1">
      <alignment horizontal="left" vertical="center" wrapText="1"/>
    </xf>
    <xf numFmtId="0" fontId="6" fillId="2" borderId="0" xfId="0" applyFont="1" applyFill="1" applyBorder="1" applyAlignment="1">
      <alignment vertical="center" wrapText="1"/>
    </xf>
    <xf numFmtId="0" fontId="6" fillId="2" borderId="0" xfId="0" applyFont="1" applyFill="1" applyBorder="1"/>
    <xf numFmtId="0" fontId="65" fillId="2" borderId="40" xfId="0" applyFont="1" applyFill="1" applyBorder="1" applyAlignment="1">
      <alignment horizontal="left"/>
    </xf>
    <xf numFmtId="0" fontId="4" fillId="2" borderId="0" xfId="0" applyFont="1" applyFill="1" applyBorder="1" applyAlignment="1">
      <alignment vertical="center" wrapText="1"/>
    </xf>
    <xf numFmtId="0" fontId="4" fillId="0" borderId="12" xfId="0" applyFont="1" applyFill="1" applyBorder="1" applyAlignment="1">
      <alignment vertical="center"/>
    </xf>
    <xf numFmtId="14" fontId="32" fillId="0" borderId="7" xfId="0" applyNumberFormat="1" applyFont="1" applyFill="1" applyBorder="1" applyAlignment="1">
      <alignment horizontal="center" vertical="center"/>
    </xf>
    <xf numFmtId="1" fontId="4" fillId="8" borderId="38" xfId="0" applyNumberFormat="1" applyFont="1" applyFill="1" applyBorder="1" applyAlignment="1">
      <alignment horizontal="center" vertical="center" wrapText="1"/>
    </xf>
    <xf numFmtId="14" fontId="7" fillId="10" borderId="38" xfId="0" applyNumberFormat="1" applyFont="1" applyFill="1" applyBorder="1" applyAlignment="1">
      <alignment horizontal="center" vertical="center"/>
    </xf>
    <xf numFmtId="3" fontId="8" fillId="0" borderId="38" xfId="0" applyNumberFormat="1" applyFont="1" applyFill="1" applyBorder="1" applyAlignment="1">
      <alignment vertical="center"/>
    </xf>
    <xf numFmtId="1" fontId="8" fillId="0" borderId="38" xfId="0" applyNumberFormat="1" applyFont="1" applyFill="1" applyBorder="1" applyAlignment="1">
      <alignment horizontal="center" vertical="center"/>
    </xf>
    <xf numFmtId="1" fontId="4"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xf>
    <xf numFmtId="0" fontId="4" fillId="0" borderId="15" xfId="0" applyFont="1" applyFill="1" applyBorder="1" applyAlignment="1">
      <alignment horizontal="center" vertical="center"/>
    </xf>
    <xf numFmtId="1" fontId="4" fillId="0" borderId="7" xfId="0" applyNumberFormat="1" applyFont="1" applyFill="1" applyBorder="1" applyAlignment="1">
      <alignment horizontal="center" vertical="center"/>
    </xf>
    <xf numFmtId="167" fontId="4" fillId="0" borderId="1" xfId="0" applyNumberFormat="1" applyFont="1" applyFill="1" applyBorder="1" applyAlignment="1">
      <alignment horizontal="center" vertical="center" wrapText="1"/>
    </xf>
    <xf numFmtId="14" fontId="4" fillId="0" borderId="7" xfId="0" applyNumberFormat="1" applyFont="1" applyFill="1" applyBorder="1" applyAlignment="1">
      <alignment horizontal="center" vertical="center"/>
    </xf>
    <xf numFmtId="1" fontId="8" fillId="0" borderId="38" xfId="0" applyNumberFormat="1" applyFont="1" applyFill="1" applyBorder="1" applyAlignment="1">
      <alignment horizontal="center" vertical="center" wrapText="1"/>
    </xf>
    <xf numFmtId="0" fontId="4" fillId="0" borderId="7" xfId="0" quotePrefix="1" applyFont="1" applyFill="1" applyBorder="1" applyAlignment="1">
      <alignment horizontal="center" vertical="center"/>
    </xf>
    <xf numFmtId="0" fontId="4" fillId="0" borderId="7" xfId="0" applyFont="1" applyFill="1" applyBorder="1" applyAlignment="1">
      <alignment vertical="center"/>
    </xf>
    <xf numFmtId="1" fontId="4" fillId="0" borderId="51" xfId="0" applyNumberFormat="1" applyFont="1" applyFill="1" applyBorder="1" applyAlignment="1">
      <alignment horizontal="center" vertical="center"/>
    </xf>
    <xf numFmtId="0" fontId="4" fillId="0" borderId="14" xfId="0" quotePrefix="1" applyFont="1" applyFill="1" applyBorder="1" applyAlignment="1">
      <alignment horizontal="center" vertical="center"/>
    </xf>
    <xf numFmtId="0" fontId="4" fillId="15" borderId="38" xfId="0" applyFont="1" applyFill="1" applyBorder="1" applyAlignment="1">
      <alignment vertical="center"/>
    </xf>
    <xf numFmtId="0" fontId="4" fillId="15" borderId="38" xfId="0" applyFont="1" applyFill="1" applyBorder="1" applyAlignment="1">
      <alignment vertical="center" wrapText="1"/>
    </xf>
    <xf numFmtId="16" fontId="4" fillId="15" borderId="38" xfId="0" applyNumberFormat="1" applyFont="1" applyFill="1" applyBorder="1" applyAlignment="1">
      <alignment horizontal="center" vertical="center"/>
    </xf>
    <xf numFmtId="0" fontId="4" fillId="15" borderId="38" xfId="0" applyFont="1" applyFill="1" applyBorder="1" applyAlignment="1">
      <alignment horizontal="center" vertical="center"/>
    </xf>
    <xf numFmtId="3" fontId="4" fillId="15" borderId="38" xfId="0" applyNumberFormat="1" applyFont="1" applyFill="1" applyBorder="1" applyAlignment="1">
      <alignment horizontal="center" vertical="center" wrapText="1"/>
    </xf>
    <xf numFmtId="14" fontId="4" fillId="15" borderId="38" xfId="0" applyNumberFormat="1" applyFont="1" applyFill="1" applyBorder="1" applyAlignment="1">
      <alignment horizontal="center" vertical="center"/>
    </xf>
    <xf numFmtId="1" fontId="4" fillId="16" borderId="38" xfId="0" applyNumberFormat="1" applyFont="1" applyFill="1" applyBorder="1" applyAlignment="1">
      <alignment horizontal="center" vertical="center"/>
    </xf>
    <xf numFmtId="14" fontId="7" fillId="15" borderId="38" xfId="0" applyNumberFormat="1" applyFont="1" applyFill="1" applyBorder="1" applyAlignment="1">
      <alignment horizontal="center" vertical="center"/>
    </xf>
    <xf numFmtId="3" fontId="4" fillId="16" borderId="38" xfId="0" applyNumberFormat="1" applyFont="1" applyFill="1" applyBorder="1" applyAlignment="1">
      <alignment horizontal="center" vertical="center" wrapText="1"/>
    </xf>
    <xf numFmtId="0" fontId="4" fillId="16" borderId="38" xfId="0" applyFont="1" applyFill="1" applyBorder="1" applyAlignment="1">
      <alignment horizontal="center" vertical="center" wrapText="1"/>
    </xf>
    <xf numFmtId="1" fontId="4" fillId="15" borderId="38" xfId="0" applyNumberFormat="1" applyFont="1" applyFill="1" applyBorder="1" applyAlignment="1">
      <alignment horizontal="center" vertical="center"/>
    </xf>
    <xf numFmtId="14" fontId="32" fillId="15" borderId="38" xfId="0" applyNumberFormat="1" applyFont="1" applyFill="1" applyBorder="1" applyAlignment="1">
      <alignment horizontal="center" vertical="center"/>
    </xf>
    <xf numFmtId="0" fontId="4" fillId="15" borderId="38" xfId="0" applyFont="1" applyFill="1" applyBorder="1" applyAlignment="1">
      <alignment horizontal="center" vertical="center" wrapText="1"/>
    </xf>
    <xf numFmtId="0" fontId="4" fillId="15" borderId="38" xfId="0" quotePrefix="1" applyFont="1" applyFill="1" applyBorder="1" applyAlignment="1">
      <alignment horizontal="center" vertical="center"/>
    </xf>
    <xf numFmtId="0" fontId="4" fillId="15" borderId="39" xfId="0" applyFont="1" applyFill="1" applyBorder="1" applyAlignment="1">
      <alignment horizontal="center" vertical="center"/>
    </xf>
    <xf numFmtId="14" fontId="83" fillId="0" borderId="38" xfId="0" applyNumberFormat="1" applyFont="1" applyFill="1" applyBorder="1" applyAlignment="1">
      <alignment horizontal="center" vertical="center" wrapText="1"/>
    </xf>
    <xf numFmtId="14" fontId="93" fillId="0" borderId="38" xfId="0" applyNumberFormat="1" applyFont="1" applyFill="1" applyBorder="1" applyAlignment="1">
      <alignment horizontal="center" vertical="center"/>
    </xf>
    <xf numFmtId="3" fontId="4" fillId="15" borderId="38" xfId="0" applyNumberFormat="1" applyFont="1" applyFill="1" applyBorder="1" applyAlignment="1">
      <alignment vertical="center"/>
    </xf>
    <xf numFmtId="14" fontId="93" fillId="0" borderId="1" xfId="0" applyNumberFormat="1" applyFont="1" applyFill="1" applyBorder="1" applyAlignment="1">
      <alignment horizontal="center" vertical="center"/>
    </xf>
    <xf numFmtId="0" fontId="32" fillId="0" borderId="38" xfId="0" applyFont="1" applyFill="1" applyBorder="1" applyAlignment="1">
      <alignment horizontal="left" vertical="center" wrapText="1"/>
    </xf>
    <xf numFmtId="14" fontId="4" fillId="16" borderId="38" xfId="0" applyNumberFormat="1" applyFont="1" applyFill="1" applyBorder="1" applyAlignment="1">
      <alignment horizontal="center" vertical="center" wrapText="1"/>
    </xf>
    <xf numFmtId="0" fontId="4"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14" fontId="93" fillId="15" borderId="38" xfId="0" applyNumberFormat="1" applyFont="1" applyFill="1" applyBorder="1" applyAlignment="1">
      <alignment horizontal="left" vertical="center" wrapText="1"/>
    </xf>
    <xf numFmtId="0" fontId="2" fillId="0" borderId="7" xfId="0" applyFont="1" applyFill="1" applyBorder="1" applyAlignment="1">
      <alignment horizontal="center" vertical="center" wrapText="1"/>
    </xf>
    <xf numFmtId="0" fontId="95" fillId="10" borderId="38" xfId="0" applyFont="1" applyFill="1" applyBorder="1" applyAlignment="1">
      <alignment horizontal="left" vertical="center" wrapText="1"/>
    </xf>
    <xf numFmtId="0" fontId="96" fillId="0" borderId="3" xfId="0" applyFont="1" applyFill="1" applyBorder="1" applyAlignment="1">
      <alignment horizontal="center" vertical="center" wrapText="1"/>
    </xf>
    <xf numFmtId="0" fontId="95" fillId="0" borderId="38" xfId="0" applyFont="1" applyFill="1" applyBorder="1" applyAlignment="1">
      <alignment horizontal="left" vertical="center" wrapText="1"/>
    </xf>
    <xf numFmtId="0" fontId="86" fillId="2" borderId="38" xfId="0" applyFont="1" applyFill="1" applyBorder="1" applyAlignment="1">
      <alignment horizontal="center" vertical="center" wrapText="1"/>
    </xf>
    <xf numFmtId="0" fontId="86" fillId="2" borderId="3" xfId="0" applyFont="1" applyFill="1" applyBorder="1" applyAlignment="1">
      <alignment horizontal="center" vertical="center" wrapText="1"/>
    </xf>
    <xf numFmtId="3" fontId="86" fillId="2" borderId="3" xfId="0" applyNumberFormat="1" applyFont="1" applyFill="1" applyBorder="1" applyAlignment="1">
      <alignment horizontal="center" vertical="center" wrapText="1"/>
    </xf>
    <xf numFmtId="0" fontId="86" fillId="2" borderId="14" xfId="0" applyFont="1" applyFill="1" applyBorder="1" applyAlignment="1">
      <alignment horizontal="center" vertical="center" wrapText="1"/>
    </xf>
    <xf numFmtId="0" fontId="86" fillId="2" borderId="11" xfId="0" applyFont="1" applyFill="1" applyBorder="1" applyAlignment="1">
      <alignment horizontal="center" vertical="center" wrapText="1"/>
    </xf>
    <xf numFmtId="0" fontId="86" fillId="2" borderId="41" xfId="0" applyFont="1" applyFill="1" applyBorder="1" applyAlignment="1">
      <alignment horizontal="center" vertical="center" wrapText="1"/>
    </xf>
    <xf numFmtId="0" fontId="87" fillId="7" borderId="38" xfId="0" applyFont="1" applyFill="1" applyBorder="1" applyAlignment="1">
      <alignment horizontal="left" vertical="center"/>
    </xf>
    <xf numFmtId="0" fontId="87" fillId="7" borderId="38" xfId="0" applyFont="1" applyFill="1" applyBorder="1" applyAlignment="1">
      <alignment vertical="center"/>
    </xf>
    <xf numFmtId="16" fontId="87" fillId="7" borderId="38" xfId="0" applyNumberFormat="1" applyFont="1" applyFill="1" applyBorder="1" applyAlignment="1">
      <alignment horizontal="center" vertical="center"/>
    </xf>
    <xf numFmtId="0" fontId="87" fillId="10" borderId="38" xfId="0" applyFont="1" applyFill="1" applyBorder="1" applyAlignment="1">
      <alignment horizontal="center" vertical="center"/>
    </xf>
    <xf numFmtId="3" fontId="87" fillId="10" borderId="38" xfId="0" applyNumberFormat="1" applyFont="1" applyFill="1" applyBorder="1" applyAlignment="1">
      <alignment vertical="center"/>
    </xf>
    <xf numFmtId="3" fontId="87" fillId="10" borderId="38" xfId="0" applyNumberFormat="1" applyFont="1" applyFill="1" applyBorder="1" applyAlignment="1">
      <alignment horizontal="center" vertical="center"/>
    </xf>
    <xf numFmtId="14" fontId="87" fillId="10" borderId="38" xfId="0" applyNumberFormat="1" applyFont="1" applyFill="1" applyBorder="1" applyAlignment="1">
      <alignment horizontal="center" vertical="center"/>
    </xf>
    <xf numFmtId="1" fontId="87" fillId="10" borderId="38" xfId="0" applyNumberFormat="1" applyFont="1" applyFill="1" applyBorder="1" applyAlignment="1">
      <alignment horizontal="center" vertical="center"/>
    </xf>
    <xf numFmtId="14" fontId="87" fillId="8" borderId="38" xfId="0" applyNumberFormat="1" applyFont="1" applyFill="1" applyBorder="1" applyAlignment="1">
      <alignment horizontal="center" vertical="center"/>
    </xf>
    <xf numFmtId="1" fontId="87" fillId="8" borderId="38" xfId="0" applyNumberFormat="1" applyFont="1" applyFill="1" applyBorder="1" applyAlignment="1">
      <alignment horizontal="center" vertical="center"/>
    </xf>
    <xf numFmtId="1" fontId="87" fillId="8" borderId="38" xfId="0" applyNumberFormat="1" applyFont="1" applyFill="1" applyBorder="1" applyAlignment="1">
      <alignment horizontal="center" vertical="center" wrapText="1"/>
    </xf>
    <xf numFmtId="167" fontId="87" fillId="10" borderId="38" xfId="0" applyNumberFormat="1" applyFont="1" applyFill="1" applyBorder="1" applyAlignment="1">
      <alignment horizontal="center" vertical="center" wrapText="1"/>
    </xf>
    <xf numFmtId="0" fontId="87" fillId="10" borderId="38" xfId="0" quotePrefix="1" applyFont="1" applyFill="1" applyBorder="1" applyAlignment="1">
      <alignment horizontal="center" vertical="center"/>
    </xf>
    <xf numFmtId="0" fontId="87" fillId="7" borderId="38" xfId="0" applyFont="1" applyFill="1" applyBorder="1" applyAlignment="1">
      <alignment horizontal="center" vertical="center" wrapText="1"/>
    </xf>
    <xf numFmtId="1" fontId="87" fillId="10" borderId="38" xfId="0" applyNumberFormat="1" applyFont="1" applyFill="1" applyBorder="1" applyAlignment="1">
      <alignment horizontal="center" vertical="center" wrapText="1"/>
    </xf>
    <xf numFmtId="0" fontId="87" fillId="2" borderId="7" xfId="0" applyFont="1" applyFill="1" applyBorder="1" applyAlignment="1">
      <alignment vertical="center"/>
    </xf>
    <xf numFmtId="16" fontId="87" fillId="2" borderId="7" xfId="0" applyNumberFormat="1" applyFont="1" applyFill="1" applyBorder="1" applyAlignment="1">
      <alignment horizontal="center" vertical="center"/>
    </xf>
    <xf numFmtId="16" fontId="87" fillId="2" borderId="7" xfId="0" applyNumberFormat="1" applyFont="1" applyFill="1" applyBorder="1" applyAlignment="1">
      <alignment horizontal="center" vertical="center" wrapText="1"/>
    </xf>
    <xf numFmtId="0" fontId="87" fillId="2" borderId="7" xfId="0" applyFont="1" applyFill="1" applyBorder="1" applyAlignment="1">
      <alignment horizontal="center" vertical="center"/>
    </xf>
    <xf numFmtId="3" fontId="87" fillId="2" borderId="7" xfId="0" applyNumberFormat="1" applyFont="1" applyFill="1" applyBorder="1" applyAlignment="1">
      <alignment horizontal="center" vertical="center"/>
    </xf>
    <xf numFmtId="2" fontId="87" fillId="2" borderId="7" xfId="0" applyNumberFormat="1" applyFont="1" applyFill="1" applyBorder="1" applyAlignment="1">
      <alignment horizontal="center" vertical="center"/>
    </xf>
    <xf numFmtId="1" fontId="87" fillId="2" borderId="7" xfId="0" applyNumberFormat="1" applyFont="1" applyFill="1" applyBorder="1" applyAlignment="1">
      <alignment horizontal="center" vertical="center"/>
    </xf>
    <xf numFmtId="2" fontId="50" fillId="2" borderId="7" xfId="0" applyNumberFormat="1" applyFont="1" applyFill="1" applyBorder="1" applyAlignment="1">
      <alignment horizontal="center" vertical="center"/>
    </xf>
    <xf numFmtId="14" fontId="87" fillId="2" borderId="7" xfId="0" applyNumberFormat="1" applyFont="1" applyFill="1" applyBorder="1" applyAlignment="1">
      <alignment horizontal="center" vertical="center"/>
    </xf>
    <xf numFmtId="1" fontId="87" fillId="2" borderId="7" xfId="0" applyNumberFormat="1" applyFont="1" applyFill="1" applyBorder="1" applyAlignment="1">
      <alignment horizontal="center" vertical="center" wrapText="1"/>
    </xf>
    <xf numFmtId="14" fontId="89" fillId="2" borderId="7" xfId="0" applyNumberFormat="1" applyFont="1" applyFill="1" applyBorder="1" applyAlignment="1">
      <alignment horizontal="center" vertical="center"/>
    </xf>
    <xf numFmtId="0" fontId="87" fillId="2" borderId="7" xfId="0" applyFont="1" applyFill="1" applyBorder="1" applyAlignment="1">
      <alignment horizontal="center" vertical="center" wrapText="1"/>
    </xf>
    <xf numFmtId="0" fontId="87" fillId="2" borderId="7" xfId="0" quotePrefix="1" applyFont="1" applyFill="1" applyBorder="1" applyAlignment="1">
      <alignment horizontal="center" vertical="center"/>
    </xf>
    <xf numFmtId="0" fontId="87" fillId="2" borderId="15" xfId="0" applyFont="1" applyFill="1" applyBorder="1" applyAlignment="1">
      <alignment horizontal="center" vertical="center"/>
    </xf>
    <xf numFmtId="0" fontId="87" fillId="2" borderId="15" xfId="0" applyFont="1" applyFill="1" applyBorder="1" applyAlignment="1">
      <alignment horizontal="center" vertical="center" wrapText="1"/>
    </xf>
    <xf numFmtId="14" fontId="88" fillId="2" borderId="7" xfId="0" applyNumberFormat="1" applyFont="1" applyFill="1" applyBorder="1" applyAlignment="1">
      <alignment horizontal="center" vertical="center"/>
    </xf>
    <xf numFmtId="0" fontId="87" fillId="2" borderId="7" xfId="0" applyFont="1" applyFill="1" applyBorder="1" applyAlignment="1">
      <alignment horizontal="left" vertical="center" wrapText="1"/>
    </xf>
    <xf numFmtId="3" fontId="87" fillId="2" borderId="7" xfId="0" applyNumberFormat="1" applyFont="1" applyFill="1" applyBorder="1" applyAlignment="1">
      <alignment vertical="center"/>
    </xf>
    <xf numFmtId="0" fontId="87" fillId="0" borderId="38" xfId="0" applyFont="1" applyFill="1" applyBorder="1" applyAlignment="1">
      <alignment vertical="center"/>
    </xf>
    <xf numFmtId="16" fontId="87" fillId="0" borderId="38" xfId="0" applyNumberFormat="1" applyFont="1" applyFill="1" applyBorder="1" applyAlignment="1">
      <alignment horizontal="center" vertical="center"/>
    </xf>
    <xf numFmtId="0" fontId="87" fillId="0" borderId="38" xfId="0" applyFont="1" applyFill="1" applyBorder="1" applyAlignment="1">
      <alignment horizontal="center" vertical="center"/>
    </xf>
    <xf numFmtId="3" fontId="87" fillId="0" borderId="38" xfId="0" applyNumberFormat="1" applyFont="1" applyFill="1" applyBorder="1" applyAlignment="1">
      <alignment vertical="center"/>
    </xf>
    <xf numFmtId="3" fontId="87" fillId="0" borderId="38" xfId="0" applyNumberFormat="1" applyFont="1" applyFill="1" applyBorder="1" applyAlignment="1">
      <alignment horizontal="center" vertical="center" wrapText="1"/>
    </xf>
    <xf numFmtId="14" fontId="87" fillId="0" borderId="38" xfId="0" applyNumberFormat="1" applyFont="1" applyFill="1" applyBorder="1" applyAlignment="1">
      <alignment horizontal="center" vertical="center"/>
    </xf>
    <xf numFmtId="1" fontId="87" fillId="0" borderId="38" xfId="0" applyNumberFormat="1" applyFont="1" applyFill="1" applyBorder="1" applyAlignment="1">
      <alignment horizontal="center" vertical="center"/>
    </xf>
    <xf numFmtId="14" fontId="50" fillId="0" borderId="38" xfId="0" applyNumberFormat="1" applyFont="1" applyFill="1" applyBorder="1" applyAlignment="1">
      <alignment horizontal="center" vertical="center"/>
    </xf>
    <xf numFmtId="0" fontId="87" fillId="0" borderId="38" xfId="0" applyFont="1" applyFill="1" applyBorder="1" applyAlignment="1">
      <alignment horizontal="center" vertical="center" wrapText="1"/>
    </xf>
    <xf numFmtId="14" fontId="89" fillId="0" borderId="38" xfId="0" applyNumberFormat="1" applyFont="1" applyFill="1" applyBorder="1" applyAlignment="1">
      <alignment horizontal="center" vertical="center"/>
    </xf>
    <xf numFmtId="0" fontId="87" fillId="0" borderId="38" xfId="0" quotePrefix="1" applyFont="1" applyFill="1" applyBorder="1" applyAlignment="1">
      <alignment horizontal="center" vertical="center"/>
    </xf>
    <xf numFmtId="0" fontId="87" fillId="0" borderId="39" xfId="0" applyFont="1" applyFill="1" applyBorder="1" applyAlignment="1">
      <alignment horizontal="center" vertical="center"/>
    </xf>
    <xf numFmtId="14" fontId="87" fillId="0" borderId="38" xfId="0" applyNumberFormat="1" applyFont="1" applyFill="1" applyBorder="1" applyAlignment="1">
      <alignment horizontal="left" vertical="center" wrapText="1"/>
    </xf>
    <xf numFmtId="0" fontId="87" fillId="0" borderId="38" xfId="0" applyFont="1" applyFill="1" applyBorder="1" applyAlignment="1">
      <alignment horizontal="left" vertical="center"/>
    </xf>
    <xf numFmtId="1" fontId="87" fillId="0" borderId="38" xfId="0" applyNumberFormat="1" applyFont="1" applyFill="1" applyBorder="1" applyAlignment="1">
      <alignment horizontal="center" vertical="center" wrapText="1"/>
    </xf>
    <xf numFmtId="3" fontId="87" fillId="0" borderId="38" xfId="0" applyNumberFormat="1" applyFont="1" applyFill="1" applyBorder="1" applyAlignment="1">
      <alignment horizontal="center" vertical="center"/>
    </xf>
    <xf numFmtId="167" fontId="87" fillId="0" borderId="38" xfId="0" applyNumberFormat="1" applyFont="1" applyFill="1" applyBorder="1" applyAlignment="1">
      <alignment horizontal="center" vertical="center" wrapText="1"/>
    </xf>
    <xf numFmtId="14" fontId="97" fillId="0" borderId="38" xfId="0" applyNumberFormat="1" applyFont="1" applyFill="1" applyBorder="1" applyAlignment="1">
      <alignment horizontal="center" vertical="center"/>
    </xf>
    <xf numFmtId="0" fontId="87" fillId="0" borderId="45" xfId="0" applyFont="1" applyFill="1" applyBorder="1" applyAlignment="1">
      <alignment horizontal="center" vertical="center"/>
    </xf>
    <xf numFmtId="0" fontId="87" fillId="0" borderId="38" xfId="0" applyFont="1" applyFill="1" applyBorder="1" applyAlignment="1">
      <alignment horizontal="left" vertical="center" wrapText="1"/>
    </xf>
    <xf numFmtId="16" fontId="87" fillId="0" borderId="38" xfId="0" applyNumberFormat="1" applyFont="1" applyFill="1" applyBorder="1" applyAlignment="1">
      <alignment horizontal="center" vertical="center" wrapText="1"/>
    </xf>
    <xf numFmtId="0" fontId="87" fillId="0" borderId="7" xfId="0" applyFont="1" applyFill="1" applyBorder="1" applyAlignment="1">
      <alignment horizontal="center" vertical="center" wrapText="1"/>
    </xf>
    <xf numFmtId="14" fontId="87" fillId="0" borderId="38" xfId="0" applyNumberFormat="1" applyFont="1" applyFill="1" applyBorder="1" applyAlignment="1">
      <alignment horizontal="center" vertical="center" wrapText="1"/>
    </xf>
    <xf numFmtId="0" fontId="98" fillId="0" borderId="38" xfId="0" applyFont="1" applyFill="1" applyBorder="1" applyAlignment="1">
      <alignment horizontal="left" vertical="center" wrapText="1"/>
    </xf>
    <xf numFmtId="0" fontId="87" fillId="0" borderId="38" xfId="0" applyFont="1" applyFill="1" applyBorder="1" applyAlignment="1">
      <alignment vertical="center" wrapText="1"/>
    </xf>
    <xf numFmtId="2" fontId="68" fillId="0" borderId="0" xfId="0" applyNumberFormat="1" applyFont="1"/>
    <xf numFmtId="0" fontId="87" fillId="0" borderId="7" xfId="0" applyFont="1" applyFill="1" applyBorder="1" applyAlignment="1">
      <alignment horizontal="center" vertical="center"/>
    </xf>
    <xf numFmtId="14" fontId="4" fillId="0" borderId="0" xfId="0" applyNumberFormat="1" applyFont="1" applyAlignment="1"/>
    <xf numFmtId="14" fontId="97" fillId="10" borderId="38" xfId="0" applyNumberFormat="1" applyFont="1" applyFill="1" applyBorder="1" applyAlignment="1">
      <alignment horizontal="center" vertical="center"/>
    </xf>
    <xf numFmtId="0" fontId="4" fillId="0" borderId="40" xfId="0" applyFont="1" applyFill="1" applyBorder="1"/>
    <xf numFmtId="0" fontId="6" fillId="0" borderId="15" xfId="0" applyFont="1" applyFill="1" applyBorder="1" applyAlignment="1">
      <alignment horizontal="center"/>
    </xf>
    <xf numFmtId="0" fontId="4" fillId="0" borderId="11" xfId="0" applyFont="1" applyFill="1" applyBorder="1" applyAlignment="1">
      <alignment horizontal="center" vertical="center" wrapText="1"/>
    </xf>
    <xf numFmtId="0" fontId="87" fillId="0" borderId="45" xfId="0" quotePrefix="1" applyFont="1" applyFill="1" applyBorder="1" applyAlignment="1">
      <alignment horizontal="center" vertical="center"/>
    </xf>
    <xf numFmtId="168" fontId="87" fillId="0" borderId="38" xfId="0" applyNumberFormat="1" applyFont="1" applyFill="1" applyBorder="1" applyAlignment="1">
      <alignment horizontal="center" vertical="center"/>
    </xf>
    <xf numFmtId="0" fontId="0" fillId="0" borderId="0" xfId="0" pivotButton="1"/>
    <xf numFmtId="0" fontId="0" fillId="0" borderId="0" xfId="0" applyAlignment="1">
      <alignment horizontal="center"/>
    </xf>
    <xf numFmtId="0" fontId="0" fillId="0" borderId="0" xfId="0" pivotButton="1" applyAlignment="1">
      <alignment horizontal="center"/>
    </xf>
    <xf numFmtId="4" fontId="0" fillId="0" borderId="0" xfId="0" applyNumberFormat="1"/>
    <xf numFmtId="2" fontId="0" fillId="0" borderId="0" xfId="0" applyNumberFormat="1"/>
    <xf numFmtId="2" fontId="0" fillId="0" borderId="0" xfId="0" applyNumberFormat="1" applyAlignment="1">
      <alignment horizontal="center"/>
    </xf>
    <xf numFmtId="0" fontId="0" fillId="0" borderId="0" xfId="0" applyAlignment="1">
      <alignment horizontal="right"/>
    </xf>
    <xf numFmtId="0" fontId="0" fillId="0" borderId="0" xfId="0" pivotButton="1" applyAlignment="1"/>
    <xf numFmtId="4" fontId="0" fillId="0" borderId="0" xfId="0" applyNumberFormat="1" applyAlignment="1"/>
    <xf numFmtId="0" fontId="4" fillId="10" borderId="38" xfId="0" applyFont="1" applyFill="1" applyBorder="1" applyAlignment="1">
      <alignment horizontal="left" vertical="center" wrapText="1"/>
    </xf>
    <xf numFmtId="0" fontId="87" fillId="19" borderId="52" xfId="0" applyFont="1" applyFill="1" applyBorder="1" applyAlignment="1">
      <alignment vertical="center"/>
    </xf>
    <xf numFmtId="16" fontId="87" fillId="19" borderId="52" xfId="0" applyNumberFormat="1" applyFont="1" applyFill="1" applyBorder="1" applyAlignment="1">
      <alignment horizontal="center" vertical="center"/>
    </xf>
    <xf numFmtId="0" fontId="87" fillId="20" borderId="53" xfId="0" applyFont="1" applyFill="1" applyBorder="1" applyAlignment="1">
      <alignment horizontal="center" vertical="center" wrapText="1"/>
    </xf>
    <xf numFmtId="0" fontId="87" fillId="19" borderId="52" xfId="0" applyFont="1" applyFill="1" applyBorder="1" applyAlignment="1">
      <alignment horizontal="center" vertical="center"/>
    </xf>
    <xf numFmtId="3" fontId="87" fillId="19" borderId="52" xfId="0" applyNumberFormat="1" applyFont="1" applyFill="1" applyBorder="1" applyAlignment="1">
      <alignment vertical="center"/>
    </xf>
    <xf numFmtId="3" fontId="87" fillId="19" borderId="52" xfId="0" applyNumberFormat="1" applyFont="1" applyFill="1" applyBorder="1" applyAlignment="1">
      <alignment horizontal="center" vertical="center" wrapText="1"/>
    </xf>
    <xf numFmtId="14" fontId="87" fillId="19" borderId="52" xfId="0" applyNumberFormat="1" applyFont="1" applyFill="1" applyBorder="1" applyAlignment="1">
      <alignment horizontal="center" vertical="center"/>
    </xf>
    <xf numFmtId="1" fontId="87" fillId="19" borderId="52" xfId="0" applyNumberFormat="1" applyFont="1" applyFill="1" applyBorder="1" applyAlignment="1">
      <alignment horizontal="center" vertical="center"/>
    </xf>
    <xf numFmtId="14" fontId="50" fillId="19" borderId="52" xfId="0" applyNumberFormat="1" applyFont="1" applyFill="1" applyBorder="1" applyAlignment="1">
      <alignment horizontal="center" vertical="center"/>
    </xf>
    <xf numFmtId="0" fontId="87" fillId="19" borderId="52" xfId="0" applyFont="1" applyFill="1" applyBorder="1" applyAlignment="1">
      <alignment horizontal="center" vertical="center" wrapText="1"/>
    </xf>
    <xf numFmtId="14" fontId="97" fillId="19" borderId="52" xfId="0" applyNumberFormat="1" applyFont="1" applyFill="1" applyBorder="1" applyAlignment="1">
      <alignment horizontal="center" vertical="center"/>
    </xf>
    <xf numFmtId="0" fontId="87" fillId="19" borderId="52" xfId="0" quotePrefix="1" applyFont="1" applyFill="1" applyBorder="1" applyAlignment="1">
      <alignment horizontal="center" vertical="center"/>
    </xf>
    <xf numFmtId="14" fontId="98" fillId="19" borderId="52" xfId="0" applyNumberFormat="1" applyFont="1" applyFill="1" applyBorder="1" applyAlignment="1">
      <alignment horizontal="center" vertical="center" wrapText="1"/>
    </xf>
    <xf numFmtId="14" fontId="87" fillId="19" borderId="52" xfId="0" applyNumberFormat="1" applyFont="1" applyFill="1" applyBorder="1" applyAlignment="1">
      <alignment horizontal="left" vertical="center" wrapText="1"/>
    </xf>
    <xf numFmtId="0" fontId="2" fillId="0" borderId="0" xfId="0" applyFont="1" applyAlignment="1">
      <alignment horizontal="right"/>
    </xf>
    <xf numFmtId="0" fontId="87" fillId="10" borderId="0" xfId="0" quotePrefix="1" applyFont="1" applyFill="1" applyBorder="1" applyAlignment="1">
      <alignment horizontal="center" vertical="center"/>
    </xf>
    <xf numFmtId="0" fontId="87" fillId="0" borderId="38" xfId="1" applyFont="1" applyFill="1" applyBorder="1" applyAlignment="1" applyProtection="1">
      <alignment horizontal="center" vertical="center" wrapText="1"/>
    </xf>
    <xf numFmtId="14" fontId="98" fillId="0" borderId="38" xfId="0" applyNumberFormat="1" applyFont="1" applyFill="1" applyBorder="1" applyAlignment="1">
      <alignment horizontal="center" vertical="center" wrapText="1"/>
    </xf>
    <xf numFmtId="1" fontId="87" fillId="21" borderId="38" xfId="0" applyNumberFormat="1" applyFont="1" applyFill="1" applyBorder="1" applyAlignment="1">
      <alignment horizontal="center" vertical="center" wrapText="1"/>
    </xf>
    <xf numFmtId="0" fontId="87" fillId="21" borderId="7" xfId="0" applyFont="1" applyFill="1" applyBorder="1" applyAlignment="1">
      <alignment horizontal="center" vertical="center"/>
    </xf>
    <xf numFmtId="0" fontId="87" fillId="21" borderId="38" xfId="0" applyFont="1" applyFill="1" applyBorder="1" applyAlignment="1">
      <alignment horizontal="center" vertical="center"/>
    </xf>
    <xf numFmtId="3" fontId="87" fillId="21" borderId="38" xfId="0" applyNumberFormat="1" applyFont="1" applyFill="1" applyBorder="1" applyAlignment="1">
      <alignment vertical="center"/>
    </xf>
    <xf numFmtId="3" fontId="87" fillId="21" borderId="38" xfId="0" applyNumberFormat="1" applyFont="1" applyFill="1" applyBorder="1" applyAlignment="1">
      <alignment horizontal="center" vertical="center"/>
    </xf>
    <xf numFmtId="14" fontId="87" fillId="21" borderId="38" xfId="0" applyNumberFormat="1" applyFont="1" applyFill="1" applyBorder="1" applyAlignment="1">
      <alignment horizontal="center" vertical="center"/>
    </xf>
    <xf numFmtId="1" fontId="87" fillId="21" borderId="38" xfId="0" applyNumberFormat="1" applyFont="1" applyFill="1" applyBorder="1" applyAlignment="1">
      <alignment horizontal="center" vertical="center"/>
    </xf>
    <xf numFmtId="14" fontId="87" fillId="22" borderId="38" xfId="0" applyNumberFormat="1" applyFont="1" applyFill="1" applyBorder="1" applyAlignment="1">
      <alignment horizontal="center" vertical="center"/>
    </xf>
    <xf numFmtId="1" fontId="87" fillId="22" borderId="38" xfId="0" applyNumberFormat="1" applyFont="1" applyFill="1" applyBorder="1" applyAlignment="1">
      <alignment horizontal="center" vertical="center"/>
    </xf>
    <xf numFmtId="1" fontId="87" fillId="22" borderId="38" xfId="0" applyNumberFormat="1" applyFont="1" applyFill="1" applyBorder="1" applyAlignment="1">
      <alignment horizontal="center" vertical="center" wrapText="1"/>
    </xf>
    <xf numFmtId="167" fontId="87" fillId="21" borderId="38" xfId="0" applyNumberFormat="1" applyFont="1" applyFill="1" applyBorder="1" applyAlignment="1">
      <alignment horizontal="center" vertical="center" wrapText="1"/>
    </xf>
    <xf numFmtId="14" fontId="97" fillId="21" borderId="38" xfId="0" applyNumberFormat="1" applyFont="1" applyFill="1" applyBorder="1" applyAlignment="1">
      <alignment horizontal="center" vertical="center"/>
    </xf>
    <xf numFmtId="14" fontId="50" fillId="21" borderId="38" xfId="0" applyNumberFormat="1" applyFont="1" applyFill="1" applyBorder="1" applyAlignment="1">
      <alignment horizontal="center" vertical="center"/>
    </xf>
    <xf numFmtId="0" fontId="87" fillId="21" borderId="38" xfId="0" quotePrefix="1" applyFont="1" applyFill="1" applyBorder="1" applyAlignment="1">
      <alignment horizontal="center" vertical="center"/>
    </xf>
    <xf numFmtId="0" fontId="87" fillId="21" borderId="45" xfId="0" applyFont="1" applyFill="1" applyBorder="1" applyAlignment="1">
      <alignment horizontal="center" vertical="center"/>
    </xf>
    <xf numFmtId="0" fontId="4" fillId="21" borderId="38" xfId="0" applyFont="1" applyFill="1" applyBorder="1" applyAlignment="1">
      <alignment horizontal="left" vertical="center" wrapText="1"/>
    </xf>
    <xf numFmtId="1" fontId="87" fillId="21" borderId="38" xfId="0" applyNumberFormat="1" applyFont="1" applyFill="1" applyBorder="1" applyAlignment="1">
      <alignment horizontal="left" vertical="center" wrapText="1"/>
    </xf>
    <xf numFmtId="0" fontId="0" fillId="0" borderId="0" xfId="0" pivotButton="1" applyAlignment="1">
      <alignment horizontal="left"/>
    </xf>
    <xf numFmtId="0" fontId="0" fillId="0" borderId="0" xfId="0" applyAlignment="1">
      <alignment horizontal="left"/>
    </xf>
    <xf numFmtId="1" fontId="0" fillId="0" borderId="0" xfId="0" applyNumberFormat="1"/>
    <xf numFmtId="0" fontId="100" fillId="0" borderId="0" xfId="0" applyFont="1" applyAlignment="1"/>
    <xf numFmtId="0" fontId="87" fillId="0" borderId="0" xfId="0" applyFont="1" applyFill="1" applyBorder="1" applyAlignment="1">
      <alignment horizontal="left" vertical="center"/>
    </xf>
    <xf numFmtId="0" fontId="87" fillId="0" borderId="0" xfId="0" applyFont="1" applyFill="1" applyBorder="1" applyAlignment="1">
      <alignment vertical="center"/>
    </xf>
    <xf numFmtId="16" fontId="87" fillId="0" borderId="0" xfId="0" applyNumberFormat="1" applyFont="1" applyFill="1" applyBorder="1" applyAlignment="1">
      <alignment horizontal="center" vertical="center"/>
    </xf>
    <xf numFmtId="1" fontId="87" fillId="0" borderId="0" xfId="0" applyNumberFormat="1" applyFont="1" applyFill="1" applyBorder="1" applyAlignment="1">
      <alignment horizontal="center" vertical="center" wrapText="1"/>
    </xf>
    <xf numFmtId="0" fontId="87" fillId="0" borderId="0" xfId="0" applyFont="1" applyFill="1" applyBorder="1" applyAlignment="1">
      <alignment horizontal="center" vertical="center"/>
    </xf>
    <xf numFmtId="3" fontId="87" fillId="0" borderId="0" xfId="0" applyNumberFormat="1" applyFont="1" applyFill="1" applyBorder="1" applyAlignment="1">
      <alignment vertical="center"/>
    </xf>
    <xf numFmtId="3" fontId="87" fillId="0" borderId="0" xfId="0" applyNumberFormat="1" applyFont="1" applyFill="1" applyBorder="1" applyAlignment="1">
      <alignment horizontal="center" vertical="center"/>
    </xf>
    <xf numFmtId="14" fontId="87" fillId="0" borderId="0" xfId="0" applyNumberFormat="1" applyFont="1" applyFill="1" applyBorder="1" applyAlignment="1">
      <alignment horizontal="center" vertical="center"/>
    </xf>
    <xf numFmtId="1" fontId="87" fillId="0" borderId="0" xfId="0" applyNumberFormat="1" applyFont="1" applyFill="1" applyBorder="1" applyAlignment="1">
      <alignment horizontal="center" vertical="center"/>
    </xf>
    <xf numFmtId="167" fontId="87" fillId="0" borderId="0" xfId="0" applyNumberFormat="1" applyFont="1" applyFill="1" applyBorder="1" applyAlignment="1">
      <alignment horizontal="center" vertical="center" wrapText="1"/>
    </xf>
    <xf numFmtId="14" fontId="97" fillId="0" borderId="0" xfId="0" applyNumberFormat="1" applyFont="1" applyFill="1" applyBorder="1" applyAlignment="1">
      <alignment horizontal="center" vertical="center"/>
    </xf>
    <xf numFmtId="14" fontId="50" fillId="0" borderId="0" xfId="0" applyNumberFormat="1" applyFont="1" applyFill="1" applyBorder="1" applyAlignment="1">
      <alignment horizontal="center" vertical="center"/>
    </xf>
    <xf numFmtId="0" fontId="87" fillId="0" borderId="0" xfId="0" quotePrefix="1" applyFont="1" applyFill="1" applyBorder="1" applyAlignment="1">
      <alignment horizontal="center" vertical="center"/>
    </xf>
    <xf numFmtId="0" fontId="87" fillId="0" borderId="0" xfId="0" applyFont="1" applyFill="1" applyBorder="1" applyAlignment="1">
      <alignment horizontal="center" vertical="center" wrapText="1"/>
    </xf>
    <xf numFmtId="14" fontId="98" fillId="21" borderId="38" xfId="0" applyNumberFormat="1" applyFont="1" applyFill="1" applyBorder="1" applyAlignment="1">
      <alignment horizontal="center" vertical="center"/>
    </xf>
    <xf numFmtId="0" fontId="4" fillId="18" borderId="0" xfId="0" applyFont="1" applyFill="1" applyBorder="1" applyAlignment="1">
      <alignment vertical="center"/>
    </xf>
    <xf numFmtId="0" fontId="87" fillId="18" borderId="38" xfId="0" applyFont="1" applyFill="1" applyBorder="1" applyAlignment="1">
      <alignment vertical="center"/>
    </xf>
    <xf numFmtId="0" fontId="87" fillId="18" borderId="38" xfId="0" applyFont="1" applyFill="1" applyBorder="1" applyAlignment="1">
      <alignment vertical="center" wrapText="1"/>
    </xf>
    <xf numFmtId="16" fontId="87" fillId="18" borderId="38" xfId="0" applyNumberFormat="1" applyFont="1" applyFill="1" applyBorder="1" applyAlignment="1">
      <alignment horizontal="center" vertical="center"/>
    </xf>
    <xf numFmtId="0" fontId="87" fillId="18" borderId="38" xfId="0" applyFont="1" applyFill="1" applyBorder="1" applyAlignment="1">
      <alignment horizontal="center" vertical="center"/>
    </xf>
    <xf numFmtId="3" fontId="87" fillId="18" borderId="38" xfId="0" applyNumberFormat="1" applyFont="1" applyFill="1" applyBorder="1" applyAlignment="1">
      <alignment vertical="center"/>
    </xf>
    <xf numFmtId="3" fontId="87" fillId="18" borderId="38" xfId="0" applyNumberFormat="1" applyFont="1" applyFill="1" applyBorder="1" applyAlignment="1">
      <alignment horizontal="center" vertical="center" wrapText="1"/>
    </xf>
    <xf numFmtId="14" fontId="87" fillId="18" borderId="38" xfId="0" applyNumberFormat="1" applyFont="1" applyFill="1" applyBorder="1" applyAlignment="1">
      <alignment horizontal="center" vertical="center"/>
    </xf>
    <xf numFmtId="1" fontId="87" fillId="18" borderId="38" xfId="0" applyNumberFormat="1" applyFont="1" applyFill="1" applyBorder="1" applyAlignment="1">
      <alignment horizontal="center" vertical="center"/>
    </xf>
    <xf numFmtId="14" fontId="50" fillId="18" borderId="38" xfId="0" applyNumberFormat="1" applyFont="1" applyFill="1" applyBorder="1" applyAlignment="1">
      <alignment horizontal="center" vertical="center"/>
    </xf>
    <xf numFmtId="0" fontId="87" fillId="18" borderId="38" xfId="0" applyFont="1" applyFill="1" applyBorder="1" applyAlignment="1">
      <alignment horizontal="center" vertical="center" wrapText="1"/>
    </xf>
    <xf numFmtId="14" fontId="89" fillId="18" borderId="38" xfId="0" applyNumberFormat="1" applyFont="1" applyFill="1" applyBorder="1" applyAlignment="1">
      <alignment horizontal="center" vertical="center"/>
    </xf>
    <xf numFmtId="0" fontId="87" fillId="18" borderId="38" xfId="0" quotePrefix="1" applyFont="1" applyFill="1" applyBorder="1" applyAlignment="1">
      <alignment horizontal="center" vertical="center"/>
    </xf>
    <xf numFmtId="0" fontId="87" fillId="18" borderId="45" xfId="0" applyFont="1" applyFill="1" applyBorder="1" applyAlignment="1">
      <alignment horizontal="center" vertical="center"/>
    </xf>
    <xf numFmtId="0" fontId="87" fillId="18" borderId="38" xfId="1" applyFont="1" applyFill="1" applyBorder="1" applyAlignment="1" applyProtection="1">
      <alignment horizontal="center" vertical="center" wrapText="1"/>
    </xf>
    <xf numFmtId="14" fontId="87" fillId="18" borderId="38" xfId="0" applyNumberFormat="1" applyFont="1" applyFill="1" applyBorder="1" applyAlignment="1">
      <alignment horizontal="left" vertical="center" wrapText="1"/>
    </xf>
    <xf numFmtId="0" fontId="4" fillId="18" borderId="0" xfId="0" applyFont="1" applyFill="1" applyBorder="1" applyAlignment="1">
      <alignment horizontal="center" vertical="center"/>
    </xf>
    <xf numFmtId="0" fontId="4" fillId="18" borderId="38" xfId="0" applyFont="1" applyFill="1" applyBorder="1" applyAlignment="1">
      <alignment horizontal="center" vertical="center" wrapText="1"/>
    </xf>
    <xf numFmtId="0" fontId="55" fillId="23" borderId="2" xfId="0" applyFont="1" applyFill="1" applyBorder="1"/>
    <xf numFmtId="0" fontId="55" fillId="23" borderId="3" xfId="0" applyFont="1" applyFill="1" applyBorder="1"/>
    <xf numFmtId="0" fontId="55" fillId="23" borderId="1" xfId="0" applyFont="1" applyFill="1" applyBorder="1"/>
    <xf numFmtId="0" fontId="55" fillId="24" borderId="2" xfId="0" applyFont="1" applyFill="1" applyBorder="1"/>
    <xf numFmtId="0" fontId="55" fillId="24" borderId="3" xfId="0" applyFont="1" applyFill="1" applyBorder="1"/>
    <xf numFmtId="0" fontId="3" fillId="24" borderId="3" xfId="0" applyFont="1" applyFill="1" applyBorder="1" applyAlignment="1">
      <alignment horizontal="center"/>
    </xf>
    <xf numFmtId="1" fontId="3" fillId="24" borderId="3" xfId="0" applyNumberFormat="1" applyFont="1" applyFill="1" applyBorder="1" applyAlignment="1">
      <alignment horizontal="center"/>
    </xf>
    <xf numFmtId="0" fontId="3" fillId="24" borderId="3" xfId="0" quotePrefix="1" applyFont="1" applyFill="1" applyBorder="1" applyAlignment="1">
      <alignment horizontal="center"/>
    </xf>
    <xf numFmtId="0" fontId="3" fillId="24" borderId="2" xfId="0" applyFont="1" applyFill="1" applyBorder="1" applyAlignment="1">
      <alignment horizontal="center"/>
    </xf>
    <xf numFmtId="9" fontId="3" fillId="24" borderId="2" xfId="0" applyNumberFormat="1" applyFont="1" applyFill="1" applyBorder="1" applyAlignment="1">
      <alignment horizontal="center"/>
    </xf>
    <xf numFmtId="1" fontId="3" fillId="24" borderId="2" xfId="0" applyNumberFormat="1" applyFont="1" applyFill="1" applyBorder="1" applyAlignment="1">
      <alignment horizontal="center"/>
    </xf>
    <xf numFmtId="0" fontId="55" fillId="24" borderId="1" xfId="0" applyFont="1" applyFill="1" applyBorder="1"/>
    <xf numFmtId="10" fontId="3" fillId="24" borderId="1" xfId="0" applyNumberFormat="1" applyFont="1" applyFill="1" applyBorder="1" applyAlignment="1">
      <alignment horizontal="center"/>
    </xf>
    <xf numFmtId="0" fontId="54" fillId="24" borderId="38" xfId="0" applyFont="1" applyFill="1" applyBorder="1"/>
    <xf numFmtId="0" fontId="54" fillId="24" borderId="15" xfId="0" applyFont="1" applyFill="1" applyBorder="1"/>
    <xf numFmtId="17" fontId="55" fillId="24" borderId="38" xfId="0" applyNumberFormat="1" applyFont="1" applyFill="1" applyBorder="1" applyAlignment="1">
      <alignment horizontal="right"/>
    </xf>
    <xf numFmtId="17" fontId="55" fillId="24" borderId="15" xfId="0" applyNumberFormat="1" applyFont="1" applyFill="1" applyBorder="1" applyAlignment="1">
      <alignment horizontal="right"/>
    </xf>
    <xf numFmtId="17" fontId="55" fillId="24" borderId="41" xfId="0" applyNumberFormat="1" applyFont="1" applyFill="1" applyBorder="1" applyAlignment="1">
      <alignment horizontal="right"/>
    </xf>
    <xf numFmtId="17" fontId="55" fillId="24" borderId="41" xfId="0" applyNumberFormat="1" applyFont="1" applyFill="1" applyBorder="1" applyAlignment="1">
      <alignment horizontal="center"/>
    </xf>
    <xf numFmtId="1" fontId="87" fillId="0" borderId="38" xfId="0" applyNumberFormat="1" applyFont="1" applyFill="1" applyBorder="1" applyAlignment="1">
      <alignment horizontal="left" vertical="center" wrapText="1"/>
    </xf>
    <xf numFmtId="0" fontId="101" fillId="0" borderId="0" xfId="0" applyFont="1"/>
    <xf numFmtId="14" fontId="98" fillId="10" borderId="38" xfId="0" applyNumberFormat="1" applyFont="1" applyFill="1" applyBorder="1" applyAlignment="1">
      <alignment horizontal="center" vertical="center"/>
    </xf>
    <xf numFmtId="14" fontId="98" fillId="0" borderId="38" xfId="0" applyNumberFormat="1" applyFont="1" applyFill="1" applyBorder="1" applyAlignment="1">
      <alignment horizontal="center" vertical="center"/>
    </xf>
    <xf numFmtId="0" fontId="87" fillId="10" borderId="7" xfId="0" quotePrefix="1" applyFont="1" applyFill="1" applyBorder="1" applyAlignment="1">
      <alignment horizontal="center" vertical="center"/>
    </xf>
    <xf numFmtId="16" fontId="4" fillId="0" borderId="3" xfId="0" applyNumberFormat="1" applyFont="1" applyFill="1" applyBorder="1" applyAlignment="1">
      <alignment horizontal="center" vertical="center" wrapText="1"/>
    </xf>
    <xf numFmtId="0" fontId="4" fillId="0" borderId="3" xfId="0" applyFont="1" applyFill="1" applyBorder="1" applyAlignment="1">
      <alignment horizontal="center" vertical="center"/>
    </xf>
    <xf numFmtId="3" fontId="4" fillId="0" borderId="3" xfId="0" applyNumberFormat="1" applyFont="1" applyFill="1" applyBorder="1" applyAlignment="1">
      <alignment vertical="center"/>
    </xf>
    <xf numFmtId="3" fontId="4" fillId="0" borderId="1" xfId="0" applyNumberFormat="1" applyFont="1" applyFill="1" applyBorder="1" applyAlignment="1">
      <alignment vertical="center"/>
    </xf>
    <xf numFmtId="14" fontId="32" fillId="0" borderId="3" xfId="0" quotePrefix="1" applyNumberFormat="1" applyFont="1" applyFill="1" applyBorder="1" applyAlignment="1">
      <alignment horizontal="center" vertical="center"/>
    </xf>
    <xf numFmtId="14" fontId="4" fillId="0" borderId="3" xfId="0" applyNumberFormat="1" applyFont="1" applyFill="1" applyBorder="1" applyAlignment="1">
      <alignment horizontal="center" vertical="center"/>
    </xf>
    <xf numFmtId="3" fontId="4" fillId="0" borderId="3" xfId="0" applyNumberFormat="1" applyFont="1" applyFill="1" applyBorder="1" applyAlignment="1">
      <alignment horizontal="center" vertical="center"/>
    </xf>
    <xf numFmtId="1" fontId="4" fillId="0" borderId="3" xfId="0" applyNumberFormat="1" applyFont="1" applyFill="1" applyBorder="1" applyAlignment="1">
      <alignment horizontal="center" vertical="center" wrapText="1"/>
    </xf>
    <xf numFmtId="14" fontId="4" fillId="0" borderId="3" xfId="0" quotePrefix="1" applyNumberFormat="1" applyFont="1" applyFill="1" applyBorder="1" applyAlignment="1">
      <alignment horizontal="center" vertical="center"/>
    </xf>
    <xf numFmtId="0" fontId="4" fillId="0" borderId="1" xfId="0" applyFont="1" applyBorder="1" applyAlignment="1">
      <alignment wrapText="1"/>
    </xf>
    <xf numFmtId="0" fontId="4" fillId="0" borderId="22" xfId="0" applyFont="1" applyFill="1" applyBorder="1" applyAlignment="1">
      <alignment horizontal="center" vertical="center"/>
    </xf>
    <xf numFmtId="0" fontId="4" fillId="0" borderId="1" xfId="0" applyFont="1" applyFill="1" applyBorder="1" applyAlignment="1">
      <alignment horizontal="center" vertical="center"/>
    </xf>
    <xf numFmtId="14" fontId="4" fillId="0" borderId="3" xfId="0" applyNumberFormat="1" applyFont="1" applyFill="1" applyBorder="1" applyAlignment="1">
      <alignment horizontal="center" vertical="center" wrapText="1"/>
    </xf>
    <xf numFmtId="0" fontId="4" fillId="0" borderId="3" xfId="0" applyFont="1" applyFill="1" applyBorder="1" applyAlignment="1">
      <alignment horizontal="left" vertical="center" wrapText="1"/>
    </xf>
    <xf numFmtId="1" fontId="4" fillId="0" borderId="3" xfId="0" applyNumberFormat="1" applyFont="1" applyFill="1" applyBorder="1" applyAlignment="1">
      <alignment horizontal="center" vertical="center"/>
    </xf>
    <xf numFmtId="0" fontId="4" fillId="0" borderId="46" xfId="0" applyFont="1" applyFill="1" applyBorder="1" applyAlignment="1">
      <alignment vertical="center"/>
    </xf>
    <xf numFmtId="0" fontId="4" fillId="0" borderId="3" xfId="0" applyFont="1" applyFill="1" applyBorder="1" applyAlignment="1">
      <alignment vertical="center"/>
    </xf>
    <xf numFmtId="16" fontId="4" fillId="0" borderId="3" xfId="0" applyNumberFormat="1" applyFont="1" applyFill="1" applyBorder="1" applyAlignment="1">
      <alignment horizontal="center" vertical="center"/>
    </xf>
    <xf numFmtId="0" fontId="4" fillId="0" borderId="2" xfId="0" applyFont="1" applyFill="1" applyBorder="1" applyAlignment="1">
      <alignment horizontal="center" wrapText="1"/>
    </xf>
    <xf numFmtId="0" fontId="4" fillId="0" borderId="1" xfId="0" applyFont="1" applyFill="1" applyBorder="1" applyAlignment="1">
      <alignment horizontal="center" wrapText="1"/>
    </xf>
    <xf numFmtId="0" fontId="2" fillId="0" borderId="0" xfId="0" applyFont="1"/>
    <xf numFmtId="0" fontId="2" fillId="0" borderId="0" xfId="0" applyFont="1" applyAlignment="1">
      <alignment horizontal="center"/>
    </xf>
    <xf numFmtId="0" fontId="2" fillId="0" borderId="0" xfId="0" applyFont="1" applyFill="1" applyAlignment="1">
      <alignment horizontal="right"/>
    </xf>
    <xf numFmtId="0" fontId="2" fillId="0" borderId="0" xfId="0" applyFont="1" applyFill="1" applyAlignment="1">
      <alignment horizontal="center"/>
    </xf>
    <xf numFmtId="0" fontId="4" fillId="0" borderId="14" xfId="0" applyFont="1" applyBorder="1" applyAlignment="1">
      <alignment horizontal="center"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6" xfId="0" applyFont="1" applyBorder="1" applyAlignment="1">
      <alignment horizontal="center" vertical="center"/>
    </xf>
    <xf numFmtId="0" fontId="4" fillId="0" borderId="13" xfId="0" applyFont="1" applyBorder="1" applyAlignment="1">
      <alignment horizontal="center" vertical="center"/>
    </xf>
    <xf numFmtId="0" fontId="4" fillId="0" borderId="2" xfId="0" applyFont="1" applyBorder="1" applyAlignment="1">
      <alignment vertical="center"/>
    </xf>
    <xf numFmtId="0" fontId="4" fillId="0" borderId="1" xfId="0" applyFont="1" applyBorder="1" applyAlignment="1">
      <alignment vertical="center"/>
    </xf>
    <xf numFmtId="14" fontId="2" fillId="0" borderId="0" xfId="0" applyNumberFormat="1" applyFont="1" applyAlignment="1">
      <alignment horizontal="left"/>
    </xf>
    <xf numFmtId="0" fontId="56" fillId="0" borderId="0" xfId="0" applyFont="1" applyFill="1"/>
    <xf numFmtId="0" fontId="57" fillId="0" borderId="0" xfId="0" applyFont="1" applyFill="1"/>
    <xf numFmtId="0" fontId="87" fillId="0" borderId="7" xfId="0" quotePrefix="1" applyFont="1" applyFill="1" applyBorder="1" applyAlignment="1">
      <alignment horizontal="center" vertical="center"/>
    </xf>
    <xf numFmtId="1" fontId="87" fillId="0" borderId="3" xfId="0" applyNumberFormat="1" applyFont="1" applyFill="1" applyBorder="1" applyAlignment="1">
      <alignment horizontal="left" vertical="center" wrapText="1"/>
    </xf>
    <xf numFmtId="1" fontId="87" fillId="0" borderId="3" xfId="0" applyNumberFormat="1" applyFont="1" applyFill="1" applyBorder="1" applyAlignment="1">
      <alignment horizontal="center" vertical="center" wrapText="1"/>
    </xf>
    <xf numFmtId="3" fontId="87" fillId="0" borderId="3" xfId="0" applyNumberFormat="1" applyFont="1" applyFill="1" applyBorder="1" applyAlignment="1">
      <alignment vertical="center"/>
    </xf>
    <xf numFmtId="3" fontId="87" fillId="0" borderId="3" xfId="0" applyNumberFormat="1" applyFont="1" applyFill="1" applyBorder="1" applyAlignment="1">
      <alignment horizontal="center" vertical="center"/>
    </xf>
    <xf numFmtId="14" fontId="87" fillId="0" borderId="3" xfId="0" applyNumberFormat="1" applyFont="1" applyFill="1" applyBorder="1" applyAlignment="1">
      <alignment horizontal="center" vertical="center"/>
    </xf>
    <xf numFmtId="1" fontId="87" fillId="0" borderId="3" xfId="0" applyNumberFormat="1" applyFont="1" applyFill="1" applyBorder="1" applyAlignment="1">
      <alignment horizontal="center" vertical="center"/>
    </xf>
    <xf numFmtId="167" fontId="87" fillId="0" borderId="3" xfId="0" applyNumberFormat="1" applyFont="1" applyFill="1" applyBorder="1" applyAlignment="1">
      <alignment horizontal="center" vertical="center" wrapText="1"/>
    </xf>
    <xf numFmtId="14" fontId="97" fillId="0" borderId="3" xfId="0" applyNumberFormat="1" applyFont="1" applyFill="1" applyBorder="1" applyAlignment="1">
      <alignment horizontal="center" vertical="center"/>
    </xf>
    <xf numFmtId="14" fontId="50" fillId="0" borderId="3" xfId="0" applyNumberFormat="1" applyFont="1" applyFill="1" applyBorder="1" applyAlignment="1">
      <alignment horizontal="center" vertical="center"/>
    </xf>
    <xf numFmtId="0" fontId="87" fillId="0" borderId="3" xfId="0" quotePrefix="1" applyFont="1" applyFill="1" applyBorder="1" applyAlignment="1">
      <alignment horizontal="center" vertical="center"/>
    </xf>
    <xf numFmtId="0" fontId="87" fillId="0" borderId="22" xfId="0" applyFont="1" applyFill="1" applyBorder="1" applyAlignment="1">
      <alignment horizontal="center" vertical="center"/>
    </xf>
    <xf numFmtId="14" fontId="98" fillId="0" borderId="3" xfId="0" applyNumberFormat="1" applyFont="1" applyFill="1" applyBorder="1" applyAlignment="1">
      <alignment horizontal="center" vertical="center"/>
    </xf>
    <xf numFmtId="0" fontId="87" fillId="0" borderId="3" xfId="0" applyFont="1" applyFill="1" applyBorder="1" applyAlignment="1">
      <alignment horizontal="center" vertical="center"/>
    </xf>
    <xf numFmtId="0" fontId="4" fillId="0" borderId="3" xfId="0" applyFont="1" applyFill="1" applyBorder="1" applyAlignment="1">
      <alignment horizontal="left" vertical="center" wrapText="1"/>
    </xf>
    <xf numFmtId="0" fontId="87" fillId="10" borderId="45" xfId="0" applyFont="1" applyFill="1" applyBorder="1" applyAlignment="1">
      <alignment horizontal="center" vertical="center"/>
    </xf>
    <xf numFmtId="0" fontId="87" fillId="0" borderId="15" xfId="0" applyFont="1" applyFill="1" applyBorder="1" applyAlignment="1">
      <alignment horizontal="center" vertical="center"/>
    </xf>
    <xf numFmtId="0" fontId="7" fillId="0" borderId="38" xfId="0" applyFont="1" applyFill="1" applyBorder="1" applyAlignment="1">
      <alignment horizontal="left" vertical="center" wrapText="1"/>
    </xf>
    <xf numFmtId="1" fontId="87" fillId="25" borderId="38" xfId="0" applyNumberFormat="1" applyFont="1" applyFill="1" applyBorder="1" applyAlignment="1">
      <alignment horizontal="left" vertical="center" wrapText="1"/>
    </xf>
    <xf numFmtId="1" fontId="87" fillId="25" borderId="38" xfId="0" applyNumberFormat="1" applyFont="1" applyFill="1" applyBorder="1" applyAlignment="1">
      <alignment horizontal="center" vertical="center" wrapText="1"/>
    </xf>
    <xf numFmtId="0" fontId="87" fillId="25" borderId="7" xfId="0" applyFont="1" applyFill="1" applyBorder="1" applyAlignment="1">
      <alignment horizontal="center" vertical="center"/>
    </xf>
    <xf numFmtId="0" fontId="87" fillId="25" borderId="38" xfId="0" applyFont="1" applyFill="1" applyBorder="1" applyAlignment="1">
      <alignment horizontal="center" vertical="center"/>
    </xf>
    <xf numFmtId="3" fontId="87" fillId="25" borderId="38" xfId="0" applyNumberFormat="1" applyFont="1" applyFill="1" applyBorder="1" applyAlignment="1">
      <alignment vertical="center"/>
    </xf>
    <xf numFmtId="3" fontId="87" fillId="25" borderId="38" xfId="0" applyNumberFormat="1" applyFont="1" applyFill="1" applyBorder="1" applyAlignment="1">
      <alignment horizontal="center" vertical="center"/>
    </xf>
    <xf numFmtId="14" fontId="87" fillId="25" borderId="38" xfId="0" applyNumberFormat="1" applyFont="1" applyFill="1" applyBorder="1" applyAlignment="1">
      <alignment horizontal="center" vertical="center"/>
    </xf>
    <xf numFmtId="1" fontId="87" fillId="25" borderId="38" xfId="0" applyNumberFormat="1" applyFont="1" applyFill="1" applyBorder="1" applyAlignment="1">
      <alignment horizontal="center" vertical="center"/>
    </xf>
    <xf numFmtId="14" fontId="87" fillId="26" borderId="38" xfId="0" applyNumberFormat="1" applyFont="1" applyFill="1" applyBorder="1" applyAlignment="1">
      <alignment horizontal="center" vertical="center"/>
    </xf>
    <xf numFmtId="1" fontId="87" fillId="26" borderId="38" xfId="0" applyNumberFormat="1" applyFont="1" applyFill="1" applyBorder="1" applyAlignment="1">
      <alignment horizontal="center" vertical="center"/>
    </xf>
    <xf numFmtId="1" fontId="87" fillId="26" borderId="38" xfId="0" applyNumberFormat="1" applyFont="1" applyFill="1" applyBorder="1" applyAlignment="1">
      <alignment horizontal="center" vertical="center" wrapText="1"/>
    </xf>
    <xf numFmtId="167" fontId="87" fillId="25" borderId="38" xfId="0" applyNumberFormat="1" applyFont="1" applyFill="1" applyBorder="1" applyAlignment="1">
      <alignment horizontal="center" vertical="center" wrapText="1"/>
    </xf>
    <xf numFmtId="14" fontId="97" fillId="25" borderId="38" xfId="0" applyNumberFormat="1" applyFont="1" applyFill="1" applyBorder="1" applyAlignment="1">
      <alignment horizontal="center" vertical="center"/>
    </xf>
    <xf numFmtId="14" fontId="50" fillId="25" borderId="38" xfId="0" applyNumberFormat="1" applyFont="1" applyFill="1" applyBorder="1" applyAlignment="1">
      <alignment horizontal="center" vertical="center"/>
    </xf>
    <xf numFmtId="0" fontId="87" fillId="25" borderId="45" xfId="0" applyFont="1" applyFill="1" applyBorder="1" applyAlignment="1">
      <alignment horizontal="center" vertical="center"/>
    </xf>
    <xf numFmtId="14" fontId="98" fillId="25" borderId="38" xfId="0" applyNumberFormat="1" applyFont="1" applyFill="1" applyBorder="1" applyAlignment="1">
      <alignment horizontal="center" vertical="center"/>
    </xf>
    <xf numFmtId="0" fontId="4" fillId="25" borderId="38" xfId="0" applyFont="1" applyFill="1" applyBorder="1" applyAlignment="1">
      <alignment horizontal="left" vertical="center" wrapText="1"/>
    </xf>
    <xf numFmtId="0" fontId="2" fillId="0" borderId="0" xfId="3"/>
    <xf numFmtId="0" fontId="0" fillId="0" borderId="2" xfId="0" applyBorder="1"/>
    <xf numFmtId="0" fontId="0" fillId="0" borderId="1" xfId="0" applyBorder="1"/>
    <xf numFmtId="14" fontId="4" fillId="0" borderId="0" xfId="0" applyNumberFormat="1" applyFont="1" applyFill="1" applyBorder="1" applyAlignment="1">
      <alignment vertical="center"/>
    </xf>
    <xf numFmtId="14" fontId="4" fillId="2" borderId="0" xfId="0" applyNumberFormat="1" applyFont="1" applyFill="1" applyBorder="1" applyAlignment="1">
      <alignment vertical="center"/>
    </xf>
    <xf numFmtId="14" fontId="4" fillId="0" borderId="0" xfId="0" applyNumberFormat="1" applyFont="1" applyFill="1" applyBorder="1" applyAlignment="1">
      <alignment horizontal="center" vertical="center" wrapText="1"/>
    </xf>
    <xf numFmtId="0" fontId="1" fillId="27" borderId="0" xfId="0" applyFont="1" applyFill="1"/>
    <xf numFmtId="1" fontId="0" fillId="0" borderId="0" xfId="0" applyNumberFormat="1" applyAlignment="1">
      <alignment horizontal="center"/>
    </xf>
    <xf numFmtId="0" fontId="0" fillId="24" borderId="2" xfId="0" applyFill="1" applyBorder="1" applyAlignment="1">
      <alignment horizontal="center"/>
    </xf>
    <xf numFmtId="0" fontId="87" fillId="21" borderId="38" xfId="0" quotePrefix="1" applyFont="1" applyFill="1" applyBorder="1" applyAlignment="1">
      <alignment horizontal="center" vertical="center" wrapText="1"/>
    </xf>
    <xf numFmtId="0" fontId="87" fillId="0" borderId="38" xfId="0" quotePrefix="1" applyFont="1" applyFill="1" applyBorder="1" applyAlignment="1">
      <alignment horizontal="center" vertical="center" wrapText="1"/>
    </xf>
    <xf numFmtId="0" fontId="87" fillId="10" borderId="38" xfId="0" quotePrefix="1" applyFont="1" applyFill="1" applyBorder="1" applyAlignment="1">
      <alignment horizontal="center" vertical="center" wrapText="1"/>
    </xf>
    <xf numFmtId="0" fontId="87" fillId="25" borderId="38" xfId="0" quotePrefix="1" applyFont="1" applyFill="1" applyBorder="1" applyAlignment="1">
      <alignment horizontal="center" vertical="center" wrapText="1"/>
    </xf>
    <xf numFmtId="16" fontId="87" fillId="0" borderId="45" xfId="0" applyNumberFormat="1" applyFont="1" applyFill="1" applyBorder="1" applyAlignment="1">
      <alignment horizontal="center" vertical="center"/>
    </xf>
    <xf numFmtId="0" fontId="2" fillId="2" borderId="0" xfId="3" applyFill="1"/>
    <xf numFmtId="0" fontId="1" fillId="2" borderId="0" xfId="3" applyFont="1" applyFill="1" applyAlignment="1">
      <alignment horizontal="left"/>
    </xf>
    <xf numFmtId="0" fontId="1" fillId="2" borderId="0" xfId="3" applyFont="1" applyFill="1" applyAlignment="1">
      <alignment horizontal="center"/>
    </xf>
    <xf numFmtId="0" fontId="78" fillId="2" borderId="38" xfId="3" applyFont="1" applyFill="1" applyBorder="1" applyAlignment="1">
      <alignment horizontal="center" vertical="center" wrapText="1"/>
    </xf>
    <xf numFmtId="3" fontId="78" fillId="2" borderId="38" xfId="3" applyNumberFormat="1" applyFont="1" applyFill="1" applyBorder="1" applyAlignment="1">
      <alignment horizontal="center" vertical="center" wrapText="1"/>
    </xf>
    <xf numFmtId="0" fontId="78" fillId="2" borderId="41" xfId="3" applyFont="1" applyFill="1" applyBorder="1" applyAlignment="1">
      <alignment horizontal="center" vertical="center" wrapText="1"/>
    </xf>
    <xf numFmtId="0" fontId="78" fillId="2" borderId="15" xfId="3" applyFont="1" applyFill="1" applyBorder="1" applyAlignment="1">
      <alignment horizontal="center" vertical="center" wrapText="1"/>
    </xf>
    <xf numFmtId="0" fontId="92" fillId="18" borderId="38" xfId="3" applyFont="1" applyFill="1" applyBorder="1" applyAlignment="1">
      <alignment horizontal="center" vertical="center"/>
    </xf>
    <xf numFmtId="0" fontId="8" fillId="2" borderId="41" xfId="3" applyFont="1" applyFill="1" applyBorder="1" applyAlignment="1">
      <alignment vertical="center"/>
    </xf>
    <xf numFmtId="0" fontId="8" fillId="2" borderId="38" xfId="3" applyFont="1" applyFill="1" applyBorder="1" applyAlignment="1">
      <alignment vertical="center"/>
    </xf>
    <xf numFmtId="16" fontId="8" fillId="2" borderId="38" xfId="3" applyNumberFormat="1" applyFont="1" applyFill="1" applyBorder="1" applyAlignment="1">
      <alignment horizontal="center" vertical="center"/>
    </xf>
    <xf numFmtId="0" fontId="8" fillId="2" borderId="38" xfId="3" applyFont="1" applyFill="1" applyBorder="1" applyAlignment="1">
      <alignment horizontal="center" vertical="center"/>
    </xf>
    <xf numFmtId="3" fontId="8" fillId="2" borderId="38" xfId="3" applyNumberFormat="1" applyFont="1" applyFill="1" applyBorder="1" applyAlignment="1">
      <alignment vertical="center"/>
    </xf>
    <xf numFmtId="14" fontId="8" fillId="2" borderId="38" xfId="3" applyNumberFormat="1" applyFont="1" applyFill="1" applyBorder="1" applyAlignment="1">
      <alignment horizontal="center" vertical="center"/>
    </xf>
    <xf numFmtId="1" fontId="8" fillId="2" borderId="38" xfId="3" applyNumberFormat="1" applyFont="1" applyFill="1" applyBorder="1" applyAlignment="1">
      <alignment horizontal="center" vertical="center"/>
    </xf>
    <xf numFmtId="14" fontId="29" fillId="2" borderId="38" xfId="3" applyNumberFormat="1" applyFont="1" applyFill="1" applyBorder="1" applyAlignment="1">
      <alignment horizontal="center" vertical="center"/>
    </xf>
    <xf numFmtId="14" fontId="8" fillId="2" borderId="38" xfId="3" quotePrefix="1" applyNumberFormat="1" applyFont="1" applyFill="1" applyBorder="1" applyAlignment="1">
      <alignment horizontal="center" vertical="center"/>
    </xf>
    <xf numFmtId="14" fontId="79" fillId="2" borderId="38" xfId="3" quotePrefix="1" applyNumberFormat="1" applyFont="1" applyFill="1" applyBorder="1" applyAlignment="1">
      <alignment horizontal="center" vertical="center"/>
    </xf>
    <xf numFmtId="0" fontId="8" fillId="2" borderId="38" xfId="3" applyFont="1" applyFill="1" applyBorder="1" applyAlignment="1">
      <alignment horizontal="center" vertical="center" wrapText="1"/>
    </xf>
    <xf numFmtId="14" fontId="8" fillId="2" borderId="38" xfId="3" applyNumberFormat="1" applyFont="1" applyFill="1" applyBorder="1" applyAlignment="1">
      <alignment horizontal="left" vertical="center" wrapText="1"/>
    </xf>
    <xf numFmtId="14" fontId="8" fillId="2" borderId="38" xfId="3" applyNumberFormat="1" applyFont="1" applyFill="1" applyBorder="1" applyAlignment="1">
      <alignment horizontal="center" vertical="center" wrapText="1"/>
    </xf>
    <xf numFmtId="0" fontId="8" fillId="2" borderId="38" xfId="3" applyFont="1" applyFill="1" applyBorder="1" applyAlignment="1">
      <alignment horizontal="left" vertical="center" wrapText="1"/>
    </xf>
    <xf numFmtId="14" fontId="79" fillId="2" borderId="38" xfId="3" applyNumberFormat="1" applyFont="1" applyFill="1" applyBorder="1" applyAlignment="1">
      <alignment horizontal="center" vertical="center"/>
    </xf>
    <xf numFmtId="3" fontId="8" fillId="2" borderId="38" xfId="3" applyNumberFormat="1" applyFont="1" applyFill="1" applyBorder="1" applyAlignment="1">
      <alignment horizontal="center" vertical="center"/>
    </xf>
    <xf numFmtId="14" fontId="80" fillId="2" borderId="38" xfId="3" applyNumberFormat="1" applyFont="1" applyFill="1" applyBorder="1" applyAlignment="1">
      <alignment horizontal="center" vertical="center" wrapText="1"/>
    </xf>
    <xf numFmtId="0" fontId="8" fillId="2" borderId="41" xfId="3" applyFont="1" applyFill="1" applyBorder="1" applyAlignment="1">
      <alignment horizontal="left" vertical="center"/>
    </xf>
    <xf numFmtId="0" fontId="8" fillId="2" borderId="38" xfId="3" applyFont="1" applyFill="1" applyBorder="1" applyAlignment="1">
      <alignment horizontal="left" vertical="center"/>
    </xf>
    <xf numFmtId="16" fontId="8" fillId="2" borderId="38" xfId="3" applyNumberFormat="1" applyFont="1" applyFill="1" applyBorder="1" applyAlignment="1">
      <alignment horizontal="left" vertical="center"/>
    </xf>
    <xf numFmtId="0" fontId="8" fillId="2" borderId="38" xfId="3" quotePrefix="1" applyFont="1" applyFill="1" applyBorder="1" applyAlignment="1">
      <alignment horizontal="center" vertical="center"/>
    </xf>
    <xf numFmtId="3" fontId="8" fillId="2" borderId="38" xfId="3" applyNumberFormat="1" applyFont="1" applyFill="1" applyBorder="1" applyAlignment="1">
      <alignment horizontal="right" vertical="center"/>
    </xf>
    <xf numFmtId="16" fontId="8" fillId="2" borderId="38" xfId="3" applyNumberFormat="1" applyFont="1" applyFill="1" applyBorder="1" applyAlignment="1">
      <alignment horizontal="left" vertical="center" wrapText="1"/>
    </xf>
    <xf numFmtId="16" fontId="8" fillId="2" borderId="38" xfId="3" applyNumberFormat="1" applyFont="1" applyFill="1" applyBorder="1" applyAlignment="1">
      <alignment horizontal="center" vertical="center" wrapText="1"/>
    </xf>
    <xf numFmtId="0" fontId="8" fillId="2" borderId="38" xfId="3" applyFont="1" applyFill="1" applyBorder="1" applyAlignment="1">
      <alignment vertical="center" wrapText="1"/>
    </xf>
    <xf numFmtId="0" fontId="92" fillId="18" borderId="57" xfId="3" applyFont="1" applyFill="1" applyBorder="1" applyAlignment="1">
      <alignment horizontal="center" vertical="center"/>
    </xf>
    <xf numFmtId="0" fontId="8" fillId="2" borderId="14" xfId="3" applyFont="1" applyFill="1" applyBorder="1" applyAlignment="1">
      <alignment vertical="center"/>
    </xf>
    <xf numFmtId="0" fontId="8" fillId="2" borderId="3" xfId="3" applyFont="1" applyFill="1" applyBorder="1" applyAlignment="1">
      <alignment vertical="center"/>
    </xf>
    <xf numFmtId="16" fontId="8" fillId="2" borderId="3" xfId="3" applyNumberFormat="1" applyFont="1" applyFill="1" applyBorder="1" applyAlignment="1">
      <alignment horizontal="center" vertical="center"/>
    </xf>
    <xf numFmtId="0" fontId="8" fillId="2" borderId="3" xfId="3" applyFont="1" applyFill="1" applyBorder="1" applyAlignment="1">
      <alignment horizontal="center" vertical="center"/>
    </xf>
    <xf numFmtId="3" fontId="8" fillId="2" borderId="3" xfId="3" applyNumberFormat="1" applyFont="1" applyFill="1" applyBorder="1" applyAlignment="1">
      <alignment vertical="center"/>
    </xf>
    <xf numFmtId="14" fontId="8" fillId="2" borderId="3" xfId="3" applyNumberFormat="1" applyFont="1" applyFill="1" applyBorder="1" applyAlignment="1">
      <alignment horizontal="center" vertical="center"/>
    </xf>
    <xf numFmtId="1" fontId="8" fillId="2" borderId="3" xfId="3" applyNumberFormat="1" applyFont="1" applyFill="1" applyBorder="1" applyAlignment="1">
      <alignment horizontal="center" vertical="center"/>
    </xf>
    <xf numFmtId="14" fontId="29" fillId="2" borderId="3" xfId="3" applyNumberFormat="1" applyFont="1" applyFill="1" applyBorder="1" applyAlignment="1">
      <alignment horizontal="center" vertical="center"/>
    </xf>
    <xf numFmtId="3" fontId="8" fillId="2" borderId="3" xfId="3" applyNumberFormat="1" applyFont="1" applyFill="1" applyBorder="1" applyAlignment="1">
      <alignment horizontal="center" vertical="center"/>
    </xf>
    <xf numFmtId="14" fontId="79" fillId="2" borderId="3" xfId="3" applyNumberFormat="1" applyFont="1" applyFill="1" applyBorder="1" applyAlignment="1">
      <alignment horizontal="center" vertical="center"/>
    </xf>
    <xf numFmtId="0" fontId="8" fillId="2" borderId="3" xfId="3" applyFont="1" applyFill="1" applyBorder="1" applyAlignment="1">
      <alignment horizontal="center" vertical="center" wrapText="1"/>
    </xf>
    <xf numFmtId="16" fontId="8" fillId="2" borderId="3" xfId="3" applyNumberFormat="1" applyFont="1" applyFill="1" applyBorder="1" applyAlignment="1">
      <alignment horizontal="left" vertical="center" wrapText="1"/>
    </xf>
    <xf numFmtId="16" fontId="8" fillId="2" borderId="3" xfId="3" applyNumberFormat="1" applyFont="1" applyFill="1" applyBorder="1" applyAlignment="1">
      <alignment horizontal="center" vertical="center" wrapText="1"/>
    </xf>
    <xf numFmtId="0" fontId="92" fillId="18" borderId="1" xfId="3" applyFont="1" applyFill="1" applyBorder="1" applyAlignment="1">
      <alignment horizontal="center" vertical="center"/>
    </xf>
    <xf numFmtId="0" fontId="8" fillId="2" borderId="58" xfId="3" applyFont="1" applyFill="1" applyBorder="1" applyAlignment="1">
      <alignment vertical="center"/>
    </xf>
    <xf numFmtId="0" fontId="8" fillId="2" borderId="55" xfId="3" applyFont="1" applyFill="1" applyBorder="1" applyAlignment="1">
      <alignment vertical="center"/>
    </xf>
    <xf numFmtId="16" fontId="8" fillId="2" borderId="55" xfId="3" applyNumberFormat="1" applyFont="1" applyFill="1" applyBorder="1" applyAlignment="1">
      <alignment horizontal="center" vertical="center"/>
    </xf>
    <xf numFmtId="16" fontId="8" fillId="2" borderId="55" xfId="3" applyNumberFormat="1" applyFont="1" applyFill="1" applyBorder="1" applyAlignment="1">
      <alignment horizontal="center" vertical="center" wrapText="1"/>
    </xf>
    <xf numFmtId="0" fontId="8" fillId="2" borderId="55" xfId="3" applyFont="1" applyFill="1" applyBorder="1" applyAlignment="1">
      <alignment horizontal="center" vertical="center"/>
    </xf>
    <xf numFmtId="3" fontId="8" fillId="2" borderId="55" xfId="3" applyNumberFormat="1" applyFont="1" applyFill="1" applyBorder="1" applyAlignment="1">
      <alignment vertical="center"/>
    </xf>
    <xf numFmtId="14" fontId="8" fillId="2" borderId="55" xfId="3" applyNumberFormat="1" applyFont="1" applyFill="1" applyBorder="1" applyAlignment="1">
      <alignment horizontal="center" vertical="center"/>
    </xf>
    <xf numFmtId="1" fontId="8" fillId="2" borderId="55" xfId="3" applyNumberFormat="1" applyFont="1" applyFill="1" applyBorder="1" applyAlignment="1">
      <alignment horizontal="center" vertical="center"/>
    </xf>
    <xf numFmtId="14" fontId="29" fillId="2" borderId="55" xfId="3" applyNumberFormat="1" applyFont="1" applyFill="1" applyBorder="1" applyAlignment="1">
      <alignment horizontal="center" vertical="center"/>
    </xf>
    <xf numFmtId="3" fontId="8" fillId="2" borderId="55" xfId="3" applyNumberFormat="1" applyFont="1" applyFill="1" applyBorder="1" applyAlignment="1">
      <alignment horizontal="center" vertical="center"/>
    </xf>
    <xf numFmtId="14" fontId="79" fillId="2" borderId="55" xfId="3" applyNumberFormat="1" applyFont="1" applyFill="1" applyBorder="1" applyAlignment="1">
      <alignment horizontal="center" vertical="center"/>
    </xf>
    <xf numFmtId="0" fontId="8" fillId="2" borderId="55" xfId="3" applyFont="1" applyFill="1" applyBorder="1" applyAlignment="1">
      <alignment horizontal="center" vertical="center" wrapText="1"/>
    </xf>
    <xf numFmtId="16" fontId="8" fillId="2" borderId="55" xfId="3" applyNumberFormat="1" applyFont="1" applyFill="1" applyBorder="1" applyAlignment="1">
      <alignment horizontal="left" vertical="center" wrapText="1"/>
    </xf>
    <xf numFmtId="14" fontId="8" fillId="2" borderId="3" xfId="3" quotePrefix="1" applyNumberFormat="1" applyFont="1" applyFill="1" applyBorder="1" applyAlignment="1">
      <alignment horizontal="center" vertical="center"/>
    </xf>
    <xf numFmtId="14" fontId="79" fillId="2" borderId="3" xfId="3" quotePrefix="1" applyNumberFormat="1" applyFont="1" applyFill="1" applyBorder="1" applyAlignment="1">
      <alignment horizontal="center" vertical="center"/>
    </xf>
    <xf numFmtId="0" fontId="8" fillId="2" borderId="3" xfId="3" applyFont="1" applyFill="1" applyBorder="1" applyAlignment="1">
      <alignment horizontal="left" vertical="center" wrapText="1"/>
    </xf>
    <xf numFmtId="0" fontId="8" fillId="2" borderId="59" xfId="3" applyFont="1" applyFill="1" applyBorder="1" applyAlignment="1">
      <alignment vertical="center"/>
    </xf>
    <xf numFmtId="0" fontId="8" fillId="2" borderId="56" xfId="3" applyFont="1" applyFill="1" applyBorder="1" applyAlignment="1">
      <alignment vertical="center"/>
    </xf>
    <xf numFmtId="16" fontId="8" fillId="2" borderId="56" xfId="3" applyNumberFormat="1" applyFont="1" applyFill="1" applyBorder="1" applyAlignment="1">
      <alignment horizontal="center" vertical="center"/>
    </xf>
    <xf numFmtId="0" fontId="8" fillId="2" borderId="56" xfId="3" applyFont="1" applyFill="1" applyBorder="1" applyAlignment="1">
      <alignment horizontal="center" vertical="center" wrapText="1"/>
    </xf>
    <xf numFmtId="0" fontId="8" fillId="2" borderId="56" xfId="3" applyFont="1" applyFill="1" applyBorder="1" applyAlignment="1">
      <alignment horizontal="center" vertical="center"/>
    </xf>
    <xf numFmtId="3" fontId="8" fillId="2" borderId="56" xfId="3" applyNumberFormat="1" applyFont="1" applyFill="1" applyBorder="1" applyAlignment="1">
      <alignment vertical="center"/>
    </xf>
    <xf numFmtId="14" fontId="8" fillId="2" borderId="56" xfId="3" applyNumberFormat="1" applyFont="1" applyFill="1" applyBorder="1" applyAlignment="1">
      <alignment horizontal="center" vertical="center"/>
    </xf>
    <xf numFmtId="1" fontId="8" fillId="2" borderId="56" xfId="3" applyNumberFormat="1" applyFont="1" applyFill="1" applyBorder="1" applyAlignment="1">
      <alignment horizontal="center" vertical="center"/>
    </xf>
    <xf numFmtId="14" fontId="29" fillId="2" borderId="56" xfId="3" applyNumberFormat="1" applyFont="1" applyFill="1" applyBorder="1" applyAlignment="1">
      <alignment horizontal="center" vertical="center"/>
    </xf>
    <xf numFmtId="14" fontId="79" fillId="2" borderId="56" xfId="3" applyNumberFormat="1" applyFont="1" applyFill="1" applyBorder="1" applyAlignment="1">
      <alignment horizontal="center" vertical="center"/>
    </xf>
    <xf numFmtId="14" fontId="79" fillId="2" borderId="56" xfId="3" quotePrefix="1" applyNumberFormat="1" applyFont="1" applyFill="1" applyBorder="1" applyAlignment="1">
      <alignment horizontal="center" vertical="center"/>
    </xf>
    <xf numFmtId="14" fontId="8" fillId="2" borderId="56" xfId="3" applyNumberFormat="1" applyFont="1" applyFill="1" applyBorder="1" applyAlignment="1">
      <alignment horizontal="left" vertical="center" wrapText="1"/>
    </xf>
    <xf numFmtId="14" fontId="8" fillId="2" borderId="56" xfId="3" applyNumberFormat="1" applyFont="1" applyFill="1" applyBorder="1" applyAlignment="1">
      <alignment horizontal="center" vertical="center" wrapText="1"/>
    </xf>
    <xf numFmtId="14" fontId="8" fillId="2" borderId="3" xfId="3" applyNumberFormat="1" applyFont="1" applyFill="1" applyBorder="1" applyAlignment="1">
      <alignment horizontal="left" vertical="center" wrapText="1"/>
    </xf>
    <xf numFmtId="14" fontId="8" fillId="2" borderId="3" xfId="3" applyNumberFormat="1" applyFont="1" applyFill="1" applyBorder="1" applyAlignment="1">
      <alignment horizontal="center" vertical="center" wrapText="1"/>
    </xf>
    <xf numFmtId="0" fontId="8" fillId="2" borderId="15" xfId="3" applyFont="1" applyFill="1" applyBorder="1" applyAlignment="1">
      <alignment vertical="center"/>
    </xf>
    <xf numFmtId="1" fontId="8" fillId="2" borderId="4" xfId="3" applyNumberFormat="1" applyFont="1" applyFill="1" applyBorder="1" applyAlignment="1">
      <alignment horizontal="center" vertical="center"/>
    </xf>
    <xf numFmtId="1" fontId="8" fillId="2" borderId="14" xfId="3" applyNumberFormat="1" applyFont="1" applyFill="1" applyBorder="1" applyAlignment="1">
      <alignment horizontal="center" vertical="center"/>
    </xf>
    <xf numFmtId="1" fontId="8" fillId="2" borderId="34" xfId="3" applyNumberFormat="1" applyFont="1" applyFill="1" applyBorder="1" applyAlignment="1">
      <alignment horizontal="center" vertical="center"/>
    </xf>
    <xf numFmtId="1" fontId="8" fillId="2" borderId="41" xfId="3" applyNumberFormat="1" applyFont="1" applyFill="1" applyBorder="1" applyAlignment="1">
      <alignment horizontal="center" vertical="center"/>
    </xf>
    <xf numFmtId="16" fontId="8" fillId="2" borderId="3" xfId="3" applyNumberFormat="1" applyFont="1" applyFill="1" applyBorder="1" applyAlignment="1">
      <alignment horizontal="left" vertical="center"/>
    </xf>
    <xf numFmtId="3" fontId="8" fillId="2" borderId="38" xfId="3" applyNumberFormat="1" applyFont="1" applyFill="1" applyBorder="1" applyAlignment="1">
      <alignment horizontal="center" vertical="center" wrapText="1"/>
    </xf>
    <xf numFmtId="3" fontId="8" fillId="2" borderId="3" xfId="3" applyNumberFormat="1" applyFont="1" applyFill="1" applyBorder="1" applyAlignment="1">
      <alignment horizontal="center" vertical="center" wrapText="1"/>
    </xf>
    <xf numFmtId="0" fontId="92" fillId="18" borderId="62" xfId="3" applyFont="1" applyFill="1" applyBorder="1" applyAlignment="1">
      <alignment horizontal="center" vertical="center"/>
    </xf>
    <xf numFmtId="0" fontId="8" fillId="2" borderId="12" xfId="3" applyFont="1" applyFill="1" applyBorder="1" applyAlignment="1">
      <alignment vertical="center"/>
    </xf>
    <xf numFmtId="0" fontId="8" fillId="2" borderId="62" xfId="3" applyFont="1" applyFill="1" applyBorder="1" applyAlignment="1">
      <alignment vertical="center"/>
    </xf>
    <xf numFmtId="16" fontId="8" fillId="2" borderId="2" xfId="3" applyNumberFormat="1" applyFont="1" applyFill="1" applyBorder="1" applyAlignment="1">
      <alignment horizontal="center" vertical="center"/>
    </xf>
    <xf numFmtId="0" fontId="8" fillId="2" borderId="2" xfId="3" quotePrefix="1" applyFont="1" applyFill="1" applyBorder="1" applyAlignment="1">
      <alignment horizontal="center" vertical="center"/>
    </xf>
    <xf numFmtId="3" fontId="8" fillId="2" borderId="2" xfId="3" applyNumberFormat="1" applyFont="1" applyFill="1" applyBorder="1" applyAlignment="1">
      <alignment vertical="center"/>
    </xf>
    <xf numFmtId="14" fontId="8" fillId="2" borderId="2" xfId="3" applyNumberFormat="1" applyFont="1" applyFill="1" applyBorder="1" applyAlignment="1">
      <alignment horizontal="center" vertical="center"/>
    </xf>
    <xf numFmtId="1" fontId="8" fillId="2" borderId="2" xfId="3" applyNumberFormat="1" applyFont="1" applyFill="1" applyBorder="1" applyAlignment="1">
      <alignment horizontal="center" vertical="center"/>
    </xf>
    <xf numFmtId="14" fontId="29" fillId="2" borderId="2" xfId="3" applyNumberFormat="1" applyFont="1" applyFill="1" applyBorder="1" applyAlignment="1">
      <alignment horizontal="center" vertical="center"/>
    </xf>
    <xf numFmtId="3" fontId="8" fillId="2" borderId="2" xfId="3" applyNumberFormat="1" applyFont="1" applyFill="1" applyBorder="1" applyAlignment="1">
      <alignment horizontal="center" vertical="center"/>
    </xf>
    <xf numFmtId="14" fontId="79" fillId="2" borderId="2" xfId="3" applyNumberFormat="1" applyFont="1" applyFill="1" applyBorder="1" applyAlignment="1">
      <alignment horizontal="center" vertical="center"/>
    </xf>
    <xf numFmtId="0" fontId="8" fillId="2" borderId="2" xfId="3" applyFont="1" applyFill="1" applyBorder="1" applyAlignment="1">
      <alignment horizontal="center" vertical="center" wrapText="1"/>
    </xf>
    <xf numFmtId="14" fontId="8" fillId="2" borderId="2" xfId="3" applyNumberFormat="1" applyFont="1" applyFill="1" applyBorder="1" applyAlignment="1">
      <alignment horizontal="left" vertical="center" wrapText="1"/>
    </xf>
    <xf numFmtId="14" fontId="8" fillId="2" borderId="2" xfId="3" applyNumberFormat="1" applyFont="1" applyFill="1" applyBorder="1" applyAlignment="1">
      <alignment horizontal="center" vertical="center" wrapText="1"/>
    </xf>
    <xf numFmtId="0" fontId="8" fillId="2" borderId="1" xfId="3" applyFont="1" applyFill="1" applyBorder="1" applyAlignment="1">
      <alignment vertical="center"/>
    </xf>
    <xf numFmtId="0" fontId="8" fillId="2" borderId="2" xfId="3" applyFont="1" applyFill="1" applyBorder="1" applyAlignment="1">
      <alignment vertical="center"/>
    </xf>
    <xf numFmtId="0" fontId="8" fillId="13" borderId="41" xfId="3" applyFont="1" applyFill="1" applyBorder="1" applyAlignment="1">
      <alignment vertical="center"/>
    </xf>
    <xf numFmtId="0" fontId="8" fillId="13" borderId="38" xfId="3" applyFont="1" applyFill="1" applyBorder="1" applyAlignment="1">
      <alignment vertical="center"/>
    </xf>
    <xf numFmtId="16" fontId="8" fillId="13" borderId="38" xfId="3" applyNumberFormat="1" applyFont="1" applyFill="1" applyBorder="1" applyAlignment="1">
      <alignment horizontal="center" vertical="center"/>
    </xf>
    <xf numFmtId="0" fontId="8" fillId="13" borderId="38" xfId="3" applyFont="1" applyFill="1" applyBorder="1" applyAlignment="1">
      <alignment horizontal="center" vertical="center"/>
    </xf>
    <xf numFmtId="3" fontId="8" fillId="13" borderId="38" xfId="3" applyNumberFormat="1" applyFont="1" applyFill="1" applyBorder="1" applyAlignment="1">
      <alignment vertical="center"/>
    </xf>
    <xf numFmtId="14" fontId="8" fillId="13" borderId="38" xfId="3" applyNumberFormat="1" applyFont="1" applyFill="1" applyBorder="1" applyAlignment="1">
      <alignment horizontal="center" vertical="center"/>
    </xf>
    <xf numFmtId="1" fontId="8" fillId="13" borderId="38" xfId="3" applyNumberFormat="1" applyFont="1" applyFill="1" applyBorder="1" applyAlignment="1">
      <alignment horizontal="center" vertical="center"/>
    </xf>
    <xf numFmtId="14" fontId="29" fillId="13" borderId="38" xfId="3" applyNumberFormat="1" applyFont="1" applyFill="1" applyBorder="1" applyAlignment="1">
      <alignment horizontal="center" vertical="center"/>
    </xf>
    <xf numFmtId="3" fontId="8" fillId="13" borderId="38" xfId="3" applyNumberFormat="1" applyFont="1" applyFill="1" applyBorder="1" applyAlignment="1">
      <alignment horizontal="center" vertical="center" wrapText="1"/>
    </xf>
    <xf numFmtId="14" fontId="79" fillId="13" borderId="38" xfId="3" applyNumberFormat="1" applyFont="1" applyFill="1" applyBorder="1" applyAlignment="1">
      <alignment horizontal="center" vertical="center"/>
    </xf>
    <xf numFmtId="0" fontId="8" fillId="13" borderId="38" xfId="3" applyFont="1" applyFill="1" applyBorder="1" applyAlignment="1">
      <alignment horizontal="center" vertical="center" wrapText="1"/>
    </xf>
    <xf numFmtId="14" fontId="8" fillId="13" borderId="38" xfId="3" applyNumberFormat="1" applyFont="1" applyFill="1" applyBorder="1" applyAlignment="1">
      <alignment horizontal="left" vertical="center" wrapText="1"/>
    </xf>
    <xf numFmtId="14" fontId="8" fillId="13" borderId="38" xfId="3" applyNumberFormat="1" applyFont="1" applyFill="1" applyBorder="1" applyAlignment="1">
      <alignment horizontal="center" vertical="center" wrapText="1"/>
    </xf>
    <xf numFmtId="14" fontId="29" fillId="2" borderId="38" xfId="3" applyNumberFormat="1" applyFont="1" applyFill="1" applyBorder="1" applyAlignment="1">
      <alignment horizontal="left" vertical="center" wrapText="1"/>
    </xf>
    <xf numFmtId="0" fontId="8" fillId="14" borderId="41" xfId="3" applyFont="1" applyFill="1" applyBorder="1" applyAlignment="1">
      <alignment vertical="center"/>
    </xf>
    <xf numFmtId="0" fontId="8" fillId="14" borderId="38" xfId="3" applyFont="1" applyFill="1" applyBorder="1" applyAlignment="1">
      <alignment vertical="center"/>
    </xf>
    <xf numFmtId="16" fontId="8" fillId="14" borderId="38" xfId="3" applyNumberFormat="1" applyFont="1" applyFill="1" applyBorder="1" applyAlignment="1">
      <alignment horizontal="center" vertical="center"/>
    </xf>
    <xf numFmtId="0" fontId="8" fillId="14" borderId="38" xfId="3" applyFont="1" applyFill="1" applyBorder="1" applyAlignment="1">
      <alignment horizontal="center" vertical="center"/>
    </xf>
    <xf numFmtId="3" fontId="8" fillId="14" borderId="38" xfId="3" applyNumberFormat="1" applyFont="1" applyFill="1" applyBorder="1" applyAlignment="1">
      <alignment vertical="center"/>
    </xf>
    <xf numFmtId="14" fontId="8" fillId="14" borderId="38" xfId="3" applyNumberFormat="1" applyFont="1" applyFill="1" applyBorder="1" applyAlignment="1">
      <alignment horizontal="center" vertical="center"/>
    </xf>
    <xf numFmtId="1" fontId="8" fillId="14" borderId="38" xfId="3" applyNumberFormat="1" applyFont="1" applyFill="1" applyBorder="1" applyAlignment="1">
      <alignment horizontal="center" vertical="center"/>
    </xf>
    <xf numFmtId="14" fontId="29" fillId="14" borderId="38" xfId="3" applyNumberFormat="1" applyFont="1" applyFill="1" applyBorder="1" applyAlignment="1">
      <alignment horizontal="center" vertical="center"/>
    </xf>
    <xf numFmtId="14" fontId="79" fillId="14" borderId="38" xfId="3" applyNumberFormat="1" applyFont="1" applyFill="1" applyBorder="1" applyAlignment="1">
      <alignment horizontal="center" vertical="center"/>
    </xf>
    <xf numFmtId="14" fontId="79" fillId="14" borderId="38" xfId="3" quotePrefix="1" applyNumberFormat="1" applyFont="1" applyFill="1" applyBorder="1" applyAlignment="1">
      <alignment horizontal="center" vertical="center"/>
    </xf>
    <xf numFmtId="0" fontId="8" fillId="14" borderId="38" xfId="3" applyFont="1" applyFill="1" applyBorder="1" applyAlignment="1">
      <alignment horizontal="center" vertical="center" wrapText="1"/>
    </xf>
    <xf numFmtId="14" fontId="8" fillId="14" borderId="38" xfId="3" applyNumberFormat="1" applyFont="1" applyFill="1" applyBorder="1" applyAlignment="1">
      <alignment horizontal="left" vertical="center" wrapText="1"/>
    </xf>
    <xf numFmtId="14" fontId="8" fillId="14" borderId="38" xfId="3" applyNumberFormat="1" applyFont="1" applyFill="1" applyBorder="1" applyAlignment="1">
      <alignment horizontal="center" vertical="center" wrapText="1"/>
    </xf>
    <xf numFmtId="3" fontId="8" fillId="14" borderId="38" xfId="3" applyNumberFormat="1" applyFont="1" applyFill="1" applyBorder="1" applyAlignment="1">
      <alignment horizontal="center" vertical="center" wrapText="1"/>
    </xf>
    <xf numFmtId="14" fontId="29" fillId="13" borderId="38" xfId="3" applyNumberFormat="1" applyFont="1" applyFill="1" applyBorder="1" applyAlignment="1">
      <alignment horizontal="left" vertical="center" wrapText="1"/>
    </xf>
    <xf numFmtId="1" fontId="8" fillId="13" borderId="3" xfId="3" applyNumberFormat="1" applyFont="1" applyFill="1" applyBorder="1" applyAlignment="1">
      <alignment horizontal="center" vertical="center"/>
    </xf>
    <xf numFmtId="0" fontId="8" fillId="13" borderId="14" xfId="3" applyFont="1" applyFill="1" applyBorder="1" applyAlignment="1">
      <alignment vertical="center"/>
    </xf>
    <xf numFmtId="0" fontId="8" fillId="13" borderId="3" xfId="3" applyFont="1" applyFill="1" applyBorder="1" applyAlignment="1">
      <alignment vertical="center"/>
    </xf>
    <xf numFmtId="0" fontId="80" fillId="13" borderId="38" xfId="3" applyFont="1" applyFill="1" applyBorder="1" applyAlignment="1">
      <alignment horizontal="left" vertical="center" wrapText="1"/>
    </xf>
    <xf numFmtId="0" fontId="80" fillId="13" borderId="3" xfId="3" applyFont="1" applyFill="1" applyBorder="1" applyAlignment="1">
      <alignment horizontal="left" vertical="center" wrapText="1"/>
    </xf>
    <xf numFmtId="0" fontId="8" fillId="13" borderId="3" xfId="3" applyFont="1" applyFill="1" applyBorder="1" applyAlignment="1">
      <alignment horizontal="center" vertical="center" wrapText="1"/>
    </xf>
    <xf numFmtId="16" fontId="8" fillId="13" borderId="3" xfId="3" applyNumberFormat="1" applyFont="1" applyFill="1" applyBorder="1" applyAlignment="1">
      <alignment horizontal="center" vertical="center" wrapText="1"/>
    </xf>
    <xf numFmtId="0" fontId="8" fillId="13" borderId="3" xfId="3" applyFont="1" applyFill="1" applyBorder="1" applyAlignment="1">
      <alignment horizontal="center" vertical="center"/>
    </xf>
    <xf numFmtId="3" fontId="8" fillId="13" borderId="3" xfId="3" applyNumberFormat="1" applyFont="1" applyFill="1" applyBorder="1" applyAlignment="1">
      <alignment vertical="center"/>
    </xf>
    <xf numFmtId="14" fontId="8" fillId="13" borderId="3" xfId="3" applyNumberFormat="1" applyFont="1" applyFill="1" applyBorder="1" applyAlignment="1">
      <alignment horizontal="center" vertical="center"/>
    </xf>
    <xf numFmtId="14" fontId="79" fillId="13" borderId="3" xfId="3" applyNumberFormat="1" applyFont="1" applyFill="1" applyBorder="1" applyAlignment="1">
      <alignment horizontal="center" vertical="center"/>
    </xf>
    <xf numFmtId="14" fontId="79" fillId="13" borderId="3" xfId="3" quotePrefix="1" applyNumberFormat="1" applyFont="1" applyFill="1" applyBorder="1" applyAlignment="1">
      <alignment horizontal="center" vertical="center"/>
    </xf>
    <xf numFmtId="16" fontId="8" fillId="13" borderId="38" xfId="3" applyNumberFormat="1" applyFont="1" applyFill="1" applyBorder="1" applyAlignment="1">
      <alignment horizontal="center" vertical="center" wrapText="1"/>
    </xf>
    <xf numFmtId="14" fontId="79" fillId="13" borderId="38" xfId="3" quotePrefix="1" applyNumberFormat="1" applyFont="1" applyFill="1" applyBorder="1" applyAlignment="1">
      <alignment horizontal="center" vertical="center"/>
    </xf>
    <xf numFmtId="16" fontId="8" fillId="13" borderId="2" xfId="3" applyNumberFormat="1" applyFont="1" applyFill="1" applyBorder="1" applyAlignment="1">
      <alignment horizontal="center" vertical="center" wrapText="1"/>
    </xf>
    <xf numFmtId="0" fontId="8" fillId="13" borderId="2" xfId="3" applyFont="1" applyFill="1" applyBorder="1" applyAlignment="1">
      <alignment horizontal="center" vertical="center"/>
    </xf>
    <xf numFmtId="3" fontId="8" fillId="13" borderId="2" xfId="3" applyNumberFormat="1" applyFont="1" applyFill="1" applyBorder="1" applyAlignment="1">
      <alignment vertical="center"/>
    </xf>
    <xf numFmtId="14" fontId="8" fillId="13" borderId="2" xfId="3" applyNumberFormat="1" applyFont="1" applyFill="1" applyBorder="1" applyAlignment="1">
      <alignment horizontal="center" vertical="center"/>
    </xf>
    <xf numFmtId="1" fontId="8" fillId="13" borderId="2" xfId="3" applyNumberFormat="1" applyFont="1" applyFill="1" applyBorder="1" applyAlignment="1">
      <alignment horizontal="center" vertical="center"/>
    </xf>
    <xf numFmtId="14" fontId="8" fillId="13" borderId="1" xfId="3" applyNumberFormat="1" applyFont="1" applyFill="1" applyBorder="1" applyAlignment="1">
      <alignment horizontal="center" vertical="center"/>
    </xf>
    <xf numFmtId="14" fontId="79" fillId="13" borderId="1" xfId="3" applyNumberFormat="1" applyFont="1" applyFill="1" applyBorder="1" applyAlignment="1">
      <alignment horizontal="center" vertical="center"/>
    </xf>
    <xf numFmtId="14" fontId="79" fillId="13" borderId="2" xfId="3" quotePrefix="1" applyNumberFormat="1" applyFont="1" applyFill="1" applyBorder="1" applyAlignment="1">
      <alignment horizontal="center" vertical="center"/>
    </xf>
    <xf numFmtId="0" fontId="8" fillId="13" borderId="2" xfId="3" applyFont="1" applyFill="1" applyBorder="1" applyAlignment="1">
      <alignment horizontal="center" vertical="center" wrapText="1"/>
    </xf>
    <xf numFmtId="0" fontId="80" fillId="13" borderId="2" xfId="3" applyFont="1" applyFill="1" applyBorder="1" applyAlignment="1">
      <alignment horizontal="left" vertical="center" wrapText="1"/>
    </xf>
    <xf numFmtId="167" fontId="8" fillId="13" borderId="38" xfId="3" applyNumberFormat="1" applyFont="1" applyFill="1" applyBorder="1" applyAlignment="1">
      <alignment horizontal="center" vertical="center"/>
    </xf>
    <xf numFmtId="14" fontId="79" fillId="13" borderId="2" xfId="3" applyNumberFormat="1" applyFont="1" applyFill="1" applyBorder="1" applyAlignment="1">
      <alignment horizontal="center" vertical="center"/>
    </xf>
    <xf numFmtId="1" fontId="8" fillId="2" borderId="51" xfId="3" applyNumberFormat="1" applyFont="1" applyFill="1" applyBorder="1" applyAlignment="1">
      <alignment horizontal="center" vertical="center"/>
    </xf>
    <xf numFmtId="167" fontId="8" fillId="13" borderId="3" xfId="3" applyNumberFormat="1" applyFont="1" applyFill="1" applyBorder="1" applyAlignment="1">
      <alignment horizontal="center" vertical="center" wrapText="1"/>
    </xf>
    <xf numFmtId="16" fontId="8" fillId="13" borderId="1" xfId="3" applyNumberFormat="1" applyFont="1" applyFill="1" applyBorder="1" applyAlignment="1">
      <alignment horizontal="center" vertical="center" wrapText="1"/>
    </xf>
    <xf numFmtId="0" fontId="8" fillId="13" borderId="1" xfId="3" applyFont="1" applyFill="1" applyBorder="1" applyAlignment="1">
      <alignment horizontal="center" vertical="center"/>
    </xf>
    <xf numFmtId="3" fontId="8" fillId="13" borderId="1" xfId="3" applyNumberFormat="1" applyFont="1" applyFill="1" applyBorder="1" applyAlignment="1">
      <alignment vertical="center"/>
    </xf>
    <xf numFmtId="1" fontId="8" fillId="13" borderId="1" xfId="3" applyNumberFormat="1" applyFont="1" applyFill="1" applyBorder="1" applyAlignment="1">
      <alignment horizontal="center" vertical="center"/>
    </xf>
    <xf numFmtId="14" fontId="8" fillId="2" borderId="1" xfId="3" applyNumberFormat="1" applyFont="1" applyFill="1" applyBorder="1" applyAlignment="1">
      <alignment horizontal="center" vertical="center"/>
    </xf>
    <xf numFmtId="1" fontId="8" fillId="2" borderId="6" xfId="3" applyNumberFormat="1" applyFont="1" applyFill="1" applyBorder="1" applyAlignment="1">
      <alignment horizontal="center" vertical="center"/>
    </xf>
    <xf numFmtId="167" fontId="8" fillId="13" borderId="1" xfId="3" applyNumberFormat="1" applyFont="1" applyFill="1" applyBorder="1" applyAlignment="1">
      <alignment horizontal="center" vertical="center"/>
    </xf>
    <xf numFmtId="14" fontId="79" fillId="13" borderId="1" xfId="3" quotePrefix="1" applyNumberFormat="1" applyFont="1" applyFill="1" applyBorder="1" applyAlignment="1">
      <alignment horizontal="center" vertical="center"/>
    </xf>
    <xf numFmtId="0" fontId="80" fillId="13" borderId="1" xfId="3" applyFont="1" applyFill="1" applyBorder="1" applyAlignment="1">
      <alignment horizontal="left" vertical="center" wrapText="1"/>
    </xf>
    <xf numFmtId="0" fontId="8" fillId="13" borderId="1" xfId="3" applyFont="1" applyFill="1" applyBorder="1" applyAlignment="1">
      <alignment horizontal="center" vertical="center" wrapText="1"/>
    </xf>
    <xf numFmtId="167" fontId="8" fillId="13" borderId="38" xfId="3" applyNumberFormat="1" applyFont="1" applyFill="1" applyBorder="1" applyAlignment="1">
      <alignment horizontal="center" vertical="center" wrapText="1"/>
    </xf>
    <xf numFmtId="167" fontId="8" fillId="13" borderId="2" xfId="3" applyNumberFormat="1" applyFont="1" applyFill="1" applyBorder="1" applyAlignment="1">
      <alignment horizontal="center" vertical="center" wrapText="1"/>
    </xf>
    <xf numFmtId="1" fontId="8" fillId="2" borderId="7" xfId="3" applyNumberFormat="1" applyFont="1" applyFill="1" applyBorder="1" applyAlignment="1">
      <alignment horizontal="center" vertical="center"/>
    </xf>
    <xf numFmtId="3" fontId="8" fillId="18" borderId="38" xfId="3" applyNumberFormat="1" applyFont="1" applyFill="1" applyBorder="1" applyAlignment="1">
      <alignment vertical="center"/>
    </xf>
    <xf numFmtId="3" fontId="8" fillId="18" borderId="57" xfId="3" applyNumberFormat="1" applyFont="1" applyFill="1" applyBorder="1" applyAlignment="1">
      <alignment vertical="center"/>
    </xf>
    <xf numFmtId="3" fontId="8" fillId="18" borderId="1" xfId="3" applyNumberFormat="1" applyFont="1" applyFill="1" applyBorder="1" applyAlignment="1">
      <alignment vertical="center"/>
    </xf>
    <xf numFmtId="0" fontId="2" fillId="2" borderId="0" xfId="3" applyFill="1" applyAlignment="1">
      <alignment horizontal="center"/>
    </xf>
    <xf numFmtId="0" fontId="87" fillId="0" borderId="7" xfId="0" quotePrefix="1" applyFont="1" applyFill="1" applyBorder="1" applyAlignment="1">
      <alignment horizontal="center" vertical="center" wrapText="1"/>
    </xf>
    <xf numFmtId="3" fontId="87" fillId="21" borderId="38" xfId="0" applyNumberFormat="1" applyFont="1" applyFill="1" applyBorder="1" applyAlignment="1">
      <alignment horizontal="right" vertical="center" wrapText="1"/>
    </xf>
    <xf numFmtId="14" fontId="8" fillId="2" borderId="1" xfId="3" applyNumberFormat="1" applyFont="1" applyFill="1" applyBorder="1" applyAlignment="1">
      <alignment horizontal="center" vertical="center" wrapText="1"/>
    </xf>
    <xf numFmtId="14" fontId="8" fillId="2" borderId="57" xfId="3" applyNumberFormat="1" applyFont="1" applyFill="1" applyBorder="1" applyAlignment="1">
      <alignment horizontal="center" vertical="center" wrapText="1"/>
    </xf>
    <xf numFmtId="3" fontId="87" fillId="0" borderId="38" xfId="0" applyNumberFormat="1" applyFont="1" applyFill="1" applyBorder="1" applyAlignment="1">
      <alignment horizontal="right" vertical="center" wrapText="1"/>
    </xf>
    <xf numFmtId="0" fontId="87" fillId="21" borderId="7" xfId="0" quotePrefix="1" applyFont="1" applyFill="1" applyBorder="1" applyAlignment="1">
      <alignment horizontal="center" vertical="center" wrapText="1"/>
    </xf>
    <xf numFmtId="0" fontId="4" fillId="0" borderId="3" xfId="0" applyFont="1" applyFill="1" applyBorder="1" applyAlignment="1">
      <alignment horizontal="left" vertical="center" wrapText="1"/>
    </xf>
    <xf numFmtId="0" fontId="87" fillId="0" borderId="3" xfId="0" applyFont="1" applyFill="1" applyBorder="1" applyAlignment="1">
      <alignment horizontal="center" vertical="center"/>
    </xf>
    <xf numFmtId="0" fontId="87" fillId="0" borderId="0" xfId="0" quotePrefix="1" applyFont="1" applyFill="1" applyBorder="1" applyAlignment="1">
      <alignment horizontal="center" vertical="center" wrapText="1"/>
    </xf>
    <xf numFmtId="3" fontId="87" fillId="0" borderId="3" xfId="0" applyNumberFormat="1" applyFont="1" applyFill="1" applyBorder="1" applyAlignment="1">
      <alignment horizontal="right" vertical="center" wrapText="1"/>
    </xf>
    <xf numFmtId="0" fontId="87" fillId="0" borderId="3" xfId="0" quotePrefix="1" applyFont="1" applyFill="1" applyBorder="1" applyAlignment="1">
      <alignment horizontal="center" vertical="center" wrapText="1"/>
    </xf>
    <xf numFmtId="1" fontId="87" fillId="0" borderId="0" xfId="0" applyNumberFormat="1" applyFont="1" applyFill="1" applyBorder="1" applyAlignment="1">
      <alignment horizontal="left" vertical="center" wrapText="1"/>
    </xf>
    <xf numFmtId="3" fontId="87" fillId="0" borderId="0" xfId="0" applyNumberFormat="1" applyFont="1" applyFill="1" applyBorder="1" applyAlignment="1">
      <alignment horizontal="right" vertical="center" wrapText="1"/>
    </xf>
    <xf numFmtId="14" fontId="8" fillId="2" borderId="55" xfId="3" applyNumberFormat="1" applyFont="1" applyFill="1" applyBorder="1" applyAlignment="1">
      <alignment horizontal="center" vertical="center" wrapText="1"/>
    </xf>
    <xf numFmtId="0" fontId="105" fillId="0" borderId="40" xfId="0" applyFont="1" applyBorder="1"/>
    <xf numFmtId="0" fontId="87" fillId="28" borderId="38" xfId="0" applyFont="1" applyFill="1" applyBorder="1" applyAlignment="1">
      <alignment horizontal="left" vertical="center"/>
    </xf>
    <xf numFmtId="0" fontId="87" fillId="28" borderId="38" xfId="0" applyFont="1" applyFill="1" applyBorder="1" applyAlignment="1">
      <alignment vertical="center"/>
    </xf>
    <xf numFmtId="16" fontId="87" fillId="28" borderId="38" xfId="0" applyNumberFormat="1" applyFont="1" applyFill="1" applyBorder="1" applyAlignment="1">
      <alignment horizontal="center" vertical="center"/>
    </xf>
    <xf numFmtId="1" fontId="87" fillId="28" borderId="38" xfId="0" applyNumberFormat="1" applyFont="1" applyFill="1" applyBorder="1" applyAlignment="1">
      <alignment horizontal="center" vertical="center" wrapText="1"/>
    </xf>
    <xf numFmtId="0" fontId="87" fillId="28" borderId="7" xfId="0" quotePrefix="1" applyFont="1" applyFill="1" applyBorder="1" applyAlignment="1">
      <alignment horizontal="center" vertical="center"/>
    </xf>
    <xf numFmtId="0" fontId="87" fillId="28" borderId="38" xfId="0" applyFont="1" applyFill="1" applyBorder="1" applyAlignment="1">
      <alignment horizontal="center" vertical="center"/>
    </xf>
    <xf numFmtId="3" fontId="87" fillId="28" borderId="38" xfId="0" applyNumberFormat="1" applyFont="1" applyFill="1" applyBorder="1" applyAlignment="1">
      <alignment vertical="center"/>
    </xf>
    <xf numFmtId="3" fontId="87" fillId="28" borderId="38" xfId="0" applyNumberFormat="1" applyFont="1" applyFill="1" applyBorder="1" applyAlignment="1">
      <alignment horizontal="center" vertical="center"/>
    </xf>
    <xf numFmtId="14" fontId="87" fillId="28" borderId="38" xfId="0" applyNumberFormat="1" applyFont="1" applyFill="1" applyBorder="1" applyAlignment="1">
      <alignment horizontal="center" vertical="center"/>
    </xf>
    <xf numFmtId="1" fontId="87" fillId="28" borderId="38" xfId="0" applyNumberFormat="1" applyFont="1" applyFill="1" applyBorder="1" applyAlignment="1">
      <alignment horizontal="center" vertical="center"/>
    </xf>
    <xf numFmtId="167" fontId="87" fillId="28" borderId="38" xfId="0" applyNumberFormat="1" applyFont="1" applyFill="1" applyBorder="1" applyAlignment="1">
      <alignment horizontal="center" vertical="center" wrapText="1"/>
    </xf>
    <xf numFmtId="14" fontId="97" fillId="28" borderId="38" xfId="0" applyNumberFormat="1" applyFont="1" applyFill="1" applyBorder="1" applyAlignment="1">
      <alignment horizontal="center" vertical="center"/>
    </xf>
    <xf numFmtId="0" fontId="87" fillId="28" borderId="38" xfId="0" quotePrefix="1" applyFont="1" applyFill="1" applyBorder="1" applyAlignment="1">
      <alignment horizontal="center" vertical="center" wrapText="1"/>
    </xf>
    <xf numFmtId="0" fontId="87" fillId="28" borderId="45" xfId="0" applyFont="1" applyFill="1" applyBorder="1" applyAlignment="1">
      <alignment horizontal="center" vertical="center"/>
    </xf>
    <xf numFmtId="0" fontId="87" fillId="28" borderId="38" xfId="0" applyFont="1" applyFill="1" applyBorder="1" applyAlignment="1">
      <alignment horizontal="center" vertical="center" wrapText="1"/>
    </xf>
    <xf numFmtId="14" fontId="98" fillId="28" borderId="38" xfId="0" applyNumberFormat="1" applyFont="1" applyFill="1" applyBorder="1" applyAlignment="1">
      <alignment horizontal="center" vertical="center"/>
    </xf>
    <xf numFmtId="0" fontId="4" fillId="28" borderId="38" xfId="0" applyFont="1" applyFill="1" applyBorder="1" applyAlignment="1">
      <alignment horizontal="left" vertical="center" wrapText="1"/>
    </xf>
    <xf numFmtId="0" fontId="2" fillId="2" borderId="0" xfId="3" applyFill="1" applyAlignment="1">
      <alignment horizontal="right"/>
    </xf>
    <xf numFmtId="9" fontId="1" fillId="2" borderId="0" xfId="4" applyFont="1" applyFill="1" applyAlignment="1">
      <alignment horizontal="right"/>
    </xf>
    <xf numFmtId="0" fontId="8" fillId="2" borderId="0" xfId="3" applyFont="1" applyFill="1"/>
    <xf numFmtId="0" fontId="8" fillId="2" borderId="0" xfId="3" applyFont="1" applyFill="1" applyAlignment="1">
      <alignment horizontal="center" vertical="center"/>
    </xf>
    <xf numFmtId="0" fontId="8" fillId="2" borderId="57" xfId="3" applyFont="1" applyFill="1" applyBorder="1" applyAlignment="1">
      <alignment horizontal="center" vertical="center" wrapText="1"/>
    </xf>
    <xf numFmtId="0" fontId="8" fillId="2" borderId="1" xfId="3" applyFont="1" applyFill="1" applyBorder="1" applyAlignment="1">
      <alignment horizontal="center" vertical="center" wrapText="1"/>
    </xf>
    <xf numFmtId="0" fontId="8" fillId="2" borderId="0" xfId="3" applyFont="1" applyFill="1" applyAlignment="1">
      <alignment vertical="center"/>
    </xf>
    <xf numFmtId="0" fontId="8" fillId="0" borderId="59" xfId="3" applyFont="1" applyBorder="1" applyAlignment="1">
      <alignment vertical="center"/>
    </xf>
    <xf numFmtId="16" fontId="8" fillId="0" borderId="56" xfId="3" applyNumberFormat="1" applyFont="1" applyBorder="1" applyAlignment="1">
      <alignment horizontal="center" vertical="center"/>
    </xf>
    <xf numFmtId="0" fontId="8" fillId="0" borderId="56" xfId="3" applyFont="1" applyBorder="1" applyAlignment="1">
      <alignment horizontal="center" vertical="center"/>
    </xf>
    <xf numFmtId="3" fontId="8" fillId="0" borderId="56" xfId="3" applyNumberFormat="1" applyFont="1" applyBorder="1" applyAlignment="1">
      <alignment vertical="center"/>
    </xf>
    <xf numFmtId="14" fontId="8" fillId="0" borderId="56" xfId="3" applyNumberFormat="1" applyFont="1" applyBorder="1" applyAlignment="1">
      <alignment horizontal="center" vertical="center"/>
    </xf>
    <xf numFmtId="1" fontId="8" fillId="0" borderId="56" xfId="3" applyNumberFormat="1" applyFont="1" applyBorder="1" applyAlignment="1">
      <alignment horizontal="center" vertical="center"/>
    </xf>
    <xf numFmtId="14" fontId="29" fillId="0" borderId="56" xfId="3" applyNumberFormat="1" applyFont="1" applyBorder="1" applyAlignment="1">
      <alignment horizontal="center" vertical="center"/>
    </xf>
    <xf numFmtId="3" fontId="8" fillId="0" borderId="56" xfId="3" applyNumberFormat="1" applyFont="1" applyBorder="1" applyAlignment="1">
      <alignment horizontal="center" vertical="center" wrapText="1"/>
    </xf>
    <xf numFmtId="14" fontId="79" fillId="0" borderId="56" xfId="3" applyNumberFormat="1" applyFont="1" applyBorder="1" applyAlignment="1">
      <alignment horizontal="center" vertical="center"/>
    </xf>
    <xf numFmtId="0" fontId="8" fillId="0" borderId="56" xfId="3" applyFont="1" applyBorder="1" applyAlignment="1">
      <alignment horizontal="center" vertical="center" wrapText="1"/>
    </xf>
    <xf numFmtId="14" fontId="8" fillId="0" borderId="56" xfId="3" applyNumberFormat="1" applyFont="1" applyBorder="1" applyAlignment="1">
      <alignment horizontal="left" vertical="center" wrapText="1"/>
    </xf>
    <xf numFmtId="14" fontId="8" fillId="0" borderId="56" xfId="3" applyNumberFormat="1" applyFont="1" applyBorder="1" applyAlignment="1">
      <alignment horizontal="center" vertical="center" wrapText="1"/>
    </xf>
    <xf numFmtId="0" fontId="8" fillId="0" borderId="14" xfId="3" applyFont="1" applyBorder="1" applyAlignment="1">
      <alignment vertical="center"/>
    </xf>
    <xf numFmtId="16" fontId="8" fillId="0" borderId="3" xfId="3" applyNumberFormat="1" applyFont="1" applyBorder="1" applyAlignment="1">
      <alignment horizontal="center" vertical="center"/>
    </xf>
    <xf numFmtId="0" fontId="8" fillId="0" borderId="3" xfId="3" applyFont="1" applyBorder="1" applyAlignment="1">
      <alignment horizontal="center" vertical="center"/>
    </xf>
    <xf numFmtId="3" fontId="8" fillId="0" borderId="3" xfId="3" applyNumberFormat="1" applyFont="1" applyBorder="1" applyAlignment="1">
      <alignment vertical="center"/>
    </xf>
    <xf numFmtId="14" fontId="8" fillId="0" borderId="3" xfId="3" applyNumberFormat="1" applyFont="1" applyBorder="1" applyAlignment="1">
      <alignment horizontal="center" vertical="center"/>
    </xf>
    <xf numFmtId="1" fontId="8" fillId="0" borderId="3" xfId="3" applyNumberFormat="1" applyFont="1" applyBorder="1" applyAlignment="1">
      <alignment horizontal="center" vertical="center"/>
    </xf>
    <xf numFmtId="14" fontId="29" fillId="0" borderId="3" xfId="3" applyNumberFormat="1" applyFont="1" applyBorder="1" applyAlignment="1">
      <alignment horizontal="center" vertical="center"/>
    </xf>
    <xf numFmtId="3" fontId="8" fillId="0" borderId="3" xfId="3" applyNumberFormat="1" applyFont="1" applyBorder="1" applyAlignment="1">
      <alignment horizontal="center" vertical="center" wrapText="1"/>
    </xf>
    <xf numFmtId="14" fontId="79" fillId="0" borderId="3" xfId="3" applyNumberFormat="1" applyFont="1" applyBorder="1" applyAlignment="1">
      <alignment horizontal="center" vertical="center"/>
    </xf>
    <xf numFmtId="0" fontId="8" fillId="0" borderId="3" xfId="3" applyFont="1" applyBorder="1" applyAlignment="1">
      <alignment horizontal="center" vertical="center" wrapText="1"/>
    </xf>
    <xf numFmtId="14" fontId="8" fillId="0" borderId="3" xfId="3" applyNumberFormat="1" applyFont="1" applyBorder="1" applyAlignment="1">
      <alignment horizontal="left" vertical="center" wrapText="1"/>
    </xf>
    <xf numFmtId="14" fontId="8" fillId="0" borderId="3" xfId="3" applyNumberFormat="1" applyFont="1" applyBorder="1" applyAlignment="1">
      <alignment horizontal="center" vertical="center" wrapText="1"/>
    </xf>
    <xf numFmtId="16" fontId="8" fillId="0" borderId="38" xfId="3" applyNumberFormat="1" applyFont="1" applyBorder="1" applyAlignment="1">
      <alignment horizontal="center" vertical="center"/>
    </xf>
    <xf numFmtId="0" fontId="8" fillId="0" borderId="38" xfId="3" applyFont="1" applyBorder="1" applyAlignment="1">
      <alignment horizontal="center" vertical="center"/>
    </xf>
    <xf numFmtId="3" fontId="8" fillId="0" borderId="38" xfId="3" applyNumberFormat="1" applyFont="1" applyBorder="1" applyAlignment="1">
      <alignment vertical="center"/>
    </xf>
    <xf numFmtId="14" fontId="8" fillId="0" borderId="38" xfId="3" applyNumberFormat="1" applyFont="1" applyBorder="1" applyAlignment="1">
      <alignment horizontal="center" vertical="center"/>
    </xf>
    <xf numFmtId="1" fontId="8" fillId="0" borderId="38" xfId="3" applyNumberFormat="1" applyFont="1" applyBorder="1" applyAlignment="1">
      <alignment horizontal="center" vertical="center"/>
    </xf>
    <xf numFmtId="14" fontId="29" fillId="0" borderId="38" xfId="3" applyNumberFormat="1" applyFont="1" applyBorder="1" applyAlignment="1">
      <alignment horizontal="center" vertical="center"/>
    </xf>
    <xf numFmtId="3" fontId="8" fillId="0" borderId="38" xfId="3" applyNumberFormat="1" applyFont="1" applyBorder="1" applyAlignment="1">
      <alignment horizontal="center" vertical="center" wrapText="1"/>
    </xf>
    <xf numFmtId="14" fontId="79" fillId="0" borderId="38" xfId="3" applyNumberFormat="1" applyFont="1" applyBorder="1" applyAlignment="1">
      <alignment horizontal="center" vertical="center"/>
    </xf>
    <xf numFmtId="0" fontId="8" fillId="0" borderId="38" xfId="3" applyFont="1" applyBorder="1" applyAlignment="1">
      <alignment horizontal="center" vertical="center" wrapText="1"/>
    </xf>
    <xf numFmtId="14" fontId="8" fillId="0" borderId="38" xfId="3" applyNumberFormat="1" applyFont="1" applyBorder="1" applyAlignment="1">
      <alignment horizontal="left" vertical="center" wrapText="1"/>
    </xf>
    <xf numFmtId="14" fontId="8" fillId="0" borderId="38" xfId="3" applyNumberFormat="1" applyFont="1" applyBorder="1" applyAlignment="1">
      <alignment horizontal="center" vertical="center" wrapText="1"/>
    </xf>
    <xf numFmtId="0" fontId="8" fillId="0" borderId="41" xfId="3" applyFont="1" applyBorder="1" applyAlignment="1">
      <alignment vertical="center"/>
    </xf>
    <xf numFmtId="0" fontId="8" fillId="0" borderId="3" xfId="3" applyFont="1" applyBorder="1" applyAlignment="1">
      <alignment vertical="center"/>
    </xf>
    <xf numFmtId="0" fontId="8" fillId="0" borderId="38" xfId="3" applyFont="1" applyBorder="1" applyAlignment="1">
      <alignment vertical="center"/>
    </xf>
    <xf numFmtId="3" fontId="8" fillId="0" borderId="38" xfId="3" applyNumberFormat="1" applyFont="1" applyBorder="1" applyAlignment="1">
      <alignment horizontal="center" vertical="center"/>
    </xf>
    <xf numFmtId="14" fontId="79" fillId="0" borderId="38" xfId="3" quotePrefix="1" applyNumberFormat="1" applyFont="1" applyBorder="1" applyAlignment="1">
      <alignment horizontal="center" vertical="center"/>
    </xf>
    <xf numFmtId="3" fontId="8" fillId="0" borderId="3" xfId="3" applyNumberFormat="1" applyFont="1" applyBorder="1" applyAlignment="1">
      <alignment horizontal="center" vertical="center"/>
    </xf>
    <xf numFmtId="16" fontId="8" fillId="0" borderId="38" xfId="3" applyNumberFormat="1" applyFont="1" applyBorder="1" applyAlignment="1">
      <alignment horizontal="center" vertical="center" wrapText="1"/>
    </xf>
    <xf numFmtId="1" fontId="8" fillId="0" borderId="34" xfId="3" applyNumberFormat="1" applyFont="1" applyBorder="1" applyAlignment="1">
      <alignment horizontal="center" vertical="center"/>
    </xf>
    <xf numFmtId="1" fontId="8" fillId="0" borderId="41" xfId="3" applyNumberFormat="1" applyFont="1" applyBorder="1" applyAlignment="1">
      <alignment horizontal="center" vertical="center"/>
    </xf>
    <xf numFmtId="0" fontId="8" fillId="0" borderId="38" xfId="3" applyFont="1" applyBorder="1" applyAlignment="1">
      <alignment horizontal="left" vertical="center" wrapText="1"/>
    </xf>
    <xf numFmtId="16" fontId="8" fillId="0" borderId="38" xfId="3" applyNumberFormat="1" applyFont="1" applyBorder="1" applyAlignment="1">
      <alignment horizontal="left" vertical="center"/>
    </xf>
    <xf numFmtId="16" fontId="8" fillId="0" borderId="3" xfId="3" applyNumberFormat="1" applyFont="1" applyBorder="1" applyAlignment="1">
      <alignment horizontal="center" vertical="center" wrapText="1"/>
    </xf>
    <xf numFmtId="1" fontId="8" fillId="0" borderId="4" xfId="3" applyNumberFormat="1" applyFont="1" applyBorder="1" applyAlignment="1">
      <alignment horizontal="center" vertical="center"/>
    </xf>
    <xf numFmtId="14" fontId="79" fillId="0" borderId="3" xfId="3" quotePrefix="1" applyNumberFormat="1" applyFont="1" applyBorder="1" applyAlignment="1">
      <alignment horizontal="center" vertical="center"/>
    </xf>
    <xf numFmtId="1" fontId="8" fillId="0" borderId="14" xfId="3" applyNumberFormat="1" applyFont="1" applyBorder="1" applyAlignment="1">
      <alignment horizontal="center" vertical="center"/>
    </xf>
    <xf numFmtId="0" fontId="8" fillId="0" borderId="3" xfId="3" applyFont="1" applyBorder="1" applyAlignment="1">
      <alignment horizontal="left" vertical="center" wrapText="1"/>
    </xf>
    <xf numFmtId="16" fontId="8" fillId="0" borderId="3" xfId="3" applyNumberFormat="1" applyFont="1" applyBorder="1" applyAlignment="1">
      <alignment horizontal="left" vertical="center"/>
    </xf>
    <xf numFmtId="0" fontId="80" fillId="0" borderId="38" xfId="3" applyFont="1" applyBorder="1" applyAlignment="1">
      <alignment horizontal="left" vertical="center" wrapText="1"/>
    </xf>
    <xf numFmtId="0" fontId="8" fillId="0" borderId="12" xfId="3" applyFont="1" applyBorder="1" applyAlignment="1">
      <alignment vertical="center"/>
    </xf>
    <xf numFmtId="0" fontId="8" fillId="0" borderId="2" xfId="3" applyFont="1" applyBorder="1" applyAlignment="1">
      <alignment vertical="center"/>
    </xf>
    <xf numFmtId="16" fontId="8" fillId="0" borderId="2" xfId="3" applyNumberFormat="1" applyFont="1" applyBorder="1" applyAlignment="1">
      <alignment horizontal="center" vertical="center"/>
    </xf>
    <xf numFmtId="16" fontId="8" fillId="0" borderId="2" xfId="3" applyNumberFormat="1" applyFont="1" applyBorder="1" applyAlignment="1">
      <alignment horizontal="center" vertical="center" wrapText="1"/>
    </xf>
    <xf numFmtId="0" fontId="8" fillId="0" borderId="2" xfId="3" applyFont="1" applyBorder="1" applyAlignment="1">
      <alignment horizontal="center" vertical="center"/>
    </xf>
    <xf numFmtId="3" fontId="8" fillId="0" borderId="2" xfId="3" applyNumberFormat="1" applyFont="1" applyBorder="1" applyAlignment="1">
      <alignment vertical="center"/>
    </xf>
    <xf numFmtId="14" fontId="8" fillId="0" borderId="2" xfId="3" applyNumberFormat="1" applyFont="1" applyBorder="1" applyAlignment="1">
      <alignment horizontal="center" vertical="center"/>
    </xf>
    <xf numFmtId="1" fontId="8" fillId="0" borderId="2" xfId="3" applyNumberFormat="1" applyFont="1" applyBorder="1" applyAlignment="1">
      <alignment horizontal="center" vertical="center"/>
    </xf>
    <xf numFmtId="14" fontId="79" fillId="0" borderId="2" xfId="3" quotePrefix="1" applyNumberFormat="1" applyFont="1" applyBorder="1" applyAlignment="1">
      <alignment horizontal="center" vertical="center"/>
    </xf>
    <xf numFmtId="0" fontId="8" fillId="0" borderId="2" xfId="3" applyFont="1" applyBorder="1" applyAlignment="1">
      <alignment horizontal="center" vertical="center" wrapText="1"/>
    </xf>
    <xf numFmtId="0" fontId="80" fillId="0" borderId="2" xfId="3" applyFont="1" applyBorder="1" applyAlignment="1">
      <alignment horizontal="left" vertical="center" wrapText="1"/>
    </xf>
    <xf numFmtId="0" fontId="80" fillId="0" borderId="3" xfId="3" applyFont="1" applyBorder="1" applyAlignment="1">
      <alignment horizontal="left" vertical="center" wrapText="1"/>
    </xf>
    <xf numFmtId="14" fontId="80" fillId="0" borderId="38" xfId="3" applyNumberFormat="1" applyFont="1" applyBorder="1" applyAlignment="1">
      <alignment horizontal="left" vertical="center" wrapText="1"/>
    </xf>
    <xf numFmtId="14" fontId="29" fillId="0" borderId="3" xfId="3" quotePrefix="1" applyNumberFormat="1" applyFont="1" applyBorder="1" applyAlignment="1">
      <alignment horizontal="center" vertical="center"/>
    </xf>
    <xf numFmtId="0" fontId="8" fillId="0" borderId="57" xfId="3" applyFont="1" applyBorder="1" applyAlignment="1">
      <alignment vertical="center"/>
    </xf>
    <xf numFmtId="0" fontId="8" fillId="0" borderId="58" xfId="3" applyFont="1" applyBorder="1" applyAlignment="1">
      <alignment vertical="center"/>
    </xf>
    <xf numFmtId="16" fontId="8" fillId="0" borderId="55" xfId="3" applyNumberFormat="1" applyFont="1" applyBorder="1" applyAlignment="1">
      <alignment horizontal="center" vertical="center"/>
    </xf>
    <xf numFmtId="0" fontId="8" fillId="0" borderId="55" xfId="3" applyFont="1" applyBorder="1" applyAlignment="1">
      <alignment horizontal="center" vertical="center"/>
    </xf>
    <xf numFmtId="3" fontId="8" fillId="0" borderId="55" xfId="3" applyNumberFormat="1" applyFont="1" applyBorder="1" applyAlignment="1">
      <alignment vertical="center"/>
    </xf>
    <xf numFmtId="14" fontId="8" fillId="0" borderId="55" xfId="3" applyNumberFormat="1" applyFont="1" applyBorder="1" applyAlignment="1">
      <alignment horizontal="center" vertical="center"/>
    </xf>
    <xf numFmtId="1" fontId="8" fillId="0" borderId="55" xfId="3" applyNumberFormat="1" applyFont="1" applyBorder="1" applyAlignment="1">
      <alignment horizontal="center" vertical="center"/>
    </xf>
    <xf numFmtId="14" fontId="29" fillId="0" borderId="55" xfId="3" applyNumberFormat="1" applyFont="1" applyBorder="1" applyAlignment="1">
      <alignment horizontal="center" vertical="center"/>
    </xf>
    <xf numFmtId="3" fontId="8" fillId="0" borderId="55" xfId="3" applyNumberFormat="1" applyFont="1" applyBorder="1" applyAlignment="1">
      <alignment horizontal="center" vertical="center" wrapText="1"/>
    </xf>
    <xf numFmtId="0" fontId="8" fillId="0" borderId="55" xfId="3" applyFont="1" applyBorder="1" applyAlignment="1">
      <alignment horizontal="center" vertical="center" wrapText="1"/>
    </xf>
    <xf numFmtId="14" fontId="8" fillId="0" borderId="55" xfId="3" applyNumberFormat="1" applyFont="1" applyBorder="1" applyAlignment="1">
      <alignment horizontal="left" vertical="center" wrapText="1"/>
    </xf>
    <xf numFmtId="14" fontId="8" fillId="0" borderId="55" xfId="3" applyNumberFormat="1" applyFont="1" applyBorder="1" applyAlignment="1">
      <alignment horizontal="center" vertical="center" wrapText="1"/>
    </xf>
    <xf numFmtId="14" fontId="29" fillId="0" borderId="38" xfId="3" applyNumberFormat="1" applyFont="1" applyBorder="1" applyAlignment="1">
      <alignment horizontal="left" vertical="center" wrapText="1"/>
    </xf>
    <xf numFmtId="0" fontId="8" fillId="0" borderId="38" xfId="3" quotePrefix="1" applyFont="1" applyBorder="1" applyAlignment="1">
      <alignment horizontal="center" vertical="center"/>
    </xf>
    <xf numFmtId="0" fontId="8" fillId="0" borderId="13" xfId="3" applyFont="1" applyBorder="1" applyAlignment="1">
      <alignment vertical="center"/>
    </xf>
    <xf numFmtId="0" fontId="8" fillId="0" borderId="1" xfId="3" applyFont="1" applyBorder="1" applyAlignment="1">
      <alignment vertical="center"/>
    </xf>
    <xf numFmtId="16" fontId="8" fillId="0" borderId="1" xfId="3" applyNumberFormat="1" applyFont="1" applyBorder="1" applyAlignment="1">
      <alignment horizontal="center" vertical="center"/>
    </xf>
    <xf numFmtId="0" fontId="8" fillId="0" borderId="1" xfId="3" applyFont="1" applyBorder="1" applyAlignment="1">
      <alignment horizontal="center" vertical="center"/>
    </xf>
    <xf numFmtId="3" fontId="8" fillId="0" borderId="1" xfId="3" applyNumberFormat="1" applyFont="1" applyBorder="1" applyAlignment="1">
      <alignment vertical="center"/>
    </xf>
    <xf numFmtId="14" fontId="8" fillId="0" borderId="1" xfId="3" applyNumberFormat="1" applyFont="1" applyBorder="1" applyAlignment="1">
      <alignment horizontal="center" vertical="center"/>
    </xf>
    <xf numFmtId="1" fontId="8" fillId="0" borderId="1" xfId="3" applyNumberFormat="1" applyFont="1" applyBorder="1" applyAlignment="1">
      <alignment horizontal="center" vertical="center"/>
    </xf>
    <xf numFmtId="14" fontId="29" fillId="0" borderId="1" xfId="3" applyNumberFormat="1" applyFont="1" applyBorder="1" applyAlignment="1">
      <alignment horizontal="center" vertical="center"/>
    </xf>
    <xf numFmtId="3" fontId="8" fillId="0" borderId="1" xfId="3" applyNumberFormat="1" applyFont="1" applyBorder="1" applyAlignment="1">
      <alignment horizontal="center" vertical="center" wrapText="1"/>
    </xf>
    <xf numFmtId="14" fontId="29" fillId="0" borderId="38" xfId="3" quotePrefix="1" applyNumberFormat="1" applyFont="1" applyBorder="1" applyAlignment="1">
      <alignment horizontal="center" vertical="center"/>
    </xf>
    <xf numFmtId="0" fontId="8" fillId="0" borderId="1" xfId="3" applyFont="1" applyBorder="1" applyAlignment="1">
      <alignment horizontal="center" vertical="center" wrapText="1"/>
    </xf>
    <xf numFmtId="14" fontId="8" fillId="0" borderId="1" xfId="3" applyNumberFormat="1" applyFont="1" applyBorder="1" applyAlignment="1">
      <alignment horizontal="left" vertical="center" wrapText="1"/>
    </xf>
    <xf numFmtId="14" fontId="8" fillId="0" borderId="1" xfId="3" applyNumberFormat="1" applyFont="1" applyBorder="1" applyAlignment="1">
      <alignment horizontal="center" vertical="center" wrapText="1"/>
    </xf>
    <xf numFmtId="4" fontId="8" fillId="0" borderId="3" xfId="3" applyNumberFormat="1" applyFont="1" applyBorder="1" applyAlignment="1" applyProtection="1">
      <alignment horizontal="left" vertical="center"/>
      <protection locked="0"/>
    </xf>
    <xf numFmtId="14" fontId="79" fillId="0" borderId="1" xfId="3" applyNumberFormat="1" applyFont="1" applyBorder="1" applyAlignment="1">
      <alignment horizontal="center" vertical="center"/>
    </xf>
    <xf numFmtId="14" fontId="29" fillId="0" borderId="1" xfId="3" quotePrefix="1" applyNumberFormat="1" applyFont="1" applyBorder="1" applyAlignment="1">
      <alignment horizontal="center" vertical="center"/>
    </xf>
    <xf numFmtId="1" fontId="8" fillId="0" borderId="50" xfId="3" applyNumberFormat="1" applyFont="1" applyBorder="1" applyAlignment="1">
      <alignment horizontal="center" vertical="center"/>
    </xf>
    <xf numFmtId="167" fontId="8" fillId="0" borderId="38" xfId="3" applyNumberFormat="1" applyFont="1" applyBorder="1" applyAlignment="1">
      <alignment horizontal="center" vertical="center"/>
    </xf>
    <xf numFmtId="0" fontId="80" fillId="0" borderId="1" xfId="3" applyFont="1" applyBorder="1" applyAlignment="1">
      <alignment horizontal="left" vertical="center" wrapText="1"/>
    </xf>
    <xf numFmtId="167" fontId="8" fillId="0" borderId="3" xfId="3" applyNumberFormat="1" applyFont="1" applyBorder="1" applyAlignment="1">
      <alignment horizontal="center" vertical="center" wrapText="1"/>
    </xf>
    <xf numFmtId="167" fontId="8" fillId="0" borderId="38" xfId="3" applyNumberFormat="1" applyFont="1" applyBorder="1" applyAlignment="1">
      <alignment horizontal="center" vertical="center" wrapText="1"/>
    </xf>
    <xf numFmtId="14" fontId="79" fillId="0" borderId="7" xfId="3" applyNumberFormat="1" applyFont="1" applyBorder="1" applyAlignment="1">
      <alignment horizontal="center" vertical="center"/>
    </xf>
    <xf numFmtId="14" fontId="8" fillId="13" borderId="0" xfId="3" applyNumberFormat="1" applyFont="1" applyFill="1" applyAlignment="1">
      <alignment horizontal="center" vertical="center"/>
    </xf>
    <xf numFmtId="14" fontId="79" fillId="13" borderId="0" xfId="3" applyNumberFormat="1" applyFont="1" applyFill="1" applyAlignment="1">
      <alignment horizontal="center" vertical="center"/>
    </xf>
    <xf numFmtId="0" fontId="8" fillId="0" borderId="55" xfId="3" applyFont="1" applyBorder="1" applyAlignment="1">
      <alignment vertical="center"/>
    </xf>
    <xf numFmtId="14" fontId="79" fillId="0" borderId="55" xfId="3" applyNumberFormat="1" applyFont="1" applyBorder="1" applyAlignment="1">
      <alignment horizontal="center" vertical="center"/>
    </xf>
    <xf numFmtId="0" fontId="8" fillId="0" borderId="38" xfId="3" applyFont="1" applyBorder="1" applyAlignment="1">
      <alignment vertical="center" wrapText="1"/>
    </xf>
    <xf numFmtId="0" fontId="8" fillId="0" borderId="34" xfId="3" applyFont="1" applyBorder="1" applyAlignment="1">
      <alignment horizontal="center" vertical="center"/>
    </xf>
    <xf numFmtId="0" fontId="8" fillId="0" borderId="7" xfId="3" applyFont="1" applyBorder="1" applyAlignment="1">
      <alignment horizontal="center" vertical="center" wrapText="1"/>
    </xf>
    <xf numFmtId="0" fontId="8" fillId="0" borderId="41" xfId="3" applyFont="1" applyBorder="1" applyAlignment="1">
      <alignment horizontal="left" vertical="center"/>
    </xf>
    <xf numFmtId="1" fontId="8" fillId="0" borderId="38" xfId="3" applyNumberFormat="1" applyFont="1" applyBorder="1" applyAlignment="1">
      <alignment horizontal="center" vertical="center" wrapText="1"/>
    </xf>
    <xf numFmtId="14" fontId="94" fillId="0" borderId="38" xfId="3" applyNumberFormat="1" applyFont="1" applyBorder="1" applyAlignment="1">
      <alignment horizontal="center" vertical="center"/>
    </xf>
    <xf numFmtId="167" fontId="8" fillId="0" borderId="1" xfId="3" applyNumberFormat="1" applyFont="1" applyBorder="1" applyAlignment="1">
      <alignment horizontal="center" vertical="center" wrapText="1"/>
    </xf>
    <xf numFmtId="14" fontId="94" fillId="0" borderId="1" xfId="3" applyNumberFormat="1" applyFont="1" applyBorder="1" applyAlignment="1">
      <alignment horizontal="center" vertical="center"/>
    </xf>
    <xf numFmtId="1" fontId="8" fillId="0" borderId="3" xfId="3" applyNumberFormat="1" applyFont="1" applyBorder="1" applyAlignment="1">
      <alignment horizontal="center" vertical="center" wrapText="1"/>
    </xf>
    <xf numFmtId="0" fontId="79" fillId="0" borderId="38" xfId="3" applyFont="1" applyBorder="1" applyAlignment="1">
      <alignment horizontal="left" vertical="center" wrapText="1"/>
    </xf>
    <xf numFmtId="0" fontId="8" fillId="0" borderId="14" xfId="3" applyFont="1" applyBorder="1" applyAlignment="1">
      <alignment horizontal="left" vertical="center"/>
    </xf>
    <xf numFmtId="0" fontId="8" fillId="0" borderId="58" xfId="3" applyFont="1" applyBorder="1" applyAlignment="1">
      <alignment horizontal="left" vertical="center"/>
    </xf>
    <xf numFmtId="16" fontId="8" fillId="0" borderId="55" xfId="3" applyNumberFormat="1" applyFont="1" applyBorder="1" applyAlignment="1">
      <alignment horizontal="center" vertical="center" wrapText="1"/>
    </xf>
    <xf numFmtId="167" fontId="8" fillId="0" borderId="55" xfId="3" applyNumberFormat="1" applyFont="1" applyBorder="1" applyAlignment="1">
      <alignment horizontal="center" vertical="center" wrapText="1"/>
    </xf>
    <xf numFmtId="1" fontId="8" fillId="0" borderId="55" xfId="3" applyNumberFormat="1" applyFont="1" applyBorder="1" applyAlignment="1">
      <alignment horizontal="center" vertical="center" wrapText="1"/>
    </xf>
    <xf numFmtId="0" fontId="80" fillId="0" borderId="55" xfId="3" applyFont="1" applyBorder="1" applyAlignment="1">
      <alignment horizontal="left" vertical="center" wrapText="1"/>
    </xf>
    <xf numFmtId="0" fontId="8" fillId="0" borderId="60" xfId="3" applyFont="1" applyBorder="1" applyAlignment="1">
      <alignment horizontal="left" vertical="center"/>
    </xf>
    <xf numFmtId="16" fontId="8" fillId="0" borderId="57" xfId="3" applyNumberFormat="1" applyFont="1" applyBorder="1" applyAlignment="1">
      <alignment horizontal="center" vertical="center"/>
    </xf>
    <xf numFmtId="16" fontId="8" fillId="0" borderId="57" xfId="3" applyNumberFormat="1" applyFont="1" applyBorder="1" applyAlignment="1">
      <alignment horizontal="center" vertical="center" wrapText="1"/>
    </xf>
    <xf numFmtId="0" fontId="8" fillId="0" borderId="57" xfId="3" applyFont="1" applyBorder="1" applyAlignment="1">
      <alignment horizontal="center" vertical="center"/>
    </xf>
    <xf numFmtId="3" fontId="8" fillId="0" borderId="57" xfId="3" applyNumberFormat="1" applyFont="1" applyBorder="1" applyAlignment="1">
      <alignment vertical="center"/>
    </xf>
    <xf numFmtId="14" fontId="8" fillId="0" borderId="57" xfId="3" applyNumberFormat="1" applyFont="1" applyBorder="1" applyAlignment="1">
      <alignment horizontal="center" vertical="center"/>
    </xf>
    <xf numFmtId="1" fontId="8" fillId="0" borderId="57" xfId="3" applyNumberFormat="1" applyFont="1" applyBorder="1" applyAlignment="1">
      <alignment horizontal="center" vertical="center"/>
    </xf>
    <xf numFmtId="167" fontId="8" fillId="0" borderId="57" xfId="3" applyNumberFormat="1" applyFont="1" applyBorder="1" applyAlignment="1">
      <alignment horizontal="center" vertical="center" wrapText="1"/>
    </xf>
    <xf numFmtId="14" fontId="29" fillId="0" borderId="57" xfId="3" applyNumberFormat="1" applyFont="1" applyBorder="1" applyAlignment="1">
      <alignment horizontal="center" vertical="center"/>
    </xf>
    <xf numFmtId="0" fontId="80" fillId="0" borderId="57" xfId="3" applyFont="1" applyBorder="1" applyAlignment="1">
      <alignment horizontal="left" vertical="center" wrapText="1"/>
    </xf>
    <xf numFmtId="0" fontId="8" fillId="0" borderId="57" xfId="3" applyFont="1" applyBorder="1" applyAlignment="1">
      <alignment horizontal="center" vertical="center" wrapText="1"/>
    </xf>
    <xf numFmtId="0" fontId="8" fillId="0" borderId="1" xfId="3" applyFont="1" applyBorder="1" applyAlignment="1">
      <alignment vertical="center" wrapText="1"/>
    </xf>
    <xf numFmtId="0" fontId="8" fillId="0" borderId="0" xfId="3" applyFont="1" applyAlignment="1">
      <alignment vertical="center"/>
    </xf>
    <xf numFmtId="0" fontId="99" fillId="0" borderId="38" xfId="3" applyFont="1" applyBorder="1" applyAlignment="1">
      <alignment horizontal="left" vertical="center" wrapText="1"/>
    </xf>
    <xf numFmtId="0" fontId="8" fillId="0" borderId="7" xfId="3" applyFont="1" applyBorder="1" applyAlignment="1">
      <alignment horizontal="center" vertical="center"/>
    </xf>
    <xf numFmtId="1" fontId="8" fillId="0" borderId="57" xfId="3" applyNumberFormat="1" applyFont="1" applyBorder="1" applyAlignment="1">
      <alignment horizontal="center" vertical="center" wrapText="1"/>
    </xf>
    <xf numFmtId="0" fontId="8" fillId="0" borderId="61" xfId="3" applyFont="1" applyBorder="1" applyAlignment="1">
      <alignment horizontal="center" vertical="center"/>
    </xf>
    <xf numFmtId="14" fontId="94" fillId="0" borderId="57" xfId="3" applyNumberFormat="1" applyFont="1" applyBorder="1" applyAlignment="1">
      <alignment horizontal="center" vertical="center"/>
    </xf>
    <xf numFmtId="0" fontId="8" fillId="0" borderId="57" xfId="3" applyFont="1" applyBorder="1" applyAlignment="1">
      <alignment horizontal="left" vertical="center" wrapText="1"/>
    </xf>
    <xf numFmtId="0" fontId="8" fillId="0" borderId="13" xfId="3" applyFont="1" applyBorder="1" applyAlignment="1">
      <alignment horizontal="left" vertical="center"/>
    </xf>
    <xf numFmtId="1" fontId="8" fillId="0" borderId="1" xfId="3" applyNumberFormat="1" applyFont="1" applyBorder="1" applyAlignment="1">
      <alignment horizontal="center" vertical="center" wrapText="1"/>
    </xf>
    <xf numFmtId="0" fontId="8" fillId="0" borderId="1" xfId="3" applyFont="1" applyBorder="1" applyAlignment="1">
      <alignment horizontal="left" vertical="center" wrapText="1"/>
    </xf>
    <xf numFmtId="0" fontId="8" fillId="0" borderId="61" xfId="3" applyFont="1" applyBorder="1" applyAlignment="1">
      <alignment horizontal="center" vertical="center" wrapText="1"/>
    </xf>
    <xf numFmtId="0" fontId="106" fillId="0" borderId="0" xfId="0" applyFont="1"/>
    <xf numFmtId="3" fontId="2" fillId="0" borderId="38" xfId="0" applyNumberFormat="1" applyFont="1" applyFill="1" applyBorder="1" applyAlignment="1">
      <alignment horizontal="right" vertical="center"/>
    </xf>
    <xf numFmtId="0" fontId="87" fillId="2" borderId="0" xfId="0" applyFont="1" applyFill="1" applyBorder="1" applyAlignment="1">
      <alignment vertical="center"/>
    </xf>
    <xf numFmtId="16" fontId="87" fillId="2" borderId="0" xfId="0" applyNumberFormat="1" applyFont="1" applyFill="1" applyBorder="1" applyAlignment="1">
      <alignment horizontal="center" vertical="center"/>
    </xf>
    <xf numFmtId="16" fontId="87" fillId="2" borderId="0" xfId="0" applyNumberFormat="1" applyFont="1" applyFill="1" applyBorder="1" applyAlignment="1">
      <alignment horizontal="center" vertical="center" wrapText="1"/>
    </xf>
    <xf numFmtId="0" fontId="87" fillId="2" borderId="0" xfId="0" applyFont="1" applyFill="1" applyBorder="1" applyAlignment="1">
      <alignment horizontal="center" vertical="center"/>
    </xf>
    <xf numFmtId="3" fontId="87" fillId="2" borderId="0" xfId="0" applyNumberFormat="1" applyFont="1" applyFill="1" applyBorder="1" applyAlignment="1">
      <alignment vertical="center"/>
    </xf>
    <xf numFmtId="3" fontId="87" fillId="2" borderId="0" xfId="0" applyNumberFormat="1" applyFont="1" applyFill="1" applyBorder="1" applyAlignment="1">
      <alignment horizontal="center" vertical="center"/>
    </xf>
    <xf numFmtId="2" fontId="87" fillId="2" borderId="0" xfId="0" applyNumberFormat="1" applyFont="1" applyFill="1" applyBorder="1" applyAlignment="1">
      <alignment horizontal="center" vertical="center"/>
    </xf>
    <xf numFmtId="1" fontId="87" fillId="2" borderId="0" xfId="0" applyNumberFormat="1" applyFont="1" applyFill="1" applyBorder="1" applyAlignment="1">
      <alignment horizontal="center" vertical="center"/>
    </xf>
    <xf numFmtId="2" fontId="50" fillId="2" borderId="0" xfId="0" applyNumberFormat="1" applyFont="1" applyFill="1" applyBorder="1" applyAlignment="1">
      <alignment horizontal="center" vertical="center"/>
    </xf>
    <xf numFmtId="14" fontId="87" fillId="2" borderId="0" xfId="0" applyNumberFormat="1" applyFont="1" applyFill="1" applyBorder="1" applyAlignment="1">
      <alignment horizontal="center" vertical="center"/>
    </xf>
    <xf numFmtId="1" fontId="87" fillId="2" borderId="0" xfId="0" applyNumberFormat="1" applyFont="1" applyFill="1" applyBorder="1" applyAlignment="1">
      <alignment horizontal="center" vertical="center" wrapText="1"/>
    </xf>
    <xf numFmtId="14" fontId="89" fillId="2" borderId="0" xfId="0" applyNumberFormat="1" applyFont="1" applyFill="1" applyBorder="1" applyAlignment="1">
      <alignment horizontal="center" vertical="center"/>
    </xf>
    <xf numFmtId="0" fontId="87" fillId="2" borderId="0" xfId="0" applyFont="1" applyFill="1" applyBorder="1" applyAlignment="1">
      <alignment horizontal="center" vertical="center" wrapText="1"/>
    </xf>
    <xf numFmtId="0" fontId="87" fillId="2" borderId="0" xfId="0" quotePrefix="1" applyFont="1" applyFill="1" applyBorder="1" applyAlignment="1">
      <alignment horizontal="center" vertical="center"/>
    </xf>
    <xf numFmtId="14" fontId="88" fillId="2" borderId="0" xfId="0" applyNumberFormat="1" applyFont="1" applyFill="1" applyBorder="1" applyAlignment="1">
      <alignment horizontal="center" vertical="center"/>
    </xf>
    <xf numFmtId="0" fontId="87" fillId="2" borderId="0" xfId="0" applyFont="1" applyFill="1" applyBorder="1" applyAlignment="1">
      <alignment horizontal="left" vertical="center" wrapText="1"/>
    </xf>
    <xf numFmtId="11" fontId="87" fillId="0" borderId="38" xfId="0" quotePrefix="1" applyNumberFormat="1" applyFont="1" applyFill="1" applyBorder="1" applyAlignment="1">
      <alignment horizontal="center" vertical="center" wrapText="1"/>
    </xf>
    <xf numFmtId="0" fontId="87" fillId="0" borderId="11" xfId="0" applyFont="1" applyFill="1" applyBorder="1" applyAlignment="1">
      <alignment vertical="center"/>
    </xf>
    <xf numFmtId="16" fontId="87" fillId="0" borderId="11" xfId="0" applyNumberFormat="1" applyFont="1" applyFill="1" applyBorder="1" applyAlignment="1">
      <alignment horizontal="center" vertical="center"/>
    </xf>
    <xf numFmtId="1" fontId="87" fillId="0" borderId="11" xfId="0" applyNumberFormat="1" applyFont="1" applyFill="1" applyBorder="1" applyAlignment="1">
      <alignment horizontal="center" vertical="center" wrapText="1"/>
    </xf>
    <xf numFmtId="0" fontId="87" fillId="0" borderId="11" xfId="0" applyFont="1" applyFill="1" applyBorder="1" applyAlignment="1">
      <alignment horizontal="center" vertical="center"/>
    </xf>
    <xf numFmtId="3" fontId="87" fillId="0" borderId="11" xfId="0" applyNumberFormat="1" applyFont="1" applyFill="1" applyBorder="1" applyAlignment="1">
      <alignment vertical="center"/>
    </xf>
    <xf numFmtId="3" fontId="87" fillId="0" borderId="11" xfId="0" applyNumberFormat="1" applyFont="1" applyFill="1" applyBorder="1" applyAlignment="1">
      <alignment horizontal="center" vertical="center"/>
    </xf>
    <xf numFmtId="14" fontId="87" fillId="0" borderId="11" xfId="0" applyNumberFormat="1" applyFont="1" applyFill="1" applyBorder="1" applyAlignment="1">
      <alignment horizontal="center" vertical="center"/>
    </xf>
    <xf numFmtId="1" fontId="87" fillId="0" borderId="11" xfId="0" applyNumberFormat="1" applyFont="1" applyFill="1" applyBorder="1" applyAlignment="1">
      <alignment horizontal="center" vertical="center"/>
    </xf>
    <xf numFmtId="167" fontId="87" fillId="0" borderId="11" xfId="0" applyNumberFormat="1" applyFont="1" applyFill="1" applyBorder="1" applyAlignment="1">
      <alignment horizontal="center" vertical="center" wrapText="1"/>
    </xf>
    <xf numFmtId="14" fontId="97" fillId="0" borderId="11" xfId="0" applyNumberFormat="1" applyFont="1" applyFill="1" applyBorder="1" applyAlignment="1">
      <alignment horizontal="center" vertical="center"/>
    </xf>
    <xf numFmtId="0" fontId="87" fillId="0" borderId="11" xfId="0" quotePrefix="1" applyFont="1" applyFill="1" applyBorder="1" applyAlignment="1">
      <alignment horizontal="center" vertical="center" wrapText="1"/>
    </xf>
    <xf numFmtId="0" fontId="87" fillId="0" borderId="11" xfId="0" applyFont="1" applyFill="1" applyBorder="1" applyAlignment="1">
      <alignment horizontal="center" vertical="center" wrapText="1"/>
    </xf>
    <xf numFmtId="0" fontId="87" fillId="0" borderId="7" xfId="0" applyFont="1" applyFill="1" applyBorder="1" applyAlignment="1">
      <alignment vertical="center"/>
    </xf>
    <xf numFmtId="16" fontId="87" fillId="0" borderId="7" xfId="0" applyNumberFormat="1" applyFont="1" applyFill="1" applyBorder="1" applyAlignment="1">
      <alignment horizontal="center" vertical="center"/>
    </xf>
    <xf numFmtId="1" fontId="87" fillId="0" borderId="7" xfId="0" applyNumberFormat="1" applyFont="1" applyFill="1" applyBorder="1" applyAlignment="1">
      <alignment horizontal="center" vertical="center" wrapText="1"/>
    </xf>
    <xf numFmtId="3" fontId="87" fillId="0" borderId="7" xfId="0" applyNumberFormat="1" applyFont="1" applyFill="1" applyBorder="1" applyAlignment="1">
      <alignment vertical="center"/>
    </xf>
    <xf numFmtId="3" fontId="87" fillId="0" borderId="7" xfId="0" applyNumberFormat="1" applyFont="1" applyFill="1" applyBorder="1" applyAlignment="1">
      <alignment horizontal="center" vertical="center"/>
    </xf>
    <xf numFmtId="14" fontId="87" fillId="0" borderId="7" xfId="0" applyNumberFormat="1" applyFont="1" applyFill="1" applyBorder="1" applyAlignment="1">
      <alignment horizontal="center" vertical="center"/>
    </xf>
    <xf numFmtId="1" fontId="87" fillId="0" borderId="7" xfId="0" applyNumberFormat="1" applyFont="1" applyFill="1" applyBorder="1" applyAlignment="1">
      <alignment horizontal="center" vertical="center"/>
    </xf>
    <xf numFmtId="167" fontId="87" fillId="0" borderId="7" xfId="0" applyNumberFormat="1" applyFont="1" applyFill="1" applyBorder="1" applyAlignment="1">
      <alignment horizontal="center" vertical="center" wrapText="1"/>
    </xf>
    <xf numFmtId="14" fontId="97" fillId="0" borderId="7" xfId="0" applyNumberFormat="1" applyFont="1" applyFill="1" applyBorder="1" applyAlignment="1">
      <alignment horizontal="center" vertical="center"/>
    </xf>
    <xf numFmtId="0" fontId="87" fillId="0" borderId="11" xfId="0" applyFont="1" applyFill="1" applyBorder="1" applyAlignment="1">
      <alignment horizontal="left" vertical="center"/>
    </xf>
    <xf numFmtId="0" fontId="4" fillId="0" borderId="11" xfId="0" applyFont="1" applyFill="1" applyBorder="1" applyAlignment="1">
      <alignment horizontal="left" vertical="center" wrapText="1"/>
    </xf>
    <xf numFmtId="0" fontId="87" fillId="0" borderId="7" xfId="0" applyFont="1" applyFill="1" applyBorder="1" applyAlignment="1">
      <alignment horizontal="left" vertical="center"/>
    </xf>
    <xf numFmtId="0" fontId="4" fillId="0" borderId="7" xfId="0" applyFont="1" applyFill="1" applyBorder="1" applyAlignment="1">
      <alignment horizontal="left" vertical="center" wrapText="1"/>
    </xf>
    <xf numFmtId="0" fontId="87" fillId="29" borderId="38" xfId="0" applyFont="1" applyFill="1" applyBorder="1" applyAlignment="1">
      <alignment horizontal="left" vertical="center"/>
    </xf>
    <xf numFmtId="0" fontId="87" fillId="29" borderId="38" xfId="0" applyFont="1" applyFill="1" applyBorder="1" applyAlignment="1">
      <alignment vertical="center"/>
    </xf>
    <xf numFmtId="16" fontId="87" fillId="29" borderId="38" xfId="0" applyNumberFormat="1" applyFont="1" applyFill="1" applyBorder="1" applyAlignment="1">
      <alignment horizontal="center" vertical="center"/>
    </xf>
    <xf numFmtId="1" fontId="87" fillId="29" borderId="38" xfId="0" applyNumberFormat="1" applyFont="1" applyFill="1" applyBorder="1" applyAlignment="1">
      <alignment horizontal="center" vertical="center" wrapText="1"/>
    </xf>
    <xf numFmtId="0" fontId="87" fillId="29" borderId="7" xfId="0" quotePrefix="1" applyFont="1" applyFill="1" applyBorder="1" applyAlignment="1">
      <alignment horizontal="center" vertical="center"/>
    </xf>
    <xf numFmtId="0" fontId="87" fillId="29" borderId="38" xfId="0" applyFont="1" applyFill="1" applyBorder="1" applyAlignment="1">
      <alignment horizontal="center" vertical="center"/>
    </xf>
    <xf numFmtId="3" fontId="87" fillId="29" borderId="38" xfId="0" applyNumberFormat="1" applyFont="1" applyFill="1" applyBorder="1" applyAlignment="1">
      <alignment vertical="center"/>
    </xf>
    <xf numFmtId="3" fontId="87" fillId="29" borderId="38" xfId="0" applyNumberFormat="1" applyFont="1" applyFill="1" applyBorder="1" applyAlignment="1">
      <alignment horizontal="center" vertical="center"/>
    </xf>
    <xf numFmtId="14" fontId="87" fillId="29" borderId="38" xfId="0" applyNumberFormat="1" applyFont="1" applyFill="1" applyBorder="1" applyAlignment="1">
      <alignment horizontal="center" vertical="center"/>
    </xf>
    <xf numFmtId="1" fontId="87" fillId="29" borderId="38" xfId="0" applyNumberFormat="1" applyFont="1" applyFill="1" applyBorder="1" applyAlignment="1">
      <alignment horizontal="center" vertical="center"/>
    </xf>
    <xf numFmtId="167" fontId="87" fillId="29" borderId="38" xfId="0" applyNumberFormat="1" applyFont="1" applyFill="1" applyBorder="1" applyAlignment="1">
      <alignment horizontal="center" vertical="center" wrapText="1"/>
    </xf>
    <xf numFmtId="14" fontId="97" fillId="29" borderId="38" xfId="0" applyNumberFormat="1" applyFont="1" applyFill="1" applyBorder="1" applyAlignment="1">
      <alignment horizontal="center" vertical="center"/>
    </xf>
    <xf numFmtId="0" fontId="87" fillId="29" borderId="38" xfId="0" quotePrefix="1" applyFont="1" applyFill="1" applyBorder="1" applyAlignment="1">
      <alignment horizontal="center" vertical="center" wrapText="1"/>
    </xf>
    <xf numFmtId="0" fontId="87" fillId="29" borderId="45" xfId="0" applyFont="1" applyFill="1" applyBorder="1" applyAlignment="1">
      <alignment horizontal="center" vertical="center"/>
    </xf>
    <xf numFmtId="0" fontId="87" fillId="29" borderId="38" xfId="0" applyFont="1" applyFill="1" applyBorder="1" applyAlignment="1">
      <alignment horizontal="center" vertical="center" wrapText="1"/>
    </xf>
    <xf numFmtId="14" fontId="98" fillId="29" borderId="38" xfId="0" applyNumberFormat="1" applyFont="1" applyFill="1" applyBorder="1" applyAlignment="1">
      <alignment horizontal="center" vertical="center"/>
    </xf>
    <xf numFmtId="0" fontId="4" fillId="29" borderId="38" xfId="0" applyFont="1" applyFill="1" applyBorder="1" applyAlignment="1">
      <alignment horizontal="left" vertical="center" wrapText="1"/>
    </xf>
    <xf numFmtId="0" fontId="87" fillId="29" borderId="38" xfId="0" quotePrefix="1" applyFont="1" applyFill="1" applyBorder="1" applyAlignment="1">
      <alignment horizontal="center" vertical="center"/>
    </xf>
    <xf numFmtId="0" fontId="8" fillId="0" borderId="1" xfId="3" applyFont="1" applyBorder="1" applyAlignment="1">
      <alignment horizontal="center" vertical="center" wrapText="1"/>
    </xf>
    <xf numFmtId="1" fontId="87" fillId="0" borderId="38" xfId="0" quotePrefix="1" applyNumberFormat="1" applyFont="1" applyFill="1" applyBorder="1" applyAlignment="1">
      <alignment horizontal="center" vertical="center" wrapText="1"/>
    </xf>
    <xf numFmtId="0" fontId="8" fillId="0" borderId="1" xfId="3" applyFont="1" applyBorder="1" applyAlignment="1">
      <alignment horizontal="center" vertical="center" wrapText="1"/>
    </xf>
    <xf numFmtId="0" fontId="8" fillId="0" borderId="1" xfId="3" applyFont="1" applyBorder="1" applyAlignment="1">
      <alignment horizontal="center" vertical="center" wrapText="1"/>
    </xf>
    <xf numFmtId="3" fontId="86" fillId="2" borderId="38" xfId="0" applyNumberFormat="1" applyFont="1" applyFill="1" applyBorder="1" applyAlignment="1">
      <alignment horizontal="center" vertical="center" wrapText="1"/>
    </xf>
    <xf numFmtId="0" fontId="86" fillId="2" borderId="15" xfId="0" applyFont="1" applyFill="1" applyBorder="1" applyAlignment="1">
      <alignment horizontal="center" vertical="center" wrapText="1"/>
    </xf>
    <xf numFmtId="14" fontId="4" fillId="0" borderId="0" xfId="0" applyNumberFormat="1" applyFont="1" applyFill="1" applyAlignment="1">
      <alignment vertical="center"/>
    </xf>
    <xf numFmtId="0" fontId="1" fillId="0" borderId="0" xfId="0" pivotButton="1" applyFont="1" applyAlignment="1"/>
    <xf numFmtId="0" fontId="1" fillId="0" borderId="0" xfId="0" pivotButton="1" applyFont="1" applyAlignment="1">
      <alignment horizontal="center"/>
    </xf>
    <xf numFmtId="1" fontId="87" fillId="18" borderId="0" xfId="0" applyNumberFormat="1" applyFont="1" applyFill="1" applyBorder="1" applyAlignment="1">
      <alignment horizontal="left" vertical="center" wrapText="1"/>
    </xf>
    <xf numFmtId="1" fontId="87" fillId="18" borderId="0" xfId="0" applyNumberFormat="1" applyFont="1" applyFill="1" applyBorder="1" applyAlignment="1">
      <alignment horizontal="center" vertical="center" wrapText="1"/>
    </xf>
    <xf numFmtId="0" fontId="87" fillId="18" borderId="0" xfId="0" applyFont="1" applyFill="1" applyBorder="1" applyAlignment="1">
      <alignment horizontal="center" vertical="center"/>
    </xf>
    <xf numFmtId="3" fontId="87" fillId="18" borderId="0" xfId="0" applyNumberFormat="1" applyFont="1" applyFill="1" applyBorder="1" applyAlignment="1">
      <alignment vertical="center"/>
    </xf>
    <xf numFmtId="3" fontId="87" fillId="18" borderId="0" xfId="0" applyNumberFormat="1" applyFont="1" applyFill="1" applyBorder="1" applyAlignment="1">
      <alignment horizontal="center" vertical="center"/>
    </xf>
    <xf numFmtId="14" fontId="87" fillId="18" borderId="0" xfId="0" applyNumberFormat="1" applyFont="1" applyFill="1" applyBorder="1" applyAlignment="1">
      <alignment horizontal="center" vertical="center"/>
    </xf>
    <xf numFmtId="1" fontId="87" fillId="18" borderId="0" xfId="0" applyNumberFormat="1" applyFont="1" applyFill="1" applyBorder="1" applyAlignment="1">
      <alignment horizontal="center" vertical="center"/>
    </xf>
    <xf numFmtId="167" fontId="87" fillId="18" borderId="0" xfId="0" applyNumberFormat="1" applyFont="1" applyFill="1" applyBorder="1" applyAlignment="1">
      <alignment horizontal="center" vertical="center" wrapText="1"/>
    </xf>
    <xf numFmtId="14" fontId="97" fillId="18" borderId="0" xfId="0" applyNumberFormat="1" applyFont="1" applyFill="1" applyBorder="1" applyAlignment="1">
      <alignment horizontal="center" vertical="center"/>
    </xf>
    <xf numFmtId="14" fontId="50" fillId="18" borderId="0" xfId="0" applyNumberFormat="1" applyFont="1" applyFill="1" applyBorder="1" applyAlignment="1">
      <alignment horizontal="center" vertical="center"/>
    </xf>
    <xf numFmtId="0" fontId="87" fillId="18" borderId="0" xfId="0" quotePrefix="1" applyFont="1" applyFill="1" applyBorder="1" applyAlignment="1">
      <alignment horizontal="center" vertical="center" wrapText="1"/>
    </xf>
    <xf numFmtId="0" fontId="4" fillId="18" borderId="0" xfId="0" applyFont="1" applyFill="1" applyBorder="1" applyAlignment="1">
      <alignment horizontal="left" vertical="center" wrapText="1"/>
    </xf>
    <xf numFmtId="0" fontId="4" fillId="18" borderId="0" xfId="0" applyFont="1" applyFill="1" applyBorder="1" applyAlignment="1">
      <alignment horizontal="center" vertical="center" wrapText="1"/>
    </xf>
    <xf numFmtId="14" fontId="4" fillId="18" borderId="0" xfId="0" applyNumberFormat="1" applyFont="1" applyFill="1" applyBorder="1" applyAlignment="1">
      <alignment vertical="center"/>
    </xf>
    <xf numFmtId="0" fontId="93" fillId="29" borderId="0" xfId="0" applyFont="1" applyFill="1" applyBorder="1" applyAlignment="1">
      <alignment vertical="center"/>
    </xf>
    <xf numFmtId="0" fontId="95" fillId="0" borderId="0" xfId="0" applyFont="1" applyFill="1" applyBorder="1" applyAlignment="1">
      <alignment vertical="center"/>
    </xf>
    <xf numFmtId="16" fontId="4" fillId="0" borderId="0" xfId="0" applyNumberFormat="1" applyFont="1" applyFill="1" applyBorder="1" applyAlignment="1">
      <alignment vertical="center"/>
    </xf>
    <xf numFmtId="14" fontId="4" fillId="0" borderId="0" xfId="0" applyNumberFormat="1" applyFont="1"/>
    <xf numFmtId="0" fontId="87" fillId="21" borderId="15" xfId="0" quotePrefix="1" applyFont="1" applyFill="1" applyBorder="1" applyAlignment="1">
      <alignment horizontal="center" vertical="center" wrapText="1"/>
    </xf>
    <xf numFmtId="14" fontId="87" fillId="8" borderId="38" xfId="0" quotePrefix="1" applyNumberFormat="1" applyFont="1" applyFill="1" applyBorder="1" applyAlignment="1">
      <alignment horizontal="center" vertical="center"/>
    </xf>
    <xf numFmtId="0" fontId="87" fillId="0" borderId="15" xfId="0" quotePrefix="1" applyFont="1" applyFill="1" applyBorder="1" applyAlignment="1">
      <alignment horizontal="center" vertical="center" wrapText="1"/>
    </xf>
    <xf numFmtId="0" fontId="4" fillId="0" borderId="11" xfId="0" applyFont="1" applyBorder="1" applyAlignment="1">
      <alignment horizontal="center" vertical="center" wrapText="1"/>
    </xf>
    <xf numFmtId="1" fontId="97" fillId="10" borderId="38" xfId="0" applyNumberFormat="1" applyFont="1" applyFill="1" applyBorder="1" applyAlignment="1">
      <alignment horizontal="center" vertical="center" wrapText="1"/>
    </xf>
    <xf numFmtId="0" fontId="8" fillId="0" borderId="1" xfId="3" applyFont="1" applyBorder="1" applyAlignment="1">
      <alignment horizontal="center" vertical="center" wrapText="1"/>
    </xf>
    <xf numFmtId="0" fontId="87" fillId="0" borderId="15" xfId="0" applyFont="1" applyFill="1" applyBorder="1" applyAlignment="1">
      <alignment vertical="center"/>
    </xf>
    <xf numFmtId="16" fontId="87" fillId="0" borderId="15" xfId="0" applyNumberFormat="1" applyFont="1" applyFill="1" applyBorder="1" applyAlignment="1">
      <alignment horizontal="center" vertical="center"/>
    </xf>
    <xf numFmtId="1" fontId="87" fillId="0" borderId="15" xfId="0" applyNumberFormat="1" applyFont="1" applyFill="1" applyBorder="1" applyAlignment="1">
      <alignment horizontal="center" vertical="center" wrapText="1"/>
    </xf>
    <xf numFmtId="3" fontId="87" fillId="0" borderId="15" xfId="0" applyNumberFormat="1" applyFont="1" applyFill="1" applyBorder="1" applyAlignment="1">
      <alignment vertical="center"/>
    </xf>
    <xf numFmtId="3" fontId="87" fillId="0" borderId="15" xfId="0" applyNumberFormat="1" applyFont="1" applyFill="1" applyBorder="1" applyAlignment="1">
      <alignment horizontal="center" vertical="center"/>
    </xf>
    <xf numFmtId="14" fontId="87" fillId="0" borderId="15" xfId="0" applyNumberFormat="1" applyFont="1" applyFill="1" applyBorder="1" applyAlignment="1">
      <alignment horizontal="center" vertical="center"/>
    </xf>
    <xf numFmtId="1" fontId="87" fillId="0" borderId="15" xfId="0" applyNumberFormat="1" applyFont="1" applyFill="1" applyBorder="1" applyAlignment="1">
      <alignment horizontal="center" vertical="center"/>
    </xf>
    <xf numFmtId="167" fontId="87" fillId="0" borderId="15" xfId="0" applyNumberFormat="1" applyFont="1" applyFill="1" applyBorder="1" applyAlignment="1">
      <alignment horizontal="center" vertical="center" wrapText="1"/>
    </xf>
    <xf numFmtId="14" fontId="97" fillId="0" borderId="15" xfId="0" applyNumberFormat="1" applyFont="1" applyFill="1" applyBorder="1" applyAlignment="1">
      <alignment horizontal="center" vertical="center"/>
    </xf>
    <xf numFmtId="0" fontId="87" fillId="0" borderId="15" xfId="0" applyFont="1" applyFill="1" applyBorder="1" applyAlignment="1">
      <alignment horizontal="center" vertical="center" wrapText="1"/>
    </xf>
    <xf numFmtId="14" fontId="98" fillId="0" borderId="15" xfId="0" applyNumberFormat="1" applyFont="1" applyFill="1" applyBorder="1" applyAlignment="1">
      <alignment horizontal="center" vertical="center"/>
    </xf>
    <xf numFmtId="0" fontId="87" fillId="0" borderId="15" xfId="0" applyFont="1" applyFill="1" applyBorder="1" applyAlignment="1">
      <alignment horizontal="left" vertical="center"/>
    </xf>
    <xf numFmtId="0" fontId="4" fillId="0" borderId="15" xfId="0" applyFont="1" applyFill="1" applyBorder="1" applyAlignment="1">
      <alignment horizontal="left" vertical="center" wrapText="1"/>
    </xf>
    <xf numFmtId="0" fontId="8" fillId="0" borderId="63" xfId="3" applyFont="1" applyBorder="1" applyAlignment="1">
      <alignment horizontal="left" vertical="center"/>
    </xf>
    <xf numFmtId="0" fontId="8" fillId="0" borderId="62" xfId="3" applyFont="1" applyBorder="1" applyAlignment="1">
      <alignment vertical="center"/>
    </xf>
    <xf numFmtId="16" fontId="8" fillId="0" borderId="62" xfId="3" applyNumberFormat="1" applyFont="1" applyBorder="1" applyAlignment="1">
      <alignment horizontal="center" vertical="center"/>
    </xf>
    <xf numFmtId="1" fontId="8" fillId="0" borderId="62" xfId="3" applyNumberFormat="1" applyFont="1" applyBorder="1" applyAlignment="1">
      <alignment horizontal="center" vertical="center" wrapText="1"/>
    </xf>
    <xf numFmtId="0" fontId="8" fillId="0" borderId="64" xfId="3" applyFont="1" applyBorder="1" applyAlignment="1">
      <alignment horizontal="center" vertical="center"/>
    </xf>
    <xf numFmtId="3" fontId="8" fillId="0" borderId="62" xfId="3" applyNumberFormat="1" applyFont="1" applyBorder="1" applyAlignment="1">
      <alignment vertical="center"/>
    </xf>
    <xf numFmtId="14" fontId="8" fillId="0" borderId="62" xfId="3" applyNumberFormat="1" applyFont="1" applyBorder="1" applyAlignment="1">
      <alignment horizontal="center" vertical="center"/>
    </xf>
    <xf numFmtId="1" fontId="8" fillId="0" borderId="62" xfId="3" applyNumberFormat="1" applyFont="1" applyBorder="1" applyAlignment="1">
      <alignment horizontal="center" vertical="center"/>
    </xf>
    <xf numFmtId="167" fontId="8" fillId="0" borderId="62" xfId="3" applyNumberFormat="1" applyFont="1" applyBorder="1" applyAlignment="1">
      <alignment horizontal="center" vertical="center" wrapText="1"/>
    </xf>
    <xf numFmtId="14" fontId="94" fillId="0" borderId="62" xfId="3" applyNumberFormat="1" applyFont="1" applyBorder="1" applyAlignment="1">
      <alignment horizontal="center" vertical="center"/>
    </xf>
    <xf numFmtId="14" fontId="29" fillId="0" borderId="62" xfId="3" applyNumberFormat="1" applyFont="1" applyBorder="1" applyAlignment="1">
      <alignment horizontal="center" vertical="center"/>
    </xf>
    <xf numFmtId="0" fontId="8" fillId="0" borderId="62" xfId="3" applyFont="1" applyBorder="1" applyAlignment="1">
      <alignment horizontal="left" vertical="center" wrapText="1"/>
    </xf>
    <xf numFmtId="0" fontId="8" fillId="0" borderId="62" xfId="3" applyFont="1" applyBorder="1" applyAlignment="1">
      <alignment horizontal="center" vertical="center" wrapText="1"/>
    </xf>
    <xf numFmtId="0" fontId="2" fillId="2" borderId="5" xfId="3" applyFill="1" applyBorder="1"/>
    <xf numFmtId="0" fontId="2" fillId="2" borderId="0" xfId="3" applyFill="1" applyBorder="1"/>
    <xf numFmtId="1" fontId="87" fillId="30" borderId="38" xfId="0" applyNumberFormat="1" applyFont="1" applyFill="1" applyBorder="1" applyAlignment="1">
      <alignment horizontal="left" vertical="center" wrapText="1"/>
    </xf>
    <xf numFmtId="1" fontId="87" fillId="30" borderId="38" xfId="0" applyNumberFormat="1" applyFont="1" applyFill="1" applyBorder="1" applyAlignment="1">
      <alignment horizontal="center" vertical="center" wrapText="1"/>
    </xf>
    <xf numFmtId="0" fontId="87" fillId="30" borderId="38" xfId="0" applyFont="1" applyFill="1" applyBorder="1" applyAlignment="1">
      <alignment horizontal="center" vertical="center"/>
    </xf>
    <xf numFmtId="3" fontId="87" fillId="30" borderId="38" xfId="0" applyNumberFormat="1" applyFont="1" applyFill="1" applyBorder="1" applyAlignment="1">
      <alignment vertical="center"/>
    </xf>
    <xf numFmtId="3" fontId="87" fillId="30" borderId="38" xfId="0" applyNumberFormat="1" applyFont="1" applyFill="1" applyBorder="1" applyAlignment="1">
      <alignment horizontal="center" vertical="center"/>
    </xf>
    <xf numFmtId="14" fontId="87" fillId="30" borderId="38" xfId="0" applyNumberFormat="1" applyFont="1" applyFill="1" applyBorder="1" applyAlignment="1">
      <alignment horizontal="center" vertical="center"/>
    </xf>
    <xf numFmtId="1" fontId="87" fillId="30" borderId="38" xfId="0" applyNumberFormat="1" applyFont="1" applyFill="1" applyBorder="1" applyAlignment="1">
      <alignment horizontal="center" vertical="center"/>
    </xf>
    <xf numFmtId="167" fontId="87" fillId="30" borderId="38" xfId="0" applyNumberFormat="1" applyFont="1" applyFill="1" applyBorder="1" applyAlignment="1">
      <alignment horizontal="center" vertical="center" wrapText="1"/>
    </xf>
    <xf numFmtId="14" fontId="97" fillId="30" borderId="38" xfId="0" applyNumberFormat="1" applyFont="1" applyFill="1" applyBorder="1" applyAlignment="1">
      <alignment horizontal="center" vertical="center"/>
    </xf>
    <xf numFmtId="14" fontId="50" fillId="30" borderId="38" xfId="0" applyNumberFormat="1" applyFont="1" applyFill="1" applyBorder="1" applyAlignment="1">
      <alignment horizontal="center" vertical="center"/>
    </xf>
    <xf numFmtId="0" fontId="87" fillId="30" borderId="38" xfId="0" quotePrefix="1" applyFont="1" applyFill="1" applyBorder="1" applyAlignment="1">
      <alignment horizontal="center" vertical="center" wrapText="1"/>
    </xf>
    <xf numFmtId="0" fontId="87" fillId="30" borderId="45" xfId="0" applyFont="1" applyFill="1" applyBorder="1" applyAlignment="1">
      <alignment horizontal="center" vertical="center"/>
    </xf>
    <xf numFmtId="0" fontId="4" fillId="30" borderId="38" xfId="0" applyFont="1" applyFill="1" applyBorder="1" applyAlignment="1">
      <alignment horizontal="left" vertical="center" wrapText="1"/>
    </xf>
    <xf numFmtId="0" fontId="4" fillId="0" borderId="3" xfId="0" applyFont="1" applyFill="1" applyBorder="1" applyAlignment="1">
      <alignment wrapText="1"/>
    </xf>
    <xf numFmtId="0" fontId="4" fillId="0" borderId="2" xfId="0" applyFont="1" applyBorder="1" applyAlignment="1">
      <alignment wrapText="1"/>
    </xf>
    <xf numFmtId="0" fontId="4" fillId="0" borderId="1" xfId="0" applyFont="1" applyBorder="1" applyAlignment="1">
      <alignment wrapText="1"/>
    </xf>
    <xf numFmtId="0" fontId="75" fillId="17" borderId="34" xfId="0" applyFont="1" applyFill="1" applyBorder="1" applyAlignment="1">
      <alignment horizontal="center" vertical="center"/>
    </xf>
    <xf numFmtId="0" fontId="75" fillId="17" borderId="15" xfId="0" applyFont="1" applyFill="1" applyBorder="1" applyAlignment="1">
      <alignment horizontal="center" vertical="center"/>
    </xf>
    <xf numFmtId="0" fontId="75" fillId="17" borderId="41" xfId="0" applyFont="1" applyFill="1" applyBorder="1" applyAlignment="1">
      <alignment horizontal="center" vertical="center"/>
    </xf>
    <xf numFmtId="14" fontId="4" fillId="0" borderId="3" xfId="0" applyNumberFormat="1" applyFont="1" applyFill="1" applyBorder="1" applyAlignment="1">
      <alignment horizontal="center" vertical="center"/>
    </xf>
    <xf numFmtId="0" fontId="0" fillId="0" borderId="1" xfId="0" applyBorder="1" applyAlignment="1">
      <alignment horizontal="center" vertical="center"/>
    </xf>
    <xf numFmtId="0" fontId="4" fillId="0" borderId="3"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46" xfId="0" applyFont="1" applyFill="1" applyBorder="1" applyAlignment="1">
      <alignment vertical="center"/>
    </xf>
    <xf numFmtId="0" fontId="0" fillId="0" borderId="54" xfId="0" applyBorder="1" applyAlignment="1">
      <alignment vertical="center"/>
    </xf>
    <xf numFmtId="0" fontId="4" fillId="0" borderId="3" xfId="0" applyFont="1" applyFill="1" applyBorder="1" applyAlignment="1">
      <alignment vertical="center"/>
    </xf>
    <xf numFmtId="0" fontId="0" fillId="0" borderId="1" xfId="0" applyBorder="1" applyAlignment="1">
      <alignment vertical="center"/>
    </xf>
    <xf numFmtId="16" fontId="4" fillId="0" borderId="3" xfId="0" applyNumberFormat="1" applyFont="1" applyFill="1" applyBorder="1" applyAlignment="1">
      <alignment horizontal="center" vertical="center"/>
    </xf>
    <xf numFmtId="0" fontId="4" fillId="0" borderId="22" xfId="0" applyFont="1" applyFill="1" applyBorder="1" applyAlignment="1">
      <alignment horizontal="center" vertical="center"/>
    </xf>
    <xf numFmtId="0" fontId="4" fillId="0" borderId="28" xfId="0" applyFont="1" applyFill="1" applyBorder="1" applyAlignment="1">
      <alignment horizontal="center" vertical="center"/>
    </xf>
    <xf numFmtId="14" fontId="4" fillId="0" borderId="3"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4" fillId="0" borderId="2" xfId="0" applyFont="1" applyFill="1" applyBorder="1" applyAlignment="1">
      <alignment wrapText="1"/>
    </xf>
    <xf numFmtId="0" fontId="4" fillId="0" borderId="1" xfId="0" applyFont="1" applyFill="1" applyBorder="1" applyAlignment="1">
      <alignment wrapText="1"/>
    </xf>
    <xf numFmtId="0" fontId="4" fillId="0" borderId="3" xfId="0" applyFont="1" applyFill="1" applyBorder="1" applyAlignment="1">
      <alignment horizontal="left" vertical="center" wrapText="1"/>
    </xf>
    <xf numFmtId="0" fontId="0" fillId="0" borderId="1" xfId="0" applyBorder="1" applyAlignment="1">
      <alignment horizontal="left" vertical="center" wrapText="1"/>
    </xf>
    <xf numFmtId="1" fontId="4" fillId="0" borderId="3" xfId="0" applyNumberFormat="1" applyFont="1" applyFill="1" applyBorder="1" applyAlignment="1">
      <alignment horizontal="center" vertical="center"/>
    </xf>
    <xf numFmtId="0" fontId="84" fillId="17" borderId="34" xfId="0" applyFont="1" applyFill="1" applyBorder="1" applyAlignment="1">
      <alignment horizontal="center" vertical="center"/>
    </xf>
    <xf numFmtId="0" fontId="84" fillId="17" borderId="15" xfId="0" applyFont="1" applyFill="1" applyBorder="1" applyAlignment="1">
      <alignment horizontal="center" vertical="center"/>
    </xf>
    <xf numFmtId="0" fontId="84" fillId="17" borderId="41" xfId="0" applyFont="1" applyFill="1" applyBorder="1" applyAlignment="1">
      <alignment horizontal="center" vertical="center"/>
    </xf>
    <xf numFmtId="0" fontId="87" fillId="0" borderId="3" xfId="0" applyFont="1" applyFill="1" applyBorder="1" applyAlignment="1">
      <alignment horizontal="center" vertical="center"/>
    </xf>
    <xf numFmtId="0" fontId="87" fillId="0" borderId="1" xfId="0" applyFont="1" applyFill="1" applyBorder="1" applyAlignment="1">
      <alignment horizontal="center" vertical="center"/>
    </xf>
    <xf numFmtId="3" fontId="4" fillId="0" borderId="3" xfId="0" applyNumberFormat="1" applyFont="1" applyFill="1" applyBorder="1" applyAlignment="1">
      <alignment vertical="center"/>
    </xf>
    <xf numFmtId="3" fontId="4" fillId="0" borderId="1" xfId="0" applyNumberFormat="1" applyFont="1" applyFill="1" applyBorder="1" applyAlignment="1">
      <alignment vertical="center"/>
    </xf>
    <xf numFmtId="14" fontId="32" fillId="0" borderId="3" xfId="0" quotePrefix="1" applyNumberFormat="1" applyFont="1" applyFill="1" applyBorder="1" applyAlignment="1">
      <alignment horizontal="center" vertical="center"/>
    </xf>
    <xf numFmtId="3" fontId="4" fillId="0" borderId="3" xfId="0" applyNumberFormat="1" applyFont="1" applyFill="1" applyBorder="1" applyAlignment="1">
      <alignment horizontal="center" vertical="center"/>
    </xf>
    <xf numFmtId="1" fontId="4" fillId="0" borderId="3" xfId="0" applyNumberFormat="1" applyFont="1" applyFill="1" applyBorder="1" applyAlignment="1">
      <alignment horizontal="center" vertical="center" wrapText="1"/>
    </xf>
    <xf numFmtId="14" fontId="4" fillId="0" borderId="3" xfId="0" quotePrefix="1" applyNumberFormat="1" applyFont="1" applyFill="1" applyBorder="1" applyAlignment="1">
      <alignment horizontal="center" vertical="center"/>
    </xf>
    <xf numFmtId="16" fontId="4" fillId="0" borderId="3"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7" fillId="0" borderId="5" xfId="0" applyFont="1" applyFill="1" applyBorder="1" applyAlignment="1">
      <alignment horizontal="center" vertical="center"/>
    </xf>
    <xf numFmtId="0" fontId="7" fillId="0" borderId="0" xfId="0" applyFont="1" applyFill="1" applyBorder="1" applyAlignment="1">
      <alignment horizontal="center" vertical="center"/>
    </xf>
    <xf numFmtId="0" fontId="4" fillId="0" borderId="3" xfId="0" applyFont="1" applyFill="1" applyBorder="1" applyAlignment="1">
      <alignment vertical="center" wrapText="1"/>
    </xf>
    <xf numFmtId="0" fontId="4" fillId="0" borderId="2" xfId="0" applyFont="1" applyBorder="1" applyAlignment="1">
      <alignment vertical="center" wrapText="1"/>
    </xf>
    <xf numFmtId="0" fontId="4" fillId="0" borderId="1" xfId="0" applyFont="1" applyBorder="1" applyAlignment="1">
      <alignment vertical="center" wrapText="1"/>
    </xf>
    <xf numFmtId="0" fontId="75" fillId="17" borderId="6" xfId="0" applyFont="1" applyFill="1" applyBorder="1" applyAlignment="1">
      <alignment horizontal="center" vertical="center"/>
    </xf>
    <xf numFmtId="0" fontId="75" fillId="17" borderId="7" xfId="0" applyFont="1" applyFill="1" applyBorder="1" applyAlignment="1">
      <alignment horizontal="center" vertical="center"/>
    </xf>
    <xf numFmtId="0" fontId="75" fillId="17" borderId="13" xfId="0" applyFont="1" applyFill="1" applyBorder="1" applyAlignment="1">
      <alignment horizontal="center" vertical="center"/>
    </xf>
    <xf numFmtId="0" fontId="75" fillId="17" borderId="34" xfId="0" applyFont="1" applyFill="1" applyBorder="1" applyAlignment="1">
      <alignment horizontal="center"/>
    </xf>
    <xf numFmtId="0" fontId="75" fillId="17" borderId="15" xfId="0" applyFont="1" applyFill="1" applyBorder="1" applyAlignment="1">
      <alignment horizontal="center"/>
    </xf>
    <xf numFmtId="0" fontId="75" fillId="17" borderId="41" xfId="0" applyFont="1" applyFill="1" applyBorder="1" applyAlignment="1">
      <alignment horizontal="center"/>
    </xf>
    <xf numFmtId="14" fontId="4" fillId="0" borderId="34" xfId="0" applyNumberFormat="1" applyFont="1" applyFill="1" applyBorder="1" applyAlignment="1">
      <alignment horizontal="center" vertical="center"/>
    </xf>
    <xf numFmtId="0" fontId="0" fillId="0" borderId="15" xfId="0" applyFill="1" applyBorder="1" applyAlignment="1">
      <alignment horizontal="center" vertical="center"/>
    </xf>
    <xf numFmtId="0" fontId="0" fillId="0" borderId="41" xfId="0" applyFill="1" applyBorder="1" applyAlignment="1">
      <alignment horizontal="center" vertical="center"/>
    </xf>
    <xf numFmtId="0" fontId="4" fillId="0" borderId="2" xfId="0" applyFont="1" applyFill="1" applyBorder="1" applyAlignment="1">
      <alignment horizontal="center" wrapText="1"/>
    </xf>
    <xf numFmtId="0" fontId="4" fillId="0" borderId="1" xfId="0" applyFont="1" applyFill="1" applyBorder="1" applyAlignment="1">
      <alignment horizontal="center" wrapText="1"/>
    </xf>
    <xf numFmtId="3" fontId="12" fillId="0" borderId="2" xfId="0" applyNumberFormat="1" applyFont="1" applyFill="1" applyBorder="1" applyAlignment="1">
      <alignment horizontal="left" wrapText="1"/>
    </xf>
    <xf numFmtId="0" fontId="12" fillId="0" borderId="2" xfId="0" applyFont="1" applyBorder="1" applyAlignment="1">
      <alignment wrapText="1"/>
    </xf>
    <xf numFmtId="0" fontId="7" fillId="0" borderId="3" xfId="0" applyFont="1" applyFill="1" applyBorder="1" applyAlignment="1">
      <alignment wrapText="1"/>
    </xf>
    <xf numFmtId="0" fontId="44" fillId="0" borderId="2" xfId="0" applyFont="1" applyFill="1" applyBorder="1" applyAlignment="1">
      <alignment horizontal="center" wrapText="1"/>
    </xf>
    <xf numFmtId="0" fontId="4" fillId="0" borderId="2" xfId="0" applyFont="1" applyBorder="1" applyAlignment="1">
      <alignment horizontal="center" wrapText="1"/>
    </xf>
    <xf numFmtId="0" fontId="58" fillId="0" borderId="2" xfId="0" applyFont="1" applyFill="1" applyBorder="1" applyAlignment="1">
      <alignment horizontal="left" wrapText="1"/>
    </xf>
    <xf numFmtId="0" fontId="58" fillId="0" borderId="1" xfId="0" applyFont="1" applyBorder="1" applyAlignment="1">
      <alignment horizontal="left" wrapText="1"/>
    </xf>
    <xf numFmtId="16" fontId="8" fillId="0" borderId="3" xfId="3" applyNumberFormat="1" applyFont="1" applyBorder="1" applyAlignment="1">
      <alignment horizontal="center" vertical="center" wrapText="1"/>
    </xf>
    <xf numFmtId="0" fontId="8" fillId="0" borderId="1" xfId="3" applyFont="1" applyBorder="1" applyAlignment="1">
      <alignment horizontal="center" vertical="center" wrapText="1"/>
    </xf>
    <xf numFmtId="0" fontId="8" fillId="0" borderId="3" xfId="3" applyFont="1" applyBorder="1" applyAlignment="1">
      <alignment horizontal="center" vertical="center"/>
    </xf>
    <xf numFmtId="0" fontId="8" fillId="0" borderId="1" xfId="3" applyFont="1" applyBorder="1" applyAlignment="1">
      <alignment horizontal="center" vertical="center"/>
    </xf>
  </cellXfs>
  <cellStyles count="5">
    <cellStyle name="Hipervínculo" xfId="1" builtinId="8"/>
    <cellStyle name="Normal" xfId="0" builtinId="0"/>
    <cellStyle name="Normal 2" xfId="3" xr:uid="{00000000-0005-0000-0000-000002000000}"/>
    <cellStyle name="Porcentaje" xfId="2" builtinId="5"/>
    <cellStyle name="Porcentaje 2" xfId="4" xr:uid="{DE0115B8-9670-44B1-BAD2-63A6EEBB5CFB}"/>
  </cellStyles>
  <dxfs count="71">
    <dxf>
      <numFmt numFmtId="1" formatCode="0"/>
    </dxf>
    <dxf>
      <numFmt numFmtId="2" formatCode="0.00"/>
    </dxf>
    <dxf>
      <alignment horizontal="left" readingOrder="0"/>
    </dxf>
    <dxf>
      <alignment horizontal="center" readingOrder="0"/>
    </dxf>
    <dxf>
      <alignment horizontal="center" readingOrder="0"/>
    </dxf>
    <dxf>
      <alignment horizontal="center" readingOrder="0"/>
    </dxf>
    <dxf>
      <alignment horizontal="center" readingOrder="0"/>
    </dxf>
    <dxf>
      <font>
        <b/>
      </font>
    </dxf>
    <dxf>
      <font>
        <b/>
      </font>
    </dxf>
    <dxf>
      <font>
        <b/>
      </font>
    </dxf>
    <dxf>
      <alignment horizontal="right" readingOrder="0"/>
    </dxf>
    <dxf>
      <alignment horizontal="center" readingOrder="0"/>
    </dxf>
    <dxf>
      <font>
        <b/>
      </font>
    </dxf>
    <dxf>
      <font>
        <b/>
      </font>
    </dxf>
    <dxf>
      <font>
        <i val="0"/>
      </font>
    </dxf>
    <dxf>
      <font>
        <i val="0"/>
      </font>
    </dxf>
    <dxf>
      <font>
        <i val="0"/>
      </font>
    </dxf>
    <dxf>
      <font>
        <i val="0"/>
      </font>
    </dxf>
    <dxf>
      <alignment horizontal="center" readingOrder="0"/>
    </dxf>
    <dxf>
      <alignment horizontal="center" readingOrder="0"/>
    </dxf>
    <dxf>
      <alignment horizontal="center" readingOrder="0"/>
    </dxf>
    <dxf>
      <alignment horizontal="center" readingOrder="0"/>
    </dxf>
    <dxf>
      <numFmt numFmtId="2" formatCode="0.00"/>
    </dxf>
    <dxf>
      <alignment horizontal="center" readingOrder="0"/>
    </dxf>
    <dxf>
      <numFmt numFmtId="1" formatCode="0"/>
    </dxf>
    <dxf>
      <numFmt numFmtId="1" formatCode="0"/>
    </dxf>
    <dxf>
      <numFmt numFmtId="1" formatCode="0"/>
    </dxf>
    <dxf>
      <numFmt numFmtId="169" formatCode="0.0"/>
    </dxf>
    <dxf>
      <numFmt numFmtId="169" formatCode="0.0"/>
    </dxf>
    <dxf>
      <numFmt numFmtId="169" formatCode="0.0"/>
    </dxf>
    <dxf>
      <numFmt numFmtId="2" formatCode="0.00"/>
    </dxf>
    <dxf>
      <numFmt numFmtId="2" formatCode="0.00"/>
    </dxf>
    <dxf>
      <numFmt numFmtId="2" formatCode="0.00"/>
    </dxf>
    <dxf>
      <numFmt numFmtId="170" formatCode="0.000"/>
    </dxf>
    <dxf>
      <numFmt numFmtId="170" formatCode="0.000"/>
    </dxf>
    <dxf>
      <numFmt numFmtId="170" formatCode="0.000"/>
    </dxf>
    <dxf>
      <alignment horizontal="right" readingOrder="0"/>
    </dxf>
    <dxf>
      <alignment horizontal="center" readingOrder="0"/>
    </dxf>
    <dxf>
      <font>
        <b/>
      </font>
    </dxf>
    <dxf>
      <font>
        <b/>
      </font>
    </dxf>
    <dxf>
      <font>
        <b/>
      </font>
    </dxf>
    <dxf>
      <font>
        <b/>
      </font>
    </dxf>
    <dxf>
      <font>
        <i val="0"/>
      </font>
    </dxf>
    <dxf>
      <font>
        <i val="0"/>
      </font>
    </dxf>
    <dxf>
      <font>
        <i val="0"/>
      </font>
    </dxf>
    <dxf>
      <font>
        <i val="0"/>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2" formatCode="0.00"/>
    </dxf>
    <dxf>
      <numFmt numFmtId="2" formatCode="0.00"/>
    </dxf>
    <dxf>
      <alignment horizontal="center" readingOrder="0"/>
    </dxf>
    <dxf>
      <alignment horizontal="right" readingOrder="0"/>
    </dxf>
    <dxf>
      <alignment vertical="center" readingOrder="0"/>
    </dxf>
    <dxf>
      <alignment horizontal="center" readingOrder="0"/>
    </dxf>
    <dxf>
      <font>
        <b/>
      </font>
    </dxf>
    <dxf>
      <font>
        <b/>
      </font>
    </dxf>
    <dxf>
      <font>
        <b/>
      </font>
    </dxf>
    <dxf>
      <font>
        <b/>
      </font>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numFmt numFmtId="4" formatCode="#,##0.00"/>
    </dxf>
    <dxf>
      <numFmt numFmtId="4" formatCode="#,##0.00"/>
    </dxf>
    <dxf>
      <alignment horizontal="center" readingOrder="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99FF99"/>
      <color rgb="FFFF0000"/>
      <color rgb="FF0000FF"/>
      <color rgb="FF99CCFF"/>
      <color rgb="FF00CCFF"/>
      <color rgb="FF00CC66"/>
      <color rgb="FF009999"/>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925" b="0" i="0" u="none" strike="noStrike" baseline="0">
                <a:solidFill>
                  <a:srgbClr val="000000"/>
                </a:solidFill>
                <a:latin typeface="Arial"/>
                <a:ea typeface="Arial"/>
                <a:cs typeface="Arial"/>
              </a:defRPr>
            </a:pPr>
            <a:r>
              <a:rPr lang="es-AR"/>
              <a:t>Adelanto/Atraso de O.C. Activas (Brasil)</a:t>
            </a:r>
          </a:p>
        </c:rich>
      </c:tx>
      <c:layout>
        <c:manualLayout>
          <c:xMode val="edge"/>
          <c:yMode val="edge"/>
          <c:x val="0.25481810956836504"/>
          <c:y val="2.6760557369353219E-2"/>
        </c:manualLayout>
      </c:layout>
      <c:overlay val="0"/>
      <c:spPr>
        <a:noFill/>
        <a:ln w="25400">
          <a:noFill/>
        </a:ln>
      </c:spPr>
    </c:title>
    <c:autoTitleDeleted val="0"/>
    <c:plotArea>
      <c:layout>
        <c:manualLayout>
          <c:layoutTarget val="inner"/>
          <c:xMode val="edge"/>
          <c:yMode val="edge"/>
          <c:x val="6.2098533534849697E-2"/>
          <c:y val="0.16619718309859161"/>
          <c:w val="0.82762355900756523"/>
          <c:h val="0.77746478873239411"/>
        </c:manualLayout>
      </c:layout>
      <c:scatterChart>
        <c:scatterStyle val="lineMarker"/>
        <c:varyColors val="0"/>
        <c:ser>
          <c:idx val="0"/>
          <c:order val="0"/>
          <c:tx>
            <c:strRef>
              <c:f>'o.c.'!$P$3</c:f>
              <c:strCache>
                <c:ptCount val="1"/>
                <c:pt idx="0">
                  <c:v>Adelanto/Atraso</c:v>
                </c:pt>
              </c:strCache>
            </c:strRef>
          </c:tx>
          <c:spPr>
            <a:ln w="25400" cmpd="sng">
              <a:noFill/>
            </a:ln>
          </c:spPr>
          <c:marker>
            <c:symbol val="diamond"/>
            <c:size val="7"/>
            <c:spPr>
              <a:solidFill>
                <a:schemeClr val="accent4">
                  <a:lumMod val="75000"/>
                </a:schemeClr>
              </a:solidFill>
              <a:ln>
                <a:solidFill>
                  <a:schemeClr val="bg1">
                    <a:lumMod val="75000"/>
                  </a:schemeClr>
                </a:solidFill>
              </a:ln>
            </c:spPr>
          </c:marker>
          <c:xVal>
            <c:numRef>
              <c:f>'o.c.'!$L$5:$L$37</c:f>
              <c:numCache>
                <c:formatCode>m/d/yyyy</c:formatCode>
                <c:ptCount val="33"/>
                <c:pt idx="0">
                  <c:v>45354</c:v>
                </c:pt>
                <c:pt idx="1">
                  <c:v>45354</c:v>
                </c:pt>
                <c:pt idx="2">
                  <c:v>45384</c:v>
                </c:pt>
                <c:pt idx="3">
                  <c:v>45384</c:v>
                </c:pt>
                <c:pt idx="4">
                  <c:v>45384</c:v>
                </c:pt>
                <c:pt idx="5">
                  <c:v>45422</c:v>
                </c:pt>
                <c:pt idx="6">
                  <c:v>45422</c:v>
                </c:pt>
                <c:pt idx="7">
                  <c:v>45422</c:v>
                </c:pt>
                <c:pt idx="8">
                  <c:v>45422</c:v>
                </c:pt>
                <c:pt idx="9">
                  <c:v>45565</c:v>
                </c:pt>
                <c:pt idx="10">
                  <c:v>45565</c:v>
                </c:pt>
                <c:pt idx="11">
                  <c:v>45565</c:v>
                </c:pt>
                <c:pt idx="12">
                  <c:v>45608</c:v>
                </c:pt>
                <c:pt idx="13">
                  <c:v>45608</c:v>
                </c:pt>
                <c:pt idx="14">
                  <c:v>45585</c:v>
                </c:pt>
                <c:pt idx="15">
                  <c:v>45585</c:v>
                </c:pt>
                <c:pt idx="16">
                  <c:v>45657</c:v>
                </c:pt>
                <c:pt idx="17">
                  <c:v>45657</c:v>
                </c:pt>
                <c:pt idx="18">
                  <c:v>45657</c:v>
                </c:pt>
                <c:pt idx="19">
                  <c:v>45657</c:v>
                </c:pt>
                <c:pt idx="20">
                  <c:v>45658</c:v>
                </c:pt>
                <c:pt idx="21">
                  <c:v>45658</c:v>
                </c:pt>
                <c:pt idx="22">
                  <c:v>45658</c:v>
                </c:pt>
                <c:pt idx="23">
                  <c:v>45510</c:v>
                </c:pt>
                <c:pt idx="24">
                  <c:v>45716</c:v>
                </c:pt>
                <c:pt idx="25">
                  <c:v>45716</c:v>
                </c:pt>
                <c:pt idx="26">
                  <c:v>45716</c:v>
                </c:pt>
                <c:pt idx="27">
                  <c:v>45716</c:v>
                </c:pt>
                <c:pt idx="28">
                  <c:v>45716</c:v>
                </c:pt>
                <c:pt idx="29">
                  <c:v>45716</c:v>
                </c:pt>
                <c:pt idx="30">
                  <c:v>45716</c:v>
                </c:pt>
                <c:pt idx="31">
                  <c:v>45527</c:v>
                </c:pt>
                <c:pt idx="32">
                  <c:v>45499</c:v>
                </c:pt>
              </c:numCache>
            </c:numRef>
          </c:xVal>
          <c:yVal>
            <c:numRef>
              <c:f>'o.c.'!$P$5:$P$37</c:f>
              <c:numCache>
                <c:formatCode>0</c:formatCode>
                <c:ptCount val="33"/>
                <c:pt idx="0">
                  <c:v>34</c:v>
                </c:pt>
                <c:pt idx="1">
                  <c:v>69</c:v>
                </c:pt>
                <c:pt idx="2">
                  <c:v>0</c:v>
                </c:pt>
                <c:pt idx="3">
                  <c:v>0</c:v>
                </c:pt>
                <c:pt idx="4">
                  <c:v>0</c:v>
                </c:pt>
                <c:pt idx="5">
                  <c:v>-34</c:v>
                </c:pt>
                <c:pt idx="6">
                  <c:v>1</c:v>
                </c:pt>
                <c:pt idx="7">
                  <c:v>31</c:v>
                </c:pt>
                <c:pt idx="8">
                  <c:v>57</c:v>
                </c:pt>
                <c:pt idx="9">
                  <c:v>-86</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yVal>
          <c:smooth val="0"/>
          <c:extLst>
            <c:ext xmlns:c16="http://schemas.microsoft.com/office/drawing/2014/chart" uri="{C3380CC4-5D6E-409C-BE32-E72D297353CC}">
              <c16:uniqueId val="{00000000-66D4-4058-8E5B-9BE88D27E00F}"/>
            </c:ext>
          </c:extLst>
        </c:ser>
        <c:dLbls>
          <c:showLegendKey val="0"/>
          <c:showVal val="0"/>
          <c:showCatName val="0"/>
          <c:showSerName val="0"/>
          <c:showPercent val="0"/>
          <c:showBubbleSize val="0"/>
        </c:dLbls>
        <c:axId val="442403960"/>
        <c:axId val="1"/>
      </c:scatterChart>
      <c:valAx>
        <c:axId val="442403960"/>
        <c:scaling>
          <c:orientation val="minMax"/>
        </c:scaling>
        <c:delete val="0"/>
        <c:axPos val="b"/>
        <c:numFmt formatCode="dd/mm/yyyy" sourceLinked="0"/>
        <c:majorTickMark val="out"/>
        <c:minorTickMark val="none"/>
        <c:tickLblPos val="nextTo"/>
        <c:spPr>
          <a:ln w="38100">
            <a:solidFill>
              <a:srgbClr val="000000"/>
            </a:solidFill>
            <a:prstDash val="solid"/>
          </a:ln>
        </c:spPr>
        <c:txPr>
          <a:bodyPr rot="-420000" vert="horz"/>
          <a:lstStyle/>
          <a:p>
            <a:pPr>
              <a:defRPr sz="800" b="0" i="0" u="none" strike="noStrike" baseline="0">
                <a:solidFill>
                  <a:srgbClr val="000000"/>
                </a:solidFill>
                <a:latin typeface="Arial"/>
                <a:ea typeface="Arial"/>
                <a:cs typeface="Arial"/>
              </a:defRPr>
            </a:pPr>
            <a:endParaRPr lang="es-AR"/>
          </a:p>
        </c:txPr>
        <c:crossAx val="1"/>
        <c:crosses val="autoZero"/>
        <c:crossBetween val="midCat"/>
      </c:valAx>
      <c:valAx>
        <c:axId val="1"/>
        <c:scaling>
          <c:orientation val="minMax"/>
          <c:max val="60"/>
          <c:min val="-60"/>
        </c:scaling>
        <c:delete val="0"/>
        <c:axPos val="r"/>
        <c:majorGridlines>
          <c:spPr>
            <a:ln w="12700">
              <a:solidFill>
                <a:srgbClr val="000000"/>
              </a:solidFill>
              <a:prstDash val="solid"/>
            </a:ln>
          </c:spPr>
        </c:majorGridlines>
        <c:title>
          <c:tx>
            <c:rich>
              <a:bodyPr/>
              <a:lstStyle/>
              <a:p>
                <a:pPr>
                  <a:defRPr sz="1325" b="0" i="0" u="none" strike="noStrike" baseline="0">
                    <a:solidFill>
                      <a:srgbClr val="000000"/>
                    </a:solidFill>
                    <a:latin typeface="Arial"/>
                    <a:ea typeface="Arial"/>
                    <a:cs typeface="Arial"/>
                  </a:defRPr>
                </a:pPr>
                <a:r>
                  <a:rPr lang="es-AR"/>
                  <a:t>Días</a:t>
                </a:r>
              </a:p>
            </c:rich>
          </c:tx>
          <c:layout>
            <c:manualLayout>
              <c:xMode val="edge"/>
              <c:yMode val="edge"/>
              <c:x val="0.93147803089499304"/>
              <c:y val="0.52394358022320386"/>
            </c:manualLayout>
          </c:layout>
          <c:overlay val="0"/>
          <c:spPr>
            <a:noFill/>
            <a:ln w="25400">
              <a:noFill/>
            </a:ln>
          </c:spPr>
        </c:title>
        <c:numFmt formatCode="0" sourceLinked="1"/>
        <c:majorTickMark val="out"/>
        <c:minorTickMark val="none"/>
        <c:tickLblPos val="nextTo"/>
        <c:spPr>
          <a:ln w="38100">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s-AR"/>
          </a:p>
        </c:txPr>
        <c:crossAx val="442403960"/>
        <c:crosses val="max"/>
        <c:crossBetween val="midCat"/>
      </c:valAx>
      <c:spPr>
        <a:solidFill>
          <a:schemeClr val="accent4">
            <a:lumMod val="20000"/>
            <a:lumOff val="80000"/>
          </a:schemeClr>
        </a:solidFill>
        <a:ln w="3175">
          <a:solidFill>
            <a:schemeClr val="accent4">
              <a:lumMod val="75000"/>
            </a:schemeClr>
          </a:solidFill>
          <a:prstDash val="solid"/>
        </a:ln>
      </c:spPr>
    </c:plotArea>
    <c:plotVisOnly val="1"/>
    <c:dispBlanksAs val="gap"/>
    <c:showDLblsOverMax val="0"/>
  </c:chart>
  <c:spPr>
    <a:solidFill>
      <a:srgbClr val="FFFFFF"/>
    </a:solidFill>
    <a:ln w="25400">
      <a:solidFill>
        <a:srgbClr val="000000"/>
      </a:solidFill>
      <a:prstDash val="solid"/>
    </a:ln>
    <a:effectLst>
      <a:outerShdw dist="35921" dir="2700000" algn="br">
        <a:srgbClr val="000000"/>
      </a:outerShdw>
    </a:effectLst>
  </c:spPr>
  <c:txPr>
    <a:bodyPr/>
    <a:lstStyle/>
    <a:p>
      <a:pPr>
        <a:defRPr sz="1925" b="0" i="0" u="none" strike="noStrike" baseline="0">
          <a:solidFill>
            <a:srgbClr val="000000"/>
          </a:solidFill>
          <a:latin typeface="Arial"/>
          <a:ea typeface="Arial"/>
          <a:cs typeface="Arial"/>
        </a:defRPr>
      </a:pPr>
      <a:endParaRPr lang="es-AR"/>
    </a:p>
  </c:txPr>
  <c:printSettings>
    <c:headerFooter alignWithMargins="0"/>
    <c:pageMargins b="1" l="0.75000000000000022" r="0.75000000000000022" t="1" header="0" footer="0"/>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1" u="sng" strike="noStrike" baseline="0">
                <a:solidFill>
                  <a:srgbClr val="000000"/>
                </a:solidFill>
                <a:latin typeface="Arial Narrow"/>
                <a:ea typeface="Arial Narrow"/>
                <a:cs typeface="Arial Narrow"/>
              </a:defRPr>
            </a:pPr>
            <a:r>
              <a:rPr lang="es-AR"/>
              <a:t>INDICE</a:t>
            </a:r>
          </a:p>
        </c:rich>
      </c:tx>
      <c:layout>
        <c:manualLayout>
          <c:xMode val="edge"/>
          <c:yMode val="edge"/>
          <c:x val="0.48106869325760504"/>
          <c:y val="3.2432558356240974E-2"/>
        </c:manualLayout>
      </c:layout>
      <c:overlay val="0"/>
      <c:spPr>
        <a:noFill/>
        <a:ln w="25400">
          <a:noFill/>
        </a:ln>
      </c:spPr>
    </c:title>
    <c:autoTitleDeleted val="0"/>
    <c:plotArea>
      <c:layout>
        <c:manualLayout>
          <c:layoutTarget val="inner"/>
          <c:xMode val="edge"/>
          <c:yMode val="edge"/>
          <c:x val="7.9184631808369196E-2"/>
          <c:y val="0.10722377134050905"/>
          <c:w val="0.88733172486089351"/>
          <c:h val="0.73739029365178843"/>
        </c:manualLayout>
      </c:layout>
      <c:barChart>
        <c:barDir val="col"/>
        <c:grouping val="clustered"/>
        <c:varyColors val="0"/>
        <c:ser>
          <c:idx val="0"/>
          <c:order val="0"/>
          <c:tx>
            <c:strRef>
              <c:f>Grafico!$C$38</c:f>
              <c:strCache>
                <c:ptCount val="1"/>
                <c:pt idx="0">
                  <c:v>Cantidad de PO</c:v>
                </c:pt>
              </c:strCache>
            </c:strRef>
          </c:tx>
          <c:spPr>
            <a:solidFill>
              <a:schemeClr val="accent4">
                <a:lumMod val="40000"/>
                <a:lumOff val="60000"/>
              </a:schemeClr>
            </a:solidFill>
            <a:ln w="12700">
              <a:solidFill>
                <a:srgbClr val="000000"/>
              </a:solidFill>
              <a:prstDash val="solid"/>
            </a:ln>
          </c:spPr>
          <c:invertIfNegative val="0"/>
          <c:cat>
            <c:numRef>
              <c:f>Grafico!$IA$1:$JE$1</c:f>
              <c:numCache>
                <c:formatCode>mmm\-yy</c:formatCode>
                <c:ptCount val="17"/>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numCache>
            </c:numRef>
          </c:cat>
          <c:val>
            <c:numRef>
              <c:f>Grafico!$HJ$38:$JE$38</c:f>
              <c:numCache>
                <c:formatCode>0</c:formatCode>
                <c:ptCount val="17"/>
                <c:pt idx="0">
                  <c:v>2</c:v>
                </c:pt>
                <c:pt idx="1">
                  <c:v>1</c:v>
                </c:pt>
                <c:pt idx="2">
                  <c:v>9</c:v>
                </c:pt>
                <c:pt idx="3">
                  <c:v>5</c:v>
                </c:pt>
                <c:pt idx="4">
                  <c:v>4</c:v>
                </c:pt>
                <c:pt idx="5">
                  <c:v>11</c:v>
                </c:pt>
                <c:pt idx="6">
                  <c:v>5</c:v>
                </c:pt>
                <c:pt idx="7">
                  <c:v>5</c:v>
                </c:pt>
                <c:pt idx="8">
                  <c:v>3</c:v>
                </c:pt>
                <c:pt idx="9">
                  <c:v>7</c:v>
                </c:pt>
                <c:pt idx="10">
                  <c:v>4</c:v>
                </c:pt>
                <c:pt idx="11">
                  <c:v>2</c:v>
                </c:pt>
                <c:pt idx="12">
                  <c:v>3</c:v>
                </c:pt>
                <c:pt idx="13">
                  <c:v>1</c:v>
                </c:pt>
                <c:pt idx="14">
                  <c:v>3</c:v>
                </c:pt>
                <c:pt idx="15">
                  <c:v>3</c:v>
                </c:pt>
                <c:pt idx="16">
                  <c:v>2</c:v>
                </c:pt>
              </c:numCache>
            </c:numRef>
          </c:val>
          <c:extLst>
            <c:ext xmlns:c16="http://schemas.microsoft.com/office/drawing/2014/chart" uri="{C3380CC4-5D6E-409C-BE32-E72D297353CC}">
              <c16:uniqueId val="{00000000-D6C4-44AB-B648-7E583AA44F7F}"/>
            </c:ext>
          </c:extLst>
        </c:ser>
        <c:ser>
          <c:idx val="1"/>
          <c:order val="1"/>
          <c:tx>
            <c:strRef>
              <c:f>Grafico!$C$40</c:f>
              <c:strCache>
                <c:ptCount val="1"/>
                <c:pt idx="0">
                  <c:v>% cumplimiento</c:v>
                </c:pt>
              </c:strCache>
            </c:strRef>
          </c:tx>
          <c:spPr>
            <a:solidFill>
              <a:schemeClr val="accent4">
                <a:lumMod val="75000"/>
              </a:schemeClr>
            </a:solidFill>
            <a:ln w="12700">
              <a:solidFill>
                <a:srgbClr val="000000"/>
              </a:solidFill>
              <a:prstDash val="solid"/>
            </a:ln>
          </c:spPr>
          <c:invertIfNegative val="0"/>
          <c:cat>
            <c:numRef>
              <c:f>Grafico!$IA$1:$JE$1</c:f>
              <c:numCache>
                <c:formatCode>mmm\-yy</c:formatCode>
                <c:ptCount val="17"/>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numCache>
            </c:numRef>
          </c:cat>
          <c:val>
            <c:numRef>
              <c:f>Grafico!$HJ$39:$JE$39</c:f>
              <c:numCache>
                <c:formatCode>0</c:formatCode>
                <c:ptCount val="17"/>
                <c:pt idx="0">
                  <c:v>0</c:v>
                </c:pt>
                <c:pt idx="1">
                  <c:v>1</c:v>
                </c:pt>
                <c:pt idx="2">
                  <c:v>9</c:v>
                </c:pt>
                <c:pt idx="3">
                  <c:v>4</c:v>
                </c:pt>
                <c:pt idx="4">
                  <c:v>3</c:v>
                </c:pt>
                <c:pt idx="5">
                  <c:v>8</c:v>
                </c:pt>
                <c:pt idx="6">
                  <c:v>3</c:v>
                </c:pt>
                <c:pt idx="7">
                  <c:v>2</c:v>
                </c:pt>
                <c:pt idx="8">
                  <c:v>1</c:v>
                </c:pt>
                <c:pt idx="9">
                  <c:v>5</c:v>
                </c:pt>
                <c:pt idx="10">
                  <c:v>3</c:v>
                </c:pt>
                <c:pt idx="11">
                  <c:v>2</c:v>
                </c:pt>
                <c:pt idx="12">
                  <c:v>3</c:v>
                </c:pt>
                <c:pt idx="13">
                  <c:v>0</c:v>
                </c:pt>
                <c:pt idx="14">
                  <c:v>1</c:v>
                </c:pt>
                <c:pt idx="15">
                  <c:v>1</c:v>
                </c:pt>
                <c:pt idx="16">
                  <c:v>1</c:v>
                </c:pt>
              </c:numCache>
            </c:numRef>
          </c:val>
          <c:extLst>
            <c:ext xmlns:c16="http://schemas.microsoft.com/office/drawing/2014/chart" uri="{C3380CC4-5D6E-409C-BE32-E72D297353CC}">
              <c16:uniqueId val="{00000001-D6C4-44AB-B648-7E583AA44F7F}"/>
            </c:ext>
          </c:extLst>
        </c:ser>
        <c:dLbls>
          <c:showLegendKey val="0"/>
          <c:showVal val="0"/>
          <c:showCatName val="0"/>
          <c:showSerName val="0"/>
          <c:showPercent val="0"/>
          <c:showBubbleSize val="0"/>
        </c:dLbls>
        <c:gapWidth val="150"/>
        <c:axId val="442401664"/>
        <c:axId val="1"/>
      </c:barChart>
      <c:dateAx>
        <c:axId val="442401664"/>
        <c:scaling>
          <c:orientation val="minMax"/>
        </c:scaling>
        <c:delete val="0"/>
        <c:axPos val="b"/>
        <c:numFmt formatCode="mmm\-yy" sourceLinked="0"/>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Narrow"/>
                <a:ea typeface="Arial Narrow"/>
                <a:cs typeface="Arial Narrow"/>
              </a:defRPr>
            </a:pPr>
            <a:endParaRPr lang="es-AR"/>
          </a:p>
        </c:txPr>
        <c:crossAx val="1"/>
        <c:crosses val="autoZero"/>
        <c:auto val="1"/>
        <c:lblOffset val="100"/>
        <c:baseTimeUnit val="months"/>
        <c:majorUnit val="1"/>
        <c:majorTimeUnit val="months"/>
        <c:minorUnit val="1"/>
        <c:minorTimeUnit val="days"/>
      </c:dateAx>
      <c:valAx>
        <c:axId val="1"/>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s-AR"/>
                  <a:t>Cantidad de PO</a:t>
                </a:r>
              </a:p>
            </c:rich>
          </c:tx>
          <c:layout>
            <c:manualLayout>
              <c:xMode val="edge"/>
              <c:yMode val="edge"/>
              <c:x val="8.2229680306355156E-3"/>
              <c:y val="0.37503176008324401"/>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s-AR"/>
          </a:p>
        </c:txPr>
        <c:crossAx val="442401664"/>
        <c:crosses val="autoZero"/>
        <c:crossBetween val="between"/>
      </c:valAx>
      <c:spPr>
        <a:solidFill>
          <a:srgbClr val="EEECE1"/>
        </a:solidFill>
        <a:ln w="12700">
          <a:solidFill>
            <a:srgbClr val="FFFFFF"/>
          </a:solidFill>
          <a:prstDash val="solid"/>
        </a:ln>
      </c:spPr>
    </c:plotArea>
    <c:legend>
      <c:legendPos val="b"/>
      <c:layout>
        <c:manualLayout>
          <c:xMode val="edge"/>
          <c:yMode val="edge"/>
          <c:x val="0.3004908351619982"/>
          <c:y val="0.95333442047554706"/>
          <c:w val="0.61190353255023466"/>
          <c:h val="3.5079904952709295E-2"/>
        </c:manualLayout>
      </c:layout>
      <c:overlay val="0"/>
      <c:txPr>
        <a:bodyPr/>
        <a:lstStyle/>
        <a:p>
          <a:pPr>
            <a:defRPr sz="1200" b="0" i="0" u="none" strike="noStrike" baseline="0">
              <a:solidFill>
                <a:srgbClr val="000000"/>
              </a:solidFill>
              <a:latin typeface="Arial"/>
              <a:ea typeface="Arial"/>
              <a:cs typeface="Arial"/>
            </a:defRPr>
          </a:pPr>
          <a:endParaRPr lang="es-AR"/>
        </a:p>
      </c:txPr>
    </c:legend>
    <c:plotVisOnly val="1"/>
    <c:dispBlanksAs val="gap"/>
    <c:showDLblsOverMax val="0"/>
  </c:chart>
  <c:spPr>
    <a:solidFill>
      <a:srgbClr val="FFFFFF"/>
    </a:solidFill>
    <a:ln w="3175">
      <a:solidFill>
        <a:srgbClr val="000000"/>
      </a:solidFill>
      <a:prstDash val="solid"/>
    </a:ln>
  </c:spPr>
  <c:txPr>
    <a:bodyPr/>
    <a:lstStyle/>
    <a:p>
      <a:pPr>
        <a:defRPr sz="400" b="0" i="0" u="none" strike="noStrike" baseline="0">
          <a:solidFill>
            <a:srgbClr val="000000"/>
          </a:solidFill>
          <a:latin typeface="Arial"/>
          <a:ea typeface="Arial"/>
          <a:cs typeface="Arial"/>
        </a:defRPr>
      </a:pPr>
      <a:endParaRPr lang="es-AR"/>
    </a:p>
  </c:txPr>
  <c:printSettings>
    <c:headerFooter alignWithMargins="0"/>
    <c:pageMargins b="1" l="0.75" r="0.75" t="1" header="0" footer="0"/>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sz="1800" b="1" i="1" u="sng" baseline="0">
                <a:effectLst/>
              </a:rPr>
              <a:t>Adelanto/Atraso de las O.C. del 2019 al 2023</a:t>
            </a:r>
            <a:endParaRPr lang="es-AR"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manualLayout>
          <c:layoutTarget val="inner"/>
          <c:xMode val="edge"/>
          <c:yMode val="edge"/>
          <c:x val="4.148177954369197E-2"/>
          <c:y val="0.12502246084911431"/>
          <c:w val="0.94393258408196523"/>
          <c:h val="0.8277865320900174"/>
        </c:manualLayout>
      </c:layout>
      <c:barChart>
        <c:barDir val="col"/>
        <c:grouping val="clustered"/>
        <c:varyColors val="0"/>
        <c:ser>
          <c:idx val="0"/>
          <c:order val="0"/>
          <c:tx>
            <c:strRef>
              <c:f>'Grafico de o.c.(2007 a 2024)'!$N$65</c:f>
              <c:strCache>
                <c:ptCount val="1"/>
                <c:pt idx="0">
                  <c:v>Adelanto/Atraso</c:v>
                </c:pt>
              </c:strCache>
            </c:strRef>
          </c:tx>
          <c:spPr>
            <a:solidFill>
              <a:schemeClr val="accent1"/>
            </a:solidFill>
            <a:ln>
              <a:noFill/>
            </a:ln>
            <a:effectLst/>
          </c:spPr>
          <c:invertIfNegative val="0"/>
          <c:cat>
            <c:numRef>
              <c:f>'Grafico de o.c.(2007 a 2024)'!$K$1087:$K$1481</c:f>
              <c:numCache>
                <c:formatCode>m/d/yyyy</c:formatCode>
                <c:ptCount val="395"/>
                <c:pt idx="0">
                  <c:v>43521</c:v>
                </c:pt>
                <c:pt idx="1">
                  <c:v>43492</c:v>
                </c:pt>
                <c:pt idx="2">
                  <c:v>43523</c:v>
                </c:pt>
                <c:pt idx="3">
                  <c:v>43523</c:v>
                </c:pt>
                <c:pt idx="4">
                  <c:v>43503</c:v>
                </c:pt>
                <c:pt idx="5">
                  <c:v>43525</c:v>
                </c:pt>
                <c:pt idx="6">
                  <c:v>43537</c:v>
                </c:pt>
                <c:pt idx="7">
                  <c:v>43528</c:v>
                </c:pt>
                <c:pt idx="8">
                  <c:v>43565</c:v>
                </c:pt>
                <c:pt idx="9">
                  <c:v>43557</c:v>
                </c:pt>
                <c:pt idx="10">
                  <c:v>43558</c:v>
                </c:pt>
                <c:pt idx="11">
                  <c:v>43580</c:v>
                </c:pt>
                <c:pt idx="12">
                  <c:v>43599</c:v>
                </c:pt>
                <c:pt idx="13">
                  <c:v>43609</c:v>
                </c:pt>
                <c:pt idx="14">
                  <c:v>43633</c:v>
                </c:pt>
                <c:pt idx="15">
                  <c:v>43631</c:v>
                </c:pt>
                <c:pt idx="16">
                  <c:v>43651</c:v>
                </c:pt>
                <c:pt idx="17">
                  <c:v>43647</c:v>
                </c:pt>
                <c:pt idx="18">
                  <c:v>43633</c:v>
                </c:pt>
                <c:pt idx="19">
                  <c:v>43652</c:v>
                </c:pt>
                <c:pt idx="20">
                  <c:v>43647</c:v>
                </c:pt>
                <c:pt idx="21">
                  <c:v>43661</c:v>
                </c:pt>
                <c:pt idx="22">
                  <c:v>43679</c:v>
                </c:pt>
                <c:pt idx="23">
                  <c:v>43679</c:v>
                </c:pt>
                <c:pt idx="24">
                  <c:v>43679</c:v>
                </c:pt>
                <c:pt idx="25">
                  <c:v>43679</c:v>
                </c:pt>
                <c:pt idx="26">
                  <c:v>43692</c:v>
                </c:pt>
                <c:pt idx="27">
                  <c:v>43723</c:v>
                </c:pt>
                <c:pt idx="28">
                  <c:v>43679</c:v>
                </c:pt>
                <c:pt idx="29">
                  <c:v>43679</c:v>
                </c:pt>
                <c:pt idx="30">
                  <c:v>43694</c:v>
                </c:pt>
                <c:pt idx="31">
                  <c:v>43694</c:v>
                </c:pt>
                <c:pt idx="32">
                  <c:v>43703</c:v>
                </c:pt>
                <c:pt idx="33">
                  <c:v>43703</c:v>
                </c:pt>
                <c:pt idx="34">
                  <c:v>43703</c:v>
                </c:pt>
                <c:pt idx="35">
                  <c:v>43703</c:v>
                </c:pt>
                <c:pt idx="36">
                  <c:v>43709</c:v>
                </c:pt>
                <c:pt idx="37">
                  <c:v>43717</c:v>
                </c:pt>
                <c:pt idx="38">
                  <c:v>43717</c:v>
                </c:pt>
                <c:pt idx="39">
                  <c:v>43753</c:v>
                </c:pt>
                <c:pt idx="40">
                  <c:v>43753</c:v>
                </c:pt>
                <c:pt idx="41">
                  <c:v>43753</c:v>
                </c:pt>
                <c:pt idx="42">
                  <c:v>43767</c:v>
                </c:pt>
                <c:pt idx="43">
                  <c:v>43819</c:v>
                </c:pt>
                <c:pt idx="44">
                  <c:v>43819</c:v>
                </c:pt>
                <c:pt idx="45">
                  <c:v>43812</c:v>
                </c:pt>
                <c:pt idx="46">
                  <c:v>43781</c:v>
                </c:pt>
                <c:pt idx="47">
                  <c:v>43787</c:v>
                </c:pt>
                <c:pt idx="48">
                  <c:v>43787</c:v>
                </c:pt>
                <c:pt idx="49">
                  <c:v>43800</c:v>
                </c:pt>
                <c:pt idx="50">
                  <c:v>43796</c:v>
                </c:pt>
                <c:pt idx="51">
                  <c:v>43826</c:v>
                </c:pt>
                <c:pt idx="52">
                  <c:v>43800</c:v>
                </c:pt>
                <c:pt idx="53">
                  <c:v>43819</c:v>
                </c:pt>
                <c:pt idx="54">
                  <c:v>43800</c:v>
                </c:pt>
                <c:pt idx="55">
                  <c:v>43812</c:v>
                </c:pt>
                <c:pt idx="56">
                  <c:v>43823</c:v>
                </c:pt>
                <c:pt idx="57">
                  <c:v>43823</c:v>
                </c:pt>
                <c:pt idx="58">
                  <c:v>43797</c:v>
                </c:pt>
                <c:pt idx="59">
                  <c:v>43800</c:v>
                </c:pt>
                <c:pt idx="60">
                  <c:v>43518</c:v>
                </c:pt>
                <c:pt idx="61">
                  <c:v>43544</c:v>
                </c:pt>
                <c:pt idx="62">
                  <c:v>43566</c:v>
                </c:pt>
                <c:pt idx="63">
                  <c:v>43690</c:v>
                </c:pt>
                <c:pt idx="64">
                  <c:v>43690</c:v>
                </c:pt>
                <c:pt idx="65">
                  <c:v>43690</c:v>
                </c:pt>
                <c:pt idx="66">
                  <c:v>43690</c:v>
                </c:pt>
                <c:pt idx="67">
                  <c:v>43690</c:v>
                </c:pt>
                <c:pt idx="68">
                  <c:v>43743</c:v>
                </c:pt>
                <c:pt idx="69">
                  <c:v>43743</c:v>
                </c:pt>
                <c:pt idx="70">
                  <c:v>43743</c:v>
                </c:pt>
                <c:pt idx="71">
                  <c:v>43713</c:v>
                </c:pt>
                <c:pt idx="72">
                  <c:v>43713</c:v>
                </c:pt>
                <c:pt idx="73">
                  <c:v>43805</c:v>
                </c:pt>
                <c:pt idx="74">
                  <c:v>43843</c:v>
                </c:pt>
                <c:pt idx="75">
                  <c:v>43689</c:v>
                </c:pt>
                <c:pt idx="76">
                  <c:v>43805</c:v>
                </c:pt>
                <c:pt idx="77">
                  <c:v>43805</c:v>
                </c:pt>
                <c:pt idx="78">
                  <c:v>43762</c:v>
                </c:pt>
                <c:pt idx="79">
                  <c:v>43762</c:v>
                </c:pt>
                <c:pt idx="80">
                  <c:v>43758</c:v>
                </c:pt>
                <c:pt idx="81">
                  <c:v>43803</c:v>
                </c:pt>
                <c:pt idx="82">
                  <c:v>43803</c:v>
                </c:pt>
                <c:pt idx="83">
                  <c:v>43751</c:v>
                </c:pt>
                <c:pt idx="84">
                  <c:v>43608</c:v>
                </c:pt>
                <c:pt idx="85">
                  <c:v>43646</c:v>
                </c:pt>
                <c:pt idx="86">
                  <c:v>43539</c:v>
                </c:pt>
                <c:pt idx="87">
                  <c:v>43634</c:v>
                </c:pt>
                <c:pt idx="88">
                  <c:v>43649</c:v>
                </c:pt>
                <c:pt idx="89">
                  <c:v>43675</c:v>
                </c:pt>
                <c:pt idx="90">
                  <c:v>43675</c:v>
                </c:pt>
                <c:pt idx="91">
                  <c:v>43742</c:v>
                </c:pt>
                <c:pt idx="92">
                  <c:v>43817</c:v>
                </c:pt>
                <c:pt idx="93">
                  <c:v>43840</c:v>
                </c:pt>
                <c:pt idx="94">
                  <c:v>43845</c:v>
                </c:pt>
                <c:pt idx="95">
                  <c:v>43876</c:v>
                </c:pt>
                <c:pt idx="96">
                  <c:v>43863</c:v>
                </c:pt>
                <c:pt idx="97">
                  <c:v>43864</c:v>
                </c:pt>
                <c:pt idx="98">
                  <c:v>43866</c:v>
                </c:pt>
                <c:pt idx="99">
                  <c:v>43887</c:v>
                </c:pt>
                <c:pt idx="100">
                  <c:v>43887</c:v>
                </c:pt>
                <c:pt idx="101">
                  <c:v>43887</c:v>
                </c:pt>
                <c:pt idx="102">
                  <c:v>43897</c:v>
                </c:pt>
                <c:pt idx="103">
                  <c:v>43897</c:v>
                </c:pt>
                <c:pt idx="104">
                  <c:v>43899</c:v>
                </c:pt>
                <c:pt idx="105">
                  <c:v>43906</c:v>
                </c:pt>
                <c:pt idx="106">
                  <c:v>43927</c:v>
                </c:pt>
                <c:pt idx="107">
                  <c:v>43936</c:v>
                </c:pt>
                <c:pt idx="108">
                  <c:v>43953</c:v>
                </c:pt>
                <c:pt idx="109">
                  <c:v>43967</c:v>
                </c:pt>
                <c:pt idx="110">
                  <c:v>43989</c:v>
                </c:pt>
                <c:pt idx="111">
                  <c:v>43989</c:v>
                </c:pt>
                <c:pt idx="112">
                  <c:v>43989</c:v>
                </c:pt>
                <c:pt idx="113">
                  <c:v>43998</c:v>
                </c:pt>
                <c:pt idx="114">
                  <c:v>43998</c:v>
                </c:pt>
                <c:pt idx="115">
                  <c:v>44005</c:v>
                </c:pt>
                <c:pt idx="116">
                  <c:v>44005</c:v>
                </c:pt>
                <c:pt idx="117">
                  <c:v>44009</c:v>
                </c:pt>
                <c:pt idx="118">
                  <c:v>44131</c:v>
                </c:pt>
                <c:pt idx="119">
                  <c:v>44011</c:v>
                </c:pt>
                <c:pt idx="120">
                  <c:v>44068</c:v>
                </c:pt>
                <c:pt idx="121">
                  <c:v>44034</c:v>
                </c:pt>
                <c:pt idx="122">
                  <c:v>44074</c:v>
                </c:pt>
                <c:pt idx="123">
                  <c:v>44089</c:v>
                </c:pt>
                <c:pt idx="124">
                  <c:v>44097</c:v>
                </c:pt>
                <c:pt idx="125">
                  <c:v>44103</c:v>
                </c:pt>
                <c:pt idx="126">
                  <c:v>44087</c:v>
                </c:pt>
                <c:pt idx="127">
                  <c:v>44106</c:v>
                </c:pt>
                <c:pt idx="128">
                  <c:v>44121</c:v>
                </c:pt>
                <c:pt idx="129">
                  <c:v>44124</c:v>
                </c:pt>
                <c:pt idx="130">
                  <c:v>44124</c:v>
                </c:pt>
                <c:pt idx="131">
                  <c:v>44134</c:v>
                </c:pt>
                <c:pt idx="132">
                  <c:v>44134</c:v>
                </c:pt>
                <c:pt idx="133">
                  <c:v>44134</c:v>
                </c:pt>
                <c:pt idx="134">
                  <c:v>44102</c:v>
                </c:pt>
                <c:pt idx="135">
                  <c:v>44087</c:v>
                </c:pt>
                <c:pt idx="136">
                  <c:v>44151</c:v>
                </c:pt>
                <c:pt idx="137">
                  <c:v>44151</c:v>
                </c:pt>
                <c:pt idx="138">
                  <c:v>44151</c:v>
                </c:pt>
                <c:pt idx="139">
                  <c:v>44151</c:v>
                </c:pt>
                <c:pt idx="140">
                  <c:v>44154</c:v>
                </c:pt>
                <c:pt idx="141">
                  <c:v>44163</c:v>
                </c:pt>
                <c:pt idx="142">
                  <c:v>44185</c:v>
                </c:pt>
                <c:pt idx="143">
                  <c:v>44165</c:v>
                </c:pt>
                <c:pt idx="144">
                  <c:v>44173</c:v>
                </c:pt>
                <c:pt idx="145">
                  <c:v>44179</c:v>
                </c:pt>
                <c:pt idx="146">
                  <c:v>44185</c:v>
                </c:pt>
                <c:pt idx="147">
                  <c:v>44200</c:v>
                </c:pt>
                <c:pt idx="148">
                  <c:v>44211</c:v>
                </c:pt>
                <c:pt idx="149">
                  <c:v>43848</c:v>
                </c:pt>
                <c:pt idx="150">
                  <c:v>43844</c:v>
                </c:pt>
                <c:pt idx="151">
                  <c:v>43889</c:v>
                </c:pt>
                <c:pt idx="152">
                  <c:v>43951</c:v>
                </c:pt>
                <c:pt idx="153">
                  <c:v>43951</c:v>
                </c:pt>
                <c:pt idx="154">
                  <c:v>43959</c:v>
                </c:pt>
                <c:pt idx="155">
                  <c:v>43959</c:v>
                </c:pt>
                <c:pt idx="156">
                  <c:v>43959</c:v>
                </c:pt>
                <c:pt idx="157">
                  <c:v>43987</c:v>
                </c:pt>
                <c:pt idx="158">
                  <c:v>43987</c:v>
                </c:pt>
                <c:pt idx="159">
                  <c:v>44015</c:v>
                </c:pt>
                <c:pt idx="160">
                  <c:v>43995</c:v>
                </c:pt>
                <c:pt idx="161">
                  <c:v>44015</c:v>
                </c:pt>
                <c:pt idx="162">
                  <c:v>44015</c:v>
                </c:pt>
                <c:pt idx="163">
                  <c:v>44106</c:v>
                </c:pt>
                <c:pt idx="164">
                  <c:v>44106</c:v>
                </c:pt>
                <c:pt idx="165">
                  <c:v>44106</c:v>
                </c:pt>
                <c:pt idx="166">
                  <c:v>44106</c:v>
                </c:pt>
                <c:pt idx="167">
                  <c:v>44127</c:v>
                </c:pt>
                <c:pt idx="168">
                  <c:v>44158</c:v>
                </c:pt>
                <c:pt idx="169">
                  <c:v>44158</c:v>
                </c:pt>
                <c:pt idx="170">
                  <c:v>44106</c:v>
                </c:pt>
                <c:pt idx="171">
                  <c:v>43889</c:v>
                </c:pt>
                <c:pt idx="172">
                  <c:v>43817</c:v>
                </c:pt>
                <c:pt idx="173">
                  <c:v>44170</c:v>
                </c:pt>
                <c:pt idx="174">
                  <c:v>44582</c:v>
                </c:pt>
                <c:pt idx="175">
                  <c:v>44230</c:v>
                </c:pt>
                <c:pt idx="176">
                  <c:v>44231</c:v>
                </c:pt>
                <c:pt idx="177">
                  <c:v>44242</c:v>
                </c:pt>
                <c:pt idx="178">
                  <c:v>44250</c:v>
                </c:pt>
                <c:pt idx="179">
                  <c:v>44253</c:v>
                </c:pt>
                <c:pt idx="180">
                  <c:v>44260</c:v>
                </c:pt>
                <c:pt idx="181">
                  <c:v>44257</c:v>
                </c:pt>
                <c:pt idx="182">
                  <c:v>44253</c:v>
                </c:pt>
                <c:pt idx="183">
                  <c:v>44253</c:v>
                </c:pt>
                <c:pt idx="184">
                  <c:v>44253</c:v>
                </c:pt>
                <c:pt idx="185">
                  <c:v>44264</c:v>
                </c:pt>
                <c:pt idx="186">
                  <c:v>44250</c:v>
                </c:pt>
                <c:pt idx="187">
                  <c:v>44270</c:v>
                </c:pt>
                <c:pt idx="188">
                  <c:v>44275</c:v>
                </c:pt>
                <c:pt idx="189">
                  <c:v>44283</c:v>
                </c:pt>
                <c:pt idx="190">
                  <c:v>44283</c:v>
                </c:pt>
                <c:pt idx="191">
                  <c:v>44257</c:v>
                </c:pt>
                <c:pt idx="192">
                  <c:v>44296</c:v>
                </c:pt>
                <c:pt idx="193">
                  <c:v>44296</c:v>
                </c:pt>
                <c:pt idx="194">
                  <c:v>44323</c:v>
                </c:pt>
                <c:pt idx="195">
                  <c:v>44307</c:v>
                </c:pt>
                <c:pt idx="196">
                  <c:v>44317</c:v>
                </c:pt>
                <c:pt idx="197">
                  <c:v>44317</c:v>
                </c:pt>
                <c:pt idx="198">
                  <c:v>44296</c:v>
                </c:pt>
                <c:pt idx="199">
                  <c:v>44320</c:v>
                </c:pt>
                <c:pt idx="200">
                  <c:v>44320</c:v>
                </c:pt>
                <c:pt idx="201">
                  <c:v>44323</c:v>
                </c:pt>
                <c:pt idx="202">
                  <c:v>44352</c:v>
                </c:pt>
                <c:pt idx="203">
                  <c:v>44352</c:v>
                </c:pt>
                <c:pt idx="204">
                  <c:v>44353</c:v>
                </c:pt>
                <c:pt idx="205">
                  <c:v>44353</c:v>
                </c:pt>
                <c:pt idx="206">
                  <c:v>44356</c:v>
                </c:pt>
                <c:pt idx="207">
                  <c:v>44372</c:v>
                </c:pt>
                <c:pt idx="208">
                  <c:v>44373</c:v>
                </c:pt>
                <c:pt idx="209">
                  <c:v>44375</c:v>
                </c:pt>
                <c:pt idx="210">
                  <c:v>44397</c:v>
                </c:pt>
                <c:pt idx="211">
                  <c:v>44407</c:v>
                </c:pt>
                <c:pt idx="212">
                  <c:v>44407</c:v>
                </c:pt>
                <c:pt idx="213">
                  <c:v>44250</c:v>
                </c:pt>
                <c:pt idx="214">
                  <c:v>44416</c:v>
                </c:pt>
                <c:pt idx="215">
                  <c:v>44411</c:v>
                </c:pt>
                <c:pt idx="216">
                  <c:v>44421</c:v>
                </c:pt>
                <c:pt idx="217">
                  <c:v>44418</c:v>
                </c:pt>
                <c:pt idx="218">
                  <c:v>44417</c:v>
                </c:pt>
                <c:pt idx="219">
                  <c:v>44422</c:v>
                </c:pt>
                <c:pt idx="220">
                  <c:v>44429</c:v>
                </c:pt>
                <c:pt idx="221">
                  <c:v>44429</c:v>
                </c:pt>
                <c:pt idx="222">
                  <c:v>44389</c:v>
                </c:pt>
                <c:pt idx="223">
                  <c:v>44411</c:v>
                </c:pt>
                <c:pt idx="224">
                  <c:v>44415</c:v>
                </c:pt>
                <c:pt idx="225">
                  <c:v>44416</c:v>
                </c:pt>
                <c:pt idx="226">
                  <c:v>44420</c:v>
                </c:pt>
                <c:pt idx="227">
                  <c:v>44420</c:v>
                </c:pt>
                <c:pt idx="228">
                  <c:v>44422</c:v>
                </c:pt>
                <c:pt idx="229">
                  <c:v>44429</c:v>
                </c:pt>
                <c:pt idx="230">
                  <c:v>44414</c:v>
                </c:pt>
                <c:pt idx="231">
                  <c:v>44440</c:v>
                </c:pt>
                <c:pt idx="232">
                  <c:v>44440</c:v>
                </c:pt>
                <c:pt idx="233">
                  <c:v>44472</c:v>
                </c:pt>
                <c:pt idx="234">
                  <c:v>44472</c:v>
                </c:pt>
                <c:pt idx="235">
                  <c:v>44479</c:v>
                </c:pt>
                <c:pt idx="236">
                  <c:v>44488</c:v>
                </c:pt>
                <c:pt idx="237">
                  <c:v>44493</c:v>
                </c:pt>
                <c:pt idx="238">
                  <c:v>44509</c:v>
                </c:pt>
                <c:pt idx="239">
                  <c:v>44510</c:v>
                </c:pt>
                <c:pt idx="240">
                  <c:v>44510</c:v>
                </c:pt>
                <c:pt idx="241">
                  <c:v>44411</c:v>
                </c:pt>
                <c:pt idx="242">
                  <c:v>44553</c:v>
                </c:pt>
                <c:pt idx="243">
                  <c:v>44516</c:v>
                </c:pt>
                <c:pt idx="244">
                  <c:v>44518</c:v>
                </c:pt>
                <c:pt idx="245">
                  <c:v>44522</c:v>
                </c:pt>
                <c:pt idx="246">
                  <c:v>44440</c:v>
                </c:pt>
                <c:pt idx="247">
                  <c:v>44527</c:v>
                </c:pt>
                <c:pt idx="248">
                  <c:v>44416</c:v>
                </c:pt>
                <c:pt idx="249">
                  <c:v>44557</c:v>
                </c:pt>
                <c:pt idx="250">
                  <c:v>44557</c:v>
                </c:pt>
                <c:pt idx="251">
                  <c:v>44578</c:v>
                </c:pt>
                <c:pt idx="252">
                  <c:v>44015</c:v>
                </c:pt>
                <c:pt idx="253">
                  <c:v>44211</c:v>
                </c:pt>
                <c:pt idx="254">
                  <c:v>44281</c:v>
                </c:pt>
                <c:pt idx="255">
                  <c:v>44295</c:v>
                </c:pt>
                <c:pt idx="256">
                  <c:v>44295</c:v>
                </c:pt>
                <c:pt idx="257">
                  <c:v>44302</c:v>
                </c:pt>
                <c:pt idx="258">
                  <c:v>44331</c:v>
                </c:pt>
                <c:pt idx="259">
                  <c:v>44372</c:v>
                </c:pt>
                <c:pt idx="260">
                  <c:v>44372</c:v>
                </c:pt>
                <c:pt idx="261">
                  <c:v>44393</c:v>
                </c:pt>
                <c:pt idx="262">
                  <c:v>44407</c:v>
                </c:pt>
                <c:pt idx="263">
                  <c:v>44435</c:v>
                </c:pt>
                <c:pt idx="264">
                  <c:v>44501</c:v>
                </c:pt>
                <c:pt idx="265">
                  <c:v>44516</c:v>
                </c:pt>
                <c:pt idx="266">
                  <c:v>44516</c:v>
                </c:pt>
                <c:pt idx="267">
                  <c:v>44550</c:v>
                </c:pt>
                <c:pt idx="268">
                  <c:v>44582</c:v>
                </c:pt>
                <c:pt idx="269">
                  <c:v>44410</c:v>
                </c:pt>
                <c:pt idx="270">
                  <c:v>44614</c:v>
                </c:pt>
                <c:pt idx="271">
                  <c:v>44618</c:v>
                </c:pt>
                <c:pt idx="272">
                  <c:v>44618</c:v>
                </c:pt>
                <c:pt idx="273">
                  <c:v>44600</c:v>
                </c:pt>
                <c:pt idx="274">
                  <c:v>44608</c:v>
                </c:pt>
                <c:pt idx="275">
                  <c:v>44608</c:v>
                </c:pt>
                <c:pt idx="276">
                  <c:v>44608</c:v>
                </c:pt>
                <c:pt idx="277">
                  <c:v>44614</c:v>
                </c:pt>
                <c:pt idx="278">
                  <c:v>44614</c:v>
                </c:pt>
                <c:pt idx="279">
                  <c:v>44610</c:v>
                </c:pt>
                <c:pt idx="280">
                  <c:v>44610</c:v>
                </c:pt>
                <c:pt idx="281">
                  <c:v>44631</c:v>
                </c:pt>
                <c:pt idx="282">
                  <c:v>44626</c:v>
                </c:pt>
                <c:pt idx="283">
                  <c:v>44626</c:v>
                </c:pt>
                <c:pt idx="284">
                  <c:v>44626</c:v>
                </c:pt>
                <c:pt idx="285">
                  <c:v>44627</c:v>
                </c:pt>
                <c:pt idx="286">
                  <c:v>44633</c:v>
                </c:pt>
                <c:pt idx="287">
                  <c:v>44633</c:v>
                </c:pt>
                <c:pt idx="288">
                  <c:v>44636</c:v>
                </c:pt>
                <c:pt idx="289">
                  <c:v>44636</c:v>
                </c:pt>
                <c:pt idx="290">
                  <c:v>44697</c:v>
                </c:pt>
                <c:pt idx="291">
                  <c:v>44697</c:v>
                </c:pt>
                <c:pt idx="292">
                  <c:v>44701</c:v>
                </c:pt>
                <c:pt idx="293">
                  <c:v>44708</c:v>
                </c:pt>
                <c:pt idx="294">
                  <c:v>44650</c:v>
                </c:pt>
                <c:pt idx="295">
                  <c:v>44650</c:v>
                </c:pt>
                <c:pt idx="296">
                  <c:v>44673</c:v>
                </c:pt>
                <c:pt idx="297">
                  <c:v>44694</c:v>
                </c:pt>
                <c:pt idx="298">
                  <c:v>44680</c:v>
                </c:pt>
                <c:pt idx="299">
                  <c:v>44662</c:v>
                </c:pt>
                <c:pt idx="300">
                  <c:v>44678</c:v>
                </c:pt>
                <c:pt idx="301">
                  <c:v>44697</c:v>
                </c:pt>
                <c:pt idx="302">
                  <c:v>44678</c:v>
                </c:pt>
                <c:pt idx="303">
                  <c:v>44727</c:v>
                </c:pt>
                <c:pt idx="304">
                  <c:v>44719</c:v>
                </c:pt>
                <c:pt idx="305">
                  <c:v>44740</c:v>
                </c:pt>
                <c:pt idx="306">
                  <c:v>44747</c:v>
                </c:pt>
                <c:pt idx="307">
                  <c:v>44778</c:v>
                </c:pt>
                <c:pt idx="308">
                  <c:v>44758</c:v>
                </c:pt>
                <c:pt idx="309">
                  <c:v>44781</c:v>
                </c:pt>
                <c:pt idx="310">
                  <c:v>44780</c:v>
                </c:pt>
                <c:pt idx="311">
                  <c:v>44771</c:v>
                </c:pt>
                <c:pt idx="312">
                  <c:v>44767</c:v>
                </c:pt>
                <c:pt idx="313">
                  <c:v>44767</c:v>
                </c:pt>
                <c:pt idx="314">
                  <c:v>44767</c:v>
                </c:pt>
                <c:pt idx="315">
                  <c:v>44767</c:v>
                </c:pt>
                <c:pt idx="316">
                  <c:v>44787</c:v>
                </c:pt>
                <c:pt idx="317">
                  <c:v>44787</c:v>
                </c:pt>
                <c:pt idx="318">
                  <c:v>44889</c:v>
                </c:pt>
                <c:pt idx="319">
                  <c:v>44869</c:v>
                </c:pt>
                <c:pt idx="320">
                  <c:v>44516</c:v>
                </c:pt>
                <c:pt idx="321">
                  <c:v>44550</c:v>
                </c:pt>
                <c:pt idx="322">
                  <c:v>44568</c:v>
                </c:pt>
                <c:pt idx="323">
                  <c:v>44642</c:v>
                </c:pt>
                <c:pt idx="324">
                  <c:v>44701</c:v>
                </c:pt>
                <c:pt idx="325">
                  <c:v>44701</c:v>
                </c:pt>
                <c:pt idx="326">
                  <c:v>44740</c:v>
                </c:pt>
                <c:pt idx="327">
                  <c:v>44783</c:v>
                </c:pt>
                <c:pt idx="328">
                  <c:v>44827</c:v>
                </c:pt>
                <c:pt idx="329">
                  <c:v>44848</c:v>
                </c:pt>
                <c:pt idx="330">
                  <c:v>44890</c:v>
                </c:pt>
                <c:pt idx="331">
                  <c:v>44918</c:v>
                </c:pt>
                <c:pt idx="332">
                  <c:v>44936</c:v>
                </c:pt>
                <c:pt idx="333">
                  <c:v>44797</c:v>
                </c:pt>
                <c:pt idx="334">
                  <c:v>44813</c:v>
                </c:pt>
                <c:pt idx="335">
                  <c:v>44813</c:v>
                </c:pt>
                <c:pt idx="336">
                  <c:v>44907</c:v>
                </c:pt>
                <c:pt idx="337">
                  <c:v>45042</c:v>
                </c:pt>
                <c:pt idx="338">
                  <c:v>45042</c:v>
                </c:pt>
                <c:pt idx="339">
                  <c:v>45027</c:v>
                </c:pt>
                <c:pt idx="340">
                  <c:v>45052</c:v>
                </c:pt>
                <c:pt idx="341">
                  <c:v>45055</c:v>
                </c:pt>
                <c:pt idx="342">
                  <c:v>45021</c:v>
                </c:pt>
                <c:pt idx="343">
                  <c:v>45021</c:v>
                </c:pt>
                <c:pt idx="344">
                  <c:v>45055</c:v>
                </c:pt>
                <c:pt idx="345">
                  <c:v>45021</c:v>
                </c:pt>
                <c:pt idx="346">
                  <c:v>45054</c:v>
                </c:pt>
                <c:pt idx="347">
                  <c:v>45062</c:v>
                </c:pt>
                <c:pt idx="348">
                  <c:v>45062</c:v>
                </c:pt>
                <c:pt idx="349">
                  <c:v>45061</c:v>
                </c:pt>
                <c:pt idx="350">
                  <c:v>45044</c:v>
                </c:pt>
                <c:pt idx="351">
                  <c:v>45131</c:v>
                </c:pt>
                <c:pt idx="352">
                  <c:v>45131</c:v>
                </c:pt>
                <c:pt idx="353">
                  <c:v>45097</c:v>
                </c:pt>
                <c:pt idx="354">
                  <c:v>45127</c:v>
                </c:pt>
                <c:pt idx="355">
                  <c:v>45108</c:v>
                </c:pt>
                <c:pt idx="356">
                  <c:v>45125</c:v>
                </c:pt>
                <c:pt idx="357">
                  <c:v>45149</c:v>
                </c:pt>
                <c:pt idx="358">
                  <c:v>45150</c:v>
                </c:pt>
                <c:pt idx="359">
                  <c:v>45153</c:v>
                </c:pt>
                <c:pt idx="360">
                  <c:v>45157</c:v>
                </c:pt>
                <c:pt idx="361">
                  <c:v>45159</c:v>
                </c:pt>
                <c:pt idx="362">
                  <c:v>45162</c:v>
                </c:pt>
                <c:pt idx="363">
                  <c:v>45131</c:v>
                </c:pt>
                <c:pt idx="364">
                  <c:v>45245</c:v>
                </c:pt>
                <c:pt idx="365">
                  <c:v>45171</c:v>
                </c:pt>
                <c:pt idx="366">
                  <c:v>45119</c:v>
                </c:pt>
                <c:pt idx="367">
                  <c:v>45137</c:v>
                </c:pt>
                <c:pt idx="368">
                  <c:v>45214</c:v>
                </c:pt>
                <c:pt idx="369">
                  <c:v>45195</c:v>
                </c:pt>
                <c:pt idx="370">
                  <c:v>45231</c:v>
                </c:pt>
                <c:pt idx="371">
                  <c:v>45245</c:v>
                </c:pt>
                <c:pt idx="372">
                  <c:v>45231</c:v>
                </c:pt>
                <c:pt idx="373">
                  <c:v>45214</c:v>
                </c:pt>
                <c:pt idx="374">
                  <c:v>45195</c:v>
                </c:pt>
                <c:pt idx="375">
                  <c:v>45252</c:v>
                </c:pt>
                <c:pt idx="376">
                  <c:v>45354</c:v>
                </c:pt>
                <c:pt idx="377">
                  <c:v>45241</c:v>
                </c:pt>
                <c:pt idx="378">
                  <c:v>45241</c:v>
                </c:pt>
                <c:pt idx="379">
                  <c:v>45354</c:v>
                </c:pt>
                <c:pt idx="380">
                  <c:v>45271</c:v>
                </c:pt>
                <c:pt idx="381">
                  <c:v>45301</c:v>
                </c:pt>
                <c:pt idx="382">
                  <c:v>45422</c:v>
                </c:pt>
                <c:pt idx="383">
                  <c:v>44936</c:v>
                </c:pt>
                <c:pt idx="384">
                  <c:v>44985</c:v>
                </c:pt>
                <c:pt idx="385">
                  <c:v>45040</c:v>
                </c:pt>
                <c:pt idx="386">
                  <c:v>45122</c:v>
                </c:pt>
                <c:pt idx="387">
                  <c:v>45142</c:v>
                </c:pt>
                <c:pt idx="388">
                  <c:v>45158</c:v>
                </c:pt>
                <c:pt idx="389">
                  <c:v>45166</c:v>
                </c:pt>
                <c:pt idx="390">
                  <c:v>45189</c:v>
                </c:pt>
                <c:pt idx="391">
                  <c:v>45261</c:v>
                </c:pt>
                <c:pt idx="392">
                  <c:v>45098</c:v>
                </c:pt>
                <c:pt idx="393">
                  <c:v>45031</c:v>
                </c:pt>
                <c:pt idx="394">
                  <c:v>45002</c:v>
                </c:pt>
              </c:numCache>
            </c:numRef>
          </c:cat>
          <c:val>
            <c:numRef>
              <c:f>'Grafico de o.c.(2007 a 2024)'!$N$1087:$N$1481</c:f>
              <c:numCache>
                <c:formatCode>0</c:formatCode>
                <c:ptCount val="395"/>
                <c:pt idx="0">
                  <c:v>12</c:v>
                </c:pt>
                <c:pt idx="1">
                  <c:v>-1</c:v>
                </c:pt>
                <c:pt idx="2">
                  <c:v>10</c:v>
                </c:pt>
                <c:pt idx="3">
                  <c:v>31</c:v>
                </c:pt>
                <c:pt idx="4">
                  <c:v>-12</c:v>
                </c:pt>
                <c:pt idx="5">
                  <c:v>8</c:v>
                </c:pt>
                <c:pt idx="6">
                  <c:v>-4</c:v>
                </c:pt>
                <c:pt idx="7">
                  <c:v>5</c:v>
                </c:pt>
                <c:pt idx="8">
                  <c:v>-32</c:v>
                </c:pt>
                <c:pt idx="9">
                  <c:v>-3</c:v>
                </c:pt>
                <c:pt idx="10">
                  <c:v>-4</c:v>
                </c:pt>
                <c:pt idx="11">
                  <c:v>2</c:v>
                </c:pt>
                <c:pt idx="12">
                  <c:v>-45</c:v>
                </c:pt>
                <c:pt idx="13">
                  <c:v>-27</c:v>
                </c:pt>
                <c:pt idx="14">
                  <c:v>-51</c:v>
                </c:pt>
                <c:pt idx="15">
                  <c:v>14</c:v>
                </c:pt>
                <c:pt idx="16">
                  <c:v>-6</c:v>
                </c:pt>
                <c:pt idx="17">
                  <c:v>-2</c:v>
                </c:pt>
                <c:pt idx="18">
                  <c:v>12</c:v>
                </c:pt>
                <c:pt idx="19">
                  <c:v>-7</c:v>
                </c:pt>
                <c:pt idx="20">
                  <c:v>-2</c:v>
                </c:pt>
                <c:pt idx="21">
                  <c:v>12</c:v>
                </c:pt>
                <c:pt idx="22">
                  <c:v>-6</c:v>
                </c:pt>
                <c:pt idx="23">
                  <c:v>-6</c:v>
                </c:pt>
                <c:pt idx="24">
                  <c:v>-6</c:v>
                </c:pt>
                <c:pt idx="25">
                  <c:v>-6</c:v>
                </c:pt>
                <c:pt idx="26">
                  <c:v>2</c:v>
                </c:pt>
                <c:pt idx="27">
                  <c:v>6</c:v>
                </c:pt>
                <c:pt idx="28">
                  <c:v>15</c:v>
                </c:pt>
                <c:pt idx="29">
                  <c:v>71</c:v>
                </c:pt>
                <c:pt idx="30">
                  <c:v>0</c:v>
                </c:pt>
                <c:pt idx="31">
                  <c:v>0</c:v>
                </c:pt>
                <c:pt idx="32">
                  <c:v>5</c:v>
                </c:pt>
                <c:pt idx="33">
                  <c:v>89</c:v>
                </c:pt>
                <c:pt idx="34">
                  <c:v>-9</c:v>
                </c:pt>
                <c:pt idx="35">
                  <c:v>5</c:v>
                </c:pt>
                <c:pt idx="36">
                  <c:v>-1</c:v>
                </c:pt>
                <c:pt idx="37">
                  <c:v>-9</c:v>
                </c:pt>
                <c:pt idx="38">
                  <c:v>12</c:v>
                </c:pt>
                <c:pt idx="39">
                  <c:v>-3</c:v>
                </c:pt>
                <c:pt idx="40">
                  <c:v>-3</c:v>
                </c:pt>
                <c:pt idx="41">
                  <c:v>-3</c:v>
                </c:pt>
                <c:pt idx="42">
                  <c:v>25</c:v>
                </c:pt>
                <c:pt idx="43">
                  <c:v>-6</c:v>
                </c:pt>
                <c:pt idx="44">
                  <c:v>-6</c:v>
                </c:pt>
                <c:pt idx="45">
                  <c:v>1</c:v>
                </c:pt>
                <c:pt idx="46">
                  <c:v>11</c:v>
                </c:pt>
                <c:pt idx="47">
                  <c:v>5</c:v>
                </c:pt>
                <c:pt idx="48">
                  <c:v>5</c:v>
                </c:pt>
                <c:pt idx="49">
                  <c:v>13</c:v>
                </c:pt>
                <c:pt idx="50">
                  <c:v>-6</c:v>
                </c:pt>
                <c:pt idx="51">
                  <c:v>-13</c:v>
                </c:pt>
                <c:pt idx="52">
                  <c:v>13</c:v>
                </c:pt>
                <c:pt idx="53">
                  <c:v>-6</c:v>
                </c:pt>
                <c:pt idx="54">
                  <c:v>13</c:v>
                </c:pt>
                <c:pt idx="55">
                  <c:v>1</c:v>
                </c:pt>
                <c:pt idx="56">
                  <c:v>-10</c:v>
                </c:pt>
                <c:pt idx="57">
                  <c:v>-10</c:v>
                </c:pt>
                <c:pt idx="58">
                  <c:v>-47</c:v>
                </c:pt>
                <c:pt idx="59">
                  <c:v>0</c:v>
                </c:pt>
                <c:pt idx="60">
                  <c:v>-6</c:v>
                </c:pt>
                <c:pt idx="61">
                  <c:v>19</c:v>
                </c:pt>
                <c:pt idx="62">
                  <c:v>1</c:v>
                </c:pt>
                <c:pt idx="63">
                  <c:v>-69</c:v>
                </c:pt>
                <c:pt idx="64">
                  <c:v>-69</c:v>
                </c:pt>
                <c:pt idx="65">
                  <c:v>-69</c:v>
                </c:pt>
                <c:pt idx="66">
                  <c:v>-69</c:v>
                </c:pt>
                <c:pt idx="67">
                  <c:v>-69</c:v>
                </c:pt>
                <c:pt idx="68">
                  <c:v>-91</c:v>
                </c:pt>
                <c:pt idx="69">
                  <c:v>-91</c:v>
                </c:pt>
                <c:pt idx="70">
                  <c:v>-91</c:v>
                </c:pt>
                <c:pt idx="71">
                  <c:v>-61</c:v>
                </c:pt>
                <c:pt idx="72">
                  <c:v>-61</c:v>
                </c:pt>
                <c:pt idx="73">
                  <c:v>-111</c:v>
                </c:pt>
                <c:pt idx="74">
                  <c:v>-121</c:v>
                </c:pt>
                <c:pt idx="75">
                  <c:v>89</c:v>
                </c:pt>
                <c:pt idx="76">
                  <c:v>-111</c:v>
                </c:pt>
                <c:pt idx="77">
                  <c:v>-111</c:v>
                </c:pt>
                <c:pt idx="78">
                  <c:v>-40</c:v>
                </c:pt>
                <c:pt idx="79">
                  <c:v>-40</c:v>
                </c:pt>
                <c:pt idx="80">
                  <c:v>20</c:v>
                </c:pt>
                <c:pt idx="81">
                  <c:v>17</c:v>
                </c:pt>
                <c:pt idx="82">
                  <c:v>17</c:v>
                </c:pt>
                <c:pt idx="83">
                  <c:v>3</c:v>
                </c:pt>
                <c:pt idx="84">
                  <c:v>16</c:v>
                </c:pt>
                <c:pt idx="85">
                  <c:v>41</c:v>
                </c:pt>
                <c:pt idx="86">
                  <c:v>0</c:v>
                </c:pt>
                <c:pt idx="87">
                  <c:v>-5</c:v>
                </c:pt>
                <c:pt idx="88">
                  <c:v>-20</c:v>
                </c:pt>
                <c:pt idx="89">
                  <c:v>-11</c:v>
                </c:pt>
                <c:pt idx="90">
                  <c:v>1</c:v>
                </c:pt>
                <c:pt idx="91">
                  <c:v>7</c:v>
                </c:pt>
                <c:pt idx="92">
                  <c:v>-14</c:v>
                </c:pt>
                <c:pt idx="93">
                  <c:v>-15</c:v>
                </c:pt>
                <c:pt idx="94">
                  <c:v>3</c:v>
                </c:pt>
                <c:pt idx="95">
                  <c:v>7</c:v>
                </c:pt>
                <c:pt idx="96">
                  <c:v>-15</c:v>
                </c:pt>
                <c:pt idx="97">
                  <c:v>-17</c:v>
                </c:pt>
                <c:pt idx="98">
                  <c:v>-19</c:v>
                </c:pt>
                <c:pt idx="99">
                  <c:v>-4</c:v>
                </c:pt>
                <c:pt idx="100">
                  <c:v>-4</c:v>
                </c:pt>
                <c:pt idx="101">
                  <c:v>-4</c:v>
                </c:pt>
                <c:pt idx="102">
                  <c:v>-14</c:v>
                </c:pt>
                <c:pt idx="103">
                  <c:v>-14</c:v>
                </c:pt>
                <c:pt idx="104">
                  <c:v>12</c:v>
                </c:pt>
                <c:pt idx="105">
                  <c:v>5</c:v>
                </c:pt>
                <c:pt idx="106">
                  <c:v>-16</c:v>
                </c:pt>
                <c:pt idx="107">
                  <c:v>-25</c:v>
                </c:pt>
                <c:pt idx="108">
                  <c:v>-11</c:v>
                </c:pt>
                <c:pt idx="109">
                  <c:v>-25</c:v>
                </c:pt>
                <c:pt idx="110">
                  <c:v>0</c:v>
                </c:pt>
                <c:pt idx="111">
                  <c:v>0</c:v>
                </c:pt>
                <c:pt idx="112">
                  <c:v>0</c:v>
                </c:pt>
                <c:pt idx="113">
                  <c:v>-9</c:v>
                </c:pt>
                <c:pt idx="114">
                  <c:v>-9</c:v>
                </c:pt>
                <c:pt idx="115">
                  <c:v>4</c:v>
                </c:pt>
                <c:pt idx="116">
                  <c:v>4</c:v>
                </c:pt>
                <c:pt idx="117">
                  <c:v>0</c:v>
                </c:pt>
                <c:pt idx="118">
                  <c:v>-10</c:v>
                </c:pt>
                <c:pt idx="119">
                  <c:v>-2</c:v>
                </c:pt>
                <c:pt idx="120">
                  <c:v>-10</c:v>
                </c:pt>
                <c:pt idx="121">
                  <c:v>-4</c:v>
                </c:pt>
                <c:pt idx="122">
                  <c:v>-16</c:v>
                </c:pt>
                <c:pt idx="123">
                  <c:v>-10</c:v>
                </c:pt>
                <c:pt idx="124">
                  <c:v>-18</c:v>
                </c:pt>
                <c:pt idx="125">
                  <c:v>-24</c:v>
                </c:pt>
                <c:pt idx="126">
                  <c:v>-8</c:v>
                </c:pt>
                <c:pt idx="127">
                  <c:v>-27</c:v>
                </c:pt>
                <c:pt idx="128">
                  <c:v>0</c:v>
                </c:pt>
                <c:pt idx="129">
                  <c:v>-3</c:v>
                </c:pt>
                <c:pt idx="130">
                  <c:v>-3</c:v>
                </c:pt>
                <c:pt idx="131">
                  <c:v>-13</c:v>
                </c:pt>
                <c:pt idx="132">
                  <c:v>-13</c:v>
                </c:pt>
                <c:pt idx="133">
                  <c:v>-13</c:v>
                </c:pt>
                <c:pt idx="134">
                  <c:v>-23</c:v>
                </c:pt>
                <c:pt idx="135">
                  <c:v>20</c:v>
                </c:pt>
                <c:pt idx="136">
                  <c:v>5</c:v>
                </c:pt>
                <c:pt idx="137">
                  <c:v>5</c:v>
                </c:pt>
                <c:pt idx="138">
                  <c:v>5</c:v>
                </c:pt>
                <c:pt idx="139">
                  <c:v>5</c:v>
                </c:pt>
                <c:pt idx="140">
                  <c:v>2</c:v>
                </c:pt>
                <c:pt idx="141">
                  <c:v>-7</c:v>
                </c:pt>
                <c:pt idx="142">
                  <c:v>-29</c:v>
                </c:pt>
                <c:pt idx="143">
                  <c:v>-9</c:v>
                </c:pt>
                <c:pt idx="144">
                  <c:v>0</c:v>
                </c:pt>
                <c:pt idx="145">
                  <c:v>0</c:v>
                </c:pt>
                <c:pt idx="146">
                  <c:v>0</c:v>
                </c:pt>
                <c:pt idx="147">
                  <c:v>0</c:v>
                </c:pt>
                <c:pt idx="148">
                  <c:v>0</c:v>
                </c:pt>
                <c:pt idx="149">
                  <c:v>48</c:v>
                </c:pt>
                <c:pt idx="150">
                  <c:v>6</c:v>
                </c:pt>
                <c:pt idx="151">
                  <c:v>7</c:v>
                </c:pt>
                <c:pt idx="152">
                  <c:v>39</c:v>
                </c:pt>
                <c:pt idx="153">
                  <c:v>85</c:v>
                </c:pt>
                <c:pt idx="154">
                  <c:v>31</c:v>
                </c:pt>
                <c:pt idx="155">
                  <c:v>31</c:v>
                </c:pt>
                <c:pt idx="156">
                  <c:v>53</c:v>
                </c:pt>
                <c:pt idx="157">
                  <c:v>25</c:v>
                </c:pt>
                <c:pt idx="158">
                  <c:v>49</c:v>
                </c:pt>
                <c:pt idx="159">
                  <c:v>21</c:v>
                </c:pt>
                <c:pt idx="160">
                  <c:v>17</c:v>
                </c:pt>
                <c:pt idx="161">
                  <c:v>21</c:v>
                </c:pt>
                <c:pt idx="162">
                  <c:v>21</c:v>
                </c:pt>
                <c:pt idx="163">
                  <c:v>40</c:v>
                </c:pt>
                <c:pt idx="164">
                  <c:v>40</c:v>
                </c:pt>
                <c:pt idx="165">
                  <c:v>40</c:v>
                </c:pt>
                <c:pt idx="166">
                  <c:v>40</c:v>
                </c:pt>
                <c:pt idx="167">
                  <c:v>19</c:v>
                </c:pt>
                <c:pt idx="168">
                  <c:v>19</c:v>
                </c:pt>
                <c:pt idx="169">
                  <c:v>19</c:v>
                </c:pt>
                <c:pt idx="170">
                  <c:v>54</c:v>
                </c:pt>
                <c:pt idx="171">
                  <c:v>5</c:v>
                </c:pt>
                <c:pt idx="172">
                  <c:v>-14</c:v>
                </c:pt>
                <c:pt idx="173">
                  <c:v>18</c:v>
                </c:pt>
                <c:pt idx="174">
                  <c:v>-262</c:v>
                </c:pt>
                <c:pt idx="175">
                  <c:v>-11</c:v>
                </c:pt>
                <c:pt idx="176">
                  <c:v>-12</c:v>
                </c:pt>
                <c:pt idx="177">
                  <c:v>-23</c:v>
                </c:pt>
                <c:pt idx="178">
                  <c:v>4</c:v>
                </c:pt>
                <c:pt idx="179">
                  <c:v>1</c:v>
                </c:pt>
                <c:pt idx="180">
                  <c:v>1</c:v>
                </c:pt>
                <c:pt idx="181">
                  <c:v>4</c:v>
                </c:pt>
                <c:pt idx="182">
                  <c:v>8</c:v>
                </c:pt>
                <c:pt idx="183">
                  <c:v>8</c:v>
                </c:pt>
                <c:pt idx="184">
                  <c:v>8</c:v>
                </c:pt>
                <c:pt idx="185">
                  <c:v>-3</c:v>
                </c:pt>
                <c:pt idx="186">
                  <c:v>18</c:v>
                </c:pt>
                <c:pt idx="187">
                  <c:v>-2</c:v>
                </c:pt>
                <c:pt idx="188">
                  <c:v>-7</c:v>
                </c:pt>
                <c:pt idx="189">
                  <c:v>-15</c:v>
                </c:pt>
                <c:pt idx="190">
                  <c:v>-15</c:v>
                </c:pt>
                <c:pt idx="191">
                  <c:v>11</c:v>
                </c:pt>
                <c:pt idx="192">
                  <c:v>14</c:v>
                </c:pt>
                <c:pt idx="193">
                  <c:v>14</c:v>
                </c:pt>
                <c:pt idx="194">
                  <c:v>-13</c:v>
                </c:pt>
                <c:pt idx="195">
                  <c:v>3</c:v>
                </c:pt>
                <c:pt idx="196">
                  <c:v>-7</c:v>
                </c:pt>
                <c:pt idx="197">
                  <c:v>-7</c:v>
                </c:pt>
                <c:pt idx="198">
                  <c:v>21</c:v>
                </c:pt>
                <c:pt idx="199">
                  <c:v>-3</c:v>
                </c:pt>
                <c:pt idx="200">
                  <c:v>-3</c:v>
                </c:pt>
                <c:pt idx="201">
                  <c:v>-6</c:v>
                </c:pt>
                <c:pt idx="202">
                  <c:v>7</c:v>
                </c:pt>
                <c:pt idx="203">
                  <c:v>7</c:v>
                </c:pt>
                <c:pt idx="204">
                  <c:v>6</c:v>
                </c:pt>
                <c:pt idx="205">
                  <c:v>6</c:v>
                </c:pt>
                <c:pt idx="206">
                  <c:v>3</c:v>
                </c:pt>
                <c:pt idx="207">
                  <c:v>8</c:v>
                </c:pt>
                <c:pt idx="208">
                  <c:v>7</c:v>
                </c:pt>
                <c:pt idx="209">
                  <c:v>12</c:v>
                </c:pt>
                <c:pt idx="210">
                  <c:v>-10</c:v>
                </c:pt>
                <c:pt idx="211">
                  <c:v>-20</c:v>
                </c:pt>
                <c:pt idx="212">
                  <c:v>-20</c:v>
                </c:pt>
                <c:pt idx="213">
                  <c:v>158</c:v>
                </c:pt>
                <c:pt idx="214">
                  <c:v>-8</c:v>
                </c:pt>
                <c:pt idx="215">
                  <c:v>-3</c:v>
                </c:pt>
                <c:pt idx="216">
                  <c:v>-13</c:v>
                </c:pt>
                <c:pt idx="217">
                  <c:v>-10</c:v>
                </c:pt>
                <c:pt idx="218">
                  <c:v>-9</c:v>
                </c:pt>
                <c:pt idx="219">
                  <c:v>-14</c:v>
                </c:pt>
                <c:pt idx="220">
                  <c:v>-21</c:v>
                </c:pt>
                <c:pt idx="221">
                  <c:v>-21</c:v>
                </c:pt>
                <c:pt idx="222">
                  <c:v>26</c:v>
                </c:pt>
                <c:pt idx="223">
                  <c:v>4</c:v>
                </c:pt>
                <c:pt idx="224">
                  <c:v>0</c:v>
                </c:pt>
                <c:pt idx="225">
                  <c:v>20</c:v>
                </c:pt>
                <c:pt idx="226">
                  <c:v>16</c:v>
                </c:pt>
                <c:pt idx="227">
                  <c:v>16</c:v>
                </c:pt>
                <c:pt idx="228">
                  <c:v>-7</c:v>
                </c:pt>
                <c:pt idx="229">
                  <c:v>-14</c:v>
                </c:pt>
                <c:pt idx="230">
                  <c:v>1</c:v>
                </c:pt>
                <c:pt idx="231">
                  <c:v>3</c:v>
                </c:pt>
                <c:pt idx="232">
                  <c:v>3</c:v>
                </c:pt>
                <c:pt idx="233">
                  <c:v>-8</c:v>
                </c:pt>
                <c:pt idx="234">
                  <c:v>-8</c:v>
                </c:pt>
                <c:pt idx="235">
                  <c:v>-15</c:v>
                </c:pt>
                <c:pt idx="236">
                  <c:v>-24</c:v>
                </c:pt>
                <c:pt idx="237">
                  <c:v>-29</c:v>
                </c:pt>
                <c:pt idx="238">
                  <c:v>-17</c:v>
                </c:pt>
                <c:pt idx="239">
                  <c:v>-18</c:v>
                </c:pt>
                <c:pt idx="240">
                  <c:v>-18</c:v>
                </c:pt>
                <c:pt idx="241">
                  <c:v>25</c:v>
                </c:pt>
                <c:pt idx="242">
                  <c:v>-40</c:v>
                </c:pt>
                <c:pt idx="243">
                  <c:v>-3</c:v>
                </c:pt>
                <c:pt idx="244">
                  <c:v>-5</c:v>
                </c:pt>
                <c:pt idx="245">
                  <c:v>-9</c:v>
                </c:pt>
                <c:pt idx="246">
                  <c:v>94</c:v>
                </c:pt>
                <c:pt idx="247">
                  <c:v>7</c:v>
                </c:pt>
                <c:pt idx="248">
                  <c:v>20</c:v>
                </c:pt>
                <c:pt idx="249">
                  <c:v>11</c:v>
                </c:pt>
                <c:pt idx="250">
                  <c:v>11</c:v>
                </c:pt>
                <c:pt idx="251">
                  <c:v>-10</c:v>
                </c:pt>
                <c:pt idx="252">
                  <c:v>218</c:v>
                </c:pt>
                <c:pt idx="253">
                  <c:v>22</c:v>
                </c:pt>
                <c:pt idx="254">
                  <c:v>25</c:v>
                </c:pt>
                <c:pt idx="255">
                  <c:v>28</c:v>
                </c:pt>
                <c:pt idx="256">
                  <c:v>28</c:v>
                </c:pt>
                <c:pt idx="257">
                  <c:v>21</c:v>
                </c:pt>
                <c:pt idx="258">
                  <c:v>71</c:v>
                </c:pt>
                <c:pt idx="259">
                  <c:v>60</c:v>
                </c:pt>
                <c:pt idx="260">
                  <c:v>60</c:v>
                </c:pt>
                <c:pt idx="261">
                  <c:v>19</c:v>
                </c:pt>
                <c:pt idx="262">
                  <c:v>84</c:v>
                </c:pt>
                <c:pt idx="263">
                  <c:v>56</c:v>
                </c:pt>
                <c:pt idx="264">
                  <c:v>19</c:v>
                </c:pt>
                <c:pt idx="265">
                  <c:v>10</c:v>
                </c:pt>
                <c:pt idx="266">
                  <c:v>47</c:v>
                </c:pt>
                <c:pt idx="267">
                  <c:v>11</c:v>
                </c:pt>
                <c:pt idx="268">
                  <c:v>-280</c:v>
                </c:pt>
                <c:pt idx="269">
                  <c:v>129</c:v>
                </c:pt>
                <c:pt idx="270">
                  <c:v>-24</c:v>
                </c:pt>
                <c:pt idx="271">
                  <c:v>-28</c:v>
                </c:pt>
                <c:pt idx="272">
                  <c:v>-28</c:v>
                </c:pt>
                <c:pt idx="273">
                  <c:v>-10</c:v>
                </c:pt>
                <c:pt idx="274">
                  <c:v>-18</c:v>
                </c:pt>
                <c:pt idx="275">
                  <c:v>-18</c:v>
                </c:pt>
                <c:pt idx="276">
                  <c:v>-18</c:v>
                </c:pt>
                <c:pt idx="277">
                  <c:v>4</c:v>
                </c:pt>
                <c:pt idx="278">
                  <c:v>4</c:v>
                </c:pt>
                <c:pt idx="279">
                  <c:v>8</c:v>
                </c:pt>
                <c:pt idx="280">
                  <c:v>8</c:v>
                </c:pt>
                <c:pt idx="281">
                  <c:v>15</c:v>
                </c:pt>
                <c:pt idx="282">
                  <c:v>20</c:v>
                </c:pt>
                <c:pt idx="283">
                  <c:v>20</c:v>
                </c:pt>
                <c:pt idx="284">
                  <c:v>20</c:v>
                </c:pt>
                <c:pt idx="285">
                  <c:v>19</c:v>
                </c:pt>
                <c:pt idx="286">
                  <c:v>13</c:v>
                </c:pt>
                <c:pt idx="287">
                  <c:v>13</c:v>
                </c:pt>
                <c:pt idx="288">
                  <c:v>10</c:v>
                </c:pt>
                <c:pt idx="289">
                  <c:v>10</c:v>
                </c:pt>
                <c:pt idx="290">
                  <c:v>-2</c:v>
                </c:pt>
                <c:pt idx="291">
                  <c:v>-2</c:v>
                </c:pt>
                <c:pt idx="292">
                  <c:v>-6</c:v>
                </c:pt>
                <c:pt idx="293">
                  <c:v>-13</c:v>
                </c:pt>
                <c:pt idx="294">
                  <c:v>45</c:v>
                </c:pt>
                <c:pt idx="295">
                  <c:v>45</c:v>
                </c:pt>
                <c:pt idx="296">
                  <c:v>-6</c:v>
                </c:pt>
                <c:pt idx="297">
                  <c:v>36</c:v>
                </c:pt>
                <c:pt idx="298">
                  <c:v>-13</c:v>
                </c:pt>
                <c:pt idx="299">
                  <c:v>5</c:v>
                </c:pt>
                <c:pt idx="300">
                  <c:v>-11</c:v>
                </c:pt>
                <c:pt idx="301">
                  <c:v>-30</c:v>
                </c:pt>
                <c:pt idx="302">
                  <c:v>-11</c:v>
                </c:pt>
                <c:pt idx="303">
                  <c:v>-11</c:v>
                </c:pt>
                <c:pt idx="304">
                  <c:v>-3</c:v>
                </c:pt>
                <c:pt idx="305">
                  <c:v>-10</c:v>
                </c:pt>
                <c:pt idx="306">
                  <c:v>4</c:v>
                </c:pt>
                <c:pt idx="307">
                  <c:v>-6</c:v>
                </c:pt>
                <c:pt idx="308">
                  <c:v>-7</c:v>
                </c:pt>
                <c:pt idx="309">
                  <c:v>-51</c:v>
                </c:pt>
                <c:pt idx="310">
                  <c:v>-50</c:v>
                </c:pt>
                <c:pt idx="311">
                  <c:v>1</c:v>
                </c:pt>
                <c:pt idx="312">
                  <c:v>5</c:v>
                </c:pt>
                <c:pt idx="313">
                  <c:v>5</c:v>
                </c:pt>
                <c:pt idx="314">
                  <c:v>5</c:v>
                </c:pt>
                <c:pt idx="315">
                  <c:v>5</c:v>
                </c:pt>
                <c:pt idx="316">
                  <c:v>2</c:v>
                </c:pt>
                <c:pt idx="317">
                  <c:v>-13</c:v>
                </c:pt>
                <c:pt idx="318">
                  <c:v>-12</c:v>
                </c:pt>
                <c:pt idx="319">
                  <c:v>8</c:v>
                </c:pt>
                <c:pt idx="320">
                  <c:v>47</c:v>
                </c:pt>
                <c:pt idx="321">
                  <c:v>11</c:v>
                </c:pt>
                <c:pt idx="322">
                  <c:v>22</c:v>
                </c:pt>
                <c:pt idx="323">
                  <c:v>-3</c:v>
                </c:pt>
                <c:pt idx="324">
                  <c:v>6</c:v>
                </c:pt>
                <c:pt idx="325">
                  <c:v>33</c:v>
                </c:pt>
                <c:pt idx="326">
                  <c:v>16</c:v>
                </c:pt>
                <c:pt idx="327">
                  <c:v>29</c:v>
                </c:pt>
                <c:pt idx="328">
                  <c:v>15</c:v>
                </c:pt>
                <c:pt idx="329">
                  <c:v>15</c:v>
                </c:pt>
                <c:pt idx="330">
                  <c:v>0</c:v>
                </c:pt>
                <c:pt idx="331">
                  <c:v>-1</c:v>
                </c:pt>
                <c:pt idx="332">
                  <c:v>2</c:v>
                </c:pt>
                <c:pt idx="333">
                  <c:v>0</c:v>
                </c:pt>
                <c:pt idx="334">
                  <c:v>46</c:v>
                </c:pt>
                <c:pt idx="335">
                  <c:v>46</c:v>
                </c:pt>
                <c:pt idx="336">
                  <c:v>17</c:v>
                </c:pt>
                <c:pt idx="337">
                  <c:v>-25</c:v>
                </c:pt>
                <c:pt idx="338">
                  <c:v>-25</c:v>
                </c:pt>
                <c:pt idx="339">
                  <c:v>-10</c:v>
                </c:pt>
                <c:pt idx="340">
                  <c:v>-35</c:v>
                </c:pt>
                <c:pt idx="341">
                  <c:v>-38</c:v>
                </c:pt>
                <c:pt idx="342">
                  <c:v>-4</c:v>
                </c:pt>
                <c:pt idx="343">
                  <c:v>-4</c:v>
                </c:pt>
                <c:pt idx="344">
                  <c:v>-38</c:v>
                </c:pt>
                <c:pt idx="345">
                  <c:v>-4</c:v>
                </c:pt>
                <c:pt idx="346">
                  <c:v>-2</c:v>
                </c:pt>
                <c:pt idx="347">
                  <c:v>-10</c:v>
                </c:pt>
                <c:pt idx="348">
                  <c:v>-10</c:v>
                </c:pt>
                <c:pt idx="349">
                  <c:v>-9</c:v>
                </c:pt>
                <c:pt idx="350">
                  <c:v>36</c:v>
                </c:pt>
                <c:pt idx="351">
                  <c:v>-51</c:v>
                </c:pt>
                <c:pt idx="352">
                  <c:v>-51</c:v>
                </c:pt>
                <c:pt idx="353">
                  <c:v>-17</c:v>
                </c:pt>
                <c:pt idx="354">
                  <c:v>-12</c:v>
                </c:pt>
                <c:pt idx="355">
                  <c:v>7</c:v>
                </c:pt>
                <c:pt idx="356">
                  <c:v>-10</c:v>
                </c:pt>
                <c:pt idx="357">
                  <c:v>-34</c:v>
                </c:pt>
                <c:pt idx="358">
                  <c:v>-35</c:v>
                </c:pt>
                <c:pt idx="359">
                  <c:v>-38</c:v>
                </c:pt>
                <c:pt idx="360">
                  <c:v>-42</c:v>
                </c:pt>
                <c:pt idx="361">
                  <c:v>-44</c:v>
                </c:pt>
                <c:pt idx="362">
                  <c:v>-47</c:v>
                </c:pt>
                <c:pt idx="363">
                  <c:v>-2</c:v>
                </c:pt>
                <c:pt idx="364">
                  <c:v>-116</c:v>
                </c:pt>
                <c:pt idx="365">
                  <c:v>-42</c:v>
                </c:pt>
                <c:pt idx="366">
                  <c:v>10</c:v>
                </c:pt>
                <c:pt idx="367">
                  <c:v>62</c:v>
                </c:pt>
                <c:pt idx="368">
                  <c:v>-15</c:v>
                </c:pt>
                <c:pt idx="369">
                  <c:v>4</c:v>
                </c:pt>
                <c:pt idx="370">
                  <c:v>-32</c:v>
                </c:pt>
                <c:pt idx="371">
                  <c:v>-25</c:v>
                </c:pt>
                <c:pt idx="372">
                  <c:v>10</c:v>
                </c:pt>
                <c:pt idx="373">
                  <c:v>27</c:v>
                </c:pt>
                <c:pt idx="374">
                  <c:v>46</c:v>
                </c:pt>
                <c:pt idx="375">
                  <c:v>-11</c:v>
                </c:pt>
                <c:pt idx="376">
                  <c:v>-113</c:v>
                </c:pt>
                <c:pt idx="377">
                  <c:v>0</c:v>
                </c:pt>
                <c:pt idx="378">
                  <c:v>0</c:v>
                </c:pt>
                <c:pt idx="379">
                  <c:v>-99</c:v>
                </c:pt>
                <c:pt idx="380">
                  <c:v>-16</c:v>
                </c:pt>
                <c:pt idx="381">
                  <c:v>-18</c:v>
                </c:pt>
                <c:pt idx="382">
                  <c:v>-139</c:v>
                </c:pt>
                <c:pt idx="383">
                  <c:v>2</c:v>
                </c:pt>
                <c:pt idx="384">
                  <c:v>-11</c:v>
                </c:pt>
                <c:pt idx="385">
                  <c:v>1</c:v>
                </c:pt>
                <c:pt idx="386">
                  <c:v>-44</c:v>
                </c:pt>
                <c:pt idx="387">
                  <c:v>7</c:v>
                </c:pt>
                <c:pt idx="388">
                  <c:v>-9</c:v>
                </c:pt>
                <c:pt idx="389">
                  <c:v>9</c:v>
                </c:pt>
                <c:pt idx="390">
                  <c:v>2</c:v>
                </c:pt>
                <c:pt idx="391">
                  <c:v>-7</c:v>
                </c:pt>
                <c:pt idx="392">
                  <c:v>18</c:v>
                </c:pt>
                <c:pt idx="393">
                  <c:v>77</c:v>
                </c:pt>
                <c:pt idx="394">
                  <c:v>32</c:v>
                </c:pt>
              </c:numCache>
            </c:numRef>
          </c:val>
          <c:extLst>
            <c:ext xmlns:c16="http://schemas.microsoft.com/office/drawing/2014/chart" uri="{C3380CC4-5D6E-409C-BE32-E72D297353CC}">
              <c16:uniqueId val="{00000000-BA63-4DDB-8B60-A501A0D09391}"/>
            </c:ext>
          </c:extLst>
        </c:ser>
        <c:dLbls>
          <c:showLegendKey val="0"/>
          <c:showVal val="0"/>
          <c:showCatName val="0"/>
          <c:showSerName val="0"/>
          <c:showPercent val="0"/>
          <c:showBubbleSize val="0"/>
        </c:dLbls>
        <c:gapWidth val="150"/>
        <c:axId val="949614912"/>
        <c:axId val="960931808"/>
      </c:barChart>
      <c:dateAx>
        <c:axId val="949614912"/>
        <c:scaling>
          <c:orientation val="minMax"/>
        </c:scaling>
        <c:delete val="0"/>
        <c:axPos val="b"/>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960931808"/>
        <c:crosses val="autoZero"/>
        <c:auto val="1"/>
        <c:lblOffset val="100"/>
        <c:baseTimeUnit val="days"/>
      </c:dateAx>
      <c:valAx>
        <c:axId val="960931808"/>
        <c:scaling>
          <c:orientation val="minMax"/>
          <c:min val="-3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949614912"/>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104775</xdr:colOff>
      <xdr:row>1</xdr:row>
      <xdr:rowOff>66675</xdr:rowOff>
    </xdr:from>
    <xdr:to>
      <xdr:col>9</xdr:col>
      <xdr:colOff>733425</xdr:colOff>
      <xdr:row>37</xdr:row>
      <xdr:rowOff>95250</xdr:rowOff>
    </xdr:to>
    <xdr:graphicFrame macro="">
      <xdr:nvGraphicFramePr>
        <xdr:cNvPr id="2" name="Chart 4">
          <a:extLst>
            <a:ext uri="{FF2B5EF4-FFF2-40B4-BE49-F238E27FC236}">
              <a16:creationId xmlns:a16="http://schemas.microsoft.com/office/drawing/2014/main" id="{F8F28FE7-CBEA-4322-925C-CCFFC434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619125</xdr:colOff>
      <xdr:row>231</xdr:row>
      <xdr:rowOff>66675</xdr:rowOff>
    </xdr:from>
    <xdr:to>
      <xdr:col>18</xdr:col>
      <xdr:colOff>390525</xdr:colOff>
      <xdr:row>237</xdr:row>
      <xdr:rowOff>38100</xdr:rowOff>
    </xdr:to>
    <xdr:sp macro="" textlink="">
      <xdr:nvSpPr>
        <xdr:cNvPr id="7182" name="Text Box 14">
          <a:extLst>
            <a:ext uri="{FF2B5EF4-FFF2-40B4-BE49-F238E27FC236}">
              <a16:creationId xmlns:a16="http://schemas.microsoft.com/office/drawing/2014/main" id="{00000000-0008-0000-0400-00000E1C0000}"/>
            </a:ext>
          </a:extLst>
        </xdr:cNvPr>
        <xdr:cNvSpPr txBox="1">
          <a:spLocks noChangeArrowheads="1"/>
        </xdr:cNvSpPr>
      </xdr:nvSpPr>
      <xdr:spPr bwMode="auto">
        <a:xfrm>
          <a:off x="12839700" y="39176325"/>
          <a:ext cx="4657725" cy="885825"/>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0">
            <a:defRPr sz="1000"/>
          </a:pPr>
          <a:r>
            <a:rPr lang="es-AR" sz="800" b="0" i="0" u="none" strike="noStrike" baseline="0">
              <a:solidFill>
                <a:srgbClr val="000000"/>
              </a:solidFill>
              <a:latin typeface="Arial"/>
              <a:cs typeface="Arial"/>
            </a:rPr>
            <a:t>4/08 de PDS</a:t>
          </a:r>
        </a:p>
        <a:p>
          <a:pPr algn="ctr" rtl="0">
            <a:defRPr sz="1000"/>
          </a:pPr>
          <a:r>
            <a:rPr lang="es-AR" sz="800" b="0" i="0" u="none" strike="noStrike" baseline="0">
              <a:solidFill>
                <a:srgbClr val="000000"/>
              </a:solidFill>
              <a:latin typeface="Arial"/>
              <a:cs typeface="Arial"/>
            </a:rPr>
            <a:t>18/08 de BAI buque Nexus ETA 10/09 Pto. Cabello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85724</xdr:colOff>
      <xdr:row>44</xdr:row>
      <xdr:rowOff>9525</xdr:rowOff>
    </xdr:from>
    <xdr:to>
      <xdr:col>265</xdr:col>
      <xdr:colOff>781050</xdr:colOff>
      <xdr:row>83</xdr:row>
      <xdr:rowOff>9525</xdr:rowOff>
    </xdr:to>
    <xdr:graphicFrame macro="">
      <xdr:nvGraphicFramePr>
        <xdr:cNvPr id="31581890" name="Chart 16">
          <a:extLst>
            <a:ext uri="{FF2B5EF4-FFF2-40B4-BE49-F238E27FC236}">
              <a16:creationId xmlns:a16="http://schemas.microsoft.com/office/drawing/2014/main" id="{00000000-0008-0000-1500-0000C2E6E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222250</xdr:colOff>
      <xdr:row>5</xdr:row>
      <xdr:rowOff>127000</xdr:rowOff>
    </xdr:from>
    <xdr:to>
      <xdr:col>16</xdr:col>
      <xdr:colOff>433916</xdr:colOff>
      <xdr:row>55</xdr:row>
      <xdr:rowOff>105834</xdr:rowOff>
    </xdr:to>
    <xdr:graphicFrame macro="">
      <xdr:nvGraphicFramePr>
        <xdr:cNvPr id="4" name="Gráfico 3">
          <a:extLst>
            <a:ext uri="{FF2B5EF4-FFF2-40B4-BE49-F238E27FC236}">
              <a16:creationId xmlns:a16="http://schemas.microsoft.com/office/drawing/2014/main" id="{892C7260-31C2-4616-8719-EE4C9AEA8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vpiro\AppData\Local\Microsoft\Windows\Temporary%2520Internet%2520Files\Content.Outlook\VJEGE9RO\Planilla%2520Informativ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c."/>
      <sheetName val="Grafico de o.c."/>
      <sheetName val="Brasil"/>
      <sheetName val="Colombia"/>
      <sheetName val="Vzla"/>
      <sheetName val="Bolivia"/>
      <sheetName val="Ecuador"/>
      <sheetName val="Peru"/>
      <sheetName val="Mexico"/>
      <sheetName val="T&amp;T"/>
      <sheetName val="Indonesia"/>
      <sheetName val="España"/>
      <sheetName val="Chile"/>
      <sheetName val="Egipto"/>
      <sheetName val="Turquia"/>
      <sheetName val="Arg."/>
      <sheetName val="Polonia"/>
      <sheetName val="USA"/>
      <sheetName val="Myanmar"/>
      <sheetName val="Bielorrusia"/>
      <sheetName val="India"/>
      <sheetName val="Grafico"/>
      <sheetName val="Grafico de o.c.(2007 a 2018)"/>
      <sheetName val="T.Dinam.(U$S)"/>
      <sheetName val="T.Dinam.(promedio adel.-atraso)"/>
      <sheetName val="T.Dinam.(Suma PO en termino)"/>
      <sheetName val="Hoja2"/>
    </sheetNames>
    <sheetDataSet>
      <sheetData sheetId="0">
        <row r="3">
          <cell r="P3" t="str">
            <v>Adelanto/Atraso</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ro, Veronica Fernanda" refreshedDate="45427.615463194445" createdVersion="7" refreshedVersion="8" minRefreshableVersion="3" recordCount="1417" xr:uid="{4C0552B7-D6F7-4551-916E-A47B34B97552}">
  <cacheSource type="worksheet">
    <worksheetSource ref="A65:W1481" sheet="Grafico de o.c.(2007 a 2024)"/>
  </cacheSource>
  <cacheFields count="23">
    <cacheField name="AÑO" numFmtId="0">
      <sharedItems containsSemiMixedTypes="0" containsString="0" containsNumber="1" containsInteger="1" minValue="2007" maxValue="2023" count="17">
        <n v="2007"/>
        <n v="2008"/>
        <n v="2009"/>
        <n v="2010"/>
        <n v="2011"/>
        <n v="2012"/>
        <n v="2013"/>
        <n v="2014"/>
        <n v="2015"/>
        <n v="2016"/>
        <n v="2017"/>
        <n v="2018"/>
        <n v="2019"/>
        <n v="2020"/>
        <n v="2021"/>
        <n v="2022"/>
        <n v="2023"/>
      </sharedItems>
    </cacheField>
    <cacheField name="AÑO2" numFmtId="0">
      <sharedItems containsSemiMixedTypes="0" containsString="0" containsNumber="1" containsInteger="1" minValue="2007" maxValue="2023" count="17">
        <n v="2007"/>
        <n v="2008"/>
        <n v="2009"/>
        <n v="2010"/>
        <n v="2011"/>
        <n v="2012"/>
        <n v="2013"/>
        <n v="2014"/>
        <n v="2015"/>
        <n v="2016"/>
        <n v="2017"/>
        <n v="2018"/>
        <n v="2019"/>
        <n v="2020"/>
        <n v="2021"/>
        <n v="2022"/>
        <n v="2023"/>
      </sharedItems>
    </cacheField>
    <cacheField name="PAIS" numFmtId="0">
      <sharedItems count="21">
        <s v="BRASIL"/>
        <s v="COLOMBIA"/>
        <s v="VENEZUELA"/>
        <s v="ECUADOR"/>
        <s v="PERU"/>
        <s v="TRINIDAD"/>
        <s v="INDONESIA"/>
        <s v="ESPAÑA"/>
        <s v="BOLIVIA"/>
        <s v="POLONIA"/>
        <s v="CHILE"/>
        <s v="ARGENTINA"/>
        <s v="EGIPTO"/>
        <s v="MEXICO"/>
        <s v="AUSTRIA"/>
        <s v="PANAMA"/>
        <s v="USA"/>
        <s v="ARGELIA"/>
        <s v="TURQUIA"/>
        <s v="  "/>
        <s v="BIELORUSIA"/>
      </sharedItems>
    </cacheField>
    <cacheField name="CLIENTE" numFmtId="0">
      <sharedItems count="56">
        <s v="BOLLAND DO BRASIL"/>
        <s v="PETROBRAS"/>
        <s v="PETROINGENIERIA"/>
        <s v="BOLLAND DE VENEZUELA"/>
        <s v="TECPECUADOR"/>
        <s v="PETROBRAS DEL PERU"/>
        <s v="PETROMONT"/>
        <s v="IAL"/>
        <s v="PT. SURITAMA"/>
        <s v="SURITAMA"/>
        <s v="REPSOL"/>
        <s v="MANSAROVAR"/>
        <s v="ECOPETROL"/>
        <s v="BOLLAND DE BOLIVIA"/>
        <s v="UNIPETRO"/>
        <s v="EUROTECH"/>
        <s v="GEOPARK"/>
        <s v="ABS SAC"/>
        <s v="ENAP"/>
        <s v="ECO-LIFT"/>
        <s v="UNICO SALES"/>
        <s v="APACHE"/>
        <s v="PT. INTERDRIL"/>
        <s v="TECPETROL"/>
        <s v="SERMEPET"/>
        <s v="PDVSA"/>
        <s v="PETRORECONCAVO"/>
        <s v="PT PRO ENERGY OILFIELD"/>
        <s v="BOSS Services"/>
        <s v="AF TRADING GMBH"/>
        <s v="PAN AMERICAN ENERGY"/>
        <s v="CARIBBEAN TECHNICAL "/>
        <s v="PRODUCTION ASSOCIATION BELORUSNEFT"/>
        <s v="OIL PARTS SUPPLY"/>
        <s v="ADVANCED PRODUCTS SUPPLY LLC."/>
        <s v="PT.PETRO ENERGY OILFIELD"/>
        <s v="EXIGRESS S.L.U."/>
        <s v="PARDALISERVICES S:A."/>
        <s v="TECPECUADOR "/>
        <s v="BLACK GOLD PUMP &amp; SUPPLY INC"/>
        <s v="ASOCIACION SMC DEL ECUADOR"/>
        <s v="OXY"/>
        <s v="ECOPETROL AMERICA"/>
        <s v="PETROBRAS AMERICA"/>
        <s v="TECPECUADOR S.A."/>
        <s v="QUALIFY"/>
        <s v="CV. HARAPAN JAYA"/>
        <s v="AGROILECOM"/>
        <s v="CEDIQUIM"/>
        <s v="PECOM DE COLOMBIA"/>
        <s v="UNICO"/>
        <s v="BELORUSNEFT"/>
        <s v="PECOM DO BRASIL"/>
        <s v="PT. BRANKY BUMIASRI"/>
        <s v="CV. GLOBAL INTERNATIONAL SERVICE"/>
        <s v="NORTH AMERICAN TRADE CORPORATION (NORAMCO)" u="1"/>
      </sharedItems>
    </cacheField>
    <cacheField name="Nº Ref." numFmtId="16">
      <sharedItems containsBlank="1"/>
    </cacheField>
    <cacheField name="N° DE CONTRATO" numFmtId="0">
      <sharedItems containsBlank="1" containsMixedTypes="1" containsNumber="1" containsInteger="1" minValue="3710" maxValue="63000016929"/>
    </cacheField>
    <cacheField name="O.C. Nº" numFmtId="0">
      <sharedItems containsBlank="1" containsMixedTypes="1" containsNumber="1" containsInteger="1" minValue="58" maxValue="63000015850" count="1311">
        <n v="7010001"/>
        <n v="4500014635"/>
        <n v="7010003"/>
        <n v="6110001"/>
        <n v="4500014736"/>
        <n v="6120003"/>
        <n v="7010005"/>
        <n v="7020001"/>
        <n v="4501396608"/>
        <n v="4501405029"/>
        <n v="4501459714"/>
        <n v="7040001"/>
        <n v="7040004"/>
        <n v="4501529732"/>
        <n v="4501522021"/>
        <n v="4501490413"/>
        <n v="4501496480"/>
        <n v="4501507591"/>
        <n v="7060001"/>
        <n v="7050005"/>
        <n v="7070001"/>
        <n v="4501539152"/>
        <n v="4501547359"/>
        <n v="4501578323"/>
        <n v="7040003"/>
        <n v="7050006"/>
        <n v="4501642732"/>
        <n v="4501516889"/>
        <n v="7050002"/>
        <n v="7070003"/>
        <n v="4501454521"/>
        <n v="4501659707"/>
        <n v="4501666150"/>
        <n v="4501637614"/>
        <n v="4501634870"/>
        <n v="7080003"/>
        <n v="7080004"/>
        <n v="7090001"/>
        <n v="7080002"/>
        <n v="7070005"/>
        <n v="7060005"/>
        <n v="7100002"/>
        <n v="4501590872"/>
        <n v="4501693931"/>
        <n v="7060004"/>
        <n v="7080001"/>
        <n v="7090002"/>
        <n v="4501656095"/>
        <n v="7080005"/>
        <n v="4501741667"/>
        <n v="4501743373"/>
        <n v="4501681660"/>
        <n v="4501856775"/>
        <n v="4501808848"/>
        <n v="4501806419"/>
        <n v="4501844821"/>
        <n v="4501596029"/>
        <n v="4501787104"/>
        <n v="7110001"/>
        <s v="002-07"/>
        <s v="A-7009846"/>
        <s v="A-7009887"/>
        <s v="A-7009896"/>
        <s v="A-7009920"/>
        <s v="A-7009925"/>
        <s v="A-7009992"/>
        <n v="15502583"/>
        <n v="15502612"/>
        <s v="15-502.803"/>
        <s v="6900120 XI"/>
        <s v="6900117 XI"/>
        <s v="L000000068"/>
        <n v="6704"/>
        <n v="7143"/>
        <n v="8015"/>
        <n v="11163"/>
        <n v="11897"/>
        <s v="018/SAP-PO/XI/06"/>
        <s v="07/SAP-PO/V/06"/>
        <s v="05/SAP-PO/IV/06"/>
        <s v="OC-TFR-07017 REV 0"/>
        <s v="OC-TFR-07122 RV 1"/>
        <n v="4501846098"/>
        <n v="4501855333"/>
        <n v="4501859642"/>
        <n v="4501897770"/>
        <n v="4501860739"/>
        <n v="7100005"/>
        <n v="7100006"/>
        <n v="4501899330"/>
        <n v="4501907880"/>
        <n v="4501811011"/>
        <n v="4501763992"/>
        <n v="7120002"/>
        <n v="7120003"/>
        <n v="7120004"/>
        <n v="4501963332"/>
        <n v="4501963220"/>
        <n v="4502014045"/>
        <n v="4501713217"/>
        <n v="4502005604"/>
        <n v="4501694685"/>
        <n v="8030001"/>
        <n v="8030002"/>
        <n v="8030003"/>
        <n v="4502052850"/>
        <n v="4502052512"/>
        <n v="8040005"/>
        <n v="8040007"/>
        <n v="4502109297"/>
        <n v="8040006"/>
        <n v="8040008"/>
        <n v="8050001"/>
        <n v="8060001"/>
        <n v="4501617268"/>
        <n v="4502104393"/>
        <n v="4502088373"/>
        <n v="4502203191"/>
        <n v="4502096896"/>
        <n v="4502192438"/>
        <n v="4502238480"/>
        <n v="4502230678"/>
        <n v="4502238723"/>
        <n v="8060003"/>
        <n v="4502269915"/>
        <n v="4502238609"/>
        <n v="8060002"/>
        <n v="4502292490"/>
        <n v="8080002"/>
        <n v="8070006"/>
        <n v="8080007"/>
        <n v="80800012"/>
        <n v="8080008"/>
        <n v="8090001"/>
        <n v="4502269931"/>
        <n v="4502410200"/>
        <n v="8100001"/>
        <n v="8060004"/>
        <n v="8090002"/>
        <n v="8110003"/>
        <n v="8100004"/>
        <n v="8110002"/>
        <s v="23-FOR080499"/>
        <n v="547765"/>
        <s v="23-FOR080516"/>
        <s v="007-08"/>
        <s v="008-08"/>
        <s v="23-FOR080701"/>
        <s v="A-7010012"/>
        <s v="A-7010010"/>
        <s v="A-7010035"/>
        <s v="A-7010059"/>
        <s v="A-7010046"/>
        <s v="A-7010092"/>
        <s v="A-7010057"/>
        <s v="A-7010080"/>
        <s v="A-7010118"/>
        <n v="8020001"/>
        <n v="8110004"/>
        <s v="15-502.994"/>
        <s v="L000000159"/>
        <n v="563"/>
        <s v="8900046 XI"/>
        <s v="8900061 XI"/>
        <s v="8900064 XI"/>
        <n v="12194"/>
        <n v="12443"/>
        <n v="12894"/>
        <n v="16776"/>
        <s v="21/SAP-PO/X/08"/>
        <s v="8ES476"/>
        <s v="OC-TFR-07138 RV 0"/>
        <s v="OC-TFR-08029-Rev 0"/>
        <s v="GCN-080079-11"/>
        <n v="4502551591"/>
        <n v="4502580769"/>
        <n v="8110005"/>
        <n v="8110007"/>
        <n v="8120001"/>
        <n v="4502612785"/>
        <n v="4502621321"/>
        <n v="8120002"/>
        <n v="9010001"/>
        <n v="9010004"/>
        <n v="9010002"/>
        <n v="4502588769"/>
        <n v="4502669845"/>
        <n v="9010003"/>
        <n v="9020001"/>
        <n v="9020003"/>
        <n v="9020002"/>
        <n v="9020004"/>
        <n v="4502674268"/>
        <n v="9030001"/>
        <n v="9030002"/>
        <n v="9030003"/>
        <n v="4502785695"/>
        <n v="4502786186"/>
        <n v="4502719981"/>
        <n v="4502746887"/>
        <n v="9040001"/>
        <n v="9040002"/>
        <n v="9050002"/>
        <n v="9050004"/>
        <n v="9060001"/>
        <n v="4502807517"/>
        <n v="4502799307"/>
        <n v="4502833270"/>
        <n v="9060002"/>
        <n v="9070001"/>
        <n v="9070002"/>
        <n v="4502847225"/>
        <n v="4502882699"/>
        <n v="4502910324"/>
        <n v="4502894363"/>
        <n v="9070003"/>
        <n v="4502907841"/>
        <n v="9080001"/>
        <n v="9090001"/>
        <n v="9090002"/>
        <n v="9090003"/>
        <n v="9090005"/>
        <n v="9100003"/>
        <n v="9110002"/>
        <n v="4502938227"/>
        <n v="4502989908"/>
        <n v="4503055538"/>
        <n v="4503026206"/>
        <n v="4503017267"/>
        <n v="555025"/>
        <n v="559237"/>
        <n v="559529"/>
        <n v="560104"/>
        <s v="A-7010117"/>
        <s v="A-7010157"/>
        <s v="A-7010189"/>
        <s v="15-503.217"/>
        <s v="ABS-OC/0124/09"/>
        <s v="ABS-OC/0123/09"/>
        <s v="ABS-OC/0126/09"/>
        <n v="20697"/>
        <n v="21315"/>
        <n v="21582"/>
        <n v="21855"/>
        <n v="22317"/>
        <n v="22092"/>
        <s v="05/SAP-PO/II/09-B"/>
        <s v="08/SAP-PO/VI/09"/>
        <s v="OC-TFR-09031-Rev 0"/>
        <s v="GCN-090120-01"/>
        <n v="4500087655"/>
        <s v="GCN-090165-02"/>
        <s v="GCN-090204-01"/>
        <n v="70905"/>
        <s v="001-2009"/>
        <s v="0018009"/>
        <s v="0025009"/>
        <s v="0042009"/>
        <s v="0038009"/>
        <s v="DHP 005-10"/>
        <s v="DHP 004-10"/>
        <s v="DHP 006-10"/>
        <n v="4500098530"/>
        <s v="GCN-100088-01"/>
        <s v="GCN-100116-01"/>
        <s v="GCN-100218-01"/>
        <s v="CH 0022"/>
        <s v="GCN-100223-03"/>
        <s v="GCN-100283-01"/>
        <s v="GCN-100281-02"/>
        <s v="GCN-100281-04"/>
        <s v="GCN-100281-01"/>
        <n v="4500105386"/>
        <s v="GCN-100356-03"/>
        <s v="GCN-100388-01"/>
        <s v="11/SAP-PO/XII/09"/>
        <s v="M10LL0006B"/>
        <n v="23806"/>
        <n v="25331"/>
        <n v="26637"/>
        <n v="26664"/>
        <s v="60-500.133"/>
        <s v="ABS-OC/00132/10"/>
        <s v="2010-SMPT0012"/>
        <s v="ABS-OC/00143/10"/>
        <s v="15-503-332"/>
        <s v="15-503.469"/>
        <n v="5100079669"/>
        <s v="001-10"/>
        <n v="566860"/>
        <n v="566859"/>
        <n v="567402"/>
        <n v="570305"/>
        <n v="571190"/>
        <s v="013-10"/>
        <n v="571875"/>
        <n v="572204"/>
        <n v="572325"/>
        <n v="572491"/>
        <n v="572751"/>
        <s v="016-10"/>
        <n v="901494"/>
        <n v="4503079889"/>
        <n v="9110004"/>
        <n v="9110005"/>
        <n v="9120004"/>
        <n v="9120003"/>
        <n v="9120005"/>
        <n v="4503132079"/>
        <n v="4503167935"/>
        <n v="4503217893"/>
        <n v="4503157055"/>
        <n v="4503163525"/>
        <n v="4503163903"/>
        <n v="10010001"/>
        <n v="4503170525"/>
        <n v="4503225560"/>
        <n v="4503218391"/>
        <n v="4503175847"/>
        <n v="4503185608"/>
        <n v="10030006"/>
        <n v="4503212658"/>
        <n v="4503211781"/>
        <n v="4503242139"/>
        <n v="4503262521"/>
        <n v="4503264751"/>
        <n v="4503247955"/>
        <n v="10030002"/>
        <n v="4503241771"/>
        <n v="4503242729"/>
        <n v="4503298114"/>
        <n v="4503356683"/>
        <n v="4503303628"/>
        <n v="4503297747"/>
        <n v="4503303970"/>
        <n v="4503263108"/>
        <n v="4503295465"/>
        <n v="4503364502"/>
        <n v="4503355959"/>
        <n v="10060003"/>
        <n v="4503355054"/>
        <n v="4503392098"/>
        <n v="10060002"/>
        <n v="4503348906"/>
        <n v="4503396159"/>
        <n v="4503347758"/>
        <n v="10060001"/>
        <n v="4503472448"/>
        <n v="10070003"/>
        <n v="10080003"/>
        <n v="10080005"/>
        <n v="10080007"/>
        <n v="10080008"/>
        <n v="4503467159"/>
        <n v="10080001"/>
        <n v="10080002"/>
        <n v="10080006"/>
        <n v="10090004"/>
        <n v="4503395755"/>
        <n v="4503509077"/>
        <n v="4503526313"/>
        <n v="10080009"/>
        <n v="10090001"/>
        <n v="10090003"/>
        <n v="10100001"/>
        <n v="4503515666"/>
        <n v="4503530149"/>
        <n v="4503554481"/>
        <n v="4503637826"/>
        <n v="4503486424"/>
        <n v="10100002"/>
        <n v="10100003"/>
        <n v="4503569658"/>
        <n v="4503573607"/>
        <n v="4503574018"/>
        <n v="4503593969"/>
        <n v="4503574015"/>
        <n v="4503628384"/>
        <n v="4503565941"/>
        <n v="4503562781"/>
        <s v="DHP-001-11"/>
        <s v="DHP-002-11"/>
        <s v="DHP-006-11"/>
        <s v="DHP-003-11"/>
        <s v="DHP-004-11"/>
        <s v="DHP-007-11"/>
        <s v="GCN-100510-01"/>
        <s v="GCN-110050-01"/>
        <n v="4500115710"/>
        <s v="GCN-110121-01"/>
        <s v="GCN-110092-02-03"/>
        <n v="4500125351"/>
        <s v="GCN-110302-03"/>
        <s v="GCN-110335-02"/>
        <s v="OC-HMD-TFR-10-0161"/>
        <s v="OC-HMD-TFR-14-079"/>
        <s v="057-HJ/PO~PUR/V-11"/>
        <n v="28439"/>
        <n v="29659"/>
        <n v="30522"/>
        <n v="31033"/>
        <n v="31810"/>
        <n v="31914"/>
        <s v="00101 - Rev. 2"/>
        <s v="A-70102038"/>
        <n v="576464"/>
        <n v="576524"/>
        <n v="577329"/>
        <n v="577308"/>
        <n v="580809"/>
        <n v="580254"/>
        <s v="009-11"/>
        <s v="0010-11"/>
        <n v="583156"/>
        <s v="AFPO-061REV1-10"/>
        <n v="4503638766"/>
        <n v="4503654317"/>
        <n v="4503611607"/>
        <n v="4503617897"/>
        <n v="4503662928"/>
        <n v="4503664715"/>
        <n v="4503654780"/>
        <n v="4503677277"/>
        <n v="10120006"/>
        <n v="4503676701"/>
        <n v="4503674111"/>
        <n v="4503733767"/>
        <n v="4503754192"/>
        <n v="4503743280"/>
        <n v="4503730005"/>
        <n v="4503753542"/>
        <n v="4503761058"/>
        <n v="4503652090"/>
        <n v="4503651848"/>
        <n v="4503672511"/>
        <n v="10110003"/>
        <n v="11010004"/>
        <n v="11010003"/>
        <n v="4503762812"/>
        <n v="4503745529"/>
        <n v="4503760256"/>
        <n v="4503772263"/>
        <n v="4503775523"/>
        <n v="4503792730"/>
        <n v="4503873625"/>
        <n v="4503838605"/>
        <n v="4503810971"/>
        <n v="4503874503"/>
        <n v="4503839892"/>
        <n v="4503847224"/>
        <n v="4503914909"/>
        <n v="4503917573"/>
        <n v="4503888605"/>
        <n v="4503913679"/>
        <n v="4503876705"/>
        <n v="4503957463"/>
        <n v="4503933482"/>
        <n v="4503957801"/>
        <n v="4503950764"/>
        <n v="4504009199"/>
        <n v="4504012323"/>
        <n v="4504000218"/>
        <n v="4504013128"/>
        <n v="4504059481"/>
        <n v="4504059534"/>
        <n v="10110001"/>
        <n v="10110002"/>
        <n v="10120002"/>
        <n v="11010005"/>
        <n v="11020001"/>
        <n v="11030001"/>
        <n v="11050003"/>
        <n v="4503928185"/>
        <n v="11050001"/>
        <n v="1105002"/>
        <n v="11050004"/>
        <n v="4503966260"/>
        <n v="11060002"/>
        <n v="11060001"/>
        <n v="11060004"/>
        <n v="11060006"/>
        <n v="4503874833"/>
        <n v="11070001"/>
        <n v="4504056478"/>
        <n v="4504063809"/>
        <n v="4504063788"/>
        <n v="4504069852"/>
        <n v="11090003"/>
        <n v="4500130752"/>
        <n v="4100000132"/>
        <s v="GCN-120140-01"/>
        <s v="GCN-120047-01"/>
        <s v="GCN-120233-01"/>
        <s v="GCN-120233-02"/>
        <s v="GCN-120257-01"/>
        <s v="GCN-120252-01"/>
        <s v="GCN-120418-02"/>
        <s v="GCN-120473-02"/>
        <s v="GCN-120527-01"/>
        <s v="15-503.877"/>
        <s v="15-503.778/2"/>
        <s v="15-503.806"/>
        <s v="15-503.807"/>
        <s v="09-AA00598-08"/>
        <n v="652"/>
        <s v="690-REV 1"/>
        <s v="004-12"/>
        <n v="585503"/>
        <n v="587841"/>
        <s v="006-12"/>
        <n v="589425"/>
        <n v="590201"/>
        <n v="590467"/>
        <n v="594956"/>
        <s v="23-FOR121942"/>
        <n v="4504281782"/>
        <n v="4504215219"/>
        <n v="4504280688"/>
        <n v="4504260545"/>
        <n v="4504295403"/>
        <n v="4504342857"/>
        <n v="4504350564"/>
        <n v="4504258057"/>
        <n v="11090004"/>
        <n v="4504299934"/>
        <n v="4504300133"/>
        <n v="4504201444"/>
        <n v="12010001"/>
        <n v="4504399498"/>
        <n v="4504405493"/>
        <n v="12010004"/>
        <n v="4504259782"/>
        <n v="4504335529"/>
        <m/>
        <n v="12030001"/>
        <n v="4504360897"/>
        <n v="4504389854"/>
        <n v="12010003"/>
        <n v="12040001"/>
        <n v="4504468219"/>
        <n v="4504468252"/>
        <n v="4504409504"/>
        <n v="4504510548"/>
        <n v="4504418029"/>
        <n v="4504423609"/>
        <n v="4504420567"/>
        <n v="4504510526"/>
        <n v="12040002"/>
        <n v="4504490497"/>
        <n v="4504577513"/>
        <n v="4504477780"/>
        <n v="4504526736"/>
        <n v="4504529610"/>
        <n v="4504537991"/>
        <n v="4504520553"/>
        <n v="4504416314"/>
        <n v="4504632674"/>
        <n v="4504634287"/>
        <n v="4504562842"/>
        <n v="12050001"/>
        <n v="4504595983"/>
        <n v="4504626554"/>
        <n v="4504686764"/>
        <n v="4504688123"/>
        <n v="4504638657"/>
        <n v="4504602618"/>
        <n v="4504684963"/>
        <n v="4504599619"/>
        <n v="4504744514"/>
        <n v="4504688111"/>
        <n v="4504741736"/>
        <n v="4504747839"/>
        <n v="4504709231"/>
        <n v="4504701133"/>
        <n v="4504800893"/>
        <n v="4504800897"/>
        <n v="4504801403"/>
        <n v="4504739652"/>
        <n v="12070002"/>
        <n v="4504866905"/>
        <n v="12100002"/>
        <n v="12100003"/>
        <n v="12110001"/>
        <s v="W. Petroleo 4288"/>
        <n v="12070001"/>
        <n v="12080001"/>
        <n v="4504800908"/>
        <n v="12080005"/>
        <n v="4504812512"/>
        <n v="4504790083"/>
        <n v="4504859962"/>
        <n v="4504850644"/>
        <n v="4504866922"/>
        <n v="4504866506"/>
        <n v="4504885210"/>
        <n v="4504865460"/>
        <n v="4504920792"/>
        <n v="4504919843"/>
        <n v="4504923231"/>
        <n v="450924095"/>
        <n v="4504924098"/>
        <n v="4504931635"/>
        <n v="4504944370"/>
        <n v="4504991260"/>
        <n v="4504997760"/>
        <s v="1206071-1"/>
        <s v="DHSRP-002-013"/>
        <s v="DHSRP-001-013"/>
        <s v="DHSRP-003-013"/>
        <s v="DHSRP-004-013"/>
        <n v="4500150887"/>
        <s v="GCN 130027-03"/>
        <n v="4500150870"/>
        <s v="TFN-130033-01"/>
        <s v="GCN 130027-02"/>
        <n v="4500152323"/>
        <s v="GCN 130208-01"/>
        <n v="4500153022"/>
        <n v="4500155785"/>
        <s v="GCN 130200-01"/>
        <s v="GCN 130294-01"/>
        <s v="GCN 130346-01"/>
        <s v="GCN 130346-02"/>
        <n v="4500162329"/>
        <n v="4500163249"/>
        <n v="4500167343"/>
        <s v="OC-HMD-TFR-13-032"/>
        <s v="118-PEO"/>
        <n v="39628"/>
        <n v="40756"/>
        <s v="0010-2013"/>
        <n v="30500204"/>
        <s v="15-504.326"/>
        <s v="A-70102074"/>
        <n v="596770"/>
        <n v="598214"/>
        <n v="598085"/>
        <s v="004-13"/>
        <n v="599853"/>
        <n v="605815"/>
        <s v="014-13"/>
        <n v="4504927792"/>
        <n v="4504866162"/>
        <n v="4504982682"/>
        <n v="4504985237"/>
        <n v="4504990841"/>
        <n v="4504985247"/>
        <n v="4505047030"/>
        <n v="4505047049"/>
        <n v="4505050417"/>
        <n v="4505029595"/>
        <n v="12120003"/>
        <n v="4505040789"/>
        <n v="4505046249"/>
        <n v="4505080725"/>
        <n v="4505085965"/>
        <n v="4504987797"/>
        <n v="4505021824"/>
        <n v="4505080380"/>
        <n v="13010003"/>
        <n v="13010007"/>
        <n v="4505091104"/>
        <n v="4505080384"/>
        <n v="4505063317"/>
        <n v="4505093404"/>
        <n v="4505143661"/>
        <n v="4505146004"/>
        <n v="4505155241"/>
        <n v="4505165743"/>
        <n v="4505169037"/>
        <n v="4505178234"/>
        <n v="4505178228"/>
        <n v="4505234922"/>
        <n v="13060001"/>
        <n v="13060002"/>
        <n v="4505224873"/>
        <n v="4505821206"/>
        <n v="4505224017"/>
        <n v="4505287421"/>
        <n v="4505209618"/>
        <n v="4505252429"/>
        <n v="4505256281"/>
        <n v="4505274789"/>
        <n v="13040003"/>
        <n v="13080002"/>
        <n v="4505335308"/>
        <n v="4505374398"/>
        <n v="4505335319"/>
        <n v="4505347399"/>
        <n v="4505322332"/>
        <n v="4505358867"/>
        <n v="4505255013"/>
        <n v="4505381868"/>
        <n v="4505430361"/>
        <n v="4505401052"/>
        <n v="4505410772"/>
        <n v="4505406649"/>
        <n v="4505441738"/>
        <n v="13080004"/>
        <n v="13090002"/>
        <n v="4505441664"/>
        <n v="4505458529"/>
        <n v="13090003"/>
        <n v="4505463336"/>
        <n v="4505513159"/>
        <n v="4505519888"/>
        <n v="4505519905"/>
        <n v="4505517992"/>
        <n v="13090001"/>
        <n v="13090004"/>
        <n v="13100002"/>
        <n v="13110003"/>
        <s v="1206071-2"/>
        <s v="AFPO-030-14"/>
        <s v="DHSRP-005-013"/>
        <s v="DHSRP-003-014"/>
        <s v="GCN 130451-05"/>
        <s v="GCN 130493-01"/>
        <s v="GCN 130451-07"/>
        <n v="4500172539"/>
        <s v="GCN 140075-01"/>
        <n v="4500172425"/>
        <n v="4500175118"/>
        <n v="4500175670"/>
        <n v="4500178592"/>
        <s v="GCN 140157-02"/>
        <n v="4500184965"/>
        <s v="GCN 140255-01"/>
        <s v="TFN-140167-01"/>
        <s v="GCN-140240-01"/>
        <n v="47956"/>
        <s v="15-504.462"/>
        <s v="15-504.664"/>
        <n v="14060001"/>
        <n v="609441"/>
        <n v="610290"/>
        <n v="610276"/>
        <n v="610935"/>
        <s v="002-14"/>
        <n v="612453"/>
        <n v="612456"/>
        <s v="003-14"/>
        <n v="615971"/>
        <n v="13110004"/>
        <n v="13120003"/>
        <n v="4505574988"/>
        <n v="4505616874"/>
        <n v="4505610330"/>
        <n v="4505581395"/>
        <n v="4505590387"/>
        <n v="13120005"/>
        <n v="4505564697"/>
        <n v="13120002"/>
        <n v="14010002"/>
        <n v="4505720410"/>
        <n v="4505695791"/>
        <n v="4505730798"/>
        <n v="4505745074"/>
        <n v="4505614164"/>
        <n v="4505682601"/>
        <n v="4505735045"/>
        <n v="4505722942"/>
        <n v="4505698493"/>
        <n v="4505745202"/>
        <n v="4505678524"/>
        <n v="4505736102"/>
        <n v="4505745759"/>
        <n v="4505744008"/>
        <n v="14050002"/>
        <n v="14060002"/>
        <n v="14080003"/>
        <n v="14080005"/>
        <n v="14100002"/>
        <n v="14100003"/>
        <n v="14110003"/>
        <s v="1206071-3"/>
        <n v="9624"/>
        <s v="DHSRP-004-014"/>
        <n v="53318"/>
        <n v="4500189520"/>
        <n v="4500193625"/>
        <n v="4200000007"/>
        <n v="4500198522"/>
        <n v="4500199665"/>
        <n v="4500201391"/>
        <n v="4500202576"/>
        <n v="4500202978"/>
        <n v="4500000015"/>
        <n v="4500205613"/>
        <n v="4500207147"/>
        <s v="AS2000332"/>
        <n v="619830"/>
        <n v="63000009989"/>
        <s v="004-15"/>
        <n v="620399"/>
        <s v="011/15"/>
        <n v="30002007"/>
        <n v="4100593573"/>
        <n v="4100594376"/>
        <n v="14110004"/>
        <n v="15010001"/>
        <n v="14120001"/>
        <n v="15010003"/>
        <n v="15010004"/>
        <n v="15020002"/>
        <n v="15020001"/>
        <n v="15030001"/>
        <n v="15040001"/>
        <n v="15050001"/>
        <n v="15050002"/>
        <n v="38536"/>
        <n v="15050004"/>
        <n v="15050003"/>
        <n v="15050005"/>
        <n v="15060001"/>
        <n v="15060002"/>
        <n v="15060004"/>
        <n v="15060003"/>
        <n v="15060005"/>
        <n v="15060006"/>
        <n v="15060007"/>
        <n v="15070002"/>
        <n v="15080002"/>
        <n v="15090003"/>
        <n v="15100001"/>
        <n v="15120001"/>
        <n v="15120002"/>
        <n v="16030006"/>
        <n v="16030002"/>
        <n v="16030003"/>
        <n v="16030004"/>
        <n v="16030005"/>
        <n v="16030001"/>
        <n v="16050001"/>
        <s v="004-16"/>
        <s v="005-16"/>
        <n v="57423"/>
        <n v="57274"/>
        <n v="16060001"/>
        <n v="63000012492"/>
        <s v="007-16"/>
        <s v="15-505.118"/>
        <n v="4500222913"/>
        <n v="4500222257"/>
        <n v="16090001"/>
        <s v="008-16"/>
        <s v="009-16"/>
        <s v="012-16"/>
        <s v="010-16"/>
        <s v="011-16"/>
        <n v="63000012899"/>
        <s v="002-17"/>
        <n v="30002541"/>
        <s v="003-17"/>
        <s v="004-17"/>
        <s v="005-17"/>
        <n v="30002587"/>
        <n v="30002586"/>
        <s v="006-17"/>
        <s v="007-17"/>
        <s v="008-17"/>
        <s v="009-17"/>
        <s v="010-17"/>
        <s v="011-17"/>
        <s v="012-17"/>
        <s v="013-17"/>
        <n v="17010001"/>
        <n v="17020001"/>
        <n v="17030001"/>
        <n v="17060001"/>
        <n v="17070002"/>
        <n v="17070001"/>
        <n v="17080001"/>
        <n v="17080003"/>
        <n v="17080004"/>
        <n v="17100001"/>
        <n v="17100002"/>
        <n v="17100003"/>
        <n v="17100005"/>
        <n v="17110001"/>
        <n v="4500234712"/>
        <n v="4500235319"/>
        <n v="4500238884"/>
        <n v="4200000059"/>
        <n v="4200000071"/>
        <s v="SB004/17"/>
        <n v="62720"/>
        <n v="62998"/>
        <s v="198-PEO/PO/PURCH/III-2017"/>
        <n v="18010001"/>
        <s v="18010002 (4508140892)"/>
        <n v="18020001"/>
        <n v="18020002"/>
        <s v="18030001 (4508223640)"/>
        <n v="18040001"/>
        <s v="18040002(4508256012)"/>
        <s v="18050002 (4508317910)"/>
        <s v="18050001 (4508280149)"/>
        <s v="18050003 (4508335354)"/>
        <s v="18060001(4508337567)"/>
        <s v="18060005 (4508337567)"/>
        <s v="18060006 (4508337567)"/>
        <s v="18060002 (4508334616)"/>
        <s v="18060007 (4508334616)"/>
        <s v="18070001 (4508351042)"/>
        <s v="18070004 (4508346140)"/>
        <s v="18070005 (4508346140)"/>
        <s v="18070003 (4508351040)"/>
        <s v="18070008 (4508346143)"/>
        <s v="18060003 (4508386980)"/>
        <s v="18060004 (4508386980)"/>
        <s v="18070011 (4508476044)"/>
        <s v="18070010 (4508481182)"/>
        <s v="18070009 (4508506147)"/>
        <s v="18080001 (4508583772)"/>
        <s v="18080002 (4508583772)"/>
        <s v="18080003 (4508583772)"/>
        <s v="18080004 (4508574932)"/>
        <s v="18080005 (4508595390)"/>
        <s v="18080007 (4508583680)"/>
        <s v="18080006 (4508583682)"/>
        <s v="18090001 (4508584886)"/>
        <s v="18090002 (4508683380)"/>
        <s v="18090003 (4508661341)"/>
        <s v="18100002 (4508616751)"/>
        <s v="18100001 (4508708975)"/>
        <s v="18110001 (4508764770)"/>
        <s v="18110003 (4508787093)"/>
        <s v="015-17"/>
        <s v="016-17"/>
        <s v="001-18"/>
        <s v="002-18"/>
        <n v="63000015775"/>
        <s v="005-18"/>
        <s v="004-18"/>
        <s v="003-18"/>
        <n v="63000015850"/>
        <s v="006-18"/>
        <s v="008-18"/>
        <s v="007-18"/>
        <s v="009-18"/>
        <s v="010-18"/>
        <s v="011-18"/>
        <s v="003-19"/>
        <s v="013-18"/>
        <s v="015-18"/>
        <s v="15 505 430"/>
        <n v="58"/>
        <n v="66211"/>
        <n v="66483"/>
        <n v="66703"/>
        <n v="4200000082"/>
        <n v="420000096"/>
        <s v="18110002 (4508771520)"/>
        <s v="18110004 (4508796578)"/>
        <s v="18120001 (4508772224)"/>
        <n v="18120004"/>
        <s v="18120002 (4508850800)"/>
        <s v="18120003 (4508730953)"/>
        <s v="19010001 (4508917411)"/>
        <s v="19020001 (4508923410)"/>
        <s v="19020002 (4508989272)"/>
        <s v="19020004 (4509004566)"/>
        <s v="19030002 (4509007467)"/>
        <s v="19030003 (4509095899)"/>
        <s v="19030001 (4509022998)"/>
        <s v="19040001 (4509131560)"/>
        <s v="1904002 (4509136402)"/>
        <s v="19040003 (4509120205)"/>
        <s v="19040004 (4509134975)"/>
        <s v="19040005 (4509136256)"/>
        <s v="19050002 (4509199238)"/>
        <s v="19050004 (4509207174)"/>
        <s v="19050005 (4509207442)"/>
        <s v="19050007 (4509210958)"/>
        <s v="19050006 (4509207444)"/>
        <s v="19050008 (4509244208)"/>
        <s v="19050009 (4509246667)"/>
        <s v="19050010 (4509272435)"/>
        <s v="19050011 (4509272436)"/>
        <s v="19060001 (4509270348)"/>
        <s v="19060002 (4509278405)"/>
        <s v="19060003 (4509305860)"/>
        <s v="19070001 (4509410571)"/>
        <s v="19070003 (4509410578)"/>
        <s v="19070002 (4509410560)"/>
        <s v="19080001 (4509363467)"/>
        <s v="19080002 (4509363465)"/>
        <s v="19080006 (4509476060)"/>
        <s v="19080009 (4509469322)"/>
        <s v="19080007 (4509494058)"/>
        <s v="19080004 (4509505392)"/>
        <s v="19080005 (4509508802)"/>
        <s v="0919-000006 (4509545895)"/>
        <s v="0919-000007 (4509447269)"/>
        <s v="0919-000005 (4509541279)"/>
        <s v="0919-000003 (4509552652)"/>
        <s v="0919-000004 (4509528108)"/>
        <s v="0919-000002 (4509553689)"/>
        <s v="0919-000008 (4509583192)"/>
        <s v="0919-000011 (4509600054)"/>
        <s v="0919-000010 (4509600053)"/>
        <s v="1019-000001 (4509447268)"/>
        <s v="001-19"/>
        <s v="002-19"/>
        <s v="012-19"/>
        <s v="IMP 211/2019 (004-19)"/>
        <s v="IMP 212/2019 (005-19)"/>
        <s v="IMP 213/2019 (006-19)"/>
        <s v="IMP 214/2019 (007-19)"/>
        <s v="IMP 215/2019 (011-19)"/>
        <s v="IMP 216/2019 (004-19)"/>
        <s v="IMP 217/2019 (005-19)"/>
        <s v="IMP 218/2019 (007-19)"/>
        <s v="IMP 219/2019 (009-19)"/>
        <s v="IMP 220/2019 (010-19)"/>
        <s v="IMP 221/2019 (004-19)"/>
        <s v="IMP 227/2019 (004-19)"/>
        <s v="004-19"/>
        <s v="IMP 222/2019 (005-19)"/>
        <s v="IMP 223/2019 (007-19)"/>
        <s v="IMP 225/2019 (008-19)"/>
        <s v="IMP 226/2019 (013-19)"/>
        <s v="IMP 230/2019 (015-19)"/>
        <s v="IMP 233/2019 (017-19)"/>
        <s v="IMP 234/2019 (018-19)"/>
        <s v="IMP 229/2019 (019-19)"/>
        <n v="122"/>
        <n v="68836"/>
        <n v="4500271014"/>
        <n v="4500273958"/>
        <n v="4500274482"/>
        <n v="4200000135"/>
        <n v="4500276274"/>
        <n v="4200000131"/>
        <n v="4500280173"/>
        <n v="4200000150"/>
        <s v="0919-000009 (4509588874)"/>
        <s v="1119-000001 (4509700035)"/>
        <s v="1119-000002 (0290-2019)"/>
        <s v="1219-000003 (4509760981)"/>
        <s v="1219-000001 (4509757538)"/>
        <s v="1219-000002 (4509760969)"/>
        <s v="1219-000004 (4509791392)"/>
        <s v="1219-000005 (4509786769)"/>
        <s v="1219-000006 (4509763877)"/>
        <s v="1219-000007 (4509835517)"/>
        <s v="0120-000001 (4509881839)"/>
        <s v="0120-000002 (4509860207)"/>
        <s v="0220-000001 (4509938762)"/>
        <s v="0220-000002 (0061-2020)"/>
        <s v="0320-000003 (4510015631)"/>
        <s v="0320-000001 (4510028580)"/>
        <s v="0320-000002 (4510015630)"/>
        <s v="0320-000004 (4510034401)"/>
        <s v="0320-000005 (4510034402)"/>
        <s v="0320-000007 (4510071059)"/>
        <s v="0320-000006 (4510071035)"/>
        <s v="0320-000008 (4510066165)"/>
        <s v="0420-000001 (4510087913)"/>
        <s v="0620-000011 (4510182583)"/>
        <s v="0720-000032 (4510034402)"/>
        <s v="0820-000004 (4510015631)"/>
        <s v="0720-000019 (4510214122)"/>
        <s v="0720-000018 (4510231872)"/>
        <s v="0720-000017 (4510108743)"/>
        <s v="0720-000029 (4510273220)"/>
        <s v="0720-000049 (4510293370)"/>
        <s v="0720-000050 (4510293386)"/>
        <s v="0720-000052 (4510292958)"/>
        <s v="0720-000053 (4510292959)"/>
        <s v="0820-000010 (4510307114)"/>
        <s v="0820-000011 (4510301593)"/>
        <s v="0820-000012 (4510307115)"/>
        <s v="0820-000019 (4510016960/4509990985/4510013257/4509980757/4510041919/4510090274/4510031768)"/>
        <s v="0820-000028"/>
        <s v="0820-000034 (4510356191)"/>
        <s v="0820-000036 (4510356188)"/>
        <s v="0820-000037 (4510356190)"/>
        <s v="0820-000038 (4510356189)"/>
        <s v="0820-000042"/>
        <s v="0920-000001 (4510383182)"/>
        <s v="0920-000002 (4510374769)"/>
        <s v="0920-000023"/>
        <s v="1020-000032 (4510398580)"/>
        <s v="1020-000033 (4510410950)"/>
        <s v="1020-000034 (4510431625)"/>
        <s v="1020-000035 (4510463094)"/>
        <s v="1020-000040 (4510485574)"/>
        <s v="IMP 249/2019  (021-19)"/>
        <s v="IMP 246/2020 (017-19 y 002-20)"/>
        <s v="IMP 250/2020 (001-20)"/>
        <s v="IMP 255/2020 (003-20)"/>
        <s v="IMP 256/2020 (004-20)"/>
        <s v="IMP 257/2020 (005-20)"/>
        <s v=" IMP 258/2020 (006-20)"/>
        <s v="IMP 259/2020 (007-20)"/>
        <s v="IMP 260/2020 (008-20)"/>
        <s v="IMP 261/2020 (009-20)"/>
        <s v="IMP 262/2020 (010-20)"/>
        <s v="IMP 264/2020 (011-20) - LA CIRA Y CENTRO"/>
        <s v="IMP 265/2020 (012-20) - CANTAGALLO"/>
        <s v="IMP 266/2020 (013-20)"/>
        <s v="IMP 267/2020 (014-20)"/>
        <s v="IMP 268/2020 (015-20)"/>
        <s v="IMP 269/2020 (016-20)"/>
        <s v="IMP 270/2020 (017-20)"/>
        <n v="4200000156"/>
        <s v="DHPSP-00103/20"/>
        <s v="01628"/>
        <s v="1120-000002 (4510498753)"/>
        <s v="1120-000014 (4510471602)"/>
        <s v="1120-000040 (4510556207)"/>
        <s v="1120-000056 (4510575145)"/>
        <s v="1120-000063 (4510567661)"/>
        <s v="1220-000022 (4510562398)"/>
        <s v="1220-000021 (4510562397)"/>
        <s v="1220-000057 (281)"/>
        <s v="1220-000058 (283)"/>
        <s v="1220-000059 (284)"/>
        <s v="0221-000016 (4510450828)"/>
        <s v="1120-000055 (4510575136)"/>
        <s v="1220-000060 (4510590271)"/>
        <s v="0121-000012 (4510618341)"/>
        <s v="0121-000013 (4510640665)"/>
        <s v="0121-000014 (4510620943)"/>
        <s v="0121-000034 (451046311)"/>
        <s v="0121-000015 (4510673592)"/>
        <s v="0121-000016 (4510651844)"/>
        <s v="0121-000018 (4510677906)"/>
        <s v="0121-000035 (4510706324)"/>
        <s v="0221-000002 (4510722641)"/>
        <s v="0221-000001 (4510726227)"/>
        <s v="0221-000023 (4510741027)"/>
        <s v="0221-000024 (4510744316)"/>
        <s v="0221-000025 (4510744309)"/>
        <s v="0221-000026 (4510740952)"/>
        <s v="0221-000027 (4510744310)"/>
        <s v="0321-000041 (4510812652)"/>
        <s v="0321-000042 (4510812645)"/>
        <s v="0321-000049 (4510342602)"/>
        <s v="0421-000015"/>
        <s v="0421-000007 (4510829292)"/>
        <s v="0421-000008 (4510854005)"/>
        <s v="0421-000045 (4510910872)"/>
        <s v="0421-000070 (4510920375)"/>
        <s v="0421-000071 (4510920413)"/>
        <s v="0521-000053 (4510939689)"/>
        <s v="0521-000064 (4510917546)"/>
        <s v="0521-000065 (4510941685)"/>
        <s v="0521-000066 (4510915613)"/>
        <s v="0521-000069 (4510957412)"/>
        <s v="0521-000072 (4510963104)"/>
        <s v="0521-000138 (4510915615)"/>
        <s v="0521-000139 (4510970579)"/>
        <s v="0321-000050"/>
        <s v="0521-000040 (4510922783)"/>
        <s v="0521-000055 (4510939654)"/>
        <s v="0521-000056 (4510939690)"/>
        <s v="0521-000067 (4510914418)"/>
        <s v="0521-000068 (4510910883)"/>
        <s v="0521-000081 (4510958163)"/>
        <s v="0521-000162 (4510978588)"/>
        <s v="0521-000163"/>
        <s v="0621-000018 (4510995500)"/>
        <s v="0621-000019 (4510995477)"/>
        <s v="0721-000046 (4511076828)"/>
        <s v="0721-000047 (4511068854)"/>
        <s v="0721-000069 (4511095221)"/>
        <s v="0721-000157 (4511044405)"/>
        <s v="0721-000190 (4511134468)"/>
        <s v="0821-000085"/>
        <s v="0821-000092 (4511188771)"/>
        <s v="0821-000093 (4511189549)"/>
        <s v="0521-000054 (4510927172)"/>
        <s v="0821-000057"/>
        <s v="0821-000143 (4511200135)"/>
        <s v="0821-000170 (4511207882)"/>
        <s v="0821-000207 (4511213726)"/>
        <s v="0821-000238 (4511224267)"/>
        <s v="0921-000172 (4511263453)"/>
        <s v="0921-000171 (4511260944)"/>
        <s v="1021-000130 (4511333601)"/>
        <s v="IMP 272/2021 (001-21)"/>
        <s v="IMP 273/2021 (002-21) - CASABE"/>
        <s v="IMP 274/2021 (003-21)"/>
        <s v="IMP 275/2021 (004-21) - CASABE y CANTAGALLO"/>
        <s v="IMP 278/2021 (005-21) - LA CIRA"/>
        <s v="IMP 279/2021 (006-21) - LA CIRA"/>
        <s v="IMP 280/2021 (007-21) - LA CIRA"/>
        <s v="IMP 281/2021 (008-21) - LA CIRA"/>
        <s v="IMP 283/2021 (010-21) - MANSAROVAR"/>
        <s v="IMP 284/2021 (011-21) - LA CIRA"/>
        <s v="IMP 285/2021 (012-21)"/>
        <s v="IMP 286/2021 (013-21) "/>
        <s v="IMP 287/2021 (015-21) "/>
        <s v="IMP 287A/2021 (015A-21) "/>
        <s v="IMP 288/2021 (016-21) "/>
        <s v="INDHP-00402/21"/>
        <s v="1021-000180"/>
        <s v="1021-000230"/>
        <s v="1021-000228"/>
        <s v="1121-000121 (4511386940)"/>
        <s v="1121-000122 (4511402923)"/>
        <s v="1121-000123 (4511391013)"/>
        <s v="1121-000124 (4511394423)"/>
        <s v="1121-000154 (4511417169)"/>
        <s v="1121-000155 (4511419643)"/>
        <s v="1121-000139 (4511404213)"/>
        <s v="1121-000140 (4511406291)"/>
        <s v="1221-000067 (4511433548)"/>
        <s v="1221-000068 (4511430789)"/>
        <s v="1221-000069 (4511426199)"/>
        <s v="1221-000080 (4511436376)"/>
        <s v="1221-000108 (4511444863)"/>
        <s v="1221-000109 (4511456381)"/>
        <s v="1221-000159 (4511476896)"/>
        <s v="1221-000160 (4511473816)"/>
        <s v="0222-000158 (4511613957)"/>
        <s v="0222-000157 (4511604235)"/>
        <s v="0222-000177 (4511622805)"/>
        <s v="0322-000125 (4511629598)"/>
        <s v="0322-000172"/>
        <s v="0322-000173"/>
        <s v="1221-000278"/>
        <s v="0122-000081 (4511507818)"/>
        <s v="0122-000244 (4511573987)"/>
        <s v="0222-000156 (4511604056)"/>
        <s v="0222-000135 (4511394788)"/>
        <s v="0322-000126"/>
        <s v="0322-000133 (4511655835)"/>
        <s v="0322-000365 (4511689455)"/>
        <s v="0422-000105 (4511699836)"/>
        <s v="0422-000194"/>
        <s v="0422-000196 (4511733534)"/>
        <s v="0422-000210"/>
        <s v="0422-000213"/>
        <s v="0522-000007 (4511750879)"/>
        <s v="0522-000009(4511762080)"/>
        <s v="0522-000015 (4511762081)"/>
        <s v="0522-000018 (4511762082)"/>
        <s v="0522-000019 (4511762383)"/>
        <s v="0522-000020 (4511765600)"/>
        <s v="0722-000367"/>
        <s v="0822-000288 (100362)"/>
        <s v="0822-000360"/>
        <s v="IMP 289/2021 (017-21) "/>
        <s v="IMP 291/2022 (001-22) "/>
        <s v="004-22"/>
        <s v="IMP 294/2022 (002-22) "/>
        <s v="IMP 295/2022 (003-22) "/>
        <s v="IMP 297/2022 (005-22) "/>
        <s v="IMP 299/2022 (007-22) "/>
        <s v="IMP 300/2022 (008-22) "/>
        <s v="IMP 301/2022 (009-22) "/>
        <s v="4500569473 (IMP 302/2022 (010-22)) "/>
        <s v="4500575737 (011-22)"/>
        <s v="DHP-00409/22"/>
        <n v="84123"/>
        <n v="84332"/>
        <s v="2408/MERUAP-BBA/22"/>
        <s v="0223-000096 (4512348001)"/>
        <s v="0223-000097 (4512345453)"/>
        <s v="0223-000099 (4512311636)"/>
        <s v="0223-000220 (4512361880)"/>
        <s v="0223-000221 (4512355713)"/>
        <s v="0223-000223 (105810)"/>
        <s v="0223-000224 (102693)"/>
        <s v="0223-000138 (4512353193)"/>
        <s v="0323-000129 (101657)"/>
        <s v="0323-0000158 (4512400729)"/>
        <s v="0323-0000160 (4512417127)"/>
        <s v="0323-0000237 (1398)"/>
        <s v="0423-000213 (985090 CAR-MD-23-0097)"/>
        <s v="0323-000336"/>
        <s v="0423-000168 (870)"/>
        <s v="0423-000169 (869)"/>
        <s v="0523-000087 (4512511615)"/>
        <s v="0523-000088 (4512549453)"/>
        <s v="0523-000331 (4512598172)"/>
        <s v="0523-000425 (4512604295)"/>
        <s v="0523-000427 (4512608870)"/>
        <s v="0523-000495 (4512618526)"/>
        <s v="0523-000518 (4512624361)"/>
        <s v="0523-000556 (4512626719)"/>
        <s v="0523-000091 (1021)"/>
        <s v="0523-000555 (4512628781)"/>
        <s v="0623-000082 (101901)"/>
        <s v="0523-000036"/>
        <s v="0623-000463 (985090CAR-UP- 23-0051)"/>
        <s v="0623-000543 (985090CAR-MD-23-0113)"/>
        <s v="0623-000606 (1519)"/>
        <s v="0823-000107 (2483)"/>
        <s v="0823-000289 (1884)"/>
        <s v="0823-000762 (2387)"/>
        <s v="0823-000769 (1928)"/>
        <s v="0923-000551 (3117)"/>
        <s v="1123-000292"/>
        <s v="1123-000278"/>
        <s v="4500579182 (014-22)"/>
        <s v="4500584496 (001-23)"/>
        <s v="4500592079"/>
        <s v="4500592090 (002-23)"/>
        <s v="4500594921 (003-23)"/>
        <s v="4500597886 (004-23)"/>
        <s v="4500602775 (006-23)"/>
        <s v="4500608933 (005-23)"/>
        <s v="(2408/MERUAP-BBA/22)"/>
        <s v="0303/BWPM-GIS/23"/>
        <s v="DHPS-0011/23"/>
        <n v="77071" u="1"/>
      </sharedItems>
    </cacheField>
    <cacheField name="MONTO U$S" numFmtId="0">
      <sharedItems containsMixedTypes="1" containsNumber="1" minValue="8.42" maxValue="1552027.2"/>
    </cacheField>
    <cacheField name="FECHA O.C." numFmtId="14">
      <sharedItems containsSemiMixedTypes="0" containsNonDate="0" containsDate="1" containsString="0" minDate="2006-11-06T00:00:00" maxDate="2023-11-18T00:00:00" count="950">
        <d v="2007-01-03T00:00:00"/>
        <d v="2006-11-16T00:00:00"/>
        <d v="2007-01-04T00:00:00"/>
        <d v="2006-11-06T00:00:00"/>
        <d v="2006-11-29T00:00:00"/>
        <d v="2006-12-27T00:00:00"/>
        <d v="2007-01-29T00:00:00"/>
        <d v="2007-01-15T00:00:00"/>
        <d v="2007-01-19T00:00:00"/>
        <d v="2007-02-26T00:00:00"/>
        <d v="2007-04-12T00:00:00"/>
        <d v="2007-04-26T00:00:00"/>
        <d v="2007-04-10T00:00:00"/>
        <d v="2007-04-03T00:00:00"/>
        <d v="2007-03-15T00:00:00"/>
        <d v="2007-03-20T00:00:00"/>
        <d v="2007-03-28T00:00:00"/>
        <d v="2007-06-01T00:00:00"/>
        <d v="2007-05-08T00:00:00"/>
        <d v="2007-07-03T00:00:00"/>
        <d v="2007-04-17T00:00:00"/>
        <d v="2007-04-23T00:00:00"/>
        <d v="2007-05-09T00:00:00"/>
        <d v="2007-04-19T00:00:00"/>
        <d v="2007-05-22T00:00:00"/>
        <d v="2007-06-19T00:00:00"/>
        <d v="2007-03-30T00:00:00"/>
        <d v="2007-05-03T00:00:00"/>
        <d v="2007-07-11T00:00:00"/>
        <d v="2007-02-22T00:00:00"/>
        <d v="2007-06-28T00:00:00"/>
        <d v="2007-06-29T00:00:00"/>
        <d v="2007-06-15T00:00:00"/>
        <d v="2007-06-14T00:00:00"/>
        <d v="2007-08-16T00:00:00"/>
        <d v="2007-08-23T00:00:00"/>
        <d v="2007-09-06T00:00:00"/>
        <d v="2007-07-27T00:00:00"/>
        <d v="2007-06-23T00:00:00"/>
        <d v="2007-09-28T00:00:00"/>
        <d v="2007-05-17T00:00:00"/>
        <d v="2007-07-19T00:00:00"/>
        <d v="2007-07-30T00:00:00"/>
        <d v="2007-06-27T00:00:00"/>
        <d v="2007-08-17T00:00:00"/>
        <d v="2007-10-24T00:00:00"/>
        <d v="2007-09-26T00:00:00"/>
        <d v="2007-09-25T00:00:00"/>
        <d v="2007-10-16T00:00:00"/>
        <d v="2007-09-12T00:00:00"/>
        <d v="2007-11-13T00:00:00"/>
        <d v="2007-03-21T00:00:00"/>
        <d v="2006-12-15T00:00:00"/>
        <d v="2007-03-08T00:00:00"/>
        <d v="2007-04-18T00:00:00"/>
        <d v="2007-07-16T00:00:00"/>
        <d v="2007-10-30T00:00:00"/>
        <d v="2007-03-09T00:00:00"/>
        <d v="2007-11-19T00:00:00"/>
        <d v="2006-11-22T00:00:00"/>
        <d v="2006-11-24T00:00:00"/>
        <d v="2007-08-10T00:00:00"/>
        <d v="2006-12-21T00:00:00"/>
        <d v="2007-02-21T00:00:00"/>
        <d v="2007-09-05T00:00:00"/>
        <d v="2007-10-19T00:00:00"/>
        <d v="2007-05-14T00:00:00"/>
        <d v="2007-04-30T00:00:00"/>
        <d v="2007-04-11T00:00:00"/>
        <d v="2007-11-12T00:00:00"/>
        <d v="2007-10-17T00:00:00"/>
        <d v="2007-10-23T00:00:00"/>
        <d v="2007-10-25T00:00:00"/>
        <d v="2007-11-15T00:00:00"/>
        <d v="2007-10-08T00:00:00"/>
        <d v="2007-10-31T00:00:00"/>
        <d v="2007-11-16T00:00:00"/>
        <d v="2007-11-23T00:00:00"/>
        <d v="2007-09-27T00:00:00"/>
        <d v="2007-08-29T00:00:00"/>
        <d v="2007-04-16T00:00:00"/>
        <d v="2007-12-21T00:00:00"/>
        <d v="2008-01-23T00:00:00"/>
        <d v="2007-07-31T00:00:00"/>
        <d v="2008-01-17T00:00:00"/>
        <d v="2008-03-12T00:00:00"/>
        <d v="2008-03-04T00:00:00"/>
        <d v="2008-03-13T00:00:00"/>
        <d v="2008-02-19T00:00:00"/>
        <d v="2008-04-22T00:00:00"/>
        <d v="2008-04-18T00:00:00"/>
        <d v="2008-03-24T00:00:00"/>
        <d v="2008-04-11T00:00:00"/>
        <d v="2008-04-29T00:00:00"/>
        <d v="2008-05-14T00:00:00"/>
        <d v="2008-03-19T00:00:00"/>
        <d v="2008-03-07T00:00:00"/>
        <d v="2008-05-15T00:00:00"/>
        <d v="2008-03-14T00:00:00"/>
        <d v="2008-05-09T00:00:00"/>
        <d v="2008-06-04T00:00:00"/>
        <d v="2008-05-30T00:00:00"/>
        <d v="2008-06-05T00:00:00"/>
        <d v="2008-05-26T00:00:00"/>
        <d v="2008-06-25T00:00:00"/>
        <d v="2008-05-23T00:00:00"/>
        <d v="2008-07-04T00:00:00"/>
        <d v="2008-07-31T00:00:00"/>
        <d v="2008-08-08T00:00:00"/>
        <d v="2008-08-19T00:00:00"/>
        <d v="2008-08-27T00:00:00"/>
        <d v="2008-09-10T00:00:00"/>
        <d v="2008-09-26T00:00:00"/>
        <d v="2008-09-04T00:00:00"/>
        <d v="2008-11-06T00:00:00"/>
        <d v="2008-10-22T00:00:00"/>
        <d v="2008-04-24T00:00:00"/>
        <d v="2008-09-02T00:00:00"/>
        <d v="2008-10-02T00:00:00"/>
        <d v="2008-11-14T00:00:00"/>
        <d v="2008-02-06T00:00:00"/>
        <d v="2008-02-01T00:00:00"/>
        <d v="2008-05-12T00:00:00"/>
        <d v="2008-04-16T00:00:00"/>
        <d v="2008-08-05T00:00:00"/>
        <d v="2008-07-07T00:00:00"/>
        <d v="2008-11-19T00:00:00"/>
        <d v="2008-08-22T00:00:00"/>
        <d v="2008-04-14T00:00:00"/>
        <d v="2008-07-16T00:00:00"/>
        <d v="2008-08-28T00:00:00"/>
        <d v="2008-09-09T00:00:00"/>
        <d v="2007-11-30T00:00:00"/>
        <d v="2008-01-04T00:00:00"/>
        <d v="2008-08-29T00:00:00"/>
        <d v="2008-10-08T00:00:00"/>
        <d v="2008-11-04T00:00:00"/>
        <d v="2007-12-11T00:00:00"/>
        <d v="2008-06-06T00:00:00"/>
        <d v="2008-06-03T00:00:00"/>
        <d v="2008-11-28T00:00:00"/>
        <d v="2008-12-16T00:00:00"/>
        <d v="2008-12-01T00:00:00"/>
        <d v="2009-01-09T00:00:00"/>
        <d v="2009-01-15T00:00:00"/>
        <d v="2008-12-09T00:00:00"/>
        <d v="2008-12-29T00:00:00"/>
        <d v="2008-12-22T00:00:00"/>
        <d v="2009-02-17T00:00:00"/>
        <d v="2009-01-19T00:00:00"/>
        <d v="2009-02-03T00:00:00"/>
        <d v="2009-02-05T00:00:00"/>
        <d v="2009-02-19T00:00:00"/>
        <d v="2009-03-18T00:00:00"/>
        <d v="2009-03-16T00:00:00"/>
        <d v="2009-05-08T00:00:00"/>
        <d v="2009-03-26T00:00:00"/>
        <d v="2009-04-13T00:00:00"/>
        <d v="2009-03-30T00:00:00"/>
        <d v="2009-04-21T00:00:00"/>
        <d v="2009-04-29T00:00:00"/>
        <d v="2009-05-27T00:00:00"/>
        <d v="2009-05-21T00:00:00"/>
        <d v="2009-05-25T00:00:00"/>
        <d v="2009-05-19T00:00:00"/>
        <d v="2009-06-08T00:00:00"/>
        <d v="2009-06-18T00:00:00"/>
        <d v="2009-06-24T00:00:00"/>
        <d v="2009-06-30T00:00:00"/>
        <d v="2009-07-09T00:00:00"/>
        <d v="2009-07-29T00:00:00"/>
        <d v="2009-07-20T00:00:00"/>
        <d v="2009-07-01T00:00:00"/>
        <d v="2009-07-28T00:00:00"/>
        <d v="2009-08-13T00:00:00"/>
        <d v="2009-09-02T00:00:00"/>
        <d v="2009-09-07T00:00:00"/>
        <d v="2009-09-16T00:00:00"/>
        <d v="2009-10-16T00:00:00"/>
        <d v="2009-11-06T00:00:00"/>
        <d v="2009-08-17T00:00:00"/>
        <d v="2009-09-18T00:00:00"/>
        <d v="2009-10-29T00:00:00"/>
        <d v="2009-10-12T00:00:00"/>
        <d v="2009-10-05T00:00:00"/>
        <d v="2008-12-12T00:00:00"/>
        <d v="2009-05-28T00:00:00"/>
        <d v="2009-06-10T00:00:00"/>
        <d v="2009-03-24T00:00:00"/>
        <d v="2009-08-07T00:00:00"/>
        <d v="2009-01-06T00:00:00"/>
        <d v="2009-09-10T00:00:00"/>
        <d v="2009-10-20T00:00:00"/>
        <d v="2009-10-02T00:00:00"/>
        <d v="2009-02-26T00:00:00"/>
        <d v="2009-07-22T00:00:00"/>
        <d v="2009-08-28T00:00:00"/>
        <d v="2009-10-28T00:00:00"/>
        <d v="2009-07-15T00:00:00"/>
        <d v="2009-09-17T00:00:00"/>
        <d v="2009-10-14T00:00:00"/>
        <d v="2009-11-02T00:00:00"/>
        <d v="2009-11-12T00:00:00"/>
        <d v="2009-11-10T00:00:00"/>
        <d v="2010-05-12T00:00:00"/>
        <d v="2010-05-31T00:00:00"/>
        <d v="2010-09-10T00:00:00"/>
        <d v="2010-02-23T00:00:00"/>
        <d v="2010-03-26T00:00:00"/>
        <d v="2010-04-19T00:00:00"/>
        <d v="2010-07-01T00:00:00"/>
        <d v="2010-07-08T00:00:00"/>
        <d v="2010-06-17T00:00:00"/>
        <d v="2010-07-29T00:00:00"/>
        <d v="2010-08-03T00:00:00"/>
        <d v="2010-08-06T00:00:00"/>
        <d v="2010-07-15T00:00:00"/>
        <d v="2010-09-29T00:00:00"/>
        <d v="2010-10-12T00:00:00"/>
        <d v="2009-12-23T00:00:00"/>
        <d v="2010-07-22T00:00:00"/>
        <d v="2010-03-03T00:00:00"/>
        <d v="2010-06-22T00:00:00"/>
        <d v="2010-09-22T00:00:00"/>
        <d v="2010-09-27T00:00:00"/>
        <d v="2010-12-09T00:00:00"/>
        <d v="2010-02-27T00:00:00"/>
        <d v="2010-07-21T00:00:00"/>
        <d v="2010-09-21T00:00:00"/>
        <d v="2010-03-11T00:00:00"/>
        <d v="2010-09-07T00:00:00"/>
        <d v="2010-04-21T00:00:00"/>
        <d v="2010-02-08T00:00:00"/>
        <d v="2010-02-11T00:00:00"/>
        <d v="2010-03-04T00:00:00"/>
        <d v="2010-06-21T00:00:00"/>
        <d v="2010-08-10T00:00:00"/>
        <d v="2010-08-23T00:00:00"/>
        <d v="2010-09-02T00:00:00"/>
        <d v="2010-08-31T00:00:00"/>
        <d v="2010-09-06T00:00:00"/>
        <d v="2010-11-25T00:00:00"/>
        <d v="2009-12-10T00:00:00"/>
        <d v="2009-11-16T00:00:00"/>
        <d v="2009-11-09T00:00:00"/>
        <d v="2009-12-15T00:00:00"/>
        <d v="2009-12-17T00:00:00"/>
        <d v="2010-01-13T00:00:00"/>
        <d v="2010-02-19T00:00:00"/>
        <d v="2010-01-05T00:00:00"/>
        <d v="2010-01-11T00:00:00"/>
        <d v="2010-01-26T00:00:00"/>
        <d v="2010-01-15T00:00:00"/>
        <d v="2010-02-25T00:00:00"/>
        <d v="2010-01-20T00:00:00"/>
        <d v="2010-01-27T00:00:00"/>
        <d v="2010-03-19T00:00:00"/>
        <d v="2010-03-22T00:00:00"/>
        <d v="2010-03-09T00:00:00"/>
        <d v="2010-04-09T00:00:00"/>
        <d v="2010-05-17T00:00:00"/>
        <d v="2010-04-14T00:00:00"/>
        <d v="2010-04-08T00:00:00"/>
        <d v="2010-06-10T00:00:00"/>
        <d v="2010-06-08T00:00:00"/>
        <d v="2010-05-15T00:00:00"/>
        <d v="2010-06-04T00:00:00"/>
        <d v="2010-04-26T00:00:00"/>
        <d v="2010-05-11T00:00:00"/>
        <d v="2010-05-28T00:00:00"/>
        <d v="2010-07-26T00:00:00"/>
        <d v="2010-08-02T00:00:00"/>
        <d v="2010-08-13T00:00:00"/>
        <d v="2010-07-28T00:00:00"/>
        <d v="2010-09-16T00:00:00"/>
        <d v="2010-08-25T00:00:00"/>
        <d v="2010-08-30T00:00:00"/>
        <d v="2010-09-08T00:00:00"/>
        <d v="2010-10-04T00:00:00"/>
        <d v="2010-08-18T00:00:00"/>
        <d v="2010-08-26T00:00:00"/>
        <d v="2010-09-09T00:00:00"/>
        <d v="2010-08-19T00:00:00"/>
        <d v="2010-07-30T00:00:00"/>
        <d v="2010-10-15T00:00:00"/>
        <d v="2010-09-20T00:00:00"/>
        <d v="2010-09-30T00:00:00"/>
        <d v="2010-10-22T00:00:00"/>
        <d v="2010-09-15T00:00:00"/>
        <d v="2011-05-19T00:00:00"/>
        <d v="2011-07-21T00:00:00"/>
        <d v="2011-09-07T00:00:00"/>
        <d v="2011-08-10T00:00:00"/>
        <d v="2011-08-18T00:00:00"/>
        <d v="2011-09-12T00:00:00"/>
        <d v="2011-01-28T00:00:00"/>
        <d v="2011-02-21T00:00:00"/>
        <d v="2011-03-01T00:00:00"/>
        <d v="2011-04-18T00:00:00"/>
        <d v="2011-04-12T00:00:00"/>
        <d v="2011-09-01T00:00:00"/>
        <d v="2011-10-24T00:00:00"/>
        <d v="2010-11-26T00:00:00"/>
        <d v="2011-05-03T00:00:00"/>
        <d v="2011-05-24T00:00:00"/>
        <d v="2011-01-21T00:00:00"/>
        <d v="2011-04-11T00:00:00"/>
        <d v="2011-09-06T00:00:00"/>
        <d v="2011-07-13T00:00:00"/>
        <d v="2011-03-18T00:00:00"/>
        <d v="2011-01-04T00:00:00"/>
        <d v="2011-02-07T00:00:00"/>
        <d v="2011-06-03T00:00:00"/>
        <d v="2011-05-16T00:00:00"/>
        <d v="2011-08-31T00:00:00"/>
        <d v="2010-12-24T00:00:00"/>
        <d v="2010-10-28T00:00:00"/>
        <d v="2010-11-04T00:00:00"/>
        <d v="2010-10-16T00:00:00"/>
        <d v="2010-11-11T00:00:00"/>
        <d v="2010-11-05T00:00:00"/>
        <d v="2010-11-22T00:00:00"/>
        <d v="2010-12-15T00:00:00"/>
        <d v="2010-11-19T00:00:00"/>
        <d v="2010-12-22T00:00:00"/>
        <d v="2011-01-03T00:00:00"/>
        <d v="2010-12-28T00:00:00"/>
        <d v="2010-12-20T00:00:00"/>
        <d v="2011-01-06T00:00:00"/>
        <d v="2010-11-03T00:00:00"/>
        <d v="2010-11-18T00:00:00"/>
        <d v="2010-11-09T00:00:00"/>
        <d v="2010-12-30T00:00:00"/>
        <d v="2011-01-07T00:00:00"/>
        <d v="2010-12-29T00:00:00"/>
        <d v="2011-01-14T00:00:00"/>
        <d v="2011-01-18T00:00:00"/>
        <d v="2011-01-31T00:00:00"/>
        <d v="2011-03-21T00:00:00"/>
        <d v="2011-02-24T00:00:00"/>
        <d v="2011-02-25T00:00:00"/>
        <d v="2011-04-13T00:00:00"/>
        <d v="2011-03-29T00:00:00"/>
        <d v="2011-03-22T00:00:00"/>
        <d v="2011-05-05T00:00:00"/>
        <d v="2011-04-26T00:00:00"/>
        <d v="2011-05-02T00:00:00"/>
        <d v="2011-06-02T00:00:00"/>
        <d v="2011-06-06T00:00:00"/>
        <d v="2011-05-31T00:00:00"/>
        <d v="2011-07-07T00:00:00"/>
        <d v="2011-07-01T00:00:00"/>
        <d v="2010-12-06T00:00:00"/>
        <d v="2010-12-23T00:00:00"/>
        <d v="2011-02-04T00:00:00"/>
        <d v="2011-03-16T00:00:00"/>
        <d v="2011-04-19T00:00:00"/>
        <d v="2011-04-28T00:00:00"/>
        <d v="2011-05-09T00:00:00"/>
        <d v="2011-05-12T00:00:00"/>
        <d v="2011-05-30T00:00:00"/>
        <d v="2011-06-08T00:00:00"/>
        <d v="2011-06-16T00:00:00"/>
        <d v="2011-06-30T00:00:00"/>
        <d v="2011-07-04T00:00:00"/>
        <d v="2011-07-08T00:00:00"/>
        <d v="2011-07-28T00:00:00"/>
        <d v="2011-12-14T00:00:00"/>
        <d v="2012-02-14T00:00:00"/>
        <d v="2012-01-26T00:00:00"/>
        <d v="2012-05-09T00:00:00"/>
        <d v="2012-05-28T00:00:00"/>
        <d v="2012-06-12T00:00:00"/>
        <d v="2012-08-31T00:00:00"/>
        <d v="2012-10-19T00:00:00"/>
        <d v="2012-11-09T00:00:00"/>
        <d v="2011-12-22T00:00:00"/>
        <d v="2011-09-22T00:00:00"/>
        <d v="2012-07-18T00:00:00"/>
        <d v="2012-02-15T00:00:00"/>
        <d v="2012-01-11T00:00:00"/>
        <d v="2012-03-22T00:00:00"/>
        <d v="2012-03-14T00:00:00"/>
        <d v="2012-05-30T00:00:00"/>
        <d v="2012-06-15T00:00:00"/>
        <d v="2012-06-26T00:00:00"/>
        <d v="2012-11-01T00:00:00"/>
        <d v="2012-12-14T00:00:00"/>
        <d v="2011-11-03T00:00:00"/>
        <d v="2011-09-29T00:00:00"/>
        <d v="2011-10-26T00:00:00"/>
        <d v="2011-11-14T00:00:00"/>
        <d v="2011-12-07T00:00:00"/>
        <d v="2011-12-12T00:00:00"/>
        <d v="2011-10-25T00:00:00"/>
        <d v="2011-09-27T00:00:00"/>
        <d v="2011-11-17T00:00:00"/>
        <d v="2011-09-23T00:00:00"/>
        <d v="2011-12-28T00:00:00"/>
        <d v="2012-01-06T00:00:00"/>
        <d v="2011-11-07T00:00:00"/>
        <d v="2011-08-26T00:00:00"/>
        <d v="2011-12-02T00:00:00"/>
        <d v="2012-01-25T00:00:00"/>
        <d v="2011-12-19T00:00:00"/>
        <d v="2011-12-30T00:00:00"/>
        <d v="2012-01-23T00:00:00"/>
        <d v="2012-01-13T00:00:00"/>
        <d v="2012-03-12T00:00:00"/>
        <d v="2012-01-20T00:00:00"/>
        <d v="2012-01-24T00:00:00"/>
        <d v="2012-03-13T00:00:00"/>
        <d v="2012-02-29T00:00:00"/>
        <d v="2012-04-18T00:00:00"/>
        <d v="2012-02-24T00:00:00"/>
        <d v="2012-03-23T00:00:00"/>
        <d v="2012-03-28T00:00:00"/>
        <d v="2012-03-19T00:00:00"/>
        <d v="2012-04-05T00:00:00"/>
        <d v="2012-05-16T00:00:00"/>
        <d v="2012-05-17T00:00:00"/>
        <d v="2012-04-13T00:00:00"/>
        <d v="2012-05-08T00:00:00"/>
        <d v="2012-04-27T00:00:00"/>
        <d v="2012-05-14T00:00:00"/>
        <d v="2012-06-13T00:00:00"/>
        <d v="2012-05-21T00:00:00"/>
        <d v="2012-04-30T00:00:00"/>
        <d v="2012-07-12T00:00:00"/>
        <d v="2012-07-11T00:00:00"/>
        <d v="2012-07-13T00:00:00"/>
        <d v="2012-06-21T00:00:00"/>
        <d v="2012-08-09T00:00:00"/>
        <d v="2012-07-10T00:00:00"/>
        <d v="2012-07-04T00:00:00"/>
        <d v="2012-09-13T00:00:00"/>
        <d v="2012-10-09T00:00:00"/>
        <d v="2012-10-17T00:00:00"/>
        <d v="2012-11-29T00:00:00"/>
        <d v="2012-07-06T00:00:00"/>
        <d v="2012-07-24T00:00:00"/>
        <d v="2012-08-15T00:00:00"/>
        <d v="2012-08-03T00:00:00"/>
        <d v="2012-09-10T00:00:00"/>
        <d v="2012-09-03T00:00:00"/>
        <d v="2012-09-25T00:00:00"/>
        <d v="2012-10-10T00:00:00"/>
        <d v="2012-10-15T00:00:00"/>
        <d v="2012-10-11T00:00:00"/>
        <d v="2012-10-18T00:00:00"/>
        <d v="2012-10-25T00:00:00"/>
        <d v="2012-11-23T00:00:00"/>
        <d v="2012-11-28T00:00:00"/>
        <d v="2012-12-04T00:00:00"/>
        <d v="2013-02-28T00:00:00"/>
        <d v="2013-01-17T00:00:00"/>
        <d v="2013-03-25T00:00:00"/>
        <d v="2013-05-13T00:00:00"/>
        <d v="2012-11-26T00:00:00"/>
        <d v="2013-03-06T00:00:00"/>
        <d v="2013-01-21T00:00:00"/>
        <d v="2013-01-25T00:00:00"/>
        <d v="2013-02-20T00:00:00"/>
        <d v="2013-06-03T00:00:00"/>
        <d v="2013-04-22T00:00:00"/>
        <d v="2013-06-17T00:00:00"/>
        <d v="2013-07-31T00:00:00"/>
        <d v="2013-09-18T00:00:00"/>
        <d v="2013-08-22T00:00:00"/>
        <d v="2013-09-05T00:00:00"/>
        <d v="2013-11-16T00:00:00"/>
        <d v="2013-03-05T00:00:00"/>
        <d v="2013-03-28T00:00:00"/>
        <d v="2012-11-22T00:00:00"/>
        <d v="2013-01-30T00:00:00"/>
        <d v="2013-05-28T00:00:00"/>
        <d v="2013-06-28T00:00:00"/>
        <d v="2013-03-12T00:00:00"/>
        <d v="2013-01-08T00:00:00"/>
        <d v="2013-02-21T00:00:00"/>
        <d v="2013-05-07T00:00:00"/>
        <d v="2013-04-08T00:00:00"/>
        <d v="2013-09-25T00:00:00"/>
        <d v="2013-10-08T00:00:00"/>
        <d v="2012-11-08T00:00:00"/>
        <d v="2012-11-07T00:00:00"/>
        <d v="2012-11-20T00:00:00"/>
        <d v="2012-11-21T00:00:00"/>
        <d v="2012-11-19T00:00:00"/>
        <d v="2012-12-26T00:00:00"/>
        <d v="2012-12-10T00:00:00"/>
        <d v="2012-12-07T00:00:00"/>
        <d v="2012-12-17T00:00:00"/>
        <d v="2013-01-14T00:00:00"/>
        <d v="2013-01-15T00:00:00"/>
        <d v="2012-12-05T00:00:00"/>
        <d v="2013-01-09T00:00:00"/>
        <d v="2013-01-28T00:00:00"/>
        <d v="2012-12-28T00:00:00"/>
        <d v="2013-01-18T00:00:00"/>
        <d v="2013-02-27T00:00:00"/>
        <d v="2013-03-01T00:00:00"/>
        <d v="2013-03-04T00:00:00"/>
        <d v="2013-03-08T00:00:00"/>
        <d v="2013-04-10T00:00:00"/>
        <d v="2013-04-05T00:00:00"/>
        <d v="2013-05-10T00:00:00"/>
        <d v="2013-04-03T00:00:00"/>
        <d v="2013-04-15T00:00:00"/>
        <d v="2013-04-23T00:00:00"/>
        <d v="2013-04-29T00:00:00"/>
        <d v="2013-05-02T00:00:00"/>
        <d v="2013-08-12T00:00:00"/>
        <d v="2013-06-10T00:00:00"/>
        <d v="2013-07-01T00:00:00"/>
        <d v="2013-06-19T00:00:00"/>
        <d v="2013-06-21T00:00:00"/>
        <d v="2013-05-14T00:00:00"/>
        <d v="2013-07-04T00:00:00"/>
        <d v="2013-08-01T00:00:00"/>
        <d v="2013-07-17T00:00:00"/>
        <d v="2013-07-23T00:00:00"/>
        <d v="2013-08-09T00:00:00"/>
        <d v="2013-08-23T00:00:00"/>
        <d v="2013-09-09T00:00:00"/>
        <d v="2013-08-08T00:00:00"/>
        <d v="2013-08-21T00:00:00"/>
        <d v="2013-09-17T00:00:00"/>
        <d v="2013-09-20T00:00:00"/>
        <d v="2013-10-24T00:00:00"/>
        <d v="2013-08-29T00:00:00"/>
        <d v="2013-09-23T00:00:00"/>
        <d v="2013-10-15T00:00:00"/>
        <d v="2013-11-05T00:00:00"/>
        <d v="2013-11-19T00:00:00"/>
        <d v="2014-06-05T00:00:00"/>
        <d v="2013-07-18T00:00:00"/>
        <d v="2014-11-06T00:00:00"/>
        <d v="2013-12-23T00:00:00"/>
        <d v="2014-01-10T00:00:00"/>
        <d v="2014-02-19T00:00:00"/>
        <d v="2014-02-26T00:00:00"/>
        <d v="2014-03-26T00:00:00"/>
        <d v="2014-02-24T00:00:00"/>
        <d v="2014-04-14T00:00:00"/>
        <d v="2014-04-24T00:00:00"/>
        <d v="2014-06-11T00:00:00"/>
        <d v="2014-06-16T00:00:00"/>
        <d v="2014-09-25T00:00:00"/>
        <d v="2014-10-06T00:00:00"/>
        <d v="2014-10-07T00:00:00"/>
        <d v="2014-04-09T00:00:00"/>
        <d v="2013-11-26T00:00:00"/>
        <d v="2014-07-10T00:00:00"/>
        <d v="2014-05-29T00:00:00"/>
        <d v="2014-01-02T00:00:00"/>
        <d v="2014-02-10T00:00:00"/>
        <d v="2014-03-03T00:00:00"/>
        <d v="2014-04-16T00:00:00"/>
        <d v="2014-05-06T00:00:00"/>
        <d v="2014-05-26T00:00:00"/>
        <d v="2014-08-14T00:00:00"/>
        <d v="2013-11-27T00:00:00"/>
        <d v="2013-12-10T00:00:00"/>
        <d v="2013-11-04T00:00:00"/>
        <d v="2013-11-12T00:00:00"/>
        <d v="2013-11-08T00:00:00"/>
        <d v="2013-10-29T00:00:00"/>
        <d v="2013-12-17T00:00:00"/>
        <d v="2013-10-28T00:00:00"/>
        <d v="2013-12-04T00:00:00"/>
        <d v="2014-01-16T00:00:00"/>
        <d v="2014-01-08T00:00:00"/>
        <d v="2014-01-13T00:00:00"/>
        <d v="2014-01-15T00:00:00"/>
        <d v="2014-01-24T00:00:00"/>
        <d v="2014-01-14T00:00:00"/>
        <d v="2014-05-28T00:00:00"/>
        <d v="2014-06-03T00:00:00"/>
        <d v="2014-06-24T00:00:00"/>
        <d v="2014-08-28T00:00:00"/>
        <d v="2014-10-09T00:00:00"/>
        <d v="2014-10-23T00:00:00"/>
        <d v="2014-11-11T00:00:00"/>
        <d v="2014-11-04T00:00:00"/>
        <d v="2015-07-15T00:00:00"/>
        <d v="2014-11-20T00:00:00"/>
        <d v="2015-04-23T00:00:00"/>
        <d v="2014-12-04T00:00:00"/>
        <d v="2015-02-12T00:00:00"/>
        <d v="2015-03-17T00:00:00"/>
        <d v="2015-05-06T00:00:00"/>
        <d v="2015-05-27T00:00:00"/>
        <d v="2015-06-23T00:00:00"/>
        <d v="2015-07-13T00:00:00"/>
        <d v="2015-07-22T00:00:00"/>
        <d v="2015-07-27T00:00:00"/>
        <d v="2015-09-11T00:00:00"/>
        <d v="2015-10-01T00:00:00"/>
        <d v="2015-06-01T00:00:00"/>
        <d v="2014-12-24T00:00:00"/>
        <d v="2014-12-15T00:00:00"/>
        <d v="2015-01-05T00:00:00"/>
        <d v="2015-01-26T00:00:00"/>
        <d v="2015-08-18T00:00:00"/>
        <d v="2015-11-23T00:00:00"/>
        <d v="2014-09-24T00:00:00"/>
        <d v="2014-11-07T00:00:00"/>
        <d v="2014-12-29T00:00:00"/>
        <d v="2014-12-02T00:00:00"/>
        <d v="2014-12-30T00:00:00"/>
        <d v="2015-01-14T00:00:00"/>
        <d v="2015-01-30T00:00:00"/>
        <d v="2015-03-02T00:00:00"/>
        <d v="2015-03-18T00:00:00"/>
        <d v="2015-05-07T00:00:00"/>
        <d v="2015-05-08T00:00:00"/>
        <d v="2015-05-25T00:00:00"/>
        <d v="2015-05-26T00:00:00"/>
        <d v="2015-06-02T00:00:00"/>
        <d v="2015-06-03T00:00:00"/>
        <d v="2015-06-05T00:00:00"/>
        <d v="2015-06-10T00:00:00"/>
        <d v="2015-06-19T00:00:00"/>
        <d v="2015-06-26T00:00:00"/>
        <d v="2015-07-28T00:00:00"/>
        <d v="2015-09-17T00:00:00"/>
        <d v="2015-10-15T00:00:00"/>
        <d v="2015-11-26T00:00:00"/>
        <d v="2015-12-11T00:00:00"/>
        <d v="2016-02-02T00:00:00"/>
        <d v="2016-03-01T00:00:00"/>
        <d v="2016-03-17T00:00:00"/>
        <d v="2016-04-11T00:00:00"/>
        <d v="2016-02-03T00:00:00"/>
        <d v="2016-03-23T00:00:00"/>
        <d v="2016-01-12T00:00:00"/>
        <d v="2016-01-05T00:00:00"/>
        <d v="2016-06-09T00:00:00"/>
        <d v="2016-06-02T00:00:00"/>
        <d v="2016-08-09T00:00:00"/>
        <d v="2016-06-01T00:00:00"/>
        <d v="2016-07-04T00:00:00"/>
        <d v="2016-06-21T00:00:00"/>
        <d v="2016-09-14T00:00:00"/>
        <d v="2016-08-22T00:00:00"/>
        <d v="2016-08-26T00:00:00"/>
        <d v="2016-10-19T00:00:00"/>
        <d v="2016-09-23T00:00:00"/>
        <d v="2016-10-04T00:00:00"/>
        <d v="2016-10-05T00:00:00"/>
        <d v="2017-01-26T00:00:00"/>
        <d v="2017-01-05T00:00:00"/>
        <d v="2017-02-07T00:00:00"/>
        <d v="2017-05-04T00:00:00"/>
        <d v="2017-07-05T00:00:00"/>
        <d v="2017-07-28T00:00:00"/>
        <d v="2017-08-04T00:00:00"/>
        <d v="2017-08-10T00:00:00"/>
        <d v="2017-09-01T00:00:00"/>
        <d v="2017-01-24T00:00:00"/>
        <d v="2017-01-31T00:00:00"/>
        <d v="2017-03-22T00:00:00"/>
        <d v="2017-06-05T00:00:00"/>
        <d v="2017-07-10T00:00:00"/>
        <d v="2017-07-18T00:00:00"/>
        <d v="2017-08-09T00:00:00"/>
        <d v="2017-08-14T00:00:00"/>
        <d v="2017-09-13T00:00:00"/>
        <d v="2017-09-29T00:00:00"/>
        <d v="2017-10-11T00:00:00"/>
        <d v="2017-11-23T00:00:00"/>
        <d v="2017-01-20T00:00:00"/>
        <d v="2017-03-30T00:00:00"/>
        <d v="2017-09-20T00:00:00"/>
        <d v="2017-10-25T00:00:00"/>
        <d v="2017-03-17T00:00:00"/>
        <d v="2017-04-17T00:00:00"/>
        <d v="2017-03-27T00:00:00"/>
        <d v="2017-12-28T00:00:00"/>
        <d v="2018-01-29T00:00:00"/>
        <d v="2018-01-31T00:00:00"/>
        <d v="2018-02-19T00:00:00"/>
        <d v="2018-03-07T00:00:00"/>
        <d v="2018-04-03T00:00:00"/>
        <d v="2018-03-28T00:00:00"/>
        <d v="2018-05-04T00:00:00"/>
        <d v="2018-04-17T00:00:00"/>
        <d v="2018-05-17T00:00:00"/>
        <d v="2018-05-16T00:00:00"/>
        <d v="2018-05-24T00:00:00"/>
        <d v="2018-05-23T00:00:00"/>
        <d v="2018-06-05T00:00:00"/>
        <d v="2018-07-03T00:00:00"/>
        <d v="2018-07-04T00:00:00"/>
        <d v="2018-07-18T00:00:00"/>
        <d v="2018-08-15T00:00:00"/>
        <d v="2018-08-10T00:00:00"/>
        <d v="2018-08-14T00:00:00"/>
        <d v="2018-09-13T00:00:00"/>
        <d v="2018-09-12T00:00:00"/>
        <d v="2018-08-27T00:00:00"/>
        <d v="2018-09-25T00:00:00"/>
        <d v="2018-10-22T00:00:00"/>
        <d v="2018-10-31T00:00:00"/>
        <d v="2017-10-26T00:00:00"/>
        <d v="2017-11-15T00:00:00"/>
        <d v="2017-12-18T00:00:00"/>
        <d v="2018-02-28T00:00:00"/>
        <d v="2018-02-16T00:00:00"/>
        <d v="2018-01-23T00:00:00"/>
        <d v="2018-03-12T00:00:00"/>
        <d v="2018-02-15T00:00:00"/>
        <d v="2018-06-18T00:00:00"/>
        <d v="2018-06-22T00:00:00"/>
        <d v="2018-08-21T00:00:00"/>
        <d v="2018-12-14T00:00:00"/>
        <d v="2018-09-21T00:00:00"/>
        <d v="2018-10-29T00:00:00"/>
        <d v="2018-03-14T00:00:00"/>
        <d v="2018-04-11T00:00:00"/>
        <d v="2018-02-06T00:00:00"/>
        <d v="2018-02-27T00:00:00"/>
        <d v="2018-03-15T00:00:00"/>
        <d v="2018-05-03T00:00:00"/>
        <d v="2018-10-01T00:00:00"/>
        <d v="2018-10-25T00:00:00"/>
        <d v="2018-11-06T00:00:00"/>
        <d v="2018-12-03T00:00:00"/>
        <d v="2018-11-23T00:00:00"/>
        <d v="2018-12-06T00:00:00"/>
        <d v="2018-12-12T00:00:00"/>
        <d v="2018-12-28T00:00:00"/>
        <d v="2019-01-04T00:00:00"/>
        <d v="2019-02-01T00:00:00"/>
        <d v="2019-02-15T00:00:00"/>
        <d v="2019-02-12T00:00:00"/>
        <d v="2019-03-19T00:00:00"/>
        <d v="2019-03-30T00:00:00"/>
        <d v="2019-04-03T00:00:00"/>
        <d v="2019-04-02T00:00:00"/>
        <d v="2019-04-06T00:00:00"/>
        <d v="2019-04-30T00:00:00"/>
        <d v="2019-05-02T00:00:00"/>
        <d v="2019-05-03T00:00:00"/>
        <d v="2019-05-20T00:00:00"/>
        <d v="2019-05-29T00:00:00"/>
        <d v="2019-06-03T00:00:00"/>
        <d v="2019-06-11T00:00:00"/>
        <d v="2019-07-18T00:00:00"/>
        <d v="2019-06-30T00:00:00"/>
        <d v="2019-08-11T00:00:00"/>
        <d v="2019-08-07T00:00:00"/>
        <d v="2019-08-06T00:00:00"/>
        <d v="2019-08-26T00:00:00"/>
        <d v="2019-08-20T00:00:00"/>
        <d v="2019-08-30T00:00:00"/>
        <d v="2019-07-30T00:00:00"/>
        <d v="2019-08-29T00:00:00"/>
        <d v="2019-09-02T00:00:00"/>
        <d v="2019-08-27T00:00:00"/>
        <d v="2019-09-03T00:00:00"/>
        <d v="2019-09-13T00:00:00"/>
        <d v="2019-09-26T00:00:00"/>
        <d v="2019-10-04T00:00:00"/>
        <d v="2018-11-28T00:00:00"/>
        <d v="2019-04-01T00:00:00"/>
        <d v="2019-05-15T00:00:00"/>
        <d v="2019-06-07T00:00:00"/>
        <d v="2019-07-09T00:00:00"/>
        <d v="2019-08-01T00:00:00"/>
        <d v="2019-02-28T00:00:00"/>
        <d v="2019-07-26T00:00:00"/>
        <d v="2019-09-20T00:00:00"/>
        <d v="2019-10-03T00:00:00"/>
        <d v="2019-03-09T00:00:00"/>
        <d v="2018-10-12T00:00:00"/>
        <d v="2019-01-17T00:00:00"/>
        <d v="2019-04-04T00:00:00"/>
        <d v="2019-04-18T00:00:00"/>
        <d v="2019-06-26T00:00:00"/>
        <d v="2019-09-29T00:00:00"/>
        <d v="2019-11-05T00:00:00"/>
        <d v="2019-09-18T00:00:00"/>
        <d v="2019-11-04T00:00:00"/>
        <d v="2019-11-07T00:00:00"/>
        <d v="2019-12-02T00:00:00"/>
        <d v="2019-12-16T00:00:00"/>
        <d v="2019-12-17T00:00:00"/>
        <d v="2019-12-23T00:00:00"/>
        <d v="2020-01-07T00:00:00"/>
        <d v="2020-01-16T00:00:00"/>
        <d v="2020-02-04T00:00:00"/>
        <d v="2020-02-27T00:00:00"/>
        <d v="2020-03-13T00:00:00"/>
        <d v="2020-03-12T00:00:00"/>
        <d v="2020-03-23T00:00:00"/>
        <d v="2020-03-26T00:00:00"/>
        <d v="2020-03-31T00:00:00"/>
        <d v="2020-04-06T00:00:00"/>
        <d v="2020-06-08T00:00:00"/>
        <d v="2020-07-14T00:00:00"/>
        <d v="2020-08-05T00:00:00"/>
        <d v="2020-07-09T00:00:00"/>
        <d v="2020-07-13T00:00:00"/>
        <d v="2020-07-23T00:00:00"/>
        <d v="2020-07-26T00:00:00"/>
        <d v="2020-08-07T00:00:00"/>
        <d v="2020-08-12T00:00:00"/>
        <d v="2020-08-17T00:00:00"/>
        <d v="2020-08-19T00:00:00"/>
        <d v="2020-08-21T00:00:00"/>
        <d v="2020-09-01T00:00:00"/>
        <d v="2020-09-09T00:00:00"/>
        <d v="2020-10-15T00:00:00"/>
        <d v="2020-10-21T00:00:00"/>
        <d v="2019-11-29T00:00:00"/>
        <d v="2019-12-10T00:00:00"/>
        <d v="2020-04-23T00:00:00"/>
        <d v="2020-06-02T00:00:00"/>
        <d v="2020-06-10T00:00:00"/>
        <d v="2020-07-29T00:00:00"/>
        <d v="2020-09-28T00:00:00"/>
        <d v="2020-10-20T00:00:00"/>
        <d v="2019-12-18T00:00:00"/>
        <d v="2020-10-06T00:00:00"/>
        <d v="2021-10-23T00:00:00"/>
        <d v="2020-11-04T00:00:00"/>
        <d v="2020-11-06T00:00:00"/>
        <d v="2020-11-16T00:00:00"/>
        <d v="2020-11-24T00:00:00"/>
        <d v="2020-11-26T00:00:00"/>
        <d v="2020-12-08T00:00:00"/>
        <d v="2020-12-22T00:00:00"/>
        <d v="2021-02-05T00:00:00"/>
        <d v="2021-01-12T00:00:00"/>
        <d v="2021-01-22T00:00:00"/>
        <d v="2021-02-02T00:00:00"/>
        <d v="2021-02-12T00:00:00"/>
        <d v="2021-03-17T00:00:00"/>
        <d v="2021-03-24T00:00:00"/>
        <d v="2021-04-09T00:00:00"/>
        <d v="2021-04-06T00:00:00"/>
        <d v="2021-04-22T00:00:00"/>
        <d v="2021-04-30T00:00:00"/>
        <d v="2021-05-13T00:00:00"/>
        <d v="2021-05-14T00:00:00"/>
        <d v="2021-05-17T00:00:00"/>
        <d v="2021-05-24T00:00:00"/>
        <d v="2021-03-25T00:00:00"/>
        <d v="2021-05-12T00:00:00"/>
        <d v="2021-05-18T00:00:00"/>
        <d v="2021-05-27T00:00:00"/>
        <d v="2021-06-03T00:00:00"/>
        <d v="2021-07-06T00:00:00"/>
        <d v="2021-07-12T00:00:00"/>
        <d v="2021-07-21T00:00:00"/>
        <d v="2021-07-26T00:00:00"/>
        <d v="2021-08-11T00:00:00"/>
        <d v="2021-08-12T00:00:00"/>
        <d v="2021-08-06T00:00:00"/>
        <d v="2021-08-18T00:00:00"/>
        <d v="2021-08-20T00:00:00"/>
        <d v="2021-08-24T00:00:00"/>
        <d v="2021-08-27T00:00:00"/>
        <d v="2021-09-24T00:00:00"/>
        <d v="2021-10-19T00:00:00"/>
        <d v="2021-01-13T00:00:00"/>
        <d v="2021-03-10T00:00:00"/>
        <d v="2021-04-07T00:00:00"/>
        <d v="2021-04-28T00:00:00"/>
        <d v="2021-06-23T00:00:00"/>
        <d v="2021-09-13T00:00:00"/>
        <d v="2021-09-28T00:00:00"/>
        <d v="2021-04-14T00:00:00"/>
        <d v="2021-10-25T00:00:00"/>
        <d v="2021-10-29T00:00:00"/>
        <d v="2021-11-17T00:00:00"/>
        <d v="2021-11-22T00:00:00"/>
        <d v="2021-11-18T00:00:00"/>
        <d v="2021-12-08T00:00:00"/>
        <d v="2021-12-09T00:00:00"/>
        <d v="2021-12-13T00:00:00"/>
        <d v="2021-12-16T00:00:00"/>
        <d v="2022-02-16T00:00:00"/>
        <d v="2022-02-18T00:00:00"/>
        <d v="2022-03-09T00:00:00"/>
        <d v="2022-03-15T00:00:00"/>
        <d v="2021-12-30T00:00:00"/>
        <d v="2022-01-11T00:00:00"/>
        <d v="2022-01-27T00:00:00"/>
        <d v="2022-02-14T00:00:00"/>
        <d v="2022-03-10T00:00:00"/>
        <d v="2022-03-31T00:00:00"/>
        <d v="2022-04-07T00:00:00"/>
        <d v="2022-04-18T00:00:00"/>
        <d v="2022-04-20T00:00:00"/>
        <d v="2022-05-02T00:00:00"/>
        <d v="2022-07-25T00:00:00"/>
        <d v="2022-08-15T00:00:00"/>
        <d v="2022-08-18T00:00:00"/>
        <d v="2022-05-11T00:00:00"/>
        <d v="2022-05-13T00:00:00"/>
        <d v="2022-07-21T00:00:00"/>
        <d v="2022-08-31T00:00:00"/>
        <d v="2022-09-15T00:00:00"/>
        <d v="2022-10-25T00:00:00"/>
        <d v="2022-12-23T00:00:00"/>
        <d v="2022-04-16T00:00:00"/>
        <d v="2022-05-05T00:00:00"/>
        <d v="2022-05-20T00:00:00"/>
        <d v="2022-08-24T00:00:00"/>
        <d v="2023-02-06T00:00:00"/>
        <d v="2023-02-10T00:00:00"/>
        <d v="2023-02-07T00:00:00"/>
        <d v="2023-03-06T00:00:00"/>
        <d v="2023-03-07T00:00:00"/>
        <d v="2023-03-10T00:00:00"/>
        <d v="2023-04-17T00:00:00"/>
        <d v="2023-03-15T00:00:00"/>
        <d v="2023-04-12T00:00:00"/>
        <d v="2023-05-03T00:00:00"/>
        <d v="2023-05-12T00:00:00"/>
        <d v="2023-05-18T00:00:00"/>
        <d v="2023-05-22T00:00:00"/>
        <d v="2023-05-24T00:00:00"/>
        <d v="2023-05-26T00:00:00"/>
        <d v="2023-06-05T00:00:00"/>
        <d v="2023-05-02T00:00:00"/>
        <d v="2023-06-22T00:00:00"/>
        <d v="2023-06-27T00:00:00"/>
        <d v="2023-06-29T00:00:00"/>
        <d v="2023-08-04T00:00:00"/>
        <d v="2023-08-14T00:00:00"/>
        <d v="2023-08-31T00:00:00"/>
        <d v="2023-09-28T00:00:00"/>
        <d v="2023-11-17T00:00:00"/>
        <d v="2023-11-16T00:00:00"/>
        <d v="2023-01-30T00:00:00"/>
        <d v="2023-03-21T00:00:00"/>
        <d v="2023-05-25T00:00:00"/>
        <d v="2023-07-18T00:00:00"/>
        <d v="2023-09-05T00:00:00"/>
        <d v="2023-11-02T00:00:00"/>
        <d v="2023-03-16T00:00:00"/>
        <d v="2023-03-03T00:00:00"/>
        <d v="2023-01-05T00:00:00"/>
        <d v="2022-11-07T00:00:00"/>
        <d v="2023-09-06T00:00:00" u="1"/>
        <d v="2023-11-14T00:00:00" u="1"/>
      </sharedItems>
    </cacheField>
    <cacheField name="Plazo Entrega" numFmtId="1">
      <sharedItems containsString="0" containsBlank="1" containsNumber="1" containsInteger="1" minValue="-7" maxValue="261"/>
    </cacheField>
    <cacheField name="VENCIM. O.C." numFmtId="14">
      <sharedItems containsDate="1" containsMixedTypes="1" minDate="2007-01-04T00:00:00" maxDate="2024-05-11T00:00:00"/>
    </cacheField>
    <cacheField name="LUGAR DE ENTREGA" numFmtId="0">
      <sharedItems containsBlank="1"/>
    </cacheField>
    <cacheField name="ENTREGA PLANTA" numFmtId="14">
      <sharedItems containsSemiMixedTypes="0" containsNonDate="0" containsDate="1" containsString="0" minDate="2007-01-12T00:00:00" maxDate="2023-12-16T00:00:00"/>
    </cacheField>
    <cacheField name="Adelanto/Atraso" numFmtId="1">
      <sharedItems containsBlank="1" containsMixedTypes="1" containsNumber="1" containsInteger="1" minValue="-280" maxValue="301" count="170">
        <n v="15"/>
        <n v="39"/>
        <n v="-1"/>
        <n v="26"/>
        <n v="31"/>
        <n v="16"/>
        <n v="19"/>
        <n v="17"/>
        <n v="18"/>
        <n v="4"/>
        <n v="-13"/>
        <n v="2"/>
        <n v="13"/>
        <n v="11"/>
        <n v="5"/>
        <n v="3"/>
        <n v="22"/>
        <n v="-11"/>
        <n v="-18"/>
        <n v="-4"/>
        <n v="-28"/>
        <n v="-15"/>
        <n v="-38"/>
        <n v="8"/>
        <n v="89"/>
        <n v="-41"/>
        <n v="-78"/>
        <n v="52"/>
        <n v="40"/>
        <n v="30"/>
        <n v="10"/>
        <n v="-42"/>
        <n v="7"/>
        <n v="-5"/>
        <n v="-17"/>
        <n v="-20"/>
        <n v="27"/>
        <n v="-29"/>
        <n v="-37"/>
        <n v="-30"/>
        <n v="-48"/>
        <n v="95"/>
        <n v="-27"/>
        <n v="12"/>
        <n v="0"/>
        <n v="14"/>
        <n v="-3"/>
        <n v="9"/>
        <n v="-25"/>
        <n v="-10"/>
        <n v="-14"/>
        <n v="-45"/>
        <n v="-12"/>
        <n v="-36"/>
        <n v="47"/>
        <n v="71"/>
        <n v="301"/>
        <n v="248"/>
        <n v="220"/>
        <n v="-23"/>
        <n v="160"/>
        <n v="138"/>
        <n v="6"/>
        <n v="1"/>
        <n v="-7"/>
        <n v="299"/>
        <n v="37"/>
        <n v="-22"/>
        <n v="-39"/>
        <n v="-31"/>
        <n v="-34"/>
        <n v="-32"/>
        <n v="-33"/>
        <n v="53"/>
        <n v="-9"/>
        <n v="-2"/>
        <n v="-54"/>
        <n v="-8"/>
        <n v="60"/>
        <n v="211"/>
        <n v="125"/>
        <n v="29"/>
        <n v="24"/>
        <n v="-44"/>
        <n v="-21"/>
        <n v="-26"/>
        <n v="-6"/>
        <n v="-16"/>
        <n v="-35"/>
        <n v="-46"/>
        <n v="-24"/>
        <n v="-43"/>
        <n v="20"/>
        <n v="28"/>
        <n v="38"/>
        <n v="21"/>
        <n v="36"/>
        <n v="33"/>
        <n v="65"/>
        <n v="143"/>
        <n v="25"/>
        <n v="-47"/>
        <n v="-19"/>
        <n v="175"/>
        <n v="111"/>
        <n v="32"/>
        <n v="-89"/>
        <n v="-93"/>
        <n v="-40"/>
        <n v="57"/>
        <n v="23"/>
        <n v="-57"/>
        <n v="-61"/>
        <n v="-79"/>
        <n v="-62"/>
        <n v="-51"/>
        <n v="151"/>
        <n v="56"/>
        <n v="46"/>
        <n v="35"/>
        <n v="41"/>
        <n v="55"/>
        <n v="74"/>
        <n v="107"/>
        <n v="68"/>
        <n v="49"/>
        <n v="51"/>
        <n v="76"/>
        <n v="34"/>
        <n v="82"/>
        <n v="-52"/>
        <n v="113"/>
        <n v="-108"/>
        <n v="64"/>
        <n v="44"/>
        <n v="-59"/>
        <n v="59"/>
        <n v="69"/>
        <n v="-55"/>
        <n v="61"/>
        <n v="-65"/>
        <n v="-66"/>
        <s v=""/>
        <n v="-69"/>
        <n v="-91"/>
        <n v="-111"/>
        <n v="-121"/>
        <n v="48"/>
        <n v="85"/>
        <n v="54"/>
        <n v="-262"/>
        <n v="158"/>
        <n v="94"/>
        <n v="218"/>
        <n v="84"/>
        <n v="-280"/>
        <n v="129"/>
        <n v="45"/>
        <n v="-50"/>
        <n v="-116"/>
        <n v="62"/>
        <n v="-113"/>
        <n v="-99"/>
        <n v="-139"/>
        <m/>
        <n v="77"/>
        <n v="-104" u="1"/>
        <n v="-123" u="1"/>
        <n v="-49" u="1"/>
        <n v="43" u="1"/>
      </sharedItems>
    </cacheField>
    <cacheField name="CONSOLIDADO" numFmtId="0">
      <sharedItems containsDate="1" containsBlank="1" containsMixedTypes="1" minDate="2007-01-18T00:00:00" maxDate="2023-12-24T00:00:00"/>
    </cacheField>
    <cacheField name="FECHA BARCO (BL)" numFmtId="14">
      <sharedItems containsNonDate="0" containsDate="1" containsString="0" containsBlank="1" minDate="2007-01-22T00:00:00" maxDate="2023-12-27T00:00:00"/>
    </cacheField>
    <cacheField name="FECHA ARRIBO" numFmtId="14">
      <sharedItems containsNonDate="0" containsDate="1" containsString="0" containsBlank="1" minDate="2007-02-11T00:00:00" maxDate="2024-01-18T00:00:00"/>
    </cacheField>
    <cacheField name="Plazo  Total" numFmtId="0">
      <sharedItems containsMixedTypes="1" containsNumber="1" containsInteger="1" minValue="-173" maxValue="419"/>
    </cacheField>
    <cacheField name="DETALLE DEL ENVIO" numFmtId="0">
      <sharedItems containsBlank="1"/>
    </cacheField>
    <cacheField name="OBSERVACIONES" numFmtId="0">
      <sharedItems containsBlank="1" longText="1"/>
    </cacheField>
    <cacheField name="CUMPLIMIENTO" numFmtId="0">
      <sharedItems containsBlank="1"/>
    </cacheField>
    <cacheField name="MES" numFmtId="14">
      <sharedItems containsBlank="1" count="13">
        <s v="Enero"/>
        <s v="Febrero"/>
        <s v="Marzo"/>
        <s v="Mayo"/>
        <s v="Junio"/>
        <s v="Julio"/>
        <s v="Agosto"/>
        <s v="Septiembre"/>
        <s v="Octubre"/>
        <s v="Noviembre"/>
        <s v="Abril"/>
        <s v="Diciembre"/>
        <m u="1"/>
      </sharedItems>
    </cacheField>
    <cacheField name="Atrasado(0) o en termino (1)"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7">
  <r>
    <x v="0"/>
    <x v="0"/>
    <x v="0"/>
    <x v="0"/>
    <s v="093/06 BBR"/>
    <m/>
    <x v="0"/>
    <n v="3775"/>
    <x v="0"/>
    <n v="16"/>
    <d v="2007-01-19T00:00:00"/>
    <s v="Salvador"/>
    <d v="2007-01-18T00:00:00"/>
    <x v="0"/>
    <d v="2007-01-26T00:00:00"/>
    <d v="2007-02-03T00:00:00"/>
    <d v="2007-03-05T00:00:00"/>
    <n v="61"/>
    <s v="Fittings"/>
    <m/>
    <s v="atrasado"/>
    <x v="0"/>
    <n v="0"/>
  </r>
  <r>
    <x v="0"/>
    <x v="0"/>
    <x v="0"/>
    <x v="1"/>
    <s v="074/06 BPB"/>
    <m/>
    <x v="1"/>
    <n v="42823"/>
    <x v="1"/>
    <n v="60"/>
    <d v="2007-01-15T00:00:00"/>
    <s v="Salvador"/>
    <d v="2007-01-18T00:00:00"/>
    <x v="1"/>
    <d v="2007-02-20T00:00:00"/>
    <d v="2007-02-23T00:00:00"/>
    <d v="2007-03-10T00:00:00"/>
    <n v="114"/>
    <s v="Fittings - ENTREGAR AL FORWARDER -CERTIFICADO DE FUMIGACION-INFORMAR UNA SEMANA ANTES DE LA SALIDA DE PTA."/>
    <s v="Se esta demorando el embarque ya que Petrobras de America no da la autorizacion de embarque al forwarder de Bs. As. Una vez que nos dieron la autorizacion de embarque se debio demorar nuevamente la salida debido a problemas en la confeccion de los documen"/>
    <s v="atrasado"/>
    <x v="0"/>
    <n v="0"/>
  </r>
  <r>
    <x v="0"/>
    <x v="0"/>
    <x v="0"/>
    <x v="0"/>
    <s v="056/06 BBR"/>
    <m/>
    <x v="2"/>
    <n v="288570"/>
    <x v="2"/>
    <n v="15"/>
    <d v="2007-01-19T00:00:00"/>
    <s v="Salvador"/>
    <d v="2007-01-18T00:00:00"/>
    <x v="0"/>
    <d v="2007-01-26T00:00:00"/>
    <d v="2007-02-03T00:00:00"/>
    <d v="2007-03-05T00:00:00"/>
    <n v="60"/>
    <s v="134 bombas"/>
    <m/>
    <s v="atrasado"/>
    <x v="0"/>
    <n v="0"/>
  </r>
  <r>
    <x v="0"/>
    <x v="0"/>
    <x v="0"/>
    <x v="0"/>
    <s v="083/06 BBR"/>
    <m/>
    <x v="3"/>
    <n v="31827"/>
    <x v="3"/>
    <n v="90"/>
    <d v="2007-02-04T00:00:00"/>
    <s v="Salvador"/>
    <d v="2007-01-18T00:00:00"/>
    <x v="2"/>
    <m/>
    <d v="2007-02-03T00:00:00"/>
    <d v="2007-03-05T00:00:00"/>
    <n v="119"/>
    <s v="11 bombas"/>
    <m/>
    <s v="en término"/>
    <x v="0"/>
    <n v="1"/>
  </r>
  <r>
    <x v="0"/>
    <x v="0"/>
    <x v="0"/>
    <x v="1"/>
    <s v="071/06 BPB"/>
    <m/>
    <x v="4"/>
    <n v="16892"/>
    <x v="4"/>
    <n v="60"/>
    <d v="2007-01-28T00:00:00"/>
    <s v="Salvador"/>
    <d v="2007-01-18T00:00:00"/>
    <x v="3"/>
    <d v="2007-02-20T00:00:00"/>
    <d v="2007-02-23T00:00:00"/>
    <d v="2007-03-10T00:00:00"/>
    <n v="101"/>
    <s v="Fittings - ENTREGAR AL FORWARDER -CERTIFICADO DE FUMIGACION-INFORMAR UNA SEMANA ANTES DE LA SALIDA DE PTA."/>
    <s v="Se esta demorando el embarque ya que Petrobras de America no da la autorizacion de embarque al forwarder de Bs. As. Una vez que nos dieron la autorizacion de embarque se debio demorar nuevamente la salida debido a problemas en la confeccion de los documen"/>
    <s v="atrasado"/>
    <x v="0"/>
    <n v="0"/>
  </r>
  <r>
    <x v="0"/>
    <x v="0"/>
    <x v="0"/>
    <x v="0"/>
    <s v="056/05 BBR"/>
    <m/>
    <x v="5"/>
    <n v="43295"/>
    <x v="5"/>
    <n v="63"/>
    <d v="2007-02-28T00:00:00"/>
    <s v="Salvador"/>
    <d v="2007-02-27T00:00:00"/>
    <x v="4"/>
    <d v="2007-03-23T00:00:00"/>
    <d v="2007-03-31T00:00:00"/>
    <d v="2007-04-19T00:00:00"/>
    <n v="113"/>
    <s v="180 vastagos - 6° ENVIO - GLOBAL DE VASTAGOS"/>
    <s v="La salida de esta carga se demoro ya que nos han cancelado/postergado el buque del 12/03."/>
    <s v="atrasado"/>
    <x v="1"/>
    <n v="0"/>
  </r>
  <r>
    <x v="0"/>
    <x v="0"/>
    <x v="0"/>
    <x v="0"/>
    <s v="092/06 BBR"/>
    <m/>
    <x v="6"/>
    <n v="49680"/>
    <x v="6"/>
    <n v="45"/>
    <d v="2007-03-15T00:00:00"/>
    <s v="Salvador"/>
    <d v="2007-03-16T00:00:00"/>
    <x v="5"/>
    <d v="2007-03-23T00:00:00"/>
    <d v="2007-03-31T00:00:00"/>
    <d v="2007-04-19T00:00:00"/>
    <n v="80"/>
    <s v="31 bombas"/>
    <m/>
    <s v="atrasado"/>
    <x v="2"/>
    <n v="0"/>
  </r>
  <r>
    <x v="0"/>
    <x v="0"/>
    <x v="0"/>
    <x v="0"/>
    <s v="095/06 BBR"/>
    <m/>
    <x v="7"/>
    <n v="2447"/>
    <x v="6"/>
    <n v="45"/>
    <d v="2007-03-15T00:00:00"/>
    <s v="Salvador"/>
    <d v="2007-03-16T00:00:00"/>
    <x v="5"/>
    <d v="2007-03-23T00:00:00"/>
    <d v="2007-03-31T00:00:00"/>
    <d v="2007-04-19T00:00:00"/>
    <n v="80"/>
    <s v="Fittings"/>
    <m/>
    <s v="atrasado"/>
    <x v="2"/>
    <n v="0"/>
  </r>
  <r>
    <x v="0"/>
    <x v="0"/>
    <x v="0"/>
    <x v="1"/>
    <s v="009/07 BPB"/>
    <s v="4600226581 (GLOBAL 2007)"/>
    <x v="8"/>
    <n v="237032.4"/>
    <x v="7"/>
    <n v="98"/>
    <d v="2007-04-23T00:00:00"/>
    <s v="Salvador"/>
    <d v="2007-05-04T00:00:00"/>
    <x v="6"/>
    <d v="2007-05-08T00:00:00"/>
    <d v="2007-05-12T00:00:00"/>
    <d v="2007-05-22T00:00:00"/>
    <n v="127"/>
    <s v="133 bombas + 110 valvulas"/>
    <s v="Retraso en la entrega de la materia prima por parte de Siderca. Demora por la confirmacion, por parte de Petrobras, para la realizacion de la inspeccion"/>
    <s v="atrasado"/>
    <x v="3"/>
    <n v="0"/>
  </r>
  <r>
    <x v="0"/>
    <x v="0"/>
    <x v="0"/>
    <x v="1"/>
    <s v="009/07 BPB"/>
    <s v="4600226581 (GLOBAL 2007)"/>
    <x v="9"/>
    <n v="88226.92"/>
    <x v="8"/>
    <n v="96"/>
    <d v="2007-04-25T00:00:00"/>
    <s v="Salvador"/>
    <d v="2007-05-04T00:00:00"/>
    <x v="7"/>
    <d v="2007-05-08T00:00:00"/>
    <d v="2007-05-12T00:00:00"/>
    <d v="2007-05-22T00:00:00"/>
    <n v="123"/>
    <s v="70 bombas"/>
    <s v="Retraso en la entrega de la materia prima por parte de Siderca. Demora por la confirmacion, por parte de Petrobras, para la realizacion de la inspeccion"/>
    <s v="atrasado"/>
    <x v="3"/>
    <n v="0"/>
  </r>
  <r>
    <x v="0"/>
    <x v="0"/>
    <x v="0"/>
    <x v="1"/>
    <s v="053/04 BPB"/>
    <s v="120-10-0069/04 (GLOBAL 2004)"/>
    <x v="10"/>
    <n v="17465.63"/>
    <x v="9"/>
    <n v="59"/>
    <d v="2007-04-26T00:00:00"/>
    <s v="Salvador"/>
    <d v="2007-05-04T00:00:00"/>
    <x v="5"/>
    <d v="2007-05-08T00:00:00"/>
    <d v="2007-05-12T00:00:00"/>
    <d v="2007-05-22T00:00:00"/>
    <n v="85"/>
    <s v="Repuestos "/>
    <s v="Retraso en la entrega de la materia prima por parte de Siderca. Demora por la confirmacion, por parte de Petrobras, para la realizacion de la inspeccion"/>
    <s v="atrasado"/>
    <x v="3"/>
    <n v="0"/>
  </r>
  <r>
    <x v="0"/>
    <x v="0"/>
    <x v="0"/>
    <x v="0"/>
    <s v="011/07 BBR"/>
    <m/>
    <x v="11"/>
    <n v="2323"/>
    <x v="10"/>
    <n v="30"/>
    <d v="2007-05-12T00:00:00"/>
    <s v="Salvador"/>
    <d v="2007-05-22T00:00:00"/>
    <x v="8"/>
    <m/>
    <d v="2007-05-30T00:00:00"/>
    <d v="2007-06-04T00:00:00"/>
    <n v="53"/>
    <s v="Repuestos"/>
    <m/>
    <s v="atrasado"/>
    <x v="3"/>
    <n v="0"/>
  </r>
  <r>
    <x v="0"/>
    <x v="0"/>
    <x v="0"/>
    <x v="0"/>
    <s v="015/07 BBR"/>
    <m/>
    <x v="12"/>
    <n v="2840"/>
    <x v="11"/>
    <n v="30"/>
    <d v="2007-05-26T00:00:00"/>
    <s v="Salvador"/>
    <d v="2007-05-22T00:00:00"/>
    <x v="9"/>
    <m/>
    <d v="2007-05-30T00:00:00"/>
    <d v="2007-06-01T00:00:00"/>
    <n v="36"/>
    <s v="20 pistones"/>
    <m/>
    <s v="atrasado"/>
    <x v="3"/>
    <n v="0"/>
  </r>
  <r>
    <x v="0"/>
    <x v="0"/>
    <x v="0"/>
    <x v="1"/>
    <s v="053/04 BPB"/>
    <s v="120-10-0069/04 (GLOBAL 2004)"/>
    <x v="13"/>
    <n v="1803.86"/>
    <x v="12"/>
    <n v="106"/>
    <d v="2007-07-25T00:00:00"/>
    <s v="Salvador"/>
    <d v="2007-06-26T00:00:00"/>
    <x v="10"/>
    <m/>
    <d v="2007-07-12T00:00:00"/>
    <d v="2007-08-01T00:00:00"/>
    <n v="113"/>
    <s v="Repuestos "/>
    <s v="Demora por no contar con el barco de Deseado con el Waver"/>
    <s v="en término"/>
    <x v="4"/>
    <n v="1"/>
  </r>
  <r>
    <x v="0"/>
    <x v="0"/>
    <x v="0"/>
    <x v="1"/>
    <s v="009/07 BPB"/>
    <s v="4600226581 (GLOBAL 2007)"/>
    <x v="14"/>
    <n v="58015.9"/>
    <x v="13"/>
    <n v="98"/>
    <d v="2007-07-10T00:00:00"/>
    <s v="Salvador"/>
    <d v="2007-06-26T00:00:00"/>
    <x v="11"/>
    <m/>
    <d v="2007-07-12T00:00:00"/>
    <d v="2007-08-01T00:00:00"/>
    <n v="120"/>
    <s v="40 bombas + fittings"/>
    <s v="Demora por no contar con el barco de Deseado con el Waver"/>
    <s v="atrasado"/>
    <x v="4"/>
    <n v="0"/>
  </r>
  <r>
    <x v="0"/>
    <x v="0"/>
    <x v="0"/>
    <x v="1"/>
    <s v="009/07 BPB"/>
    <s v="4600226581 (GLOBAL 2007)"/>
    <x v="15"/>
    <n v="123169"/>
    <x v="14"/>
    <n v="102"/>
    <d v="2007-06-25T00:00:00"/>
    <s v="Salvador"/>
    <d v="2007-06-26T00:00:00"/>
    <x v="7"/>
    <m/>
    <d v="2007-07-12T00:00:00"/>
    <d v="2007-08-01T00:00:00"/>
    <n v="139"/>
    <s v="67 bombas"/>
    <s v="Demora por no contar con el barco de Deseado con el Waver. "/>
    <s v="atrasado"/>
    <x v="4"/>
    <n v="0"/>
  </r>
  <r>
    <x v="0"/>
    <x v="0"/>
    <x v="0"/>
    <x v="1"/>
    <s v="009/07 BPB"/>
    <s v="4600226581 (GLOBAL 2007)"/>
    <x v="16"/>
    <n v="296472.38"/>
    <x v="15"/>
    <n v="97"/>
    <d v="2007-06-25T00:00:00"/>
    <s v="Salvador"/>
    <d v="2007-06-26T00:00:00"/>
    <x v="7"/>
    <m/>
    <d v="2007-07-12T00:00:00"/>
    <d v="2007-08-01T00:00:00"/>
    <n v="134"/>
    <s v="156 bombas "/>
    <s v="Demora por no contar con el barco de Deseado con el Waver. No corresponder multa según mail 13/04."/>
    <s v="atrasado"/>
    <x v="4"/>
    <n v="0"/>
  </r>
  <r>
    <x v="0"/>
    <x v="0"/>
    <x v="0"/>
    <x v="1"/>
    <s v="009/07 BPB"/>
    <s v="4600226581 (GLOBAL 2007)"/>
    <x v="17"/>
    <n v="93586.59"/>
    <x v="16"/>
    <n v="93"/>
    <d v="2007-06-29T00:00:00"/>
    <s v="Salvador"/>
    <d v="2007-06-26T00:00:00"/>
    <x v="12"/>
    <m/>
    <d v="2007-07-12T00:00:00"/>
    <d v="2007-08-01T00:00:00"/>
    <n v="126"/>
    <s v="72 bombas"/>
    <s v="Demora por no contar con el barco de Deseado con el Waver. "/>
    <s v="atrasado"/>
    <x v="4"/>
    <n v="0"/>
  </r>
  <r>
    <x v="0"/>
    <x v="0"/>
    <x v="0"/>
    <x v="0"/>
    <s v="031/07 BBR"/>
    <m/>
    <x v="18"/>
    <n v="960"/>
    <x v="17"/>
    <n v="30"/>
    <d v="2007-07-01T00:00:00"/>
    <s v="Salvador"/>
    <d v="2007-06-26T00:00:00"/>
    <x v="13"/>
    <m/>
    <d v="2007-07-12T00:00:00"/>
    <d v="2007-08-01T00:00:00"/>
    <n v="61"/>
    <s v="6 guias helicoidal"/>
    <s v="Demora por no contar con el barco de Deseado "/>
    <s v="atrasado"/>
    <x v="4"/>
    <n v="0"/>
  </r>
  <r>
    <x v="0"/>
    <x v="0"/>
    <x v="0"/>
    <x v="0"/>
    <s v="010/07 BBR"/>
    <m/>
    <x v="19"/>
    <n v="15050"/>
    <x v="18"/>
    <n v="60"/>
    <d v="2007-07-07T00:00:00"/>
    <s v="Salvador"/>
    <d v="2007-06-26T00:00:00"/>
    <x v="14"/>
    <m/>
    <d v="2007-07-12T00:00:00"/>
    <d v="2007-08-01T00:00:00"/>
    <n v="85"/>
    <s v="12 bombas para KOCH"/>
    <s v="Demora por no contar con el barco de Deseado "/>
    <s v="atrasado"/>
    <x v="4"/>
    <n v="0"/>
  </r>
  <r>
    <x v="0"/>
    <x v="0"/>
    <x v="0"/>
    <x v="0"/>
    <s v="040/07 BBR"/>
    <m/>
    <x v="20"/>
    <n v="1058"/>
    <x v="19"/>
    <n v="15"/>
    <d v="2007-07-18T00:00:00"/>
    <s v="Salvador"/>
    <d v="2007-07-10T00:00:00"/>
    <x v="15"/>
    <m/>
    <d v="2007-07-21T00:00:00"/>
    <d v="2007-07-23T00:00:00"/>
    <n v="20"/>
    <s v="4 pistones - ENVIAR VIA AEREA"/>
    <m/>
    <s v="atrasado"/>
    <x v="5"/>
    <n v="0"/>
  </r>
  <r>
    <x v="0"/>
    <x v="0"/>
    <x v="0"/>
    <x v="1"/>
    <s v="009/07 BPB"/>
    <s v="4600226581 (GLOBAL 2007)"/>
    <x v="21"/>
    <n v="116132.94"/>
    <x v="20"/>
    <n v="99"/>
    <d v="2007-07-25T00:00:00"/>
    <s v="Salvador"/>
    <d v="2007-07-20T00:00:00"/>
    <x v="16"/>
    <d v="2007-07-30T00:00:00"/>
    <d v="2007-08-16T00:00:00"/>
    <d v="2007-09-05T00:00:00"/>
    <n v="141"/>
    <s v="55 bombas"/>
    <s v="Demora por falta de materia prima (laton - mail 13/07 E. Urien) - De esta PCS se eliminaron 15 bombas (item 100), informado el 19/07 por mail. Nos informan que se rompio el buque (&quot;Frota manaos&quot;: fecha: 02/08). Nos pasan al buque &quot;Frota Rios&quot; del 11/08.  "/>
    <s v="atrasado"/>
    <x v="5"/>
    <n v="0"/>
  </r>
  <r>
    <x v="0"/>
    <x v="0"/>
    <x v="0"/>
    <x v="1"/>
    <s v="009/07 BPB"/>
    <s v="4600226581 (GLOBAL 2007)"/>
    <x v="22"/>
    <n v="82766.09"/>
    <x v="21"/>
    <n v="93"/>
    <d v="2007-07-25T00:00:00"/>
    <s v="Salvador"/>
    <d v="2007-07-20T00:00:00"/>
    <x v="16"/>
    <d v="2007-07-30T00:00:00"/>
    <d v="2007-08-16T00:00:00"/>
    <d v="2007-09-05T00:00:00"/>
    <n v="135"/>
    <s v="65 bombas"/>
    <s v="Demora por falta de materia prima (laton - mail 13/07 E. Urien). Nos informan que se rompio el buque (&quot;Frota manaos&quot;: fecha: 02/08). Nos pasan al buque &quot;Frota Rios&quot; del 11/08.  Recien cargan nuestro contenedor el 15/08 (mail 15/8)"/>
    <s v="atrasado"/>
    <x v="5"/>
    <n v="0"/>
  </r>
  <r>
    <x v="0"/>
    <x v="0"/>
    <x v="0"/>
    <x v="1"/>
    <s v="009/07 BPB"/>
    <s v="4600226581 (GLOBAL 2007)"/>
    <x v="23"/>
    <n v="7778.75"/>
    <x v="22"/>
    <n v="110"/>
    <d v="2007-08-27T00:00:00"/>
    <s v="Salvador"/>
    <d v="2007-07-20T00:00:00"/>
    <x v="17"/>
    <d v="2007-07-30T00:00:00"/>
    <d v="2007-08-16T00:00:00"/>
    <d v="2007-09-05T00:00:00"/>
    <n v="119"/>
    <s v="60 pistones"/>
    <s v="Nos informan que se rompio el buque (&quot;Frota manaos&quot;: fecha: 02/08). Nos pasan al buque &quot;Frota Rios&quot; del 11/08.   Recien cargan nuestro contenedor el 15/08 (mail 15/8)"/>
    <s v="en término"/>
    <x v="5"/>
    <n v="1"/>
  </r>
  <r>
    <x v="0"/>
    <x v="0"/>
    <x v="0"/>
    <x v="0"/>
    <s v="005/07 BBR"/>
    <m/>
    <x v="24"/>
    <n v="23550"/>
    <x v="23"/>
    <n v="137"/>
    <d v="2007-09-03T00:00:00"/>
    <s v="Salvador"/>
    <d v="2007-07-20T00:00:00"/>
    <x v="18"/>
    <d v="2007-07-30T00:00:00"/>
    <d v="2007-08-16T00:00:00"/>
    <d v="2007-09-05T00:00:00"/>
    <n v="139"/>
    <s v="15 bombas"/>
    <s v="Nos informan que se rompio el buque (&quot;Frota manaos&quot;: fecha: 02/08). Nos pasan al buque &quot;Frota Rios&quot; del 11/08.  Recien cargan nuestro contenedor el 15/08 (mail 15/8)"/>
    <s v="en término"/>
    <x v="5"/>
    <n v="1"/>
  </r>
  <r>
    <x v="0"/>
    <x v="0"/>
    <x v="0"/>
    <x v="0"/>
    <s v="027/07 BBR"/>
    <m/>
    <x v="25"/>
    <n v="31080.67"/>
    <x v="24"/>
    <n v="90"/>
    <d v="2007-08-20T00:00:00"/>
    <s v="Salvador"/>
    <d v="2007-07-20T00:00:00"/>
    <x v="19"/>
    <d v="2007-07-30T00:00:00"/>
    <d v="2007-08-16T00:00:00"/>
    <d v="2007-09-05T00:00:00"/>
    <n v="106"/>
    <s v="Repuestos - 1° ENVIO"/>
    <s v="Nos informan que se rompio el buque (&quot;Frota manaos&quot;: fecha: 02/08). Nos pasan al buque &quot;Frota Rios&quot; del 11/08.  Recien cargan nuestro contenedor el 15/08 (mail 15/8)"/>
    <s v="en término"/>
    <x v="5"/>
    <n v="1"/>
  </r>
  <r>
    <x v="0"/>
    <x v="0"/>
    <x v="0"/>
    <x v="1"/>
    <s v="053/04 BPB"/>
    <s v="120-10-0069/04 (GLOBAL 2004)"/>
    <x v="26"/>
    <n v="3950.36"/>
    <x v="25"/>
    <n v="93"/>
    <d v="2007-09-20T00:00:00"/>
    <s v="Salvador"/>
    <d v="2007-08-17T00:00:00"/>
    <x v="20"/>
    <d v="2007-08-21T00:00:00"/>
    <d v="2007-08-23T00:00:00"/>
    <d v="2007-09-11T00:00:00"/>
    <n v="84"/>
    <s v="Repuestos "/>
    <m/>
    <s v="en término"/>
    <x v="6"/>
    <n v="1"/>
  </r>
  <r>
    <x v="0"/>
    <x v="0"/>
    <x v="0"/>
    <x v="1"/>
    <s v="009/07 BPB"/>
    <s v="4600226581 (GLOBAL 2007)"/>
    <x v="27"/>
    <n v="9274.41"/>
    <x v="26"/>
    <n v="166"/>
    <d v="2007-09-12T00:00:00"/>
    <s v="Salvador"/>
    <d v="2007-08-24T00:00:00"/>
    <x v="21"/>
    <m/>
    <d v="2007-08-28T00:00:00"/>
    <d v="2007-09-04T00:00:00"/>
    <n v="158"/>
    <s v="Repuestos - ENTREGAR AL FORWARDER (JAS)"/>
    <m/>
    <s v="en término"/>
    <x v="6"/>
    <n v="1"/>
  </r>
  <r>
    <x v="0"/>
    <x v="0"/>
    <x v="0"/>
    <x v="0"/>
    <s v="016/07 BBR"/>
    <m/>
    <x v="28"/>
    <n v="120250"/>
    <x v="27"/>
    <n v="150"/>
    <d v="2007-09-30T00:00:00"/>
    <s v="Salvador"/>
    <d v="2007-08-17T00:00:00"/>
    <x v="22"/>
    <d v="2007-08-21T00:00:00"/>
    <d v="2007-08-23T00:00:00"/>
    <d v="2007-09-11T00:00:00"/>
    <n v="131"/>
    <s v="67 bombas"/>
    <s v="Retraso en la salida por la inspeccion (V.Veritas recien puede ir el 21/08). Petrobras adelanto la inspeccion para el 14/08."/>
    <s v="en término"/>
    <x v="6"/>
    <n v="1"/>
  </r>
  <r>
    <x v="0"/>
    <x v="0"/>
    <x v="0"/>
    <x v="0"/>
    <s v="041/07 BBR"/>
    <m/>
    <x v="29"/>
    <n v="3345"/>
    <x v="28"/>
    <n v="35"/>
    <d v="2007-08-15T00:00:00"/>
    <s v="Salvador"/>
    <d v="2007-08-17T00:00:00"/>
    <x v="23"/>
    <d v="2007-08-21T00:00:00"/>
    <d v="2007-08-23T00:00:00"/>
    <d v="2007-09-11T00:00:00"/>
    <n v="62"/>
    <s v="3 bombas para la Universidad"/>
    <m/>
    <s v="atrasado"/>
    <x v="6"/>
    <n v="0"/>
  </r>
  <r>
    <x v="0"/>
    <x v="0"/>
    <x v="0"/>
    <x v="1"/>
    <s v="009/07 BPB"/>
    <s v="4600226581 (GLOBAL 2007)"/>
    <x v="30"/>
    <n v="51062.85"/>
    <x v="29"/>
    <n v="93"/>
    <d v="2007-05-26T00:00:00"/>
    <s v="Salvador"/>
    <d v="2007-08-17T00:00:00"/>
    <x v="24"/>
    <d v="2007-08-21T00:00:00"/>
    <d v="2007-08-23T00:00:00"/>
    <d v="2007-09-11T00:00:00"/>
    <n v="201"/>
    <s v="39 bombas"/>
    <s v="Retraso en la salida por la inspeccion (V.Veritas recien puede ir el 21/08). Petrobras adelanto la inspeccion para el 14/08. - PCS perdida"/>
    <s v="atrasado"/>
    <x v="6"/>
    <n v="0"/>
  </r>
  <r>
    <x v="0"/>
    <x v="0"/>
    <x v="0"/>
    <x v="1"/>
    <s v="009/07 BPB"/>
    <s v="4600226581 (GLOBAL 2007)"/>
    <x v="31"/>
    <n v="967.62"/>
    <x v="30"/>
    <n v="102"/>
    <d v="2007-10-08T00:00:00"/>
    <s v="Salvador"/>
    <d v="2007-08-24T00:00:00"/>
    <x v="25"/>
    <m/>
    <d v="2007-08-28T00:00:00"/>
    <d v="2007-09-04T00:00:00"/>
    <n v="68"/>
    <s v="Repuestos - ENTREGAR AL FORWARDER (JAS)"/>
    <m/>
    <s v="en término"/>
    <x v="6"/>
    <n v="1"/>
  </r>
  <r>
    <x v="0"/>
    <x v="0"/>
    <x v="0"/>
    <x v="1"/>
    <s v="009/07 BPB"/>
    <s v="4600226581 (GLOBAL 2007)"/>
    <x v="32"/>
    <n v="325320.26"/>
    <x v="31"/>
    <n v="100"/>
    <d v="2007-10-07T00:00:00"/>
    <s v="Salvador"/>
    <d v="2007-09-21T00:00:00"/>
    <x v="9"/>
    <m/>
    <d v="2007-10-11T00:00:00"/>
    <d v="2007-10-19T00:00:00"/>
    <n v="112"/>
    <s v="162 bombas"/>
    <s v="Nos informa Luis que del 28/9 se postergo la salida al 05/10, y se cambio nuevamente de barco ya que el mismo no ingresa a Salvador, nueva fecha 08/10."/>
    <s v="atrasado"/>
    <x v="7"/>
    <n v="0"/>
  </r>
  <r>
    <x v="0"/>
    <x v="0"/>
    <x v="0"/>
    <x v="1"/>
    <s v="009/07 BPB"/>
    <s v="4600226581 (GLOBAL 2007)"/>
    <x v="33"/>
    <n v="182786.15"/>
    <x v="32"/>
    <n v="102"/>
    <d v="2007-09-25T00:00:00"/>
    <s v="Salvador"/>
    <d v="2007-09-21T00:00:00"/>
    <x v="5"/>
    <m/>
    <d v="2007-10-11T00:00:00"/>
    <d v="2007-10-19T00:00:00"/>
    <n v="126"/>
    <s v="142 bombas"/>
    <s v="Nos informa Luis que del 28/9 se postergo la salida al 05/10, y se cambio nuevamente de barco ya que el mismo no ingresa a Salvador, nueva fecha 08/10."/>
    <s v="atrasado"/>
    <x v="7"/>
    <n v="0"/>
  </r>
  <r>
    <x v="0"/>
    <x v="0"/>
    <x v="0"/>
    <x v="1"/>
    <s v="009/07 BPB"/>
    <s v="4600226581 (GLOBAL 2007)"/>
    <x v="34"/>
    <n v="12274.73"/>
    <x v="33"/>
    <n v="114"/>
    <d v="2007-10-06T00:00:00"/>
    <s v="Salvador"/>
    <d v="2007-09-21T00:00:00"/>
    <x v="14"/>
    <m/>
    <d v="2007-10-11T00:00:00"/>
    <d v="2007-10-19T00:00:00"/>
    <n v="127"/>
    <s v="10 bombas"/>
    <s v="Nos informa Luis que del 28/9 se postergo la salida al 05/10, y se cambio nuevamente de barco ya que el mismo no ingresa a Salvador, nueva fecha 08/10."/>
    <s v="atrasado"/>
    <x v="7"/>
    <n v="0"/>
  </r>
  <r>
    <x v="0"/>
    <x v="0"/>
    <x v="0"/>
    <x v="0"/>
    <s v="056/05 BBR"/>
    <m/>
    <x v="35"/>
    <n v="26796"/>
    <x v="34"/>
    <n v="30"/>
    <d v="2007-09-15T00:00:00"/>
    <s v="Salvador"/>
    <d v="2007-09-21T00:00:00"/>
    <x v="3"/>
    <m/>
    <d v="2007-10-11T00:00:00"/>
    <d v="2007-10-19T00:00:00"/>
    <n v="64"/>
    <s v="102 vástagos - 7° ENVIO - GLOBAL DE VÁSTAGOS"/>
    <s v="Nos informa Luis que del 28/9 se postergo la salida al 05/10, y se cambio nuevamente de barco ya que el mismo no ingresa a Salvador, nueva fecha 08/10."/>
    <s v="atrasado"/>
    <x v="7"/>
    <n v="0"/>
  </r>
  <r>
    <x v="0"/>
    <x v="0"/>
    <x v="0"/>
    <x v="0"/>
    <s v="023/07 BBR"/>
    <m/>
    <x v="36"/>
    <n v="8540"/>
    <x v="35"/>
    <n v="30"/>
    <d v="2007-09-22T00:00:00"/>
    <s v="Salvador"/>
    <d v="2007-09-21T00:00:00"/>
    <x v="6"/>
    <m/>
    <d v="2007-10-11T00:00:00"/>
    <d v="2007-10-19T00:00:00"/>
    <n v="57"/>
    <s v="2 bombas"/>
    <s v="Nos informa Luis que del 28/9 se postergo la salida al 05/10, y se cambio nuevamente de barco ya que el mismo no ingresa a Salvador, nueva fecha 08/10."/>
    <s v="atrasado"/>
    <x v="7"/>
    <n v="0"/>
  </r>
  <r>
    <x v="0"/>
    <x v="0"/>
    <x v="0"/>
    <x v="0"/>
    <s v="042/07 BBR"/>
    <m/>
    <x v="37"/>
    <n v="3516.5"/>
    <x v="36"/>
    <n v="113"/>
    <d v="2007-12-28T00:00:00"/>
    <s v="Salvador"/>
    <d v="2007-09-21T00:00:00"/>
    <x v="26"/>
    <m/>
    <d v="2007-10-11T00:00:00"/>
    <d v="2007-10-19T00:00:00"/>
    <n v="43"/>
    <s v="10 Pistones(Aracaju) + 150 copas (S. Mateus)"/>
    <s v="Nos informa Luis que del 28/9 se postergo la salida al 05/10, y se cambio nuevamente de barco ya que el mismo no ingresa a Salvador, nueva fecha 08/10."/>
    <s v="en término"/>
    <x v="7"/>
    <n v="1"/>
  </r>
  <r>
    <x v="0"/>
    <x v="0"/>
    <x v="0"/>
    <x v="0"/>
    <s v="052/07 BBR"/>
    <s v="Pedido Petrobras N° 4501684793"/>
    <x v="38"/>
    <n v="380"/>
    <x v="34"/>
    <n v="30"/>
    <d v="2007-09-15T00:00:00"/>
    <s v="Salvador"/>
    <d v="2007-09-21T00:00:00"/>
    <x v="3"/>
    <m/>
    <d v="2007-10-11T00:00:00"/>
    <d v="2007-10-19T00:00:00"/>
    <n v="64"/>
    <s v="2 pescadores + 2 copas"/>
    <s v="Nos informa Luis que del 28/9 se postergo la salida al 05/10, y se cambio nuevamente de barco ya que el mismo no ingresa a Salvador, nueva fecha 08/10."/>
    <s v="atrasado"/>
    <x v="7"/>
    <n v="0"/>
  </r>
  <r>
    <x v="0"/>
    <x v="0"/>
    <x v="0"/>
    <x v="0"/>
    <s v="039/07 BBR"/>
    <m/>
    <x v="39"/>
    <n v="7850"/>
    <x v="37"/>
    <n v="60"/>
    <d v="2007-09-25T00:00:00"/>
    <s v="Salvador"/>
    <d v="2007-09-21T00:00:00"/>
    <x v="5"/>
    <m/>
    <d v="2007-10-11T00:00:00"/>
    <d v="2007-10-19T00:00:00"/>
    <n v="84"/>
    <s v="5 bombas para KOCH"/>
    <s v="Nos informa Luis que del 28/9 se postergo la salida al 05/10, y se cambio nuevamente de barco ya que el mismo no ingresa a Salvador, nueva fecha 08/10."/>
    <s v="atrasado"/>
    <x v="7"/>
    <n v="0"/>
  </r>
  <r>
    <x v="0"/>
    <x v="0"/>
    <x v="0"/>
    <x v="0"/>
    <s v="027/07 BBR"/>
    <m/>
    <x v="25"/>
    <n v="6414.33"/>
    <x v="24"/>
    <n v="90"/>
    <d v="2007-08-20T00:00:00"/>
    <s v="Salvador"/>
    <d v="2007-09-21T00:00:00"/>
    <x v="27"/>
    <m/>
    <d v="2007-10-11T00:00:00"/>
    <d v="2007-10-19T00:00:00"/>
    <n v="150"/>
    <s v="Repuestos (39 vástagos) - 2° ENVIO"/>
    <s v="Nos informa Luis que del 28/9 se postergo la salida al 05/10, y se cambio nuevamente de barco ya que el mismo no ingresa a Salvador, nueva fecha 08/10."/>
    <s v="atrasado"/>
    <x v="7"/>
    <n v="0"/>
  </r>
  <r>
    <x v="0"/>
    <x v="0"/>
    <x v="0"/>
    <x v="0"/>
    <s v="036/07 BBR"/>
    <s v="Pedido Petrobras N° 4501488391"/>
    <x v="40"/>
    <n v="5060"/>
    <x v="38"/>
    <n v="70"/>
    <d v="2007-09-01T00:00:00"/>
    <s v="Salvador"/>
    <d v="2007-09-21T00:00:00"/>
    <x v="28"/>
    <m/>
    <d v="2007-10-11T00:00:00"/>
    <d v="2007-10-19T00:00:00"/>
    <n v="118"/>
    <s v="3 bombas"/>
    <s v="Nos informa Luis que del 28/9 se postergo la salida al 05/10, y se cambio nuevamente de barco ya que el mismo no ingresa a Salvador, nueva fecha 08/10."/>
    <s v="atrasado"/>
    <x v="7"/>
    <n v="0"/>
  </r>
  <r>
    <x v="0"/>
    <x v="0"/>
    <x v="0"/>
    <x v="0"/>
    <s v="004/07 BBR"/>
    <s v="Pedido Petrobras N° 4501451645"/>
    <x v="41"/>
    <n v="303"/>
    <x v="39"/>
    <n v="30"/>
    <d v="2007-10-28T00:00:00"/>
    <s v="Salvador"/>
    <d v="2007-10-05T00:00:00"/>
    <x v="18"/>
    <m/>
    <d v="2007-10-10T00:00:00"/>
    <d v="2007-10-12T00:00:00"/>
    <n v="14"/>
    <s v="Fittings"/>
    <s v="Esta PO vencio en Mayo. PO perdida"/>
    <s v="en término"/>
    <x v="8"/>
    <n v="1"/>
  </r>
  <r>
    <x v="0"/>
    <x v="0"/>
    <x v="0"/>
    <x v="1"/>
    <s v="009/07 BPB"/>
    <s v="4600226581 (GLOBAL 2007)"/>
    <x v="42"/>
    <n v="20681.07"/>
    <x v="40"/>
    <n v="126"/>
    <d v="2007-09-20T00:00:00"/>
    <s v="Salvador"/>
    <d v="2007-10-10T00:00:00"/>
    <x v="29"/>
    <d v="2007-10-15T00:00:00"/>
    <d v="2007-10-20T00:00:00"/>
    <d v="2007-10-31T00:00:00"/>
    <n v="167"/>
    <s v="16 bombas + fittings"/>
    <s v="El buque del 26/10 se paso al 28/10, hoy 18/10 nos informan que el buque se paso al 20/10-PCS perdida"/>
    <s v="atrasado"/>
    <x v="8"/>
    <n v="0"/>
  </r>
  <r>
    <x v="0"/>
    <x v="0"/>
    <x v="0"/>
    <x v="1"/>
    <s v="009/07 BPB"/>
    <s v="4600226581 (GLOBAL 2007)"/>
    <x v="43"/>
    <n v="117425"/>
    <x v="41"/>
    <n v="98"/>
    <d v="2007-10-25T00:00:00"/>
    <s v="Salvador"/>
    <d v="2007-10-19T00:00:00"/>
    <x v="30"/>
    <d v="2007-11-02T00:00:00"/>
    <d v="2007-11-04T00:00:00"/>
    <d v="2007-11-13T00:00:00"/>
    <n v="117"/>
    <s v="85 bombas"/>
    <s v="Nos informan que el buque &quot;Flamengo&quot; no salio y pasa al buque Alianca Brasil el 02 de Nov. (mail de Luis 30/10)"/>
    <s v="atrasado"/>
    <x v="8"/>
    <n v="0"/>
  </r>
  <r>
    <x v="0"/>
    <x v="0"/>
    <x v="0"/>
    <x v="0"/>
    <s v="037/07 BBR"/>
    <s v="Pedido Petrobras N° 4501634502"/>
    <x v="44"/>
    <n v="139860"/>
    <x v="38"/>
    <n v="176"/>
    <d v="2007-12-16T00:00:00"/>
    <s v="Salvador"/>
    <d v="2007-10-19T00:00:00"/>
    <x v="31"/>
    <d v="2007-11-02T00:00:00"/>
    <d v="2007-11-04T00:00:00"/>
    <d v="2007-11-13T00:00:00"/>
    <n v="143"/>
    <s v="70 bombas"/>
    <s v="Nos informan que el buque &quot;Flamengo&quot; no salio y pasa al buque Alianca Brasil el 02 de Nov. (mail de Luis 30/10)"/>
    <s v="en término"/>
    <x v="8"/>
    <n v="1"/>
  </r>
  <r>
    <x v="0"/>
    <x v="0"/>
    <x v="0"/>
    <x v="0"/>
    <s v="045/07 BBR"/>
    <s v="Pedido Petrobras N° 4501703110"/>
    <x v="45"/>
    <n v="78093.460000000006"/>
    <x v="42"/>
    <n v="90"/>
    <d v="2007-10-28T00:00:00"/>
    <s v="Salvador"/>
    <d v="2007-10-19T00:00:00"/>
    <x v="32"/>
    <d v="2007-11-02T00:00:00"/>
    <d v="2007-11-04T00:00:00"/>
    <d v="2007-11-13T00:00:00"/>
    <n v="106"/>
    <s v="28+7=35 bombas"/>
    <s v="Nos informan que el buque &quot;Flamengo&quot; no salio y pasa al buque Alianca Brasil el 02 de Nov. (mail de Luis 30/10)"/>
    <s v="atrasado"/>
    <x v="8"/>
    <n v="0"/>
  </r>
  <r>
    <x v="0"/>
    <x v="0"/>
    <x v="0"/>
    <x v="0"/>
    <s v="053/07 BBR"/>
    <m/>
    <x v="46"/>
    <n v="19150"/>
    <x v="36"/>
    <n v="60"/>
    <d v="2007-11-05T00:00:00"/>
    <s v="Salvador"/>
    <d v="2007-10-19T00:00:00"/>
    <x v="2"/>
    <d v="2007-11-02T00:00:00"/>
    <d v="2007-11-04T00:00:00"/>
    <d v="2007-11-13T00:00:00"/>
    <n v="68"/>
    <s v="15 bombas - PETRORECONCAVO"/>
    <s v="Nos informan que el buque &quot;Flamengo&quot; no salio y pasa al buque Alianca Brasil el 02 de Nov. (mail de Luis 30/10)"/>
    <s v="en término"/>
    <x v="8"/>
    <n v="1"/>
  </r>
  <r>
    <x v="0"/>
    <x v="0"/>
    <x v="0"/>
    <x v="1"/>
    <s v="009/07 BPB"/>
    <s v="4600226581 (GLOBAL 2007)"/>
    <x v="47"/>
    <n v="616.70000000000005"/>
    <x v="43"/>
    <n v="119"/>
    <d v="2007-10-24T00:00:00"/>
    <s v="Salvador"/>
    <d v="2007-09-21T00:00:00"/>
    <x v="5"/>
    <d v="2007-11-06T00:00:00"/>
    <d v="2007-11-09T00:00:00"/>
    <d v="2007-11-19T00:00:00"/>
    <n v="145"/>
    <s v="150 copas"/>
    <s v="Nos informa Luis que del 28/9 se postergo la salida al 05/10, y se cambio nuevamente de barco ya que el mismo no ingresa a Salvador, nueva fecha 08/10."/>
    <s v="atrasado"/>
    <x v="7"/>
    <n v="0"/>
  </r>
  <r>
    <x v="0"/>
    <x v="0"/>
    <x v="0"/>
    <x v="0"/>
    <s v="034/07 BBR"/>
    <s v="Pedido Petrobras N° 4501737099"/>
    <x v="48"/>
    <n v="78915.179999999993"/>
    <x v="34"/>
    <n v="90"/>
    <d v="2007-11-14T00:00:00"/>
    <s v="Salvador"/>
    <d v="2007-11-02T00:00:00"/>
    <x v="33"/>
    <d v="2007-11-06T00:00:00"/>
    <d v="2007-11-09T00:00:00"/>
    <d v="2007-11-23T00:00:00"/>
    <n v="99"/>
    <s v="30 + 6 = 36 bombas"/>
    <m/>
    <s v="en término"/>
    <x v="9"/>
    <n v="1"/>
  </r>
  <r>
    <x v="0"/>
    <x v="0"/>
    <x v="0"/>
    <x v="1"/>
    <s v="009/07 BPB"/>
    <s v="4600226581 (GLOBAL 2007)"/>
    <x v="49"/>
    <n v="86850.39"/>
    <x v="34"/>
    <n v="102"/>
    <d v="2007-11-26T00:00:00"/>
    <s v="Salvador"/>
    <d v="2007-11-02T00:00:00"/>
    <x v="34"/>
    <d v="2007-11-06T00:00:00"/>
    <d v="2007-11-09T00:00:00"/>
    <d v="2007-11-23T00:00:00"/>
    <n v="99"/>
    <s v="60 bombas"/>
    <m/>
    <s v="en término"/>
    <x v="9"/>
    <n v="1"/>
  </r>
  <r>
    <x v="0"/>
    <x v="0"/>
    <x v="0"/>
    <x v="1"/>
    <s v="009/07 BPB"/>
    <s v="4600226581 (GLOBAL 2007)"/>
    <x v="50"/>
    <n v="11678.03"/>
    <x v="44"/>
    <n v="104"/>
    <d v="2007-11-29T00:00:00"/>
    <s v="Salvador"/>
    <d v="2007-11-02T00:00:00"/>
    <x v="35"/>
    <d v="2007-11-06T00:00:00"/>
    <d v="2007-11-09T00:00:00"/>
    <d v="2007-11-23T00:00:00"/>
    <n v="98"/>
    <s v="10 bombas + fittings"/>
    <m/>
    <s v="en término"/>
    <x v="9"/>
    <n v="1"/>
  </r>
  <r>
    <x v="0"/>
    <x v="0"/>
    <x v="0"/>
    <x v="1"/>
    <s v="009/07 BPB"/>
    <s v="4600226581 (GLOBAL 2007)"/>
    <x v="51"/>
    <n v="1012"/>
    <x v="28"/>
    <n v="106"/>
    <d v="2007-10-25T00:00:00"/>
    <s v="Salvador"/>
    <d v="2007-11-16T00:00:00"/>
    <x v="36"/>
    <m/>
    <d v="2007-11-21T00:00:00"/>
    <d v="2007-12-01T00:00:00"/>
    <n v="143"/>
    <s v="200 copas"/>
    <s v="Esta PO vencio en Octubre.  PO perdida"/>
    <s v="atrasado"/>
    <x v="9"/>
    <n v="0"/>
  </r>
  <r>
    <x v="0"/>
    <x v="0"/>
    <x v="0"/>
    <x v="1"/>
    <s v="029/07 BRB"/>
    <s v="4600239573 (GLOBAL 2007)"/>
    <x v="52"/>
    <n v="8432.24"/>
    <x v="45"/>
    <n v="66"/>
    <d v="2007-12-29T00:00:00"/>
    <s v="Salvador"/>
    <d v="2007-11-27T00:00:00"/>
    <x v="37"/>
    <d v="2007-11-30T00:00:00"/>
    <d v="2007-11-30T00:00:00"/>
    <d v="2007-12-18T00:00:00"/>
    <n v="55"/>
    <s v="33 vastagos - 1° ENVIO"/>
    <m/>
    <s v="en término"/>
    <x v="9"/>
    <n v="1"/>
  </r>
  <r>
    <x v="0"/>
    <x v="0"/>
    <x v="0"/>
    <x v="1"/>
    <s v="009/07 BPB"/>
    <s v="4600226581 (GLOBAL 2007)"/>
    <x v="53"/>
    <n v="7764.87"/>
    <x v="46"/>
    <n v="102"/>
    <d v="2008-01-06T00:00:00"/>
    <s v="Salvador"/>
    <d v="2007-11-27T00:00:00"/>
    <x v="38"/>
    <d v="2007-11-30T00:00:00"/>
    <d v="2007-11-30T00:00:00"/>
    <d v="2007-12-18T00:00:00"/>
    <n v="83"/>
    <s v="4 bombas + fittings"/>
    <m/>
    <s v="en término"/>
    <x v="9"/>
    <n v="1"/>
  </r>
  <r>
    <x v="0"/>
    <x v="0"/>
    <x v="0"/>
    <x v="1"/>
    <s v="009/07 BPB"/>
    <s v="4600226581 (GLOBAL 2007)"/>
    <x v="54"/>
    <n v="26750.7"/>
    <x v="47"/>
    <n v="96"/>
    <d v="2007-12-30T00:00:00"/>
    <s v="Salvador"/>
    <d v="2007-11-27T00:00:00"/>
    <x v="39"/>
    <d v="2007-11-30T00:00:00"/>
    <d v="2007-11-30T00:00:00"/>
    <d v="2007-12-18T00:00:00"/>
    <n v="84"/>
    <s v="20 bombas + fittings"/>
    <m/>
    <s v="en término"/>
    <x v="9"/>
    <n v="1"/>
  </r>
  <r>
    <x v="0"/>
    <x v="0"/>
    <x v="0"/>
    <x v="1"/>
    <s v="009/07 BPB"/>
    <s v="4600226581 (GLOBAL 2007)"/>
    <x v="55"/>
    <n v="1371.61"/>
    <x v="48"/>
    <n v="93"/>
    <d v="2008-01-17T00:00:00"/>
    <s v="Salvador"/>
    <d v="2007-11-27T00:00:00"/>
    <x v="40"/>
    <d v="2007-11-30T00:00:00"/>
    <d v="2007-11-30T00:00:00"/>
    <d v="2007-12-18T00:00:00"/>
    <n v="63"/>
    <s v="Fittings"/>
    <m/>
    <s v="en término"/>
    <x v="9"/>
    <n v="1"/>
  </r>
  <r>
    <x v="0"/>
    <x v="0"/>
    <x v="0"/>
    <x v="1"/>
    <s v="009/07 BPB"/>
    <s v="4600226581 (GLOBAL 2007)"/>
    <x v="56"/>
    <n v="68909.39"/>
    <x v="24"/>
    <n v="97"/>
    <d v="2007-08-27T00:00:00"/>
    <s v="Salvador"/>
    <d v="2007-11-27T00:00:00"/>
    <x v="41"/>
    <d v="2007-11-30T00:00:00"/>
    <d v="2007-11-30T00:00:00"/>
    <d v="2007-12-18T00:00:00"/>
    <n v="210"/>
    <s v="55 bombas"/>
    <s v="PO perdida"/>
    <s v="atrasado"/>
    <x v="9"/>
    <n v="0"/>
  </r>
  <r>
    <x v="0"/>
    <x v="0"/>
    <x v="0"/>
    <x v="1"/>
    <s v="009/07 BPB"/>
    <s v="4600226581 (GLOBAL 2007)"/>
    <x v="57"/>
    <n v="108585.87"/>
    <x v="49"/>
    <n v="106"/>
    <d v="2007-12-27T00:00:00"/>
    <s v="Salvador"/>
    <d v="2007-11-27T00:00:00"/>
    <x v="42"/>
    <d v="2007-11-30T00:00:00"/>
    <d v="2007-11-30T00:00:00"/>
    <d v="2007-12-18T00:00:00"/>
    <n v="97"/>
    <s v="80 bombas"/>
    <m/>
    <s v="en término"/>
    <x v="9"/>
    <n v="1"/>
  </r>
  <r>
    <x v="0"/>
    <x v="0"/>
    <x v="0"/>
    <x v="0"/>
    <s v="066/07 BBR"/>
    <s v="Cotiz. Petrobras N° 7000114748"/>
    <x v="58"/>
    <n v="6375"/>
    <x v="50"/>
    <n v="30"/>
    <d v="2007-12-13T00:00:00"/>
    <s v="Salvador"/>
    <d v="2007-11-27T00:00:00"/>
    <x v="10"/>
    <d v="2007-11-30T00:00:00"/>
    <d v="2007-11-30T00:00:00"/>
    <d v="2007-12-18T00:00:00"/>
    <n v="35"/>
    <s v="Fittings"/>
    <m/>
    <s v="en término"/>
    <x v="9"/>
    <n v="1"/>
  </r>
  <r>
    <x v="0"/>
    <x v="0"/>
    <x v="1"/>
    <x v="2"/>
    <s v="001/07 CPG"/>
    <m/>
    <x v="59"/>
    <n v="906"/>
    <x v="51"/>
    <n v="30"/>
    <d v="2007-04-20T00:00:00"/>
    <s v="Buenos Aires"/>
    <d v="2007-04-10T00:00:00"/>
    <x v="15"/>
    <m/>
    <d v="2007-04-23T00:00:00"/>
    <d v="2007-04-26T00:00:00"/>
    <n v="36"/>
    <s v="3 pistones"/>
    <m/>
    <s v="atrasado"/>
    <x v="10"/>
    <n v="0"/>
  </r>
  <r>
    <x v="0"/>
    <x v="0"/>
    <x v="2"/>
    <x v="3"/>
    <s v="090/06 VBV"/>
    <m/>
    <x v="60"/>
    <n v="214979.20000000001"/>
    <x v="52"/>
    <n v="20"/>
    <d v="2007-01-04T00:00:00"/>
    <s v="Pto. Cabello"/>
    <d v="2007-01-16T00:00:00"/>
    <x v="43"/>
    <d v="2007-01-24T00:00:00"/>
    <d v="2007-02-02T00:00:00"/>
    <d v="2007-02-22T00:00:00"/>
    <n v="69"/>
    <s v="156 barriles, 508 pistones, fittings varios"/>
    <s v="Debido a un atraso en la entrega de unos materiales de Tantal, se debe retrasar la entrega de esta orden. (1° fecha prevista 29/12 - nueva fecha 09/01/07)"/>
    <s v="atrasado"/>
    <x v="0"/>
    <n v="0"/>
  </r>
  <r>
    <x v="0"/>
    <x v="0"/>
    <x v="2"/>
    <x v="3"/>
    <s v="013/07 VBV"/>
    <m/>
    <x v="61"/>
    <n v="264301.3"/>
    <x v="53"/>
    <n v="25"/>
    <d v="2007-04-02T00:00:00"/>
    <s v="Pto. Cabello"/>
    <d v="2007-04-04T00:00:00"/>
    <x v="11"/>
    <d v="2007-04-08T00:00:00"/>
    <d v="2007-04-11T00:00:00"/>
    <d v="2007-05-11T00:00:00"/>
    <n v="64"/>
    <s v="390 barriles, 713 pistones, fittings varios"/>
    <m/>
    <s v="atrasado"/>
    <x v="10"/>
    <n v="0"/>
  </r>
  <r>
    <x v="0"/>
    <x v="0"/>
    <x v="2"/>
    <x v="3"/>
    <s v="022/07 VBV"/>
    <m/>
    <x v="62"/>
    <n v="93676.800000000003"/>
    <x v="54"/>
    <n v="12"/>
    <d v="2007-04-30T00:00:00"/>
    <s v="Pto. Cabello"/>
    <d v="2007-05-02T00:00:00"/>
    <x v="11"/>
    <d v="2007-05-08T00:00:00"/>
    <d v="2007-05-19T00:00:00"/>
    <d v="2007-06-14T00:00:00"/>
    <n v="57"/>
    <s v="186 barriles, 69 pistones, fittings varios"/>
    <m/>
    <s v="atrasado"/>
    <x v="3"/>
    <n v="0"/>
  </r>
  <r>
    <x v="0"/>
    <x v="0"/>
    <x v="2"/>
    <x v="3"/>
    <s v="032/07 VBV"/>
    <m/>
    <x v="63"/>
    <n v="111684.4"/>
    <x v="17"/>
    <n v="30"/>
    <d v="2007-07-01T00:00:00"/>
    <s v="Pto. Cabello"/>
    <d v="2007-07-03T00:00:00"/>
    <x v="11"/>
    <d v="2007-07-17T00:00:00"/>
    <d v="2007-07-21T00:00:00"/>
    <d v="2007-08-16T00:00:00"/>
    <n v="76"/>
    <s v="197 barriles, 58 pistones, fittings varios"/>
    <s v="Debido a un atraso en la entrega de unos materiales de Tantal, se debe retrasar la entrega de esta orden. (1° fecha prevista 29/12 - nueva fecha 09/01/07)"/>
    <s v="atrasado"/>
    <x v="5"/>
    <n v="0"/>
  </r>
  <r>
    <x v="0"/>
    <x v="0"/>
    <x v="2"/>
    <x v="3"/>
    <s v="044/07 VBV"/>
    <m/>
    <x v="64"/>
    <n v="176741"/>
    <x v="55"/>
    <n v="30"/>
    <d v="2007-08-15T00:00:00"/>
    <s v="Pto. Cabello"/>
    <d v="2007-10-05T00:00:00"/>
    <x v="44"/>
    <d v="2007-10-16T00:00:00"/>
    <d v="2007-10-22T00:00:00"/>
    <d v="2007-11-16T00:00:00"/>
    <n v="123"/>
    <s v="252 barriles, 408 pistones, fittings varios"/>
    <s v="A pedido de Venezuela se posterga la salida hasta nuevo aviso, se espera poder despachar para Octubre (mail de J.L.Cuellar 20/08).  El dia 26/09 Jose Luis Cuellar no da la autorizacion para realizar el despacho de la PO. - Atraso real 51 dias"/>
    <s v="en término"/>
    <x v="8"/>
    <n v="1"/>
  </r>
  <r>
    <x v="0"/>
    <x v="0"/>
    <x v="2"/>
    <x v="3"/>
    <s v="069/07 VBV"/>
    <m/>
    <x v="65"/>
    <n v="56235.7"/>
    <x v="56"/>
    <n v="30"/>
    <d v="2007-11-29T00:00:00"/>
    <s v="Pto. Cabello"/>
    <d v="2007-12-18T00:00:00"/>
    <x v="44"/>
    <d v="2007-12-21T00:00:00"/>
    <d v="2007-12-30T00:00:00"/>
    <d v="2008-01-29T00:00:00"/>
    <n v="91"/>
    <s v="18 barriles, 25 pistones, fittings varios"/>
    <s v="Se solicito el CADIVI el 14/11 pero por problemas en la pagina del Organismo no se entrega el mismo. - Atraso real 31 dias"/>
    <s v="en término"/>
    <x v="11"/>
    <n v="1"/>
  </r>
  <r>
    <x v="0"/>
    <x v="0"/>
    <x v="3"/>
    <x v="4"/>
    <s v="094/06 ETE"/>
    <m/>
    <x v="66"/>
    <n v="7280"/>
    <x v="8"/>
    <n v="65"/>
    <d v="2007-03-25T00:00:00"/>
    <s v="Buenos Aires"/>
    <d v="2007-03-15T00:00:00"/>
    <x v="44"/>
    <d v="2007-04-20T00:00:00"/>
    <d v="2007-04-27T00:00:00"/>
    <d v="2007-05-27T00:00:00"/>
    <n v="128"/>
    <s v="4 bombas - ENTREGAR AL FORWARDER - ALMAR - LLEVA INSPECCION DE PRE EMBARQUE - BALTIC"/>
    <s v="NOTA:  Estas PO estaban previstas que se despachen via AEREA (22 de Marzo a Quito) pero por motivo en el costo alto del flete, el forwarder freno la salida ya que estan consultando con el cliente de enviarla via maritima.  03 de Abril: piden que se envie "/>
    <s v="en término"/>
    <x v="2"/>
    <n v="1"/>
  </r>
  <r>
    <x v="0"/>
    <x v="0"/>
    <x v="3"/>
    <x v="4"/>
    <s v="002/07 ETE"/>
    <m/>
    <x v="67"/>
    <n v="7280"/>
    <x v="57"/>
    <n v="16"/>
    <d v="2007-03-25T00:00:00"/>
    <s v="Buenos Aires"/>
    <d v="2007-03-15T00:00:00"/>
    <x v="44"/>
    <d v="2007-04-20T00:00:00"/>
    <d v="2007-04-27T00:00:00"/>
    <d v="2007-05-27T00:00:00"/>
    <n v="79"/>
    <s v="4 bombas - ENTREGAR AL FORWARDER - ALMAR - LLEVA INSPECCION DE PRE EMBARQUE - BALTIC"/>
    <s v="NOTA:  Estas PO estaban previstas que se despachen via AEREA (22 de Marzo a Quito) pero por motivo en el costo alto del flete, el forwarder freno la salida ya que estan consultando con el cliente de enviarla via maritima.  03 de Abril: piden que se envie "/>
    <s v="en término"/>
    <x v="2"/>
    <n v="1"/>
  </r>
  <r>
    <x v="0"/>
    <x v="0"/>
    <x v="3"/>
    <x v="4"/>
    <s v="065/07 ETE"/>
    <m/>
    <x v="68"/>
    <n v="12410.04"/>
    <x v="58"/>
    <n v="30"/>
    <d v="2007-12-19T00:00:00"/>
    <s v="Buenos Aires"/>
    <d v="2007-12-18T00:00:00"/>
    <x v="45"/>
    <d v="2007-12-26T00:00:00"/>
    <d v="2008-01-02T00:00:00"/>
    <d v="2008-01-22T00:00:00"/>
    <n v="64"/>
    <s v="9 bombas - LLEVA INSPECCION DE PRE EMBARQUE - ENTREGAR AL FORWARDER - ENVIAR CERTIFICADOS - PEDIR AUTORIZACION"/>
    <m/>
    <s v="atrasado"/>
    <x v="11"/>
    <n v="0"/>
  </r>
  <r>
    <x v="0"/>
    <x v="0"/>
    <x v="4"/>
    <x v="5"/>
    <s v="076/06 PPE"/>
    <m/>
    <x v="69"/>
    <n v="36690"/>
    <x v="59"/>
    <n v="64"/>
    <d v="2007-01-25T00:00:00"/>
    <s v="Buenos Aires"/>
    <d v="2007-01-12T00:00:00"/>
    <x v="46"/>
    <d v="2007-01-18T00:00:00"/>
    <d v="2007-01-22T00:00:00"/>
    <d v="2007-02-11T00:00:00"/>
    <n v="81"/>
    <s v="97 vastagos"/>
    <m/>
    <s v="en término"/>
    <x v="0"/>
    <n v="1"/>
  </r>
  <r>
    <x v="0"/>
    <x v="0"/>
    <x v="4"/>
    <x v="5"/>
    <s v="075/06 PPE"/>
    <m/>
    <x v="70"/>
    <n v="9620"/>
    <x v="60"/>
    <n v="62"/>
    <d v="2007-01-25T00:00:00"/>
    <s v="Buenos Aires"/>
    <d v="2007-01-12T00:00:00"/>
    <x v="46"/>
    <d v="2007-01-18T00:00:00"/>
    <d v="2007-01-22T00:00:00"/>
    <d v="2007-02-11T00:00:00"/>
    <n v="79"/>
    <s v="30 vastagos"/>
    <m/>
    <s v="en término"/>
    <x v="0"/>
    <n v="1"/>
  </r>
  <r>
    <x v="0"/>
    <x v="0"/>
    <x v="4"/>
    <x v="6"/>
    <s v="033/07 PMO"/>
    <m/>
    <x v="71"/>
    <n v="6387.4"/>
    <x v="61"/>
    <n v="35"/>
    <d v="2007-09-14T00:00:00"/>
    <s v="Buenos Aires"/>
    <d v="2007-09-04T00:00:00"/>
    <x v="46"/>
    <d v="2007-09-07T00:00:00"/>
    <d v="2007-09-11T00:00:00"/>
    <d v="2007-09-21T00:00:00"/>
    <n v="42"/>
    <s v="Fittings - ENTREGAR AL EMBARCADOR"/>
    <m/>
    <s v="en término"/>
    <x v="7"/>
    <n v="1"/>
  </r>
  <r>
    <x v="0"/>
    <x v="0"/>
    <x v="5"/>
    <x v="7"/>
    <s v="085/06 TAL"/>
    <m/>
    <x v="72"/>
    <n v="4425.7"/>
    <x v="60"/>
    <n v="52"/>
    <d v="2007-01-15T00:00:00"/>
    <s v="Buenos Aires"/>
    <d v="2007-01-12T00:00:00"/>
    <x v="3"/>
    <d v="2007-01-24T00:00:00"/>
    <d v="2007-02-10T00:00:00"/>
    <d v="2007-03-06T00:00:00"/>
    <n v="102"/>
    <s v="Fittings - ENTREGAR AL FORWARDER -CERTIFICADO DE CALIDAD"/>
    <s v="a Miami + 20 dias a P.Spain"/>
    <s v="atrasado"/>
    <x v="0"/>
    <n v="0"/>
  </r>
  <r>
    <x v="0"/>
    <x v="0"/>
    <x v="5"/>
    <x v="7"/>
    <s v="091/06 TAL"/>
    <m/>
    <x v="73"/>
    <n v="7396.11"/>
    <x v="62"/>
    <n v="70"/>
    <d v="2007-03-01T00:00:00"/>
    <s v="Buenos Aires"/>
    <d v="2007-02-27T00:00:00"/>
    <x v="43"/>
    <d v="2007-03-01T00:00:00"/>
    <d v="2007-03-13T00:00:00"/>
    <d v="2007-04-06T00:00:00"/>
    <n v="106"/>
    <s v="83 pistones - ENTREGAR AL FORWARDER -CERTIFICADO DE CALIDAD"/>
    <s v="a Miami + 20 dias a P.Spain"/>
    <s v="atrasado"/>
    <x v="1"/>
    <n v="0"/>
  </r>
  <r>
    <x v="0"/>
    <x v="0"/>
    <x v="5"/>
    <x v="7"/>
    <s v="007/07 TAL"/>
    <m/>
    <x v="74"/>
    <n v="20271.7"/>
    <x v="63"/>
    <n v="45"/>
    <d v="2007-04-07T00:00:00"/>
    <s v="Buenos Aires"/>
    <d v="2007-03-27T00:00:00"/>
    <x v="6"/>
    <d v="2007-04-19T00:00:00"/>
    <d v="2007-04-26T00:00:00"/>
    <d v="2007-05-19T00:00:00"/>
    <n v="87"/>
    <s v="165 pistones - ENTREGAR AL FORWARDER -CERTIFICADO DE CALIDAD"/>
    <s v="a Miami + 20 dias a P.Spain - NOTA:  Nos informan que el buque del 12 de Abril se postergo para el 22 de Abril"/>
    <s v="atrasado"/>
    <x v="2"/>
    <n v="0"/>
  </r>
  <r>
    <x v="0"/>
    <x v="0"/>
    <x v="5"/>
    <x v="7"/>
    <s v="059/07 TAL"/>
    <m/>
    <x v="75"/>
    <n v="11333.7"/>
    <x v="64"/>
    <n v="55"/>
    <d v="2007-10-30T00:00:00"/>
    <s v="Buenos Aires"/>
    <d v="2007-10-16T00:00:00"/>
    <x v="47"/>
    <d v="2007-10-31T00:00:00"/>
    <d v="2007-11-08T00:00:00"/>
    <d v="2007-12-28T00:00:00"/>
    <n v="114"/>
    <s v="Fittings - ENTREGAR AL FORWARDER - CERTIFICADOS DE CALIDAD"/>
    <m/>
    <s v="atrasado"/>
    <x v="8"/>
    <n v="0"/>
  </r>
  <r>
    <x v="0"/>
    <x v="0"/>
    <x v="5"/>
    <x v="7"/>
    <s v="068/07 TAL"/>
    <m/>
    <x v="76"/>
    <n v="17943.95"/>
    <x v="65"/>
    <n v="88"/>
    <d v="2008-01-15T00:00:00"/>
    <s v="Buenos Aires"/>
    <d v="2007-12-07T00:00:00"/>
    <x v="48"/>
    <d v="2007-12-12T00:00:00"/>
    <d v="2007-12-21T00:00:00"/>
    <d v="2008-02-09T00:00:00"/>
    <n v="113"/>
    <s v="Fittings - ENTREGAR AL FORWARDER - CERTIFICADOS DE CALIDAD"/>
    <m/>
    <s v="en término"/>
    <x v="11"/>
    <n v="1"/>
  </r>
  <r>
    <x v="0"/>
    <x v="0"/>
    <x v="6"/>
    <x v="8"/>
    <s v="070/06 YPS"/>
    <m/>
    <x v="77"/>
    <n v="5973.75"/>
    <x v="60"/>
    <n v="60"/>
    <d v="2007-01-23T00:00:00"/>
    <s v="Buenos Aires"/>
    <d v="2007-01-12T00:00:00"/>
    <x v="17"/>
    <d v="2007-01-19T00:00:00"/>
    <d v="2007-01-25T00:00:00"/>
    <d v="2007-02-24T00:00:00"/>
    <n v="92"/>
    <s v="5 bombas - PAGO ANTICIPADO - CERTIFICADO DE CALIDAD"/>
    <m/>
    <s v="en término"/>
    <x v="0"/>
    <n v="1"/>
  </r>
  <r>
    <x v="0"/>
    <x v="0"/>
    <x v="6"/>
    <x v="9"/>
    <s v="021/07 YPS"/>
    <m/>
    <x v="78"/>
    <n v="2718.1"/>
    <x v="66"/>
    <n v="30"/>
    <d v="2007-06-13T00:00:00"/>
    <s v="Buenos Aires"/>
    <d v="2007-06-08T00:00:00"/>
    <x v="33"/>
    <d v="2007-06-14T00:00:00"/>
    <d v="2007-06-25T00:00:00"/>
    <d v="2007-07-22T00:00:00"/>
    <n v="69"/>
    <s v="20 pistones - PAGO ANTICIPADO"/>
    <s v="N. De credito: U$ 170"/>
    <s v="en término"/>
    <x v="4"/>
    <n v="1"/>
  </r>
  <r>
    <x v="0"/>
    <x v="0"/>
    <x v="6"/>
    <x v="9"/>
    <s v="018/07 YPS"/>
    <m/>
    <x v="79"/>
    <n v="18185.52"/>
    <x v="67"/>
    <n v="60"/>
    <d v="2007-06-29T00:00:00"/>
    <s v="Buenos Aires"/>
    <d v="2007-06-19T00:00:00"/>
    <x v="49"/>
    <d v="2007-06-25T00:00:00"/>
    <d v="2007-07-01T00:00:00"/>
    <d v="2007-07-29T00:00:00"/>
    <n v="90"/>
    <s v="Fittings - PAGO ANTICIPADO"/>
    <s v="(quedo a cuenta U$ 170-descontar a esta PO)"/>
    <s v="en término"/>
    <x v="4"/>
    <n v="1"/>
  </r>
  <r>
    <x v="0"/>
    <x v="0"/>
    <x v="7"/>
    <x v="10"/>
    <s v="017/07 LYP"/>
    <m/>
    <x v="80"/>
    <n v="279"/>
    <x v="68"/>
    <n v="10"/>
    <d v="2007-04-21T00:00:00"/>
    <s v="Buenos Aires"/>
    <d v="2007-05-15T00:00:00"/>
    <x v="44"/>
    <m/>
    <d v="2007-05-22T00:00:00"/>
    <d v="2007-06-01T00:00:00"/>
    <n v="51"/>
    <s v="2 nipples - RETIRA EL TRANSPORTE EN PTA."/>
    <s v="Nos piden que realicemos nosotros el transporte (antes pasaban a retirar de la Planta) - Atraso real 31 dias"/>
    <s v="en término"/>
    <x v="3"/>
    <n v="1"/>
  </r>
  <r>
    <x v="0"/>
    <x v="0"/>
    <x v="7"/>
    <x v="10"/>
    <s v="067/07 LYP"/>
    <m/>
    <x v="81"/>
    <n v="4820"/>
    <x v="69"/>
    <n v="30"/>
    <d v="2007-12-12T00:00:00"/>
    <s v="Buenos Aires"/>
    <d v="2007-11-23T00:00:00"/>
    <x v="19"/>
    <d v="2007-11-30T00:00:00"/>
    <d v="2007-12-08T00:00:00"/>
    <d v="2008-01-18T00:00:00"/>
    <n v="67"/>
    <s v="2 bombas + Fittings  - CERTIFICADOS DE CALIDAD"/>
    <s v="Bue - Valencia / Valencia - Argelia:  8/12 - 27/12 / 17/01 - 19/01"/>
    <s v="en término"/>
    <x v="9"/>
    <n v="1"/>
  </r>
  <r>
    <x v="1"/>
    <x v="1"/>
    <x v="0"/>
    <x v="1"/>
    <s v="009/07 BPB"/>
    <s v="4600226581 (GLOBAL 2007)"/>
    <x v="82"/>
    <n v="48568.480000000003"/>
    <x v="70"/>
    <n v="97"/>
    <d v="2008-01-22T00:00:00"/>
    <s v="Salvador"/>
    <d v="2008-01-07T00:00:00"/>
    <x v="17"/>
    <d v="2008-01-09T00:00:00"/>
    <d v="2008-01-11T00:00:00"/>
    <d v="2008-01-26T00:00:00"/>
    <n v="101"/>
    <s v="22 bombas + Fittings"/>
    <m/>
    <s v="en término"/>
    <x v="0"/>
    <n v="1"/>
  </r>
  <r>
    <x v="1"/>
    <x v="1"/>
    <x v="0"/>
    <x v="1"/>
    <s v="009/07 BPB"/>
    <s v="4600226581 (GLOBAL 2007)"/>
    <x v="83"/>
    <n v="116312.84"/>
    <x v="71"/>
    <n v="94"/>
    <d v="2008-01-25T00:00:00"/>
    <s v="Salvador"/>
    <d v="2008-01-07T00:00:00"/>
    <x v="50"/>
    <d v="2008-01-09T00:00:00"/>
    <d v="2008-01-11T00:00:00"/>
    <d v="2008-01-26T00:00:00"/>
    <n v="95"/>
    <s v="80 bombas"/>
    <m/>
    <s v="en término"/>
    <x v="0"/>
    <n v="1"/>
  </r>
  <r>
    <x v="1"/>
    <x v="1"/>
    <x v="0"/>
    <x v="1"/>
    <s v="009/07 BPB"/>
    <s v="4600226581 (GLOBAL 2007)"/>
    <x v="84"/>
    <n v="45525.75"/>
    <x v="72"/>
    <n v="92"/>
    <d v="2008-01-25T00:00:00"/>
    <s v="Salvador"/>
    <d v="2008-01-07T00:00:00"/>
    <x v="50"/>
    <d v="2008-01-09T00:00:00"/>
    <d v="2008-01-11T00:00:00"/>
    <d v="2008-01-26T00:00:00"/>
    <n v="93"/>
    <s v="34 bombas"/>
    <m/>
    <s v="en término"/>
    <x v="0"/>
    <n v="1"/>
  </r>
  <r>
    <x v="1"/>
    <x v="1"/>
    <x v="0"/>
    <x v="1"/>
    <s v="009/07 BPB"/>
    <s v="4600226581 (GLOBAL 2007)"/>
    <x v="85"/>
    <n v="11802.88"/>
    <x v="73"/>
    <n v="94"/>
    <d v="2008-02-17T00:00:00"/>
    <s v="Salvador"/>
    <d v="2008-01-07T00:00:00"/>
    <x v="38"/>
    <d v="2008-01-09T00:00:00"/>
    <d v="2008-01-11T00:00:00"/>
    <d v="2008-01-26T00:00:00"/>
    <n v="72"/>
    <s v="8 bombas + fittings"/>
    <m/>
    <s v="en término"/>
    <x v="0"/>
    <n v="1"/>
  </r>
  <r>
    <x v="1"/>
    <x v="1"/>
    <x v="0"/>
    <x v="1"/>
    <s v="009/07 BPB"/>
    <s v="4600226581 (GLOBAL 2007)"/>
    <x v="86"/>
    <n v="83883.19"/>
    <x v="72"/>
    <n v="123"/>
    <d v="2008-02-25T00:00:00"/>
    <s v="Salvador"/>
    <d v="2008-01-07T00:00:00"/>
    <x v="51"/>
    <d v="2008-01-09T00:00:00"/>
    <d v="2008-01-11T00:00:00"/>
    <d v="2008-01-26T00:00:00"/>
    <n v="93"/>
    <s v="50 bombas"/>
    <m/>
    <s v="en término"/>
    <x v="0"/>
    <n v="1"/>
  </r>
  <r>
    <x v="1"/>
    <x v="1"/>
    <x v="0"/>
    <x v="0"/>
    <s v="058/07 BBR"/>
    <s v="Pedido Petrobras N° 4501833063"/>
    <x v="87"/>
    <n v="49190"/>
    <x v="74"/>
    <n v="121"/>
    <d v="2008-02-06T00:00:00"/>
    <s v="Salvador"/>
    <d v="2008-01-07T00:00:00"/>
    <x v="42"/>
    <d v="2008-01-09T00:00:00"/>
    <d v="2008-01-10T00:00:00"/>
    <d v="2008-01-25T00:00:00"/>
    <n v="109"/>
    <s v="23 bombas"/>
    <m/>
    <s v="en término"/>
    <x v="0"/>
    <n v="1"/>
  </r>
  <r>
    <x v="1"/>
    <x v="1"/>
    <x v="0"/>
    <x v="0"/>
    <s v="063/07 BBR"/>
    <s v="Pedido Petrobras N° 4501855711"/>
    <x v="88"/>
    <n v="48445.09"/>
    <x v="75"/>
    <n v="83"/>
    <d v="2008-01-22T00:00:00"/>
    <s v="Salvador"/>
    <d v="2008-01-07T00:00:00"/>
    <x v="52"/>
    <d v="2008-01-09T00:00:00"/>
    <d v="2008-01-10T00:00:00"/>
    <d v="2008-01-25T00:00:00"/>
    <n v="86"/>
    <s v="25 bombas + fittings"/>
    <m/>
    <s v="en término"/>
    <x v="0"/>
    <n v="1"/>
  </r>
  <r>
    <x v="1"/>
    <x v="1"/>
    <x v="0"/>
    <x v="1"/>
    <s v="009/07 BPB"/>
    <s v="4600226581 (GLOBAL 2007)"/>
    <x v="89"/>
    <n v="42992.88"/>
    <x v="76"/>
    <n v="100"/>
    <d v="2008-02-24T00:00:00"/>
    <s v="Salvador"/>
    <d v="2008-01-16T00:00:00"/>
    <x v="53"/>
    <m/>
    <d v="2008-01-19T00:00:00"/>
    <d v="2008-02-08T00:00:00"/>
    <n v="84"/>
    <s v="15 bombas + fittings"/>
    <m/>
    <s v="en término"/>
    <x v="0"/>
    <n v="1"/>
  </r>
  <r>
    <x v="1"/>
    <x v="1"/>
    <x v="0"/>
    <x v="1"/>
    <s v="009/07 BPB"/>
    <s v="4600226581 (GLOBAL 2007)"/>
    <x v="90"/>
    <n v="221957.25"/>
    <x v="77"/>
    <n v="95"/>
    <d v="2008-02-26T00:00:00"/>
    <s v="Salvador"/>
    <d v="2008-01-16T00:00:00"/>
    <x v="22"/>
    <m/>
    <d v="2008-01-19T00:00:00"/>
    <d v="2008-02-08T00:00:00"/>
    <n v="77"/>
    <s v="118 bombas"/>
    <m/>
    <s v="en término"/>
    <x v="0"/>
    <n v="1"/>
  </r>
  <r>
    <x v="1"/>
    <x v="1"/>
    <x v="0"/>
    <x v="1"/>
    <s v="029/07 BRB"/>
    <s v="4600239573 (GLOBAL 2007)"/>
    <x v="91"/>
    <n v="20543.240000000002"/>
    <x v="78"/>
    <n v="67"/>
    <d v="2007-12-03T00:00:00"/>
    <s v="Salvador"/>
    <d v="2008-01-16T00:00:00"/>
    <x v="54"/>
    <m/>
    <d v="2008-01-19T00:00:00"/>
    <d v="2008-02-08T00:00:00"/>
    <n v="134"/>
    <s v="68 vastagos - 3° ENVIO"/>
    <s v="PO perdida"/>
    <s v="atrasado"/>
    <x v="0"/>
    <n v="0"/>
  </r>
  <r>
    <x v="1"/>
    <x v="1"/>
    <x v="0"/>
    <x v="1"/>
    <s v="029/07 BRB"/>
    <s v="4600239573 (GLOBAL 2007)"/>
    <x v="92"/>
    <n v="38845.120000000003"/>
    <x v="79"/>
    <n v="72"/>
    <d v="2007-11-09T00:00:00"/>
    <s v="Salvador"/>
    <d v="2008-01-16T00:00:00"/>
    <x v="55"/>
    <m/>
    <d v="2008-01-19T00:00:00"/>
    <d v="2008-02-08T00:00:00"/>
    <n v="163"/>
    <s v="145 vastagos - 2° ENVIO"/>
    <s v="PO perdida"/>
    <s v="atrasado"/>
    <x v="0"/>
    <n v="0"/>
  </r>
  <r>
    <x v="1"/>
    <x v="1"/>
    <x v="0"/>
    <x v="0"/>
    <s v="056/05 BBR"/>
    <s v="Petrobras N° 4501454735"/>
    <x v="93"/>
    <n v="20401"/>
    <x v="29"/>
    <n v="30"/>
    <d v="2007-03-24T00:00:00"/>
    <s v="Salvador"/>
    <d v="2008-01-16T00:00:00"/>
    <x v="56"/>
    <m/>
    <d v="2008-01-19T00:00:00"/>
    <d v="2008-02-08T00:00:00"/>
    <n v="351"/>
    <s v="84 vástagos - 8° ENVIO - GLOBAL DE VÁSTAGOS"/>
    <s v="Esta PO venció el 20/4/07. PO perdida"/>
    <s v="atrasado"/>
    <x v="0"/>
    <n v="0"/>
  </r>
  <r>
    <x v="1"/>
    <x v="1"/>
    <x v="0"/>
    <x v="0"/>
    <s v="056/05 BBR"/>
    <s v="Petrobras N° 4501535468"/>
    <x v="94"/>
    <n v="16902"/>
    <x v="80"/>
    <n v="30"/>
    <d v="2007-05-16T00:00:00"/>
    <s v="Salvador"/>
    <d v="2008-01-16T00:00:00"/>
    <x v="57"/>
    <m/>
    <d v="2008-01-19T00:00:00"/>
    <d v="2008-02-08T00:00:00"/>
    <n v="298"/>
    <s v="57 vástagos - 9° ENVIO - GLOBAL DE VÁSTAGOS"/>
    <s v="Esta PO venció el 25/5/07. PO perdida"/>
    <s v="atrasado"/>
    <x v="0"/>
    <n v="0"/>
  </r>
  <r>
    <x v="1"/>
    <x v="1"/>
    <x v="0"/>
    <x v="0"/>
    <s v="056/05 BBR"/>
    <s v="Petrobras N° 4501584941"/>
    <x v="95"/>
    <n v="32210"/>
    <x v="66"/>
    <n v="30"/>
    <d v="2007-06-13T00:00:00"/>
    <s v="Salvador"/>
    <d v="2008-01-16T00:00:00"/>
    <x v="58"/>
    <m/>
    <d v="2008-01-19T00:00:00"/>
    <d v="2008-02-08T00:00:00"/>
    <n v="270"/>
    <s v="127 vástagos - 10° ENVIO - GLOBAL DE VÁSTAGOS"/>
    <s v="Esta PO venció el 20/6/07. PO perdida"/>
    <s v="atrasado"/>
    <x v="0"/>
    <n v="0"/>
  </r>
  <r>
    <x v="1"/>
    <x v="1"/>
    <x v="0"/>
    <x v="1"/>
    <s v="009/07 BPB"/>
    <s v="4600226581 (GLOBAL 2007)"/>
    <x v="96"/>
    <n v="206282.33"/>
    <x v="81"/>
    <n v="97"/>
    <d v="2008-03-27T00:00:00"/>
    <s v="Salvador"/>
    <d v="2008-03-17T00:00:00"/>
    <x v="9"/>
    <d v="2008-03-20T00:00:00"/>
    <d v="2008-03-31T00:00:00"/>
    <d v="2008-04-20T00:00:00"/>
    <n v="121"/>
    <s v="113 bombas"/>
    <s v="La PCS se envio a la Planta para comenzar con la fabricacion pero aun no esta la orden corregida. Llego corregida el 13/02"/>
    <s v="atrasado"/>
    <x v="2"/>
    <n v="0"/>
  </r>
  <r>
    <x v="1"/>
    <x v="1"/>
    <x v="0"/>
    <x v="1"/>
    <s v="009/07 BPB"/>
    <s v="4600226581 (GLOBAL 2007)"/>
    <x v="97"/>
    <n v="43011.42"/>
    <x v="81"/>
    <n v="98"/>
    <d v="2008-03-28T00:00:00"/>
    <s v="Salvador"/>
    <d v="2008-03-17T00:00:00"/>
    <x v="15"/>
    <d v="2008-03-20T00:00:00"/>
    <d v="2008-03-31T00:00:00"/>
    <d v="2008-04-20T00:00:00"/>
    <n v="121"/>
    <s v="18 bombas + fittings"/>
    <m/>
    <s v="atrasado"/>
    <x v="2"/>
    <n v="0"/>
  </r>
  <r>
    <x v="1"/>
    <x v="1"/>
    <x v="0"/>
    <x v="1"/>
    <s v="009/07 BPB"/>
    <s v="4600226581 (GLOBAL 2007)"/>
    <x v="98"/>
    <n v="19011.419999999998"/>
    <x v="82"/>
    <n v="121"/>
    <d v="2008-05-23T00:00:00"/>
    <s v="Salvador"/>
    <d v="2008-04-14T00:00:00"/>
    <x v="59"/>
    <m/>
    <d v="2008-04-30T00:00:00"/>
    <d v="2008-05-20T00:00:00"/>
    <n v="118"/>
    <s v="10 bombas"/>
    <s v="La PCS se envio a la Planta para comenzar con la fabricacion pero aun no esta la orden corregida.- Recibida el 27 de Feb."/>
    <s v="en término"/>
    <x v="10"/>
    <n v="1"/>
  </r>
  <r>
    <x v="1"/>
    <x v="1"/>
    <x v="0"/>
    <x v="1"/>
    <s v="009/07 BPB"/>
    <s v="4600226581 (GLOBAL 2007)"/>
    <x v="99"/>
    <n v="694.92"/>
    <x v="83"/>
    <n v="114"/>
    <d v="2007-11-22T00:00:00"/>
    <s v="Salvador"/>
    <d v="2008-04-14T00:00:00"/>
    <x v="60"/>
    <m/>
    <d v="2008-04-30T00:00:00"/>
    <d v="2008-05-20T00:00:00"/>
    <n v="294"/>
    <s v="12 nipples"/>
    <s v="La PCS se envio a la Planta para comenzar con la fabricacion pero aun no esta la orden corregida. PCS perdida"/>
    <s v="atrasado"/>
    <x v="10"/>
    <n v="0"/>
  </r>
  <r>
    <x v="1"/>
    <x v="1"/>
    <x v="0"/>
    <x v="1"/>
    <s v="009/07 BPB"/>
    <s v="4600226581 (GLOBAL 2007)"/>
    <x v="100"/>
    <n v="52423.63"/>
    <x v="84"/>
    <n v="96"/>
    <d v="2008-04-22T00:00:00"/>
    <s v="Salvador"/>
    <d v="2008-04-14T00:00:00"/>
    <x v="23"/>
    <m/>
    <d v="2008-04-30T00:00:00"/>
    <d v="2008-05-13T00:00:00"/>
    <n v="117"/>
    <s v="25 bombas + fittings"/>
    <m/>
    <s v="atrasado"/>
    <x v="10"/>
    <n v="0"/>
  </r>
  <r>
    <x v="1"/>
    <x v="1"/>
    <x v="0"/>
    <x v="1"/>
    <s v="009/07 BPB"/>
    <s v="4600226581 (GLOBAL 2007)"/>
    <x v="101"/>
    <n v="1049.72"/>
    <x v="41"/>
    <n v="148"/>
    <d v="2007-12-14T00:00:00"/>
    <s v="Salvador"/>
    <d v="2008-04-14T00:00:00"/>
    <x v="61"/>
    <m/>
    <d v="2008-04-30T00:00:00"/>
    <d v="2008-05-20T00:00:00"/>
    <n v="306"/>
    <s v="Fittings"/>
    <s v="PCS perdida"/>
    <s v="atrasado"/>
    <x v="10"/>
    <n v="0"/>
  </r>
  <r>
    <x v="1"/>
    <x v="1"/>
    <x v="0"/>
    <x v="0"/>
    <s v="018/08 BBR"/>
    <s v="Petrobras N° 4502085865"/>
    <x v="102"/>
    <n v="2313"/>
    <x v="85"/>
    <n v="60"/>
    <d v="2008-05-11T00:00:00"/>
    <s v="Salvador"/>
    <d v="2008-04-14T00:00:00"/>
    <x v="17"/>
    <m/>
    <d v="2008-04-30T00:00:00"/>
    <d v="2008-05-20T00:00:00"/>
    <n v="69"/>
    <s v="1 bomba"/>
    <m/>
    <s v="en término"/>
    <x v="10"/>
    <n v="1"/>
  </r>
  <r>
    <x v="1"/>
    <x v="1"/>
    <x v="0"/>
    <x v="0"/>
    <s v="008/08 BBR"/>
    <s v="Petrobras N° 4502070491"/>
    <x v="103"/>
    <n v="45995.360000000001"/>
    <x v="86"/>
    <n v="70"/>
    <d v="2008-05-13T00:00:00"/>
    <s v="Salvador"/>
    <d v="2008-04-14T00:00:00"/>
    <x v="10"/>
    <m/>
    <d v="2008-04-30T00:00:00"/>
    <d v="2008-05-20T00:00:00"/>
    <n v="77"/>
    <s v="17 bombas + fittings"/>
    <m/>
    <s v="en término"/>
    <x v="10"/>
    <n v="1"/>
  </r>
  <r>
    <x v="1"/>
    <x v="1"/>
    <x v="0"/>
    <x v="0"/>
    <s v="017/08 BBR"/>
    <s v="Koch 121-122-123/08"/>
    <x v="104"/>
    <n v="4825"/>
    <x v="87"/>
    <n v="30"/>
    <d v="2008-04-12T00:00:00"/>
    <s v="Salvador"/>
    <d v="2008-04-14T00:00:00"/>
    <x v="8"/>
    <m/>
    <d v="2008-04-30T00:00:00"/>
    <d v="2008-05-20T00:00:00"/>
    <n v="68"/>
    <s v="3 bombas - KOCH"/>
    <m/>
    <s v="atrasado"/>
    <x v="10"/>
    <n v="0"/>
  </r>
  <r>
    <x v="1"/>
    <x v="1"/>
    <x v="0"/>
    <x v="1"/>
    <s v="009/07 BPB"/>
    <s v="4600226581 (GLOBAL 2007)"/>
    <x v="105"/>
    <n v="109728.12"/>
    <x v="88"/>
    <n v="98"/>
    <d v="2008-05-27T00:00:00"/>
    <s v="Salvador"/>
    <d v="2008-05-16T00:00:00"/>
    <x v="14"/>
    <d v="2008-05-19T00:00:00"/>
    <d v="2008-06-01T00:00:00"/>
    <d v="2008-06-21T00:00:00"/>
    <n v="123"/>
    <s v="62 bombas"/>
    <s v="Atraso de buque: del 18/05 al 22/05, del 22/5 al 25/5, del 25/05 la 29/05 y del 29/5 al 30/5 por mal tiempo (mail de Luis 26/05/08)"/>
    <s v="atrasado"/>
    <x v="3"/>
    <n v="0"/>
  </r>
  <r>
    <x v="1"/>
    <x v="1"/>
    <x v="0"/>
    <x v="1"/>
    <s v="009/07 BPB"/>
    <s v="4600226581 (GLOBAL 2007)"/>
    <x v="106"/>
    <n v="46268.56"/>
    <x v="88"/>
    <n v="97"/>
    <d v="2008-05-26T00:00:00"/>
    <s v="Salvador"/>
    <d v="2008-05-16T00:00:00"/>
    <x v="62"/>
    <d v="2008-05-19T00:00:00"/>
    <d v="2008-06-01T00:00:00"/>
    <d v="2008-06-21T00:00:00"/>
    <n v="123"/>
    <s v="18 bombas"/>
    <s v="Atraso de buque: del 18/05 al 22/05, del 22/5 al 25/5, del 25/05 la 29/05 y del 29/5 al 30/5 por mal tiempo (mail de Luis 26/05/08)"/>
    <s v="atrasado"/>
    <x v="3"/>
    <n v="0"/>
  </r>
  <r>
    <x v="1"/>
    <x v="1"/>
    <x v="0"/>
    <x v="0"/>
    <s v="022/08 BBR"/>
    <s v="Petrobras N° 4502158284"/>
    <x v="107"/>
    <n v="6210"/>
    <x v="89"/>
    <n v="30"/>
    <d v="2008-05-22T00:00:00"/>
    <s v="Salvador"/>
    <d v="2008-05-16T00:00:00"/>
    <x v="30"/>
    <d v="2008-05-19T00:00:00"/>
    <d v="2008-06-01T00:00:00"/>
    <d v="2008-06-21T00:00:00"/>
    <n v="60"/>
    <s v="40 pescadores"/>
    <s v="Atraso de buque: del 18/05 al 22/05, del 22/5 al 25/5, del 25/05 la 29/05 y del 29/5 al 30/5 por mal tiempo (mail de Luis 26/05/08)"/>
    <s v="atrasado"/>
    <x v="3"/>
    <n v="0"/>
  </r>
  <r>
    <x v="1"/>
    <x v="1"/>
    <x v="0"/>
    <x v="0"/>
    <s v="028/08 BBR"/>
    <s v="Petrobras N° 4502157042"/>
    <x v="108"/>
    <n v="2650"/>
    <x v="90"/>
    <n v="45"/>
    <d v="2008-06-02T00:00:00"/>
    <s v="Salvador"/>
    <d v="2008-05-16T00:00:00"/>
    <x v="2"/>
    <d v="2008-05-19T00:00:00"/>
    <d v="2008-06-01T00:00:00"/>
    <d v="2008-06-21T00:00:00"/>
    <n v="64"/>
    <s v="40 válvulas"/>
    <s v="Atraso de buque: del 18/05 al 22/05, del 22/5 al 25/5, del 25/05 la 29/05 y del 29/5 al 30/5 por mal tiempo (mail de Luis 26/05/08)"/>
    <s v="en término"/>
    <x v="3"/>
    <n v="1"/>
  </r>
  <r>
    <x v="1"/>
    <x v="1"/>
    <x v="0"/>
    <x v="1"/>
    <s v="009/07 BPB"/>
    <s v="4600226581 (GLOBAL 2007)"/>
    <x v="109"/>
    <n v="52874.33"/>
    <x v="91"/>
    <n v="94"/>
    <d v="2008-06-27T00:00:00"/>
    <s v="Salvador"/>
    <d v="2008-06-13T00:00:00"/>
    <x v="63"/>
    <d v="2008-06-21T00:00:00"/>
    <d v="2008-06-28T00:00:00"/>
    <d v="2008-07-14T00:00:00"/>
    <n v="112"/>
    <s v="30 bombas"/>
    <m/>
    <s v="atrasado"/>
    <x v="4"/>
    <n v="0"/>
  </r>
  <r>
    <x v="1"/>
    <x v="1"/>
    <x v="0"/>
    <x v="0"/>
    <s v="024/08 BBR"/>
    <s v="Petrobras N° 4502158623"/>
    <x v="110"/>
    <n v="11740"/>
    <x v="89"/>
    <n v="60"/>
    <d v="2008-06-21T00:00:00"/>
    <s v="Salvador"/>
    <d v="2008-06-13T00:00:00"/>
    <x v="32"/>
    <d v="2008-06-21T00:00:00"/>
    <d v="2008-06-28T00:00:00"/>
    <d v="2008-07-14T00:00:00"/>
    <n v="83"/>
    <s v="5 bombas"/>
    <m/>
    <s v="atrasado"/>
    <x v="4"/>
    <n v="0"/>
  </r>
  <r>
    <x v="1"/>
    <x v="1"/>
    <x v="0"/>
    <x v="0"/>
    <s v="034/08 BBR"/>
    <s v="Petrobras N° 4502144519"/>
    <x v="111"/>
    <n v="6339.9"/>
    <x v="92"/>
    <n v="90"/>
    <d v="2008-07-10T00:00:00"/>
    <s v="Salvador"/>
    <d v="2008-06-13T00:00:00"/>
    <x v="52"/>
    <d v="2008-06-21T00:00:00"/>
    <d v="2008-06-28T00:00:00"/>
    <d v="2008-07-14T00:00:00"/>
    <n v="94"/>
    <s v="70 válvulas"/>
    <m/>
    <s v="en término"/>
    <x v="4"/>
    <n v="1"/>
  </r>
  <r>
    <x v="1"/>
    <x v="1"/>
    <x v="0"/>
    <x v="0"/>
    <s v="033/08 BBR"/>
    <s v="Koch 185-08"/>
    <x v="112"/>
    <n v="40096"/>
    <x v="93"/>
    <n v="90"/>
    <d v="2008-07-28T00:00:00"/>
    <s v="Salvador"/>
    <d v="2008-06-13T00:00:00"/>
    <x v="39"/>
    <d v="2008-06-21T00:00:00"/>
    <d v="2008-06-28T00:00:00"/>
    <d v="2008-07-14T00:00:00"/>
    <n v="76"/>
    <s v="30 bombas + fittings - KOCH"/>
    <m/>
    <s v="en término"/>
    <x v="4"/>
    <n v="1"/>
  </r>
  <r>
    <x v="1"/>
    <x v="1"/>
    <x v="0"/>
    <x v="0"/>
    <s v="031/08 BBR"/>
    <s v="Petrobras N° 4502200747"/>
    <x v="113"/>
    <n v="3170"/>
    <x v="94"/>
    <n v="52"/>
    <d v="2008-07-05T00:00:00"/>
    <s v="Salvador"/>
    <d v="2008-06-13T00:00:00"/>
    <x v="64"/>
    <d v="2008-06-21T00:00:00"/>
    <d v="2008-06-28T00:00:00"/>
    <d v="2008-07-14T00:00:00"/>
    <n v="61"/>
    <s v="40 válvulas - SE ENVÍAN DESDE TANTAL"/>
    <m/>
    <s v="en término"/>
    <x v="4"/>
    <n v="1"/>
  </r>
  <r>
    <x v="1"/>
    <x v="1"/>
    <x v="0"/>
    <x v="1"/>
    <s v="009/07 BPB"/>
    <s v="4600226581 (GLOBAL 2007)"/>
    <x v="114"/>
    <n v="131937.06"/>
    <x v="17"/>
    <n v="94"/>
    <d v="2007-09-03T00:00:00"/>
    <s v="Salvador"/>
    <d v="2008-06-13T00:00:00"/>
    <x v="65"/>
    <d v="2008-06-21T00:00:00"/>
    <d v="2008-06-28T00:00:00"/>
    <d v="2008-07-14T00:00:00"/>
    <n v="409"/>
    <s v="68 bombas"/>
    <s v="PCS perdida"/>
    <s v="atrasado"/>
    <x v="4"/>
    <n v="0"/>
  </r>
  <r>
    <x v="1"/>
    <x v="1"/>
    <x v="0"/>
    <x v="1"/>
    <s v="009/07 BPB"/>
    <s v="4600226581 (GLOBAL 2007)"/>
    <x v="115"/>
    <n v="2002.09"/>
    <x v="95"/>
    <n v="116"/>
    <d v="2008-07-13T00:00:00"/>
    <s v="Salvador"/>
    <d v="2008-06-13T00:00:00"/>
    <x v="21"/>
    <d v="2008-06-21T00:00:00"/>
    <d v="2008-06-28T00:00:00"/>
    <d v="2008-07-14T00:00:00"/>
    <n v="117"/>
    <s v="1 bomba"/>
    <s v="Se adelanto el pedido a Planificación, pero no se pudo distribuir la PCS ya que esta incorrecta, se pidió la corrección.  Recibida OK el 28/3"/>
    <s v="en término"/>
    <x v="4"/>
    <n v="1"/>
  </r>
  <r>
    <x v="1"/>
    <x v="1"/>
    <x v="0"/>
    <x v="1"/>
    <s v="009/07 BPB"/>
    <s v="4600226581 (GLOBAL 2007)"/>
    <x v="116"/>
    <n v="912.96"/>
    <x v="96"/>
    <n v="112"/>
    <d v="2008-06-27T00:00:00"/>
    <s v="Salvador"/>
    <d v="2008-06-13T00:00:00"/>
    <x v="63"/>
    <d v="2008-06-21T00:00:00"/>
    <d v="2008-06-28T00:00:00"/>
    <d v="2008-07-14T00:00:00"/>
    <n v="129"/>
    <s v="Fittings"/>
    <s v="Se adelanto el pedido a Planificación, pero no se pudo distribuir la PCS ya que esta incorrecta, se pidió la corrección.   Recibida OK el 28/3. Se junto la PCS 4502057475 con esta PCS"/>
    <s v="atrasado"/>
    <x v="4"/>
    <n v="0"/>
  </r>
  <r>
    <x v="1"/>
    <x v="1"/>
    <x v="0"/>
    <x v="1"/>
    <s v="009/07 BPB"/>
    <s v="4600226581 (GLOBAL 2007)"/>
    <x v="116"/>
    <n v="557.91999999999996"/>
    <x v="96"/>
    <n v="76"/>
    <d v="2008-05-22T00:00:00"/>
    <s v="Salvador"/>
    <d v="2008-06-13T00:00:00"/>
    <x v="66"/>
    <d v="2008-06-21T00:00:00"/>
    <d v="2008-06-28T00:00:00"/>
    <d v="2008-07-14T00:00:00"/>
    <n v="129"/>
    <s v="Fittings"/>
    <m/>
    <s v="atrasado"/>
    <x v="4"/>
    <n v="0"/>
  </r>
  <r>
    <x v="1"/>
    <x v="1"/>
    <x v="0"/>
    <x v="1"/>
    <s v="029/07 BBR"/>
    <s v="4600239573 (GLOBAL 2007)"/>
    <x v="117"/>
    <n v="41700"/>
    <x v="97"/>
    <n v="66"/>
    <d v="2008-07-20T00:00:00"/>
    <s v="Salvador"/>
    <d v="2008-06-13T00:00:00"/>
    <x v="67"/>
    <d v="2008-06-21T00:00:00"/>
    <d v="2008-06-28T00:00:00"/>
    <d v="2008-07-14T00:00:00"/>
    <n v="60"/>
    <s v="150 vástagos - 4° ENVIO"/>
    <s v="Se cobra una multa de almacenaje, mail enviado el 12/11 por Pigni a Kaneshiro"/>
    <s v="en término"/>
    <x v="4"/>
    <n v="1"/>
  </r>
  <r>
    <x v="1"/>
    <x v="1"/>
    <x v="0"/>
    <x v="1"/>
    <s v="009/07 BPB"/>
    <s v="4600226581 (GLOBAL 2007)"/>
    <x v="118"/>
    <n v="13490.8"/>
    <x v="98"/>
    <n v="96"/>
    <d v="2008-06-18T00:00:00"/>
    <s v="Salvador"/>
    <d v="2008-06-13T00:00:00"/>
    <x v="30"/>
    <d v="2008-06-21T00:00:00"/>
    <d v="2008-06-28T00:00:00"/>
    <d v="2008-07-14T00:00:00"/>
    <n v="122"/>
    <s v="12 bombas + fittings"/>
    <s v="Se cobra una multa de almacenaje, mail enviado el 18/11 por Jorge (U$ 40,39)"/>
    <s v="atrasado"/>
    <x v="4"/>
    <n v="0"/>
  </r>
  <r>
    <x v="1"/>
    <x v="1"/>
    <x v="0"/>
    <x v="1"/>
    <s v="011/08 BPB"/>
    <s v="4600264170 (GLOBAL REPUESTOS 2008)"/>
    <x v="119"/>
    <n v="7696.43"/>
    <x v="99"/>
    <n v="95"/>
    <d v="2008-08-12T00:00:00"/>
    <s v="Salvador"/>
    <d v="2008-07-15T00:00:00"/>
    <x v="34"/>
    <d v="2008-07-22T00:00:00"/>
    <d v="2008-07-26T00:00:00"/>
    <d v="2008-08-09T00:00:00"/>
    <n v="92"/>
    <s v="Fittings"/>
    <s v="Se desconto U$ 794,95 referente al pago de impuestos de importacion (por retraso en los documentos) y U$ 132,44 por amacenaje, por lo tanto quedaria U$ 6.769,04 (este valor se pago)"/>
    <s v="en término"/>
    <x v="5"/>
    <n v="1"/>
  </r>
  <r>
    <x v="1"/>
    <x v="1"/>
    <x v="0"/>
    <x v="1"/>
    <s v="029/07 BRB"/>
    <s v="4600239573 (GLOBAL 2007)"/>
    <x v="120"/>
    <n v="5560"/>
    <x v="100"/>
    <n v="62"/>
    <d v="2008-08-05T00:00:00"/>
    <s v="Salvador"/>
    <d v="2008-07-15T00:00:00"/>
    <x v="49"/>
    <d v="2008-07-22T00:00:00"/>
    <d v="2008-07-26T00:00:00"/>
    <d v="2008-08-09T00:00:00"/>
    <n v="66"/>
    <s v="20 vástagos - 5° ENVIO"/>
    <s v="Petrobras nos da prorroga en el plazo de entrega"/>
    <s v="en término"/>
    <x v="5"/>
    <n v="1"/>
  </r>
  <r>
    <x v="1"/>
    <x v="1"/>
    <x v="0"/>
    <x v="1"/>
    <s v="011/08 BPB"/>
    <s v="4600264170 (GLOBAL REPUESTOS 2008)"/>
    <x v="121"/>
    <n v="4431.6899999999996"/>
    <x v="101"/>
    <n v="94"/>
    <d v="2008-09-01T00:00:00"/>
    <s v="Salvador"/>
    <d v="2008-07-15T00:00:00"/>
    <x v="38"/>
    <d v="2008-07-22T00:00:00"/>
    <d v="2008-07-26T00:00:00"/>
    <d v="2008-08-09T00:00:00"/>
    <n v="71"/>
    <s v="Fittings"/>
    <m/>
    <s v="en término"/>
    <x v="5"/>
    <n v="1"/>
  </r>
  <r>
    <x v="1"/>
    <x v="1"/>
    <x v="0"/>
    <x v="1"/>
    <s v="029/07 BPB"/>
    <s v="4600239573 (GLOBAL 2007)"/>
    <x v="122"/>
    <n v="24530"/>
    <x v="102"/>
    <n v="64"/>
    <d v="2008-08-08T00:00:00"/>
    <s v="Salvador"/>
    <d v="2008-07-15T00:00:00"/>
    <x v="10"/>
    <d v="2008-07-22T00:00:00"/>
    <d v="2008-07-26T00:00:00"/>
    <d v="2008-08-09T00:00:00"/>
    <n v="65"/>
    <s v="110 vástagos - 7° ENVIO"/>
    <s v="Petrobras nos da prorroga en el plazo de entrega"/>
    <s v="en término"/>
    <x v="5"/>
    <n v="1"/>
  </r>
  <r>
    <x v="1"/>
    <x v="1"/>
    <x v="0"/>
    <x v="0"/>
    <s v="030/08 BBR"/>
    <s v="Petrobras N° 4502212953"/>
    <x v="123"/>
    <n v="30950"/>
    <x v="103"/>
    <n v="61"/>
    <d v="2008-07-26T00:00:00"/>
    <s v="Salvador"/>
    <d v="2008-07-15T00:00:00"/>
    <x v="44"/>
    <d v="2008-07-22T00:00:00"/>
    <d v="2008-07-26T00:00:00"/>
    <d v="2008-08-09T00:00:00"/>
    <n v="75"/>
    <s v="350 vástagos - 1° ENVIO de 100 vástagos"/>
    <m/>
    <s v="en término"/>
    <x v="5"/>
    <n v="1"/>
  </r>
  <r>
    <x v="1"/>
    <x v="1"/>
    <x v="0"/>
    <x v="1"/>
    <s v="029/07 BRB"/>
    <s v="4600239573 (GLOBAL 2007)"/>
    <x v="124"/>
    <n v="32829.68"/>
    <x v="104"/>
    <n v="62"/>
    <d v="2008-08-26T00:00:00"/>
    <s v="Salvador"/>
    <d v="2008-08-12T00:00:00"/>
    <x v="49"/>
    <d v="2008-08-15T00:00:00"/>
    <d v="2008-08-16T00:00:00"/>
    <d v="2008-09-02T00:00:00"/>
    <n v="69"/>
    <s v="120 vástagos - 8° ENVIO"/>
    <s v="El ítem 2 de esta PCS no se podrá entregar debido a la falta de materia prima, ya se le informo a Petrobras, ya que se han sobre pasado del pedido global de este ítem.  Petrobras nos da prorroga en el plazo de entrega"/>
    <s v="en término"/>
    <x v="6"/>
    <n v="1"/>
  </r>
  <r>
    <x v="1"/>
    <x v="1"/>
    <x v="0"/>
    <x v="1"/>
    <s v="029/07 BPB"/>
    <s v="4600239573 (GLOBAL 2007)"/>
    <x v="125"/>
    <n v="41700"/>
    <x v="100"/>
    <n v="62"/>
    <d v="2008-08-05T00:00:00"/>
    <s v="Salvador"/>
    <d v="2008-08-12T00:00:00"/>
    <x v="13"/>
    <d v="2008-08-15T00:00:00"/>
    <d v="2008-08-16T00:00:00"/>
    <d v="2008-09-02T00:00:00"/>
    <n v="90"/>
    <s v="150 vástagos - 6° ENVIO"/>
    <s v="Petrobras nos da prorroga en el plazo de entrega"/>
    <s v="atrasado"/>
    <x v="6"/>
    <n v="0"/>
  </r>
  <r>
    <x v="1"/>
    <x v="1"/>
    <x v="0"/>
    <x v="0"/>
    <s v="032/08 BBR"/>
    <s v="Petrobras N° 4502214972"/>
    <x v="126"/>
    <n v="110450"/>
    <x v="105"/>
    <n v="124"/>
    <d v="2008-09-24T00:00:00"/>
    <s v="Salvador"/>
    <d v="2008-08-12T00:00:00"/>
    <x v="68"/>
    <d v="2008-08-15T00:00:00"/>
    <d v="2008-08-16T00:00:00"/>
    <d v="2008-09-02T00:00:00"/>
    <n v="102"/>
    <s v="46 bombas"/>
    <m/>
    <s v="en término"/>
    <x v="6"/>
    <n v="1"/>
  </r>
  <r>
    <x v="1"/>
    <x v="1"/>
    <x v="0"/>
    <x v="1"/>
    <s v="011/08 BPB"/>
    <s v="4600264170 (GLOBAL REPUESTOS 2008)"/>
    <x v="127"/>
    <n v="9050.7999999999993"/>
    <x v="106"/>
    <n v="97"/>
    <d v="2008-10-09T00:00:00"/>
    <s v="Salvador"/>
    <d v="2008-09-02T00:00:00"/>
    <x v="67"/>
    <d v="2008-09-12T00:00:00"/>
    <d v="2008-09-17T00:00:00"/>
    <d v="2008-10-03T00:00:00"/>
    <n v="91"/>
    <s v="Fittings"/>
    <s v="PCS recibida el 11 de Julio"/>
    <s v="en término"/>
    <x v="7"/>
    <n v="1"/>
  </r>
  <r>
    <x v="1"/>
    <x v="1"/>
    <x v="0"/>
    <x v="0"/>
    <s v="059/08 BBR"/>
    <s v="Petrobras N° 4502333721"/>
    <x v="128"/>
    <n v="4948"/>
    <x v="107"/>
    <n v="79"/>
    <d v="2008-10-18T00:00:00"/>
    <s v="Salvador"/>
    <d v="2008-09-02T00:00:00"/>
    <x v="69"/>
    <d v="2008-09-12T00:00:00"/>
    <d v="2008-09-17T00:00:00"/>
    <d v="2008-10-03T00:00:00"/>
    <n v="64"/>
    <s v="2 bombas + fittings"/>
    <m/>
    <s v="en término"/>
    <x v="7"/>
    <n v="1"/>
  </r>
  <r>
    <x v="1"/>
    <x v="1"/>
    <x v="0"/>
    <x v="0"/>
    <s v="043/08 BBR"/>
    <s v="Petrobras N° 4502321284 (GLOBAL DE VÁLVULAS)"/>
    <x v="129"/>
    <n v="14242.5"/>
    <x v="107"/>
    <n v="82"/>
    <d v="2008-10-21T00:00:00"/>
    <s v="Salvador"/>
    <d v="2008-09-02T00:00:00"/>
    <x v="70"/>
    <d v="2008-09-12T00:00:00"/>
    <d v="2008-09-17T00:00:00"/>
    <d v="2008-10-03T00:00:00"/>
    <n v="64"/>
    <s v="150 válvulas - SE ENVÍAN DESDE TANTAL"/>
    <m/>
    <s v="en término"/>
    <x v="7"/>
    <n v="1"/>
  </r>
  <r>
    <x v="1"/>
    <x v="1"/>
    <x v="0"/>
    <x v="0"/>
    <s v="060/08 BBR"/>
    <s v="Petrobras N° 4502350973"/>
    <x v="130"/>
    <n v="4305"/>
    <x v="108"/>
    <n v="72"/>
    <d v="2008-10-19T00:00:00"/>
    <s v="Salvador"/>
    <d v="2008-09-02T00:00:00"/>
    <x v="71"/>
    <d v="2008-09-12T00:00:00"/>
    <d v="2008-09-17T00:00:00"/>
    <d v="2008-10-03T00:00:00"/>
    <n v="56"/>
    <s v="10 vástagos"/>
    <m/>
    <s v="en término"/>
    <x v="7"/>
    <n v="1"/>
  </r>
  <r>
    <x v="1"/>
    <x v="1"/>
    <x v="0"/>
    <x v="0"/>
    <s v="063/08 BBR"/>
    <s v="Petrobras N° 4502361680/4502357810"/>
    <x v="131"/>
    <n v="6982"/>
    <x v="109"/>
    <n v="62"/>
    <d v="2008-10-20T00:00:00"/>
    <s v="Salvador"/>
    <d v="2008-09-02T00:00:00"/>
    <x v="72"/>
    <d v="2008-09-12T00:00:00"/>
    <d v="2008-09-17T00:00:00"/>
    <d v="2008-10-03T00:00:00"/>
    <n v="45"/>
    <s v="2 bombas y fittings"/>
    <m/>
    <s v="en término"/>
    <x v="7"/>
    <n v="1"/>
  </r>
  <r>
    <x v="1"/>
    <x v="1"/>
    <x v="0"/>
    <x v="0"/>
    <s v="043/08 BBR"/>
    <s v="Petrobras N° 4502350383 (GLOBAL DE VÁLVULAS)"/>
    <x v="132"/>
    <n v="21100"/>
    <x v="108"/>
    <n v="92"/>
    <d v="2008-11-08T00:00:00"/>
    <s v="Salvador"/>
    <d v="2008-09-23T00:00:00"/>
    <x v="37"/>
    <d v="2008-10-08T00:00:00"/>
    <d v="2008-10-10T00:00:00"/>
    <d v="2008-10-13T00:00:00"/>
    <n v="66"/>
    <s v="150 válvulas - SE ENVÍAN DESDE TANTAL"/>
    <m/>
    <s v="en término"/>
    <x v="7"/>
    <n v="1"/>
  </r>
  <r>
    <x v="1"/>
    <x v="1"/>
    <x v="0"/>
    <x v="0"/>
    <s v="056/08 BBR"/>
    <s v="Petrobras N° 4502345851/ 4502378988/ 4502378112"/>
    <x v="133"/>
    <n v="9049.18"/>
    <x v="110"/>
    <n v="31"/>
    <d v="2008-09-27T00:00:00"/>
    <s v="Salvador"/>
    <d v="2008-09-23T00:00:00"/>
    <x v="12"/>
    <d v="2008-10-08T00:00:00"/>
    <d v="2008-10-10T00:00:00"/>
    <d v="2008-10-13T00:00:00"/>
    <n v="47"/>
    <s v="56 copas y 21 válvulas - SE ENVÍAN DESDE TANTAL"/>
    <s v="La PCS de Petrobras solicita 25 válvulas pero Bolland do Brasil tiene en su stock 6, por lo tanto solicitan solo 19 válvulas"/>
    <s v="atrasado"/>
    <x v="7"/>
    <n v="0"/>
  </r>
  <r>
    <x v="1"/>
    <x v="1"/>
    <x v="0"/>
    <x v="1"/>
    <s v="029/07 BPB"/>
    <s v="4600239573 (GLOBAL 2007)"/>
    <x v="124"/>
    <n v="33360"/>
    <x v="104"/>
    <n v="62"/>
    <d v="2008-08-26T00:00:00"/>
    <s v="Salvador"/>
    <d v="2008-09-26T00:00:00"/>
    <x v="73"/>
    <d v="2008-10-08T00:00:00"/>
    <d v="2008-10-18T00:00:00"/>
    <d v="2008-10-28T00:00:00"/>
    <n v="125"/>
    <s v="120 vástagos FALTANTES"/>
    <s v="A pedido de Petrobras se va a enviar el 2 item.  08 de Octubre: avisan que se modifica el buque, del Log-in Amazonia (salida: 10/10) pasa a Log in Santos (salida: 18/10)"/>
    <s v="atrasado"/>
    <x v="7"/>
    <n v="0"/>
  </r>
  <r>
    <x v="1"/>
    <x v="1"/>
    <x v="0"/>
    <x v="1"/>
    <s v="029/07 BPB"/>
    <s v="4600239573 (GLOBAL 2007)"/>
    <x v="134"/>
    <n v="27800"/>
    <x v="104"/>
    <n v="158"/>
    <d v="2008-11-30T00:00:00"/>
    <s v="Salvador"/>
    <d v="2008-10-28T00:00:00"/>
    <x v="67"/>
    <d v="2008-11-03T00:00:00"/>
    <d v="2008-11-08T00:00:00"/>
    <d v="2008-11-28T00:00:00"/>
    <n v="156"/>
    <s v="100 vástagos - 9° ENVIO"/>
    <m/>
    <s v="en término"/>
    <x v="8"/>
    <n v="1"/>
  </r>
  <r>
    <x v="1"/>
    <x v="1"/>
    <x v="0"/>
    <x v="1"/>
    <s v="011/08 BPB"/>
    <s v="4600264170 (GLOBAL REPUESTOS 2008)"/>
    <x v="135"/>
    <n v="12673.05"/>
    <x v="111"/>
    <n v="63"/>
    <d v="2008-11-12T00:00:00"/>
    <s v="Salvador"/>
    <d v="2008-10-28T00:00:00"/>
    <x v="19"/>
    <d v="2008-11-03T00:00:00"/>
    <d v="2008-11-08T00:00:00"/>
    <d v="2008-11-28T00:00:00"/>
    <n v="79"/>
    <s v="Fittings"/>
    <m/>
    <s v="en término"/>
    <x v="8"/>
    <n v="1"/>
  </r>
  <r>
    <x v="1"/>
    <x v="1"/>
    <x v="0"/>
    <x v="0"/>
    <s v="071/08 BBR"/>
    <s v="Petrobras N° 4502436359"/>
    <x v="136"/>
    <n v="6465"/>
    <x v="112"/>
    <n v="52"/>
    <d v="2008-11-17T00:00:00"/>
    <s v="Salvador"/>
    <d v="2008-10-28T00:00:00"/>
    <x v="74"/>
    <d v="2008-11-03T00:00:00"/>
    <d v="2008-11-08T00:00:00"/>
    <d v="2008-11-28T00:00:00"/>
    <n v="63"/>
    <s v="35 pescadores"/>
    <m/>
    <s v="en término"/>
    <x v="8"/>
    <n v="1"/>
  </r>
  <r>
    <x v="1"/>
    <x v="1"/>
    <x v="0"/>
    <x v="0"/>
    <s v="030/08 BBR"/>
    <s v="Petrobras N° 4502212953"/>
    <x v="137"/>
    <n v="81900"/>
    <x v="103"/>
    <n v="196"/>
    <d v="2008-12-08T00:00:00"/>
    <m/>
    <d v="2008-11-21T00:00:00"/>
    <x v="75"/>
    <d v="2008-11-21T00:00:00"/>
    <d v="2008-12-06T00:00:00"/>
    <d v="2009-01-05T00:00:00"/>
    <n v="224"/>
    <s v="350 vástagos - 2° ENVIO de 250 vástagos"/>
    <m/>
    <s v="en término"/>
    <x v="9"/>
    <n v="1"/>
  </r>
  <r>
    <x v="1"/>
    <x v="1"/>
    <x v="0"/>
    <x v="0"/>
    <s v="043/08 BBR"/>
    <s v="Petrobras N° 4502400188 (GLOBAL DE VÁLVULAS)"/>
    <x v="138"/>
    <n v="16977"/>
    <x v="113"/>
    <n v="89"/>
    <d v="2008-12-02T00:00:00"/>
    <m/>
    <d v="2008-11-21T00:00:00"/>
    <x v="9"/>
    <d v="2008-11-21T00:00:00"/>
    <d v="2008-12-06T00:00:00"/>
    <d v="2009-01-05T00:00:00"/>
    <n v="123"/>
    <s v="180 válvulas - SE ENVÍAN DESDE TANTAL"/>
    <m/>
    <s v="atrasado"/>
    <x v="9"/>
    <n v="0"/>
  </r>
  <r>
    <x v="1"/>
    <x v="1"/>
    <x v="0"/>
    <x v="0"/>
    <s v="079/08 BBR"/>
    <s v="Petroreconcavo"/>
    <x v="139"/>
    <n v="7940"/>
    <x v="114"/>
    <n v="35"/>
    <d v="2008-12-11T00:00:00"/>
    <m/>
    <d v="2008-11-21T00:00:00"/>
    <x v="33"/>
    <d v="2008-11-21T00:00:00"/>
    <d v="2008-12-06T00:00:00"/>
    <d v="2009-01-05T00:00:00"/>
    <n v="60"/>
    <s v="4 bombas - PARA PETRORECONCAVO"/>
    <m/>
    <s v="en término"/>
    <x v="9"/>
    <n v="1"/>
  </r>
  <r>
    <x v="1"/>
    <x v="1"/>
    <x v="0"/>
    <x v="0"/>
    <s v="032/08 BBR"/>
    <s v="Petrobras N° 4502214972"/>
    <x v="140"/>
    <n v="26500"/>
    <x v="115"/>
    <n v="120"/>
    <d v="2009-02-19T00:00:00"/>
    <m/>
    <d v="2008-12-09T00:00:00"/>
    <x v="76"/>
    <d v="2008-12-26T00:00:00"/>
    <d v="2008-12-27T00:00:00"/>
    <d v="2009-01-13T00:00:00"/>
    <n v="83"/>
    <s v="11 bombas - ADICIONES"/>
    <m/>
    <s v="en término"/>
    <x v="11"/>
    <n v="1"/>
  </r>
  <r>
    <x v="1"/>
    <x v="1"/>
    <x v="0"/>
    <x v="0"/>
    <s v="080/08 BBR"/>
    <s v="Petrobras N° 4502488800 / 4502492025"/>
    <x v="141"/>
    <n v="1926"/>
    <x v="114"/>
    <n v="59"/>
    <d v="2009-01-04T00:00:00"/>
    <m/>
    <d v="2008-12-09T00:00:00"/>
    <x v="77"/>
    <d v="2008-12-26T00:00:00"/>
    <d v="2008-12-27T00:00:00"/>
    <d v="2009-01-13T00:00:00"/>
    <n v="68"/>
    <s v="Fittings"/>
    <m/>
    <s v="en término"/>
    <x v="11"/>
    <n v="1"/>
  </r>
  <r>
    <x v="1"/>
    <x v="1"/>
    <x v="1"/>
    <x v="11"/>
    <s v="035/08 CPG"/>
    <m/>
    <x v="142"/>
    <n v="9350"/>
    <x v="93"/>
    <n v="30"/>
    <d v="2008-05-29T00:00:00"/>
    <s v="Buenos Aires"/>
    <d v="2008-05-10T00:00:00"/>
    <x v="64"/>
    <m/>
    <d v="2008-05-22T00:00:00"/>
    <d v="2008-06-06T00:00:00"/>
    <n v="38"/>
    <s v="3 bombas - ENTREGAR AL FORWARDER"/>
    <s v="Petroingenieria lleva una comision del 5 %"/>
    <s v="en término"/>
    <x v="3"/>
    <n v="1"/>
  </r>
  <r>
    <x v="1"/>
    <x v="1"/>
    <x v="1"/>
    <x v="12"/>
    <s v="036/08 CEC"/>
    <m/>
    <x v="143"/>
    <n v="190609.7"/>
    <x v="116"/>
    <n v="64"/>
    <d v="2008-06-27T00:00:00"/>
    <s v="Buenos Aires"/>
    <d v="2008-06-24T00:00:00"/>
    <x v="44"/>
    <d v="2008-06-26T00:00:00"/>
    <d v="2008-07-12T00:00:00"/>
    <d v="2008-08-01T00:00:00"/>
    <n v="99"/>
    <s v="Fittings - ENTREGAR AL FORWARDER"/>
    <s v="Desde el 19 de Junio la mercadería esta lista en nuestra planta esperando que Ecopetrol le de la autorización a su forwarder (Panalpina) para que puedan recibir la carga. - Atraso real 15 dias"/>
    <s v="en término"/>
    <x v="4"/>
    <n v="1"/>
  </r>
  <r>
    <x v="1"/>
    <x v="1"/>
    <x v="1"/>
    <x v="11"/>
    <s v="035/08 CPG"/>
    <m/>
    <x v="142"/>
    <n v="2990"/>
    <x v="93"/>
    <n v="30"/>
    <d v="2008-05-29T00:00:00"/>
    <s v="Buenos Aires"/>
    <d v="2008-06-27T00:00:00"/>
    <x v="28"/>
    <d v="2008-07-04T00:00:00"/>
    <d v="2008-07-08T00:00:00"/>
    <d v="2008-07-23T00:00:00"/>
    <n v="85"/>
    <s v="1 bomba PENDIENTE del pedido anterior - ENTREGAR AL FORWARDER"/>
    <s v="Petroingenieria lleva una comisión del 5 %"/>
    <s v="atrasado"/>
    <x v="4"/>
    <n v="0"/>
  </r>
  <r>
    <x v="1"/>
    <x v="1"/>
    <x v="1"/>
    <x v="11"/>
    <s v="043/08 CMA"/>
    <m/>
    <x v="144"/>
    <n v="9900"/>
    <x v="101"/>
    <n v="35"/>
    <d v="2008-07-04T00:00:00"/>
    <s v="Buenos Aires"/>
    <d v="2008-06-27T00:00:00"/>
    <x v="9"/>
    <d v="2008-07-04T00:00:00"/>
    <d v="2008-07-08T00:00:00"/>
    <d v="2008-07-23T00:00:00"/>
    <n v="54"/>
    <s v="2 bombas - ENTREGAR AL FORWARDER"/>
    <s v="Petroingenieria lleva una comisión del 5 %"/>
    <s v="atrasado"/>
    <x v="4"/>
    <n v="0"/>
  </r>
  <r>
    <x v="1"/>
    <x v="1"/>
    <x v="1"/>
    <x v="2"/>
    <s v="072/08 CPG"/>
    <m/>
    <x v="145"/>
    <n v="7882"/>
    <x v="117"/>
    <n v="45"/>
    <d v="2008-10-17T00:00:00"/>
    <s v="Buenos Aires"/>
    <d v="2008-09-12T00:00:00"/>
    <x v="42"/>
    <d v="2008-09-19T00:00:00"/>
    <d v="2008-09-20T00:00:00"/>
    <d v="2008-09-22T00:00:00"/>
    <n v="20"/>
    <s v="24 tubos"/>
    <m/>
    <s v="en término"/>
    <x v="7"/>
    <n v="1"/>
  </r>
  <r>
    <x v="1"/>
    <x v="1"/>
    <x v="1"/>
    <x v="2"/>
    <s v="067/08 CPG"/>
    <m/>
    <x v="146"/>
    <n v="10284"/>
    <x v="118"/>
    <n v="46"/>
    <d v="2008-11-17T00:00:00"/>
    <s v="Buenos Aires"/>
    <d v="2008-11-04T00:00:00"/>
    <x v="33"/>
    <m/>
    <d v="2008-11-12T00:00:00"/>
    <d v="2008-11-17T00:00:00"/>
    <n v="46"/>
    <s v="4 bombas + fittings - ENTREGAR AL FORWARDER"/>
    <m/>
    <s v="en término"/>
    <x v="9"/>
    <n v="1"/>
  </r>
  <r>
    <x v="1"/>
    <x v="1"/>
    <x v="1"/>
    <x v="2"/>
    <s v="075/08 CPG"/>
    <m/>
    <x v="147"/>
    <n v="12910"/>
    <x v="119"/>
    <n v="45"/>
    <d v="2008-12-29T00:00:00"/>
    <s v="Buenos Aires"/>
    <d v="2008-12-10T00:00:00"/>
    <x v="49"/>
    <m/>
    <d v="2008-12-19T00:00:00"/>
    <d v="2009-01-03T00:00:00"/>
    <n v="50"/>
    <s v="4 bombas - ENTREGAR AL FORWARDER"/>
    <m/>
    <s v="en término"/>
    <x v="11"/>
    <n v="1"/>
  </r>
  <r>
    <x v="1"/>
    <x v="1"/>
    <x v="2"/>
    <x v="3"/>
    <s v="007/08 VBV"/>
    <m/>
    <x v="148"/>
    <n v="615"/>
    <x v="120"/>
    <n v="10"/>
    <d v="2008-02-16T00:00:00"/>
    <s v="Pto. Cabello"/>
    <d v="2008-02-06T00:00:00"/>
    <x v="49"/>
    <m/>
    <d v="2008-02-06T00:00:00"/>
    <d v="2008-02-13T00:00:00"/>
    <n v="7"/>
    <s v="100 copas"/>
    <m/>
    <s v="en término"/>
    <x v="1"/>
    <n v="1"/>
  </r>
  <r>
    <x v="1"/>
    <x v="1"/>
    <x v="2"/>
    <x v="3"/>
    <s v="006/08 VBV"/>
    <m/>
    <x v="149"/>
    <n v="38111.4"/>
    <x v="121"/>
    <n v="30"/>
    <d v="2008-03-02T00:00:00"/>
    <s v="Pto. Cabello"/>
    <d v="2008-02-20T00:00:00"/>
    <x v="17"/>
    <d v="2008-02-27T00:00:00"/>
    <d v="2008-03-03T00:00:00"/>
    <d v="2008-04-02T00:00:00"/>
    <n v="61"/>
    <s v="30 barriles, 22 pistones, fittings varios"/>
    <m/>
    <s v="en término"/>
    <x v="1"/>
    <n v="1"/>
  </r>
  <r>
    <x v="1"/>
    <x v="1"/>
    <x v="2"/>
    <x v="3"/>
    <s v="026/08 VBV"/>
    <m/>
    <x v="150"/>
    <n v="49427.6"/>
    <x v="91"/>
    <n v="30"/>
    <d v="2008-04-23T00:00:00"/>
    <s v="Pto. Cabello"/>
    <d v="2008-04-18T00:00:00"/>
    <x v="33"/>
    <d v="2008-04-24T00:00:00"/>
    <d v="2008-05-07T00:00:00"/>
    <d v="2008-06-06T00:00:00"/>
    <n v="74"/>
    <s v="30 barriles, fittings varios"/>
    <m/>
    <s v="en término"/>
    <x v="10"/>
    <n v="1"/>
  </r>
  <r>
    <x v="1"/>
    <x v="1"/>
    <x v="2"/>
    <x v="3"/>
    <s v="037/08 VBV"/>
    <m/>
    <x v="151"/>
    <n v="53569"/>
    <x v="122"/>
    <n v="30"/>
    <d v="2008-06-11T00:00:00"/>
    <s v="Pto. Cabello"/>
    <d v="2008-05-25T00:00:00"/>
    <x v="34"/>
    <d v="2008-06-03T00:00:00"/>
    <d v="2008-06-10T00:00:00"/>
    <d v="2008-07-10T00:00:00"/>
    <n v="59"/>
    <s v="133 barriles, 8 pistones y fittings varios"/>
    <m/>
    <s v="en término"/>
    <x v="3"/>
    <n v="1"/>
  </r>
  <r>
    <x v="1"/>
    <x v="1"/>
    <x v="2"/>
    <x v="3"/>
    <m/>
    <m/>
    <x v="152"/>
    <n v="10210"/>
    <x v="123"/>
    <n v="30"/>
    <d v="2008-05-16T00:00:00"/>
    <s v="Pto. Cabello"/>
    <d v="2008-07-14T00:00:00"/>
    <x v="78"/>
    <m/>
    <d v="2008-07-15T00:00:00"/>
    <d v="2008-07-17T00:00:00"/>
    <n v="92"/>
    <s v="Fittings varios"/>
    <m/>
    <s v="atrasado"/>
    <x v="5"/>
    <n v="0"/>
  </r>
  <r>
    <x v="1"/>
    <x v="1"/>
    <x v="2"/>
    <x v="3"/>
    <s v="062/08 BVB"/>
    <m/>
    <x v="153"/>
    <n v="33032"/>
    <x v="124"/>
    <n v="30"/>
    <d v="2008-09-04T00:00:00"/>
    <s v="Pto. Cabello"/>
    <d v="2008-08-26T00:00:00"/>
    <x v="74"/>
    <d v="2008-08-28T00:00:00"/>
    <d v="2008-09-09T00:00:00"/>
    <d v="2008-10-09T00:00:00"/>
    <n v="65"/>
    <s v="150 nipples, 30 barriles y 20 pistones"/>
    <m/>
    <s v="en término"/>
    <x v="6"/>
    <n v="1"/>
  </r>
  <r>
    <x v="1"/>
    <x v="1"/>
    <x v="2"/>
    <x v="3"/>
    <m/>
    <m/>
    <x v="152"/>
    <n v="4480"/>
    <x v="123"/>
    <n v="30"/>
    <d v="2008-05-16T00:00:00"/>
    <s v="Pto. Cabello"/>
    <d v="2008-09-24T00:00:00"/>
    <x v="79"/>
    <m/>
    <d v="2008-12-13T00:00:00"/>
    <d v="2009-01-12T00:00:00"/>
    <n v="271"/>
    <s v="20 barriles"/>
    <m/>
    <s v="atrasado"/>
    <x v="7"/>
    <n v="0"/>
  </r>
  <r>
    <x v="1"/>
    <x v="1"/>
    <x v="2"/>
    <x v="3"/>
    <m/>
    <m/>
    <x v="154"/>
    <n v="14675"/>
    <x v="122"/>
    <n v="90"/>
    <d v="2008-08-10T00:00:00"/>
    <s v="Pto. Cabello"/>
    <d v="2008-09-10T00:00:00"/>
    <x v="80"/>
    <m/>
    <d v="2008-12-13T00:00:00"/>
    <d v="2009-01-12T00:00:00"/>
    <n v="245"/>
    <s v="10 barriles"/>
    <m/>
    <s v="atrasado"/>
    <x v="7"/>
    <n v="0"/>
  </r>
  <r>
    <x v="1"/>
    <x v="1"/>
    <x v="2"/>
    <x v="3"/>
    <s v="053/08 VBV"/>
    <m/>
    <x v="155"/>
    <n v="102581.8"/>
    <x v="125"/>
    <n v="30"/>
    <d v="2008-08-06T00:00:00"/>
    <s v="Pto. Cabello"/>
    <d v="2008-07-25T00:00:00"/>
    <x v="52"/>
    <d v="2008-11-25T00:00:00"/>
    <d v="2008-11-28T00:00:00"/>
    <d v="2008-12-23T00:00:00"/>
    <n v="169"/>
    <s v="168 barriles, 35 pistones y fittings varios"/>
    <s v="Se detuvo la carga a pedido de Venezuela (falta de dinero para el pago)"/>
    <s v="en término"/>
    <x v="5"/>
    <n v="1"/>
  </r>
  <r>
    <x v="1"/>
    <x v="1"/>
    <x v="2"/>
    <x v="3"/>
    <s v="104/08 BVB"/>
    <m/>
    <x v="156"/>
    <n v="168064"/>
    <x v="126"/>
    <n v="30"/>
    <d v="2008-12-19T00:00:00"/>
    <s v="Pto. La Guaira"/>
    <d v="2008-12-12T00:00:00"/>
    <x v="64"/>
    <d v="2008-12-16T00:00:00"/>
    <d v="2008-12-21T00:00:00"/>
    <d v="2009-01-15T00:00:00"/>
    <n v="57"/>
    <s v="33 nipples, 207 barriles y 64 pistones"/>
    <m/>
    <s v="en término"/>
    <x v="11"/>
    <n v="1"/>
  </r>
  <r>
    <x v="1"/>
    <x v="1"/>
    <x v="8"/>
    <x v="13"/>
    <s v="004/08 OBB"/>
    <m/>
    <x v="157"/>
    <n v="1081.8499999999999"/>
    <x v="121"/>
    <n v="30"/>
    <d v="2008-03-02T00:00:00"/>
    <s v=" Sta Cruz de la Sierra"/>
    <d v="2008-02-29T00:00:00"/>
    <x v="43"/>
    <m/>
    <d v="2008-03-14T00:00:00"/>
    <d v="2008-03-17T00:00:00"/>
    <n v="45"/>
    <s v="5 pistones"/>
    <m/>
    <s v="atrasado"/>
    <x v="1"/>
    <n v="0"/>
  </r>
  <r>
    <x v="1"/>
    <x v="1"/>
    <x v="8"/>
    <x v="13"/>
    <s v="103/08 OBB"/>
    <m/>
    <x v="158"/>
    <n v="1750"/>
    <x v="119"/>
    <n v="30"/>
    <d v="2008-12-14T00:00:00"/>
    <s v="Santa Cruz de la Sierra"/>
    <d v="2008-12-12T00:00:00"/>
    <x v="81"/>
    <m/>
    <d v="2009-01-12T00:00:00"/>
    <d v="2009-01-22T00:00:00"/>
    <n v="69"/>
    <s v="5 pistones"/>
    <m/>
    <s v="atrasado"/>
    <x v="11"/>
    <n v="0"/>
  </r>
  <r>
    <x v="1"/>
    <x v="1"/>
    <x v="3"/>
    <x v="4"/>
    <s v="058/08 ETE"/>
    <m/>
    <x v="159"/>
    <n v="74764.92"/>
    <x v="127"/>
    <n v="60"/>
    <d v="2008-10-21T00:00:00"/>
    <s v="Buenos Aires"/>
    <d v="2008-09-30T00:00:00"/>
    <x v="44"/>
    <d v="2008-10-14T00:00:00"/>
    <d v="2008-10-21T00:00:00"/>
    <d v="2008-11-20T00:00:00"/>
    <n v="90"/>
    <s v="42 bombas - ENTREGAR AL FORWARDER  (remito de Pta N° 6600005988)"/>
    <s v="Del buque Maruba Asia pasa al Maruba Parana (consolida el 09/10) y luego al Mapocho que esta consolidando el 14/10"/>
    <s v="en término"/>
    <x v="7"/>
    <n v="1"/>
  </r>
  <r>
    <x v="1"/>
    <x v="1"/>
    <x v="4"/>
    <x v="6"/>
    <s v="013/08 PMO"/>
    <m/>
    <x v="160"/>
    <n v="18236.099999999999"/>
    <x v="87"/>
    <n v="60"/>
    <d v="2008-05-12T00:00:00"/>
    <s v="Buenos Aires"/>
    <d v="2008-04-25T00:00:00"/>
    <x v="46"/>
    <m/>
    <d v="2008-05-09T00:00:00"/>
    <d v="2008-05-21T00:00:00"/>
    <n v="69"/>
    <s v="Fittings - ENTREGAR AL FORWARDER"/>
    <m/>
    <s v="en término"/>
    <x v="10"/>
    <n v="1"/>
  </r>
  <r>
    <x v="1"/>
    <x v="1"/>
    <x v="4"/>
    <x v="14"/>
    <s v="081/07 PUP"/>
    <m/>
    <x v="161"/>
    <n v="33048.71"/>
    <x v="128"/>
    <n v="60"/>
    <d v="2008-06-13T00:00:00"/>
    <s v="Buenos Aires"/>
    <d v="2008-05-26T00:00:00"/>
    <x v="63"/>
    <d v="2008-06-02T00:00:00"/>
    <d v="2008-06-14T00:00:00"/>
    <d v="2008-06-30T00:00:00"/>
    <n v="77"/>
    <s v="30 bombas, Fittings   "/>
    <s v="Liftoil lleva una comision de un 5% . Retraso de buque:  Del 06 de Junio se paso al 9 de Junio y del 9 de Junio se paso al 13 de Junio"/>
    <s v="atrasado"/>
    <x v="3"/>
    <n v="0"/>
  </r>
  <r>
    <x v="1"/>
    <x v="1"/>
    <x v="4"/>
    <x v="5"/>
    <s v="048/08 PPE"/>
    <m/>
    <x v="162"/>
    <n v="2660"/>
    <x v="129"/>
    <n v="19"/>
    <d v="2008-08-04T00:00:00"/>
    <s v="Buenos Aires"/>
    <d v="2008-07-25T00:00:00"/>
    <x v="0"/>
    <d v="2008-08-06T00:00:00"/>
    <d v="2008-08-19T00:00:00"/>
    <d v="2008-08-31T00:00:00"/>
    <n v="46"/>
    <s v="5 vástagos"/>
    <s v="Uteco tiene un 10% de comisión.  Motivos de la demora en la entrega:  la semana del 28/7 no hubo buque (mail 21/8 de Luis), próxima fecha el 9/08, esa fecha se retraso para el 12/08 y finalmente se paso para el 19/8 (mail de luis 21/8)"/>
    <s v="atrasado"/>
    <x v="5"/>
    <n v="0"/>
  </r>
  <r>
    <x v="1"/>
    <x v="1"/>
    <x v="4"/>
    <x v="5"/>
    <s v="054/08 PPE"/>
    <m/>
    <x v="163"/>
    <n v="66700"/>
    <x v="130"/>
    <n v="53"/>
    <d v="2008-10-20T00:00:00"/>
    <s v="Buenos Aires"/>
    <d v="2008-10-03T00:00:00"/>
    <x v="82"/>
    <d v="2008-10-09T00:00:00"/>
    <d v="2008-11-13T00:00:00"/>
    <d v="2008-12-03T00:00:00"/>
    <n v="97"/>
    <s v="150 vástagos - ENTREGAR AL EMBARCADOR AMERICA AUSTRAL SRL"/>
    <s v="Uteco tiene un 10% de comisión - Del buque Maruba Asia pasa al Maruba Parana (consolida el 09/10) y salida el 25/10. Se olvidan de cargar el contenedor, recien va a salir el 6/11 en el Montemar Europa (mail 28/10).  El buque entra en reparacion y sale rec"/>
    <s v="atrasado"/>
    <x v="8"/>
    <n v="0"/>
  </r>
  <r>
    <x v="1"/>
    <x v="1"/>
    <x v="4"/>
    <x v="5"/>
    <s v="057/08 PPE"/>
    <m/>
    <x v="164"/>
    <n v="17362"/>
    <x v="131"/>
    <n v="41"/>
    <d v="2008-10-20T00:00:00"/>
    <s v="Buenos Aires"/>
    <d v="2008-10-03T00:00:00"/>
    <x v="82"/>
    <d v="2008-10-09T00:00:00"/>
    <d v="2008-11-13T00:00:00"/>
    <d v="2008-12-03T00:00:00"/>
    <n v="85"/>
    <s v="38 vástagos - ENTREGAR AL EMBARCADOR AMERICA AUSTRAL SRL"/>
    <s v="Uteco tiene un 10% de comisión  - Del buque Maruba Asia pasa al Maruba Parana (consolida el 09/10) y salida el 25/10. Se olvidan de cargar el contenedor, recien va a salir el 6/11 en el Montemar Europa (mail 28/10). El buque entra en reparacion y sale rec"/>
    <s v="atrasado"/>
    <x v="8"/>
    <n v="0"/>
  </r>
  <r>
    <x v="1"/>
    <x v="1"/>
    <x v="5"/>
    <x v="7"/>
    <s v="077/07 TAL"/>
    <m/>
    <x v="165"/>
    <n v="33295.82"/>
    <x v="50"/>
    <n v="80"/>
    <d v="2008-02-01T00:00:00"/>
    <s v="Buenos Aires"/>
    <d v="2008-01-11T00:00:00"/>
    <x v="77"/>
    <d v="2008-01-16T00:00:00"/>
    <d v="2008-01-24T00:00:00"/>
    <d v="2008-03-14T00:00:00"/>
    <n v="122"/>
    <s v="Fittings - ENTREGAR AL FORWARDER - CERTIFICADOS DE CALIDAD"/>
    <m/>
    <s v="en término"/>
    <x v="0"/>
    <n v="1"/>
  </r>
  <r>
    <x v="1"/>
    <x v="1"/>
    <x v="5"/>
    <x v="7"/>
    <s v="078/07 TAL"/>
    <m/>
    <x v="166"/>
    <n v="5476.05"/>
    <x v="132"/>
    <n v="92"/>
    <d v="2008-03-01T00:00:00"/>
    <s v="Buenos Aires"/>
    <d v="2008-02-15T00:00:00"/>
    <x v="2"/>
    <m/>
    <d v="2008-02-29T00:00:00"/>
    <d v="2008-04-19T00:00:00"/>
    <n v="141"/>
    <s v="Fittings - ENTREGAR AL FORWARDER - CERTIFICADOS DE CALIDAD"/>
    <m/>
    <s v="en término"/>
    <x v="1"/>
    <n v="1"/>
  </r>
  <r>
    <x v="1"/>
    <x v="1"/>
    <x v="5"/>
    <x v="7"/>
    <s v="003/08 TAL"/>
    <m/>
    <x v="167"/>
    <n v="2825.1"/>
    <x v="133"/>
    <n v="57"/>
    <d v="2008-03-01T00:00:00"/>
    <s v="Buenos Aires"/>
    <d v="2008-02-15T00:00:00"/>
    <x v="2"/>
    <m/>
    <d v="2008-02-29T00:00:00"/>
    <d v="2008-04-19T00:00:00"/>
    <n v="106"/>
    <s v="Fittings - ENTREGAR AL FORWARDER - CERTIFICADOS DE CALIDAD"/>
    <m/>
    <s v="en término"/>
    <x v="1"/>
    <n v="1"/>
  </r>
  <r>
    <x v="1"/>
    <x v="1"/>
    <x v="5"/>
    <x v="7"/>
    <s v="073/08 TAL"/>
    <m/>
    <x v="168"/>
    <n v="15045.35"/>
    <x v="134"/>
    <n v="62"/>
    <d v="2008-10-30T00:00:00"/>
    <s v="Buenos Aires"/>
    <d v="2008-10-10T00:00:00"/>
    <x v="35"/>
    <m/>
    <d v="2008-11-04T00:00:00"/>
    <d v="2008-12-24T00:00:00"/>
    <n v="117"/>
    <s v="Fittings - ENTREGAR AL FORWARDER - CERTIFICADO DE CALIDAD"/>
    <m/>
    <s v="en término"/>
    <x v="8"/>
    <n v="1"/>
  </r>
  <r>
    <x v="1"/>
    <x v="1"/>
    <x v="6"/>
    <x v="9"/>
    <s v="074/08 YPS"/>
    <m/>
    <x v="169"/>
    <n v="5141.75"/>
    <x v="135"/>
    <n v="30"/>
    <d v="2008-11-07T00:00:00"/>
    <s v="Buenos Aires"/>
    <d v="2008-10-28T00:00:00"/>
    <x v="49"/>
    <m/>
    <d v="2008-11-11T00:00:00"/>
    <d v="2008-12-12T00:00:00"/>
    <n v="65"/>
    <s v="100 nipples - PAGO ANTICIPADO"/>
    <m/>
    <s v="en término"/>
    <x v="8"/>
    <n v="1"/>
  </r>
  <r>
    <x v="1"/>
    <x v="1"/>
    <x v="9"/>
    <x v="15"/>
    <s v="082/08 JET"/>
    <m/>
    <x v="170"/>
    <n v="1560"/>
    <x v="136"/>
    <n v="35"/>
    <d v="2008-12-09T00:00:00"/>
    <s v="Buenos Aires"/>
    <d v="2008-12-02T00:00:00"/>
    <x v="64"/>
    <d v="2008-12-12T00:00:00"/>
    <d v="2008-12-12T00:00:00"/>
    <d v="2008-12-17T00:00:00"/>
    <n v="43"/>
    <s v="Fittings - PAGO ANTICIPADO - CERTIFICADO DE CALIDAD - ENVIAR POR UPS"/>
    <m/>
    <s v="en término"/>
    <x v="11"/>
    <n v="1"/>
  </r>
  <r>
    <x v="1"/>
    <x v="1"/>
    <x v="7"/>
    <x v="10"/>
    <s v="080/07 LYP"/>
    <m/>
    <x v="171"/>
    <n v="2370"/>
    <x v="137"/>
    <n v="30"/>
    <d v="2008-01-10T00:00:00"/>
    <s v="Buenos Aires"/>
    <d v="2008-01-04T00:00:00"/>
    <x v="11"/>
    <d v="2008-01-08T00:00:00"/>
    <d v="2008-01-12T00:00:00"/>
    <d v="2008-02-22T00:00:00"/>
    <n v="73"/>
    <s v="2 vastagos  - CERTIFICADOS DE CALIDAD"/>
    <s v="Arribo al Puerto de Barcelona 31/01. Desconsolidación 04/02."/>
    <s v="atrasado"/>
    <x v="0"/>
    <n v="0"/>
  </r>
  <r>
    <x v="1"/>
    <x v="1"/>
    <x v="7"/>
    <x v="10"/>
    <s v="042/08 LYP"/>
    <m/>
    <x v="172"/>
    <n v="615.9"/>
    <x v="138"/>
    <n v="21"/>
    <d v="2008-06-27T00:00:00"/>
    <s v="Buenos Aires"/>
    <d v="2008-06-20T00:00:00"/>
    <x v="62"/>
    <m/>
    <d v="2008-07-03T00:00:00"/>
    <d v="2008-07-23T00:00:00"/>
    <n v="47"/>
    <s v="6 unión de vástago"/>
    <m/>
    <s v="atrasado"/>
    <x v="4"/>
    <n v="0"/>
  </r>
  <r>
    <x v="1"/>
    <x v="1"/>
    <x v="10"/>
    <x v="16"/>
    <s v="044/08 WGP"/>
    <m/>
    <x v="173"/>
    <n v="5955"/>
    <x v="139"/>
    <n v="27"/>
    <d v="2008-06-30T00:00:00"/>
    <s v="Rio Gallegos"/>
    <d v="2008-06-30T00:00:00"/>
    <x v="44"/>
    <d v="2008-06-30T00:00:00"/>
    <d v="2008-07-16T00:00:00"/>
    <d v="2008-07-21T00:00:00"/>
    <n v="48"/>
    <s v="2 bombas, fittings "/>
    <s v="Enviar con camión a Rio Gallegos y allí realizar los tramites de exportación con el despachante nuestro. La carga se entrego el 26 de Junio pero recién se va a enviar a Chile el 16 de Julio, ya que la juntaron con otra carga. - Atraso 16 dias"/>
    <s v="en término"/>
    <x v="4"/>
    <n v="1"/>
  </r>
  <r>
    <x v="2"/>
    <x v="2"/>
    <x v="0"/>
    <x v="1"/>
    <s v="011/08 BPB"/>
    <s v="4600264170 (GLOBAL REPUESTOS 2008)"/>
    <x v="174"/>
    <n v="6966.96"/>
    <x v="140"/>
    <n v="97"/>
    <d v="2009-03-05T00:00:00"/>
    <s v="Salvador"/>
    <d v="2009-01-09T00:00:00"/>
    <x v="25"/>
    <d v="2009-01-20T00:00:00"/>
    <d v="2009-01-23T00:00:00"/>
    <d v="2009-02-09T00:00:00"/>
    <n v="73"/>
    <s v="Fittings"/>
    <m/>
    <s v="en término"/>
    <x v="0"/>
    <n v="1"/>
  </r>
  <r>
    <x v="2"/>
    <x v="2"/>
    <x v="0"/>
    <x v="1"/>
    <s v="049/08 BPB"/>
    <s v="4600279670 (GLOBAL 2008)"/>
    <x v="175"/>
    <n v="79690.600000000006"/>
    <x v="141"/>
    <n v="82"/>
    <d v="2009-03-08T00:00:00"/>
    <s v="Salvador"/>
    <d v="2009-01-09T00:00:00"/>
    <x v="83"/>
    <d v="2009-01-20T00:00:00"/>
    <d v="2009-01-23T00:00:00"/>
    <d v="2009-02-09T00:00:00"/>
    <n v="55"/>
    <s v="190 vástagos - 1° ENVIO"/>
    <m/>
    <s v="en término"/>
    <x v="0"/>
    <n v="1"/>
  </r>
  <r>
    <x v="2"/>
    <x v="2"/>
    <x v="0"/>
    <x v="0"/>
    <s v="043/08 BBR"/>
    <s v="Petrobras N° 4502484522 (GLOBAL DE VÁLVULAS)"/>
    <x v="176"/>
    <n v="21199"/>
    <x v="114"/>
    <n v="75"/>
    <d v="2009-01-20T00:00:00"/>
    <s v="Salvador"/>
    <d v="2009-01-09T00:00:00"/>
    <x v="15"/>
    <d v="2009-01-20T00:00:00"/>
    <d v="2009-01-23T00:00:00"/>
    <d v="2009-02-09T00:00:00"/>
    <n v="95"/>
    <s v="150 válvulas - SE ENVÍAN DESDE TANTAL"/>
    <m/>
    <s v="atrasado"/>
    <x v="0"/>
    <n v="0"/>
  </r>
  <r>
    <x v="2"/>
    <x v="2"/>
    <x v="0"/>
    <x v="0"/>
    <s v="043/08 BBR"/>
    <s v="Petrobras N° 4502502718 (GLOBAL DE VÁLVULAS)"/>
    <x v="158"/>
    <n v="9615"/>
    <x v="114"/>
    <n v="88"/>
    <d v="2009-02-02T00:00:00"/>
    <s v="Salvador"/>
    <d v="2009-01-09T00:00:00"/>
    <x v="49"/>
    <d v="2009-01-20T00:00:00"/>
    <d v="2009-01-23T00:00:00"/>
    <d v="2009-02-09T00:00:00"/>
    <n v="95"/>
    <s v="100 válvulas - SE ENVÍAN DESDE TANTAL"/>
    <m/>
    <s v="en término"/>
    <x v="0"/>
    <n v="1"/>
  </r>
  <r>
    <x v="2"/>
    <x v="2"/>
    <x v="0"/>
    <x v="0"/>
    <s v="043/08 BBR"/>
    <s v="Petrobras N° 4502532759 (GLOBAL DE VÁLVULAS)"/>
    <x v="177"/>
    <n v="9615"/>
    <x v="126"/>
    <n v="92"/>
    <d v="2009-02-19T00:00:00"/>
    <s v="Salvador"/>
    <d v="2009-01-09T00:00:00"/>
    <x v="42"/>
    <d v="2009-01-20T00:00:00"/>
    <d v="2009-01-23T00:00:00"/>
    <d v="2009-02-09T00:00:00"/>
    <n v="82"/>
    <s v="100 válvulas - SE ENVÍAN DESDE TANTAL"/>
    <m/>
    <s v="en término"/>
    <x v="0"/>
    <n v="1"/>
  </r>
  <r>
    <x v="2"/>
    <x v="2"/>
    <x v="0"/>
    <x v="0"/>
    <s v="043/08 BBR"/>
    <s v="Petrobras N° 4502554031 (GLOBAL DE VÁLVULAS)"/>
    <x v="178"/>
    <n v="21099"/>
    <x v="142"/>
    <n v="89"/>
    <d v="2009-02-28T00:00:00"/>
    <s v="Salvador"/>
    <d v="2009-02-20T00:00:00"/>
    <x v="44"/>
    <d v="2009-02-25T00:00:00"/>
    <d v="2009-02-28T00:00:00"/>
    <d v="2009-03-02T00:00:00"/>
    <n v="91"/>
    <s v="150 válvulas - SE ENVÍAN DESDE TANTAL"/>
    <m/>
    <s v="en término"/>
    <x v="1"/>
    <n v="1"/>
  </r>
  <r>
    <x v="2"/>
    <x v="2"/>
    <x v="0"/>
    <x v="1"/>
    <s v="011/08 BPB"/>
    <s v="4600264170 (GLOBAL REPUESTOS 2008)"/>
    <x v="179"/>
    <n v="9164.42"/>
    <x v="143"/>
    <n v="97"/>
    <d v="2009-04-16T00:00:00"/>
    <s v="Salvador"/>
    <d v="2009-03-13T00:00:00"/>
    <x v="42"/>
    <d v="2009-03-18T00:00:00"/>
    <d v="2009-03-20T00:00:00"/>
    <d v="2009-04-06T00:00:00"/>
    <n v="87"/>
    <s v="Fittings"/>
    <m/>
    <s v="en término"/>
    <x v="2"/>
    <n v="1"/>
  </r>
  <r>
    <x v="2"/>
    <x v="2"/>
    <x v="0"/>
    <x v="1"/>
    <s v="049/08 BPB"/>
    <s v="4600279670 (GLOBAL 2008)"/>
    <x v="180"/>
    <n v="25490"/>
    <x v="144"/>
    <n v="81"/>
    <d v="2009-04-06T00:00:00"/>
    <s v="Salvador"/>
    <d v="2009-03-13T00:00:00"/>
    <x v="34"/>
    <d v="2009-03-18T00:00:00"/>
    <d v="2009-03-20T00:00:00"/>
    <d v="2009-04-06T00:00:00"/>
    <n v="81"/>
    <s v="60 vástagos - 2° ENVIO"/>
    <m/>
    <s v="en término"/>
    <x v="2"/>
    <n v="1"/>
  </r>
  <r>
    <x v="2"/>
    <x v="2"/>
    <x v="0"/>
    <x v="0"/>
    <s v="106/08 BPB"/>
    <s v="Petrobras N° 4502568271"/>
    <x v="181"/>
    <n v="96640"/>
    <x v="145"/>
    <n v="122"/>
    <d v="2009-04-10T00:00:00"/>
    <s v="Salvador"/>
    <d v="2009-03-13T00:00:00"/>
    <x v="84"/>
    <d v="2009-03-18T00:00:00"/>
    <d v="2009-03-20T00:00:00"/>
    <d v="2009-04-06T00:00:00"/>
    <n v="118"/>
    <s v="35 bombas + 6 bombas"/>
    <m/>
    <s v="en término"/>
    <x v="2"/>
    <n v="1"/>
  </r>
  <r>
    <x v="2"/>
    <x v="2"/>
    <x v="0"/>
    <x v="0"/>
    <s v="043/08 BBR"/>
    <s v="Petrobras N° 4502593462 (GLOBAL DE VÁLVULAS)"/>
    <x v="182"/>
    <n v="7515.6"/>
    <x v="146"/>
    <n v="89"/>
    <d v="2009-03-28T00:00:00"/>
    <s v="Salvador"/>
    <d v="2009-03-13T00:00:00"/>
    <x v="77"/>
    <d v="2009-03-18T00:00:00"/>
    <d v="2009-03-20T00:00:00"/>
    <d v="2009-04-06T00:00:00"/>
    <n v="98"/>
    <s v="120 válvulas - SE ENVÍAN DESDE TANTAL"/>
    <m/>
    <s v="en término"/>
    <x v="2"/>
    <n v="1"/>
  </r>
  <r>
    <x v="2"/>
    <x v="2"/>
    <x v="0"/>
    <x v="0"/>
    <s v="081/08 BPB"/>
    <s v="Petrobras N° 4502580443"/>
    <x v="183"/>
    <n v="34880"/>
    <x v="141"/>
    <n v="117"/>
    <d v="2009-04-12T00:00:00"/>
    <s v="Salvador"/>
    <d v="2009-03-13T00:00:00"/>
    <x v="59"/>
    <d v="2009-03-18T00:00:00"/>
    <d v="2009-03-20T00:00:00"/>
    <d v="2009-04-06T00:00:00"/>
    <n v="111"/>
    <s v="10 bombas"/>
    <m/>
    <s v="en término"/>
    <x v="2"/>
    <n v="1"/>
  </r>
  <r>
    <x v="2"/>
    <x v="2"/>
    <x v="0"/>
    <x v="0"/>
    <s v="043/08 BBR"/>
    <s v="Petrobras N° 4502619701  (GLOBAL DE VÁLVULAS)"/>
    <x v="184"/>
    <n v="28100"/>
    <x v="144"/>
    <n v="90"/>
    <d v="2009-04-15T00:00:00"/>
    <s v="Salvador"/>
    <d v="2009-03-13T00:00:00"/>
    <x v="85"/>
    <d v="2009-03-18T00:00:00"/>
    <d v="2009-03-20T00:00:00"/>
    <d v="2009-04-06T00:00:00"/>
    <n v="81"/>
    <s v="200 válvulas - SE ENVÍAN DESDE TANTAL"/>
    <m/>
    <s v="en término"/>
    <x v="2"/>
    <n v="1"/>
  </r>
  <r>
    <x v="2"/>
    <x v="2"/>
    <x v="0"/>
    <x v="1"/>
    <s v="105/08 BPB"/>
    <s v="4600287735 (GLOBAL 2008)"/>
    <x v="185"/>
    <n v="138166.35999999999"/>
    <x v="147"/>
    <n v="115"/>
    <d v="2009-04-16T00:00:00"/>
    <s v="Salvador"/>
    <d v="2009-04-23T00:00:00"/>
    <x v="45"/>
    <d v="2009-03-29T00:00:00"/>
    <d v="2009-04-30T00:00:00"/>
    <d v="2009-05-18T00:00:00"/>
    <n v="147"/>
    <s v="50 bombas"/>
    <m/>
    <s v="atrasado"/>
    <x v="10"/>
    <n v="0"/>
  </r>
  <r>
    <x v="2"/>
    <x v="2"/>
    <x v="0"/>
    <x v="1"/>
    <s v="049/08 BPB"/>
    <s v="4600279670 (GLOBAL 2008)"/>
    <x v="186"/>
    <n v="58731.360000000001"/>
    <x v="148"/>
    <n v="78"/>
    <d v="2009-05-06T00:00:00"/>
    <s v="Salvador"/>
    <d v="2009-04-23T00:00:00"/>
    <x v="86"/>
    <d v="2009-03-29T00:00:00"/>
    <d v="2009-04-30T00:00:00"/>
    <d v="2009-05-18T00:00:00"/>
    <n v="90"/>
    <s v="150 vástagos - 3° ENVIO"/>
    <m/>
    <s v="en término"/>
    <x v="10"/>
    <n v="1"/>
  </r>
  <r>
    <x v="2"/>
    <x v="2"/>
    <x v="0"/>
    <x v="0"/>
    <s v="112/08 BPB"/>
    <s v="Petrobras N° 4502623256"/>
    <x v="187"/>
    <n v="142900"/>
    <x v="149"/>
    <n v="112"/>
    <d v="2009-05-11T00:00:00"/>
    <s v="Salvador"/>
    <d v="2009-04-23T00:00:00"/>
    <x v="17"/>
    <d v="2009-03-29T00:00:00"/>
    <d v="2009-04-30T00:00:00"/>
    <d v="2009-05-18T00:00:00"/>
    <n v="119"/>
    <s v="50 bombas + 12 bombas = 62 bombas"/>
    <m/>
    <s v="en término"/>
    <x v="10"/>
    <n v="1"/>
  </r>
  <r>
    <x v="2"/>
    <x v="2"/>
    <x v="0"/>
    <x v="0"/>
    <s v="043/08 BBR"/>
    <s v="Petrobras N° 4502650387  (GLOBAL DE VÁLVULAS)"/>
    <x v="188"/>
    <n v="4226.6000000000004"/>
    <x v="150"/>
    <n v="89"/>
    <d v="2009-05-03T00:00:00"/>
    <s v="Salvador"/>
    <d v="2009-04-23T00:00:00"/>
    <x v="46"/>
    <d v="2009-03-29T00:00:00"/>
    <d v="2009-04-30T00:00:00"/>
    <d v="2009-05-18T00:00:00"/>
    <n v="104"/>
    <s v="70 válvulas - SE ENVÍAN DESDE TANTAL"/>
    <m/>
    <s v="en término"/>
    <x v="10"/>
    <n v="1"/>
  </r>
  <r>
    <x v="2"/>
    <x v="2"/>
    <x v="0"/>
    <x v="0"/>
    <s v="115/08 BBR"/>
    <s v="Petrobras N° 4502632253"/>
    <x v="189"/>
    <n v="440"/>
    <x v="151"/>
    <n v="109"/>
    <d v="2009-05-25T00:00:00"/>
    <s v="Salvador"/>
    <d v="2009-04-23T00:00:00"/>
    <x v="48"/>
    <d v="2009-03-29T00:00:00"/>
    <d v="2009-04-30T00:00:00"/>
    <d v="2009-05-18T00:00:00"/>
    <n v="102"/>
    <s v="2 pistones"/>
    <m/>
    <s v="en término"/>
    <x v="10"/>
    <n v="1"/>
  </r>
  <r>
    <x v="2"/>
    <x v="2"/>
    <x v="0"/>
    <x v="0"/>
    <s v="113/08 BBR"/>
    <s v="Petrobras N° 4502625177"/>
    <x v="190"/>
    <n v="10900"/>
    <x v="151"/>
    <n v="96"/>
    <d v="2009-05-12T00:00:00"/>
    <s v="Salvador"/>
    <d v="2009-04-23T00:00:00"/>
    <x v="52"/>
    <d v="2009-03-29T00:00:00"/>
    <d v="2009-04-30T00:00:00"/>
    <d v="2009-05-18T00:00:00"/>
    <n v="102"/>
    <s v="Fittings"/>
    <m/>
    <s v="en término"/>
    <x v="10"/>
    <n v="1"/>
  </r>
  <r>
    <x v="2"/>
    <x v="2"/>
    <x v="0"/>
    <x v="0"/>
    <s v="100/08 BBR"/>
    <s v="Petrobras N° 4502655712 (GLOBAL DE VALVULAS 2008)"/>
    <x v="191"/>
    <n v="21600"/>
    <x v="148"/>
    <n v="80"/>
    <d v="2009-05-08T00:00:00"/>
    <s v="Salvador"/>
    <d v="2009-04-23T00:00:00"/>
    <x v="77"/>
    <d v="2009-03-29T00:00:00"/>
    <d v="2009-04-30T00:00:00"/>
    <d v="2009-05-18T00:00:00"/>
    <n v="90"/>
    <s v="200 valvulas - SE ENVÍAN DESDE TANTAL"/>
    <m/>
    <s v="en término"/>
    <x v="10"/>
    <n v="1"/>
  </r>
  <r>
    <x v="2"/>
    <x v="2"/>
    <x v="0"/>
    <x v="1"/>
    <s v="105/08 BPB"/>
    <s v="4600287735 (GLOBAL 2008)"/>
    <x v="192"/>
    <n v="154760.06"/>
    <x v="152"/>
    <n v="95"/>
    <d v="2009-05-25T00:00:00"/>
    <s v="Salvador"/>
    <d v="2009-05-05T00:00:00"/>
    <x v="49"/>
    <d v="2009-05-13T00:00:00"/>
    <d v="2009-05-15T00:00:00"/>
    <d v="2009-06-01T00:00:00"/>
    <n v="102"/>
    <s v="67 bombas"/>
    <m/>
    <s v="en término"/>
    <x v="3"/>
    <n v="1"/>
  </r>
  <r>
    <x v="2"/>
    <x v="2"/>
    <x v="0"/>
    <x v="0"/>
    <s v="008/09 BBR"/>
    <s v="Petrobras N° 4502695331"/>
    <x v="193"/>
    <n v="1930"/>
    <x v="153"/>
    <n v="81"/>
    <d v="2009-06-07T00:00:00"/>
    <s v="Salvador"/>
    <d v="2009-05-05T00:00:00"/>
    <x v="59"/>
    <d v="2009-05-13T00:00:00"/>
    <d v="2009-05-15T00:00:00"/>
    <d v="2009-06-01T00:00:00"/>
    <n v="75"/>
    <s v="3 pistones"/>
    <m/>
    <s v="en término"/>
    <x v="3"/>
    <n v="1"/>
  </r>
  <r>
    <x v="2"/>
    <x v="2"/>
    <x v="0"/>
    <x v="0"/>
    <s v="010/09 BBR"/>
    <s v="Petrobras N° 4502698522"/>
    <x v="194"/>
    <n v="2720"/>
    <x v="153"/>
    <n v="83"/>
    <d v="2009-06-09T00:00:00"/>
    <s v="Salvador"/>
    <d v="2009-05-05T00:00:00"/>
    <x v="48"/>
    <d v="2009-05-13T00:00:00"/>
    <d v="2009-05-15T00:00:00"/>
    <d v="2009-06-01T00:00:00"/>
    <n v="75"/>
    <s v="6 válvulas - SE ENVÍAN DESDE TANTAL"/>
    <m/>
    <s v="en término"/>
    <x v="3"/>
    <n v="1"/>
  </r>
  <r>
    <x v="2"/>
    <x v="2"/>
    <x v="0"/>
    <x v="0"/>
    <s v="100/08 BBR"/>
    <s v="Petrobras N° 4502706298 (GLOBAL DE VALVULAS 2008)"/>
    <x v="195"/>
    <n v="6750"/>
    <x v="154"/>
    <n v="90"/>
    <d v="2009-06-14T00:00:00"/>
    <s v="Salvador"/>
    <d v="2009-05-05T00:00:00"/>
    <x v="39"/>
    <d v="2009-05-13T00:00:00"/>
    <d v="2009-05-15T00:00:00"/>
    <d v="2009-06-01T00:00:00"/>
    <n v="77"/>
    <s v="100 valvulas - SE ENVÍAN DESDE TANTAL"/>
    <m/>
    <s v="en término"/>
    <x v="3"/>
    <n v="1"/>
  </r>
  <r>
    <x v="2"/>
    <x v="2"/>
    <x v="0"/>
    <x v="1"/>
    <s v="049/08 BPB"/>
    <s v="4600279670 (GLOBAL 2008)"/>
    <x v="196"/>
    <n v="36071.980000000003"/>
    <x v="155"/>
    <n v="80"/>
    <d v="2009-07-27T00:00:00"/>
    <s v="Salvador"/>
    <d v="2009-07-07T00:00:00"/>
    <x v="49"/>
    <d v="2009-07-15T00:00:00"/>
    <d v="2009-07-17T00:00:00"/>
    <d v="2009-08-05T00:00:00"/>
    <n v="89"/>
    <s v="90 vástagos - 4° ENVIO"/>
    <s v="Estaba prevista la salida de Planta para el 30 de Junio, pero por paro gremial se retraso para Julio"/>
    <s v="en término"/>
    <x v="5"/>
    <n v="1"/>
  </r>
  <r>
    <x v="2"/>
    <x v="2"/>
    <x v="0"/>
    <x v="1"/>
    <s v="011/08 BPB"/>
    <s v="4600264170 (GLOBAL REPUESTOS 2008)"/>
    <x v="197"/>
    <n v="4042.05"/>
    <x v="155"/>
    <n v="97"/>
    <d v="2009-08-13T00:00:00"/>
    <s v="Salvador"/>
    <d v="2009-07-07T00:00:00"/>
    <x v="42"/>
    <d v="2009-07-15T00:00:00"/>
    <d v="2009-07-17T00:00:00"/>
    <d v="2009-08-05T00:00:00"/>
    <n v="89"/>
    <s v="Fittings"/>
    <s v="Estaba prevista la salida de Planta para el 30 de Junio, pero por paro gremial se retraso para Julio"/>
    <s v="en término"/>
    <x v="5"/>
    <n v="1"/>
  </r>
  <r>
    <x v="2"/>
    <x v="2"/>
    <x v="0"/>
    <x v="1"/>
    <s v="011/08 BPB"/>
    <s v="4600264170 (GLOBAL REPUESTOS 2008)"/>
    <x v="198"/>
    <n v="16724.34"/>
    <x v="156"/>
    <n v="102"/>
    <d v="2009-07-06T00:00:00"/>
    <s v="Salvador"/>
    <d v="2009-07-07T00:00:00"/>
    <x v="13"/>
    <d v="2009-07-15T00:00:00"/>
    <d v="2009-07-17T00:00:00"/>
    <d v="2009-08-05T00:00:00"/>
    <n v="132"/>
    <s v="Fittings"/>
    <s v="Estaba prevista la salida de Planta para el 30 de Junio, pero por paro gremial se retraso para Julio"/>
    <s v="atrasado"/>
    <x v="5"/>
    <n v="0"/>
  </r>
  <r>
    <x v="2"/>
    <x v="2"/>
    <x v="0"/>
    <x v="1"/>
    <s v="105/08 BPB"/>
    <s v="4600287735 (GLOBAL 2008)"/>
    <x v="199"/>
    <n v="70497.440000000002"/>
    <x v="157"/>
    <n v="93"/>
    <d v="2009-07-15T00:00:00"/>
    <s v="Salvador"/>
    <d v="2009-07-07T00:00:00"/>
    <x v="11"/>
    <d v="2009-07-15T00:00:00"/>
    <d v="2009-07-17T00:00:00"/>
    <d v="2009-08-05T00:00:00"/>
    <n v="114"/>
    <s v="30 bombas"/>
    <s v="Estaba prevista la salida de Planta para el 30 de Junio, pero por paro gremial se retraso para Julio"/>
    <s v="atrasado"/>
    <x v="5"/>
    <n v="0"/>
  </r>
  <r>
    <x v="2"/>
    <x v="2"/>
    <x v="0"/>
    <x v="0"/>
    <s v="100/08 BBR"/>
    <s v="Petrobras N° 4502723861 (GLOBAL DE VALVULAS 2008)"/>
    <x v="200"/>
    <n v="37325"/>
    <x v="158"/>
    <n v="91"/>
    <d v="2009-06-29T00:00:00"/>
    <s v="Salvador"/>
    <d v="2009-07-07T00:00:00"/>
    <x v="8"/>
    <d v="2009-07-15T00:00:00"/>
    <d v="2009-07-17T00:00:00"/>
    <d v="2009-08-05T00:00:00"/>
    <n v="128"/>
    <s v="350 valvulas - SE ENVÍAN DESDE TANTAL"/>
    <s v="Estaba prevista la salida de Planta para el 30 de Junio, pero por paro gremial se retraso para Julio"/>
    <s v="atrasado"/>
    <x v="5"/>
    <n v="0"/>
  </r>
  <r>
    <x v="2"/>
    <x v="2"/>
    <x v="0"/>
    <x v="0"/>
    <s v="100/08 BBR"/>
    <s v="Petrobras N° 4502755379 (GLOBAL DE VALVULAS 2008)"/>
    <x v="201"/>
    <n v="6750"/>
    <x v="159"/>
    <n v="88"/>
    <d v="2009-07-18T00:00:00"/>
    <s v="Salvador"/>
    <d v="2009-07-07T00:00:00"/>
    <x v="2"/>
    <d v="2009-07-15T00:00:00"/>
    <d v="2009-07-17T00:00:00"/>
    <d v="2009-08-05T00:00:00"/>
    <n v="106"/>
    <s v="100 valvulas - SE ENVÍAN DESDE TANTAL"/>
    <s v="Estaba prevista la salida de Planta para el 30 de Junio, pero por paro gremial se retraso para Julio"/>
    <s v="en término"/>
    <x v="5"/>
    <n v="1"/>
  </r>
  <r>
    <x v="2"/>
    <x v="2"/>
    <x v="0"/>
    <x v="0"/>
    <s v="013/09 BBR"/>
    <s v="Petrobras N° 4502768586"/>
    <x v="202"/>
    <n v="1645"/>
    <x v="160"/>
    <n v="121"/>
    <d v="2009-08-28T00:00:00"/>
    <s v="Salvador"/>
    <d v="2009-07-07T00:00:00"/>
    <x v="31"/>
    <d v="2009-07-15T00:00:00"/>
    <d v="2009-07-17T00:00:00"/>
    <d v="2009-08-05T00:00:00"/>
    <n v="98"/>
    <s v="350 APBs "/>
    <s v="Estaba prevista la salida de Planta para el 30 de Junio, pero por paro gremial se retraso para Julio"/>
    <s v="en término"/>
    <x v="5"/>
    <n v="1"/>
  </r>
  <r>
    <x v="2"/>
    <x v="2"/>
    <x v="0"/>
    <x v="0"/>
    <s v="012/09 BBR"/>
    <s v="Petrobras N° 4502783379"/>
    <x v="203"/>
    <n v="51030"/>
    <x v="161"/>
    <n v="93"/>
    <d v="2009-08-28T00:00:00"/>
    <s v="Salvador"/>
    <d v="2009-07-07T00:00:00"/>
    <x v="31"/>
    <d v="2009-07-15T00:00:00"/>
    <d v="2009-07-17T00:00:00"/>
    <d v="2009-08-05T00:00:00"/>
    <n v="70"/>
    <s v="26 bombas"/>
    <s v="Estaba prevista la salida de Planta para el 30 de Junio, pero por paro gremial se retraso para Julio"/>
    <s v="en término"/>
    <x v="5"/>
    <n v="1"/>
  </r>
  <r>
    <x v="2"/>
    <x v="2"/>
    <x v="0"/>
    <x v="0"/>
    <s v="025/09 BBR"/>
    <s v="Petrobras N° 4502804179"/>
    <x v="204"/>
    <n v="3650"/>
    <x v="162"/>
    <n v="77"/>
    <d v="2009-08-06T00:00:00"/>
    <s v="Salvador"/>
    <d v="2009-07-07T00:00:00"/>
    <x v="35"/>
    <d v="2009-07-15T00:00:00"/>
    <d v="2009-07-17T00:00:00"/>
    <d v="2009-08-05T00:00:00"/>
    <n v="76"/>
    <s v="10 pistones"/>
    <s v="Estaba prevista la salida de Planta para el 30 de Junio, pero por paro gremial se retraso para Julio"/>
    <s v="en término"/>
    <x v="5"/>
    <n v="1"/>
  </r>
  <r>
    <x v="2"/>
    <x v="2"/>
    <x v="0"/>
    <x v="1"/>
    <s v="105/08 BPB"/>
    <s v="4600287735 (GLOBAL 2008)"/>
    <x v="205"/>
    <n v="46868.03"/>
    <x v="163"/>
    <n v="93"/>
    <d v="2009-08-26T00:00:00"/>
    <s v="Salvador"/>
    <d v="2009-08-04T00:00:00"/>
    <x v="75"/>
    <m/>
    <d v="2009-08-24T00:00:00"/>
    <d v="2009-09-09T00:00:00"/>
    <n v="107"/>
    <s v="20 bombas"/>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1"/>
    <s v="105/08 BPB"/>
    <s v="4600287735 (GLOBAL 2008)"/>
    <x v="206"/>
    <n v="163245.97"/>
    <x v="164"/>
    <n v="98"/>
    <d v="2009-08-25T00:00:00"/>
    <s v="Salvador"/>
    <d v="2009-08-04T00:00:00"/>
    <x v="2"/>
    <m/>
    <d v="2009-08-24T00:00:00"/>
    <d v="2009-09-09T00:00:00"/>
    <n v="113"/>
    <s v="60 bombas"/>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1"/>
    <s v="049/08 BPB"/>
    <s v="4600279670 (GLOBAL 2008)"/>
    <x v="207"/>
    <n v="29980.33"/>
    <x v="165"/>
    <n v="79"/>
    <d v="2009-08-26T00:00:00"/>
    <s v="Salvador"/>
    <d v="2009-08-04T00:00:00"/>
    <x v="75"/>
    <m/>
    <d v="2009-08-24T00:00:00"/>
    <d v="2009-09-09T00:00:00"/>
    <n v="93"/>
    <s v="95 vástagos - 5° ENVIO"/>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0"/>
    <s v="039/09 BBR"/>
    <s v="Petrobras N° 4502841528"/>
    <x v="208"/>
    <n v="1096"/>
    <x v="166"/>
    <n v="70"/>
    <d v="2009-08-27T00:00:00"/>
    <s v="Salvador"/>
    <d v="2009-08-04T00:00:00"/>
    <x v="46"/>
    <m/>
    <d v="2009-08-24T00:00:00"/>
    <d v="2009-09-09T00:00:00"/>
    <n v="83"/>
    <s v="28 bujes (S22-35B)"/>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0"/>
    <s v="100/08 BBR"/>
    <s v="Petrobras N° 4502853721 (GLOBAL DE VALVULAS 2008)"/>
    <x v="209"/>
    <n v="6750"/>
    <x v="167"/>
    <n v="91"/>
    <d v="2009-09-23T00:00:00"/>
    <s v="Salvador"/>
    <d v="2009-08-04T00:00:00"/>
    <x v="39"/>
    <m/>
    <d v="2009-08-24T00:00:00"/>
    <d v="2009-09-09T00:00:00"/>
    <n v="77"/>
    <s v="100 valvulas - SE ENVÍAN DESDE TANTAL"/>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0"/>
    <s v="022/09 BBR"/>
    <s v="Koch 236-09"/>
    <x v="210"/>
    <n v="16030"/>
    <x v="168"/>
    <n v="60"/>
    <d v="2009-08-29T00:00:00"/>
    <s v="Salvador"/>
    <d v="2009-08-04T00:00:00"/>
    <x v="33"/>
    <m/>
    <d v="2009-08-24T00:00:00"/>
    <d v="2009-09-09T00:00:00"/>
    <n v="71"/>
    <s v="10 bombas + fittings - KOCH"/>
    <s v="Desde el dia 11 de Agosto hay paro para ingresar a realizar el consolidado (Exolgan), por lo tanto pasariamos al buque proximo. El 19/8 nos informan que cambian el buque Belem por el HS Smetana pero no tiene bandera brasilera por lo que hay que esperar el"/>
    <s v="en término"/>
    <x v="6"/>
    <n v="1"/>
  </r>
  <r>
    <x v="2"/>
    <x v="2"/>
    <x v="0"/>
    <x v="1"/>
    <s v="105/08 BPB"/>
    <s v="4600287735 (GLOBAL 2008)"/>
    <x v="211"/>
    <n v="83117.36"/>
    <x v="166"/>
    <n v="99"/>
    <d v="2009-09-25T00:00:00"/>
    <s v="Salvador"/>
    <d v="2009-09-04T00:00:00"/>
    <x v="33"/>
    <m/>
    <d v="2009-09-20T00:00:00"/>
    <d v="2009-10-06T00:00:00"/>
    <n v="110"/>
    <s v="35 bombas"/>
    <m/>
    <s v="en término"/>
    <x v="7"/>
    <n v="1"/>
  </r>
  <r>
    <x v="2"/>
    <x v="2"/>
    <x v="0"/>
    <x v="1"/>
    <s v="049/08 BPB"/>
    <s v="4600279670 (GLOBAL 2008)"/>
    <x v="212"/>
    <n v="45631.199999999997"/>
    <x v="169"/>
    <n v="83"/>
    <d v="2009-09-30T00:00:00"/>
    <s v="Salvador"/>
    <d v="2009-09-04T00:00:00"/>
    <x v="49"/>
    <m/>
    <d v="2009-09-20T00:00:00"/>
    <d v="2009-10-06T00:00:00"/>
    <n v="89"/>
    <s v="120 vástagos - 6° ENVIO"/>
    <m/>
    <s v="en término"/>
    <x v="7"/>
    <n v="1"/>
  </r>
  <r>
    <x v="2"/>
    <x v="2"/>
    <x v="0"/>
    <x v="1"/>
    <s v="049/08 BPB"/>
    <s v="4600279670 (GLOBAL 2008)"/>
    <x v="213"/>
    <n v="18430.55"/>
    <x v="170"/>
    <n v="80"/>
    <d v="2009-10-17T00:00:00"/>
    <s v="Salvador"/>
    <d v="2009-09-04T00:00:00"/>
    <x v="42"/>
    <m/>
    <d v="2009-09-20T00:00:00"/>
    <d v="2009-10-06T00:00:00"/>
    <n v="69"/>
    <s v="59 vástagos - 7° ENVIO"/>
    <s v="Se pidio la correccion de la PCS ya que estan incorrectos los precios - 25 de Agosto envian correccion, pero no corrigen el NCM, se solicita la correccion (2/9)"/>
    <s v="en término"/>
    <x v="7"/>
    <n v="1"/>
  </r>
  <r>
    <x v="2"/>
    <x v="2"/>
    <x v="0"/>
    <x v="1"/>
    <s v="105/08 BPB"/>
    <s v="4600287735 (GLOBAL 2008)"/>
    <x v="214"/>
    <n v="74590.48"/>
    <x v="171"/>
    <n v="93"/>
    <d v="2009-10-21T00:00:00"/>
    <s v="Salvador"/>
    <d v="2009-09-04T00:00:00"/>
    <x v="69"/>
    <m/>
    <d v="2009-09-20T00:00:00"/>
    <d v="2009-10-06T00:00:00"/>
    <n v="78"/>
    <s v="32 bombas"/>
    <m/>
    <s v="en término"/>
    <x v="7"/>
    <n v="1"/>
  </r>
  <r>
    <x v="2"/>
    <x v="2"/>
    <x v="0"/>
    <x v="0"/>
    <s v="033/09 BBR"/>
    <s v="Petrobras N° 4502870693"/>
    <x v="215"/>
    <n v="20295"/>
    <x v="172"/>
    <n v="114"/>
    <d v="2009-10-23T00:00:00"/>
    <s v="Salvador"/>
    <d v="2009-09-04T00:00:00"/>
    <x v="72"/>
    <m/>
    <d v="2009-09-20T00:00:00"/>
    <d v="2009-10-06T00:00:00"/>
    <n v="97"/>
    <s v="10 bombas"/>
    <m/>
    <s v="en término"/>
    <x v="7"/>
    <n v="1"/>
  </r>
  <r>
    <x v="2"/>
    <x v="2"/>
    <x v="0"/>
    <x v="1"/>
    <s v="011/08 BPB"/>
    <s v="4600264170 (GLOBAL REPUESTOS 2008)"/>
    <x v="216"/>
    <n v="22374.7"/>
    <x v="173"/>
    <n v="97"/>
    <d v="2009-11-02T00:00:00"/>
    <s v="Salvador"/>
    <d v="2009-10-06T00:00:00"/>
    <x v="49"/>
    <d v="2009-10-09T00:00:00"/>
    <d v="2009-10-23T00:00:00"/>
    <d v="2009-11-06T00:00:00"/>
    <n v="101"/>
    <s v="Fittings"/>
    <m/>
    <s v="en término"/>
    <x v="8"/>
    <n v="1"/>
  </r>
  <r>
    <x v="2"/>
    <x v="2"/>
    <x v="0"/>
    <x v="0"/>
    <s v="100/08 BBR"/>
    <s v="Petrobras N° 4502924587 (GLOBAL DE VALVULAS 2008)"/>
    <x v="217"/>
    <n v="13200"/>
    <x v="174"/>
    <n v="83"/>
    <d v="2009-11-04T00:00:00"/>
    <s v="Salvador"/>
    <d v="2009-10-06T00:00:00"/>
    <x v="52"/>
    <d v="2009-10-09T00:00:00"/>
    <d v="2009-10-23T00:00:00"/>
    <d v="2009-11-06T00:00:00"/>
    <n v="85"/>
    <s v="200 valvulas - SE ENVÍAN DESDE TANTAL"/>
    <m/>
    <s v="en término"/>
    <x v="8"/>
    <n v="1"/>
  </r>
  <r>
    <x v="2"/>
    <x v="2"/>
    <x v="0"/>
    <x v="0"/>
    <s v="100/08 BBR"/>
    <s v="Petrobras N° 4502951082 (GLOBAL DE VALVULAS 2008)"/>
    <x v="218"/>
    <n v="12960"/>
    <x v="175"/>
    <n v="87"/>
    <d v="2009-11-28T00:00:00"/>
    <s v="Salvador"/>
    <d v="2009-10-06T00:00:00"/>
    <x v="53"/>
    <d v="2009-10-09T00:00:00"/>
    <d v="2009-10-23T00:00:00"/>
    <d v="2009-11-06T00:00:00"/>
    <n v="65"/>
    <s v="120 valvulas - SE ENVÍAN DESDE TANTAL"/>
    <m/>
    <s v="en término"/>
    <x v="8"/>
    <n v="1"/>
  </r>
  <r>
    <x v="2"/>
    <x v="2"/>
    <x v="0"/>
    <x v="0"/>
    <s v="056/09 BBR"/>
    <s v="Petrobras N° 4502963294"/>
    <x v="219"/>
    <n v="675"/>
    <x v="175"/>
    <n v="58"/>
    <d v="2009-10-30T00:00:00"/>
    <s v="Salvador"/>
    <d v="2009-10-06T00:00:00"/>
    <x v="64"/>
    <d v="2009-10-09T00:00:00"/>
    <d v="2009-10-23T00:00:00"/>
    <d v="2009-11-06T00:00:00"/>
    <n v="65"/>
    <s v="9 jaulas con guias postizas"/>
    <m/>
    <s v="en término"/>
    <x v="8"/>
    <n v="1"/>
  </r>
  <r>
    <x v="2"/>
    <x v="2"/>
    <x v="0"/>
    <x v="0"/>
    <s v="100/08 BBR"/>
    <s v="Petrobras N° 4502952928 (GLOBAL DE VALVULAS 2008)"/>
    <x v="220"/>
    <n v="47530"/>
    <x v="176"/>
    <n v="82"/>
    <d v="2009-11-28T00:00:00"/>
    <s v="Salvador"/>
    <d v="2009-11-03T00:00:00"/>
    <x v="87"/>
    <d v="2009-11-11T00:00:00"/>
    <d v="2009-11-12T00:00:00"/>
    <d v="2009-12-01T00:00:00"/>
    <n v="85"/>
    <s v="300 valvulas - SE ENVÍAN DESDE TANTAL"/>
    <m/>
    <s v="en término"/>
    <x v="9"/>
    <n v="1"/>
  </r>
  <r>
    <x v="2"/>
    <x v="2"/>
    <x v="0"/>
    <x v="0"/>
    <s v="100/08 BBR"/>
    <s v="Petrobras N° 4502980630 (GLOBAL DE VALVULAS 2008)"/>
    <x v="221"/>
    <n v="16175"/>
    <x v="177"/>
    <n v="87"/>
    <d v="2009-12-12T00:00:00"/>
    <s v="Salvador"/>
    <d v="2009-11-03T00:00:00"/>
    <x v="39"/>
    <d v="2009-11-11T00:00:00"/>
    <d v="2009-11-12T00:00:00"/>
    <d v="2009-12-01T00:00:00"/>
    <n v="76"/>
    <s v="150 valvulas - SE ENVÍAN DESDE TANTAL"/>
    <m/>
    <s v="en término"/>
    <x v="9"/>
    <n v="1"/>
  </r>
  <r>
    <x v="2"/>
    <x v="2"/>
    <x v="0"/>
    <x v="0"/>
    <s v="060/09 BBR"/>
    <s v="Petrobras N° 4503032509"/>
    <x v="222"/>
    <n v="2400"/>
    <x v="178"/>
    <n v="62"/>
    <d v="2009-12-17T00:00:00"/>
    <s v="Salvador"/>
    <d v="2009-11-03T00:00:00"/>
    <x v="88"/>
    <d v="2009-11-11T00:00:00"/>
    <d v="2009-11-12T00:00:00"/>
    <d v="2009-12-01T00:00:00"/>
    <n v="46"/>
    <s v="30 jaulas"/>
    <m/>
    <s v="en término"/>
    <x v="9"/>
    <n v="1"/>
  </r>
  <r>
    <x v="2"/>
    <x v="2"/>
    <x v="0"/>
    <x v="0"/>
    <s v="081/09 BBR"/>
    <s v="Petrobras N° 4503065430"/>
    <x v="223"/>
    <n v="610"/>
    <x v="179"/>
    <n v="5"/>
    <d v="2009-11-11T00:00:00"/>
    <s v="Salvador"/>
    <d v="2009-11-06T00:00:00"/>
    <x v="2"/>
    <d v="2009-11-09T00:00:00"/>
    <d v="2009-11-10T00:00:00"/>
    <d v="2009-11-11T00:00:00"/>
    <n v="5"/>
    <s v="2 guia helicoidal"/>
    <m/>
    <s v="en término"/>
    <x v="9"/>
    <n v="1"/>
  </r>
  <r>
    <x v="2"/>
    <x v="2"/>
    <x v="0"/>
    <x v="1"/>
    <s v="105/08 BPB"/>
    <s v="4600287735 (GLOBAL 2008)"/>
    <x v="224"/>
    <n v="12322.32"/>
    <x v="180"/>
    <n v="91"/>
    <d v="2009-11-16T00:00:00"/>
    <s v="Salvador"/>
    <d v="2009-11-03T00:00:00"/>
    <x v="19"/>
    <d v="2009-11-11T00:00:00"/>
    <d v="2009-11-12T00:00:00"/>
    <d v="2009-12-01T00:00:00"/>
    <n v="106"/>
    <s v="6 bombas"/>
    <m/>
    <s v="en término"/>
    <x v="9"/>
    <n v="1"/>
  </r>
  <r>
    <x v="2"/>
    <x v="2"/>
    <x v="0"/>
    <x v="1"/>
    <s v="105/08 BPB"/>
    <s v="4600287735 (GLOBAL 2008)"/>
    <x v="225"/>
    <n v="53434.98"/>
    <x v="181"/>
    <n v="101"/>
    <d v="2009-12-28T00:00:00"/>
    <s v="Salvador"/>
    <d v="2009-11-03T00:00:00"/>
    <x v="89"/>
    <d v="2009-11-11T00:00:00"/>
    <d v="2009-11-12T00:00:00"/>
    <d v="2009-12-01T00:00:00"/>
    <n v="74"/>
    <s v="27 bombas"/>
    <m/>
    <s v="en término"/>
    <x v="9"/>
    <n v="1"/>
  </r>
  <r>
    <x v="2"/>
    <x v="2"/>
    <x v="0"/>
    <x v="1"/>
    <s v="049/08 BPB"/>
    <s v="4600279670 (GLOBAL VASTAGOS 2008)"/>
    <x v="226"/>
    <n v="26485.13"/>
    <x v="182"/>
    <n v="83"/>
    <d v="2010-01-20T00:00:00"/>
    <s v="Salvador"/>
    <d v="2009-12-04T00:00:00"/>
    <x v="39"/>
    <d v="2009-12-17T00:00:00"/>
    <d v="2009-12-21T00:00:00"/>
    <d v="2010-01-04T00:00:00"/>
    <n v="67"/>
    <s v="70 vástagos - 9° ENVIO"/>
    <s v="21 de Dic.:  informan que aun el barco esta en el Puerto por problemas sindicales"/>
    <s v="en término"/>
    <x v="11"/>
    <n v="1"/>
  </r>
  <r>
    <x v="2"/>
    <x v="2"/>
    <x v="0"/>
    <x v="1"/>
    <s v="011/08 BPB"/>
    <s v="4600264170 (GLOBAL REPUESTOS 2008)"/>
    <x v="227"/>
    <n v="17050.150000000001"/>
    <x v="183"/>
    <n v="94"/>
    <d v="2010-01-14T00:00:00"/>
    <s v="Salvador"/>
    <d v="2009-12-04T00:00:00"/>
    <x v="90"/>
    <d v="2009-12-17T00:00:00"/>
    <d v="2009-12-21T00:00:00"/>
    <d v="2010-01-04T00:00:00"/>
    <n v="84"/>
    <s v="Fittings"/>
    <s v="21 de Dic.:  informan que aun el barco esta en el Puerto por problemas sindicales"/>
    <s v="en término"/>
    <x v="11"/>
    <n v="1"/>
  </r>
  <r>
    <x v="2"/>
    <x v="2"/>
    <x v="0"/>
    <x v="1"/>
    <s v="049/08 BPB"/>
    <s v="4600279670 (GLOBAL VASTAGOS 2008)"/>
    <x v="228"/>
    <n v="65472.55"/>
    <x v="184"/>
    <n v="78"/>
    <d v="2009-12-22T00:00:00"/>
    <s v="Salvador"/>
    <d v="2009-12-04T00:00:00"/>
    <x v="2"/>
    <d v="2009-12-17T00:00:00"/>
    <d v="2009-12-21T00:00:00"/>
    <d v="2010-01-04T00:00:00"/>
    <n v="91"/>
    <s v="170 vástagos - 8° ENVIO"/>
    <s v="21 de Dic.:  informan que aun el barco esta en el Puerto por problemas sindicales"/>
    <s v="en término"/>
    <x v="11"/>
    <n v="1"/>
  </r>
  <r>
    <x v="2"/>
    <x v="2"/>
    <x v="1"/>
    <x v="12"/>
    <s v="098/08 CEC"/>
    <m/>
    <x v="229"/>
    <n v="279264.09999999998"/>
    <x v="185"/>
    <n v="90"/>
    <d v="2009-03-12T00:00:00"/>
    <s v="Buenos Aires"/>
    <d v="2009-03-16T00:00:00"/>
    <x v="44"/>
    <d v="2009-03-25T00:00:00"/>
    <d v="2009-03-26T00:00:00"/>
    <d v="2009-04-11T00:00:00"/>
    <n v="120"/>
    <s v="Fittings - CONSORCIO TISAT LOGISTICS "/>
    <s v="Se postergo la entrega ya que Ecopetrol no nos informo el nuevo forwarder (la mercaderia esta lista en Planta desde 27 de Feb.) - Atraso real 14 dias"/>
    <s v="en término"/>
    <x v="2"/>
    <n v="1"/>
  </r>
  <r>
    <x v="2"/>
    <x v="2"/>
    <x v="1"/>
    <x v="12"/>
    <s v="031/09 CEC"/>
    <m/>
    <x v="230"/>
    <n v="214590.7"/>
    <x v="186"/>
    <n v="60"/>
    <d v="2009-07-27T00:00:00"/>
    <s v="Buenos Aires"/>
    <d v="2009-07-14T00:00:00"/>
    <x v="44"/>
    <d v="2009-07-17T00:00:00"/>
    <d v="2009-07-27T00:00:00"/>
    <d v="2009-08-15T00:00:00"/>
    <n v="79"/>
    <s v="Fittings "/>
    <s v="La carga estaba prevista que salga en el buque del 20 de Julio pero por la perdida de los documentos en la Aduana / maritima la carga no subio al buque."/>
    <s v="en término"/>
    <x v="5"/>
    <n v="1"/>
  </r>
  <r>
    <x v="2"/>
    <x v="2"/>
    <x v="1"/>
    <x v="12"/>
    <s v="040/09 CEC"/>
    <m/>
    <x v="231"/>
    <n v="213933.3"/>
    <x v="187"/>
    <n v="55"/>
    <d v="2009-08-04T00:00:00"/>
    <s v="Buenos Aires"/>
    <d v="2009-07-14T00:00:00"/>
    <x v="77"/>
    <d v="2009-07-17T00:00:00"/>
    <d v="2009-07-27T00:00:00"/>
    <d v="2009-08-16T00:00:00"/>
    <n v="67"/>
    <s v="Fittings + MAQUETA"/>
    <s v="La carga estaba prevista que salga en el buque del 20 de Julio pero por la perdida de los documentos en la Aduana / maritima la carga no subio al buque."/>
    <s v="en término"/>
    <x v="5"/>
    <n v="1"/>
  </r>
  <r>
    <x v="2"/>
    <x v="2"/>
    <x v="1"/>
    <x v="12"/>
    <s v="035/09 CEC"/>
    <m/>
    <x v="232"/>
    <n v="90428.6"/>
    <x v="172"/>
    <n v="63"/>
    <d v="2009-09-02T00:00:00"/>
    <s v="Buenos Aires"/>
    <d v="2009-08-28T00:00:00"/>
    <x v="75"/>
    <m/>
    <d v="2009-08-31T00:00:00"/>
    <d v="2009-09-30T00:00:00"/>
    <n v="91"/>
    <s v="Fittings"/>
    <s v="24 de Agosto, el forwarder no tiene instrucciones sobre esta carga. La carga se tomo el 31 de Agosto y se coloco esta fecha en el BL pero realmente la carga embarco el 10 de Sept."/>
    <s v="en término"/>
    <x v="6"/>
    <n v="1"/>
  </r>
  <r>
    <x v="2"/>
    <x v="2"/>
    <x v="2"/>
    <x v="3"/>
    <m/>
    <m/>
    <x v="233"/>
    <n v="13987.1"/>
    <x v="126"/>
    <n v="90"/>
    <d v="2009-02-17T00:00:00"/>
    <s v="Pto. Cabello"/>
    <d v="2009-01-13T00:00:00"/>
    <x v="44"/>
    <m/>
    <d v="2009-04-03T00:00:00"/>
    <d v="2009-04-07T00:00:00"/>
    <n v="139"/>
    <s v="Anillos, o'rings, bolas"/>
    <s v="Se esta esperando que Venezuela hago el pago y nos de el CADIVI - Atraso real  45 dias"/>
    <s v="en término"/>
    <x v="0"/>
    <n v="1"/>
  </r>
  <r>
    <x v="2"/>
    <x v="2"/>
    <x v="2"/>
    <x v="3"/>
    <m/>
    <m/>
    <x v="154"/>
    <n v="8146"/>
    <x v="122"/>
    <n v="90"/>
    <d v="2008-08-10T00:00:00"/>
    <s v="Pto. Cabello"/>
    <d v="2009-01-12T00:00:00"/>
    <x v="44"/>
    <m/>
    <d v="2009-05-03T00:00:00"/>
    <d v="2009-05-11T00:00:00"/>
    <n v="364"/>
    <s v="5 barriles"/>
    <s v="Se esta esperando que Venezuela hago el pago y nos de el CADIVI - Atraso real 266 dias"/>
    <s v="en término"/>
    <x v="0"/>
    <n v="1"/>
  </r>
  <r>
    <x v="2"/>
    <x v="2"/>
    <x v="2"/>
    <x v="3"/>
    <m/>
    <m/>
    <x v="234"/>
    <n v="59754.45"/>
    <x v="188"/>
    <n v="90"/>
    <d v="2009-06-22T00:00:00"/>
    <s v="Pto. Cabello"/>
    <d v="2009-05-08T00:00:00"/>
    <x v="91"/>
    <d v="2009-05-19T00:00:00"/>
    <d v="2009-05-10T00:00:00"/>
    <d v="2009-06-09T00:00:00"/>
    <n v="77"/>
    <s v="27 barriles, 44 pistones, fittings"/>
    <s v="Aun no nos informan el CADIVI"/>
    <s v="en término"/>
    <x v="3"/>
    <n v="1"/>
  </r>
  <r>
    <x v="2"/>
    <x v="2"/>
    <x v="2"/>
    <x v="3"/>
    <s v="058/09 VBV"/>
    <m/>
    <x v="235"/>
    <n v="1590"/>
    <x v="175"/>
    <n v="15"/>
    <d v="2009-09-17T00:00:00"/>
    <s v="Pto. Cabello"/>
    <d v="2009-09-11T00:00:00"/>
    <x v="11"/>
    <d v="2009-09-17T00:00:00"/>
    <d v="2009-09-19T00:00:00"/>
    <d v="2009-09-26T00:00:00"/>
    <n v="24"/>
    <s v="APBs"/>
    <m/>
    <s v="atrasado"/>
    <x v="7"/>
    <n v="0"/>
  </r>
  <r>
    <x v="2"/>
    <x v="2"/>
    <x v="3"/>
    <x v="4"/>
    <s v="053/09 ETE"/>
    <m/>
    <x v="236"/>
    <n v="2650"/>
    <x v="189"/>
    <n v="7"/>
    <d v="2009-08-14T00:00:00"/>
    <s v="Buenos Aires"/>
    <d v="2009-08-07T00:00:00"/>
    <x v="9"/>
    <d v="2009-08-11T00:00:00"/>
    <d v="2009-08-18T00:00:00"/>
    <d v="2009-09-05T00:00:00"/>
    <n v="29"/>
    <s v="Fittings"/>
    <s v="Horacio viaja a Ecuador para reemplazar estos repuestos "/>
    <s v="atrasado"/>
    <x v="6"/>
    <n v="0"/>
  </r>
  <r>
    <x v="2"/>
    <x v="2"/>
    <x v="4"/>
    <x v="17"/>
    <s v="114/08 PAB"/>
    <m/>
    <x v="237"/>
    <n v="9750"/>
    <x v="190"/>
    <n v="15"/>
    <d v="2009-01-21T00:00:00"/>
    <s v="Buenos Aires"/>
    <d v="2009-01-16T00:00:00"/>
    <x v="5"/>
    <d v="2009-02-05T00:00:00"/>
    <d v="2009-02-06T00:00:00"/>
    <d v="2009-02-19T00:00:00"/>
    <n v="44"/>
    <s v="20 Vastagos "/>
    <m/>
    <s v="atrasado"/>
    <x v="0"/>
    <n v="0"/>
  </r>
  <r>
    <x v="2"/>
    <x v="2"/>
    <x v="4"/>
    <x v="17"/>
    <s v="116/08 PAB"/>
    <m/>
    <x v="238"/>
    <n v="13880"/>
    <x v="190"/>
    <n v="60"/>
    <d v="2009-03-07T00:00:00"/>
    <s v="Buenos Aires"/>
    <d v="2009-03-03T00:00:00"/>
    <x v="92"/>
    <d v="2009-03-17T00:00:00"/>
    <d v="2009-03-27T00:00:00"/>
    <d v="2009-04-11T00:00:00"/>
    <n v="95"/>
    <s v="8 bombas + 8 nipples"/>
    <s v="Se postergo el cut off (del 13 al 17/3)"/>
    <s v="atrasado"/>
    <x v="2"/>
    <n v="0"/>
  </r>
  <r>
    <x v="2"/>
    <x v="2"/>
    <x v="4"/>
    <x v="17"/>
    <s v="024/09 PAB"/>
    <m/>
    <x v="239"/>
    <n v="5900"/>
    <x v="160"/>
    <n v="30"/>
    <d v="2009-05-29T00:00:00"/>
    <s v="Buenos Aires"/>
    <d v="2009-05-19T00:00:00"/>
    <x v="9"/>
    <d v="2009-05-26T00:00:00"/>
    <d v="2009-06-02T00:00:00"/>
    <d v="2009-06-16T00:00:00"/>
    <n v="48"/>
    <s v="4 bombas"/>
    <m/>
    <s v="atrasado"/>
    <x v="3"/>
    <n v="0"/>
  </r>
  <r>
    <x v="2"/>
    <x v="2"/>
    <x v="5"/>
    <x v="7"/>
    <s v="037/09 TAL"/>
    <m/>
    <x v="240"/>
    <n v="340"/>
    <x v="161"/>
    <n v="85"/>
    <d v="2009-08-20T00:00:00"/>
    <s v="Buenos Aires"/>
    <d v="2009-07-14T00:00:00"/>
    <x v="70"/>
    <m/>
    <d v="2009-07-17T00:00:00"/>
    <d v="2009-07-21T00:00:00"/>
    <n v="55"/>
    <s v="Fittings "/>
    <m/>
    <s v="en término"/>
    <x v="5"/>
    <n v="1"/>
  </r>
  <r>
    <x v="2"/>
    <x v="2"/>
    <x v="5"/>
    <x v="7"/>
    <s v="048/09 TAL"/>
    <m/>
    <x v="241"/>
    <n v="5486"/>
    <x v="171"/>
    <n v="87"/>
    <d v="2009-10-15T00:00:00"/>
    <s v="Buenos Aires"/>
    <d v="2009-09-01T00:00:00"/>
    <x v="59"/>
    <d v="2009-08-31T00:00:00"/>
    <d v="2009-09-22T00:00:00"/>
    <d v="2009-10-10T00:00:00"/>
    <n v="82"/>
    <s v="Fittings "/>
    <m/>
    <s v="en término"/>
    <x v="7"/>
    <n v="1"/>
  </r>
  <r>
    <x v="2"/>
    <x v="2"/>
    <x v="5"/>
    <x v="7"/>
    <s v="054/09 TAL"/>
    <m/>
    <x v="242"/>
    <n v="1263"/>
    <x v="180"/>
    <n v="59"/>
    <d v="2009-10-15T00:00:00"/>
    <s v="Buenos Aires"/>
    <d v="2009-09-01T00:00:00"/>
    <x v="59"/>
    <d v="2009-08-31T00:00:00"/>
    <d v="2009-09-22T00:00:00"/>
    <d v="2010-10-10T00:00:00"/>
    <n v="419"/>
    <s v="Fittings "/>
    <m/>
    <s v="en término"/>
    <x v="7"/>
    <n v="1"/>
  </r>
  <r>
    <x v="2"/>
    <x v="2"/>
    <x v="5"/>
    <x v="7"/>
    <s v="063/09 TAL"/>
    <m/>
    <x v="243"/>
    <n v="9392"/>
    <x v="191"/>
    <n v="35"/>
    <d v="2009-10-15T00:00:00"/>
    <s v="Buenos Aires"/>
    <d v="2009-10-05T00:00:00"/>
    <x v="12"/>
    <d v="2009-10-22T00:00:00"/>
    <d v="2009-10-28T00:00:00"/>
    <d v="2009-11-17T00:00:00"/>
    <n v="68"/>
    <s v="80 pistones"/>
    <s v="El buque cambio de fecha: salia el 18/10 y paso al 26/10. Nueva fecha 28/10"/>
    <s v="atrasado"/>
    <x v="8"/>
    <n v="0"/>
  </r>
  <r>
    <x v="2"/>
    <x v="2"/>
    <x v="5"/>
    <x v="7"/>
    <s v="072/09 TAL"/>
    <m/>
    <x v="244"/>
    <n v="6980"/>
    <x v="192"/>
    <n v="46"/>
    <d v="2009-12-05T00:00:00"/>
    <s v="Buenos Aires"/>
    <d v="2009-11-24T00:00:00"/>
    <x v="15"/>
    <m/>
    <d v="2009-12-08T00:00:00"/>
    <d v="2009-12-28T00:00:00"/>
    <n v="69"/>
    <s v="Fittings (nipples)  - FORWARDER CRANE"/>
    <m/>
    <s v="atrasado"/>
    <x v="9"/>
    <n v="0"/>
  </r>
  <r>
    <x v="2"/>
    <x v="2"/>
    <x v="5"/>
    <x v="7"/>
    <s v="065/09 TAL"/>
    <m/>
    <x v="245"/>
    <n v="3794"/>
    <x v="193"/>
    <n v="39"/>
    <d v="2009-11-10T00:00:00"/>
    <s v="Buenos Aires"/>
    <d v="2009-11-03T00:00:00"/>
    <x v="93"/>
    <m/>
    <d v="2009-12-08T00:00:00"/>
    <d v="2009-12-28T00:00:00"/>
    <n v="87"/>
    <s v="Fittings - FORWARDER CRANE"/>
    <m/>
    <s v="atrasado"/>
    <x v="9"/>
    <n v="0"/>
  </r>
  <r>
    <x v="2"/>
    <x v="2"/>
    <x v="6"/>
    <x v="8"/>
    <s v="088/08 YPS"/>
    <m/>
    <x v="246"/>
    <n v="5495"/>
    <x v="194"/>
    <n v="45"/>
    <d v="2009-04-12T00:00:00"/>
    <s v="Singapore"/>
    <d v="2009-03-20T00:00:00"/>
    <x v="33"/>
    <d v="2009-04-01T00:00:00"/>
    <d v="2009-04-07T00:00:00"/>
    <d v="2009-05-09T00:00:00"/>
    <n v="72"/>
    <s v="Fittings - PAGO ANTICIPADO"/>
    <m/>
    <s v="en término"/>
    <x v="2"/>
    <n v="1"/>
  </r>
  <r>
    <x v="2"/>
    <x v="2"/>
    <x v="6"/>
    <x v="8"/>
    <s v="032/09 YPS"/>
    <m/>
    <x v="247"/>
    <n v="4279.6000000000004"/>
    <x v="166"/>
    <n v="21"/>
    <d v="2009-07-09T00:00:00"/>
    <s v="Singapore"/>
    <d v="2009-07-07T00:00:00"/>
    <x v="14"/>
    <m/>
    <d v="2009-07-14T00:00:00"/>
    <d v="2009-07-16T00:00:00"/>
    <n v="28"/>
    <s v="Pistones"/>
    <s v="Estaba prevista la salida de Planta para el 30 de Junio, pero por paro gremial se retraso para Julio"/>
    <s v="atrasado"/>
    <x v="5"/>
    <n v="0"/>
  </r>
  <r>
    <x v="2"/>
    <x v="2"/>
    <x v="7"/>
    <x v="10"/>
    <s v="042/09 LYP"/>
    <m/>
    <x v="248"/>
    <n v="6030"/>
    <x v="195"/>
    <n v="45"/>
    <d v="2009-09-05T00:00:00"/>
    <s v="Buenos Aires"/>
    <d v="2009-08-25T00:00:00"/>
    <x v="44"/>
    <d v="2009-09-01T00:00:00"/>
    <d v="2009-09-26T00:00:00"/>
    <d v="2009-11-07T00:00:00"/>
    <n v="108"/>
    <s v="2 bombas + 2 vastagos"/>
    <s v="La mercaderia esta lista en Planta pero por una nueva reglamentacion de Argelia (pago por carta de credito) quedo suspendida hasta que el cliente confirme-El cliente informo que el pago sale de España asi que no entra esta reglamentacion.  Salida de Buque: del 08 de Sept. se paso al 15 de Sept. y de luego se paso para el 25 de Sept. - Realmente hubo 21 dias de atraso hasta que finalmente salio la carga (debido a las varias modificaciones en el buque), pero esta demora no fue por motivo de Bolland y en todo momento el cliente estuvo informado de los cambios y atrasos. "/>
    <s v="en término"/>
    <x v="6"/>
    <n v="1"/>
  </r>
  <r>
    <x v="2"/>
    <x v="2"/>
    <x v="10"/>
    <x v="16"/>
    <s v="043/09 WGP"/>
    <m/>
    <x v="249"/>
    <n v="3980"/>
    <x v="172"/>
    <n v="6"/>
    <d v="2009-07-07T00:00:00"/>
    <s v="Rio Gallegos"/>
    <d v="2009-07-07T00:00:00"/>
    <x v="30"/>
    <d v="2009-07-16T00:00:00"/>
    <d v="2009-07-17T00:00:00"/>
    <d v="2009-07-20T00:00:00"/>
    <n v="19"/>
    <s v="1 bomba + 2 vastagos"/>
    <s v="Viajo a Rio Gallegos el viernes 10 de Julio y llego el lunes 13 de Julio.  La aduana de chile esta de paro el 14 y 15 de Julio, el jueves 16 es feriado en chile y recien el viernes 17 de Julio cruzaria a chile"/>
    <s v="atrasado"/>
    <x v="5"/>
    <n v="0"/>
  </r>
  <r>
    <x v="2"/>
    <x v="2"/>
    <x v="10"/>
    <x v="18"/>
    <s v="052/09 WEN"/>
    <m/>
    <x v="250"/>
    <n v="10833"/>
    <x v="173"/>
    <n v="30"/>
    <d v="2009-08-27T00:00:00"/>
    <s v="Comodoro Rivadavia"/>
    <d v="2009-08-20T00:00:00"/>
    <x v="44"/>
    <m/>
    <d v="2009-08-31T00:00:00"/>
    <d v="2009-09-01T00:00:00"/>
    <n v="35"/>
    <s v="4 bombas + 4 vastagos + 4 nipples - ENTREGAR AL EMBARCADOR"/>
    <s v="Envian un camion desde Pta. Arenas a nuestra Planta para retirar la carga - atraso rela 4 dias"/>
    <s v="en término"/>
    <x v="6"/>
    <n v="1"/>
  </r>
  <r>
    <x v="2"/>
    <x v="2"/>
    <x v="10"/>
    <x v="16"/>
    <s v="055/09 WGP"/>
    <m/>
    <x v="251"/>
    <n v="5090"/>
    <x v="196"/>
    <n v="31"/>
    <d v="2009-09-28T00:00:00"/>
    <s v="Rio Gallegos"/>
    <d v="2009-09-22T00:00:00"/>
    <x v="33"/>
    <m/>
    <d v="2009-09-23T00:00:00"/>
    <d v="2009-09-28T00:00:00"/>
    <n v="31"/>
    <s v="1 bomba + fittings"/>
    <m/>
    <s v="en término"/>
    <x v="7"/>
    <n v="1"/>
  </r>
  <r>
    <x v="2"/>
    <x v="2"/>
    <x v="10"/>
    <x v="16"/>
    <s v="075/09 WGP"/>
    <m/>
    <x v="252"/>
    <n v="1030"/>
    <x v="197"/>
    <n v="28"/>
    <d v="2009-11-25T00:00:00"/>
    <s v="Rio Gallegos"/>
    <d v="2009-11-20T00:00:00"/>
    <x v="33"/>
    <m/>
    <d v="2009-11-20T00:00:00"/>
    <d v="2009-11-23T00:00:00"/>
    <n v="26"/>
    <s v="Fittings"/>
    <m/>
    <s v="en término"/>
    <x v="9"/>
    <n v="1"/>
  </r>
  <r>
    <x v="2"/>
    <x v="2"/>
    <x v="11"/>
    <x v="19"/>
    <s v="047/09 NEL"/>
    <m/>
    <x v="253"/>
    <n v="1377"/>
    <x v="198"/>
    <n v="7"/>
    <d v="2009-07-22T00:00:00"/>
    <s v="Buenos Aires"/>
    <d v="2009-07-17T00:00:00"/>
    <x v="44"/>
    <d v="2009-07-22T00:00:00"/>
    <d v="2009-07-22T00:00:00"/>
    <m/>
    <n v="7"/>
    <s v="2 valvulas contrapresion - RETIRA EL MATERIAL EN LAS OF. DE BOLLAND BUE"/>
    <m/>
    <s v="en término"/>
    <x v="5"/>
    <n v="1"/>
  </r>
  <r>
    <x v="2"/>
    <x v="2"/>
    <x v="12"/>
    <x v="20"/>
    <s v="057/09 GUN"/>
    <m/>
    <x v="254"/>
    <n v="5860"/>
    <x v="199"/>
    <n v="7"/>
    <d v="2009-09-24T00:00:00"/>
    <s v="Buenos Aires"/>
    <d v="2009-09-22T00:00:00"/>
    <x v="9"/>
    <m/>
    <d v="2009-09-28T00:00:00"/>
    <d v="2009-10-04T00:00:00"/>
    <n v="17"/>
    <s v="2 bombas - PAGO ANTICIPADO"/>
    <m/>
    <s v="atrasado"/>
    <x v="7"/>
    <n v="0"/>
  </r>
  <r>
    <x v="2"/>
    <x v="2"/>
    <x v="12"/>
    <x v="20"/>
    <s v="070/09 GUN"/>
    <m/>
    <x v="255"/>
    <n v="10266"/>
    <x v="200"/>
    <n v="15"/>
    <d v="2009-10-29T00:00:00"/>
    <s v="Buenos Aires"/>
    <d v="2009-10-23T00:00:00"/>
    <x v="44"/>
    <m/>
    <d v="2009-11-21T00:00:00"/>
    <d v="2009-12-16T00:00:00"/>
    <n v="63"/>
    <s v="4 bombas"/>
    <s v="El vuelo que teni fecha del 27 de Oct. se paso para el domingo 01 de Nov. Desde Egipto pararon la carga ya que el valor del aereo se encarecio debido a la epoca del año (epoca perecedera, cobrabran U$ 27.000 para el envio) hasta el momento no hay nuevas i"/>
    <s v="en término"/>
    <x v="8"/>
    <n v="1"/>
  </r>
  <r>
    <x v="2"/>
    <x v="2"/>
    <x v="12"/>
    <x v="20"/>
    <s v="079/09 GUN"/>
    <m/>
    <x v="256"/>
    <n v="280"/>
    <x v="201"/>
    <n v="1"/>
    <d v="2009-11-03T00:00:00"/>
    <s v="Buenos Aires"/>
    <d v="2009-11-02T00:00:00"/>
    <x v="44"/>
    <m/>
    <d v="2009-11-03T00:00:00"/>
    <d v="2009-11-06T00:00:00"/>
    <n v="4"/>
    <s v="Copa de anclaje "/>
    <s v="Enviar desde la planta por Jet Pack"/>
    <s v="en término"/>
    <x v="9"/>
    <n v="1"/>
  </r>
  <r>
    <x v="2"/>
    <x v="2"/>
    <x v="12"/>
    <x v="20"/>
    <s v="085/09 GUN"/>
    <m/>
    <x v="257"/>
    <n v="250"/>
    <x v="202"/>
    <n v="1"/>
    <d v="2009-11-13T00:00:00"/>
    <s v="Buenos Aires"/>
    <d v="2009-11-12T00:00:00"/>
    <x v="44"/>
    <m/>
    <d v="2009-11-13T00:00:00"/>
    <d v="2009-11-14T00:00:00"/>
    <n v="2"/>
    <s v="1 guia"/>
    <m/>
    <s v="en término"/>
    <x v="9"/>
    <n v="1"/>
  </r>
  <r>
    <x v="2"/>
    <x v="2"/>
    <x v="12"/>
    <x v="20"/>
    <s v="084/09 GUN"/>
    <m/>
    <x v="258"/>
    <n v="19384"/>
    <x v="203"/>
    <n v="15"/>
    <d v="2009-11-25T00:00:00"/>
    <s v="Buenos Aires"/>
    <d v="2009-11-13T00:00:00"/>
    <x v="44"/>
    <m/>
    <d v="2009-11-21T00:00:00"/>
    <d v="2009-12-16T00:00:00"/>
    <n v="36"/>
    <s v="8 bombas + fittings"/>
    <s v="FORMA DE PAGO:  Carta de credito:  50% contra entrega de los documentos y 50% a los 2 meses"/>
    <s v="en término"/>
    <x v="9"/>
    <n v="1"/>
  </r>
  <r>
    <x v="3"/>
    <x v="3"/>
    <x v="12"/>
    <x v="20"/>
    <s v="042/10 GUN"/>
    <m/>
    <x v="259"/>
    <n v="1830.92"/>
    <x v="204"/>
    <n v="14"/>
    <d v="2010-05-26T00:00:00"/>
    <s v="Buenos Aires"/>
    <d v="2010-05-28T00:00:00"/>
    <x v="62"/>
    <d v="2010-06-01T00:00:00"/>
    <d v="2010-06-01T00:00:00"/>
    <d v="2010-06-08T00:00:00"/>
    <n v="27"/>
    <s v="Fittings "/>
    <s v="Forma de pago: anticipado"/>
    <s v="atrasado"/>
    <x v="3"/>
    <n v="0"/>
  </r>
  <r>
    <x v="3"/>
    <x v="3"/>
    <x v="12"/>
    <x v="20"/>
    <s v="016/10 GUN"/>
    <m/>
    <x v="260"/>
    <n v="147888.79999999999"/>
    <x v="205"/>
    <n v="60"/>
    <d v="2010-07-30T00:00:00"/>
    <s v="Buenos Aires"/>
    <d v="2010-08-13T00:00:00"/>
    <x v="94"/>
    <d v="2010-08-25T00:00:00"/>
    <d v="2010-09-06T00:00:00"/>
    <d v="2010-10-06T00:00:00"/>
    <n v="128"/>
    <s v="3 bombas - FORWARDER PENTAGON"/>
    <s v="Forma de pago: carta de crédito"/>
    <s v="atrasado"/>
    <x v="6"/>
    <n v="0"/>
  </r>
  <r>
    <x v="3"/>
    <x v="3"/>
    <x v="12"/>
    <x v="20"/>
    <s v="063/10 GUN"/>
    <m/>
    <x v="261"/>
    <n v="95029.7"/>
    <x v="206"/>
    <n v="60"/>
    <d v="2010-11-09T00:00:00"/>
    <s v="Buenos Aires"/>
    <d v="2010-11-02T00:00:00"/>
    <x v="15"/>
    <d v="2010-11-09T00:00:00"/>
    <d v="2010-11-12T00:00:00"/>
    <d v="2010-12-12T00:00:00"/>
    <n v="93"/>
    <s v="Fittings y 12 bombas - FORWARDER PENTAGON - PAGO ANTICIPADO"/>
    <s v="U$ 90.875,51 (recibida 28/10) - U$ 3.966,55 (recibida 01/11)"/>
    <s v="atrasado"/>
    <x v="9"/>
    <n v="0"/>
  </r>
  <r>
    <x v="3"/>
    <x v="3"/>
    <x v="10"/>
    <x v="16"/>
    <s v="011/10 WEN"/>
    <m/>
    <x v="262"/>
    <n v="18508"/>
    <x v="207"/>
    <n v="69"/>
    <d v="2010-05-03T00:00:00"/>
    <s v="Rio Gallegos"/>
    <d v="2010-04-05T00:00:00"/>
    <x v="90"/>
    <m/>
    <d v="2010-04-09T00:00:00"/>
    <d v="2010-04-11T00:00:00"/>
    <n v="47"/>
    <s v="Fittings - EMBARCADOR KONIG"/>
    <s v="Prodeng S.A. Comision de U$ 876,40"/>
    <s v="en término"/>
    <x v="10"/>
    <n v="1"/>
  </r>
  <r>
    <x v="3"/>
    <x v="3"/>
    <x v="10"/>
    <x v="16"/>
    <s v="025/10 WGP"/>
    <m/>
    <x v="263"/>
    <n v="14088"/>
    <x v="208"/>
    <n v="15"/>
    <d v="2010-04-10T00:00:00"/>
    <s v="Rio Gallegos"/>
    <d v="2010-04-05T00:00:00"/>
    <x v="75"/>
    <d v="2010-04-07T00:00:00"/>
    <d v="2010-04-08T00:00:00"/>
    <d v="2010-04-09T00:00:00"/>
    <n v="14"/>
    <s v="Fittings  - Cruz del Sur a Rio Gallegos"/>
    <m/>
    <s v="en término"/>
    <x v="10"/>
    <n v="1"/>
  </r>
  <r>
    <x v="3"/>
    <x v="3"/>
    <x v="10"/>
    <x v="16"/>
    <s v="033/10 WGP"/>
    <m/>
    <x v="264"/>
    <n v="264"/>
    <x v="209"/>
    <n v="3"/>
    <d v="2010-04-22T00:00:00"/>
    <s v="Rio Gallegos"/>
    <d v="2010-04-22T00:00:00"/>
    <x v="9"/>
    <d v="2010-04-24T00:00:00"/>
    <d v="2010-04-26T00:00:00"/>
    <d v="2010-04-27T00:00:00"/>
    <n v="8"/>
    <s v="Nipples  - Cruz del Sur a Rio Gallegos"/>
    <s v="Enviar junto a otra carga de quimicos"/>
    <s v="atrasado"/>
    <x v="10"/>
    <n v="0"/>
  </r>
  <r>
    <x v="3"/>
    <x v="3"/>
    <x v="10"/>
    <x v="16"/>
    <s v="058/10 WGP"/>
    <m/>
    <x v="265"/>
    <n v="530"/>
    <x v="210"/>
    <n v="6"/>
    <d v="2010-07-07T00:00:00"/>
    <s v="Rio Gallegos"/>
    <d v="2010-07-07T00:00:00"/>
    <x v="6"/>
    <d v="2010-07-19T00:00:00"/>
    <d v="2010-07-26T00:00:00"/>
    <d v="2010-07-29T00:00:00"/>
    <n v="28"/>
    <s v="Nipples   "/>
    <m/>
    <s v="atrasado"/>
    <x v="5"/>
    <n v="0"/>
  </r>
  <r>
    <x v="3"/>
    <x v="3"/>
    <x v="10"/>
    <x v="21"/>
    <s v="064/10 WAP"/>
    <m/>
    <x v="266"/>
    <n v="12259.41"/>
    <x v="211"/>
    <n v="7"/>
    <d v="2010-07-15T00:00:00"/>
    <s v="Rio Gallegos"/>
    <d v="2010-07-15T00:00:00"/>
    <x v="32"/>
    <d v="2010-07-20T00:00:00"/>
    <d v="2010-07-22T00:00:00"/>
    <d v="2010-07-24T00:00:00"/>
    <n v="16"/>
    <s v="Fittings   "/>
    <s v="Aguardamos instrucciones de Ivanmet"/>
    <s v="atrasado"/>
    <x v="5"/>
    <n v="0"/>
  </r>
  <r>
    <x v="3"/>
    <x v="3"/>
    <x v="10"/>
    <x v="16"/>
    <s v="053/10 WGP"/>
    <m/>
    <x v="267"/>
    <n v="1280"/>
    <x v="212"/>
    <n v="35"/>
    <d v="2010-07-22T00:00:00"/>
    <s v="Rio Gallegos"/>
    <d v="2010-07-15T00:00:00"/>
    <x v="9"/>
    <d v="2010-07-19T00:00:00"/>
    <d v="2010-07-26T00:00:00"/>
    <d v="2010-07-29T00:00:00"/>
    <n v="42"/>
    <s v="Tubing"/>
    <m/>
    <s v="atrasado"/>
    <x v="5"/>
    <n v="0"/>
  </r>
  <r>
    <x v="3"/>
    <x v="3"/>
    <x v="10"/>
    <x v="16"/>
    <s v="075/10 WGP"/>
    <m/>
    <x v="268"/>
    <n v="2600"/>
    <x v="213"/>
    <n v="2"/>
    <d v="2010-07-31T00:00:00"/>
    <s v="Comodoro Rivadavia"/>
    <d v="2010-07-30T00:00:00"/>
    <x v="2"/>
    <m/>
    <d v="2010-07-30T00:00:00"/>
    <d v="2010-08-02T00:00:00"/>
    <n v="4"/>
    <s v="1 bomba"/>
    <m/>
    <s v="en término"/>
    <x v="5"/>
    <n v="1"/>
  </r>
  <r>
    <x v="3"/>
    <x v="3"/>
    <x v="10"/>
    <x v="16"/>
    <s v="079/10 WGP"/>
    <m/>
    <x v="269"/>
    <n v="560.79999999999995"/>
    <x v="214"/>
    <n v="30"/>
    <d v="2010-09-02T00:00:00"/>
    <s v="Comodoro Rivadavia"/>
    <d v="2010-08-10T00:00:00"/>
    <x v="59"/>
    <m/>
    <d v="2010-08-10T00:00:00"/>
    <d v="2010-08-13T00:00:00"/>
    <n v="10"/>
    <s v="4 nipples"/>
    <m/>
    <s v="en término"/>
    <x v="6"/>
    <n v="1"/>
  </r>
  <r>
    <x v="3"/>
    <x v="3"/>
    <x v="10"/>
    <x v="16"/>
    <s v="082/10 WGP"/>
    <m/>
    <x v="270"/>
    <n v="1350"/>
    <x v="215"/>
    <n v="4"/>
    <d v="2010-08-10T00:00:00"/>
    <s v="Comodoro Rivadavia"/>
    <d v="2010-08-10T00:00:00"/>
    <x v="44"/>
    <m/>
    <d v="2010-08-10T00:00:00"/>
    <d v="2010-08-13T00:00:00"/>
    <n v="7"/>
    <s v="2 vastagos"/>
    <m/>
    <s v="en término"/>
    <x v="6"/>
    <n v="1"/>
  </r>
  <r>
    <x v="3"/>
    <x v="3"/>
    <x v="10"/>
    <x v="16"/>
    <s v="069/10 WGP"/>
    <m/>
    <x v="271"/>
    <n v="13350.8"/>
    <x v="213"/>
    <n v="35"/>
    <d v="2010-09-02T00:00:00"/>
    <s v="Comodoro Rivadavia"/>
    <d v="2010-08-31T00:00:00"/>
    <x v="2"/>
    <m/>
    <d v="2010-09-01T00:00:00"/>
    <d v="2010-09-04T00:00:00"/>
    <n v="37"/>
    <s v="Bombas y fittings"/>
    <m/>
    <s v="en término"/>
    <x v="6"/>
    <n v="1"/>
  </r>
  <r>
    <x v="3"/>
    <x v="3"/>
    <x v="10"/>
    <x v="18"/>
    <s v="052/10 WEN"/>
    <m/>
    <x v="272"/>
    <n v="19438"/>
    <x v="216"/>
    <n v="74"/>
    <d v="2010-09-27T00:00:00"/>
    <s v="Rio Gallegos"/>
    <d v="2010-09-21T00:00:00"/>
    <x v="15"/>
    <d v="2010-09-29T00:00:00"/>
    <d v="2010-09-30T00:00:00"/>
    <d v="2010-10-05T00:00:00"/>
    <n v="82"/>
    <s v="Fittings   "/>
    <m/>
    <s v="atrasado"/>
    <x v="7"/>
    <n v="0"/>
  </r>
  <r>
    <x v="3"/>
    <x v="3"/>
    <x v="10"/>
    <x v="16"/>
    <s v="096/10 WGP"/>
    <m/>
    <x v="273"/>
    <n v="15164.7"/>
    <x v="217"/>
    <n v="61"/>
    <d v="2010-11-29T00:00:00"/>
    <s v="Comodoro Rivadavia"/>
    <d v="2010-11-18T00:00:00"/>
    <x v="17"/>
    <m/>
    <d v="2010-11-18T00:00:00"/>
    <d v="2010-11-25T00:00:00"/>
    <n v="57"/>
    <s v="Bombas y fittings"/>
    <m/>
    <s v="en término"/>
    <x v="9"/>
    <n v="1"/>
  </r>
  <r>
    <x v="3"/>
    <x v="3"/>
    <x v="10"/>
    <x v="16"/>
    <s v="107/10 WGP"/>
    <m/>
    <x v="274"/>
    <n v="2120"/>
    <x v="218"/>
    <n v="30"/>
    <d v="2010-11-11T00:00:00"/>
    <s v="Rio Gallegos"/>
    <d v="2010-11-18T00:00:00"/>
    <x v="32"/>
    <m/>
    <d v="2010-11-18T00:00:00"/>
    <d v="2010-11-25T00:00:00"/>
    <n v="44"/>
    <s v="4 válvulas reg. De presión"/>
    <s v="Estaba prevista la salida de Planta el 5 de Nov. Pero a pedido del cliente se junta con la carga d elas bombas (18 de Nov.)"/>
    <s v="atrasado"/>
    <x v="9"/>
    <n v="0"/>
  </r>
  <r>
    <x v="3"/>
    <x v="3"/>
    <x v="6"/>
    <x v="8"/>
    <s v="088/09 YPS"/>
    <m/>
    <x v="275"/>
    <n v="3073.4"/>
    <x v="219"/>
    <n v="45"/>
    <d v="2010-02-06T00:00:00"/>
    <s v="Buenos Aires"/>
    <d v="2010-01-15T00:00:00"/>
    <x v="46"/>
    <d v="2010-01-27T00:00:00"/>
    <d v="2010-02-03T00:00:00"/>
    <d v="2010-03-10T00:00:00"/>
    <n v="77"/>
    <s v="Fittings  - PAGO ANTICIPADO"/>
    <m/>
    <s v="en término"/>
    <x v="0"/>
    <n v="1"/>
  </r>
  <r>
    <x v="3"/>
    <x v="3"/>
    <x v="6"/>
    <x v="22"/>
    <s v="046/10 YPI"/>
    <m/>
    <x v="276"/>
    <n v="48322.11"/>
    <x v="220"/>
    <n v="70"/>
    <d v="2010-09-30T00:00:00"/>
    <s v="Buenos Aires"/>
    <d v="2010-09-21T00:00:00"/>
    <x v="95"/>
    <d v="2010-10-05T00:00:00"/>
    <d v="2010-10-21T00:00:00"/>
    <d v="2010-11-20T00:00:00"/>
    <n v="121"/>
    <s v="Fittings"/>
    <s v="Forma de pago: 30% (U$ 14.642) con la PO y 70% (33.680,11) antes de embarcar"/>
    <s v="atrasado"/>
    <x v="7"/>
    <n v="0"/>
  </r>
  <r>
    <x v="3"/>
    <x v="3"/>
    <x v="5"/>
    <x v="7"/>
    <s v="018/10 TAL"/>
    <m/>
    <x v="277"/>
    <n v="1325"/>
    <x v="221"/>
    <n v="88"/>
    <d v="2010-05-30T00:00:00"/>
    <s v="Buenos Aires"/>
    <d v="2010-05-04T00:00:00"/>
    <x v="75"/>
    <m/>
    <d v="2010-05-28T00:00:00"/>
    <d v="2010-05-31T00:00:00"/>
    <n v="89"/>
    <s v="Fittings - FORWARDER JARVIS INT. FREIGHT"/>
    <m/>
    <s v="en término"/>
    <x v="3"/>
    <n v="1"/>
  </r>
  <r>
    <x v="3"/>
    <x v="3"/>
    <x v="5"/>
    <x v="7"/>
    <s v="065/10 TAL"/>
    <m/>
    <x v="278"/>
    <n v="13961.5"/>
    <x v="222"/>
    <n v="45"/>
    <d v="2010-08-06T00:00:00"/>
    <s v="Buenos Aires"/>
    <d v="2010-08-03T00:00:00"/>
    <x v="96"/>
    <d v="2010-08-31T00:00:00"/>
    <d v="2010-09-11T00:00:00"/>
    <d v="2010-10-26T00:00:00"/>
    <n v="126"/>
    <s v="Fittings - FORWARDER JARVIS INT. FREIGHT"/>
    <m/>
    <s v="atrasado"/>
    <x v="6"/>
    <n v="0"/>
  </r>
  <r>
    <x v="3"/>
    <x v="3"/>
    <x v="5"/>
    <x v="7"/>
    <s v="108/10 TAL"/>
    <m/>
    <x v="279"/>
    <n v="8053.2"/>
    <x v="223"/>
    <n v="57"/>
    <d v="2010-11-18T00:00:00"/>
    <s v="Buenos Aires"/>
    <d v="2010-11-12T00:00:00"/>
    <x v="97"/>
    <d v="2010-12-07T00:00:00"/>
    <d v="2010-12-21T00:00:00"/>
    <d v="2011-02-04T00:00:00"/>
    <n v="135"/>
    <s v="Fittings - FORWARDER JARVIS INT. FREIGHT"/>
    <s v="Se posterga por paro en la Planta"/>
    <s v="atrasado"/>
    <x v="9"/>
    <n v="0"/>
  </r>
  <r>
    <x v="3"/>
    <x v="3"/>
    <x v="5"/>
    <x v="7"/>
    <s v="118/10 TAL"/>
    <m/>
    <x v="280"/>
    <n v="7878.5"/>
    <x v="224"/>
    <n v="49"/>
    <d v="2010-11-15T00:00:00"/>
    <s v="Buenos Aires"/>
    <d v="2010-11-12T00:00:00"/>
    <x v="96"/>
    <d v="2010-12-07T00:00:00"/>
    <d v="2010-12-21T00:00:00"/>
    <d v="2011-02-04T00:00:00"/>
    <n v="130"/>
    <s v="Fittings - FORWARDER JARVIS INT. FREIGHT"/>
    <s v="Se posterga por paro en la Planta"/>
    <s v="atrasado"/>
    <x v="9"/>
    <n v="0"/>
  </r>
  <r>
    <x v="3"/>
    <x v="3"/>
    <x v="13"/>
    <x v="23"/>
    <s v="126/10 ZTE"/>
    <m/>
    <x v="281"/>
    <n v="11400"/>
    <x v="225"/>
    <n v="6"/>
    <d v="2010-12-15T00:00:00"/>
    <s v="Buenos Aires"/>
    <d v="2010-12-17T00:00:00"/>
    <x v="92"/>
    <m/>
    <d v="2011-01-04T00:00:00"/>
    <d v="2011-01-06T00:00:00"/>
    <n v="28"/>
    <s v="5 bombas"/>
    <m/>
    <s v="atrasado"/>
    <x v="11"/>
    <n v="0"/>
  </r>
  <r>
    <x v="3"/>
    <x v="3"/>
    <x v="4"/>
    <x v="17"/>
    <s v="004/10 PAB"/>
    <m/>
    <x v="282"/>
    <n v="71175.3"/>
    <x v="226"/>
    <n v="60"/>
    <d v="2010-04-28T00:00:00"/>
    <s v="Buenos Aires"/>
    <d v="2010-04-23T00:00:00"/>
    <x v="2"/>
    <d v="2010-04-26T00:00:00"/>
    <d v="2010-04-27T00:00:00"/>
    <d v="2010-05-06T00:00:00"/>
    <n v="68"/>
    <s v="195 vastagos"/>
    <s v="La carga viene a Bue, hace aduana y sale via terrestre a Chile (27/4), sale el 30/4 via maritima a Peru arriba el 6/5"/>
    <s v="en término"/>
    <x v="10"/>
    <n v="1"/>
  </r>
  <r>
    <x v="3"/>
    <x v="3"/>
    <x v="4"/>
    <x v="24"/>
    <s v="073/10 PSE"/>
    <m/>
    <x v="283"/>
    <n v="2290"/>
    <x v="227"/>
    <n v="21"/>
    <d v="2010-08-11T00:00:00"/>
    <s v="Houston"/>
    <d v="2010-08-30T00:00:00"/>
    <x v="98"/>
    <m/>
    <d v="2010-10-15T00:00:00"/>
    <d v="2010-10-20T00:00:00"/>
    <n v="91"/>
    <s v="150 valvulas - ENVIA PANDELTA"/>
    <m/>
    <s v="atrasado"/>
    <x v="6"/>
    <n v="0"/>
  </r>
  <r>
    <x v="3"/>
    <x v="3"/>
    <x v="4"/>
    <x v="17"/>
    <s v="099/10 PAB"/>
    <m/>
    <x v="284"/>
    <n v="6050"/>
    <x v="228"/>
    <n v="40"/>
    <d v="2010-10-31T00:00:00"/>
    <s v="Buenos Aires"/>
    <d v="2010-10-26T00:00:00"/>
    <x v="30"/>
    <d v="2010-11-08T00:00:00"/>
    <d v="2010-11-10T00:00:00"/>
    <d v="2010-11-19T00:00:00"/>
    <n v="59"/>
    <s v="4 Bombas"/>
    <m/>
    <s v="atrasado"/>
    <x v="8"/>
    <n v="0"/>
  </r>
  <r>
    <x v="3"/>
    <x v="3"/>
    <x v="3"/>
    <x v="4"/>
    <s v="092/09 ETE"/>
    <m/>
    <x v="285"/>
    <n v="495"/>
    <x v="229"/>
    <n v="20"/>
    <d v="2010-03-31T00:00:00"/>
    <s v="Buenos Aires"/>
    <d v="2010-03-16T00:00:00"/>
    <x v="49"/>
    <d v="2010-03-18T00:00:00"/>
    <d v="2010-03-21T00:00:00"/>
    <d v="2010-03-26T00:00:00"/>
    <n v="15"/>
    <s v="10 nipples - ENTREGAR A INTERCILSA"/>
    <m/>
    <s v="en término"/>
    <x v="2"/>
    <n v="1"/>
  </r>
  <r>
    <x v="3"/>
    <x v="3"/>
    <x v="3"/>
    <x v="23"/>
    <s v="071/10 ETE"/>
    <m/>
    <x v="286"/>
    <n v="2725"/>
    <x v="230"/>
    <n v="30"/>
    <d v="2010-10-07T00:00:00"/>
    <s v="Buenos Aires"/>
    <d v="2010-10-01T00:00:00"/>
    <x v="16"/>
    <d v="2010-10-13T00:00:00"/>
    <d v="2010-10-29T00:00:00"/>
    <d v="2010-11-23T00:00:00"/>
    <n v="77"/>
    <s v="válvulas antibloqueo"/>
    <s v="Servicio Técnico U$ 2500 - El buque del 21/10 se postergo al 29/10 - Estima arribar el 15 de enero"/>
    <s v="atrasado"/>
    <x v="8"/>
    <n v="0"/>
  </r>
  <r>
    <x v="3"/>
    <x v="3"/>
    <x v="2"/>
    <x v="25"/>
    <s v="031/10 VPV"/>
    <m/>
    <x v="287"/>
    <n v="11993.6"/>
    <x v="231"/>
    <n v="86"/>
    <d v="2010-07-16T00:00:00"/>
    <s v="Buenos Aires"/>
    <d v="2010-07-08T00:00:00"/>
    <x v="99"/>
    <d v="2010-11-23T00:00:00"/>
    <d v="2010-12-06T00:00:00"/>
    <d v="2011-01-25T00:00:00"/>
    <n v="279"/>
    <s v="Fittings"/>
    <s v="Estamos aguardando instrucciones del forwarder (DHL) y del cliente, pero ninguno nos da una respuesta. 21 de Octubre: el cliente se pone en contacto para pasarnos la información solicitada para realizar el despacho. De todas maneras seguimos esperando que el forwarder, nos tome la carga. Abono el 13/06/11"/>
    <s v="atrasado"/>
    <x v="5"/>
    <n v="0"/>
  </r>
  <r>
    <x v="3"/>
    <x v="3"/>
    <x v="1"/>
    <x v="2"/>
    <s v="096/09 CPG"/>
    <m/>
    <x v="288"/>
    <n v="4290"/>
    <x v="232"/>
    <n v="30"/>
    <d v="2010-03-10T00:00:00"/>
    <s v="Buenos Aires"/>
    <d v="2010-03-05T00:00:00"/>
    <x v="2"/>
    <m/>
    <d v="2010-03-09T00:00:00"/>
    <d v="2010-03-12T00:00:00"/>
    <n v="32"/>
    <s v="Fittings"/>
    <m/>
    <s v="en término"/>
    <x v="2"/>
    <n v="1"/>
  </r>
  <r>
    <x v="3"/>
    <x v="3"/>
    <x v="1"/>
    <x v="12"/>
    <s v="097/09 CEC"/>
    <m/>
    <x v="289"/>
    <n v="136086.20000000001"/>
    <x v="233"/>
    <n v="60"/>
    <d v="2010-04-12T00:00:00"/>
    <s v="Buenos Aires"/>
    <d v="2010-04-09T00:00:00"/>
    <x v="44"/>
    <d v="2010-04-12T00:00:00"/>
    <d v="2010-04-12T00:00:00"/>
    <d v="2010-04-17T00:00:00"/>
    <n v="65"/>
    <s v="Fittings - ENTREGAR A GEODIS"/>
    <m/>
    <s v="en término"/>
    <x v="10"/>
    <n v="1"/>
  </r>
  <r>
    <x v="3"/>
    <x v="3"/>
    <x v="1"/>
    <x v="12"/>
    <s v="097/09 CEC"/>
    <m/>
    <x v="290"/>
    <n v="222516.7"/>
    <x v="233"/>
    <n v="60"/>
    <d v="2010-04-12T00:00:00"/>
    <s v="Buenos Aires"/>
    <d v="2010-04-09T00:00:00"/>
    <x v="44"/>
    <d v="2010-04-12T00:00:00"/>
    <d v="2010-04-12T00:00:00"/>
    <d v="2010-04-17T00:00:00"/>
    <n v="65"/>
    <s v="Fittings - ENTREGAR A GEODIS"/>
    <m/>
    <s v="en término"/>
    <x v="10"/>
    <n v="1"/>
  </r>
  <r>
    <x v="3"/>
    <x v="3"/>
    <x v="1"/>
    <x v="12"/>
    <s v="012/10 CEC"/>
    <m/>
    <x v="291"/>
    <n v="9835"/>
    <x v="234"/>
    <n v="43"/>
    <d v="2010-04-16T00:00:00"/>
    <s v="Buenos Aires"/>
    <d v="2010-04-13T00:00:00"/>
    <x v="15"/>
    <d v="2010-04-19T00:00:00"/>
    <d v="2010-04-19T00:00:00"/>
    <d v="2010-04-24T00:00:00"/>
    <n v="51"/>
    <s v="Fittings - ENTREGAR A GEODIS"/>
    <m/>
    <s v="atrasado"/>
    <x v="10"/>
    <n v="0"/>
  </r>
  <r>
    <x v="3"/>
    <x v="3"/>
    <x v="1"/>
    <x v="12"/>
    <s v="043/10 CEC"/>
    <m/>
    <x v="292"/>
    <n v="232742.2"/>
    <x v="235"/>
    <n v="20"/>
    <d v="2010-07-11T00:00:00"/>
    <s v="Buenos Aires"/>
    <d v="2010-06-29T00:00:00"/>
    <x v="46"/>
    <d v="2010-07-07T00:00:00"/>
    <d v="2010-07-08T00:00:00"/>
    <d v="2010-07-28T00:00:00"/>
    <n v="37"/>
    <s v="Fittings - ENTREGAR AL FORWARDER GEODIS"/>
    <s v="1° envio: U$ 44.273,80 - Embarco el 1 de Agosto"/>
    <s v="en término"/>
    <x v="4"/>
    <n v="1"/>
  </r>
  <r>
    <x v="3"/>
    <x v="3"/>
    <x v="1"/>
    <x v="12"/>
    <s v="043/10 CEC"/>
    <m/>
    <x v="292"/>
    <n v="232742.2"/>
    <x v="235"/>
    <n v="70"/>
    <d v="2010-08-30T00:00:00"/>
    <s v="Buenos Aires"/>
    <d v="2010-08-10T00:00:00"/>
    <x v="18"/>
    <m/>
    <d v="2010-08-12T00:00:00"/>
    <d v="2010-09-01T00:00:00"/>
    <n v="72"/>
    <s v="Fittings - ENTREGAR AL FORWARDER GEODIS"/>
    <s v="2° envio: U$ 182.116,30-  Embarco el 12 de Agosto"/>
    <s v="en término"/>
    <x v="6"/>
    <n v="1"/>
  </r>
  <r>
    <x v="3"/>
    <x v="3"/>
    <x v="1"/>
    <x v="12"/>
    <s v="043/10 CEC"/>
    <m/>
    <x v="292"/>
    <n v="232742.2"/>
    <x v="235"/>
    <n v="100"/>
    <d v="2010-09-29T00:00:00"/>
    <s v="Buenos Aires"/>
    <d v="2010-08-18T00:00:00"/>
    <x v="88"/>
    <m/>
    <d v="2010-08-25T00:00:00"/>
    <d v="2010-09-14T00:00:00"/>
    <n v="85"/>
    <s v="Fittings - ENTREGAR AL FORWARDER GEODIS"/>
    <s v="3° envio: U$ 6.352,10 - Embarco el 25 de Agosto"/>
    <s v="en término"/>
    <x v="6"/>
    <n v="1"/>
  </r>
  <r>
    <x v="3"/>
    <x v="3"/>
    <x v="1"/>
    <x v="12"/>
    <s v="072/10 CEC"/>
    <m/>
    <x v="293"/>
    <n v="14299.2"/>
    <x v="227"/>
    <n v="61"/>
    <d v="2010-09-20T00:00:00"/>
    <s v="Buenos Aires"/>
    <d v="2010-09-03T00:00:00"/>
    <x v="33"/>
    <m/>
    <d v="2010-09-15T00:00:00"/>
    <d v="2010-10-05T00:00:00"/>
    <n v="76"/>
    <s v="Fittings - ENTREGAR AL FORWARDER GEODIS"/>
    <m/>
    <s v="en término"/>
    <x v="7"/>
    <n v="1"/>
  </r>
  <r>
    <x v="3"/>
    <x v="3"/>
    <x v="1"/>
    <x v="2"/>
    <s v="076/10 CPG"/>
    <m/>
    <x v="294"/>
    <n v="4080"/>
    <x v="236"/>
    <n v="45"/>
    <d v="2010-09-24T00:00:00"/>
    <s v="Buenos Aires"/>
    <d v="2010-09-14T00:00:00"/>
    <x v="32"/>
    <m/>
    <d v="2010-10-01T00:00:00"/>
    <d v="2010-10-06T00:00:00"/>
    <n v="57"/>
    <s v="Fittings "/>
    <m/>
    <s v="atrasado"/>
    <x v="7"/>
    <n v="0"/>
  </r>
  <r>
    <x v="3"/>
    <x v="3"/>
    <x v="1"/>
    <x v="12"/>
    <s v="081/10 CEC"/>
    <m/>
    <x v="295"/>
    <n v="163654.1"/>
    <x v="236"/>
    <n v="60"/>
    <d v="2010-11-10T00:00:00"/>
    <s v="Buenos Aires"/>
    <d v="2010-10-08T00:00:00"/>
    <x v="21"/>
    <d v="2010-10-22T00:00:00"/>
    <d v="2010-10-26T00:00:00"/>
    <d v="2010-11-05T00:00:00"/>
    <n v="87"/>
    <s v="Fittings - ENTREGAR AL FORWARDER GEODIS - 1° ENVIO"/>
    <s v="1° envío: U$ 90.316,10 - Recibido el 20/10/10"/>
    <s v="en término"/>
    <x v="8"/>
    <n v="1"/>
  </r>
  <r>
    <x v="3"/>
    <x v="3"/>
    <x v="1"/>
    <x v="12"/>
    <s v="086/10 CEC"/>
    <m/>
    <x v="296"/>
    <n v="97472.27"/>
    <x v="237"/>
    <n v="60"/>
    <d v="2010-10-25T00:00:00"/>
    <s v="Buenos Aires"/>
    <d v="2010-10-22T00:00:00"/>
    <x v="13"/>
    <m/>
    <d v="2010-11-05T00:00:00"/>
    <d v="2010-11-15T00:00:00"/>
    <n v="84"/>
    <s v="Fittings - ENTREGAR AL FORWARDER GEODIS -1° ENVIO"/>
    <m/>
    <s v="atrasado"/>
    <x v="8"/>
    <n v="0"/>
  </r>
  <r>
    <x v="3"/>
    <x v="3"/>
    <x v="1"/>
    <x v="12"/>
    <s v="087/10 CEC"/>
    <m/>
    <x v="297"/>
    <n v="12755.3"/>
    <x v="238"/>
    <n v="60"/>
    <d v="2010-11-01T00:00:00"/>
    <s v="Buenos Aires"/>
    <d v="2010-10-22T00:00:00"/>
    <x v="5"/>
    <d v="2010-11-08T00:00:00"/>
    <d v="2010-11-17T00:00:00"/>
    <d v="2010-12-17T00:00:00"/>
    <n v="106"/>
    <s v="Fittings - ENTREGAR AL FORWARDER GEODIS "/>
    <m/>
    <s v="atrasado"/>
    <x v="8"/>
    <n v="0"/>
  </r>
  <r>
    <x v="3"/>
    <x v="3"/>
    <x v="1"/>
    <x v="12"/>
    <s v="093/10 CEC"/>
    <m/>
    <x v="298"/>
    <n v="50980"/>
    <x v="239"/>
    <n v="63"/>
    <d v="2010-11-09T00:00:00"/>
    <s v="Buenos Aires"/>
    <d v="2010-11-04T00:00:00"/>
    <x v="23"/>
    <d v="2010-11-17T00:00:00"/>
    <d v="2010-11-17T00:00:00"/>
    <d v="2010-11-27T00:00:00"/>
    <n v="88"/>
    <s v="Fittings - ENTREGAR AL FORWARDER GEODIS "/>
    <s v="Problemas con el latón, nos postergan el vencimiento, del 02 al 09 de Nov."/>
    <s v="atrasado"/>
    <x v="9"/>
    <n v="0"/>
  </r>
  <r>
    <x v="3"/>
    <x v="3"/>
    <x v="1"/>
    <x v="12"/>
    <s v="081/10 CEC"/>
    <m/>
    <x v="295"/>
    <n v="163654.1"/>
    <x v="236"/>
    <n v="90"/>
    <d v="2010-11-11T00:00:00"/>
    <s v="Buenos Aires"/>
    <d v="2010-11-04T00:00:00"/>
    <x v="62"/>
    <d v="2010-11-17T00:00:00"/>
    <d v="2010-11-17T00:00:00"/>
    <d v="2010-11-27T00:00:00"/>
    <n v="109"/>
    <s v="Fittings(barriles) - ENTREGAR AL FORWARDER GEODIS -2° ENVIO"/>
    <s v="2° envío: U$ 73.338"/>
    <s v="atrasado"/>
    <x v="9"/>
    <n v="0"/>
  </r>
  <r>
    <x v="3"/>
    <x v="3"/>
    <x v="1"/>
    <x v="12"/>
    <s v="086/10 CEC"/>
    <m/>
    <x v="296"/>
    <n v="32871.1"/>
    <x v="237"/>
    <n v="90"/>
    <d v="2010-11-22T00:00:00"/>
    <s v="Buenos Aires"/>
    <d v="2010-11-16T00:00:00"/>
    <x v="100"/>
    <m/>
    <d v="2010-12-17T00:00:00"/>
    <d v="2011-01-16T00:00:00"/>
    <n v="146"/>
    <s v="Fittings - ENTREGAR AL FORWARDER GEODIS -2° ENVIO"/>
    <s v="Se posterga por paro en la Planta"/>
    <s v="atrasado"/>
    <x v="9"/>
    <n v="0"/>
  </r>
  <r>
    <x v="3"/>
    <x v="3"/>
    <x v="1"/>
    <x v="12"/>
    <s v="095/10 CEC"/>
    <m/>
    <x v="299"/>
    <n v="128871.1"/>
    <x v="240"/>
    <n v="63"/>
    <d v="2010-11-08T00:00:00"/>
    <s v="Buenos Aires"/>
    <d v="2010-11-16T00:00:00"/>
    <x v="1"/>
    <m/>
    <d v="2010-12-17T00:00:00"/>
    <d v="2011-01-16T00:00:00"/>
    <n v="132"/>
    <s v="Fittings - ENTREGAR AL FORWARDER GEODIS - 1° ENVIO"/>
    <s v="U$ 128.871,10 - Problemas con el latón - Se posterga por paro en la Planta"/>
    <s v="atrasado"/>
    <x v="9"/>
    <n v="0"/>
  </r>
  <r>
    <x v="3"/>
    <x v="3"/>
    <x v="1"/>
    <x v="12"/>
    <s v="095/10 CEC"/>
    <m/>
    <x v="299"/>
    <n v="87749"/>
    <x v="240"/>
    <n v="91"/>
    <d v="2010-12-06T00:00:00"/>
    <s v="Buenos Aires"/>
    <d v="2010-11-30T00:00:00"/>
    <x v="13"/>
    <m/>
    <d v="2010-12-17T00:00:00"/>
    <d v="2011-01-16T00:00:00"/>
    <n v="132"/>
    <s v="Fittings - ENTREGAR AL FORWARDER GEODIS - 2° ENVIO"/>
    <s v="U$ 87.749,00"/>
    <s v="atrasado"/>
    <x v="9"/>
    <n v="0"/>
  </r>
  <r>
    <x v="3"/>
    <x v="3"/>
    <x v="1"/>
    <x v="2"/>
    <s v="125/10 CPG"/>
    <m/>
    <x v="300"/>
    <n v="9840"/>
    <x v="241"/>
    <n v="25"/>
    <d v="2010-12-20T00:00:00"/>
    <s v="Buenos Aires"/>
    <d v="2010-12-28T00:00:00"/>
    <x v="7"/>
    <m/>
    <d v="2011-01-06T00:00:00"/>
    <d v="2011-01-08T00:00:00"/>
    <n v="44"/>
    <s v="Fittings "/>
    <m/>
    <s v="atrasado"/>
    <x v="11"/>
    <n v="0"/>
  </r>
  <r>
    <x v="3"/>
    <x v="3"/>
    <x v="0"/>
    <x v="26"/>
    <s v="087/09 BPR"/>
    <m/>
    <x v="301"/>
    <n v="24696.7"/>
    <x v="242"/>
    <n v="46"/>
    <d v="2010-01-25T00:00:00"/>
    <s v="Salvador"/>
    <d v="2010-01-15T00:00:00"/>
    <x v="11"/>
    <d v="2010-01-21T00:00:00"/>
    <d v="2010-01-27T00:00:00"/>
    <d v="2010-02-09T00:00:00"/>
    <n v="61"/>
    <s v="Fittings "/>
    <m/>
    <s v="atrasado"/>
    <x v="0"/>
    <n v="0"/>
  </r>
  <r>
    <x v="3"/>
    <x v="3"/>
    <x v="0"/>
    <x v="1"/>
    <s v="049/08 BPB"/>
    <s v="4600279670 (GLOBAL VASTAGOS 2008)"/>
    <x v="302"/>
    <n v="6881.6"/>
    <x v="243"/>
    <n v="107"/>
    <d v="2010-03-03T00:00:00"/>
    <s v="Salvador"/>
    <d v="2010-01-15T00:00:00"/>
    <x v="88"/>
    <d v="2010-01-21T00:00:00"/>
    <d v="2010-01-27T00:00:00"/>
    <d v="2010-02-09T00:00:00"/>
    <n v="85"/>
    <s v="22 vástagos - 10°  ENVIO"/>
    <m/>
    <s v="en término"/>
    <x v="0"/>
    <n v="1"/>
  </r>
  <r>
    <x v="3"/>
    <x v="3"/>
    <x v="0"/>
    <x v="0"/>
    <s v="100/08 BBR"/>
    <s v="Petrobras N° 4503069311 (GLOBAL DE VALVULAS 2008)"/>
    <x v="303"/>
    <n v="11930"/>
    <x v="244"/>
    <n v="92"/>
    <d v="2010-02-09T00:00:00"/>
    <s v="Salvador"/>
    <d v="2010-01-15T00:00:00"/>
    <x v="10"/>
    <d v="2010-01-21T00:00:00"/>
    <d v="2010-01-27T00:00:00"/>
    <d v="2010-02-09T00:00:00"/>
    <n v="92"/>
    <s v="180 valvulas - SE ENVÍAN DESDE TANTAL"/>
    <m/>
    <s v="en término"/>
    <x v="0"/>
    <n v="1"/>
  </r>
  <r>
    <x v="3"/>
    <x v="3"/>
    <x v="0"/>
    <x v="0"/>
    <s v="100/08 BBR"/>
    <s v="Petrobras N° 4503070938 (GLOBAL DE VALVULAS 2008)"/>
    <x v="304"/>
    <n v="23780"/>
    <x v="203"/>
    <n v="92"/>
    <d v="2010-02-10T00:00:00"/>
    <s v="Salvador"/>
    <d v="2010-01-15T00:00:00"/>
    <x v="50"/>
    <d v="2010-01-21T00:00:00"/>
    <d v="2010-01-27T00:00:00"/>
    <d v="2010-02-09T00:00:00"/>
    <n v="91"/>
    <s v="150 valvulas - SE ENVÍAN DESDE TANTAL"/>
    <m/>
    <s v="en término"/>
    <x v="0"/>
    <n v="1"/>
  </r>
  <r>
    <x v="3"/>
    <x v="3"/>
    <x v="0"/>
    <x v="0"/>
    <s v="021/09 BBR"/>
    <s v="Petrobras N° 4503086333"/>
    <x v="305"/>
    <n v="4135"/>
    <x v="245"/>
    <n v="38"/>
    <d v="2010-01-22T00:00:00"/>
    <s v="Salvador"/>
    <d v="2010-01-15T00:00:00"/>
    <x v="14"/>
    <d v="2010-01-21T00:00:00"/>
    <d v="2010-01-27T00:00:00"/>
    <d v="2010-02-09T00:00:00"/>
    <n v="56"/>
    <s v="Fittings "/>
    <m/>
    <s v="atrasado"/>
    <x v="0"/>
    <n v="0"/>
  </r>
  <r>
    <x v="3"/>
    <x v="3"/>
    <x v="0"/>
    <x v="0"/>
    <s v="076/09 BBR"/>
    <s v="Petrobras N° 4503114392"/>
    <x v="306"/>
    <n v="5000"/>
    <x v="245"/>
    <n v="82"/>
    <d v="2010-03-07T00:00:00"/>
    <s v="Salvador"/>
    <d v="2010-02-19T00:00:00"/>
    <x v="49"/>
    <d v="2010-02-25T00:00:00"/>
    <d v="2010-02-25T00:00:00"/>
    <d v="2010-03-15T00:00:00"/>
    <n v="90"/>
    <s v="Fittings (pescadores)"/>
    <m/>
    <s v="en término"/>
    <x v="1"/>
    <n v="1"/>
  </r>
  <r>
    <x v="3"/>
    <x v="3"/>
    <x v="0"/>
    <x v="0"/>
    <s v="094/09 BBR"/>
    <s v="Petrobras N° 4503133256"/>
    <x v="307"/>
    <n v="2650"/>
    <x v="219"/>
    <n v="69"/>
    <d v="2010-03-02T00:00:00"/>
    <s v="Salvador"/>
    <d v="2010-02-19T00:00:00"/>
    <x v="33"/>
    <d v="2010-02-25T00:00:00"/>
    <d v="2010-02-25T00:00:00"/>
    <d v="2010-03-15T00:00:00"/>
    <n v="82"/>
    <s v="Fittings"/>
    <m/>
    <s v="en término"/>
    <x v="1"/>
    <n v="1"/>
  </r>
  <r>
    <x v="3"/>
    <x v="3"/>
    <x v="0"/>
    <x v="1"/>
    <s v="049/08 BPB"/>
    <s v="4600279670 (GLOBAL VASTAGOS 2008)"/>
    <x v="308"/>
    <n v="37326.5"/>
    <x v="246"/>
    <n v="81"/>
    <d v="2010-03-08T00:00:00"/>
    <s v="Salvador"/>
    <d v="2010-02-19T00:00:00"/>
    <x v="17"/>
    <d v="2010-02-25T00:00:00"/>
    <d v="2010-02-25T00:00:00"/>
    <d v="2010-03-15T00:00:00"/>
    <n v="88"/>
    <s v="100 vástagos - 11°  ENVIO"/>
    <m/>
    <s v="en término"/>
    <x v="1"/>
    <n v="1"/>
  </r>
  <r>
    <x v="3"/>
    <x v="3"/>
    <x v="0"/>
    <x v="1"/>
    <s v="080/09 BPB"/>
    <s v="4600302683 (GLOBAL 2010)"/>
    <x v="309"/>
    <n v="17132.8"/>
    <x v="247"/>
    <n v="72"/>
    <d v="2010-03-26T00:00:00"/>
    <s v="Salvador"/>
    <d v="2010-03-12T00:00:00"/>
    <x v="64"/>
    <d v="2010-03-19T00:00:00"/>
    <d v="2010-03-19T00:00:00"/>
    <d v="2010-04-06T00:00:00"/>
    <n v="83"/>
    <s v="8 bombas"/>
    <m/>
    <s v="en término"/>
    <x v="2"/>
    <n v="1"/>
  </r>
  <r>
    <x v="3"/>
    <x v="3"/>
    <x v="0"/>
    <x v="1"/>
    <s v="049/08 BPB"/>
    <s v="4600279670 (GLOBAL VASTAGOS 2008)"/>
    <x v="310"/>
    <n v="1251.2"/>
    <x v="248"/>
    <n v="75"/>
    <d v="2010-05-05T00:00:00"/>
    <s v="Salvador"/>
    <d v="2010-03-12T00:00:00"/>
    <x v="101"/>
    <d v="2010-03-19T00:00:00"/>
    <d v="2010-03-19T00:00:00"/>
    <d v="2010-04-06T00:00:00"/>
    <n v="46"/>
    <s v="4 vástagos - 13°  ENVIO"/>
    <s v="Se solicito correccion del NCM"/>
    <s v="en término"/>
    <x v="2"/>
    <n v="1"/>
  </r>
  <r>
    <x v="3"/>
    <x v="3"/>
    <x v="0"/>
    <x v="1"/>
    <s v="080/09 BPB"/>
    <s v="4600302683 (GLOBAL 2010)"/>
    <x v="311"/>
    <n v="52266.64"/>
    <x v="249"/>
    <n v="79"/>
    <d v="2010-03-25T00:00:00"/>
    <s v="Salvador"/>
    <d v="2010-03-12T00:00:00"/>
    <x v="86"/>
    <d v="2010-03-19T00:00:00"/>
    <d v="2010-03-19T00:00:00"/>
    <d v="2010-04-06T00:00:00"/>
    <n v="91"/>
    <s v="30 bombas"/>
    <m/>
    <s v="en término"/>
    <x v="2"/>
    <n v="1"/>
  </r>
  <r>
    <x v="3"/>
    <x v="3"/>
    <x v="0"/>
    <x v="1"/>
    <s v="049/08 BPB"/>
    <s v="4600279670 (GLOBAL VASTAGOS 2008)"/>
    <x v="312"/>
    <n v="13921.39"/>
    <x v="250"/>
    <n v="84"/>
    <d v="2010-04-05T00:00:00"/>
    <s v="Salvador"/>
    <d v="2010-03-12T00:00:00"/>
    <x v="34"/>
    <d v="2010-03-19T00:00:00"/>
    <d v="2010-03-19T00:00:00"/>
    <d v="2010-04-06T00:00:00"/>
    <n v="85"/>
    <s v="40 vástagos - 12° ENVIO"/>
    <m/>
    <s v="en término"/>
    <x v="2"/>
    <n v="1"/>
  </r>
  <r>
    <x v="3"/>
    <x v="3"/>
    <x v="0"/>
    <x v="1"/>
    <s v="080/09 BPB"/>
    <s v="4600302683 (GLOBAL 2010)"/>
    <x v="313"/>
    <n v="176346.72"/>
    <x v="250"/>
    <n v="81"/>
    <d v="2010-04-02T00:00:00"/>
    <s v="Salvador"/>
    <d v="2010-03-12T00:00:00"/>
    <x v="50"/>
    <d v="2010-03-19T00:00:00"/>
    <d v="2010-03-19T00:00:00"/>
    <d v="2010-04-06T00:00:00"/>
    <n v="85"/>
    <s v="87 bombas"/>
    <m/>
    <s v="en término"/>
    <x v="2"/>
    <n v="1"/>
  </r>
  <r>
    <x v="3"/>
    <x v="3"/>
    <x v="0"/>
    <x v="0"/>
    <s v="077/09 BBR"/>
    <s v="Petrobras N° 4503093223"/>
    <x v="314"/>
    <n v="36625"/>
    <x v="251"/>
    <n v="46"/>
    <d v="2010-03-13T00:00:00"/>
    <s v="Salvador"/>
    <d v="2010-03-12T00:00:00"/>
    <x v="62"/>
    <d v="2010-03-19T00:00:00"/>
    <d v="2010-03-19T00:00:00"/>
    <d v="2010-04-06T00:00:00"/>
    <n v="70"/>
    <s v="100 vástagos- 1° ENVIO"/>
    <s v="Total: U$ 36.625"/>
    <s v="atrasado"/>
    <x v="2"/>
    <n v="0"/>
  </r>
  <r>
    <x v="3"/>
    <x v="3"/>
    <x v="0"/>
    <x v="1"/>
    <s v="011/08 BPB"/>
    <s v="4600264170 (GLOBAL REPUESTOS 2008)"/>
    <x v="315"/>
    <n v="9366.43"/>
    <x v="252"/>
    <n v="100"/>
    <d v="2010-04-25T00:00:00"/>
    <s v="Salvador"/>
    <d v="2010-04-23T00:00:00"/>
    <x v="14"/>
    <d v="2010-04-28T00:00:00"/>
    <d v="2010-04-30T00:00:00"/>
    <d v="2010-05-18T00:00:00"/>
    <n v="123"/>
    <s v="Fittings"/>
    <s v="Salida postergada de la Planta por problemas con el personal (piden aumento salarial)"/>
    <s v="atrasado"/>
    <x v="10"/>
    <n v="0"/>
  </r>
  <r>
    <x v="3"/>
    <x v="3"/>
    <x v="0"/>
    <x v="1"/>
    <s v="080/09 BPB"/>
    <s v="4600302683 (GLOBAL 2010)"/>
    <x v="316"/>
    <n v="84594.37"/>
    <x v="253"/>
    <n v="60"/>
    <d v="2010-04-26T00:00:00"/>
    <s v="Salvador"/>
    <d v="2010-04-23T00:00:00"/>
    <x v="9"/>
    <d v="2010-04-28T00:00:00"/>
    <d v="2010-04-30T00:00:00"/>
    <d v="2010-05-18T00:00:00"/>
    <n v="82"/>
    <s v="52 bombas"/>
    <s v="Salida postergada de la Planta por problemas con el personal (piden aumento salarial)"/>
    <s v="atrasado"/>
    <x v="10"/>
    <n v="0"/>
  </r>
  <r>
    <x v="3"/>
    <x v="3"/>
    <x v="0"/>
    <x v="1"/>
    <s v="080/09 BPB"/>
    <s v="4600302683 (GLOBAL 2010)"/>
    <x v="317"/>
    <n v="28855.63"/>
    <x v="248"/>
    <n v="66"/>
    <d v="2010-04-26T00:00:00"/>
    <s v="Salvador"/>
    <d v="2010-04-23T00:00:00"/>
    <x v="9"/>
    <d v="2010-04-28T00:00:00"/>
    <d v="2010-04-30T00:00:00"/>
    <d v="2010-05-18T00:00:00"/>
    <n v="88"/>
    <s v="14 bombas"/>
    <s v="Salida postergada de la Planta por problemas con el personal (piden aumento salarial)"/>
    <s v="atrasado"/>
    <x v="10"/>
    <n v="0"/>
  </r>
  <r>
    <x v="3"/>
    <x v="3"/>
    <x v="0"/>
    <x v="1"/>
    <s v="011/08 BPB"/>
    <s v="4600264170 (GLOBAL REPUESTOS 2008)"/>
    <x v="318"/>
    <n v="6375.32"/>
    <x v="254"/>
    <n v="90"/>
    <d v="2010-04-20T00:00:00"/>
    <s v="Salvador"/>
    <d v="2010-04-23T00:00:00"/>
    <x v="30"/>
    <d v="2010-04-28T00:00:00"/>
    <d v="2010-04-30T00:00:00"/>
    <d v="2010-05-18T00:00:00"/>
    <n v="118"/>
    <s v="Fittings"/>
    <s v="Salida postergada de la Planta por problemas con el personal (piden aumento salarial)"/>
    <s v="atrasado"/>
    <x v="10"/>
    <n v="0"/>
  </r>
  <r>
    <x v="3"/>
    <x v="3"/>
    <x v="0"/>
    <x v="1"/>
    <s v="080/09 BPB"/>
    <s v="4600302683 (GLOBAL 2010)"/>
    <x v="319"/>
    <n v="36870.339999999997"/>
    <x v="255"/>
    <n v="90"/>
    <d v="2010-04-27T00:00:00"/>
    <s v="Salvador"/>
    <d v="2010-04-23T00:00:00"/>
    <x v="15"/>
    <d v="2010-04-28T00:00:00"/>
    <d v="2010-04-30T00:00:00"/>
    <d v="2010-05-18T00:00:00"/>
    <n v="111"/>
    <s v="Valvulas"/>
    <s v="Salida postergada de la Planta por problemas con el personal (piden aumento salarial)"/>
    <s v="atrasado"/>
    <x v="10"/>
    <n v="0"/>
  </r>
  <r>
    <x v="3"/>
    <x v="3"/>
    <x v="0"/>
    <x v="0"/>
    <s v="077/09 BBR"/>
    <s v="Petrobras N° 4503093223"/>
    <x v="314"/>
    <n v="110995"/>
    <x v="251"/>
    <n v="116"/>
    <d v="2010-05-22T00:00:00"/>
    <s v="Salvador"/>
    <d v="2010-04-23T00:00:00"/>
    <x v="67"/>
    <d v="2010-04-28T00:00:00"/>
    <d v="2010-04-30T00:00:00"/>
    <d v="2010-05-18T00:00:00"/>
    <n v="112"/>
    <s v="300 vastagos - 2° ENVIO"/>
    <s v="Total: U$ 109.875 - Salida postergada de la Planta por problemas con el personal (piden aumento salarial)"/>
    <s v="en término"/>
    <x v="10"/>
    <n v="1"/>
  </r>
  <r>
    <x v="3"/>
    <x v="3"/>
    <x v="0"/>
    <x v="0"/>
    <s v="009/10 BBR"/>
    <s v="Petrobras N° 4503221790"/>
    <x v="320"/>
    <n v="1120"/>
    <x v="207"/>
    <n v="63"/>
    <d v="2010-04-27T00:00:00"/>
    <s v="Salvador"/>
    <d v="2010-04-23T00:00:00"/>
    <x v="15"/>
    <d v="2010-04-28T00:00:00"/>
    <d v="2010-04-30T00:00:00"/>
    <d v="2010-05-18T00:00:00"/>
    <n v="84"/>
    <s v="Fittings"/>
    <s v="Salida postergada de la Planta por problemas con el personal (piden aumento salarial)"/>
    <s v="atrasado"/>
    <x v="10"/>
    <n v="0"/>
  </r>
  <r>
    <x v="3"/>
    <x v="3"/>
    <x v="0"/>
    <x v="1"/>
    <s v="080/09 BPB"/>
    <s v="4600302683 (GLOBAL 2010)"/>
    <x v="311"/>
    <n v="97178.81"/>
    <x v="249"/>
    <n v="110"/>
    <d v="2010-04-25T00:00:00"/>
    <s v="Salvador"/>
    <d v="2010-04-23T00:00:00"/>
    <x v="14"/>
    <d v="2010-04-28T00:00:00"/>
    <d v="2010-04-30T00:00:00"/>
    <d v="2010-05-18T00:00:00"/>
    <n v="133"/>
    <s v="61 bombas"/>
    <s v="Salida postergada de la Planta por problemas con el personal (piden aumento salarial)"/>
    <s v="atrasado"/>
    <x v="10"/>
    <n v="0"/>
  </r>
  <r>
    <x v="3"/>
    <x v="3"/>
    <x v="0"/>
    <x v="1"/>
    <s v="080/09 BPB"/>
    <s v="4600302683 (GLOBAL 2010)"/>
    <x v="321"/>
    <n v="162910"/>
    <x v="233"/>
    <n v="78"/>
    <d v="2010-04-30T00:00:00"/>
    <s v="Salvador"/>
    <d v="2010-04-30T00:00:00"/>
    <x v="32"/>
    <d v="2010-05-06T00:00:00"/>
    <d v="2010-05-07T00:00:00"/>
    <d v="2010-05-24T00:00:00"/>
    <n v="102"/>
    <s v="86 bombas"/>
    <s v="Salida postergada de la Planta por problemas con el personal (piden aumento salarial)"/>
    <s v="atrasado"/>
    <x v="10"/>
    <n v="0"/>
  </r>
  <r>
    <x v="3"/>
    <x v="3"/>
    <x v="0"/>
    <x v="1"/>
    <s v="049/08 BPB"/>
    <s v="4600279670 (GLOBAL VASTAGOS 2008)"/>
    <x v="322"/>
    <n v="26481.82"/>
    <x v="233"/>
    <n v="93"/>
    <d v="2010-05-15T00:00:00"/>
    <s v="Salvador"/>
    <d v="2010-05-14T00:00:00"/>
    <x v="62"/>
    <d v="2010-05-19T00:00:00"/>
    <d v="2010-05-21T00:00:00"/>
    <d v="2010-06-07T00:00:00"/>
    <n v="116"/>
    <s v="70 vástagos - 14°  ENVIO"/>
    <m/>
    <s v="atrasado"/>
    <x v="3"/>
    <n v="0"/>
  </r>
  <r>
    <x v="3"/>
    <x v="3"/>
    <x v="0"/>
    <x v="1"/>
    <s v="049/08 BPB"/>
    <s v="4600279670 (GLOBAL VASTAGOS 2008)"/>
    <x v="323"/>
    <n v="29485.15"/>
    <x v="234"/>
    <n v="83"/>
    <d v="2010-05-26T00:00:00"/>
    <s v="Salvador"/>
    <d v="2010-05-14T00:00:00"/>
    <x v="33"/>
    <d v="2010-05-19T00:00:00"/>
    <d v="2010-05-21T00:00:00"/>
    <d v="2010-06-07T00:00:00"/>
    <n v="95"/>
    <s v="80 vástagos - 15°  ENVIO"/>
    <m/>
    <s v="en término"/>
    <x v="3"/>
    <n v="1"/>
  </r>
  <r>
    <x v="3"/>
    <x v="3"/>
    <x v="0"/>
    <x v="1"/>
    <s v="080/09 BPB"/>
    <s v="4600302683 (GLOBAL 2010)"/>
    <x v="324"/>
    <n v="1547.18"/>
    <x v="256"/>
    <n v="63"/>
    <d v="2010-05-21T00:00:00"/>
    <s v="Salvador"/>
    <d v="2010-05-14T00:00:00"/>
    <x v="44"/>
    <d v="2010-05-19T00:00:00"/>
    <d v="2010-05-21T00:00:00"/>
    <d v="2010-06-07T00:00:00"/>
    <n v="80"/>
    <s v=" 15 valvulas"/>
    <m/>
    <s v="en término"/>
    <x v="3"/>
    <n v="1"/>
  </r>
  <r>
    <x v="3"/>
    <x v="3"/>
    <x v="0"/>
    <x v="1"/>
    <s v="080/09 BPB"/>
    <s v="4600302683 (GLOBAL 2010)"/>
    <x v="325"/>
    <n v="22014.44"/>
    <x v="257"/>
    <n v="60"/>
    <d v="2010-05-21T00:00:00"/>
    <s v="Salvador"/>
    <d v="2010-05-14T00:00:00"/>
    <x v="44"/>
    <d v="2010-05-19T00:00:00"/>
    <d v="2010-05-21T00:00:00"/>
    <d v="2010-06-07T00:00:00"/>
    <n v="77"/>
    <s v="14 bombas"/>
    <m/>
    <s v="en término"/>
    <x v="3"/>
    <n v="1"/>
  </r>
  <r>
    <x v="3"/>
    <x v="3"/>
    <x v="0"/>
    <x v="1"/>
    <s v="080/09 BPB"/>
    <s v="4600302683 (GLOBAL 2010)"/>
    <x v="326"/>
    <n v="13275.28"/>
    <x v="258"/>
    <n v="70"/>
    <d v="2010-05-18T00:00:00"/>
    <s v="Salvador"/>
    <d v="2010-05-14T00:00:00"/>
    <x v="15"/>
    <d v="2010-05-19T00:00:00"/>
    <d v="2010-05-21T00:00:00"/>
    <d v="2010-06-07T00:00:00"/>
    <n v="90"/>
    <s v="Fittings"/>
    <m/>
    <s v="atrasado"/>
    <x v="3"/>
    <n v="0"/>
  </r>
  <r>
    <x v="3"/>
    <x v="3"/>
    <x v="0"/>
    <x v="0"/>
    <s v="100/08 BBR"/>
    <s v="Petrobras N° 4503240125 (GLOBAL DE VÁLVULAS 2008)"/>
    <x v="327"/>
    <n v="23781"/>
    <x v="221"/>
    <n v="90"/>
    <d v="2010-06-01T00:00:00"/>
    <s v="Salvador"/>
    <d v="2010-05-14T00:00:00"/>
    <x v="17"/>
    <d v="2010-05-19T00:00:00"/>
    <d v="2010-05-21T00:00:00"/>
    <d v="2010-06-07T00:00:00"/>
    <n v="96"/>
    <s v="150 válvulas - SE ENVÍAN DESDE TANTAL"/>
    <s v="ORDEN EXTRAVIADA EN PUERTO DE BRASIL. 21 de Julio: las válvulas están viajando de Aracaju a Salvador para ser nacionalizadas y ser entregadas a Petrobras y cumplir con la orden."/>
    <s v="en término"/>
    <x v="3"/>
    <n v="1"/>
  </r>
  <r>
    <x v="3"/>
    <x v="3"/>
    <x v="0"/>
    <x v="1"/>
    <s v="080/09 BPB"/>
    <s v="4600302683 (GLOBAL 2010)"/>
    <x v="328"/>
    <n v="163145"/>
    <x v="234"/>
    <n v="68"/>
    <d v="2010-05-11T00:00:00"/>
    <s v="Salvador"/>
    <d v="2010-05-28T00:00:00"/>
    <x v="100"/>
    <d v="2010-06-02T00:00:00"/>
    <d v="2010-06-05T00:00:00"/>
    <d v="2010-06-21T00:00:00"/>
    <n v="109"/>
    <s v="81 bombas "/>
    <m/>
    <s v="atrasado"/>
    <x v="3"/>
    <n v="0"/>
  </r>
  <r>
    <x v="3"/>
    <x v="3"/>
    <x v="0"/>
    <x v="1"/>
    <s v="080/09 BPB"/>
    <s v="4600302683 (GLOBAL 2010)"/>
    <x v="329"/>
    <n v="169351"/>
    <x v="234"/>
    <n v="103"/>
    <d v="2010-06-15T00:00:00"/>
    <s v="Salvador"/>
    <d v="2010-06-04T00:00:00"/>
    <x v="46"/>
    <d v="2010-06-09T00:00:00"/>
    <d v="2010-06-12T00:00:00"/>
    <d v="2010-06-29T00:00:00"/>
    <n v="117"/>
    <s v="65 bombas + 8 pistones"/>
    <m/>
    <s v="en término"/>
    <x v="4"/>
    <n v="1"/>
  </r>
  <r>
    <x v="3"/>
    <x v="3"/>
    <x v="0"/>
    <x v="1"/>
    <s v="049/08 BPB"/>
    <s v="4600279670 (GLOBAL VASTAGOS 2008)"/>
    <x v="330"/>
    <n v="5630.4"/>
    <x v="259"/>
    <n v="94"/>
    <d v="2010-07-12T00:00:00"/>
    <s v="Salvador"/>
    <d v="2010-06-24T00:00:00"/>
    <x v="49"/>
    <d v="2010-06-30T00:00:00"/>
    <d v="2010-07-02T00:00:00"/>
    <d v="2010-07-12T00:00:00"/>
    <n v="94"/>
    <s v="18 vástagos - 16°  ENVIO"/>
    <m/>
    <s v="en término"/>
    <x v="4"/>
    <n v="1"/>
  </r>
  <r>
    <x v="3"/>
    <x v="3"/>
    <x v="0"/>
    <x v="1"/>
    <s v="080/09 BPB"/>
    <s v="4600302683 (GLOBAL 2010)"/>
    <x v="331"/>
    <n v="360.73"/>
    <x v="260"/>
    <n v="64"/>
    <d v="2010-07-20T00:00:00"/>
    <s v="Salvador"/>
    <d v="2010-06-24T00:00:00"/>
    <x v="18"/>
    <d v="2010-06-30T00:00:00"/>
    <d v="2010-07-02T00:00:00"/>
    <d v="2010-07-12T00:00:00"/>
    <n v="56"/>
    <s v="Fitting"/>
    <m/>
    <s v="en término"/>
    <x v="4"/>
    <n v="1"/>
  </r>
  <r>
    <x v="3"/>
    <x v="3"/>
    <x v="0"/>
    <x v="1"/>
    <s v="049/08 BPB"/>
    <s v="4600279670 (GLOBAL VASTAGOS 2008)"/>
    <x v="332"/>
    <n v="8563.6"/>
    <x v="261"/>
    <n v="84"/>
    <d v="2010-07-07T00:00:00"/>
    <s v="Salvador"/>
    <d v="2010-06-24T00:00:00"/>
    <x v="33"/>
    <d v="2010-06-30T00:00:00"/>
    <d v="2010-07-02T00:00:00"/>
    <d v="2010-07-12T00:00:00"/>
    <n v="89"/>
    <s v="24 vástagos - 17°  ENVIO"/>
    <m/>
    <s v="en término"/>
    <x v="4"/>
    <n v="1"/>
  </r>
  <r>
    <x v="3"/>
    <x v="3"/>
    <x v="0"/>
    <x v="1"/>
    <s v="080/09 BPB"/>
    <s v="4600302683 (GLOBAL 2010)"/>
    <x v="333"/>
    <n v="22593.93"/>
    <x v="259"/>
    <n v="93"/>
    <d v="2010-07-11T00:00:00"/>
    <s v="Salvador"/>
    <d v="2010-06-24T00:00:00"/>
    <x v="74"/>
    <d v="2010-06-30T00:00:00"/>
    <d v="2010-07-02T00:00:00"/>
    <d v="2010-07-12T00:00:00"/>
    <n v="94"/>
    <s v="11 bombas"/>
    <m/>
    <s v="en término"/>
    <x v="4"/>
    <n v="1"/>
  </r>
  <r>
    <x v="3"/>
    <x v="3"/>
    <x v="0"/>
    <x v="1"/>
    <s v="080/09 BPB"/>
    <s v="4600302683 (GLOBAL 2010)"/>
    <x v="334"/>
    <n v="181977.22"/>
    <x v="261"/>
    <n v="76"/>
    <d v="2010-06-29T00:00:00"/>
    <s v="Salvador"/>
    <d v="2010-06-24T00:00:00"/>
    <x v="15"/>
    <d v="2010-06-30T00:00:00"/>
    <d v="2010-07-02T00:00:00"/>
    <d v="2010-07-12T00:00:00"/>
    <n v="89"/>
    <s v="86 bombas"/>
    <m/>
    <s v="atrasado"/>
    <x v="4"/>
    <n v="0"/>
  </r>
  <r>
    <x v="3"/>
    <x v="3"/>
    <x v="0"/>
    <x v="1"/>
    <s v="011/08 BPB"/>
    <s v="4600264170 (GLOBAL REPUESTOS 2008)"/>
    <x v="335"/>
    <n v="63195.05"/>
    <x v="256"/>
    <n v="103"/>
    <d v="2010-06-30T00:00:00"/>
    <s v="Salvador"/>
    <d v="2010-06-29T00:00:00"/>
    <x v="47"/>
    <d v="2010-07-07T00:00:00"/>
    <d v="2010-07-09T00:00:00"/>
    <d v="2010-07-28T00:00:00"/>
    <n v="131"/>
    <s v="Fittings"/>
    <s v="Se atraso la salida de Planta ya que no llegaron las bolas de USA en tiempo para sacar el material de planta el 24/6"/>
    <s v="atrasado"/>
    <x v="4"/>
    <n v="0"/>
  </r>
  <r>
    <x v="3"/>
    <x v="3"/>
    <x v="0"/>
    <x v="1"/>
    <s v="080/09 BPB"/>
    <s v="4600302683 (GLOBAL 2010)"/>
    <x v="336"/>
    <n v="104030.79"/>
    <x v="262"/>
    <n v="105"/>
    <d v="2010-07-22T00:00:00"/>
    <s v="Salvador"/>
    <d v="2010-07-08T00:00:00"/>
    <x v="19"/>
    <d v="2010-07-14T00:00:00"/>
    <d v="2010-07-18T00:00:00"/>
    <d v="2010-07-26T00:00:00"/>
    <n v="109"/>
    <s v="65 bombas"/>
    <m/>
    <s v="en término"/>
    <x v="5"/>
    <n v="1"/>
  </r>
  <r>
    <x v="3"/>
    <x v="3"/>
    <x v="0"/>
    <x v="1"/>
    <s v="080/09 BPB"/>
    <s v="4600302683 (GLOBAL 2010)"/>
    <x v="337"/>
    <n v="3010.83"/>
    <x v="263"/>
    <n v="60"/>
    <d v="2010-08-09T00:00:00"/>
    <s v="Salvador"/>
    <d v="2010-07-08T00:00:00"/>
    <x v="67"/>
    <d v="2010-07-14T00:00:00"/>
    <d v="2010-07-18T00:00:00"/>
    <d v="2010-07-26T00:00:00"/>
    <n v="46"/>
    <s v="Fittings"/>
    <m/>
    <s v="en término"/>
    <x v="5"/>
    <n v="1"/>
  </r>
  <r>
    <x v="3"/>
    <x v="3"/>
    <x v="0"/>
    <x v="1"/>
    <s v="080/09 BPB"/>
    <s v="4600302683 (GLOBAL 2010)"/>
    <x v="338"/>
    <n v="3405.25"/>
    <x v="260"/>
    <n v="93"/>
    <d v="2010-08-18T00:00:00"/>
    <s v="Salvador"/>
    <d v="2010-07-08T00:00:00"/>
    <x v="69"/>
    <d v="2010-07-14T00:00:00"/>
    <d v="2010-07-18T00:00:00"/>
    <d v="2010-07-26T00:00:00"/>
    <n v="70"/>
    <s v="válvulas"/>
    <m/>
    <s v="en término"/>
    <x v="5"/>
    <n v="1"/>
  </r>
  <r>
    <x v="3"/>
    <x v="3"/>
    <x v="0"/>
    <x v="0"/>
    <s v="044/10 BBR"/>
    <s v="Petrobras N° 4503371649"/>
    <x v="339"/>
    <n v="4040"/>
    <x v="264"/>
    <n v="46"/>
    <d v="2010-07-24T00:00:00"/>
    <s v="Salvador"/>
    <d v="2010-07-08T00:00:00"/>
    <x v="86"/>
    <d v="2010-07-14T00:00:00"/>
    <d v="2010-07-18T00:00:00"/>
    <d v="2010-07-26T00:00:00"/>
    <n v="48"/>
    <s v="10 pistones"/>
    <m/>
    <s v="en término"/>
    <x v="5"/>
    <n v="1"/>
  </r>
  <r>
    <x v="3"/>
    <x v="3"/>
    <x v="0"/>
    <x v="1"/>
    <s v="080/09 BPB"/>
    <s v="4600302683 (GLOBAL 2010)"/>
    <x v="340"/>
    <n v="192877.48"/>
    <x v="265"/>
    <n v="69"/>
    <d v="2010-07-23T00:00:00"/>
    <s v="Salvador"/>
    <d v="2010-07-29T00:00:00"/>
    <x v="5"/>
    <d v="2010-08-05T00:00:00"/>
    <d v="2010-08-08T00:00:00"/>
    <d v="2010-08-24T00:00:00"/>
    <n v="101"/>
    <s v="94 bombas"/>
    <m/>
    <s v="atrasado"/>
    <x v="5"/>
    <n v="0"/>
  </r>
  <r>
    <x v="3"/>
    <x v="3"/>
    <x v="0"/>
    <x v="1"/>
    <s v="080/09 BPB"/>
    <s v="4600302683 (GLOBAL 2010)"/>
    <x v="341"/>
    <n v="6749.04"/>
    <x v="266"/>
    <n v="67"/>
    <d v="2010-08-10T00:00:00"/>
    <s v="Salvador"/>
    <d v="2010-07-29T00:00:00"/>
    <x v="75"/>
    <d v="2010-08-05T00:00:00"/>
    <d v="2010-08-08T00:00:00"/>
    <d v="2010-08-24T00:00:00"/>
    <n v="81"/>
    <s v="Fittings"/>
    <m/>
    <s v="en término"/>
    <x v="5"/>
    <n v="1"/>
  </r>
  <r>
    <x v="3"/>
    <x v="3"/>
    <x v="0"/>
    <x v="0"/>
    <s v="029/10 BBR"/>
    <s v="Petrobras N° 4503318503"/>
    <x v="342"/>
    <n v="81946.3"/>
    <x v="267"/>
    <n v="95"/>
    <d v="2010-07-30T00:00:00"/>
    <s v="Salvador"/>
    <d v="2010-07-29T00:00:00"/>
    <x v="47"/>
    <d v="2010-08-05T00:00:00"/>
    <d v="2010-08-08T00:00:00"/>
    <d v="2010-08-24T00:00:00"/>
    <n v="120"/>
    <s v="Fittings"/>
    <m/>
    <s v="atrasado"/>
    <x v="5"/>
    <n v="0"/>
  </r>
  <r>
    <x v="3"/>
    <x v="3"/>
    <x v="0"/>
    <x v="1"/>
    <s v="080/09 BPB"/>
    <s v="4600302683 (GLOBAL 2010)"/>
    <x v="343"/>
    <n v="38009.300000000003"/>
    <x v="268"/>
    <n v="126"/>
    <d v="2010-09-14T00:00:00"/>
    <s v="Salvador"/>
    <d v="2010-08-12T00:00:00"/>
    <x v="35"/>
    <d v="2010-08-19T00:00:00"/>
    <d v="2010-08-25T00:00:00"/>
    <d v="2010-09-07T00:00:00"/>
    <n v="119"/>
    <s v="17 bombas"/>
    <m/>
    <s v="en término"/>
    <x v="6"/>
    <n v="1"/>
  </r>
  <r>
    <x v="3"/>
    <x v="3"/>
    <x v="0"/>
    <x v="1"/>
    <s v="080/09 BPB"/>
    <s v="4600302683 (GLOBAL 2010)"/>
    <x v="344"/>
    <n v="53041.24"/>
    <x v="264"/>
    <n v="63"/>
    <d v="2010-08-10T00:00:00"/>
    <s v="Salvador"/>
    <d v="2010-08-12T00:00:00"/>
    <x v="0"/>
    <d v="2010-08-19T00:00:00"/>
    <d v="2010-08-25T00:00:00"/>
    <d v="2010-09-07T00:00:00"/>
    <n v="91"/>
    <s v="29 bombas"/>
    <m/>
    <s v="atrasado"/>
    <x v="6"/>
    <n v="0"/>
  </r>
  <r>
    <x v="3"/>
    <x v="3"/>
    <x v="0"/>
    <x v="1"/>
    <s v="080/09 BPB"/>
    <s v="4600302683 (GLOBAL 2010)"/>
    <x v="345"/>
    <n v="88790"/>
    <x v="268"/>
    <n v="126"/>
    <d v="2010-09-14T00:00:00"/>
    <s v="Salvador"/>
    <d v="2010-08-12T00:00:00"/>
    <x v="35"/>
    <d v="2010-08-19T00:00:00"/>
    <d v="2010-08-25T00:00:00"/>
    <d v="2010-09-07T00:00:00"/>
    <n v="119"/>
    <s v="52 bombas"/>
    <m/>
    <s v="en término"/>
    <x v="6"/>
    <n v="1"/>
  </r>
  <r>
    <x v="3"/>
    <x v="3"/>
    <x v="0"/>
    <x v="0"/>
    <s v="100/08 BBR"/>
    <s v="Petrobras N° 4503376121 (GLOBAL DE VÁLVULAS 2008)"/>
    <x v="346"/>
    <n v="27105"/>
    <x v="269"/>
    <n v="91"/>
    <d v="2010-08-27T00:00:00"/>
    <s v="Salvador"/>
    <d v="2010-08-12T00:00:00"/>
    <x v="75"/>
    <d v="2010-08-19T00:00:00"/>
    <d v="2010-08-25T00:00:00"/>
    <d v="2010-09-07T00:00:00"/>
    <n v="102"/>
    <s v="310 válvulas - SE ENVÍAN DESDE TANTAL"/>
    <m/>
    <s v="en término"/>
    <x v="6"/>
    <n v="1"/>
  </r>
  <r>
    <x v="3"/>
    <x v="3"/>
    <x v="0"/>
    <x v="1"/>
    <s v="105/08 BPB"/>
    <s v="4600287735 (GLOBAL 2008)"/>
    <x v="347"/>
    <n v="17160.97"/>
    <x v="270"/>
    <n v="93"/>
    <d v="2010-10-27T00:00:00"/>
    <s v="Salvador"/>
    <d v="2010-09-24T00:00:00"/>
    <x v="59"/>
    <d v="2010-09-30T00:00:00"/>
    <d v="2010-10-04T00:00:00"/>
    <d v="2010-10-24T00:00:00"/>
    <n v="90"/>
    <s v="10 bombas"/>
    <m/>
    <s v="en término"/>
    <x v="7"/>
    <n v="1"/>
  </r>
  <r>
    <x v="3"/>
    <x v="3"/>
    <x v="0"/>
    <x v="0"/>
    <s v="035/10 BBR"/>
    <s v="Koch 317-2010"/>
    <x v="348"/>
    <n v="7745"/>
    <x v="213"/>
    <n v="48"/>
    <d v="2010-09-15T00:00:00"/>
    <s v="Salvador"/>
    <d v="2010-09-24T00:00:00"/>
    <x v="6"/>
    <d v="2010-09-30T00:00:00"/>
    <d v="2010-10-04T00:00:00"/>
    <d v="2010-10-24T00:00:00"/>
    <n v="87"/>
    <s v="5 bombas - KOCH"/>
    <m/>
    <s v="atrasado"/>
    <x v="7"/>
    <n v="0"/>
  </r>
  <r>
    <x v="3"/>
    <x v="3"/>
    <x v="0"/>
    <x v="0"/>
    <s v="066/10 BBR"/>
    <s v="Petrobras N° 4503466331"/>
    <x v="349"/>
    <n v="2665"/>
    <x v="271"/>
    <n v="82"/>
    <d v="2010-10-23T00:00:00"/>
    <s v="Salvador"/>
    <d v="2010-09-24T00:00:00"/>
    <x v="102"/>
    <d v="2010-09-30T00:00:00"/>
    <d v="2010-10-04T00:00:00"/>
    <d v="2010-10-24T00:00:00"/>
    <n v="83"/>
    <s v="Fittings"/>
    <m/>
    <s v="en término"/>
    <x v="7"/>
    <n v="1"/>
  </r>
  <r>
    <x v="3"/>
    <x v="3"/>
    <x v="0"/>
    <x v="0"/>
    <s v="100/08 BBR"/>
    <s v="Petrobras N° 4503491423 (GLOBAL DE VÁLVULAS 2008)"/>
    <x v="350"/>
    <n v="34569"/>
    <x v="272"/>
    <n v="82"/>
    <d v="2010-11-03T00:00:00"/>
    <s v="Salvador"/>
    <d v="2010-09-24T00:00:00"/>
    <x v="39"/>
    <d v="2010-09-30T00:00:00"/>
    <d v="2010-10-04T00:00:00"/>
    <d v="2010-10-24T00:00:00"/>
    <n v="72"/>
    <s v="217 válvulas - SE ENVÍAN DESDE TANTAL"/>
    <m/>
    <s v="en término"/>
    <x v="7"/>
    <n v="1"/>
  </r>
  <r>
    <x v="3"/>
    <x v="3"/>
    <x v="0"/>
    <x v="0"/>
    <s v="077/10 BBR"/>
    <s v="W.Petroleo 002352"/>
    <x v="351"/>
    <n v="8830"/>
    <x v="272"/>
    <n v="58"/>
    <d v="2010-10-10T00:00:00"/>
    <s v="Salvador"/>
    <d v="2010-09-24T00:00:00"/>
    <x v="86"/>
    <d v="2010-09-30T00:00:00"/>
    <d v="2010-10-04T00:00:00"/>
    <d v="2010-10-24T00:00:00"/>
    <n v="72"/>
    <s v="4 bombas - W. PETROLEO"/>
    <m/>
    <s v="en término"/>
    <x v="7"/>
    <n v="1"/>
  </r>
  <r>
    <x v="3"/>
    <x v="3"/>
    <x v="0"/>
    <x v="0"/>
    <s v="057/10 BBR"/>
    <s v="Petrorreconcavo N° 101040, 101004, 101012, 101033, 101997, 101006, 101013, 101036, 101003, 101007, 101014"/>
    <x v="352"/>
    <n v="28210.52"/>
    <x v="272"/>
    <n v="46"/>
    <d v="2010-09-28T00:00:00"/>
    <s v="Salvador"/>
    <d v="2010-09-24T00:00:00"/>
    <x v="62"/>
    <d v="2010-09-30T00:00:00"/>
    <d v="2010-10-04T00:00:00"/>
    <d v="2010-10-24T00:00:00"/>
    <n v="72"/>
    <s v="Fittings - PETRORRECONCAVO"/>
    <m/>
    <s v="atrasado"/>
    <x v="7"/>
    <n v="0"/>
  </r>
  <r>
    <x v="3"/>
    <x v="3"/>
    <x v="0"/>
    <x v="1"/>
    <s v="028/10 BPB"/>
    <s v="4600312805 (GLOBAL 2011)"/>
    <x v="353"/>
    <n v="1905.19"/>
    <x v="220"/>
    <n v="102"/>
    <d v="2010-11-01T00:00:00"/>
    <s v="Salvador"/>
    <d v="2010-10-04T00:00:00"/>
    <x v="52"/>
    <d v="2010-10-14T00:00:00"/>
    <d v="2010-10-20T00:00:00"/>
    <d v="2010-11-01T00:00:00"/>
    <n v="102"/>
    <s v="Fittings"/>
    <m/>
    <s v="en término"/>
    <x v="8"/>
    <n v="1"/>
  </r>
  <r>
    <x v="3"/>
    <x v="3"/>
    <x v="0"/>
    <x v="0"/>
    <s v="100/08 BBR"/>
    <s v="Petrobras N° 4503476755 (GLOBAL DE VÁLVULAS 2008)"/>
    <x v="354"/>
    <n v="17129.599999999999"/>
    <x v="273"/>
    <n v="90"/>
    <d v="2010-10-26T00:00:00"/>
    <s v="Salvador"/>
    <d v="2010-10-04T00:00:00"/>
    <x v="86"/>
    <d v="2010-10-14T00:00:00"/>
    <d v="2010-10-20T00:00:00"/>
    <d v="2010-11-01T00:00:00"/>
    <n v="96"/>
    <s v="160 válvulas - SE ENVÍAN DESDE TANTAL"/>
    <m/>
    <s v="en término"/>
    <x v="8"/>
    <n v="1"/>
  </r>
  <r>
    <x v="3"/>
    <x v="3"/>
    <x v="0"/>
    <x v="0"/>
    <s v="067/10 BBR"/>
    <s v="Petrobras N° 4503468310"/>
    <x v="355"/>
    <n v="96636.35"/>
    <x v="271"/>
    <n v="89"/>
    <d v="2010-10-30T00:00:00"/>
    <s v="Salvador"/>
    <d v="2010-10-04T00:00:00"/>
    <x v="49"/>
    <d v="2010-10-14T00:00:00"/>
    <d v="2010-10-20T00:00:00"/>
    <d v="2010-11-01T00:00:00"/>
    <n v="91"/>
    <s v="34 bombas (menos 1 bomba)"/>
    <s v="Del ítem 60 se van a enviar solo 11 bombas, ya que Bolland do Brasil tiene 1 bomba allá y ellos entregaran esta bomba a Petrobras."/>
    <s v="en término"/>
    <x v="8"/>
    <n v="1"/>
  </r>
  <r>
    <x v="3"/>
    <x v="3"/>
    <x v="0"/>
    <x v="0"/>
    <s v="070/10 BBR"/>
    <s v="Petrobras N° 4503472148"/>
    <x v="356"/>
    <n v="236485"/>
    <x v="272"/>
    <n v="89"/>
    <d v="2010-11-10T00:00:00"/>
    <s v="Salvador"/>
    <d v="2010-10-04T00:00:00"/>
    <x v="84"/>
    <d v="2010-10-14T00:00:00"/>
    <d v="2010-10-20T00:00:00"/>
    <d v="2010-11-01T00:00:00"/>
    <n v="80"/>
    <s v="128 bombas"/>
    <m/>
    <s v="en término"/>
    <x v="8"/>
    <n v="1"/>
  </r>
  <r>
    <x v="3"/>
    <x v="3"/>
    <x v="0"/>
    <x v="0"/>
    <s v="085/10 BBR"/>
    <s v="Koch 383-2010"/>
    <x v="357"/>
    <n v="320"/>
    <x v="274"/>
    <n v="30"/>
    <d v="2010-10-09T00:00:00"/>
    <s v="Salvador"/>
    <d v="2010-10-04T00:00:00"/>
    <x v="13"/>
    <d v="2010-10-14T00:00:00"/>
    <d v="2010-10-20T00:00:00"/>
    <d v="2010-11-01T00:00:00"/>
    <n v="46"/>
    <s v="Nipples   "/>
    <m/>
    <s v="atrasado"/>
    <x v="8"/>
    <n v="0"/>
  </r>
  <r>
    <x v="3"/>
    <x v="3"/>
    <x v="0"/>
    <x v="1"/>
    <s v="080/09 BPB"/>
    <s v="4600302683 (GLOBAL 2010)"/>
    <x v="358"/>
    <n v="34375.01"/>
    <x v="264"/>
    <n v="167"/>
    <d v="2010-11-22T00:00:00"/>
    <s v="Salvador"/>
    <d v="2010-10-04T00:00:00"/>
    <x v="72"/>
    <d v="2010-10-14T00:00:00"/>
    <d v="2010-10-20T00:00:00"/>
    <d v="2010-11-01T00:00:00"/>
    <n v="146"/>
    <s v="13 bombas"/>
    <m/>
    <s v="en término"/>
    <x v="8"/>
    <n v="1"/>
  </r>
  <r>
    <x v="3"/>
    <x v="3"/>
    <x v="0"/>
    <x v="1"/>
    <s v="028/10 BPB"/>
    <s v="4600312805 (GLOBAL 2011)"/>
    <x v="359"/>
    <n v="193230"/>
    <x v="272"/>
    <n v="96"/>
    <d v="2010-11-17T00:00:00"/>
    <s v="Salvador"/>
    <d v="2010-10-28T00:00:00"/>
    <x v="17"/>
    <d v="2010-11-04T00:00:00"/>
    <d v="2010-11-06T00:00:00"/>
    <d v="2010-11-22T00:00:00"/>
    <n v="101"/>
    <s v="81 bombas"/>
    <s v="10/9/10: se pidió la anulación del ítem 2"/>
    <s v="en término"/>
    <x v="8"/>
    <n v="1"/>
  </r>
  <r>
    <x v="3"/>
    <x v="3"/>
    <x v="0"/>
    <x v="1"/>
    <s v="028/10 BPB"/>
    <s v="4600312805 (GLOBAL 2011)"/>
    <x v="360"/>
    <n v="3344.5"/>
    <x v="275"/>
    <n v="94"/>
    <d v="2010-11-27T00:00:00"/>
    <s v="Salvador"/>
    <d v="2010-10-28T00:00:00"/>
    <x v="84"/>
    <d v="2010-11-04T00:00:00"/>
    <d v="2010-11-06T00:00:00"/>
    <d v="2010-11-22T00:00:00"/>
    <n v="89"/>
    <s v="2 bombas"/>
    <m/>
    <s v="en término"/>
    <x v="8"/>
    <n v="1"/>
  </r>
  <r>
    <x v="3"/>
    <x v="3"/>
    <x v="0"/>
    <x v="0"/>
    <s v="100/08 BBR"/>
    <s v="Petrobras N° 4503499846 (GLOBAL DE VÁLVULAS 2008)"/>
    <x v="361"/>
    <n v="24608.5"/>
    <x v="276"/>
    <n v="75"/>
    <d v="2010-11-13T00:00:00"/>
    <s v="Salvador"/>
    <d v="2010-10-28T00:00:00"/>
    <x v="64"/>
    <d v="2010-11-04T00:00:00"/>
    <d v="2010-11-06T00:00:00"/>
    <d v="2010-11-22T00:00:00"/>
    <n v="84"/>
    <s v="373 válvulas - SE ENVÍAN DESDE TANTAL"/>
    <m/>
    <s v="en término"/>
    <x v="8"/>
    <n v="1"/>
  </r>
  <r>
    <x v="3"/>
    <x v="3"/>
    <x v="0"/>
    <x v="0"/>
    <s v="078/10 BBR"/>
    <s v="Petrorreconcavo N° 101221, 101225, 101229, 101230"/>
    <x v="362"/>
    <n v="13948.5"/>
    <x v="277"/>
    <n v="54"/>
    <d v="2010-11-01T00:00:00"/>
    <s v="Salvador"/>
    <d v="2010-10-28T00:00:00"/>
    <x v="14"/>
    <d v="2010-11-04T00:00:00"/>
    <d v="2010-11-06T00:00:00"/>
    <d v="2010-11-22T00:00:00"/>
    <n v="75"/>
    <s v="Fittings - PETRORRECONCAVO"/>
    <m/>
    <s v="atrasado"/>
    <x v="8"/>
    <n v="0"/>
  </r>
  <r>
    <x v="3"/>
    <x v="3"/>
    <x v="0"/>
    <x v="0"/>
    <s v="088/10 BBR"/>
    <s v="Petrobras N° 4503545230"/>
    <x v="363"/>
    <n v="3300"/>
    <x v="277"/>
    <n v="68"/>
    <d v="2010-11-05T00:00:00"/>
    <s v="Salvador"/>
    <d v="2010-10-28T00:00:00"/>
    <x v="63"/>
    <d v="2010-11-04T00:00:00"/>
    <d v="2010-11-06T00:00:00"/>
    <d v="2010-11-22T00:00:00"/>
    <n v="75"/>
    <s v="Pistones"/>
    <m/>
    <s v="atrasado"/>
    <x v="8"/>
    <n v="0"/>
  </r>
  <r>
    <x v="3"/>
    <x v="3"/>
    <x v="0"/>
    <x v="0"/>
    <s v="109/10 BBR"/>
    <s v="Petroreconcavo 101412"/>
    <x v="364"/>
    <n v="3450"/>
    <x v="278"/>
    <n v="16"/>
    <d v="2010-10-20T00:00:00"/>
    <s v="Salvador"/>
    <d v="2010-10-15T00:00:00"/>
    <x v="14"/>
    <m/>
    <d v="2010-10-25T00:00:00"/>
    <d v="2010-10-30T00:00:00"/>
    <n v="26"/>
    <s v="12 Pistones"/>
    <m/>
    <s v="atrasado"/>
    <x v="8"/>
    <n v="0"/>
  </r>
  <r>
    <x v="3"/>
    <x v="3"/>
    <x v="0"/>
    <x v="1"/>
    <s v="028/10 BPB"/>
    <s v="4600312805 (GLOBAL 2011)"/>
    <x v="365"/>
    <n v="6713.07"/>
    <x v="279"/>
    <n v="96"/>
    <d v="2010-11-22T00:00:00"/>
    <s v="Salvador"/>
    <d v="2010-11-18T00:00:00"/>
    <x v="9"/>
    <d v="2010-11-25T00:00:00"/>
    <d v="2010-11-26T00:00:00"/>
    <d v="2010-12-13T00:00:00"/>
    <n v="117"/>
    <s v="Fittings"/>
    <s v="Se posterga por paro en la Planta"/>
    <s v="atrasado"/>
    <x v="9"/>
    <n v="0"/>
  </r>
  <r>
    <x v="3"/>
    <x v="3"/>
    <x v="0"/>
    <x v="1"/>
    <s v="028/10 BPB"/>
    <s v="4600312805 (GLOBAL 2011)"/>
    <x v="366"/>
    <n v="40700.28"/>
    <x v="280"/>
    <n v="98"/>
    <d v="2010-12-02T00:00:00"/>
    <s v="Salvador"/>
    <d v="2010-11-18T00:00:00"/>
    <x v="86"/>
    <d v="2010-11-25T00:00:00"/>
    <d v="2010-11-26T00:00:00"/>
    <d v="2010-12-13T00:00:00"/>
    <n v="109"/>
    <s v="20 bombas"/>
    <s v="Se posterga por paro en la Planta"/>
    <s v="en término"/>
    <x v="9"/>
    <n v="1"/>
  </r>
  <r>
    <x v="3"/>
    <x v="3"/>
    <x v="0"/>
    <x v="1"/>
    <s v="028/10 BPB"/>
    <s v="4600312805 (GLOBAL 2011)"/>
    <x v="367"/>
    <n v="10309.83"/>
    <x v="281"/>
    <n v="97"/>
    <d v="2010-12-15T00:00:00"/>
    <s v="Salvador"/>
    <d v="2010-11-18T00:00:00"/>
    <x v="102"/>
    <d v="2010-11-25T00:00:00"/>
    <d v="2010-11-26T00:00:00"/>
    <d v="2010-12-13T00:00:00"/>
    <n v="95"/>
    <s v="51 pistones"/>
    <s v="Se posterga por paro en la Planta"/>
    <s v="en término"/>
    <x v="9"/>
    <n v="1"/>
  </r>
  <r>
    <x v="3"/>
    <x v="3"/>
    <x v="0"/>
    <x v="1"/>
    <s v="028/10 BPB"/>
    <s v="4600312805 (GLOBAL 2011)"/>
    <x v="368"/>
    <n v="1304.76"/>
    <x v="282"/>
    <n v="97"/>
    <d v="2010-11-24T00:00:00"/>
    <s v="Salvador"/>
    <d v="2010-11-18T00:00:00"/>
    <x v="11"/>
    <d v="2010-11-25T00:00:00"/>
    <d v="2010-11-26T00:00:00"/>
    <d v="2010-12-13T00:00:00"/>
    <n v="116"/>
    <s v="Fittings"/>
    <s v="Se posterga por paro en la Planta - Antes PCS N° 4503514532"/>
    <s v="atrasado"/>
    <x v="9"/>
    <n v="0"/>
  </r>
  <r>
    <x v="3"/>
    <x v="3"/>
    <x v="0"/>
    <x v="1"/>
    <s v="028/10 BPB"/>
    <s v="4600312805 (GLOBAL 2011)"/>
    <x v="369"/>
    <n v="69829.64"/>
    <x v="283"/>
    <n v="122"/>
    <d v="2010-11-29T00:00:00"/>
    <s v="Salvador"/>
    <d v="2010-11-18T00:00:00"/>
    <x v="46"/>
    <d v="2010-11-25T00:00:00"/>
    <d v="2010-11-26T00:00:00"/>
    <d v="2010-12-13T00:00:00"/>
    <n v="136"/>
    <s v="44 bombas"/>
    <s v="Se posterga por paro en la Planta"/>
    <s v="en término"/>
    <x v="9"/>
    <n v="1"/>
  </r>
  <r>
    <x v="3"/>
    <x v="3"/>
    <x v="0"/>
    <x v="0"/>
    <s v="100/10 BBR"/>
    <s v="Petrobras N° 4503568576"/>
    <x v="370"/>
    <n v="440"/>
    <x v="278"/>
    <n v="60"/>
    <d v="2010-12-03T00:00:00"/>
    <s v="Salvador"/>
    <d v="2010-11-18T00:00:00"/>
    <x v="64"/>
    <d v="2010-11-25T00:00:00"/>
    <d v="2010-11-26T00:00:00"/>
    <d v="2010-12-13T00:00:00"/>
    <n v="70"/>
    <s v="Fittings"/>
    <s v="Se posterga por paro en la Planta"/>
    <s v="en término"/>
    <x v="9"/>
    <n v="1"/>
  </r>
  <r>
    <x v="3"/>
    <x v="3"/>
    <x v="0"/>
    <x v="0"/>
    <s v="098/10 BBR"/>
    <s v="Petroreconcavo 101464"/>
    <x v="371"/>
    <n v="3979"/>
    <x v="284"/>
    <n v="74"/>
    <d v="2010-12-28T00:00:00"/>
    <s v="Salvador"/>
    <d v="2010-11-18T00:00:00"/>
    <x v="71"/>
    <d v="2010-11-25T00:00:00"/>
    <d v="2010-11-26T00:00:00"/>
    <d v="2010-12-13T00:00:00"/>
    <n v="59"/>
    <s v="Fittings"/>
    <s v="Se posterga por paro en la Planta"/>
    <s v="en término"/>
    <x v="9"/>
    <n v="1"/>
  </r>
  <r>
    <x v="3"/>
    <x v="3"/>
    <x v="0"/>
    <x v="1"/>
    <s v="028/10 BPB"/>
    <s v="4600312805 (GLOBAL 2011)"/>
    <x v="372"/>
    <n v="2990.13"/>
    <x v="285"/>
    <n v="93"/>
    <d v="2010-12-22T00:00:00"/>
    <s v="Salvador"/>
    <d v="2010-12-21T00:00:00"/>
    <x v="12"/>
    <d v="2011-01-01T00:00:00"/>
    <d v="2011-01-04T00:00:00"/>
    <d v="2011-01-19T00:00:00"/>
    <n v="121"/>
    <s v="2 bombas"/>
    <m/>
    <s v="atrasado"/>
    <x v="11"/>
    <n v="0"/>
  </r>
  <r>
    <x v="3"/>
    <x v="3"/>
    <x v="0"/>
    <x v="1"/>
    <s v="028/10 BPB"/>
    <s v="4600312805 (GLOBAL 2011)"/>
    <x v="373"/>
    <n v="9410.4500000000007"/>
    <x v="228"/>
    <n v="98"/>
    <d v="2010-12-28T00:00:00"/>
    <s v="Salvador"/>
    <d v="2010-12-21T00:00:00"/>
    <x v="32"/>
    <d v="2010-12-30T00:00:00"/>
    <d v="2011-01-04T00:00:00"/>
    <d v="2011-01-19T00:00:00"/>
    <n v="120"/>
    <s v="Fittings"/>
    <m/>
    <s v="atrasado"/>
    <x v="11"/>
    <n v="0"/>
  </r>
  <r>
    <x v="3"/>
    <x v="3"/>
    <x v="0"/>
    <x v="1"/>
    <s v="105/08 BPB"/>
    <s v="4600287735 (GLOBAL 2008)"/>
    <x v="374"/>
    <n v="92917.19"/>
    <x v="223"/>
    <n v="105"/>
    <d v="2011-01-05T00:00:00"/>
    <s v="Salvador"/>
    <d v="2010-12-21T00:00:00"/>
    <x v="2"/>
    <d v="2010-12-30T00:00:00"/>
    <d v="2011-01-04T00:00:00"/>
    <d v="2011-01-17T00:00:00"/>
    <n v="117"/>
    <s v="50 bombas"/>
    <m/>
    <s v="en término"/>
    <x v="11"/>
    <n v="1"/>
  </r>
  <r>
    <x v="3"/>
    <x v="3"/>
    <x v="0"/>
    <x v="1"/>
    <s v="028/10 BPB"/>
    <s v="4600312805 (GLOBAL 2011)"/>
    <x v="375"/>
    <n v="29920.98"/>
    <x v="286"/>
    <n v="96"/>
    <d v="2011-01-04T00:00:00"/>
    <s v="Salvador"/>
    <d v="2010-12-21T00:00:00"/>
    <x v="44"/>
    <d v="2010-12-30T00:00:00"/>
    <d v="2011-01-04T00:00:00"/>
    <d v="2011-01-19T00:00:00"/>
    <n v="111"/>
    <s v="18 bombas + Fittings"/>
    <m/>
    <s v="en término"/>
    <x v="11"/>
    <n v="1"/>
  </r>
  <r>
    <x v="3"/>
    <x v="3"/>
    <x v="0"/>
    <x v="1"/>
    <s v="028/10 BPB"/>
    <s v="4600312805 (GLOBAL 2011)"/>
    <x v="376"/>
    <n v="32531.47"/>
    <x v="223"/>
    <n v="105"/>
    <d v="2011-01-05T00:00:00"/>
    <s v="Salvador"/>
    <d v="2010-12-21T00:00:00"/>
    <x v="2"/>
    <d v="2010-12-30T00:00:00"/>
    <d v="2011-01-04T00:00:00"/>
    <d v="2011-01-19T00:00:00"/>
    <n v="119"/>
    <s v="15 bombas + Fittings"/>
    <m/>
    <s v="en término"/>
    <x v="11"/>
    <n v="1"/>
  </r>
  <r>
    <x v="3"/>
    <x v="3"/>
    <x v="0"/>
    <x v="1"/>
    <s v="027/10 BPB"/>
    <s v="4600313538 (GLOBAL VÁSTAGOS 2010)"/>
    <x v="377"/>
    <n v="17482.88"/>
    <x v="287"/>
    <n v="79"/>
    <d v="2011-01-09T00:00:00"/>
    <s v="Salvador"/>
    <d v="2010-12-21T00:00:00"/>
    <x v="33"/>
    <d v="2010-12-30T00:00:00"/>
    <d v="2011-01-04T00:00:00"/>
    <d v="2011-01-17T00:00:00"/>
    <n v="87"/>
    <s v="40 vástagos"/>
    <m/>
    <s v="en término"/>
    <x v="11"/>
    <n v="1"/>
  </r>
  <r>
    <x v="3"/>
    <x v="3"/>
    <x v="0"/>
    <x v="1"/>
    <s v="028/10 BPB"/>
    <s v="4600312805 (GLOBAL 2011)"/>
    <x v="378"/>
    <n v="70836.66"/>
    <x v="274"/>
    <n v="98"/>
    <d v="2010-12-23T00:00:00"/>
    <s v="Salvador"/>
    <d v="2010-12-29T00:00:00"/>
    <x v="8"/>
    <d v="2011-01-06T00:00:00"/>
    <d v="2011-01-10T00:00:00"/>
    <d v="2011-01-24T00:00:00"/>
    <n v="130"/>
    <s v="32 bombas"/>
    <m/>
    <s v="atrasado"/>
    <x v="11"/>
    <n v="0"/>
  </r>
  <r>
    <x v="3"/>
    <x v="3"/>
    <x v="0"/>
    <x v="1"/>
    <s v="028/10 BPB"/>
    <s v="4600312805 (GLOBAL 2011)"/>
    <x v="379"/>
    <n v="259733.34"/>
    <x v="288"/>
    <n v="95"/>
    <d v="2010-12-19T00:00:00"/>
    <s v="Salvador"/>
    <d v="2010-12-29T00:00:00"/>
    <x v="16"/>
    <d v="2011-01-06T00:00:00"/>
    <d v="2011-01-10T00:00:00"/>
    <d v="2011-01-24T00:00:00"/>
    <n v="131"/>
    <s v="120 bombas"/>
    <m/>
    <s v="atrasado"/>
    <x v="11"/>
    <n v="0"/>
  </r>
  <r>
    <x v="4"/>
    <x v="4"/>
    <x v="12"/>
    <x v="20"/>
    <s v="055/11 GUN"/>
    <m/>
    <x v="380"/>
    <n v="27921.49"/>
    <x v="289"/>
    <n v="75"/>
    <d v="2011-08-04T00:00:00"/>
    <s v="Buenos Aires"/>
    <d v="2011-08-04T00:00:00"/>
    <x v="100"/>
    <m/>
    <d v="2011-08-29T00:00:00"/>
    <d v="2011-10-13T00:00:00"/>
    <n v="147"/>
    <m/>
    <s v="amticipado"/>
    <s v="atrasado"/>
    <x v="6"/>
    <n v="0"/>
  </r>
  <r>
    <x v="4"/>
    <x v="4"/>
    <x v="12"/>
    <x v="20"/>
    <s v="083/11 GUN"/>
    <m/>
    <x v="381"/>
    <n v="3115"/>
    <x v="290"/>
    <m/>
    <d v="2011-08-21T00:00:00"/>
    <s v="Buenos Aires"/>
    <d v="2011-08-02T00:00:00"/>
    <x v="17"/>
    <m/>
    <d v="2011-08-10T00:00:00"/>
    <d v="2011-08-13T00:00:00"/>
    <n v="23"/>
    <s v="ANCLAS"/>
    <s v="amticipado"/>
    <s v="en término"/>
    <x v="6"/>
    <n v="1"/>
  </r>
  <r>
    <x v="4"/>
    <x v="4"/>
    <x v="12"/>
    <x v="20"/>
    <s v="108/11 GUN"/>
    <m/>
    <x v="382"/>
    <n v="519"/>
    <x v="291"/>
    <m/>
    <d v="2011-09-14T00:00:00"/>
    <s v="Buenos Aires"/>
    <d v="2011-09-09T00:00:00"/>
    <x v="75"/>
    <m/>
    <d v="2011-09-12T00:00:00"/>
    <d v="2011-09-15T00:00:00"/>
    <n v="8"/>
    <s v="Cupla de extension"/>
    <m/>
    <s v="en término"/>
    <x v="7"/>
    <n v="1"/>
  </r>
  <r>
    <x v="4"/>
    <x v="4"/>
    <x v="12"/>
    <x v="20"/>
    <s v="090/11GUN"/>
    <m/>
    <x v="383"/>
    <n v="5822.51"/>
    <x v="292"/>
    <n v="84"/>
    <d v="2011-08-25T00:00:00"/>
    <s v="Buenos Aires"/>
    <d v="2011-08-23T00:00:00"/>
    <x v="103"/>
    <m/>
    <d v="2012-02-16T00:00:00"/>
    <d v="2012-04-01T00:00:00"/>
    <n v="235"/>
    <s v="2 bombas"/>
    <s v="Se pago pero aun no se envio porque querian enviar la carga junto con la 004/11, que aun no la pagaron"/>
    <s v="atrasado"/>
    <x v="6"/>
    <n v="0"/>
  </r>
  <r>
    <x v="4"/>
    <x v="4"/>
    <x v="12"/>
    <x v="20"/>
    <s v="096/11 GUN"/>
    <m/>
    <x v="384"/>
    <n v="84200"/>
    <x v="293"/>
    <n v="84"/>
    <d v="2011-10-28T00:00:00"/>
    <s v="Buenos Aires"/>
    <d v="2011-10-28T00:00:00"/>
    <x v="104"/>
    <m/>
    <d v="2012-02-16T00:00:00"/>
    <d v="2012-04-01T00:00:00"/>
    <n v="227"/>
    <s v="30 bombas"/>
    <m/>
    <s v="atrasado"/>
    <x v="8"/>
    <n v="0"/>
  </r>
  <r>
    <x v="4"/>
    <x v="4"/>
    <x v="12"/>
    <x v="20"/>
    <s v="118/11 GUN"/>
    <m/>
    <x v="385"/>
    <n v="548"/>
    <x v="294"/>
    <n v="84"/>
    <d v="2011-10-18T00:00:00"/>
    <s v="Buenos Aires"/>
    <d v="2011-10-18T00:00:00"/>
    <x v="44"/>
    <m/>
    <d v="2011-10-18T00:00:00"/>
    <d v="2011-10-21T00:00:00"/>
    <n v="39"/>
    <s v="Seating Mandrel"/>
    <m/>
    <s v="en término"/>
    <x v="8"/>
    <n v="1"/>
  </r>
  <r>
    <x v="4"/>
    <x v="4"/>
    <x v="10"/>
    <x v="16"/>
    <s v="005/11 WGP"/>
    <m/>
    <x v="386"/>
    <n v="322"/>
    <x v="295"/>
    <n v="4"/>
    <d v="2011-02-01T00:00:00"/>
    <s v="Rio Gallegos"/>
    <d v="2011-02-17T00:00:00"/>
    <x v="16"/>
    <m/>
    <d v="2011-02-23T00:00:00"/>
    <d v="2011-02-28T00:00:00"/>
    <n v="31"/>
    <s v="3 nipples"/>
    <m/>
    <s v="atrasado"/>
    <x v="1"/>
    <n v="0"/>
  </r>
  <r>
    <x v="4"/>
    <x v="4"/>
    <x v="10"/>
    <x v="16"/>
    <s v="020/11 WGP"/>
    <m/>
    <x v="387"/>
    <n v="2500"/>
    <x v="296"/>
    <n v="8"/>
    <d v="2011-03-01T00:00:00"/>
    <s v="Rio Gallegos"/>
    <d v="2011-02-23T00:00:00"/>
    <x v="15"/>
    <m/>
    <d v="2011-03-04T00:00:00"/>
    <d v="2011-03-09T00:00:00"/>
    <n v="16"/>
    <s v="3 vastagos"/>
    <m/>
    <s v="atrasado"/>
    <x v="1"/>
    <n v="0"/>
  </r>
  <r>
    <x v="4"/>
    <x v="4"/>
    <x v="10"/>
    <x v="18"/>
    <s v="007/11 WEN"/>
    <m/>
    <x v="388"/>
    <n v="29180"/>
    <x v="297"/>
    <n v="69"/>
    <d v="2011-05-09T00:00:00"/>
    <s v="Punta Arenas"/>
    <d v="2011-04-29T00:00:00"/>
    <x v="46"/>
    <d v="2011-05-04T00:00:00"/>
    <d v="2011-05-06T00:00:00"/>
    <d v="2011-05-16T00:00:00"/>
    <n v="76"/>
    <s v="8 bombas + fittings - ENTREGAR AL TRANSP. KONIX"/>
    <m/>
    <s v="en término"/>
    <x v="10"/>
    <n v="1"/>
  </r>
  <r>
    <x v="4"/>
    <x v="4"/>
    <x v="10"/>
    <x v="16"/>
    <s v="042/11 WGP"/>
    <m/>
    <x v="389"/>
    <n v="6280"/>
    <x v="298"/>
    <n v="7"/>
    <d v="2011-04-25T00:00:00"/>
    <s v="Rio Gallegos"/>
    <d v="2011-04-19T00:00:00"/>
    <x v="11"/>
    <m/>
    <d v="2011-04-27T00:00:00"/>
    <d v="2011-05-02T00:00:00"/>
    <n v="14"/>
    <s v="2 bombas"/>
    <m/>
    <s v="atrasado"/>
    <x v="10"/>
    <n v="0"/>
  </r>
  <r>
    <x v="4"/>
    <x v="4"/>
    <x v="10"/>
    <x v="16"/>
    <s v="034/11 WGP"/>
    <m/>
    <x v="390"/>
    <n v="18570"/>
    <x v="299"/>
    <n v="89"/>
    <d v="2011-07-10T00:00:00"/>
    <s v="Comodoro Rivadavia"/>
    <d v="2011-07-05T00:00:00"/>
    <x v="19"/>
    <d v="2011-07-06T00:00:00"/>
    <d v="2011-07-06T00:00:00"/>
    <d v="2011-07-06T00:00:00"/>
    <n v="85"/>
    <s v="6 bombas + fittings"/>
    <m/>
    <s v="en término"/>
    <x v="5"/>
    <n v="1"/>
  </r>
  <r>
    <x v="4"/>
    <x v="4"/>
    <x v="10"/>
    <x v="18"/>
    <s v="099/11WEN"/>
    <m/>
    <x v="391"/>
    <n v="28465"/>
    <x v="300"/>
    <n v="66"/>
    <d v="2011-11-06T00:00:00"/>
    <s v="Comodoro Rivadavia"/>
    <d v="2011-10-28T00:00:00"/>
    <x v="47"/>
    <m/>
    <d v="2011-11-15T00:00:00"/>
    <d v="2011-11-20T00:00:00"/>
    <n v="80"/>
    <s v="Fittings"/>
    <m/>
    <s v="atrasado"/>
    <x v="8"/>
    <n v="0"/>
  </r>
  <r>
    <x v="4"/>
    <x v="4"/>
    <x v="10"/>
    <x v="16"/>
    <s v="113/11 WGP"/>
    <m/>
    <x v="392"/>
    <n v="1860"/>
    <x v="294"/>
    <n v="10"/>
    <d v="2011-09-22T00:00:00"/>
    <s v="Comodoro Rivadavia"/>
    <d v="2011-09-20T00:00:00"/>
    <x v="14"/>
    <d v="2011-09-27T00:00:00"/>
    <d v="2011-09-27T00:00:00"/>
    <d v="2011-09-28T00:00:00"/>
    <n v="16"/>
    <s v="vastagos y separadores"/>
    <m/>
    <s v="atrasado"/>
    <x v="7"/>
    <n v="0"/>
  </r>
  <r>
    <x v="4"/>
    <x v="4"/>
    <x v="10"/>
    <x v="16"/>
    <s v="119/11 WGP"/>
    <m/>
    <x v="393"/>
    <n v="11400"/>
    <x v="301"/>
    <n v="65"/>
    <d v="2011-12-28T00:00:00"/>
    <s v="Comodoro Rivadavia"/>
    <d v="2011-12-22T00:00:00"/>
    <x v="2"/>
    <m/>
    <d v="2011-12-27T00:00:00"/>
    <d v="2011-12-31T00:00:00"/>
    <n v="68"/>
    <s v="Fittings"/>
    <m/>
    <s v="en término"/>
    <x v="11"/>
    <n v="1"/>
  </r>
  <r>
    <x v="4"/>
    <x v="4"/>
    <x v="7"/>
    <x v="10"/>
    <s v="119/10 LYP"/>
    <m/>
    <x v="394"/>
    <n v="9415"/>
    <x v="302"/>
    <n v="60"/>
    <d v="2011-01-25T00:00:00"/>
    <s v="Buenos Aires"/>
    <d v="2011-01-04T00:00:00"/>
    <x v="5"/>
    <d v="2011-02-08T00:00:00"/>
    <d v="2011-02-10T00:00:00"/>
    <d v="2011-03-22T00:00:00"/>
    <n v="116"/>
    <s v="2 Bombas - 2° ENVÍO"/>
    <m/>
    <s v="atrasado"/>
    <x v="0"/>
    <n v="0"/>
  </r>
  <r>
    <x v="4"/>
    <x v="4"/>
    <x v="7"/>
    <x v="10"/>
    <s v="025/11 LYP"/>
    <m/>
    <x v="395"/>
    <n v="7130"/>
    <x v="303"/>
    <n v="90"/>
    <d v="2011-08-01T00:00:00"/>
    <s v="Buenos Aires"/>
    <d v="2011-07-15T00:00:00"/>
    <x v="8"/>
    <d v="2011-07-15T00:00:00"/>
    <d v="2011-08-19T00:00:00"/>
    <d v="2011-09-19T00:00:00"/>
    <n v="139"/>
    <s v="2 bombas - "/>
    <m/>
    <s v="atrasado"/>
    <x v="5"/>
    <n v="0"/>
  </r>
  <r>
    <x v="4"/>
    <x v="4"/>
    <x v="6"/>
    <x v="27"/>
    <s v="057/11YHJ"/>
    <m/>
    <x v="396"/>
    <n v="37810"/>
    <x v="304"/>
    <n v="84"/>
    <d v="2011-08-28T00:00:00"/>
    <s v="Buenos Aires"/>
    <d v="2011-08-16T00:00:00"/>
    <x v="93"/>
    <d v="2011-08-25T00:00:00"/>
    <d v="2011-09-25T00:00:00"/>
    <d v="2011-10-25T00:00:00"/>
    <n v="154"/>
    <s v="2 bombas"/>
    <m/>
    <s v="atrasado"/>
    <x v="6"/>
    <n v="0"/>
  </r>
  <r>
    <x v="4"/>
    <x v="4"/>
    <x v="5"/>
    <x v="7"/>
    <s v="003/11 TAL"/>
    <m/>
    <x v="397"/>
    <n v="30411"/>
    <x v="305"/>
    <n v="79"/>
    <d v="2011-04-10T00:00:00"/>
    <s v="Buenos Aires"/>
    <d v="2011-03-29T00:00:00"/>
    <x v="105"/>
    <d v="2011-04-27T00:00:00"/>
    <d v="2011-05-12T00:00:00"/>
    <d v="2011-06-26T00:00:00"/>
    <n v="156"/>
    <s v="Fittings "/>
    <s v="Se postergo el buque, del 05 ald 12 de Mayo. Buque con averia, aun en puerto."/>
    <s v="atrasado"/>
    <x v="2"/>
    <n v="0"/>
  </r>
  <r>
    <x v="4"/>
    <x v="4"/>
    <x v="5"/>
    <x v="7"/>
    <s v="040/11 TAL"/>
    <m/>
    <x v="398"/>
    <n v="4762.8"/>
    <x v="306"/>
    <n v="95"/>
    <d v="2011-07-15T00:00:00"/>
    <s v="Buenos Aires"/>
    <d v="2011-07-05T00:00:00"/>
    <x v="95"/>
    <m/>
    <d v="2011-08-05T00:00:00"/>
    <d v="2011-09-05T00:00:00"/>
    <n v="147"/>
    <s v="Fittings "/>
    <m/>
    <s v="atrasado"/>
    <x v="5"/>
    <n v="0"/>
  </r>
  <r>
    <x v="4"/>
    <x v="4"/>
    <x v="5"/>
    <x v="7"/>
    <s v="072/11 TAL"/>
    <m/>
    <x v="399"/>
    <n v="3213.5"/>
    <x v="307"/>
    <n v="-7"/>
    <d v="2011-08-30T00:00:00"/>
    <s v="Buenos Aires"/>
    <d v="2011-08-19T00:00:00"/>
    <x v="28"/>
    <m/>
    <d v="2011-10-09T00:00:00"/>
    <d v="2011-11-23T00:00:00"/>
    <n v="78"/>
    <s v="Fittings "/>
    <m/>
    <s v="atrasado"/>
    <x v="6"/>
    <n v="0"/>
  </r>
  <r>
    <x v="4"/>
    <x v="4"/>
    <x v="5"/>
    <x v="7"/>
    <s v="080/11TAL"/>
    <m/>
    <x v="400"/>
    <n v="14820.9"/>
    <x v="308"/>
    <n v="69"/>
    <d v="2011-09-20T00:00:00"/>
    <s v="Buenos Aires"/>
    <d v="2011-09-09T00:00:00"/>
    <x v="6"/>
    <m/>
    <d v="2011-10-09T00:00:00"/>
    <d v="2011-11-23T00:00:00"/>
    <n v="133"/>
    <s v="Fittings "/>
    <m/>
    <s v="atrasado"/>
    <x v="7"/>
    <n v="0"/>
  </r>
  <r>
    <x v="4"/>
    <x v="4"/>
    <x v="5"/>
    <x v="7"/>
    <s v="110/11 TAL"/>
    <m/>
    <x v="401"/>
    <n v="6170.6"/>
    <x v="291"/>
    <n v="64"/>
    <d v="2011-11-10T00:00:00"/>
    <s v="Buenos Aires"/>
    <d v="2011-10-28T00:00:00"/>
    <x v="16"/>
    <m/>
    <d v="2011-12-02T00:00:00"/>
    <d v="2012-01-16T00:00:00"/>
    <n v="131"/>
    <s v="fittings"/>
    <m/>
    <s v="atrasado"/>
    <x v="8"/>
    <n v="0"/>
  </r>
  <r>
    <x v="4"/>
    <x v="4"/>
    <x v="5"/>
    <x v="7"/>
    <s v="114/11 TAL"/>
    <m/>
    <x v="402"/>
    <n v="3424"/>
    <x v="294"/>
    <n v="59"/>
    <d v="2011-11-10T00:00:00"/>
    <s v="Buenos Aires"/>
    <d v="2011-10-28T00:00:00"/>
    <x v="16"/>
    <m/>
    <d v="2011-12-02T00:00:00"/>
    <d v="2012-01-16T00:00:00"/>
    <n v="126"/>
    <s v="fittings"/>
    <m/>
    <s v="atrasado"/>
    <x v="8"/>
    <n v="0"/>
  </r>
  <r>
    <x v="4"/>
    <x v="4"/>
    <x v="13"/>
    <x v="28"/>
    <s v="018/11 ZBO"/>
    <m/>
    <x v="403"/>
    <n v="5990"/>
    <x v="297"/>
    <n v="30"/>
    <d v="2011-03-31T00:00:00"/>
    <s v="Buenos Aires"/>
    <d v="2011-03-29T00:00:00"/>
    <x v="81"/>
    <m/>
    <d v="2011-04-29T00:00:00"/>
    <d v="2011-05-04T00:00:00"/>
    <n v="64"/>
    <s v="2 bombas - PAGO ANTICIPADO"/>
    <s v="Se postergo el vuelo, del 21 al 28 de abril (mail de Luis del 25/04/11)"/>
    <s v="atrasado"/>
    <x v="2"/>
    <n v="0"/>
  </r>
  <r>
    <x v="4"/>
    <x v="4"/>
    <x v="2"/>
    <x v="3"/>
    <s v="030/11 VBV"/>
    <m/>
    <x v="404"/>
    <n v="551"/>
    <x v="309"/>
    <n v="5"/>
    <d v="2011-03-23T00:00:00"/>
    <s v="Buenos Aires"/>
    <d v="2011-03-22T00:00:00"/>
    <x v="44"/>
    <m/>
    <d v="2011-03-23T00:00:00"/>
    <d v="2011-03-30T00:00:00"/>
    <n v="12"/>
    <s v="10 aros de friccion"/>
    <m/>
    <s v="en término"/>
    <x v="2"/>
    <n v="1"/>
  </r>
  <r>
    <x v="4"/>
    <x v="4"/>
    <x v="1"/>
    <x v="12"/>
    <s v="131/10 CEC"/>
    <m/>
    <x v="405"/>
    <n v="31724.37"/>
    <x v="310"/>
    <n v="150"/>
    <d v="2011-06-03T00:00:00"/>
    <s v="Buenos Aires"/>
    <d v="2011-05-27T00:00:00"/>
    <x v="42"/>
    <d v="2011-05-05T00:00:00"/>
    <d v="2011-05-07T00:00:00"/>
    <d v="2011-05-23T00:00:00"/>
    <n v="139"/>
    <s v="Fittings - ENTREGAR AL FORWARDER GEODIS                      EL CENTRO"/>
    <s v="Petroingenieria 5,8% "/>
    <s v="en término"/>
    <x v="3"/>
    <n v="1"/>
  </r>
  <r>
    <x v="4"/>
    <x v="4"/>
    <x v="1"/>
    <x v="12"/>
    <s v="131/10 CEC"/>
    <m/>
    <x v="406"/>
    <n v="63030.2"/>
    <x v="310"/>
    <n v="150"/>
    <d v="2011-06-03T00:00:00"/>
    <s v="Buenos Aires"/>
    <d v="2011-05-27T00:00:00"/>
    <x v="42"/>
    <d v="2011-05-05T00:00:00"/>
    <d v="2011-05-07T00:00:00"/>
    <d v="2011-05-23T00:00:00"/>
    <n v="139"/>
    <s v="Fittings - ENTREGAR AL FORWARDER GEODIS                      LA CIRA INFANTAS"/>
    <s v="Petroingenieria 5,8% "/>
    <s v="en término"/>
    <x v="3"/>
    <n v="1"/>
  </r>
  <r>
    <x v="4"/>
    <x v="4"/>
    <x v="1"/>
    <x v="12"/>
    <s v="131/10 CEC"/>
    <m/>
    <x v="406"/>
    <n v="227657.9"/>
    <x v="310"/>
    <n v="150"/>
    <d v="2011-06-03T00:00:00"/>
    <s v="Buenos Aires"/>
    <d v="2011-05-27T00:00:00"/>
    <x v="106"/>
    <d v="2011-06-03T00:00:00"/>
    <d v="2011-03-06T00:00:00"/>
    <d v="2011-06-18T00:00:00"/>
    <n v="165"/>
    <s v="Fittings - ENTREGAR AL FORWARDER GEODIS                      LA CIRA INFANTAS"/>
    <s v="Petroingenieria 5,8% "/>
    <s v="en término"/>
    <x v="3"/>
    <n v="1"/>
  </r>
  <r>
    <x v="4"/>
    <x v="4"/>
    <x v="1"/>
    <x v="12"/>
    <s v="131/10 CEC"/>
    <m/>
    <x v="405"/>
    <n v="166272.63"/>
    <x v="310"/>
    <n v="150"/>
    <d v="2011-06-03T00:00:00"/>
    <s v="Buenos Aires"/>
    <d v="2011-05-27T00:00:00"/>
    <x v="44"/>
    <d v="2011-05-31T00:00:00"/>
    <d v="2011-06-03T00:00:00"/>
    <d v="2011-06-18T00:00:00"/>
    <n v="165"/>
    <s v="Fittings - ENTREGAR AL FORWARDER GEODIS                      EL CENTRO"/>
    <s v="Petroingenieria 5,8% "/>
    <s v="en término"/>
    <x v="3"/>
    <n v="1"/>
  </r>
  <r>
    <x v="4"/>
    <x v="4"/>
    <x v="1"/>
    <x v="12"/>
    <s v="140/10 CEC"/>
    <m/>
    <x v="407"/>
    <n v="15629.91"/>
    <x v="311"/>
    <n v="182"/>
    <d v="2011-08-08T00:00:00"/>
    <s v="Buenos Aires"/>
    <d v="2011-06-07T00:00:00"/>
    <x v="107"/>
    <d v="2011-05-05T00:00:00"/>
    <d v="2011-05-07T00:00:00"/>
    <d v="2011-05-23T00:00:00"/>
    <n v="105"/>
    <s v="Fittings - ENTREGAR AL FORWARDER GEODIS                      EL CENTRO - 1° ENTREGA"/>
    <s v="Petroingenieria 5,8%"/>
    <s v="en término"/>
    <x v="4"/>
    <n v="1"/>
  </r>
  <r>
    <x v="4"/>
    <x v="4"/>
    <x v="1"/>
    <x v="12"/>
    <s v="140/10 CEC"/>
    <m/>
    <x v="408"/>
    <n v="13522.79"/>
    <x v="311"/>
    <n v="182"/>
    <d v="2011-08-08T00:00:00"/>
    <s v="Buenos Aires"/>
    <d v="2011-06-07T00:00:00"/>
    <x v="107"/>
    <d v="2011-05-05T00:00:00"/>
    <d v="2011-05-07T00:00:00"/>
    <d v="2011-05-23T00:00:00"/>
    <n v="105"/>
    <s v="Fittings - ENTREGAR AL FORWARDER GEODIS                      LA CIRA INFANTAS - 1° ENTREGA"/>
    <s v="Petroingenieria 5,8%"/>
    <s v="en término"/>
    <x v="4"/>
    <n v="1"/>
  </r>
  <r>
    <x v="4"/>
    <x v="4"/>
    <x v="1"/>
    <x v="12"/>
    <s v="140/10 CEC"/>
    <m/>
    <x v="408"/>
    <n v="358074"/>
    <x v="311"/>
    <n v="182"/>
    <d v="2011-08-08T00:00:00"/>
    <s v="Buenos Aires"/>
    <d v="2011-06-07T00:00:00"/>
    <x v="108"/>
    <d v="2011-06-23T00:00:00"/>
    <d v="2011-06-29T00:00:00"/>
    <d v="2011-07-29T00:00:00"/>
    <n v="172"/>
    <s v="Fittings - ENTREGAR AL FORWARDER GEODIS                      LA CIRA INFANTAS - 1° ENTREGA"/>
    <s v="Petroingenieria 5,8%"/>
    <s v="en término"/>
    <x v="4"/>
    <n v="1"/>
  </r>
  <r>
    <x v="4"/>
    <x v="4"/>
    <x v="1"/>
    <x v="12"/>
    <s v="140/10 CEC"/>
    <m/>
    <x v="407"/>
    <n v="342043"/>
    <x v="311"/>
    <n v="182"/>
    <d v="2011-08-08T00:00:00"/>
    <s v="Buenos Aires"/>
    <d v="2011-06-07T00:00:00"/>
    <x v="108"/>
    <d v="2011-06-23T00:00:00"/>
    <d v="2011-06-29T00:00:00"/>
    <d v="2011-07-29T00:00:00"/>
    <n v="172"/>
    <s v="Fittings - ENTREGAR AL FORWARDER GEODIS                      EL CENTRO - 1° ENTREGA"/>
    <s v="Petroingenieria 5,8%"/>
    <s v="en término"/>
    <x v="4"/>
    <n v="1"/>
  </r>
  <r>
    <x v="4"/>
    <x v="4"/>
    <x v="1"/>
    <x v="12"/>
    <s v="140/10 CEC"/>
    <m/>
    <x v="407"/>
    <n v="60778.78"/>
    <x v="311"/>
    <n v="182"/>
    <d v="2011-08-08T00:00:00"/>
    <s v="Buenos Aires"/>
    <d v="2011-07-05T00:00:00"/>
    <x v="85"/>
    <d v="2011-07-05T00:00:00"/>
    <d v="2011-07-13T00:00:00"/>
    <d v="2011-08-25T00:00:00"/>
    <n v="199"/>
    <s v="Fittings - ENTREGAR AL FORWARDER GEODIS                      EL CENTRO - 2° ENTREGA"/>
    <s v="Petroingenieria 5,8%"/>
    <s v="en término"/>
    <x v="5"/>
    <n v="1"/>
  </r>
  <r>
    <x v="4"/>
    <x v="4"/>
    <x v="1"/>
    <x v="12"/>
    <s v="140/10 CEC"/>
    <m/>
    <x v="408"/>
    <n v="82616.17"/>
    <x v="311"/>
    <n v="182"/>
    <d v="2011-08-08T00:00:00"/>
    <s v="Buenos Aires"/>
    <d v="2011-07-05T00:00:00"/>
    <x v="85"/>
    <d v="2011-07-05T00:00:00"/>
    <d v="2011-07-13T00:00:00"/>
    <d v="2011-08-25T00:00:00"/>
    <n v="199"/>
    <s v="Fittings - ENTREGAR AL FORWARDER GEODIS                       LA CIRA INFANTAS - 2° ENTREGA"/>
    <s v="Petroingenieria 5,8%"/>
    <s v="en término"/>
    <x v="5"/>
    <n v="1"/>
  </r>
  <r>
    <x v="4"/>
    <x v="4"/>
    <x v="1"/>
    <x v="12"/>
    <s v="140/10 CEC"/>
    <s v=" "/>
    <x v="408"/>
    <n v="65753.67"/>
    <x v="311"/>
    <n v="182"/>
    <d v="2011-08-08T00:00:00"/>
    <s v="Buenos Aires"/>
    <d v="2011-08-02T00:00:00"/>
    <x v="48"/>
    <d v="2011-07-14T00:00:00"/>
    <d v="2011-07-14T00:00:00"/>
    <d v="2011-08-13T00:00:00"/>
    <n v="187"/>
    <s v="Fittings - ENTREGAR AL FORWARDER GEODIS                      LA CIRA INFANTAS - 3° ENTREGA"/>
    <s v="Petroingenieria 5,8%"/>
    <s v="en término"/>
    <x v="6"/>
    <n v="1"/>
  </r>
  <r>
    <x v="4"/>
    <x v="4"/>
    <x v="1"/>
    <x v="12"/>
    <s v="140/10 CEC"/>
    <m/>
    <x v="407"/>
    <n v="34470.68"/>
    <x v="311"/>
    <n v="182"/>
    <d v="2011-08-08T00:00:00"/>
    <s v="Buenos Aires"/>
    <d v="2011-08-02T00:00:00"/>
    <x v="48"/>
    <d v="2011-07-14T00:00:00"/>
    <d v="2011-07-14T00:00:00"/>
    <d v="2011-08-13T00:00:00"/>
    <n v="187"/>
    <s v="Fittings - ENTREGAR AL FORWARDER GEODIS                      EL CENTRO - 3° ENTREGA"/>
    <s v="Petroingenieria 5,8%"/>
    <s v="en término"/>
    <x v="6"/>
    <n v="1"/>
  </r>
  <r>
    <x v="4"/>
    <x v="4"/>
    <x v="1"/>
    <x v="12"/>
    <s v="066/11 CEC"/>
    <m/>
    <x v="409"/>
    <n v="340625"/>
    <x v="312"/>
    <n v="89"/>
    <d v="2011-08-31T00:00:00"/>
    <s v="Buenos Aires"/>
    <d v="2011-08-24T00:00:00"/>
    <x v="2"/>
    <d v="2011-08-29T00:00:00"/>
    <d v="2011-08-30T00:00:00"/>
    <d v="2011-09-24T00:00:00"/>
    <n v="113"/>
    <s v="Fittings - ENTREGAR AL FORWARDER GEODIS       "/>
    <s v="Pago 1/11/2011.Petroingeniera 5,8%"/>
    <s v="en término"/>
    <x v="6"/>
    <n v="1"/>
  </r>
  <r>
    <x v="4"/>
    <x v="4"/>
    <x v="1"/>
    <x v="12"/>
    <s v="067/11 CEC"/>
    <m/>
    <x v="410"/>
    <n v="26510"/>
    <x v="313"/>
    <n v="92"/>
    <d v="2011-08-16T00:00:00"/>
    <s v="Buenos Aires"/>
    <d v="2011-08-02T00:00:00"/>
    <x v="50"/>
    <d v="2011-08-02T00:00:00"/>
    <d v="2011-08-02T00:00:00"/>
    <d v="2011-09-30T00:00:00"/>
    <n v="137"/>
    <s v="12 bombas"/>
    <m/>
    <s v="en término"/>
    <x v="6"/>
    <n v="1"/>
  </r>
  <r>
    <x v="4"/>
    <x v="4"/>
    <x v="1"/>
    <x v="2"/>
    <s v="105/11 CEC"/>
    <m/>
    <x v="411"/>
    <n v="7130"/>
    <x v="314"/>
    <n v="40"/>
    <d v="2011-10-10T00:00:00"/>
    <s v="Buenos Aires"/>
    <d v="2011-11-22T00:00:00"/>
    <x v="109"/>
    <m/>
    <d v="2011-12-06T00:00:00"/>
    <d v="2012-01-05T00:00:00"/>
    <n v="127"/>
    <s v="2 bombas"/>
    <m/>
    <s v="atrasado"/>
    <x v="9"/>
    <n v="0"/>
  </r>
  <r>
    <x v="4"/>
    <x v="4"/>
    <x v="1"/>
    <x v="2"/>
    <s v="101/11 CPG"/>
    <m/>
    <x v="412"/>
    <n v="5540.9"/>
    <x v="294"/>
    <n v="77"/>
    <d v="2011-11-28T00:00:00"/>
    <s v="Buenos Aires"/>
    <d v="2011-11-22T00:00:00"/>
    <x v="23"/>
    <m/>
    <d v="2011-12-06T00:00:00"/>
    <d v="2012-01-05T00:00:00"/>
    <n v="115"/>
    <s v="Fittings"/>
    <m/>
    <s v="atrasado"/>
    <x v="9"/>
    <n v="0"/>
  </r>
  <r>
    <x v="4"/>
    <x v="4"/>
    <x v="1"/>
    <x v="12"/>
    <s v="123/11CEC"/>
    <m/>
    <x v="413"/>
    <n v="12210"/>
    <x v="301"/>
    <n v="28"/>
    <d v="2011-11-21T00:00:00"/>
    <s v="Buenos Aires"/>
    <d v="2011-11-11T00:00:00"/>
    <x v="6"/>
    <d v="2011-12-07T00:00:00"/>
    <d v="2011-12-10T00:00:00"/>
    <d v="2012-01-07T00:00:00"/>
    <n v="75"/>
    <s v="Nipples"/>
    <m/>
    <s v="atrasado"/>
    <x v="9"/>
    <n v="0"/>
  </r>
  <r>
    <x v="4"/>
    <x v="4"/>
    <x v="14"/>
    <x v="29"/>
    <s v="130/10QAK"/>
    <m/>
    <x v="414"/>
    <n v="10384"/>
    <x v="315"/>
    <n v="90"/>
    <d v="2011-03-24T00:00:00"/>
    <s v="Buenos Aires"/>
    <d v="2011-03-18T00:00:00"/>
    <x v="105"/>
    <d v="2011-04-15T00:00:00"/>
    <d v="2011-04-25T00:00:00"/>
    <d v="2011-06-04T00:00:00"/>
    <n v="162"/>
    <s v="Bombas y Fittings - PAGO ANTICIPADO"/>
    <s v="CONFIRMAR FLETE (AÉREO O MARÍTIMO?)-Maritimo. Bue - Amberes - Stambuerg"/>
    <s v="atrasado"/>
    <x v="2"/>
    <n v="0"/>
  </r>
  <r>
    <x v="4"/>
    <x v="4"/>
    <x v="0"/>
    <x v="1"/>
    <s v="028/10 BPB"/>
    <s v="4600312805 (GLOBAL 2011)"/>
    <x v="415"/>
    <n v="365.91"/>
    <x v="316"/>
    <n v="96"/>
    <d v="2011-02-01T00:00:00"/>
    <s v="Salvador"/>
    <d v="2011-01-08T00:00:00"/>
    <x v="34"/>
    <d v="2011-01-12T00:00:00"/>
    <d v="2011-01-15T00:00:00"/>
    <d v="2011-01-29T00:00:00"/>
    <n v="93"/>
    <s v="Fittings"/>
    <m/>
    <s v="en término"/>
    <x v="0"/>
    <n v="1"/>
  </r>
  <r>
    <x v="4"/>
    <x v="4"/>
    <x v="0"/>
    <x v="1"/>
    <s v="027/10 BPB"/>
    <s v="4600313538 (GLOBAL VÁSTAGOS 2010)"/>
    <x v="416"/>
    <n v="19895"/>
    <x v="317"/>
    <n v="86"/>
    <d v="2011-01-29T00:00:00"/>
    <s v="Salvador"/>
    <d v="2011-01-08T00:00:00"/>
    <x v="50"/>
    <d v="2011-01-12T00:00:00"/>
    <d v="2011-01-15T00:00:00"/>
    <d v="2011-01-29T00:00:00"/>
    <n v="86"/>
    <s v="45 vástagos"/>
    <m/>
    <s v="en término"/>
    <x v="0"/>
    <n v="1"/>
  </r>
  <r>
    <x v="4"/>
    <x v="4"/>
    <x v="0"/>
    <x v="1"/>
    <s v="028/10 BPB"/>
    <s v="4600312805 (GLOBAL 2011)"/>
    <x v="417"/>
    <n v="202540"/>
    <x v="218"/>
    <n v="96"/>
    <d v="2011-01-16T00:00:00"/>
    <s v="Salvador"/>
    <d v="2011-01-08T00:00:00"/>
    <x v="2"/>
    <d v="2011-01-12T00:00:00"/>
    <d v="2011-01-15T00:00:00"/>
    <d v="2011-01-29T00:00:00"/>
    <n v="109"/>
    <s v="86 bombas"/>
    <m/>
    <s v="en término"/>
    <x v="0"/>
    <n v="1"/>
  </r>
  <r>
    <x v="4"/>
    <x v="4"/>
    <x v="0"/>
    <x v="1"/>
    <s v="028/10 BPB"/>
    <s v="4600312805 (GLOBAL 2011)"/>
    <x v="418"/>
    <n v="12056.24"/>
    <x v="318"/>
    <n v="93"/>
    <d v="2011-01-17T00:00:00"/>
    <s v="Salvador"/>
    <d v="2011-01-08T00:00:00"/>
    <x v="75"/>
    <d v="2011-01-12T00:00:00"/>
    <d v="2011-01-15T00:00:00"/>
    <d v="2011-01-29T00:00:00"/>
    <n v="105"/>
    <s v="Fittings"/>
    <m/>
    <s v="en término"/>
    <x v="0"/>
    <n v="1"/>
  </r>
  <r>
    <x v="4"/>
    <x v="4"/>
    <x v="0"/>
    <x v="1"/>
    <s v="028/10 BPB"/>
    <s v="4600312805 (GLOBAL 2011)"/>
    <x v="419"/>
    <n v="120682.75"/>
    <x v="319"/>
    <n v="101"/>
    <d v="2011-02-20T00:00:00"/>
    <s v="Salvador"/>
    <d v="2011-01-08T00:00:00"/>
    <x v="53"/>
    <d v="2011-01-12T00:00:00"/>
    <d v="2011-01-15T00:00:00"/>
    <d v="2011-01-29T00:00:00"/>
    <n v="79"/>
    <s v="64 bombas"/>
    <m/>
    <s v="en término"/>
    <x v="0"/>
    <n v="1"/>
  </r>
  <r>
    <x v="4"/>
    <x v="4"/>
    <x v="0"/>
    <x v="1"/>
    <s v="028/10 BPB"/>
    <s v="4600312805 (GLOBAL 2011)"/>
    <x v="420"/>
    <n v="9225.51"/>
    <x v="319"/>
    <n v="98"/>
    <d v="2011-02-17T00:00:00"/>
    <s v="Salvador"/>
    <d v="2011-01-27T00:00:00"/>
    <x v="74"/>
    <d v="2011-02-03T00:00:00"/>
    <d v="2011-02-08T00:00:00"/>
    <d v="2011-02-21T00:00:00"/>
    <n v="102"/>
    <s v="Fittings"/>
    <m/>
    <s v="en término"/>
    <x v="0"/>
    <n v="1"/>
  </r>
  <r>
    <x v="4"/>
    <x v="4"/>
    <x v="0"/>
    <x v="1"/>
    <s v="028/10 BPB"/>
    <s v="4600312805 (GLOBAL 2011)"/>
    <x v="421"/>
    <n v="169575.03"/>
    <x v="320"/>
    <n v="97"/>
    <d v="2011-02-10T00:00:00"/>
    <s v="Salvador"/>
    <d v="2011-01-27T00:00:00"/>
    <x v="75"/>
    <d v="2011-02-03T00:00:00"/>
    <d v="2011-02-08T00:00:00"/>
    <d v="2011-02-21T00:00:00"/>
    <n v="108"/>
    <s v="76 bombas"/>
    <m/>
    <s v="en término"/>
    <x v="0"/>
    <n v="1"/>
  </r>
  <r>
    <x v="4"/>
    <x v="4"/>
    <x v="0"/>
    <x v="1"/>
    <s v="028/10 BPB"/>
    <s v="4600312805 (GLOBAL 2011)"/>
    <x v="422"/>
    <n v="2658.29"/>
    <x v="321"/>
    <n v="92"/>
    <d v="2011-02-22T00:00:00"/>
    <s v="Salvador"/>
    <d v="2011-01-27T00:00:00"/>
    <x v="50"/>
    <d v="2011-02-03T00:00:00"/>
    <d v="2011-02-08T00:00:00"/>
    <d v="2011-02-21T00:00:00"/>
    <n v="91"/>
    <s v="Fittings"/>
    <m/>
    <s v="en término"/>
    <x v="0"/>
    <n v="1"/>
  </r>
  <r>
    <x v="4"/>
    <x v="4"/>
    <x v="0"/>
    <x v="0"/>
    <s v="110/10 BBR"/>
    <s v="Petrobras N° 4503697691"/>
    <x v="423"/>
    <n v="19374.5"/>
    <x v="322"/>
    <n v="54"/>
    <d v="2011-02-07T00:00:00"/>
    <s v="Salvador"/>
    <d v="2011-01-27T00:00:00"/>
    <x v="63"/>
    <d v="2011-02-03T00:00:00"/>
    <d v="2011-02-08T00:00:00"/>
    <d v="2011-02-21T00:00:00"/>
    <n v="68"/>
    <s v="50 vástagos  - 1° ENVÍO"/>
    <m/>
    <s v="atrasado"/>
    <x v="0"/>
    <n v="0"/>
  </r>
  <r>
    <x v="4"/>
    <x v="4"/>
    <x v="0"/>
    <x v="1"/>
    <s v="028/10 BPB"/>
    <s v="4600312805 (GLOBAL 2011)"/>
    <x v="424"/>
    <n v="22363.41"/>
    <x v="321"/>
    <n v="94"/>
    <d v="2011-02-24T00:00:00"/>
    <s v="Salvador"/>
    <d v="2011-03-01T00:00:00"/>
    <x v="95"/>
    <d v="2011-03-10T00:00:00"/>
    <d v="2011-03-17T00:00:00"/>
    <d v="2011-03-28T00:00:00"/>
    <n v="126"/>
    <s v="13 bombas"/>
    <m/>
    <s v="atrasado"/>
    <x v="2"/>
    <n v="0"/>
  </r>
  <r>
    <x v="4"/>
    <x v="4"/>
    <x v="0"/>
    <x v="1"/>
    <s v="028/10 BPB"/>
    <s v="4600312805 (GLOBAL 2011)"/>
    <x v="425"/>
    <n v="122326.59"/>
    <x v="323"/>
    <n v="97"/>
    <d v="2011-02-24T00:00:00"/>
    <s v="Salvador"/>
    <d v="2011-03-01T00:00:00"/>
    <x v="95"/>
    <d v="2011-03-10T00:00:00"/>
    <d v="2011-03-17T00:00:00"/>
    <d v="2011-03-28T00:00:00"/>
    <n v="129"/>
    <s v="63 bombas"/>
    <m/>
    <s v="atrasado"/>
    <x v="2"/>
    <n v="0"/>
  </r>
  <r>
    <x v="4"/>
    <x v="4"/>
    <x v="0"/>
    <x v="1"/>
    <s v="027/10 BPB"/>
    <s v="4600313538 (GLOBAL VÁSTAGOS 2010)"/>
    <x v="426"/>
    <n v="17215"/>
    <x v="324"/>
    <n v="75"/>
    <d v="2011-03-07T00:00:00"/>
    <s v="Salvador"/>
    <d v="2011-03-01T00:00:00"/>
    <x v="30"/>
    <d v="2011-03-10T00:00:00"/>
    <d v="2011-03-17T00:00:00"/>
    <d v="2011-03-28T00:00:00"/>
    <n v="96"/>
    <s v="40 vástagos"/>
    <m/>
    <s v="atrasado"/>
    <x v="2"/>
    <n v="0"/>
  </r>
  <r>
    <x v="4"/>
    <x v="4"/>
    <x v="0"/>
    <x v="1"/>
    <s v="028/10 BPB"/>
    <s v="4600312805 (GLOBAL 2011)"/>
    <x v="427"/>
    <n v="63748.4"/>
    <x v="325"/>
    <n v="93"/>
    <d v="2011-04-06T00:00:00"/>
    <s v="Salvador"/>
    <d v="2011-03-17T00:00:00"/>
    <x v="87"/>
    <d v="2011-03-24T00:00:00"/>
    <d v="2011-03-21T00:00:00"/>
    <d v="2011-04-11T00:00:00"/>
    <n v="98"/>
    <s v="39 bombas"/>
    <m/>
    <s v="en término"/>
    <x v="2"/>
    <n v="1"/>
  </r>
  <r>
    <x v="4"/>
    <x v="4"/>
    <x v="0"/>
    <x v="1"/>
    <s v="028/10 BPB"/>
    <s v="4600312805 (GLOBAL 2011)"/>
    <x v="428"/>
    <n v="5864.75"/>
    <x v="326"/>
    <n v="91"/>
    <d v="2011-03-29T00:00:00"/>
    <s v="Salvador"/>
    <d v="2011-03-17T00:00:00"/>
    <x v="77"/>
    <d v="2011-03-24T00:00:00"/>
    <d v="2011-03-21T00:00:00"/>
    <d v="2011-04-11T00:00:00"/>
    <n v="104"/>
    <s v="Fittings"/>
    <m/>
    <s v="en término"/>
    <x v="2"/>
    <n v="1"/>
  </r>
  <r>
    <x v="4"/>
    <x v="4"/>
    <x v="0"/>
    <x v="1"/>
    <s v="028/10 BPB"/>
    <s v="4600312805 (GLOBAL 2011)"/>
    <x v="429"/>
    <n v="206465"/>
    <x v="327"/>
    <n v="95"/>
    <d v="2011-03-25T00:00:00"/>
    <s v="Salvador"/>
    <d v="2011-03-17T00:00:00"/>
    <x v="19"/>
    <d v="2011-03-24T00:00:00"/>
    <d v="2011-03-21T00:00:00"/>
    <d v="2011-04-11T00:00:00"/>
    <n v="112"/>
    <s v="96 bombas"/>
    <m/>
    <s v="en término"/>
    <x v="2"/>
    <n v="1"/>
  </r>
  <r>
    <x v="4"/>
    <x v="4"/>
    <x v="0"/>
    <x v="1"/>
    <s v="028/10 BPB"/>
    <s v="4600312805 (GLOBAL 2011)"/>
    <x v="430"/>
    <n v="6191.45"/>
    <x v="325"/>
    <n v="93"/>
    <d v="2011-04-06T00:00:00"/>
    <s v="Salvador"/>
    <d v="2011-03-17T00:00:00"/>
    <x v="87"/>
    <d v="2011-03-24T00:00:00"/>
    <d v="2011-03-21T00:00:00"/>
    <d v="2011-04-11T00:00:00"/>
    <n v="98"/>
    <s v="4 bombas"/>
    <m/>
    <s v="en término"/>
    <x v="2"/>
    <n v="1"/>
  </r>
  <r>
    <x v="4"/>
    <x v="4"/>
    <x v="0"/>
    <x v="1"/>
    <s v="027/10 BPB"/>
    <s v="4600313538 (GLOBAL VÁSTAGOS 2010)"/>
    <x v="431"/>
    <n v="15055"/>
    <x v="328"/>
    <n v="78"/>
    <d v="2011-03-25T00:00:00"/>
    <s v="Salvador"/>
    <d v="2011-03-17T00:00:00"/>
    <x v="19"/>
    <d v="2011-03-24T00:00:00"/>
    <d v="2011-03-21T00:00:00"/>
    <d v="2011-04-11T00:00:00"/>
    <n v="95"/>
    <s v="35 vástagos"/>
    <m/>
    <s v="en término"/>
    <x v="2"/>
    <n v="1"/>
  </r>
  <r>
    <x v="4"/>
    <x v="4"/>
    <x v="0"/>
    <x v="1"/>
    <s v="105/08 BPB"/>
    <s v="4600287735 (GLOBAL 2008)"/>
    <x v="432"/>
    <n v="86446.39"/>
    <x v="329"/>
    <n v="114"/>
    <d v="2011-02-25T00:00:00"/>
    <s v="Salvador"/>
    <d v="2011-03-01T00:00:00"/>
    <x v="92"/>
    <d v="2011-03-10T00:00:00"/>
    <d v="2011-03-17T00:00:00"/>
    <d v="2011-03-28T00:00:00"/>
    <n v="145"/>
    <s v="40 bombas"/>
    <m/>
    <s v="atrasado"/>
    <x v="2"/>
    <n v="0"/>
  </r>
  <r>
    <x v="4"/>
    <x v="4"/>
    <x v="0"/>
    <x v="1"/>
    <s v="028/10 BPB"/>
    <s v="4600312805 (GLOBAL 2011)"/>
    <x v="433"/>
    <n v="105119.54"/>
    <x v="329"/>
    <n v="114"/>
    <d v="2011-02-25T00:00:00"/>
    <s v="Salvador"/>
    <d v="2011-03-01T00:00:00"/>
    <x v="92"/>
    <d v="2011-03-10T00:00:00"/>
    <d v="2011-03-17T00:00:00"/>
    <d v="2011-03-28T00:00:00"/>
    <n v="145"/>
    <s v="60 bombas + Fittings"/>
    <m/>
    <s v="atrasado"/>
    <x v="2"/>
    <n v="0"/>
  </r>
  <r>
    <x v="4"/>
    <x v="4"/>
    <x v="0"/>
    <x v="1"/>
    <s v="105/08 BPB"/>
    <s v="4600287735 (GLOBAL 2008)"/>
    <x v="434"/>
    <n v="87770.17"/>
    <x v="330"/>
    <n v="99"/>
    <d v="2011-02-25T00:00:00"/>
    <s v="Salvador"/>
    <d v="2011-03-01T00:00:00"/>
    <x v="92"/>
    <d v="2011-03-10T00:00:00"/>
    <d v="2011-03-17T00:00:00"/>
    <d v="2011-03-28T00:00:00"/>
    <n v="130"/>
    <s v="42 bombas"/>
    <m/>
    <s v="atrasado"/>
    <x v="2"/>
    <n v="0"/>
  </r>
  <r>
    <x v="4"/>
    <x v="4"/>
    <x v="0"/>
    <x v="0"/>
    <s v="110/10 BBR"/>
    <s v="Petrobras N° 4503697691"/>
    <x v="423"/>
    <n v="66626.45"/>
    <x v="322"/>
    <n v="75"/>
    <d v="2011-02-28T00:00:00"/>
    <s v="Salvador"/>
    <d v="2011-03-01T00:00:00"/>
    <x v="7"/>
    <d v="2011-03-10T00:00:00"/>
    <d v="2011-03-17T00:00:00"/>
    <d v="2011-03-28T00:00:00"/>
    <n v="103"/>
    <s v="178 vástagos - 2° ENVÍO"/>
    <m/>
    <s v="atrasado"/>
    <x v="2"/>
    <n v="0"/>
  </r>
  <r>
    <x v="4"/>
    <x v="4"/>
    <x v="0"/>
    <x v="0"/>
    <s v="122/10 BBR"/>
    <s v="Petrobras N° 4503660349"/>
    <x v="435"/>
    <n v="8910"/>
    <x v="331"/>
    <n v="151"/>
    <d v="2011-04-09T00:00:00"/>
    <s v="Salvador"/>
    <d v="2011-03-17T00:00:00"/>
    <x v="102"/>
    <d v="2011-03-24T00:00:00"/>
    <d v="2011-03-21T00:00:00"/>
    <d v="2011-04-11T00:00:00"/>
    <n v="153"/>
    <s v="2 bombas"/>
    <m/>
    <s v="en término"/>
    <x v="2"/>
    <n v="1"/>
  </r>
  <r>
    <x v="4"/>
    <x v="4"/>
    <x v="0"/>
    <x v="0"/>
    <s v="100/08 BBR"/>
    <s v="Petrobras N° 4503750772 (GLOBAL DE VÁLVULAS 2008)"/>
    <x v="436"/>
    <n v="14598"/>
    <x v="332"/>
    <n v="89"/>
    <d v="2011-03-29T00:00:00"/>
    <s v="Salvador"/>
    <d v="2011-03-17T00:00:00"/>
    <x v="77"/>
    <d v="2011-03-24T00:00:00"/>
    <d v="2011-03-21T00:00:00"/>
    <d v="2011-04-11T00:00:00"/>
    <n v="102"/>
    <s v="136 válvulas - SE ENVÍAN DESDE TANTAL"/>
    <m/>
    <s v="en término"/>
    <x v="2"/>
    <n v="1"/>
  </r>
  <r>
    <x v="4"/>
    <x v="4"/>
    <x v="0"/>
    <x v="0"/>
    <s v="139/10 BBR"/>
    <s v="Petrobras N° 4503744218"/>
    <x v="437"/>
    <n v="420"/>
    <x v="326"/>
    <n v="87"/>
    <d v="2011-03-25T00:00:00"/>
    <s v="Salvador"/>
    <d v="2011-03-17T00:00:00"/>
    <x v="19"/>
    <d v="2011-03-24T00:00:00"/>
    <d v="2011-03-21T00:00:00"/>
    <d v="2011-04-11T00:00:00"/>
    <n v="104"/>
    <s v="2 guías helicoidales"/>
    <m/>
    <s v="en término"/>
    <x v="2"/>
    <n v="1"/>
  </r>
  <r>
    <x v="4"/>
    <x v="4"/>
    <x v="0"/>
    <x v="1"/>
    <s v="028/10 BPB"/>
    <s v="4600312805 (GLOBAL 2011)"/>
    <x v="438"/>
    <n v="35026.76"/>
    <x v="333"/>
    <n v="94"/>
    <d v="2011-04-11T00:00:00"/>
    <s v="Salvador"/>
    <d v="2011-04-01T00:00:00"/>
    <x v="2"/>
    <d v="2011-04-07T00:00:00"/>
    <d v="2011-04-10T00:00:00"/>
    <d v="2011-04-25T00:00:00"/>
    <n v="108"/>
    <s v="17 bombas"/>
    <m/>
    <s v="en término"/>
    <x v="10"/>
    <n v="1"/>
  </r>
  <r>
    <x v="4"/>
    <x v="4"/>
    <x v="0"/>
    <x v="1"/>
    <s v="028/10 BPB"/>
    <s v="4600312805 (GLOBAL 2011)"/>
    <x v="439"/>
    <n v="119577.24"/>
    <x v="334"/>
    <n v="91"/>
    <d v="2011-03-30T00:00:00"/>
    <s v="Salvador"/>
    <d v="2011-04-01T00:00:00"/>
    <x v="13"/>
    <d v="2011-04-07T00:00:00"/>
    <d v="2011-04-10T00:00:00"/>
    <d v="2011-04-25T00:00:00"/>
    <n v="117"/>
    <s v="34 bombas + Fittings"/>
    <s v="total U$ 119.577,24"/>
    <s v="atrasado"/>
    <x v="10"/>
    <n v="0"/>
  </r>
  <r>
    <x v="4"/>
    <x v="4"/>
    <x v="0"/>
    <x v="1"/>
    <s v="028/10 BPB"/>
    <s v="4600312805 (GLOBAL 2011)"/>
    <x v="440"/>
    <n v="249290"/>
    <x v="328"/>
    <n v="107"/>
    <d v="2011-04-23T00:00:00"/>
    <s v="Salvador"/>
    <d v="2011-04-14T00:00:00"/>
    <x v="46"/>
    <d v="2011-04-21T00:00:00"/>
    <d v="2011-04-20T00:00:00"/>
    <d v="2011-05-03T00:00:00"/>
    <n v="117"/>
    <s v="117 bombas "/>
    <s v="Petrobras nos posterga el vencimiento, del 14/04 al 23/04 (mail del 14/04-por el problema del paro)"/>
    <s v="en término"/>
    <x v="10"/>
    <n v="1"/>
  </r>
  <r>
    <x v="4"/>
    <x v="4"/>
    <x v="0"/>
    <x v="1"/>
    <s v="028/10 BPB"/>
    <s v="4600312805 (GLOBAL 2011)"/>
    <x v="441"/>
    <n v="13748"/>
    <x v="335"/>
    <n v="97"/>
    <d v="2011-04-21T00:00:00"/>
    <s v="Salvador"/>
    <d v="2011-04-28T00:00:00"/>
    <x v="5"/>
    <d v="2011-05-05T00:00:00"/>
    <d v="2011-05-07T00:00:00"/>
    <d v="2011-05-23T00:00:00"/>
    <n v="129"/>
    <s v="Fittings"/>
    <s v="Carga demorada ya que se bloqueo la planta por sindicatos petroleros (desde el 1 de abril), salida prevista para el 23/04 pero se pasa para el 30/04. Se posterga y se pasa para el 05/05."/>
    <s v="atrasado"/>
    <x v="10"/>
    <n v="0"/>
  </r>
  <r>
    <x v="4"/>
    <x v="4"/>
    <x v="0"/>
    <x v="1"/>
    <s v="028/10 BPB"/>
    <s v="4600312805 (GLOBAL 2011)"/>
    <x v="442"/>
    <n v="184390.9"/>
    <x v="336"/>
    <n v="97"/>
    <d v="2011-04-25T00:00:00"/>
    <s v="Salvador"/>
    <d v="2011-04-28T00:00:00"/>
    <x v="43"/>
    <d v="2011-05-05T00:00:00"/>
    <d v="2011-05-07T00:00:00"/>
    <d v="2011-05-23T00:00:00"/>
    <n v="125"/>
    <s v="100 bombas + Fittings"/>
    <s v="Carga demorada ya que se bloqueo la planta por sindicatos petroleros (desde el 1 de abril), salida prevista para el 23/04 pero se pasa para el 30/04. Se posterga y se pasa para el 05/05."/>
    <s v="atrasado"/>
    <x v="10"/>
    <n v="0"/>
  </r>
  <r>
    <x v="4"/>
    <x v="4"/>
    <x v="0"/>
    <x v="1"/>
    <s v="028/10 BPB"/>
    <s v="4600312805 (GLOBAL 2011)"/>
    <x v="443"/>
    <n v="2319"/>
    <x v="337"/>
    <n v="91"/>
    <d v="2011-05-02T00:00:00"/>
    <s v="Salvador"/>
    <d v="2011-04-28T00:00:00"/>
    <x v="14"/>
    <d v="2011-05-05T00:00:00"/>
    <d v="2011-05-07T00:00:00"/>
    <d v="2011-05-23T00:00:00"/>
    <n v="112"/>
    <s v="30 válvulas"/>
    <s v="Carga demorada ya que se bloqueo la planta por sindicatos petroleros (desde el 1 de abril), salida prevista para el 23/04 pero se pasa para el 30/04. Se posterga y se pasa para el 05/05."/>
    <s v="atrasado"/>
    <x v="10"/>
    <n v="0"/>
  </r>
  <r>
    <x v="4"/>
    <x v="4"/>
    <x v="0"/>
    <x v="1"/>
    <s v="028/10 BPB"/>
    <s v="4600312805 (GLOBAL 2011)"/>
    <x v="444"/>
    <n v="189405.6"/>
    <x v="338"/>
    <n v="64"/>
    <d v="2011-05-24T00:00:00"/>
    <s v="Salvador"/>
    <d v="2011-05-26T00:00:00"/>
    <x v="13"/>
    <d v="2011-05-27T00:00:00"/>
    <d v="2011-06-04T00:00:00"/>
    <d v="2011-06-20T00:00:00"/>
    <n v="91"/>
    <s v="87 bombas"/>
    <m/>
    <s v="atrasado"/>
    <x v="3"/>
    <n v="0"/>
  </r>
  <r>
    <x v="4"/>
    <x v="4"/>
    <x v="0"/>
    <x v="1"/>
    <s v="028/10 BPB"/>
    <s v="4600312805 (GLOBAL 2011)"/>
    <x v="445"/>
    <n v="269007.2"/>
    <x v="339"/>
    <n v="81"/>
    <d v="2011-05-16T00:00:00"/>
    <s v="Salvador"/>
    <d v="2011-05-12T00:00:00"/>
    <x v="14"/>
    <d v="2011-05-09T00:00:00"/>
    <d v="2011-05-21T00:00:00"/>
    <d v="2011-06-14T00:00:00"/>
    <n v="110"/>
    <s v="120 bombas"/>
    <m/>
    <s v="atrasado"/>
    <x v="3"/>
    <n v="0"/>
  </r>
  <r>
    <x v="4"/>
    <x v="4"/>
    <x v="0"/>
    <x v="1"/>
    <s v="028/10 BPB"/>
    <s v="4600312805 (GLOBAL 2011)"/>
    <x v="446"/>
    <n v="875.6"/>
    <x v="311"/>
    <n v="104"/>
    <d v="2011-05-22T00:00:00"/>
    <s v="Salvador"/>
    <d v="2011-05-12T00:00:00"/>
    <x v="2"/>
    <d v="2011-05-09T00:00:00"/>
    <d v="2011-05-21T00:00:00"/>
    <d v="2011-06-06T00:00:00"/>
    <n v="119"/>
    <s v="Fittings"/>
    <m/>
    <s v="en término"/>
    <x v="3"/>
    <n v="1"/>
  </r>
  <r>
    <x v="4"/>
    <x v="4"/>
    <x v="0"/>
    <x v="1"/>
    <s v="028/10 BPB"/>
    <s v="4600312805 (GLOBAL 2011)"/>
    <x v="447"/>
    <n v="4210.5"/>
    <x v="338"/>
    <n v="64"/>
    <d v="2011-05-24T00:00:00"/>
    <s v="Salvador"/>
    <d v="2011-05-12T00:00:00"/>
    <x v="46"/>
    <d v="2011-05-09T00:00:00"/>
    <d v="2011-05-21T00:00:00"/>
    <d v="2011-06-06T00:00:00"/>
    <n v="77"/>
    <s v="Fittings"/>
    <m/>
    <s v="en término"/>
    <x v="3"/>
    <n v="1"/>
  </r>
  <r>
    <x v="4"/>
    <x v="4"/>
    <x v="0"/>
    <x v="1"/>
    <s v="028/10 BPB"/>
    <s v="4600312805 (GLOBAL 2011)"/>
    <x v="448"/>
    <n v="32850.9"/>
    <x v="340"/>
    <n v="94"/>
    <d v="2011-05-30T00:00:00"/>
    <s v="Salvador"/>
    <d v="2011-05-12T00:00:00"/>
    <x v="74"/>
    <d v="2011-05-09T00:00:00"/>
    <d v="2011-05-21T00:00:00"/>
    <d v="2011-06-06T00:00:00"/>
    <n v="101"/>
    <s v="19 bombas"/>
    <m/>
    <s v="en término"/>
    <x v="3"/>
    <n v="1"/>
  </r>
  <r>
    <x v="4"/>
    <x v="4"/>
    <x v="0"/>
    <x v="1"/>
    <s v="028/10 BPB"/>
    <s v="4600312805 (GLOBAL 2011)"/>
    <x v="449"/>
    <n v="415410.4"/>
    <x v="297"/>
    <n v="91"/>
    <d v="2011-05-31T00:00:00"/>
    <s v="Salvador"/>
    <d v="2011-05-26T00:00:00"/>
    <x v="14"/>
    <d v="2011-05-27T00:00:00"/>
    <d v="2011-06-05T00:00:00"/>
    <d v="2011-06-20T00:00:00"/>
    <n v="111"/>
    <s v="170 bombas + fitings"/>
    <m/>
    <s v="atrasado"/>
    <x v="3"/>
    <n v="0"/>
  </r>
  <r>
    <x v="4"/>
    <x v="4"/>
    <x v="0"/>
    <x v="1"/>
    <s v="028/10 BPB"/>
    <s v="4600312805 (GLOBAL 2011)"/>
    <x v="450"/>
    <n v="29526.7"/>
    <x v="299"/>
    <n v="91"/>
    <d v="2011-07-12T00:00:00"/>
    <s v="Salvador"/>
    <d v="2011-06-07T00:00:00"/>
    <x v="49"/>
    <d v="2011-06-09T00:00:00"/>
    <d v="2011-07-02T00:00:00"/>
    <d v="2011-07-18T00:00:00"/>
    <n v="97"/>
    <s v="Fittings"/>
    <m/>
    <s v="en término"/>
    <x v="4"/>
    <n v="1"/>
  </r>
  <r>
    <x v="4"/>
    <x v="4"/>
    <x v="0"/>
    <x v="1"/>
    <s v="028/10 BPB"/>
    <s v="4600312805 (GLOBAL 2011)"/>
    <x v="451"/>
    <n v="8015"/>
    <x v="341"/>
    <n v="62"/>
    <d v="2011-06-14T00:00:00"/>
    <s v="Salvador"/>
    <d v="2011-06-07T00:00:00"/>
    <x v="9"/>
    <d v="2011-06-09T00:00:00"/>
    <d v="2011-06-18T00:00:00"/>
    <d v="2011-07-04T00:00:00"/>
    <n v="82"/>
    <s v="Fittings"/>
    <m/>
    <s v="atrasado"/>
    <x v="4"/>
    <n v="0"/>
  </r>
  <r>
    <x v="4"/>
    <x v="4"/>
    <x v="0"/>
    <x v="1"/>
    <s v="028/10 BPB"/>
    <s v="4600312805 (GLOBAL 2011)"/>
    <x v="439"/>
    <n v="119577.24"/>
    <x v="334"/>
    <n v="198"/>
    <d v="2011-07-15T00:00:00"/>
    <s v="Salvador"/>
    <d v="2011-06-07T00:00:00"/>
    <x v="10"/>
    <d v="2011-06-09T00:00:00"/>
    <d v="2011-07-02T00:00:00"/>
    <d v="2011-07-18T00:00:00"/>
    <n v="201"/>
    <s v="30 bombas"/>
    <s v="Total U$ 62.499,10"/>
    <s v="en término"/>
    <x v="4"/>
    <n v="1"/>
  </r>
  <r>
    <x v="4"/>
    <x v="4"/>
    <x v="0"/>
    <x v="1"/>
    <s v="028/10 BPB"/>
    <s v="4600312805 (GLOBAL 2011)"/>
    <x v="452"/>
    <n v="68984.600000000006"/>
    <x v="342"/>
    <n v="98"/>
    <d v="2011-07-05T00:00:00"/>
    <s v="Salvador"/>
    <d v="2011-06-07T00:00:00"/>
    <x v="46"/>
    <d v="2011-06-09T00:00:00"/>
    <d v="2011-07-02T00:00:00"/>
    <d v="2011-07-18T00:00:00"/>
    <n v="111"/>
    <s v="29 bombas "/>
    <m/>
    <s v="en término"/>
    <x v="4"/>
    <n v="1"/>
  </r>
  <r>
    <x v="4"/>
    <x v="4"/>
    <x v="0"/>
    <x v="1"/>
    <s v="028/10 BPB"/>
    <s v="4600312805 (GLOBAL 2011)"/>
    <x v="453"/>
    <n v="194957.5"/>
    <x v="306"/>
    <n v="64"/>
    <d v="2011-06-14T00:00:00"/>
    <s v="Salvador"/>
    <d v="2011-06-07T00:00:00"/>
    <x v="9"/>
    <d v="2011-06-09T00:00:00"/>
    <d v="2011-06-18T00:00:00"/>
    <d v="2011-07-04T00:00:00"/>
    <n v="84"/>
    <s v="87 bombas "/>
    <m/>
    <s v="atrasado"/>
    <x v="4"/>
    <n v="0"/>
  </r>
  <r>
    <x v="4"/>
    <x v="4"/>
    <x v="0"/>
    <x v="1"/>
    <s v="028/10 BPB"/>
    <s v="4600312805 (GLOBAL 2011)"/>
    <x v="454"/>
    <n v="41078.5"/>
    <x v="343"/>
    <n v="90"/>
    <d v="2011-06-20T00:00:00"/>
    <s v="Salvador"/>
    <d v="2011-06-07T00:00:00"/>
    <x v="75"/>
    <d v="2011-06-09T00:00:00"/>
    <d v="2011-06-18T00:00:00"/>
    <d v="2011-07-04T00:00:00"/>
    <n v="104"/>
    <s v="17 bombas + Fittings"/>
    <m/>
    <s v="en término"/>
    <x v="4"/>
    <n v="1"/>
  </r>
  <r>
    <x v="4"/>
    <x v="4"/>
    <x v="0"/>
    <x v="1"/>
    <s v="28/10BPB"/>
    <s v="4600312805 (GLOBAL 2011)"/>
    <x v="455"/>
    <n v="1596.6"/>
    <x v="344"/>
    <n v="94"/>
    <d v="2011-08-07T00:00:00"/>
    <s v="Salvador"/>
    <d v="2011-07-07T00:00:00"/>
    <x v="67"/>
    <s v="23/06/2011"/>
    <d v="2011-07-16T00:00:00"/>
    <d v="2011-08-01T00:00:00"/>
    <n v="88"/>
    <s v="Fittings"/>
    <m/>
    <s v="en término"/>
    <x v="5"/>
    <n v="1"/>
  </r>
  <r>
    <x v="4"/>
    <x v="4"/>
    <x v="0"/>
    <x v="1"/>
    <s v="028/10 BPB"/>
    <s v="4600312805 (GLOBAL 2011)"/>
    <x v="456"/>
    <n v="13530"/>
    <x v="345"/>
    <n v="93"/>
    <d v="2011-07-28T00:00:00"/>
    <s v="Salvador"/>
    <d v="2011-07-07T00:00:00"/>
    <x v="52"/>
    <s v="23/06/2011"/>
    <d v="2011-07-16T00:00:00"/>
    <d v="2011-08-01T00:00:00"/>
    <n v="97"/>
    <s v="8 bombas"/>
    <m/>
    <s v="en término"/>
    <x v="5"/>
    <n v="1"/>
  </r>
  <r>
    <x v="4"/>
    <x v="4"/>
    <x v="0"/>
    <x v="1"/>
    <s v="028/10BPB"/>
    <s v="4600312805 (GLOBAL 2011)"/>
    <x v="457"/>
    <n v="242748.9"/>
    <x v="344"/>
    <n v="67"/>
    <d v="2011-07-11T00:00:00"/>
    <s v="Salvador"/>
    <d v="2011-07-06T00:00:00"/>
    <x v="14"/>
    <s v="23/06/2011"/>
    <d v="2011-07-16T00:00:00"/>
    <d v="2011-08-01T00:00:00"/>
    <n v="88"/>
    <s v="110 Bombas"/>
    <m/>
    <s v="atrasado"/>
    <x v="5"/>
    <n v="0"/>
  </r>
  <r>
    <x v="4"/>
    <x v="4"/>
    <x v="0"/>
    <x v="1"/>
    <s v="028/10 BPB"/>
    <s v="4600312805 (GLOBAL 2011)"/>
    <x v="458"/>
    <n v="16836"/>
    <x v="346"/>
    <n v="70"/>
    <d v="2011-07-11T00:00:00"/>
    <s v="Salvador"/>
    <d v="2011-07-01T00:00:00"/>
    <x v="14"/>
    <s v="23/06/2011"/>
    <d v="2011-07-16T00:00:00"/>
    <d v="2011-08-01T00:00:00"/>
    <n v="91"/>
    <s v="Fittings"/>
    <m/>
    <s v="atrasado"/>
    <x v="5"/>
    <n v="0"/>
  </r>
  <r>
    <x v="4"/>
    <x v="4"/>
    <x v="0"/>
    <x v="1"/>
    <s v="28/10BPB"/>
    <s v="4600312805 (GLOBAL 2011)"/>
    <x v="459"/>
    <n v="298721.5"/>
    <x v="347"/>
    <n v="68"/>
    <d v="2011-08-09T00:00:00"/>
    <s v="Salvador"/>
    <d v="2011-07-29T00:00:00"/>
    <x v="46"/>
    <d v="2011-07-28T00:00:00"/>
    <d v="2011-08-06T00:00:00"/>
    <d v="2011-08-22T00:00:00"/>
    <n v="81"/>
    <s v="133 bombas"/>
    <m/>
    <s v="en término"/>
    <x v="5"/>
    <n v="1"/>
  </r>
  <r>
    <x v="4"/>
    <x v="4"/>
    <x v="0"/>
    <x v="1"/>
    <s v="28/10BPB"/>
    <s v="4600312805 (GLOBAL 2011)"/>
    <x v="460"/>
    <n v="18137"/>
    <x v="348"/>
    <n v="64"/>
    <d v="2011-08-09T00:00:00"/>
    <s v="Salvador"/>
    <d v="2011-07-29T00:00:00"/>
    <x v="46"/>
    <d v="2011-07-28T00:00:00"/>
    <d v="2011-08-06T00:00:00"/>
    <d v="2011-08-22T00:00:00"/>
    <n v="77"/>
    <s v="Fittings"/>
    <m/>
    <s v="en término"/>
    <x v="5"/>
    <n v="1"/>
  </r>
  <r>
    <x v="4"/>
    <x v="4"/>
    <x v="0"/>
    <x v="1"/>
    <s v="28/10BPB"/>
    <s v="4600312805 (GLOBAL 2011)"/>
    <x v="461"/>
    <n v="45411.1"/>
    <x v="349"/>
    <n v="93"/>
    <d v="2011-09-01T00:00:00"/>
    <s v="Salvador"/>
    <d v="2011-08-25T00:00:00"/>
    <x v="11"/>
    <d v="2011-08-25T00:00:00"/>
    <d v="2011-09-03T00:00:00"/>
    <d v="2011-09-19T00:00:00"/>
    <n v="111"/>
    <s v="23 bombas"/>
    <m/>
    <s v="atrasado"/>
    <x v="6"/>
    <n v="0"/>
  </r>
  <r>
    <x v="4"/>
    <x v="4"/>
    <x v="0"/>
    <x v="1"/>
    <s v="28/10BPB"/>
    <s v="4600312805 (GLOBAL 2011)"/>
    <x v="462"/>
    <n v="26952.799999999999"/>
    <x v="348"/>
    <n v="91"/>
    <d v="2011-09-05T00:00:00"/>
    <s v="Salvador"/>
    <d v="2011-08-05T00:00:00"/>
    <x v="59"/>
    <s v="05/082011"/>
    <d v="2011-08-13T00:00:00"/>
    <d v="2011-08-29T00:00:00"/>
    <n v="84"/>
    <s v="12 bombas y fittings"/>
    <m/>
    <s v="en término"/>
    <x v="6"/>
    <n v="1"/>
  </r>
  <r>
    <x v="4"/>
    <x v="4"/>
    <x v="0"/>
    <x v="1"/>
    <s v="28/10BPB"/>
    <s v="4600312805 (GLOBAL 2011)"/>
    <x v="463"/>
    <n v="60321.4"/>
    <x v="350"/>
    <n v="93"/>
    <d v="2011-10-08T00:00:00"/>
    <s v="Salvador"/>
    <d v="2011-08-25T00:00:00"/>
    <x v="88"/>
    <d v="2011-08-25T00:00:00"/>
    <d v="2011-09-03T00:00:00"/>
    <d v="2011-09-19T00:00:00"/>
    <n v="74"/>
    <s v="31 bombas"/>
    <m/>
    <s v="en término"/>
    <x v="6"/>
    <n v="1"/>
  </r>
  <r>
    <x v="4"/>
    <x v="4"/>
    <x v="0"/>
    <x v="1"/>
    <s v="28/10BPB"/>
    <s v="4600312805 (GLOBAL 2011)"/>
    <x v="464"/>
    <n v="50803.4"/>
    <x v="351"/>
    <n v="91"/>
    <d v="2011-09-30T00:00:00"/>
    <s v="Salvador"/>
    <d v="2011-09-14T00:00:00"/>
    <x v="86"/>
    <d v="2011-09-15T00:00:00"/>
    <d v="2011-09-24T00:00:00"/>
    <d v="2011-10-10T00:00:00"/>
    <n v="101"/>
    <s v="24 bombas y fittings"/>
    <m/>
    <s v="en término"/>
    <x v="7"/>
    <n v="1"/>
  </r>
  <r>
    <x v="4"/>
    <x v="4"/>
    <x v="0"/>
    <x v="0"/>
    <s v="100/08 BBR"/>
    <s v="Petrobras N° 4503622821 (GLOBAL DE VÁLVULAS 2008)"/>
    <x v="465"/>
    <n v="25257.96"/>
    <x v="329"/>
    <n v="76"/>
    <d v="2011-01-18T00:00:00"/>
    <s v="Salvador"/>
    <d v="2011-01-08T00:00:00"/>
    <x v="46"/>
    <d v="2011-01-12T00:00:00"/>
    <d v="2011-01-15T00:00:00"/>
    <d v="2011-01-29T00:00:00"/>
    <n v="87"/>
    <s v="234 válvulas - SE ENVÍAN DESDE TANTAL"/>
    <m/>
    <s v="en término"/>
    <x v="0"/>
    <n v="1"/>
  </r>
  <r>
    <x v="4"/>
    <x v="4"/>
    <x v="0"/>
    <x v="0"/>
    <s v="115/10 BBR"/>
    <s v="Petrobras N° 4503614097"/>
    <x v="466"/>
    <n v="200700"/>
    <x v="329"/>
    <n v="86"/>
    <d v="2011-01-28T00:00:00"/>
    <s v="Salvador"/>
    <d v="2011-01-08T00:00:00"/>
    <x v="10"/>
    <d v="2011-01-12T00:00:00"/>
    <d v="2011-01-15T00:00:00"/>
    <d v="2011-01-29T00:00:00"/>
    <n v="87"/>
    <s v="120 bombas"/>
    <m/>
    <s v="en término"/>
    <x v="0"/>
    <n v="1"/>
  </r>
  <r>
    <x v="4"/>
    <x v="4"/>
    <x v="0"/>
    <x v="0"/>
    <s v="123/10 BBR"/>
    <s v="Petrobras N° 4503680490"/>
    <x v="467"/>
    <n v="8750"/>
    <x v="352"/>
    <n v="42"/>
    <d v="2011-01-17T00:00:00"/>
    <s v="Salvador"/>
    <d v="2011-01-08T00:00:00"/>
    <x v="75"/>
    <d v="2011-01-12T00:00:00"/>
    <d v="2011-01-15T00:00:00"/>
    <d v="2011-01-29T00:00:00"/>
    <n v="54"/>
    <s v="10 vástagos"/>
    <m/>
    <s v="en término"/>
    <x v="0"/>
    <n v="1"/>
  </r>
  <r>
    <x v="4"/>
    <x v="4"/>
    <x v="0"/>
    <x v="0"/>
    <s v="135/10 BBR"/>
    <s v="Petrobras N° 4503735899"/>
    <x v="468"/>
    <n v="369988"/>
    <x v="353"/>
    <n v="112"/>
    <d v="2011-04-14T00:00:00"/>
    <s v="Salvador"/>
    <d v="2011-04-28T00:00:00"/>
    <x v="110"/>
    <d v="2011-05-05T00:00:00"/>
    <d v="2011-05-07T00:00:00"/>
    <d v="2011-05-23T00:00:00"/>
    <n v="151"/>
    <s v="181 bombas"/>
    <s v="Carga demorada ya que se bloqueo la planta por sindicatos petroleros (desde el 1 de abril), salida prevista para el 23/04 pero se pasa para el 30/04. Se posterga y se pasa para el 05/05."/>
    <s v="atrasado"/>
    <x v="10"/>
    <n v="0"/>
  </r>
  <r>
    <x v="4"/>
    <x v="4"/>
    <x v="0"/>
    <x v="0"/>
    <s v="100/08 BBR"/>
    <s v="Petrobras N° 4503776921 (GLOBAL DE VÁLVULAS 2008)"/>
    <x v="469"/>
    <n v="19992"/>
    <x v="354"/>
    <n v="75"/>
    <d v="2011-04-20T00:00:00"/>
    <s v="Salvador"/>
    <d v="2011-04-28T00:00:00"/>
    <x v="7"/>
    <d v="2011-05-05T00:00:00"/>
    <d v="2011-05-07T00:00:00"/>
    <d v="2011-05-23T00:00:00"/>
    <n v="108"/>
    <s v="300 válvulas - SE ENVÍAN DESDE TANTAL"/>
    <s v="Carga demorada ya que se bloqueo la planta por sindicatos petroleros (desde el 1 de abril), salida prevista para el 23/04 pero se pasa para el 30/04. Se posterga y se pasa para el 05/05."/>
    <s v="atrasado"/>
    <x v="10"/>
    <n v="0"/>
  </r>
  <r>
    <x v="4"/>
    <x v="4"/>
    <x v="0"/>
    <x v="0"/>
    <s v="100/08 BBR"/>
    <s v="Petrobras N° 4503836765 (GLOBAL DE VÁLVULAS 2008)"/>
    <x v="470"/>
    <n v="24332"/>
    <x v="355"/>
    <n v="72"/>
    <d v="2011-05-27T00:00:00"/>
    <s v="Salvador"/>
    <d v="2011-04-28T00:00:00"/>
    <x v="35"/>
    <d v="2011-05-05T00:00:00"/>
    <d v="2011-05-07T00:00:00"/>
    <d v="2011-05-23T00:00:00"/>
    <n v="68"/>
    <s v="224 válvulas - SE ENVÍAN DESDE TANTAL"/>
    <m/>
    <s v="en término"/>
    <x v="10"/>
    <n v="1"/>
  </r>
  <r>
    <x v="4"/>
    <x v="4"/>
    <x v="0"/>
    <x v="1"/>
    <s v="028/10 BPB"/>
    <s v="4600312805 (GLOBAL 2011)"/>
    <x v="448"/>
    <n v="32850.9"/>
    <x v="340"/>
    <n v="94"/>
    <d v="2011-05-30T00:00:00"/>
    <s v="Salvador"/>
    <d v="2011-05-12T00:00:00"/>
    <x v="74"/>
    <d v="2011-05-09T00:00:00"/>
    <d v="2011-05-21T00:00:00"/>
    <d v="2011-06-06T00:00:00"/>
    <n v="101"/>
    <s v="19 bombas"/>
    <m/>
    <s v="en término"/>
    <x v="3"/>
    <n v="1"/>
  </r>
  <r>
    <x v="4"/>
    <x v="4"/>
    <x v="0"/>
    <x v="0"/>
    <s v="029/11 BBR"/>
    <s v="Petrobras N° 4503882868"/>
    <x v="471"/>
    <n v="1852"/>
    <x v="341"/>
    <n v="45"/>
    <d v="2011-05-28T00:00:00"/>
    <s v="Salvador"/>
    <d v="2011-05-27T00:00:00"/>
    <x v="32"/>
    <d v="2011-05-27T00:00:00"/>
    <d v="2011-06-04T00:00:00"/>
    <d v="2011-06-20T00:00:00"/>
    <n v="68"/>
    <s v="2 pistones"/>
    <m/>
    <s v="atrasado"/>
    <x v="3"/>
    <n v="0"/>
  </r>
  <r>
    <x v="4"/>
    <x v="4"/>
    <x v="0"/>
    <x v="1"/>
    <s v="028/10 BPB"/>
    <s v="4600312805 (GLOBAL 2011)"/>
    <x v="472"/>
    <n v="8845.7999999999993"/>
    <x v="356"/>
    <n v="91"/>
    <d v="2011-07-19T00:00:00"/>
    <s v="Salvador"/>
    <d v="2011-07-07T00:00:00"/>
    <x v="46"/>
    <s v="23/06/2011"/>
    <d v="2011-07-16T00:00:00"/>
    <d v="2011-08-01T00:00:00"/>
    <n v="104"/>
    <s v="3 bombas y 3 pistones"/>
    <m/>
    <s v="en término"/>
    <x v="5"/>
    <n v="1"/>
  </r>
  <r>
    <x v="4"/>
    <x v="4"/>
    <x v="0"/>
    <x v="0"/>
    <s v="028/11 BBR"/>
    <s v="Petrobras N° 4503938544"/>
    <x v="473"/>
    <n v="1350"/>
    <x v="357"/>
    <n v="21"/>
    <d v="2011-05-19T00:00:00"/>
    <s v="Salvador"/>
    <d v="2011-05-12T00:00:00"/>
    <x v="32"/>
    <m/>
    <d v="2011-05-26T00:00:00"/>
    <d v="2011-06-14T00:00:00"/>
    <n v="47"/>
    <s v="Fittings"/>
    <m/>
    <s v="atrasado"/>
    <x v="3"/>
    <n v="0"/>
  </r>
  <r>
    <x v="4"/>
    <x v="4"/>
    <x v="0"/>
    <x v="0"/>
    <s v="013/11 BBR"/>
    <s v="Koch 0261/2011"/>
    <x v="474"/>
    <n v="11465"/>
    <x v="303"/>
    <n v="100"/>
    <d v="2011-08-11T00:00:00"/>
    <s v="Salvador"/>
    <d v="2011-07-22T00:00:00"/>
    <x v="17"/>
    <d v="2011-07-28T00:00:00"/>
    <d v="2011-07-31T00:00:00"/>
    <d v="2011-08-15T00:00:00"/>
    <n v="104"/>
    <s v="6 bombas"/>
    <m/>
    <s v="en término"/>
    <x v="5"/>
    <n v="1"/>
  </r>
  <r>
    <x v="4"/>
    <x v="4"/>
    <x v="0"/>
    <x v="0"/>
    <s v="054/11BBR"/>
    <s v="PETRORECONCAVO(110628)"/>
    <x v="475"/>
    <n v="637.1"/>
    <x v="358"/>
    <n v="83"/>
    <d v="2011-07-31T00:00:00"/>
    <s v="Salvador"/>
    <d v="2011-05-26T00:00:00"/>
    <x v="111"/>
    <m/>
    <d v="2011-06-04T00:00:00"/>
    <d v="2011-06-20T00:00:00"/>
    <n v="42"/>
    <s v="Fittings"/>
    <m/>
    <s v="en término"/>
    <x v="3"/>
    <n v="1"/>
  </r>
  <r>
    <x v="4"/>
    <x v="4"/>
    <x v="0"/>
    <x v="1"/>
    <s v="028/10 BPB"/>
    <s v="4600312805 (GLOBAL 2011)"/>
    <x v="476"/>
    <n v="10020.299999999999"/>
    <x v="359"/>
    <n v="94"/>
    <d v="2011-08-14T00:00:00"/>
    <s v="Salvador"/>
    <d v="2011-07-22T00:00:00"/>
    <x v="50"/>
    <d v="2011-07-28T00:00:00"/>
    <d v="2011-07-31T00:00:00"/>
    <d v="2011-08-15T00:00:00"/>
    <n v="95"/>
    <s v="Fittings"/>
    <m/>
    <s v="en término"/>
    <x v="5"/>
    <n v="1"/>
  </r>
  <r>
    <x v="4"/>
    <x v="4"/>
    <x v="0"/>
    <x v="0"/>
    <s v="061/11 BBR"/>
    <s v="Petroreconcavo  110770"/>
    <x v="477"/>
    <n v="5926.5"/>
    <x v="360"/>
    <n v="123"/>
    <d v="2011-09-30T00:00:00"/>
    <s v="Salvador"/>
    <d v="2011-07-22T00:00:00"/>
    <x v="112"/>
    <d v="2011-07-28T00:00:00"/>
    <d v="2011-07-31T00:00:00"/>
    <d v="2011-08-15T00:00:00"/>
    <n v="77"/>
    <s v="Fittings"/>
    <m/>
    <s v="en término"/>
    <x v="5"/>
    <n v="1"/>
  </r>
  <r>
    <x v="4"/>
    <x v="4"/>
    <x v="0"/>
    <x v="0"/>
    <s v="060/11 BBR"/>
    <s v="Petroreconcavo 110771"/>
    <x v="477"/>
    <n v="6053.1"/>
    <x v="360"/>
    <n v="123"/>
    <d v="2011-09-30T00:00:00"/>
    <s v="Salvador"/>
    <d v="2011-07-22T00:00:00"/>
    <x v="112"/>
    <d v="2011-07-28T00:00:00"/>
    <d v="2011-07-31T00:00:00"/>
    <d v="2011-08-15T00:00:00"/>
    <n v="77"/>
    <s v="Fittings"/>
    <m/>
    <s v="en término"/>
    <x v="5"/>
    <n v="1"/>
  </r>
  <r>
    <x v="4"/>
    <x v="4"/>
    <x v="0"/>
    <x v="0"/>
    <s v="062/11 BBR"/>
    <s v="Petrobras N 4503986084"/>
    <x v="478"/>
    <n v="35000"/>
    <x v="349"/>
    <n v="153"/>
    <d v="2011-10-31T00:00:00"/>
    <s v="Salvador"/>
    <d v="2011-08-05T00:00:00"/>
    <x v="113"/>
    <s v="05/082011"/>
    <d v="2011-08-13T00:00:00"/>
    <d v="2011-08-29T00:00:00"/>
    <n v="90"/>
    <s v="1 Bomba"/>
    <m/>
    <s v="en término"/>
    <x v="6"/>
    <n v="1"/>
  </r>
  <r>
    <x v="4"/>
    <x v="4"/>
    <x v="0"/>
    <x v="0"/>
    <s v="063/11 BBR"/>
    <s v="Petroreconcavo 110540"/>
    <x v="477"/>
    <n v="1077.2"/>
    <x v="345"/>
    <n v="157"/>
    <d v="2011-09-30T00:00:00"/>
    <s v="Salvador"/>
    <d v="2011-07-22T00:00:00"/>
    <x v="112"/>
    <d v="2011-07-28T00:00:00"/>
    <d v="2011-07-31T00:00:00"/>
    <d v="2011-08-15T00:00:00"/>
    <n v="111"/>
    <s v="Fittings"/>
    <m/>
    <s v="en término"/>
    <x v="5"/>
    <n v="1"/>
  </r>
  <r>
    <x v="4"/>
    <x v="4"/>
    <x v="0"/>
    <x v="0"/>
    <s v="064/11 BBR"/>
    <s v="Petroreconcavo 11058"/>
    <x v="477"/>
    <n v="5385.2"/>
    <x v="303"/>
    <n v="150"/>
    <d v="2011-09-30T00:00:00"/>
    <s v="Salvador"/>
    <d v="2011-07-22T00:00:00"/>
    <x v="112"/>
    <d v="2011-07-28T00:00:00"/>
    <d v="2011-07-31T00:00:00"/>
    <d v="2011-08-15T00:00:00"/>
    <n v="104"/>
    <s v="Fittings"/>
    <m/>
    <s v="en término"/>
    <x v="5"/>
    <n v="1"/>
  </r>
  <r>
    <x v="4"/>
    <x v="4"/>
    <x v="0"/>
    <x v="0"/>
    <s v="065/11 BBR"/>
    <s v="Petroreconcavo 110542"/>
    <x v="477"/>
    <n v="15720.91"/>
    <x v="345"/>
    <n v="157"/>
    <d v="2011-09-30T00:00:00"/>
    <s v="Salvador"/>
    <d v="2011-07-22T00:00:00"/>
    <x v="112"/>
    <d v="2011-07-28T00:00:00"/>
    <d v="2011-07-31T00:00:00"/>
    <d v="2011-08-15T00:00:00"/>
    <n v="111"/>
    <s v="Fittings"/>
    <m/>
    <s v="en término"/>
    <x v="5"/>
    <n v="1"/>
  </r>
  <r>
    <x v="4"/>
    <x v="4"/>
    <x v="0"/>
    <x v="0"/>
    <s v="052/11 BBR"/>
    <s v="Petrobras N 4504008937"/>
    <x v="479"/>
    <n v="82000"/>
    <x v="347"/>
    <n v="121"/>
    <d v="2011-10-01T00:00:00"/>
    <s v="Salvador"/>
    <d v="2011-07-22T00:00:00"/>
    <x v="114"/>
    <d v="2011-07-28T00:00:00"/>
    <d v="2011-07-31T00:00:00"/>
    <d v="2011-08-15T00:00:00"/>
    <n v="74"/>
    <s v="Fittings"/>
    <m/>
    <s v="en término"/>
    <x v="5"/>
    <n v="1"/>
  </r>
  <r>
    <x v="4"/>
    <x v="4"/>
    <x v="0"/>
    <x v="0"/>
    <s v="053/11 BBR"/>
    <s v="Petrobras N 4504000946"/>
    <x v="480"/>
    <n v="97642"/>
    <x v="361"/>
    <n v="138"/>
    <d v="2011-10-24T00:00:00"/>
    <s v="Salvador"/>
    <d v="2011-08-30T00:00:00"/>
    <x v="83"/>
    <d v="2011-09-01T00:00:00"/>
    <d v="2011-09-10T00:00:00"/>
    <d v="2011-09-26T00:00:00"/>
    <n v="110"/>
    <s v=" 25 Bombas"/>
    <m/>
    <s v="en término"/>
    <x v="6"/>
    <n v="1"/>
  </r>
  <r>
    <x v="4"/>
    <x v="4"/>
    <x v="0"/>
    <x v="1"/>
    <s v="028/10 BPB"/>
    <s v="4600312805 (GLOBAL 2011)"/>
    <x v="481"/>
    <n v="6120"/>
    <x v="343"/>
    <n v="153"/>
    <d v="2011-08-22T00:00:00"/>
    <s v="Salvador"/>
    <d v="2011-07-22T00:00:00"/>
    <x v="67"/>
    <d v="2011-07-28T00:00:00"/>
    <d v="2011-07-31T00:00:00"/>
    <d v="2011-08-15T00:00:00"/>
    <n v="146"/>
    <s v="Fittings"/>
    <m/>
    <s v="en término"/>
    <x v="5"/>
    <n v="1"/>
  </r>
  <r>
    <x v="4"/>
    <x v="4"/>
    <x v="0"/>
    <x v="0"/>
    <s v="075/11BBR"/>
    <s v="Petrobras N 4504030445"/>
    <x v="482"/>
    <n v="1025"/>
    <x v="362"/>
    <n v="96"/>
    <d v="2011-09-20T00:00:00"/>
    <s v="Salvador"/>
    <d v="2011-07-22T00:00:00"/>
    <x v="115"/>
    <d v="2011-07-28T00:00:00"/>
    <d v="2011-07-31T00:00:00"/>
    <d v="2011-08-15T00:00:00"/>
    <n v="60"/>
    <s v="Fittings"/>
    <m/>
    <s v="en término"/>
    <x v="5"/>
    <n v="1"/>
  </r>
  <r>
    <x v="4"/>
    <x v="4"/>
    <x v="0"/>
    <x v="1"/>
    <s v="028/10 BPB"/>
    <s v="4600312805 (GLOBAL 2011)"/>
    <x v="483"/>
    <n v="48756"/>
    <x v="363"/>
    <n v="90"/>
    <d v="2011-09-28T00:00:00"/>
    <s v="Salvador"/>
    <d v="2011-09-14T00:00:00"/>
    <x v="19"/>
    <d v="2011-09-15T00:00:00"/>
    <d v="2011-09-24T00:00:00"/>
    <d v="2011-10-10T00:00:00"/>
    <n v="102"/>
    <s v="pistones"/>
    <m/>
    <s v="en término"/>
    <x v="7"/>
    <n v="1"/>
  </r>
  <r>
    <x v="4"/>
    <x v="4"/>
    <x v="0"/>
    <x v="1"/>
    <s v="028/10 BPB"/>
    <s v="4600312805 (GLOBAL 2011)"/>
    <x v="484"/>
    <n v="398973.7"/>
    <x v="364"/>
    <n v="67"/>
    <d v="2011-09-09T00:00:00"/>
    <s v="Salvador"/>
    <d v="2011-08-25T00:00:00"/>
    <x v="86"/>
    <d v="2011-08-25T00:00:00"/>
    <d v="2011-09-03T00:00:00"/>
    <d v="2011-09-19T00:00:00"/>
    <n v="77"/>
    <s v="183 bombas"/>
    <m/>
    <s v="en término"/>
    <x v="6"/>
    <n v="1"/>
  </r>
  <r>
    <x v="4"/>
    <x v="4"/>
    <x v="0"/>
    <x v="1"/>
    <s v="028/10 BPB"/>
    <s v="4600312805 (GLOBAL 2011)"/>
    <x v="485"/>
    <n v="13112.5"/>
    <x v="364"/>
    <n v="67"/>
    <d v="2011-09-09T00:00:00"/>
    <s v="Salvador"/>
    <d v="2011-08-25T00:00:00"/>
    <x v="86"/>
    <d v="2011-08-25T00:00:00"/>
    <d v="2011-09-03T00:00:00"/>
    <d v="2011-09-19T00:00:00"/>
    <n v="77"/>
    <s v="fittings"/>
    <m/>
    <s v="en término"/>
    <x v="6"/>
    <n v="1"/>
  </r>
  <r>
    <x v="4"/>
    <x v="4"/>
    <x v="0"/>
    <x v="1"/>
    <s v="028/10 BPB"/>
    <s v="4600312805 (GLOBAL 2011)"/>
    <x v="486"/>
    <n v="128587.9"/>
    <x v="365"/>
    <n v="96"/>
    <d v="2011-10-12T00:00:00"/>
    <s v="Salvador"/>
    <d v="2011-09-29T00:00:00"/>
    <x v="19"/>
    <d v="2011-09-30T00:00:00"/>
    <d v="2011-10-08T00:00:00"/>
    <d v="2011-10-24T00:00:00"/>
    <n v="108"/>
    <s v="67 bombas"/>
    <m/>
    <s v="en término"/>
    <x v="7"/>
    <n v="1"/>
  </r>
  <r>
    <x v="4"/>
    <x v="4"/>
    <x v="0"/>
    <x v="0"/>
    <s v="087/11 BBR"/>
    <s v="W.Petroleo 003079"/>
    <x v="487"/>
    <n v="3100"/>
    <x v="366"/>
    <n v="99"/>
    <d v="2011-11-04T00:00:00"/>
    <s v="Salvador"/>
    <d v="2011-09-15T00:00:00"/>
    <x v="25"/>
    <d v="2011-09-15T00:00:00"/>
    <d v="2011-09-24T00:00:00"/>
    <d v="2011-10-10T00:00:00"/>
    <n v="74"/>
    <s v="1bomba"/>
    <m/>
    <s v="en término"/>
    <x v="7"/>
    <n v="1"/>
  </r>
  <r>
    <x v="5"/>
    <x v="5"/>
    <x v="10"/>
    <x v="18"/>
    <s v="134/11 WEN"/>
    <m/>
    <x v="488"/>
    <n v="32529"/>
    <x v="367"/>
    <n v="76"/>
    <d v="2012-02-28T00:00:00"/>
    <s v="Comodoro Rivadavia"/>
    <d v="2012-03-01T00:00:00"/>
    <x v="95"/>
    <m/>
    <d v="2012-03-20T00:00:00"/>
    <d v="2012-04-09T00:00:00"/>
    <n v="117"/>
    <s v=" fittings"/>
    <m/>
    <s v="atrasado"/>
    <x v="2"/>
    <n v="0"/>
  </r>
  <r>
    <x v="5"/>
    <x v="5"/>
    <x v="10"/>
    <x v="30"/>
    <s v="013/12 WPA"/>
    <m/>
    <x v="489"/>
    <n v="11100"/>
    <x v="368"/>
    <n v="62"/>
    <d v="2012-04-16T00:00:00"/>
    <s v="Buenos Aires"/>
    <d v="2012-03-13T00:00:00"/>
    <x v="70"/>
    <m/>
    <d v="2012-03-13T00:00:00"/>
    <d v="2012-03-23T00:00:00"/>
    <n v="38"/>
    <s v="3 bombas - ENTREGAR A TRANSP. VESPRINI"/>
    <s v="Retiran desde CDR"/>
    <s v="en término"/>
    <x v="2"/>
    <n v="1"/>
  </r>
  <r>
    <x v="5"/>
    <x v="5"/>
    <x v="10"/>
    <x v="16"/>
    <s v="122/11 WGP"/>
    <m/>
    <x v="490"/>
    <n v="30720"/>
    <x v="301"/>
    <n v="154"/>
    <d v="2012-03-26T00:00:00"/>
    <s v="Comodoro Rivadavia"/>
    <d v="2012-03-27T00:00:00"/>
    <x v="15"/>
    <m/>
    <d v="2012-03-29T00:00:00"/>
    <d v="2012-04-01T00:00:00"/>
    <n v="160"/>
    <s v=" 9 Bombas"/>
    <s v="09 de Marzo: modifican la PO N° GCN-110335-03, ya que piden otro tipo de bombas, por lo tanto se genera una neuva PO con un nuevo numero."/>
    <s v="atrasado"/>
    <x v="2"/>
    <n v="0"/>
  </r>
  <r>
    <x v="5"/>
    <x v="5"/>
    <x v="10"/>
    <x v="16"/>
    <s v="009/12 WGP"/>
    <m/>
    <x v="491"/>
    <n v="2150"/>
    <x v="369"/>
    <n v="60"/>
    <d v="2012-03-26T00:00:00"/>
    <s v="Comodoro Rivadavia"/>
    <d v="2012-03-20T00:00:00"/>
    <x v="44"/>
    <m/>
    <d v="2012-03-26T00:00:00"/>
    <d v="2012-03-29T00:00:00"/>
    <n v="63"/>
    <s v="Fittings - RIO GALLEGOS"/>
    <m/>
    <s v="en término"/>
    <x v="2"/>
    <n v="1"/>
  </r>
  <r>
    <x v="5"/>
    <x v="5"/>
    <x v="10"/>
    <x v="18"/>
    <s v="134/11 WEN"/>
    <m/>
    <x v="488"/>
    <n v="58723"/>
    <x v="367"/>
    <n v="136"/>
    <d v="2012-04-28T00:00:00"/>
    <s v="Buenos Aires"/>
    <d v="2012-04-27T00:00:00"/>
    <x v="110"/>
    <m/>
    <d v="2012-05-21T00:00:00"/>
    <d v="2012-05-31T00:00:00"/>
    <n v="169"/>
    <s v="22 Bombas - ENVIAR EL REPORTE DE ARMADO"/>
    <m/>
    <s v="atrasado"/>
    <x v="10"/>
    <n v="0"/>
  </r>
  <r>
    <x v="5"/>
    <x v="5"/>
    <x v="10"/>
    <x v="16"/>
    <s v="054/12 WGP"/>
    <m/>
    <x v="492"/>
    <n v="1990"/>
    <x v="370"/>
    <n v="1"/>
    <d v="2012-05-10T00:00:00"/>
    <s v="Rio Gallegos"/>
    <d v="2012-05-17T00:00:00"/>
    <x v="45"/>
    <m/>
    <d v="2012-05-24T00:00:00"/>
    <d v="2012-05-29T00:00:00"/>
    <n v="20"/>
    <s v="2 vastagos - Rio Gallegos"/>
    <m/>
    <s v="atrasado"/>
    <x v="3"/>
    <n v="0"/>
  </r>
  <r>
    <x v="5"/>
    <x v="5"/>
    <x v="10"/>
    <x v="16"/>
    <s v="054/12 WGP"/>
    <m/>
    <x v="493"/>
    <n v="5880"/>
    <x v="370"/>
    <n v="30"/>
    <d v="2012-06-08T00:00:00"/>
    <s v="Comodoro Rivadavia"/>
    <d v="2012-06-08T00:00:00"/>
    <x v="44"/>
    <m/>
    <d v="2012-06-08T00:00:00"/>
    <d v="2012-06-13T00:00:00"/>
    <n v="35"/>
    <s v="8 vastagos "/>
    <s v="Retira GeoPark de CDR"/>
    <s v="en término"/>
    <x v="4"/>
    <n v="1"/>
  </r>
  <r>
    <x v="5"/>
    <x v="5"/>
    <x v="10"/>
    <x v="16"/>
    <s v="056/12 WGP"/>
    <m/>
    <x v="494"/>
    <n v="38305.800000000003"/>
    <x v="371"/>
    <n v="75"/>
    <d v="2012-08-11T00:00:00"/>
    <s v="Comodoro Rivadavia"/>
    <d v="2012-08-07T00:00:00"/>
    <x v="19"/>
    <m/>
    <d v="2012-08-07T00:00:00"/>
    <d v="2012-08-17T00:00:00"/>
    <n v="81"/>
    <s v="6 bombas + fittings - TRANSPORTE KONIG"/>
    <m/>
    <s v="en término"/>
    <x v="6"/>
    <n v="1"/>
  </r>
  <r>
    <x v="5"/>
    <x v="5"/>
    <x v="10"/>
    <x v="16"/>
    <s v="067/12 WGP"/>
    <m/>
    <x v="495"/>
    <n v="3950"/>
    <x v="372"/>
    <n v="60"/>
    <d v="2012-08-11T00:00:00"/>
    <s v="Comodoro Rivadavia"/>
    <d v="2012-08-07T00:00:00"/>
    <x v="19"/>
    <m/>
    <d v="2012-08-07T00:00:00"/>
    <d v="2012-08-17T00:00:00"/>
    <n v="66"/>
    <s v="5 vastagos - TRANSPORTE KONIG"/>
    <s v="Enviar junto a las bombas d ela PO GCN-120257-01"/>
    <s v="en término"/>
    <x v="6"/>
    <n v="1"/>
  </r>
  <r>
    <x v="5"/>
    <x v="5"/>
    <x v="10"/>
    <x v="16"/>
    <s v="091/12 WGP"/>
    <m/>
    <x v="496"/>
    <n v="840"/>
    <x v="373"/>
    <n v="21"/>
    <d v="2012-09-21T00:00:00"/>
    <s v="Rio Gallegos"/>
    <d v="2012-09-17T00:00:00"/>
    <x v="46"/>
    <m/>
    <d v="2012-09-18T00:00:00"/>
    <d v="2012-09-23T00:00:00"/>
    <n v="23"/>
    <s v="12 nipples "/>
    <s v="Enviar junto a quimicos"/>
    <s v="en término"/>
    <x v="7"/>
    <n v="1"/>
  </r>
  <r>
    <x v="5"/>
    <x v="5"/>
    <x v="10"/>
    <x v="16"/>
    <s v="104/12 WGP"/>
    <m/>
    <x v="497"/>
    <n v="5110"/>
    <x v="374"/>
    <n v="45"/>
    <d v="2012-12-03T00:00:00"/>
    <s v="Comodoro Rivadavia"/>
    <d v="2012-12-18T00:00:00"/>
    <x v="7"/>
    <m/>
    <d v="2012-12-20T00:00:00"/>
    <d v="2012-12-25T00:00:00"/>
    <n v="67"/>
    <s v="7 vastagos"/>
    <m/>
    <s v="atrasado"/>
    <x v="11"/>
    <n v="0"/>
  </r>
  <r>
    <x v="5"/>
    <x v="5"/>
    <x v="10"/>
    <x v="16"/>
    <s v="097/12 WGP"/>
    <m/>
    <x v="498"/>
    <n v="30566.9"/>
    <x v="375"/>
    <n v="60"/>
    <d v="2013-01-08T00:00:00"/>
    <s v="Comodoro Rivadavia"/>
    <d v="2013-01-22T00:00:00"/>
    <x v="94"/>
    <m/>
    <d v="2013-02-15T00:00:00"/>
    <d v="2013-02-25T00:00:00"/>
    <n v="108"/>
    <s v="9 bombas"/>
    <m/>
    <s v="atrasado"/>
    <x v="0"/>
    <n v="0"/>
  </r>
  <r>
    <x v="5"/>
    <x v="5"/>
    <x v="3"/>
    <x v="4"/>
    <s v="140/11 ETE"/>
    <m/>
    <x v="499"/>
    <n v="10370"/>
    <x v="376"/>
    <n v="120"/>
    <d v="2012-04-20T00:00:00"/>
    <s v="Buenos Aires"/>
    <d v="2012-03-23T00:00:00"/>
    <x v="102"/>
    <d v="2012-03-26T00:00:00"/>
    <d v="2012-04-01T00:00:00"/>
    <d v="2012-04-06T00:00:00"/>
    <n v="106"/>
    <s v="4 bombas - 1° ENVIO"/>
    <m/>
    <s v="en término"/>
    <x v="2"/>
    <n v="1"/>
  </r>
  <r>
    <x v="5"/>
    <x v="5"/>
    <x v="3"/>
    <x v="4"/>
    <s v="140/11 ETE"/>
    <m/>
    <x v="500"/>
    <n v="38840"/>
    <x v="376"/>
    <n v="120"/>
    <d v="2012-04-20T00:00:00"/>
    <s v="Buenos Aires"/>
    <d v="2012-04-13T00:00:00"/>
    <x v="7"/>
    <d v="2012-04-23T00:00:00"/>
    <d v="2012-05-07T00:00:00"/>
    <d v="2012-05-22T00:00:00"/>
    <n v="152"/>
    <s v="16 bombas - 2° ENVIO"/>
    <m/>
    <s v="atrasado"/>
    <x v="10"/>
    <n v="0"/>
  </r>
  <r>
    <x v="5"/>
    <x v="5"/>
    <x v="3"/>
    <x v="4"/>
    <s v="135/11 ETE"/>
    <m/>
    <x v="501"/>
    <n v="5930"/>
    <x v="376"/>
    <n v="120"/>
    <d v="2012-04-20T00:00:00"/>
    <s v="Buenos Aires"/>
    <d v="2012-04-13T00:00:00"/>
    <x v="7"/>
    <d v="2012-04-23T00:00:00"/>
    <d v="2012-05-07T00:00:00"/>
    <d v="2012-05-22T00:00:00"/>
    <n v="152"/>
    <s v="2 bombas"/>
    <m/>
    <s v="atrasado"/>
    <x v="10"/>
    <n v="0"/>
  </r>
  <r>
    <x v="5"/>
    <x v="5"/>
    <x v="3"/>
    <x v="4"/>
    <s v="135/11 ETE"/>
    <m/>
    <x v="502"/>
    <n v="9180"/>
    <x v="376"/>
    <n v="120"/>
    <d v="2012-04-20T00:00:00"/>
    <s v="Buenos Aires"/>
    <d v="2012-04-13T00:00:00"/>
    <x v="7"/>
    <d v="2012-04-23T00:00:00"/>
    <d v="2012-05-07T00:00:00"/>
    <d v="2012-05-22T00:00:00"/>
    <n v="152"/>
    <s v="2 bombas + fittings"/>
    <m/>
    <s v="atrasado"/>
    <x v="10"/>
    <n v="0"/>
  </r>
  <r>
    <x v="5"/>
    <x v="5"/>
    <x v="15"/>
    <x v="31"/>
    <s v="084/11 VOP"/>
    <m/>
    <x v="503"/>
    <n v="869767.57"/>
    <x v="377"/>
    <n v="126"/>
    <d v="2012-01-26T00:00:00"/>
    <s v="Buenos Aires"/>
    <d v="2012-03-29T00:00:00"/>
    <x v="116"/>
    <d v="2012-06-21T00:00:00"/>
    <d v="2012-06-25T00:00:00"/>
    <d v="2012-07-20T00:00:00"/>
    <n v="302"/>
    <s v="bombas y fittigs"/>
    <s v="PAGO:  U$ 430,657,50 ANTICIPADO - OK  --- 16 de Ene se recibio el resto (U$ 430.265,07), pero se debio rechazar el pago. 28 de Marzo se recibio el pago restante. FALTA PAGAR U$ 8.845 - Pago 30 Jul. 2012"/>
    <s v="atrasado"/>
    <x v="2"/>
    <n v="0"/>
  </r>
  <r>
    <x v="5"/>
    <x v="5"/>
    <x v="2"/>
    <x v="32"/>
    <s v="082/11 RBB"/>
    <m/>
    <x v="504"/>
    <s v="EUROS 55.699"/>
    <x v="371"/>
    <n v="130"/>
    <d v="2012-10-26T00:00:00"/>
    <s v="Buenos Aires"/>
    <d v="2012-09-28T00:00:00"/>
    <x v="32"/>
    <d v="2012-10-25T00:00:00"/>
    <d v="2012-11-02T00:00:00"/>
    <d v="2012-12-07T00:00:00"/>
    <n v="193"/>
    <s v="26 bombas - CERTIFICADOS DE CALIDAD"/>
    <s v="Carta de credito 190 dias (vto: 03/12)"/>
    <s v="atrasado"/>
    <x v="7"/>
    <n v="0"/>
  </r>
  <r>
    <x v="5"/>
    <x v="5"/>
    <x v="2"/>
    <x v="33"/>
    <s v="037/12 VOP"/>
    <m/>
    <x v="505"/>
    <n v="339350"/>
    <x v="378"/>
    <n v="150"/>
    <d v="2012-12-15T00:00:00"/>
    <s v="Buenos Aires"/>
    <d v="2012-12-07T00:00:00"/>
    <x v="24"/>
    <d v="2013-03-12T00:00:00"/>
    <d v="2013-03-14T00:00:00"/>
    <d v="2013-04-21T00:00:00"/>
    <n v="277"/>
    <s v="Fittigs"/>
    <s v="Recibido:  19/09/12 - U$ 164.640"/>
    <s v="atrasado"/>
    <x v="11"/>
    <n v="0"/>
  </r>
  <r>
    <x v="5"/>
    <x v="5"/>
    <x v="1"/>
    <x v="2"/>
    <s v="006/12 CPG"/>
    <m/>
    <x v="506"/>
    <n v="3153.2"/>
    <x v="379"/>
    <n v="60"/>
    <d v="2012-04-15T00:00:00"/>
    <s v="Buenos Aires"/>
    <d v="2012-04-04T00:00:00"/>
    <x v="9"/>
    <m/>
    <d v="2012-04-19T00:00:00"/>
    <d v="2012-04-23T00:00:00"/>
    <n v="68"/>
    <s v="Fittings"/>
    <m/>
    <s v="atrasado"/>
    <x v="10"/>
    <n v="0"/>
  </r>
  <r>
    <x v="5"/>
    <x v="5"/>
    <x v="1"/>
    <x v="12"/>
    <s v="041/11 CEC"/>
    <m/>
    <x v="507"/>
    <n v="288658.3"/>
    <x v="380"/>
    <n v="69"/>
    <d v="2012-03-20T00:00:00"/>
    <s v="Buenos Aires"/>
    <d v="2012-04-23T00:00:00"/>
    <x v="117"/>
    <m/>
    <d v="2012-05-15T00:00:00"/>
    <d v="2012-06-04T00:00:00"/>
    <n v="145"/>
    <s v="Fittings - 1° PARCIAL"/>
    <s v="Comision: 5,6%  - Aviso de la carga a Geodis: 25/04 - Entregada: 03/05"/>
    <s v="atrasado"/>
    <x v="10"/>
    <n v="0"/>
  </r>
  <r>
    <x v="5"/>
    <x v="5"/>
    <x v="1"/>
    <x v="12"/>
    <s v="024/12 CEC"/>
    <m/>
    <x v="508"/>
    <n v="896090"/>
    <x v="381"/>
    <n v="8"/>
    <d v="2012-03-30T00:00:00"/>
    <s v="Buenos Aires"/>
    <d v="2012-04-23T00:00:00"/>
    <x v="118"/>
    <m/>
    <d v="2012-05-15T00:00:00"/>
    <d v="2012-06-04T00:00:00"/>
    <n v="74"/>
    <s v="Fittings - 1° PARCIAL"/>
    <s v="Comision: 5,6%  - Aviso de la carga a Geodis: 25/04 - Entregada: 03/05"/>
    <s v="atrasado"/>
    <x v="10"/>
    <n v="0"/>
  </r>
  <r>
    <x v="5"/>
    <x v="5"/>
    <x v="1"/>
    <x v="12"/>
    <s v="041/11 CEC"/>
    <m/>
    <x v="507"/>
    <n v="147405.4"/>
    <x v="380"/>
    <n v="100"/>
    <d v="2012-04-20T00:00:00"/>
    <s v="Buenos Aires"/>
    <d v="2012-05-04T00:00:00"/>
    <x v="105"/>
    <d v="2012-05-16T00:00:00"/>
    <d v="2012-05-22T00:00:00"/>
    <d v="2012-06-11T00:00:00"/>
    <n v="152"/>
    <s v="Fittings - 2° PARCIAL"/>
    <s v="Comision: 5,6%  - Aviso de la carga a Geodis: 16/05"/>
    <s v="atrasado"/>
    <x v="3"/>
    <n v="0"/>
  </r>
  <r>
    <x v="5"/>
    <x v="5"/>
    <x v="1"/>
    <x v="12"/>
    <s v="024/12 CEC"/>
    <m/>
    <x v="508"/>
    <n v="549054.9"/>
    <x v="381"/>
    <n v="39"/>
    <d v="2012-04-30T00:00:00"/>
    <s v="Buenos Aires"/>
    <d v="2012-05-04T00:00:00"/>
    <x v="119"/>
    <m/>
    <d v="2012-06-04T00:00:00"/>
    <d v="2012-06-24T00:00:00"/>
    <n v="94"/>
    <s v="Fittings - 2° PARCIAL"/>
    <s v="Comision: 5,6%"/>
    <s v="atrasado"/>
    <x v="3"/>
    <n v="0"/>
  </r>
  <r>
    <x v="5"/>
    <x v="5"/>
    <x v="1"/>
    <x v="12"/>
    <s v="041/11 CEC"/>
    <m/>
    <x v="507"/>
    <n v="33824.5"/>
    <x v="380"/>
    <n v="132"/>
    <d v="2012-05-22T00:00:00"/>
    <s v="Buenos Aires"/>
    <d v="2012-05-24T00:00:00"/>
    <x v="3"/>
    <d v="2012-06-12T00:00:00"/>
    <d v="2012-06-17T00:00:00"/>
    <d v="2012-07-07T00:00:00"/>
    <n v="178"/>
    <s v="Fittings - 3° PARCIAL"/>
    <s v="Comision: 5,6% - Aviso de la carga: 28/05 - Entregado a Geodis: 8/06"/>
    <s v="atrasado"/>
    <x v="3"/>
    <n v="0"/>
  </r>
  <r>
    <x v="5"/>
    <x v="5"/>
    <x v="1"/>
    <x v="12"/>
    <s v="024/12 CEC"/>
    <m/>
    <x v="508"/>
    <n v="330371.3"/>
    <x v="381"/>
    <n v="46"/>
    <d v="2012-05-07T00:00:00"/>
    <s v="Buenos Aires"/>
    <d v="2012-05-24T00:00:00"/>
    <x v="120"/>
    <d v="2012-06-12T00:00:00"/>
    <d v="2012-06-17T00:00:00"/>
    <d v="2012-07-07T00:00:00"/>
    <n v="107"/>
    <s v="Fittings - 3° PARCIAL"/>
    <s v="Comision: 5,6% - Aviso de la carga: 28/05 - Entregado a Geodis: 08/06"/>
    <s v="atrasado"/>
    <x v="3"/>
    <n v="0"/>
  </r>
  <r>
    <x v="5"/>
    <x v="5"/>
    <x v="1"/>
    <x v="2"/>
    <s v="022/12 CPG"/>
    <m/>
    <x v="509"/>
    <n v="11061"/>
    <x v="382"/>
    <n v="90"/>
    <d v="2012-06-12T00:00:00"/>
    <s v="Buenos Aires"/>
    <d v="2012-06-08T00:00:00"/>
    <x v="12"/>
    <d v="2012-06-22T00:00:00"/>
    <d v="2012-06-25T00:00:00"/>
    <d v="2012-06-30T00:00:00"/>
    <n v="108"/>
    <s v="Fittings"/>
    <m/>
    <s v="atrasado"/>
    <x v="4"/>
    <n v="0"/>
  </r>
  <r>
    <x v="5"/>
    <x v="5"/>
    <x v="1"/>
    <x v="12"/>
    <s v="024/12 CEC"/>
    <m/>
    <x v="508"/>
    <n v="333527.7"/>
    <x v="381"/>
    <n v="46"/>
    <d v="2012-05-07T00:00:00"/>
    <s v="Buenos Aires"/>
    <d v="2012-06-19T00:00:00"/>
    <x v="121"/>
    <d v="2012-06-26T00:00:00"/>
    <d v="2012-07-01T00:00:00"/>
    <d v="2012-07-21T00:00:00"/>
    <n v="121"/>
    <s v="Fittings - 4° PARCIAL"/>
    <s v="Comision: 5,6%"/>
    <s v="atrasado"/>
    <x v="4"/>
    <n v="0"/>
  </r>
  <r>
    <x v="5"/>
    <x v="5"/>
    <x v="1"/>
    <x v="12"/>
    <s v="051/12 CEC"/>
    <m/>
    <x v="510"/>
    <n v="186533.3"/>
    <x v="383"/>
    <n v="90"/>
    <d v="2012-08-28T00:00:00"/>
    <s v="Buenos Aires"/>
    <d v="2012-08-17T00:00:00"/>
    <x v="7"/>
    <d v="2012-09-05T00:00:00"/>
    <d v="2012-09-14T00:00:00"/>
    <d v="2012-10-14T00:00:00"/>
    <n v="137"/>
    <s v="Fittings - 1° PARCIAL - FORWARDER GEODIS - ENVIAR MAQUETA"/>
    <s v="Comision: 5,6%  "/>
    <s v="atrasado"/>
    <x v="6"/>
    <n v="0"/>
  </r>
  <r>
    <x v="5"/>
    <x v="5"/>
    <x v="1"/>
    <x v="12"/>
    <s v="059/12 CEC"/>
    <m/>
    <x v="511"/>
    <n v="43730"/>
    <x v="384"/>
    <n v="75"/>
    <d v="2012-08-29T00:00:00"/>
    <s v="Buenos Aires"/>
    <d v="2012-08-21T00:00:00"/>
    <x v="110"/>
    <d v="2012-09-14T00:00:00"/>
    <d v="2012-09-21T00:00:00"/>
    <d v="2012-10-21T00:00:00"/>
    <n v="128"/>
    <s v="Fittings - FORWARDER GEODIS"/>
    <s v="Comision: 5,6%"/>
    <s v="atrasado"/>
    <x v="6"/>
    <n v="0"/>
  </r>
  <r>
    <x v="5"/>
    <x v="5"/>
    <x v="1"/>
    <x v="12"/>
    <s v="062/12 CEC"/>
    <m/>
    <x v="512"/>
    <n v="24500"/>
    <x v="385"/>
    <n v="75"/>
    <d v="2012-09-09T00:00:00"/>
    <s v="Buenos Aires"/>
    <d v="2012-09-04T00:00:00"/>
    <x v="14"/>
    <m/>
    <d v="2012-09-14T00:00:00"/>
    <d v="2012-10-04T00:00:00"/>
    <n v="100"/>
    <s v="Fittings - FORWARDER GEODIS"/>
    <s v="Comision: 5,6%"/>
    <s v="atrasado"/>
    <x v="7"/>
    <n v="0"/>
  </r>
  <r>
    <x v="5"/>
    <x v="5"/>
    <x v="1"/>
    <x v="12"/>
    <s v="051/12 CEC"/>
    <m/>
    <x v="510"/>
    <n v="257963"/>
    <x v="383"/>
    <n v="121"/>
    <d v="2012-09-28T00:00:00"/>
    <s v="Buenos Aires"/>
    <d v="2012-09-21T00:00:00"/>
    <x v="9"/>
    <d v="2012-10-02T00:00:00"/>
    <d v="2012-10-15T00:00:00"/>
    <d v="2012-11-04T00:00:00"/>
    <n v="158"/>
    <s v="Fittings - 2° PARCIAL - FORWARDER GEODIS"/>
    <s v="Comision: 5,6%"/>
    <s v="atrasado"/>
    <x v="7"/>
    <n v="0"/>
  </r>
  <r>
    <x v="5"/>
    <x v="5"/>
    <x v="1"/>
    <x v="12"/>
    <s v="095/12 CEC"/>
    <m/>
    <x v="513"/>
    <n v="3850"/>
    <x v="386"/>
    <n v="33"/>
    <d v="2012-12-04T00:00:00"/>
    <s v="Buenos Aires"/>
    <d v="2012-12-03T00:00:00"/>
    <x v="45"/>
    <d v="2012-12-06T00:00:00"/>
    <d v="2012-12-18T00:00:00"/>
    <d v="2013-01-07T00:00:00"/>
    <n v="67"/>
    <s v="1  bomba - FORWARDER GEODIS"/>
    <s v="Comision: 5,6%"/>
    <s v="atrasado"/>
    <x v="11"/>
    <n v="0"/>
  </r>
  <r>
    <x v="5"/>
    <x v="5"/>
    <x v="1"/>
    <x v="11"/>
    <s v="128/12 CMA"/>
    <m/>
    <x v="514"/>
    <n v="700"/>
    <x v="387"/>
    <n v="20"/>
    <d v="2013-01-03T00:00:00"/>
    <s v="Buenos Aires"/>
    <d v="2012-12-28T00:00:00"/>
    <x v="44"/>
    <m/>
    <d v="2013-01-03T00:00:00"/>
    <d v="2013-01-13T00:00:00"/>
    <n v="30"/>
    <s v="Fittings"/>
    <m/>
    <s v="en término"/>
    <x v="11"/>
    <n v="1"/>
  </r>
  <r>
    <x v="5"/>
    <x v="5"/>
    <x v="0"/>
    <x v="1"/>
    <s v="111/11 BPB"/>
    <s v="4600334989 (GLOBAL 2011-2012)"/>
    <x v="515"/>
    <n v="11429.69"/>
    <x v="388"/>
    <n v="68"/>
    <d v="2012-01-10T00:00:00"/>
    <s v="Salvador"/>
    <d v="2012-01-03T00:00:00"/>
    <x v="63"/>
    <d v="2012-01-07T00:00:00"/>
    <d v="2012-01-11T00:00:00"/>
    <d v="2012-02-10T00:00:00"/>
    <n v="99"/>
    <s v="Fittings"/>
    <m/>
    <s v="atrasado"/>
    <x v="0"/>
    <n v="0"/>
  </r>
  <r>
    <x v="5"/>
    <x v="5"/>
    <x v="0"/>
    <x v="1"/>
    <s v="111/11 BPB"/>
    <s v="4600334989 (GLOBAL 2011-2012)"/>
    <x v="516"/>
    <n v="142264.81"/>
    <x v="389"/>
    <n v="108"/>
    <d v="2012-01-15T00:00:00"/>
    <s v="Salvador"/>
    <d v="2012-01-03T00:00:00"/>
    <x v="19"/>
    <d v="2012-01-07T00:00:00"/>
    <d v="2012-01-11T00:00:00"/>
    <d v="2012-02-10T00:00:00"/>
    <n v="134"/>
    <s v="48 Bombas"/>
    <s v="Se posterga la salida del buque por los feriados (salida del 06/01 se cancela)"/>
    <s v="en término"/>
    <x v="0"/>
    <n v="1"/>
  </r>
  <r>
    <x v="5"/>
    <x v="5"/>
    <x v="0"/>
    <x v="1"/>
    <s v="111/11 BPB"/>
    <s v="4600334989 (GLOBAL 2011-2012)"/>
    <x v="517"/>
    <n v="350415.1"/>
    <x v="388"/>
    <n v="68"/>
    <d v="2012-01-10T00:00:00"/>
    <s v="Salvador"/>
    <d v="2012-01-03T00:00:00"/>
    <x v="63"/>
    <d v="2012-01-07T00:00:00"/>
    <d v="2012-01-11T00:00:00"/>
    <d v="2012-02-10T00:00:00"/>
    <n v="99"/>
    <s v="144 bombas"/>
    <m/>
    <s v="atrasado"/>
    <x v="0"/>
    <n v="0"/>
  </r>
  <r>
    <x v="5"/>
    <x v="5"/>
    <x v="0"/>
    <x v="1"/>
    <s v="111/11 BPB"/>
    <s v="4600334989 (GLOBAL 2011-2012)"/>
    <x v="518"/>
    <n v="107205.59"/>
    <x v="390"/>
    <n v="88"/>
    <d v="2012-01-22T00:00:00"/>
    <s v="Salvador"/>
    <d v="2012-01-10T00:00:00"/>
    <x v="46"/>
    <d v="2012-01-18T00:00:00"/>
    <d v="2012-01-19T00:00:00"/>
    <d v="2012-02-06T00:00:00"/>
    <n v="103"/>
    <s v="40 bombas"/>
    <m/>
    <s v="en término"/>
    <x v="0"/>
    <n v="1"/>
  </r>
  <r>
    <x v="5"/>
    <x v="5"/>
    <x v="0"/>
    <x v="1"/>
    <s v="111/11 BPB"/>
    <s v="4600334989 (GLOBAL 2011-2012)"/>
    <x v="519"/>
    <n v="14390.3"/>
    <x v="391"/>
    <n v="91"/>
    <d v="2012-02-13T00:00:00"/>
    <s v="Salvador"/>
    <d v="2012-01-10T00:00:00"/>
    <x v="48"/>
    <d v="2012-01-18T00:00:00"/>
    <d v="2012-01-19T00:00:00"/>
    <d v="2012-02-06T00:00:00"/>
    <n v="84"/>
    <s v="Fittings"/>
    <m/>
    <s v="en término"/>
    <x v="0"/>
    <n v="1"/>
  </r>
  <r>
    <x v="5"/>
    <x v="5"/>
    <x v="0"/>
    <x v="1"/>
    <s v="111/11 BPB"/>
    <s v="4600334989 (GLOBAL 2011-2012)"/>
    <x v="520"/>
    <n v="415151.94"/>
    <x v="392"/>
    <n v="68"/>
    <d v="2012-02-13T00:00:00"/>
    <s v="Salvador"/>
    <d v="2012-01-10T00:00:00"/>
    <x v="48"/>
    <d v="2012-01-18T00:00:00"/>
    <d v="2012-01-19T00:00:00"/>
    <d v="2012-02-06T00:00:00"/>
    <n v="61"/>
    <s v="153 bombas"/>
    <m/>
    <s v="en término"/>
    <x v="0"/>
    <n v="1"/>
  </r>
  <r>
    <x v="5"/>
    <x v="5"/>
    <x v="0"/>
    <x v="1"/>
    <s v="111/11 BPB"/>
    <s v="4600334989 (GLOBAL 2011-2012)"/>
    <x v="521"/>
    <n v="3399.92"/>
    <x v="393"/>
    <n v="63"/>
    <d v="2012-02-13T00:00:00"/>
    <s v="Salvador"/>
    <d v="2012-01-10T00:00:00"/>
    <x v="48"/>
    <d v="2012-01-18T00:00:00"/>
    <d v="2012-01-19T00:00:00"/>
    <d v="2012-02-06T00:00:00"/>
    <n v="56"/>
    <s v="Fittings"/>
    <m/>
    <s v="en término"/>
    <x v="0"/>
    <n v="1"/>
  </r>
  <r>
    <x v="5"/>
    <x v="5"/>
    <x v="0"/>
    <x v="1"/>
    <s v="111/11 BPB"/>
    <s v="4600334989 (GLOBAL 2011-2012)"/>
    <x v="522"/>
    <n v="145152.45000000001"/>
    <x v="394"/>
    <n v="93"/>
    <d v="2012-01-26T00:00:00"/>
    <s v="Salvador"/>
    <d v="2012-01-10T00:00:00"/>
    <x v="86"/>
    <d v="2012-01-19T00:00:00"/>
    <d v="2012-01-20T00:00:00"/>
    <d v="2012-02-06T00:00:00"/>
    <n v="104"/>
    <s v="65 Bombas+fittings"/>
    <m/>
    <s v="en término"/>
    <x v="0"/>
    <n v="1"/>
  </r>
  <r>
    <x v="5"/>
    <x v="5"/>
    <x v="0"/>
    <x v="0"/>
    <s v="100/11 BBR"/>
    <s v="Petroreconcavo 111601"/>
    <x v="523"/>
    <n v="44559"/>
    <x v="395"/>
    <n v="118"/>
    <d v="2012-01-23T00:00:00"/>
    <s v="Salvador"/>
    <d v="2012-01-10T00:00:00"/>
    <x v="19"/>
    <d v="2012-01-18T00:00:00"/>
    <d v="2012-01-19T00:00:00"/>
    <d v="2012-02-06T00:00:00"/>
    <n v="132"/>
    <s v="Barriles - ENVIAR EN CONTENEDOR COMPLETO EXCLUSIVO"/>
    <m/>
    <s v="en término"/>
    <x v="0"/>
    <n v="1"/>
  </r>
  <r>
    <x v="5"/>
    <x v="5"/>
    <x v="0"/>
    <x v="1"/>
    <s v="111/11 BPB"/>
    <s v="4600334989 (GLOBAL 2011-2012)"/>
    <x v="524"/>
    <n v="13078.95"/>
    <x v="396"/>
    <n v="90"/>
    <d v="2012-02-15T00:00:00"/>
    <s v="Salvador"/>
    <d v="2012-02-13T00:00:00"/>
    <x v="23"/>
    <d v="2012-02-22T00:00:00"/>
    <d v="2012-02-23T00:00:00"/>
    <d v="2012-03-12T00:00:00"/>
    <n v="116"/>
    <s v="fittings"/>
    <s v="Se solicito la correccion a Petrobras los valores unit. Y fletes"/>
    <s v="atrasado"/>
    <x v="1"/>
    <n v="0"/>
  </r>
  <r>
    <x v="5"/>
    <x v="5"/>
    <x v="0"/>
    <x v="1"/>
    <s v="111/11 BPB"/>
    <s v="4600334989 (GLOBAL 2011-2012)"/>
    <x v="525"/>
    <n v="138991.44"/>
    <x v="396"/>
    <n v="91"/>
    <d v="2012-02-16T00:00:00"/>
    <s v="Salvador"/>
    <d v="2012-02-13T00:00:00"/>
    <x v="32"/>
    <d v="2012-02-22T00:00:00"/>
    <d v="2012-02-23T00:00:00"/>
    <d v="2012-03-12T00:00:00"/>
    <n v="116"/>
    <s v="Fittings"/>
    <m/>
    <s v="atrasado"/>
    <x v="1"/>
    <n v="0"/>
  </r>
  <r>
    <x v="5"/>
    <x v="5"/>
    <x v="0"/>
    <x v="1"/>
    <s v="111/11 BPB"/>
    <s v="4600334989 (GLOBAL 2011-2012)"/>
    <x v="526"/>
    <n v="76552.27"/>
    <x v="397"/>
    <n v="145"/>
    <d v="2012-02-15T00:00:00"/>
    <s v="Salvador"/>
    <d v="2012-02-13T00:00:00"/>
    <x v="23"/>
    <d v="2012-02-22T00:00:00"/>
    <d v="2012-02-23T00:00:00"/>
    <d v="2012-03-12T00:00:00"/>
    <n v="171"/>
    <s v="14 bombas"/>
    <m/>
    <s v="atrasado"/>
    <x v="1"/>
    <n v="0"/>
  </r>
  <r>
    <x v="5"/>
    <x v="5"/>
    <x v="0"/>
    <x v="0"/>
    <s v="136/11 BBR"/>
    <n v="4504379814"/>
    <x v="527"/>
    <n v="465"/>
    <x v="398"/>
    <n v="79"/>
    <d v="2012-03-16T00:00:00"/>
    <s v="Salvador"/>
    <d v="2012-02-13T00:00:00"/>
    <x v="67"/>
    <d v="2012-02-22T00:00:00"/>
    <d v="2012-02-23T00:00:00"/>
    <d v="2012-03-12T00:00:00"/>
    <n v="75"/>
    <s v="5 nipples - DESPACHAR CON OTRA CARGA"/>
    <m/>
    <s v="en término"/>
    <x v="1"/>
    <n v="1"/>
  </r>
  <r>
    <x v="5"/>
    <x v="5"/>
    <x v="0"/>
    <x v="1"/>
    <s v="111/11 BPB"/>
    <s v="4600334989 (GLOBAL 2011-2012)"/>
    <x v="528"/>
    <n v="241908.7"/>
    <x v="399"/>
    <n v="66"/>
    <d v="2012-03-12T00:00:00"/>
    <s v="Salvador"/>
    <d v="2012-03-07T00:00:00"/>
    <x v="15"/>
    <d v="2012-03-07T00:00:00"/>
    <d v="2012-03-15T00:00:00"/>
    <d v="2012-04-04T00:00:00"/>
    <n v="89"/>
    <s v="97 bombas"/>
    <m/>
    <s v="atrasado"/>
    <x v="2"/>
    <n v="0"/>
  </r>
  <r>
    <x v="5"/>
    <x v="5"/>
    <x v="0"/>
    <x v="1"/>
    <s v="111/11 BPB"/>
    <s v="4600334989 (GLOBAL 2011-2012)"/>
    <x v="529"/>
    <n v="6786.68"/>
    <x v="380"/>
    <n v="61"/>
    <d v="2012-03-12T00:00:00"/>
    <s v="Salvador"/>
    <d v="2012-03-07T00:00:00"/>
    <x v="15"/>
    <d v="2012-03-07T00:00:00"/>
    <d v="2012-03-15T00:00:00"/>
    <d v="2012-04-04T00:00:00"/>
    <n v="84"/>
    <s v="Fittings"/>
    <m/>
    <s v="atrasado"/>
    <x v="2"/>
    <n v="0"/>
  </r>
  <r>
    <x v="5"/>
    <x v="5"/>
    <x v="0"/>
    <x v="0"/>
    <s v="138/11 BBR"/>
    <n v="4504284854"/>
    <x v="530"/>
    <n v="21050"/>
    <x v="400"/>
    <n v="147"/>
    <d v="2012-04-02T00:00:00"/>
    <s v="Salvador"/>
    <d v="2012-03-07T00:00:00"/>
    <x v="18"/>
    <d v="2012-03-07T00:00:00"/>
    <d v="2012-03-15T00:00:00"/>
    <d v="2012-04-04T00:00:00"/>
    <n v="149"/>
    <s v="5 bombas"/>
    <m/>
    <s v="en término"/>
    <x v="2"/>
    <n v="1"/>
  </r>
  <r>
    <x v="5"/>
    <x v="5"/>
    <x v="0"/>
    <x v="1"/>
    <s v="111/11 BPB"/>
    <s v="4600334989 (GLOBAL 2011-2012)"/>
    <x v="531"/>
    <n v="60648.57"/>
    <x v="401"/>
    <n v="164"/>
    <d v="2012-02-06T00:00:00"/>
    <s v="Salvador"/>
    <d v="2012-03-07T00:00:00"/>
    <x v="94"/>
    <d v="2012-03-07T00:00:00"/>
    <d v="2012-03-15T00:00:00"/>
    <d v="2012-04-04T00:00:00"/>
    <n v="222"/>
    <s v="15 bombas"/>
    <m/>
    <s v="atrasado"/>
    <x v="2"/>
    <n v="0"/>
  </r>
  <r>
    <x v="5"/>
    <x v="5"/>
    <x v="0"/>
    <x v="1"/>
    <s v="111/11 BPB"/>
    <s v="4600334989 (GLOBAL 2011-2012)"/>
    <x v="532"/>
    <n v="78351.62"/>
    <x v="402"/>
    <n v="81"/>
    <d v="2012-02-21T00:00:00"/>
    <s v="Salvador"/>
    <d v="2012-03-07T00:00:00"/>
    <x v="110"/>
    <d v="2012-03-07T00:00:00"/>
    <d v="2012-03-15T00:00:00"/>
    <d v="2012-04-04T00:00:00"/>
    <n v="124"/>
    <s v="28 bombas "/>
    <m/>
    <s v="atrasado"/>
    <x v="2"/>
    <n v="0"/>
  </r>
  <r>
    <x v="5"/>
    <x v="5"/>
    <x v="0"/>
    <x v="1"/>
    <s v="111/11 BPB"/>
    <m/>
    <x v="533"/>
    <n v="81441.5"/>
    <x v="402"/>
    <n v="111"/>
    <d v="2012-03-22T00:00:00"/>
    <s v="Salvador"/>
    <d v="2012-03-20T00:00:00"/>
    <x v="47"/>
    <d v="2012-03-28T00:00:00"/>
    <d v="2012-03-31T00:00:00"/>
    <d v="2012-04-16T00:00:00"/>
    <n v="136"/>
    <s v="31 bombas "/>
    <m/>
    <s v="atrasado"/>
    <x v="2"/>
    <n v="0"/>
  </r>
  <r>
    <x v="5"/>
    <x v="5"/>
    <x v="0"/>
    <x v="0"/>
    <s v="127/11 BBR"/>
    <n v="4504425352"/>
    <x v="534"/>
    <n v="190"/>
    <x v="403"/>
    <n v="46"/>
    <d v="2012-03-11T00:00:00"/>
    <s v="Salvador"/>
    <d v="2012-03-16T00:00:00"/>
    <x v="12"/>
    <m/>
    <d v="2012-03-24T00:00:00"/>
    <d v="2012-03-27T00:00:00"/>
    <n v="62"/>
    <s v="Fittings"/>
    <m/>
    <s v="atrasado"/>
    <x v="2"/>
    <n v="0"/>
  </r>
  <r>
    <x v="5"/>
    <x v="5"/>
    <x v="0"/>
    <x v="1"/>
    <s v="111/11 BPB"/>
    <s v="4600334989 (GLOBAL 2011-2012)"/>
    <x v="535"/>
    <n v="100301.7"/>
    <x v="404"/>
    <n v="94"/>
    <d v="2012-03-22T00:00:00"/>
    <s v="Salvador"/>
    <d v="2012-03-20T00:00:00"/>
    <x v="47"/>
    <d v="2012-03-28T00:00:00"/>
    <d v="2012-03-31T00:00:00"/>
    <d v="2012-04-16T00:00:00"/>
    <n v="119"/>
    <s v="40 bombas + Fittings"/>
    <s v="Se solicito la correccion a Petrobras, los valores unitarios - RECIBIDA EL 2/01/12"/>
    <s v="atrasado"/>
    <x v="2"/>
    <n v="0"/>
  </r>
  <r>
    <x v="5"/>
    <x v="5"/>
    <x v="0"/>
    <x v="1"/>
    <s v="111/11 BPB"/>
    <s v="4600334989 (GLOBAL 2011-2012)"/>
    <x v="536"/>
    <n v="162.6"/>
    <x v="405"/>
    <n v="96"/>
    <d v="2012-04-04T00:00:00"/>
    <s v="Salvador"/>
    <d v="2012-03-20T00:00:00"/>
    <x v="19"/>
    <d v="2012-03-28T00:00:00"/>
    <d v="2012-03-31T00:00:00"/>
    <d v="2012-04-16T00:00:00"/>
    <n v="108"/>
    <s v="Fittings"/>
    <m/>
    <s v="en término"/>
    <x v="2"/>
    <n v="1"/>
  </r>
  <r>
    <x v="5"/>
    <x v="5"/>
    <x v="0"/>
    <x v="1"/>
    <s v="111/11 BPB"/>
    <s v="4600334989 (GLOBAL 2011-2012)"/>
    <x v="522"/>
    <n v="80797.3"/>
    <x v="394"/>
    <n v="153"/>
    <d v="2012-03-26T00:00:00"/>
    <s v="Salvador"/>
    <d v="2012-03-20T00:00:00"/>
    <x v="14"/>
    <d v="2012-03-28T00:00:00"/>
    <d v="2012-03-31T00:00:00"/>
    <d v="2012-04-16T00:00:00"/>
    <n v="174"/>
    <s v="65 Bombas+fittings"/>
    <m/>
    <s v="atrasado"/>
    <x v="2"/>
    <n v="0"/>
  </r>
  <r>
    <x v="5"/>
    <x v="5"/>
    <x v="0"/>
    <x v="0"/>
    <s v="142/11 BBR"/>
    <n v="49503"/>
    <x v="537"/>
    <n v="5514"/>
    <x v="406"/>
    <n v="91"/>
    <d v="2012-04-23T00:00:00"/>
    <s v="Salvador"/>
    <d v="2012-04-10T00:00:00"/>
    <x v="13"/>
    <d v="2012-04-19T00:00:00"/>
    <d v="2012-05-04T00:00:00"/>
    <d v="2012-05-24T00:00:00"/>
    <n v="122"/>
    <s v="Bombas y  nipples"/>
    <m/>
    <s v="atrasado"/>
    <x v="10"/>
    <n v="0"/>
  </r>
  <r>
    <x v="5"/>
    <x v="5"/>
    <x v="0"/>
    <x v="0"/>
    <s v="025/12 BBR"/>
    <n v="4504514958"/>
    <x v="538"/>
    <n v="704"/>
    <x v="382"/>
    <n v="70"/>
    <d v="2012-04-10T00:00:00"/>
    <s v="Salvador"/>
    <d v="2012-04-10T00:00:00"/>
    <x v="82"/>
    <d v="2012-04-19T00:00:00"/>
    <d v="2012-05-04T00:00:00"/>
    <d v="2012-05-24T00:00:00"/>
    <n v="71"/>
    <s v=" Fittings"/>
    <m/>
    <s v="atrasado"/>
    <x v="10"/>
    <n v="0"/>
  </r>
  <r>
    <x v="5"/>
    <x v="5"/>
    <x v="0"/>
    <x v="1"/>
    <s v="111/11 BPB"/>
    <s v="4600334989 (GLOBAL 2011-2012)"/>
    <x v="539"/>
    <n v="218061.53"/>
    <x v="379"/>
    <n v="62"/>
    <d v="2012-04-17T00:00:00"/>
    <s v="Salvador"/>
    <d v="2012-04-10T00:00:00"/>
    <x v="7"/>
    <d v="2012-04-19T00:00:00"/>
    <d v="2012-05-04T00:00:00"/>
    <d v="2012-05-24T00:00:00"/>
    <n v="99"/>
    <s v="87 bombas"/>
    <m/>
    <s v="atrasado"/>
    <x v="10"/>
    <n v="0"/>
  </r>
  <r>
    <x v="5"/>
    <x v="5"/>
    <x v="0"/>
    <x v="1"/>
    <s v="111/11 BPB"/>
    <s v="4600334989 (GLOBAL 2011-2012)"/>
    <x v="540"/>
    <n v="3735.56"/>
    <x v="379"/>
    <n v="55"/>
    <d v="2012-04-10T00:00:00"/>
    <s v="Salvador"/>
    <d v="2012-04-10T00:00:00"/>
    <x v="82"/>
    <d v="2012-04-19T00:00:00"/>
    <d v="2012-05-04T00:00:00"/>
    <d v="2012-05-24T00:00:00"/>
    <n v="99"/>
    <s v="Fittings"/>
    <m/>
    <s v="atrasado"/>
    <x v="10"/>
    <n v="0"/>
  </r>
  <r>
    <x v="5"/>
    <x v="5"/>
    <x v="0"/>
    <x v="1"/>
    <s v="111/11 BPB"/>
    <s v="4600334989 (GLOBAL 2011-2012)"/>
    <x v="541"/>
    <n v="18279.75"/>
    <x v="407"/>
    <n v="94"/>
    <d v="2012-04-16T00:00:00"/>
    <s v="Salvador"/>
    <d v="2012-04-10T00:00:00"/>
    <x v="8"/>
    <d v="2012-04-19T00:00:00"/>
    <d v="2012-05-04T00:00:00"/>
    <d v="2012-05-24T00:00:00"/>
    <n v="132"/>
    <s v="Fittings"/>
    <m/>
    <s v="atrasado"/>
    <x v="10"/>
    <n v="0"/>
  </r>
  <r>
    <x v="5"/>
    <x v="5"/>
    <x v="0"/>
    <x v="1"/>
    <s v="111/11 BPB"/>
    <s v="4600334989 (GLOBAL 2011-2012)"/>
    <x v="542"/>
    <n v="6029.81"/>
    <x v="408"/>
    <n v="63"/>
    <d v="2012-05-14T00:00:00"/>
    <s v="Salvador"/>
    <d v="2012-05-08T00:00:00"/>
    <x v="11"/>
    <d v="2012-05-15T00:00:00"/>
    <d v="2012-05-16T00:00:00"/>
    <d v="2012-06-05T00:00:00"/>
    <n v="85"/>
    <s v="Fittings"/>
    <m/>
    <s v="atrasado"/>
    <x v="3"/>
    <n v="0"/>
  </r>
  <r>
    <x v="5"/>
    <x v="5"/>
    <x v="0"/>
    <x v="1"/>
    <s v="111/11 BPB"/>
    <s v="4600334989 (GLOBAL 2011-2012)"/>
    <x v="543"/>
    <n v="172483.51"/>
    <x v="409"/>
    <n v="96"/>
    <d v="2012-04-25T00:00:00"/>
    <s v="Salvador"/>
    <d v="2012-05-08T00:00:00"/>
    <x v="95"/>
    <d v="2012-05-15T00:00:00"/>
    <d v="2012-05-16T00:00:00"/>
    <d v="2012-06-05T00:00:00"/>
    <n v="137"/>
    <s v="75 bombas"/>
    <m/>
    <s v="atrasado"/>
    <x v="3"/>
    <n v="0"/>
  </r>
  <r>
    <x v="5"/>
    <x v="5"/>
    <x v="0"/>
    <x v="1"/>
    <s v="111/11 BPB"/>
    <s v="4600334989 (GLOBAL 2011-2012)"/>
    <x v="544"/>
    <n v="1034.25"/>
    <x v="410"/>
    <n v="93"/>
    <d v="2012-04-26T00:00:00"/>
    <s v="Salvador"/>
    <d v="2012-05-08T00:00:00"/>
    <x v="92"/>
    <d v="2012-05-15T00:00:00"/>
    <d v="2012-05-16T00:00:00"/>
    <d v="2012-06-05T00:00:00"/>
    <n v="133"/>
    <s v="Fittings"/>
    <m/>
    <s v="atrasado"/>
    <x v="3"/>
    <n v="0"/>
  </r>
  <r>
    <x v="5"/>
    <x v="5"/>
    <x v="0"/>
    <x v="1"/>
    <s v="111/11 BPB"/>
    <s v="4600334989 (GLOBAL 2011-2012)"/>
    <x v="545"/>
    <n v="11455.83"/>
    <x v="409"/>
    <n v="94"/>
    <d v="2012-04-23T00:00:00"/>
    <s v="Salvador"/>
    <d v="2012-05-08T00:00:00"/>
    <x v="110"/>
    <d v="2012-05-15T00:00:00"/>
    <d v="2012-05-16T00:00:00"/>
    <d v="2012-06-05T00:00:00"/>
    <n v="137"/>
    <s v="Fittings"/>
    <m/>
    <s v="atrasado"/>
    <x v="3"/>
    <n v="0"/>
  </r>
  <r>
    <x v="5"/>
    <x v="5"/>
    <x v="0"/>
    <x v="1"/>
    <s v="111/11 BPB"/>
    <s v="4600334989 (GLOBAL 2011-2012)"/>
    <x v="546"/>
    <n v="212012.04"/>
    <x v="408"/>
    <n v="63"/>
    <d v="2012-05-14T00:00:00"/>
    <s v="Salvador"/>
    <d v="2012-05-15T00:00:00"/>
    <x v="13"/>
    <m/>
    <d v="2012-05-25T00:00:00"/>
    <d v="2012-06-14T00:00:00"/>
    <n v="94"/>
    <s v="77 bombas"/>
    <m/>
    <s v="atrasado"/>
    <x v="3"/>
    <n v="0"/>
  </r>
  <r>
    <x v="5"/>
    <x v="5"/>
    <x v="0"/>
    <x v="0"/>
    <s v="020/12 BBR"/>
    <n v="3710"/>
    <x v="547"/>
    <n v="7322"/>
    <x v="411"/>
    <n v="70"/>
    <d v="2012-05-22T00:00:00"/>
    <s v="Salvador"/>
    <d v="2012-05-15T00:00:00"/>
    <x v="15"/>
    <m/>
    <d v="2012-05-25T00:00:00"/>
    <d v="2012-06-14T00:00:00"/>
    <n v="93"/>
    <s v="2 bombas + Fittings"/>
    <m/>
    <s v="atrasado"/>
    <x v="3"/>
    <n v="0"/>
  </r>
  <r>
    <x v="5"/>
    <x v="5"/>
    <x v="0"/>
    <x v="1"/>
    <s v="111/11 BPB"/>
    <s v="4600334989 (GLOBAL 2011-2012)"/>
    <x v="548"/>
    <n v="282986.58"/>
    <x v="412"/>
    <n v="92"/>
    <d v="2012-05-31T00:00:00"/>
    <s v="Salvador"/>
    <d v="2012-05-29T00:00:00"/>
    <x v="0"/>
    <d v="2012-06-05T00:00:00"/>
    <d v="2012-06-15T00:00:00"/>
    <d v="2012-07-02T00:00:00"/>
    <n v="124"/>
    <s v="108 bombas"/>
    <m/>
    <s v="atrasado"/>
    <x v="3"/>
    <n v="0"/>
  </r>
  <r>
    <x v="5"/>
    <x v="5"/>
    <x v="0"/>
    <x v="0"/>
    <s v="138/11 BBR"/>
    <n v="4504284854"/>
    <x v="530"/>
    <n v="31470"/>
    <x v="400"/>
    <n v="147"/>
    <d v="2012-04-02T00:00:00"/>
    <s v="Salvador"/>
    <d v="2012-05-29T00:00:00"/>
    <x v="122"/>
    <d v="2012-06-05T00:00:00"/>
    <d v="2012-06-15T00:00:00"/>
    <d v="2012-07-02T00:00:00"/>
    <n v="238"/>
    <s v="5 bombas"/>
    <s v="Falta la cotizacion de Bolland a Bolland do Brasil"/>
    <s v="atrasado"/>
    <x v="3"/>
    <n v="0"/>
  </r>
  <r>
    <x v="5"/>
    <x v="5"/>
    <x v="0"/>
    <x v="1"/>
    <s v="111/11 BPB"/>
    <s v="4600334989 (GLOBAL 2011-2012)"/>
    <x v="549"/>
    <n v="4341.84"/>
    <x v="413"/>
    <n v="61"/>
    <d v="2012-06-18T00:00:00"/>
    <s v="Salvador"/>
    <d v="2012-06-05T00:00:00"/>
    <x v="46"/>
    <d v="2012-06-12T00:00:00"/>
    <d v="2012-06-15T00:00:00"/>
    <d v="2012-07-02T00:00:00"/>
    <n v="75"/>
    <s v="Fittings"/>
    <m/>
    <s v="en término"/>
    <x v="4"/>
    <n v="1"/>
  </r>
  <r>
    <x v="5"/>
    <x v="5"/>
    <x v="0"/>
    <x v="1"/>
    <s v="111/11 BPB"/>
    <s v="4600334989 (GLOBAL 2011-2012)"/>
    <x v="550"/>
    <n v="84014.65"/>
    <x v="414"/>
    <n v="102"/>
    <d v="2012-06-05T00:00:00"/>
    <s v="Salvador"/>
    <d v="2012-06-05T00:00:00"/>
    <x v="30"/>
    <d v="2012-06-12T00:00:00"/>
    <d v="2012-06-15T00:00:00"/>
    <d v="2012-07-02T00:00:00"/>
    <n v="129"/>
    <s v="32 bombas"/>
    <m/>
    <s v="atrasado"/>
    <x v="4"/>
    <n v="0"/>
  </r>
  <r>
    <x v="5"/>
    <x v="5"/>
    <x v="0"/>
    <x v="1"/>
    <s v="111/11 BPB"/>
    <s v="4600334989 (GLOBAL 2011-2012)"/>
    <x v="551"/>
    <n v="53906.05"/>
    <x v="381"/>
    <n v="96"/>
    <d v="2012-06-26T00:00:00"/>
    <s v="Salvador"/>
    <d v="2012-06-19T00:00:00"/>
    <x v="15"/>
    <d v="2012-06-26T00:00:00"/>
    <d v="2012-06-29T00:00:00"/>
    <d v="2012-07-16T00:00:00"/>
    <n v="116"/>
    <s v="8 bombas + fittings"/>
    <m/>
    <s v="atrasado"/>
    <x v="4"/>
    <n v="0"/>
  </r>
  <r>
    <x v="5"/>
    <x v="5"/>
    <x v="0"/>
    <x v="1"/>
    <s v="111/11 BPB"/>
    <s v="4600334989 (GLOBAL 2011-2012)"/>
    <x v="552"/>
    <n v="25533.65"/>
    <x v="415"/>
    <n v="90"/>
    <d v="2012-06-21T00:00:00"/>
    <s v="Salvador"/>
    <d v="2012-06-05T00:00:00"/>
    <x v="86"/>
    <d v="2012-06-12T00:00:00"/>
    <d v="2012-06-15T00:00:00"/>
    <d v="2012-07-02T00:00:00"/>
    <n v="101"/>
    <s v="3 bombas + fittings"/>
    <m/>
    <s v="en término"/>
    <x v="4"/>
    <n v="1"/>
  </r>
  <r>
    <x v="5"/>
    <x v="5"/>
    <x v="0"/>
    <x v="1"/>
    <s v="111/11 BPB"/>
    <s v="4600334989 (GLOBAL 2011-2012)"/>
    <x v="553"/>
    <n v="67109.95"/>
    <x v="416"/>
    <n v="91"/>
    <d v="2012-06-27T00:00:00"/>
    <s v="Salvador"/>
    <d v="2012-06-19T00:00:00"/>
    <x v="11"/>
    <d v="2012-06-26T00:00:00"/>
    <d v="2012-06-29T00:00:00"/>
    <d v="2012-07-16T00:00:00"/>
    <n v="110"/>
    <s v="30 bombas"/>
    <m/>
    <s v="atrasado"/>
    <x v="4"/>
    <n v="0"/>
  </r>
  <r>
    <x v="5"/>
    <x v="5"/>
    <x v="0"/>
    <x v="1"/>
    <s v="111/11 BPB"/>
    <s v="4600334989 (GLOBAL 2011-2012)"/>
    <x v="554"/>
    <n v="267532.28999999998"/>
    <x v="417"/>
    <n v="101"/>
    <d v="2012-06-28T00:00:00"/>
    <s v="Salvador"/>
    <d v="2012-06-26T00:00:00"/>
    <x v="32"/>
    <d v="2012-07-03T00:00:00"/>
    <d v="2012-07-05T00:00:00"/>
    <d v="2012-07-25T00:00:00"/>
    <n v="128"/>
    <s v="103 bombas"/>
    <m/>
    <s v="atrasado"/>
    <x v="4"/>
    <n v="0"/>
  </r>
  <r>
    <x v="5"/>
    <x v="5"/>
    <x v="0"/>
    <x v="1"/>
    <s v="111/11 BPB"/>
    <s v="4600334989 (GLOBAL 2011-2012)"/>
    <x v="555"/>
    <n v="38985.21"/>
    <x v="418"/>
    <n v="94"/>
    <d v="2012-07-08T00:00:00"/>
    <s v="Salvador"/>
    <d v="2012-06-26T00:00:00"/>
    <x v="46"/>
    <d v="2012-07-03T00:00:00"/>
    <d v="2012-07-05T00:00:00"/>
    <d v="2012-07-25T00:00:00"/>
    <n v="111"/>
    <s v="Fittings"/>
    <m/>
    <s v="en término"/>
    <x v="4"/>
    <n v="1"/>
  </r>
  <r>
    <x v="5"/>
    <x v="5"/>
    <x v="0"/>
    <x v="1"/>
    <s v="111/11 BPB"/>
    <s v="4600334989 (GLOBAL 2011-2012)"/>
    <x v="556"/>
    <n v="119254.99"/>
    <x v="419"/>
    <n v="65"/>
    <d v="2012-07-20T00:00:00"/>
    <s v="Salvador"/>
    <d v="2012-07-02T00:00:00"/>
    <x v="77"/>
    <d v="2012-07-10T00:00:00"/>
    <d v="2012-07-12T00:00:00"/>
    <d v="2012-07-30T00:00:00"/>
    <n v="75"/>
    <s v="49 bombas"/>
    <m/>
    <s v="en término"/>
    <x v="5"/>
    <n v="1"/>
  </r>
  <r>
    <x v="5"/>
    <x v="5"/>
    <x v="0"/>
    <x v="1"/>
    <s v="111/11 BPB"/>
    <s v="4600334989 (GLOBAL 2011-2012)"/>
    <x v="557"/>
    <n v="4360.22"/>
    <x v="420"/>
    <n v="64"/>
    <d v="2012-07-20T00:00:00"/>
    <s v="Salvador"/>
    <d v="2012-07-02T00:00:00"/>
    <x v="77"/>
    <d v="2012-07-10T00:00:00"/>
    <d v="2012-07-12T00:00:00"/>
    <d v="2012-07-30T00:00:00"/>
    <n v="74"/>
    <s v="Fittings"/>
    <m/>
    <s v="en término"/>
    <x v="5"/>
    <n v="1"/>
  </r>
  <r>
    <x v="5"/>
    <x v="5"/>
    <x v="0"/>
    <x v="1"/>
    <s v="111/11 BPB"/>
    <s v="4600334989 (GLOBAL 2011-2012)"/>
    <x v="558"/>
    <n v="78397.19"/>
    <x v="421"/>
    <n v="90"/>
    <d v="2012-07-12T00:00:00"/>
    <s v="Salvador"/>
    <d v="2012-07-02T00:00:00"/>
    <x v="44"/>
    <d v="2012-07-10T00:00:00"/>
    <d v="2012-07-12T00:00:00"/>
    <d v="2012-07-30T00:00:00"/>
    <n v="108"/>
    <s v="18 bombas + Fittings"/>
    <m/>
    <s v="en término"/>
    <x v="5"/>
    <n v="1"/>
  </r>
  <r>
    <x v="5"/>
    <x v="5"/>
    <x v="0"/>
    <x v="0"/>
    <s v="036/12 BBR"/>
    <s v="088-2012"/>
    <x v="559"/>
    <n v="43550.8"/>
    <x v="422"/>
    <n v="77"/>
    <d v="2012-07-24T00:00:00"/>
    <s v="Salvador"/>
    <d v="2012-07-10T00:00:00"/>
    <x v="19"/>
    <m/>
    <d v="2012-07-20T00:00:00"/>
    <d v="2012-08-14T00:00:00"/>
    <n v="98"/>
    <s v="20 bombas"/>
    <m/>
    <s v="en término"/>
    <x v="5"/>
    <n v="1"/>
  </r>
  <r>
    <x v="5"/>
    <x v="5"/>
    <x v="0"/>
    <x v="1"/>
    <s v="027/10 BBR"/>
    <s v="4600313538 (Global vastagos)"/>
    <x v="560"/>
    <n v="41280"/>
    <x v="423"/>
    <n v="85"/>
    <d v="2012-07-21T00:00:00"/>
    <s v="Salvador"/>
    <d v="2012-07-10T00:00:00"/>
    <x v="2"/>
    <m/>
    <d v="2012-07-20T00:00:00"/>
    <d v="2012-08-14T00:00:00"/>
    <n v="109"/>
    <s v="90 vastagos"/>
    <m/>
    <s v="en término"/>
    <x v="5"/>
    <n v="1"/>
  </r>
  <r>
    <x v="5"/>
    <x v="5"/>
    <x v="0"/>
    <x v="1"/>
    <s v="111/11 BPB"/>
    <s v="4600334989 (GLOBAL 2011-2012)"/>
    <x v="561"/>
    <n v="96264.43"/>
    <x v="424"/>
    <n v="97"/>
    <d v="2012-08-19T00:00:00"/>
    <s v="Salvador"/>
    <d v="2012-07-31T00:00:00"/>
    <x v="86"/>
    <d v="2012-08-07T00:00:00"/>
    <d v="2012-08-13T00:00:00"/>
    <d v="2012-08-27T00:00:00"/>
    <n v="105"/>
    <s v="35 bombas"/>
    <m/>
    <s v="en término"/>
    <x v="5"/>
    <n v="1"/>
  </r>
  <r>
    <x v="5"/>
    <x v="5"/>
    <x v="0"/>
    <x v="1"/>
    <s v="111/11 BPB"/>
    <s v="4600334989 (GLOBAL 2011-2012)"/>
    <x v="562"/>
    <n v="131464.23000000001"/>
    <x v="372"/>
    <n v="63"/>
    <d v="2012-08-14T00:00:00"/>
    <s v="Salvador"/>
    <d v="2012-07-31T00:00:00"/>
    <x v="2"/>
    <d v="2012-08-07T00:00:00"/>
    <d v="2012-08-13T00:00:00"/>
    <d v="2012-08-27T00:00:00"/>
    <n v="76"/>
    <s v="49 bombas"/>
    <m/>
    <s v="en término"/>
    <x v="5"/>
    <n v="1"/>
  </r>
  <r>
    <x v="5"/>
    <x v="5"/>
    <x v="0"/>
    <x v="1"/>
    <s v="111/11 BPB"/>
    <s v="4600334989 (GLOBAL 2011-2012)"/>
    <x v="563"/>
    <n v="3837.04"/>
    <x v="425"/>
    <n v="62"/>
    <d v="2012-08-14T00:00:00"/>
    <s v="Salvador"/>
    <d v="2012-07-31T00:00:00"/>
    <x v="2"/>
    <d v="2012-08-07T00:00:00"/>
    <d v="2012-08-13T00:00:00"/>
    <d v="2012-08-27T00:00:00"/>
    <n v="75"/>
    <s v="Fittings"/>
    <m/>
    <s v="en término"/>
    <x v="5"/>
    <n v="1"/>
  </r>
  <r>
    <x v="5"/>
    <x v="5"/>
    <x v="0"/>
    <x v="1"/>
    <s v="111/11 BPB"/>
    <s v="4600334989 (GLOBAL 2011-2012)"/>
    <x v="564"/>
    <n v="131689.13"/>
    <x v="426"/>
    <n v="95"/>
    <d v="2012-08-24T00:00:00"/>
    <s v="Salvador"/>
    <d v="2012-08-13T00:00:00"/>
    <x v="2"/>
    <d v="2012-08-21T00:00:00"/>
    <d v="2012-08-23T00:00:00"/>
    <d v="2012-09-10T00:00:00"/>
    <n v="112"/>
    <s v="45 bombas + Fittings - 1° ENVIO"/>
    <m/>
    <s v="en término"/>
    <x v="6"/>
    <n v="1"/>
  </r>
  <r>
    <x v="5"/>
    <x v="5"/>
    <x v="0"/>
    <x v="1"/>
    <s v="111/11 BPB"/>
    <s v="4600334989 (GLOBAL 2011-2012)"/>
    <x v="565"/>
    <n v="335577.2"/>
    <x v="427"/>
    <n v="121"/>
    <d v="2012-08-29T00:00:00"/>
    <s v="Salvador"/>
    <d v="2012-08-13T00:00:00"/>
    <x v="86"/>
    <d v="2012-08-21T00:00:00"/>
    <d v="2012-08-23T00:00:00"/>
    <d v="2012-09-10T00:00:00"/>
    <n v="133"/>
    <s v="115 bombas + Fittings"/>
    <m/>
    <s v="en término"/>
    <x v="6"/>
    <n v="1"/>
  </r>
  <r>
    <x v="5"/>
    <x v="5"/>
    <x v="0"/>
    <x v="1"/>
    <s v="027/10 BBR"/>
    <s v="4600313538 (Global vastagos)"/>
    <x v="566"/>
    <n v="13760"/>
    <x v="372"/>
    <n v="72"/>
    <d v="2012-08-23T00:00:00"/>
    <s v="Salvador"/>
    <d v="2012-08-13T00:00:00"/>
    <x v="44"/>
    <d v="2012-08-21T00:00:00"/>
    <d v="2012-08-23T00:00:00"/>
    <d v="2012-09-10T00:00:00"/>
    <n v="90"/>
    <s v="30 vastagos"/>
    <m/>
    <s v="en término"/>
    <x v="6"/>
    <n v="1"/>
  </r>
  <r>
    <x v="5"/>
    <x v="5"/>
    <x v="0"/>
    <x v="1"/>
    <s v="121/11 BPB"/>
    <s v="4600351379 (REPUESTOS 2012)"/>
    <x v="567"/>
    <n v="41502.31"/>
    <x v="423"/>
    <n v="102"/>
    <d v="2012-08-07T00:00:00"/>
    <s v="Salvador"/>
    <d v="2012-08-13T00:00:00"/>
    <x v="5"/>
    <d v="2012-08-21T00:00:00"/>
    <d v="2012-08-23T00:00:00"/>
    <d v="2012-09-10T00:00:00"/>
    <n v="136"/>
    <s v="Fittings"/>
    <m/>
    <s v="atrasado"/>
    <x v="6"/>
    <n v="0"/>
  </r>
  <r>
    <x v="5"/>
    <x v="5"/>
    <x v="0"/>
    <x v="1"/>
    <s v="027/10 BBR"/>
    <s v="4600313538 (Global vastagos)"/>
    <x v="568"/>
    <n v="13760"/>
    <x v="428"/>
    <n v="71"/>
    <d v="2012-09-21T00:00:00"/>
    <s v="Salvador"/>
    <d v="2012-09-04T00:00:00"/>
    <x v="46"/>
    <d v="2012-09-13T00:00:00"/>
    <d v="2012-09-18T00:00:00"/>
    <d v="2012-09-30T00:00:00"/>
    <n v="80"/>
    <s v="30 vastagos"/>
    <m/>
    <s v="en término"/>
    <x v="7"/>
    <n v="1"/>
  </r>
  <r>
    <x v="5"/>
    <x v="5"/>
    <x v="0"/>
    <x v="1"/>
    <s v="121/11 BPB"/>
    <s v="4600351379 (REPUESTOS 2012)"/>
    <x v="569"/>
    <n v="21919.05"/>
    <x v="425"/>
    <n v="92"/>
    <d v="2012-09-13T00:00:00"/>
    <s v="Salvador"/>
    <d v="2012-09-04T00:00:00"/>
    <x v="14"/>
    <d v="2012-09-13T00:00:00"/>
    <d v="2012-09-18T00:00:00"/>
    <d v="2012-09-30T00:00:00"/>
    <n v="109"/>
    <s v="Fittings"/>
    <m/>
    <s v="atrasado"/>
    <x v="7"/>
    <n v="0"/>
  </r>
  <r>
    <x v="5"/>
    <x v="5"/>
    <x v="0"/>
    <x v="1"/>
    <s v="111/11 BPB"/>
    <s v="4600334989 (GLOBAL 2011-2012)"/>
    <x v="570"/>
    <n v="99520.35"/>
    <x v="429"/>
    <n v="62"/>
    <d v="2012-09-11T00:00:00"/>
    <s v="Salvador"/>
    <d v="2012-09-04T00:00:00"/>
    <x v="32"/>
    <d v="2012-09-13T00:00:00"/>
    <d v="2012-09-18T00:00:00"/>
    <d v="2012-09-30T00:00:00"/>
    <n v="81"/>
    <s v="43 bombas"/>
    <m/>
    <s v="atrasado"/>
    <x v="7"/>
    <n v="0"/>
  </r>
  <r>
    <x v="5"/>
    <x v="5"/>
    <x v="0"/>
    <x v="1"/>
    <s v="111/11 BPB"/>
    <s v="4600334989 (GLOBAL 2011-2012)"/>
    <x v="571"/>
    <n v="4752.12"/>
    <x v="430"/>
    <n v="63"/>
    <d v="2012-09-14T00:00:00"/>
    <s v="Salvador"/>
    <d v="2012-09-04T00:00:00"/>
    <x v="9"/>
    <d v="2012-09-13T00:00:00"/>
    <d v="2012-09-18T00:00:00"/>
    <d v="2012-09-30T00:00:00"/>
    <n v="79"/>
    <s v="Fittings"/>
    <m/>
    <s v="atrasado"/>
    <x v="7"/>
    <n v="0"/>
  </r>
  <r>
    <x v="5"/>
    <x v="5"/>
    <x v="0"/>
    <x v="1"/>
    <s v="121/11 BPB"/>
    <s v="4600334989 (GLOBAL 2011-2012)"/>
    <x v="572"/>
    <n v="275919.86"/>
    <x v="385"/>
    <n v="91"/>
    <d v="2012-09-25T00:00:00"/>
    <s v="Salvador"/>
    <d v="2012-09-18T00:00:00"/>
    <x v="15"/>
    <d v="2012-09-25T00:00:00"/>
    <d v="2012-09-28T00:00:00"/>
    <d v="2012-10-15T00:00:00"/>
    <n v="111"/>
    <s v="71 bombas + Fittings"/>
    <s v="Se solicito la correccion a Petrobras de todos los precios de la PCS.  Se postergo la salida de Planta por demora en la entrega de unas valvulas del exterior."/>
    <s v="atrasado"/>
    <x v="7"/>
    <n v="0"/>
  </r>
  <r>
    <x v="5"/>
    <x v="5"/>
    <x v="0"/>
    <x v="1"/>
    <s v="111/11 BPB"/>
    <s v="4600334989 (GLOBAL 2011-2012)"/>
    <x v="573"/>
    <n v="169793.25"/>
    <x v="431"/>
    <n v="99"/>
    <d v="2012-09-28T00:00:00"/>
    <s v="Salvador"/>
    <d v="2012-09-18T00:00:00"/>
    <x v="44"/>
    <d v="2012-09-25T00:00:00"/>
    <d v="2012-09-28T00:00:00"/>
    <d v="2012-10-15T00:00:00"/>
    <n v="116"/>
    <s v="43 bombas + Fittings"/>
    <s v="Se postergo la salida de Planta por demora en la entrega de unas valvulas del exterior."/>
    <s v="en término"/>
    <x v="7"/>
    <n v="1"/>
  </r>
  <r>
    <x v="5"/>
    <x v="5"/>
    <x v="0"/>
    <x v="1"/>
    <s v="111/11 BPB"/>
    <s v="4600334989 (GLOBAL 2011-2012)"/>
    <x v="574"/>
    <n v="57152.2"/>
    <x v="432"/>
    <n v="67"/>
    <d v="2012-10-15T00:00:00"/>
    <s v="Salvador"/>
    <d v="2012-10-02T00:00:00"/>
    <x v="46"/>
    <d v="2012-10-09T00:00:00"/>
    <d v="2012-10-12T00:00:00"/>
    <d v="2012-10-29T00:00:00"/>
    <n v="81"/>
    <s v="30 bombas"/>
    <m/>
    <s v="en término"/>
    <x v="8"/>
    <n v="1"/>
  </r>
  <r>
    <x v="5"/>
    <x v="5"/>
    <x v="0"/>
    <x v="1"/>
    <s v="111/11 BPB"/>
    <s v="4600334989 (GLOBAL 2011-2012)"/>
    <x v="575"/>
    <n v="4567.8100000000004"/>
    <x v="432"/>
    <n v="67"/>
    <d v="2012-10-15T00:00:00"/>
    <s v="Salvador"/>
    <d v="2012-10-02T00:00:00"/>
    <x v="46"/>
    <d v="2012-10-09T00:00:00"/>
    <d v="2012-10-12T00:00:00"/>
    <d v="2012-10-29T00:00:00"/>
    <n v="81"/>
    <s v="Fittings"/>
    <m/>
    <s v="en término"/>
    <x v="8"/>
    <n v="1"/>
  </r>
  <r>
    <x v="5"/>
    <x v="5"/>
    <x v="0"/>
    <x v="1"/>
    <s v="027/10 BBR"/>
    <s v="4600313538 (Global vastagos)"/>
    <x v="576"/>
    <n v="13760"/>
    <x v="432"/>
    <n v="74"/>
    <d v="2012-10-22T00:00:00"/>
    <s v="Salvador"/>
    <d v="2012-10-02T00:00:00"/>
    <x v="49"/>
    <d v="2012-10-09T00:00:00"/>
    <d v="2012-10-12T00:00:00"/>
    <d v="2012-10-29T00:00:00"/>
    <n v="81"/>
    <s v="30 vastagos"/>
    <m/>
    <s v="en término"/>
    <x v="8"/>
    <n v="1"/>
  </r>
  <r>
    <x v="5"/>
    <x v="5"/>
    <x v="0"/>
    <x v="1"/>
    <s v="111/11 BPB"/>
    <s v="4600334989 (GLOBAL 2011-2012)"/>
    <x v="577"/>
    <n v="199095.87"/>
    <x v="433"/>
    <n v="113"/>
    <d v="2012-10-31T00:00:00"/>
    <s v="Salvador"/>
    <d v="2012-10-16T00:00:00"/>
    <x v="19"/>
    <d v="2012-10-23T00:00:00"/>
    <d v="2012-10-27T00:00:00"/>
    <d v="2012-11-12T00:00:00"/>
    <n v="125"/>
    <s v="77 bombas"/>
    <m/>
    <s v="en término"/>
    <x v="8"/>
    <n v="1"/>
  </r>
  <r>
    <x v="5"/>
    <x v="5"/>
    <x v="0"/>
    <x v="0"/>
    <s v="031/12 BBR"/>
    <n v="4504710477"/>
    <x v="578"/>
    <n v="189235"/>
    <x v="434"/>
    <n v="123"/>
    <d v="2012-11-04T00:00:00"/>
    <s v="Salvador"/>
    <d v="2012-10-30T00:00:00"/>
    <x v="14"/>
    <d v="2012-11-06T00:00:00"/>
    <d v="2012-11-09T00:00:00"/>
    <d v="2012-11-26T00:00:00"/>
    <n v="145"/>
    <s v="44 bombas - 2° ENVIO"/>
    <m/>
    <s v="atrasado"/>
    <x v="8"/>
    <n v="0"/>
  </r>
  <r>
    <x v="5"/>
    <x v="5"/>
    <x v="0"/>
    <x v="1"/>
    <s v="027/10 BBR"/>
    <s v="4600313538 (Global vastagos)"/>
    <x v="579"/>
    <n v="13760"/>
    <x v="435"/>
    <n v="74"/>
    <d v="2012-11-26T00:00:00"/>
    <s v="Salvador"/>
    <d v="2012-11-06T00:00:00"/>
    <x v="49"/>
    <d v="2012-11-13T00:00:00"/>
    <d v="2012-11-16T00:00:00"/>
    <d v="2012-12-03T00:00:00"/>
    <n v="81"/>
    <s v="30 vastagos"/>
    <m/>
    <s v="en término"/>
    <x v="9"/>
    <n v="1"/>
  </r>
  <r>
    <x v="5"/>
    <x v="5"/>
    <x v="0"/>
    <x v="0"/>
    <s v="077/12 BBR"/>
    <n v="4504751110"/>
    <x v="580"/>
    <n v="3750"/>
    <x v="436"/>
    <n v="45"/>
    <d v="2012-11-23T00:00:00"/>
    <s v="Salvador"/>
    <d v="2012-11-06T00:00:00"/>
    <x v="64"/>
    <d v="2012-11-13T00:00:00"/>
    <d v="2012-11-16T00:00:00"/>
    <d v="2012-12-03T00:00:00"/>
    <n v="55"/>
    <s v="Fittings"/>
    <m/>
    <s v="en término"/>
    <x v="9"/>
    <n v="1"/>
  </r>
  <r>
    <x v="5"/>
    <x v="5"/>
    <x v="0"/>
    <x v="0"/>
    <s v="102/12 BBR"/>
    <n v="4504930884"/>
    <x v="581"/>
    <n v="570"/>
    <x v="437"/>
    <n v="40"/>
    <d v="2012-11-26T00:00:00"/>
    <s v="Salvador"/>
    <d v="2012-11-06T00:00:00"/>
    <x v="49"/>
    <d v="2012-11-13T00:00:00"/>
    <d v="2012-11-16T00:00:00"/>
    <d v="2012-12-03T00:00:00"/>
    <n v="47"/>
    <s v="Fittings"/>
    <m/>
    <s v="en término"/>
    <x v="9"/>
    <n v="1"/>
  </r>
  <r>
    <x v="5"/>
    <x v="5"/>
    <x v="0"/>
    <x v="0"/>
    <s v="107/12 BBR"/>
    <s v="W. Petroleo 004201 y 004222"/>
    <x v="582"/>
    <n v="6720"/>
    <x v="386"/>
    <n v="70"/>
    <d v="2013-01-10T00:00:00"/>
    <s v="Salvador"/>
    <d v="2012-12-04T00:00:00"/>
    <x v="42"/>
    <d v="2012-12-11T00:00:00"/>
    <d v="2012-12-14T00:00:00"/>
    <d v="2012-12-31T00:00:00"/>
    <n v="60"/>
    <s v="2 bombas + nipples- W. PETROLEO"/>
    <m/>
    <s v="en término"/>
    <x v="11"/>
    <n v="1"/>
  </r>
  <r>
    <x v="5"/>
    <x v="5"/>
    <x v="0"/>
    <x v="0"/>
    <s v="125/12 BBR"/>
    <s v="W. Petroleo 4288"/>
    <x v="583"/>
    <n v="66"/>
    <x v="438"/>
    <n v="14"/>
    <d v="2012-12-13T00:00:00"/>
    <s v="Salvador"/>
    <d v="2012-12-18T00:00:00"/>
    <x v="100"/>
    <m/>
    <d v="2013-01-07T00:00:00"/>
    <d v="2013-01-09T00:00:00"/>
    <n v="41"/>
    <s v="Fittings"/>
    <s v="LLEVA EN MANO ALEJANDRO PIGNI"/>
    <s v="atrasado"/>
    <x v="11"/>
    <n v="0"/>
  </r>
  <r>
    <x v="5"/>
    <x v="5"/>
    <x v="0"/>
    <x v="1"/>
    <s v="111/11 BPB"/>
    <s v="4600334989 (GLOBAL 2011-2012)"/>
    <x v="564"/>
    <n v="81693.929999999993"/>
    <x v="426"/>
    <n v="156"/>
    <d v="2012-10-24T00:00:00"/>
    <s v="Salvador"/>
    <d v="2012-10-16T00:00:00"/>
    <x v="15"/>
    <d v="2012-10-23T00:00:00"/>
    <d v="2012-10-27T00:00:00"/>
    <d v="2012-11-12T00:00:00"/>
    <n v="175"/>
    <s v="25 bombas + Fittings - 2° ENVIO"/>
    <m/>
    <s v="atrasado"/>
    <x v="8"/>
    <n v="0"/>
  </r>
  <r>
    <x v="5"/>
    <x v="5"/>
    <x v="0"/>
    <x v="0"/>
    <s v="061/12 BBR"/>
    <n v="4504710969"/>
    <x v="584"/>
    <n v="4900"/>
    <x v="439"/>
    <n v="96"/>
    <d v="2012-10-10T00:00:00"/>
    <s v="Salvador"/>
    <d v="2012-09-18T00:00:00"/>
    <x v="52"/>
    <d v="2012-09-25T00:00:00"/>
    <d v="2012-09-28T00:00:00"/>
    <d v="2012-10-15T00:00:00"/>
    <n v="101"/>
    <s v="20 valvulas"/>
    <s v="Se postergo la salida de Planta por demora en la entrega de unas valvulas del exterior."/>
    <s v="en término"/>
    <x v="7"/>
    <n v="1"/>
  </r>
  <r>
    <x v="5"/>
    <x v="5"/>
    <x v="0"/>
    <x v="0"/>
    <s v="031/12 BBR"/>
    <n v="4504710477"/>
    <x v="578"/>
    <n v="51680"/>
    <x v="434"/>
    <n v="123"/>
    <d v="2012-11-04T00:00:00"/>
    <s v="Salvador"/>
    <d v="2012-10-02T00:00:00"/>
    <x v="59"/>
    <d v="2012-10-09T00:00:00"/>
    <d v="2012-10-12T00:00:00"/>
    <d v="2012-10-29T00:00:00"/>
    <n v="117"/>
    <s v="10 bombas - 1° ENVIO"/>
    <m/>
    <s v="en término"/>
    <x v="8"/>
    <n v="1"/>
  </r>
  <r>
    <x v="5"/>
    <x v="5"/>
    <x v="0"/>
    <x v="0"/>
    <s v="076/12 BBR"/>
    <n v="4504763495"/>
    <x v="585"/>
    <n v="4200"/>
    <x v="440"/>
    <n v="90"/>
    <d v="2012-10-22T00:00:00"/>
    <s v="Salvador"/>
    <d v="2012-09-18T00:00:00"/>
    <x v="90"/>
    <d v="2012-09-25T00:00:00"/>
    <d v="2012-09-28T00:00:00"/>
    <d v="2012-10-15T00:00:00"/>
    <n v="83"/>
    <s v="Fittings"/>
    <s v="Se postergo la salida de Planta por demora en la entrega de unas valvulas del exterior."/>
    <s v="en término"/>
    <x v="7"/>
    <n v="1"/>
  </r>
  <r>
    <x v="5"/>
    <x v="5"/>
    <x v="0"/>
    <x v="1"/>
    <s v="121/11 BPB"/>
    <s v="4600351379 (REPUESTOS 2012)"/>
    <x v="586"/>
    <n v="10651.82"/>
    <x v="432"/>
    <n v="95"/>
    <d v="2012-11-12T00:00:00"/>
    <s v="Salvador"/>
    <d v="2012-10-30T00:00:00"/>
    <x v="46"/>
    <d v="2012-11-06T00:00:00"/>
    <d v="2012-11-09T00:00:00"/>
    <d v="2012-11-26T00:00:00"/>
    <n v="109"/>
    <s v="Fittings"/>
    <m/>
    <s v="en término"/>
    <x v="8"/>
    <n v="1"/>
  </r>
  <r>
    <x v="5"/>
    <x v="5"/>
    <x v="0"/>
    <x v="0"/>
    <s v="082/12 BBR"/>
    <n v="4504801897"/>
    <x v="587"/>
    <n v="1590"/>
    <x v="432"/>
    <n v="90"/>
    <d v="2012-10-15T00:00:00"/>
    <s v="Salvador"/>
    <d v="2012-09-18T00:00:00"/>
    <x v="34"/>
    <d v="2012-09-25T00:00:00"/>
    <d v="2012-09-28T00:00:00"/>
    <d v="2012-10-15T00:00:00"/>
    <n v="67"/>
    <s v="Fittings"/>
    <s v="Se postergo la salida de Planta por demora en la entrega de unas valvulas del exterior."/>
    <s v="en término"/>
    <x v="7"/>
    <n v="1"/>
  </r>
  <r>
    <x v="5"/>
    <x v="5"/>
    <x v="0"/>
    <x v="1"/>
    <s v="027/10 BBR"/>
    <s v="4600313538 (Global vastagos)"/>
    <x v="588"/>
    <n v="54680.71"/>
    <x v="441"/>
    <n v="90"/>
    <d v="2012-11-13T00:00:00"/>
    <s v="Salvador"/>
    <d v="2012-11-06T00:00:00"/>
    <x v="15"/>
    <d v="2012-11-13T00:00:00"/>
    <d v="2012-11-16T00:00:00"/>
    <d v="2012-12-03T00:00:00"/>
    <n v="110"/>
    <s v="130 vastagos"/>
    <m/>
    <s v="atrasado"/>
    <x v="9"/>
    <n v="0"/>
  </r>
  <r>
    <x v="5"/>
    <x v="5"/>
    <x v="0"/>
    <x v="1"/>
    <s v="027/10 BBR"/>
    <s v="4600313538 (Global vastagos)"/>
    <x v="588"/>
    <n v="30420"/>
    <x v="441"/>
    <n v="155"/>
    <d v="2013-01-17T00:00:00"/>
    <s v="Salvador"/>
    <d v="2012-12-28T00:00:00"/>
    <x v="86"/>
    <d v="2013-01-08T00:00:00"/>
    <d v="2013-01-11T00:00:00"/>
    <d v="2013-01-28T00:00:00"/>
    <n v="166"/>
    <s v="60 vastagos"/>
    <m/>
    <s v="en término"/>
    <x v="11"/>
    <n v="1"/>
  </r>
  <r>
    <x v="5"/>
    <x v="5"/>
    <x v="0"/>
    <x v="1"/>
    <s v="111/11 BPB"/>
    <s v="4600334989 (GLOBAL 2011-2012)"/>
    <x v="589"/>
    <n v="94264.6"/>
    <x v="442"/>
    <n v="119"/>
    <d v="2012-11-30T00:00:00"/>
    <s v="Salvador"/>
    <d v="2012-11-13T00:00:00"/>
    <x v="64"/>
    <d v="2012-11-20T00:00:00"/>
    <d v="2012-11-23T00:00:00"/>
    <d v="2012-12-10T00:00:00"/>
    <n v="129"/>
    <s v="20 bombas + fittings"/>
    <m/>
    <s v="en término"/>
    <x v="9"/>
    <n v="1"/>
  </r>
  <r>
    <x v="5"/>
    <x v="5"/>
    <x v="0"/>
    <x v="1"/>
    <s v="111/11 BPB"/>
    <s v="4600334989 (GLOBAL 2011-2012)"/>
    <x v="590"/>
    <n v="43197.68"/>
    <x v="443"/>
    <n v="92"/>
    <d v="2012-12-11T00:00:00"/>
    <s v="Salvador"/>
    <d v="2012-11-06T00:00:00"/>
    <x v="48"/>
    <d v="2012-11-13T00:00:00"/>
    <d v="2012-11-16T00:00:00"/>
    <d v="2012-12-03T00:00:00"/>
    <n v="84"/>
    <s v="10 bombas + fittings"/>
    <m/>
    <s v="en término"/>
    <x v="9"/>
    <n v="1"/>
  </r>
  <r>
    <x v="5"/>
    <x v="5"/>
    <x v="0"/>
    <x v="1"/>
    <s v="111/11 BPB"/>
    <s v="4600334989 (GLOBAL 2011-2012)"/>
    <x v="591"/>
    <n v="61544.14"/>
    <x v="444"/>
    <n v="102"/>
    <d v="2012-12-14T00:00:00"/>
    <s v="Salvador"/>
    <d v="2012-12-04T00:00:00"/>
    <x v="44"/>
    <d v="2012-12-11T00:00:00"/>
    <d v="2012-12-14T00:00:00"/>
    <d v="2012-12-31T00:00:00"/>
    <n v="119"/>
    <s v="26 bombas"/>
    <m/>
    <s v="en término"/>
    <x v="11"/>
    <n v="1"/>
  </r>
  <r>
    <x v="5"/>
    <x v="5"/>
    <x v="0"/>
    <x v="1"/>
    <s v="111/11 BPB"/>
    <s v="4600334989 (GLOBAL 2011-2012)"/>
    <x v="592"/>
    <n v="4476.21"/>
    <x v="435"/>
    <n v="64"/>
    <d v="2012-11-16T00:00:00"/>
    <s v="Salvador"/>
    <d v="2012-11-06T00:00:00"/>
    <x v="44"/>
    <d v="2012-11-13T00:00:00"/>
    <d v="2012-11-16T00:00:00"/>
    <d v="2012-12-03T00:00:00"/>
    <n v="81"/>
    <s v="Fittings"/>
    <m/>
    <s v="en término"/>
    <x v="9"/>
    <n v="1"/>
  </r>
  <r>
    <x v="5"/>
    <x v="5"/>
    <x v="0"/>
    <x v="1"/>
    <s v="111/11 BPB"/>
    <s v="4600334989 (GLOBAL 2011-2012)"/>
    <x v="593"/>
    <n v="67990.73"/>
    <x v="435"/>
    <n v="64"/>
    <d v="2012-11-16T00:00:00"/>
    <s v="Salvador"/>
    <d v="2012-11-06T00:00:00"/>
    <x v="44"/>
    <d v="2012-11-13T00:00:00"/>
    <d v="2012-11-16T00:00:00"/>
    <d v="2012-12-03T00:00:00"/>
    <n v="81"/>
    <s v="35 bombas"/>
    <m/>
    <s v="en término"/>
    <x v="9"/>
    <n v="1"/>
  </r>
  <r>
    <x v="5"/>
    <x v="5"/>
    <x v="0"/>
    <x v="1"/>
    <s v="111/11 BPB"/>
    <s v="4600334989 (GLOBAL 2011-2012)"/>
    <x v="594"/>
    <n v="95661.6"/>
    <x v="445"/>
    <n v="94"/>
    <d v="2012-12-28T00:00:00"/>
    <s v="Salvador"/>
    <d v="2012-12-04T00:00:00"/>
    <x v="50"/>
    <d v="2012-12-11T00:00:00"/>
    <d v="2012-12-14T00:00:00"/>
    <d v="2012-12-31T00:00:00"/>
    <n v="97"/>
    <s v="30 bombas + 31 pistones"/>
    <m/>
    <s v="en término"/>
    <x v="11"/>
    <n v="1"/>
  </r>
  <r>
    <x v="5"/>
    <x v="5"/>
    <x v="0"/>
    <x v="1"/>
    <s v="111/11 BPB"/>
    <s v="4600334989 (GLOBAL 2011-2012)"/>
    <x v="595"/>
    <n v="66159.259999999995"/>
    <x v="435"/>
    <n v="100"/>
    <d v="2012-12-22T00:00:00"/>
    <s v="Salvador"/>
    <d v="2012-12-04T00:00:00"/>
    <x v="77"/>
    <d v="2012-12-11T00:00:00"/>
    <d v="2012-12-14T00:00:00"/>
    <d v="2012-12-31T00:00:00"/>
    <n v="109"/>
    <s v="25 bombas"/>
    <m/>
    <s v="en término"/>
    <x v="11"/>
    <n v="1"/>
  </r>
  <r>
    <x v="5"/>
    <x v="5"/>
    <x v="0"/>
    <x v="1"/>
    <s v="027/10 BBR"/>
    <s v="4600313538 (Global vastagos)"/>
    <x v="596"/>
    <n v="18600"/>
    <x v="446"/>
    <n v="75"/>
    <d v="2012-12-24T00:00:00"/>
    <s v="Salvador"/>
    <d v="2012-12-04T00:00:00"/>
    <x v="49"/>
    <d v="2012-12-11T00:00:00"/>
    <d v="2012-12-14T00:00:00"/>
    <d v="2012-12-31T00:00:00"/>
    <n v="82"/>
    <s v="40 vastagos"/>
    <m/>
    <s v="en término"/>
    <x v="11"/>
    <n v="1"/>
  </r>
  <r>
    <x v="5"/>
    <x v="5"/>
    <x v="0"/>
    <x v="1"/>
    <s v="111/11 BPB"/>
    <s v="4600334989 (GLOBAL 2011-2012)"/>
    <x v="597"/>
    <n v="115968.91"/>
    <x v="446"/>
    <n v="65"/>
    <d v="2012-12-14T00:00:00"/>
    <s v="Salvador"/>
    <d v="2012-12-04T00:00:00"/>
    <x v="44"/>
    <d v="2012-12-11T00:00:00"/>
    <d v="2012-12-14T00:00:00"/>
    <d v="2012-12-31T00:00:00"/>
    <n v="82"/>
    <s v="58 bombas"/>
    <m/>
    <s v="en término"/>
    <x v="11"/>
    <n v="1"/>
  </r>
  <r>
    <x v="5"/>
    <x v="5"/>
    <x v="0"/>
    <x v="1"/>
    <s v="111/11 BPB"/>
    <s v="4600334989 (GLOBAL 2011-2012)"/>
    <x v="598"/>
    <n v="7293.64"/>
    <x v="447"/>
    <n v="90"/>
    <d v="2013-01-13T00:00:00"/>
    <s v="Salvador"/>
    <d v="2012-12-04T00:00:00"/>
    <x v="39"/>
    <d v="2012-12-11T00:00:00"/>
    <d v="2012-12-14T00:00:00"/>
    <d v="2012-12-31T00:00:00"/>
    <n v="77"/>
    <s v="Fittings"/>
    <s v="Precios incorrectos, se solicita la correccion"/>
    <s v="en término"/>
    <x v="11"/>
    <n v="1"/>
  </r>
  <r>
    <x v="5"/>
    <x v="5"/>
    <x v="0"/>
    <x v="1"/>
    <s v="111/11 BPB"/>
    <s v="4600334989 (GLOBAL 2011-2012)"/>
    <x v="599"/>
    <n v="10023.84"/>
    <x v="448"/>
    <n v="67"/>
    <d v="2012-12-17T00:00:00"/>
    <s v="Salvador"/>
    <d v="2012-12-04T00:00:00"/>
    <x v="46"/>
    <d v="2012-12-11T00:00:00"/>
    <d v="2012-12-14T00:00:00"/>
    <d v="2012-12-31T00:00:00"/>
    <n v="81"/>
    <s v="Fittings"/>
    <m/>
    <s v="en término"/>
    <x v="11"/>
    <n v="1"/>
  </r>
  <r>
    <x v="5"/>
    <x v="5"/>
    <x v="0"/>
    <x v="1"/>
    <s v="121/11 BPB"/>
    <s v="4600351379 (REPUESTOS 2012)"/>
    <x v="600"/>
    <n v="12518.75"/>
    <x v="448"/>
    <n v="95"/>
    <d v="2013-01-14T00:00:00"/>
    <s v="Salvador"/>
    <d v="2012-12-28T00:00:00"/>
    <x v="46"/>
    <d v="2013-01-08T00:00:00"/>
    <d v="2013-01-11T00:00:00"/>
    <d v="2013-01-28T00:00:00"/>
    <n v="109"/>
    <s v="Fittings"/>
    <m/>
    <s v="en término"/>
    <x v="11"/>
    <n v="1"/>
  </r>
  <r>
    <x v="5"/>
    <x v="5"/>
    <x v="0"/>
    <x v="1"/>
    <s v="111/11 BPB"/>
    <s v="4600334989 (GLOBAL 2011-2012)"/>
    <x v="601"/>
    <n v="31730"/>
    <x v="449"/>
    <n v="92"/>
    <d v="2013-01-18T00:00:00"/>
    <s v="Salvador"/>
    <d v="2012-12-28T00:00:00"/>
    <x v="64"/>
    <d v="2013-01-08T00:00:00"/>
    <d v="2013-01-11T00:00:00"/>
    <d v="2013-01-28T00:00:00"/>
    <n v="102"/>
    <s v="Fittings"/>
    <m/>
    <s v="en término"/>
    <x v="11"/>
    <n v="1"/>
  </r>
  <r>
    <x v="5"/>
    <x v="5"/>
    <x v="0"/>
    <x v="1"/>
    <s v="027/10 BBR"/>
    <s v="4600313538 (Global vastagos)"/>
    <x v="602"/>
    <n v="18360"/>
    <x v="450"/>
    <n v="71"/>
    <d v="2013-01-04T00:00:00"/>
    <s v="Salvador"/>
    <d v="2012-12-14T00:00:00"/>
    <x v="64"/>
    <d v="2012-12-25T00:00:00"/>
    <d v="2012-12-28T00:00:00"/>
    <d v="2013-01-14T00:00:00"/>
    <n v="81"/>
    <s v="45 vastagos - 1° ENVIO"/>
    <m/>
    <s v="en término"/>
    <x v="11"/>
    <n v="1"/>
  </r>
  <r>
    <x v="5"/>
    <x v="5"/>
    <x v="0"/>
    <x v="1"/>
    <s v="111/11 BPB"/>
    <s v="4600334989 (GLOBAL 2011-2012)"/>
    <x v="603"/>
    <n v="97314"/>
    <x v="451"/>
    <n v="63"/>
    <d v="2013-01-25T00:00:00"/>
    <s v="Salvador"/>
    <d v="2012-12-28T00:00:00"/>
    <x v="50"/>
    <d v="2013-01-08T00:00:00"/>
    <d v="2013-01-11T00:00:00"/>
    <d v="2013-01-28T00:00:00"/>
    <n v="66"/>
    <s v="50 bombas"/>
    <m/>
    <s v="en término"/>
    <x v="11"/>
    <n v="1"/>
  </r>
  <r>
    <x v="5"/>
    <x v="5"/>
    <x v="0"/>
    <x v="1"/>
    <s v="111/11 BPB"/>
    <s v="4600334989 (GLOBAL 2011-2012)"/>
    <x v="604"/>
    <n v="6241"/>
    <x v="452"/>
    <n v="61"/>
    <d v="2013-01-28T00:00:00"/>
    <s v="Salvador"/>
    <d v="2012-12-28T00:00:00"/>
    <x v="34"/>
    <d v="2013-01-08T00:00:00"/>
    <d v="2013-01-11T00:00:00"/>
    <d v="2013-01-28T00:00:00"/>
    <n v="61"/>
    <s v="Fittings"/>
    <m/>
    <s v="en término"/>
    <x v="11"/>
    <n v="1"/>
  </r>
  <r>
    <x v="5"/>
    <x v="5"/>
    <x v="0"/>
    <x v="1"/>
    <s v="027/10 BBR"/>
    <s v="4600313538 (Global vastagos)"/>
    <x v="588"/>
    <n v="30420"/>
    <x v="441"/>
    <n v="155"/>
    <d v="2013-01-17T00:00:00"/>
    <s v="Salvador"/>
    <d v="2012-12-28T00:00:00"/>
    <x v="64"/>
    <d v="2013-01-08T00:00:00"/>
    <d v="2013-01-10T00:00:00"/>
    <d v="2013-01-28T00:00:00"/>
    <n v="166"/>
    <s v="60 vastagos"/>
    <m/>
    <s v="en término"/>
    <x v="11"/>
    <n v="1"/>
  </r>
  <r>
    <x v="5"/>
    <x v="5"/>
    <x v="0"/>
    <x v="1"/>
    <s v="121/11 BPB"/>
    <s v="4600351379 (REPUESTOS 2012)"/>
    <x v="600"/>
    <n v="12302.35"/>
    <x v="448"/>
    <n v="95"/>
    <d v="2013-01-14T00:00:00"/>
    <s v="Salvador"/>
    <d v="2012-12-28T00:00:00"/>
    <x v="19"/>
    <d v="2013-01-08T00:00:00"/>
    <d v="2013-01-10T00:00:00"/>
    <d v="2013-01-28T00:00:00"/>
    <n v="109"/>
    <s v="Fittings"/>
    <m/>
    <s v="en término"/>
    <x v="11"/>
    <n v="1"/>
  </r>
  <r>
    <x v="6"/>
    <x v="6"/>
    <x v="16"/>
    <x v="34"/>
    <s v="090/12 UAS"/>
    <m/>
    <x v="605"/>
    <n v="234121.3"/>
    <x v="453"/>
    <n v="202"/>
    <d v="2013-06-24T00:00:00"/>
    <s v="Buenos Aires"/>
    <d v="2013-04-26T00:00:00"/>
    <x v="31"/>
    <d v="2013-05-06T00:00:00"/>
    <d v="2013-05-13T00:00:00"/>
    <d v="2013-06-12T00:00:00"/>
    <n v="190"/>
    <s v="Fittings - CERTIFICADOS DE CALIDAD - 1° ENVIO"/>
    <s v="Pago  50% anticipado - 50 % al momento del embarque - PAGADO:  U$ 141.201,25 Ene. 2013 - U$ 117.060,65  Abril 2013"/>
    <s v="en término"/>
    <x v="10"/>
    <n v="1"/>
  </r>
  <r>
    <x v="6"/>
    <x v="6"/>
    <x v="16"/>
    <x v="34"/>
    <s v="090/12 UAS"/>
    <m/>
    <x v="605"/>
    <n v="48281.2"/>
    <x v="453"/>
    <n v="202"/>
    <d v="2013-06-24T00:00:00"/>
    <s v="Buenos Aires"/>
    <d v="2013-06-18T00:00:00"/>
    <x v="3"/>
    <d v="2013-06-26T00:00:00"/>
    <d v="2013-07-20T00:00:00"/>
    <d v="2013-08-10T00:00:00"/>
    <n v="249"/>
    <s v="Fittings - CERTIFICADOS DE CALIDAD - 2° ENVIO"/>
    <s v="Pago  50% anticipado - 50 % al momento del embarque - U$ 141.201,25 Ene. 2013 - U$ 22.782,30 pagado el 10 de Jun."/>
    <s v="atrasado"/>
    <x v="4"/>
    <n v="0"/>
  </r>
  <r>
    <x v="6"/>
    <x v="6"/>
    <x v="12"/>
    <x v="20"/>
    <s v="036/13 GUN"/>
    <m/>
    <x v="606"/>
    <n v="505"/>
    <x v="454"/>
    <n v="7"/>
    <d v="2013-03-07T00:00:00"/>
    <s v="Buenos Aires"/>
    <d v="2013-03-02T00:00:00"/>
    <x v="75"/>
    <m/>
    <d v="2013-03-05T00:00:00"/>
    <d v="2013-03-15T00:00:00"/>
    <n v="15"/>
    <s v="Fittings - PAGO ANTICIPADO"/>
    <s v=" PAGO ANTICIPADO - se paga con la PO 120/12 GUN"/>
    <s v="en término"/>
    <x v="2"/>
    <n v="1"/>
  </r>
  <r>
    <x v="6"/>
    <x v="6"/>
    <x v="12"/>
    <x v="20"/>
    <s v="120/12 GUN"/>
    <m/>
    <x v="607"/>
    <n v="73198.7"/>
    <x v="455"/>
    <n v="105"/>
    <d v="2013-05-02T00:00:00"/>
    <s v="Buenos Aires"/>
    <d v="2013-05-24T00:00:00"/>
    <x v="28"/>
    <d v="2013-06-05T00:00:00"/>
    <d v="2013-06-11T00:00:00"/>
    <d v="2013-07-25T00:00:00"/>
    <n v="189"/>
    <s v="Fittings - PAGO ANTICIPADO"/>
    <s v="PAGO ANTICIPADO - Hasta el 10 de mayo no se hizo el pago"/>
    <s v="atrasado"/>
    <x v="3"/>
    <n v="0"/>
  </r>
  <r>
    <x v="6"/>
    <x v="6"/>
    <x v="12"/>
    <x v="20"/>
    <s v="037/12 GUN"/>
    <m/>
    <x v="608"/>
    <n v="3780.3"/>
    <x v="456"/>
    <n v="90"/>
    <d v="2013-06-23T00:00:00"/>
    <s v="Buenos Aires"/>
    <d v="2013-09-20T00:00:00"/>
    <x v="123"/>
    <d v="2013-10-07T00:00:00"/>
    <d v="2013-10-08T00:00:00"/>
    <d v="2013-10-12T00:00:00"/>
    <n v="201"/>
    <s v="Fittings - PAGO ANTICIPADO"/>
    <s v="PAGO ANTICIPADO - Hasta el 10 de mayo no se hizo el pago"/>
    <s v="atrasado"/>
    <x v="7"/>
    <n v="0"/>
  </r>
  <r>
    <x v="6"/>
    <x v="6"/>
    <x v="12"/>
    <x v="20"/>
    <s v="016/13 GUN"/>
    <m/>
    <x v="609"/>
    <n v="59257"/>
    <x v="457"/>
    <n v="90"/>
    <d v="2013-08-11T00:00:00"/>
    <s v="Buenos Aires"/>
    <d v="2013-09-20T00:00:00"/>
    <x v="124"/>
    <d v="2013-10-08T00:00:00"/>
    <d v="2013-10-18T00:00:00"/>
    <d v="2013-11-22T00:00:00"/>
    <n v="193"/>
    <s v="Fittings - PAGO ANTICIPADO"/>
    <m/>
    <s v="atrasado"/>
    <x v="7"/>
    <n v="0"/>
  </r>
  <r>
    <x v="6"/>
    <x v="6"/>
    <x v="10"/>
    <x v="18"/>
    <s v="108/12 WEN"/>
    <m/>
    <x v="610"/>
    <n v="113159.2"/>
    <x v="458"/>
    <n v="126"/>
    <d v="2013-04-01T00:00:00"/>
    <s v="Buenos Aires"/>
    <d v="2013-03-22T00:00:00"/>
    <x v="32"/>
    <d v="2013-04-03T00:00:00"/>
    <d v="2013-04-08T00:00:00"/>
    <d v="2013-04-18T00:00:00"/>
    <n v="143"/>
    <s v="Fittings + 32 bombas"/>
    <s v="Esta OC reemplazo a la OC N° 4500147958"/>
    <s v="atrasado"/>
    <x v="2"/>
    <n v="0"/>
  </r>
  <r>
    <x v="6"/>
    <x v="6"/>
    <x v="10"/>
    <x v="16"/>
    <s v="025/13 WGP"/>
    <m/>
    <x v="611"/>
    <n v="2290"/>
    <x v="459"/>
    <n v="45"/>
    <d v="2013-04-20T00:00:00"/>
    <s v="Buenos Aires"/>
    <d v="2013-04-12T00:00:00"/>
    <x v="2"/>
    <d v="2013-04-18T00:00:00"/>
    <d v="2013-04-19T00:00:00"/>
    <d v="2013-04-29T00:00:00"/>
    <n v="54"/>
    <s v="Fittings"/>
    <m/>
    <s v="en término"/>
    <x v="10"/>
    <n v="1"/>
  </r>
  <r>
    <x v="6"/>
    <x v="6"/>
    <x v="10"/>
    <x v="18"/>
    <s v="002/13 WEN"/>
    <m/>
    <x v="612"/>
    <n v="55548.800000000003"/>
    <x v="460"/>
    <n v="99"/>
    <d v="2013-04-30T00:00:00"/>
    <s v="Buenos Aires"/>
    <d v="2013-04-23T00:00:00"/>
    <x v="9"/>
    <d v="2013-04-29T00:00:00"/>
    <d v="2013-05-04T00:00:00"/>
    <d v="2013-05-19T00:00:00"/>
    <n v="118"/>
    <s v="Fittings  - TRANSPORTE KONIG"/>
    <m/>
    <s v="atrasado"/>
    <x v="10"/>
    <n v="0"/>
  </r>
  <r>
    <x v="6"/>
    <x v="6"/>
    <x v="10"/>
    <x v="16"/>
    <s v="005/13 WGP"/>
    <m/>
    <x v="613"/>
    <n v="76297"/>
    <x v="461"/>
    <n v="120"/>
    <d v="2013-05-25T00:00:00"/>
    <s v="Comodoro Rivadavia"/>
    <d v="2013-05-21T00:00:00"/>
    <x v="46"/>
    <m/>
    <d v="2013-05-22T00:00:00"/>
    <d v="2013-05-25T00:00:00"/>
    <n v="120"/>
    <s v="Fittings"/>
    <m/>
    <s v="en término"/>
    <x v="3"/>
    <n v="1"/>
  </r>
  <r>
    <x v="6"/>
    <x v="6"/>
    <x v="10"/>
    <x v="16"/>
    <s v="028/13 WGP"/>
    <m/>
    <x v="614"/>
    <n v="10650"/>
    <x v="459"/>
    <n v="90"/>
    <d v="2013-06-04T00:00:00"/>
    <s v="Comodoro Rivadavia"/>
    <d v="2013-06-04T00:00:00"/>
    <x v="23"/>
    <m/>
    <d v="2013-06-12T00:00:00"/>
    <d v="2013-06-15T00:00:00"/>
    <n v="101"/>
    <s v="Fittings-1° ENVIO"/>
    <m/>
    <s v="atrasado"/>
    <x v="4"/>
    <n v="0"/>
  </r>
  <r>
    <x v="6"/>
    <x v="6"/>
    <x v="10"/>
    <x v="18"/>
    <s v="018/13 WEN"/>
    <m/>
    <x v="615"/>
    <n v="86727.3"/>
    <x v="462"/>
    <n v="124"/>
    <d v="2013-06-24T00:00:00"/>
    <s v="Buenos Aires"/>
    <d v="2013-06-14T00:00:00"/>
    <x v="32"/>
    <d v="2013-06-26T00:00:00"/>
    <d v="2013-07-01T00:00:00"/>
    <d v="2013-07-16T00:00:00"/>
    <n v="146"/>
    <s v="Fittings  - TRANSPORTE KONIG"/>
    <m/>
    <s v="atrasado"/>
    <x v="4"/>
    <n v="0"/>
  </r>
  <r>
    <x v="6"/>
    <x v="6"/>
    <x v="10"/>
    <x v="16"/>
    <s v="051/13 WGP"/>
    <m/>
    <x v="616"/>
    <n v="2920"/>
    <x v="463"/>
    <n v="15"/>
    <d v="2013-06-18T00:00:00"/>
    <s v="Rio Gallegos"/>
    <d v="2013-06-25T00:00:00"/>
    <x v="32"/>
    <m/>
    <d v="2013-06-25T00:00:00"/>
    <d v="2013-06-30T00:00:00"/>
    <n v="27"/>
    <s v="Fittings"/>
    <m/>
    <s v="atrasado"/>
    <x v="4"/>
    <n v="0"/>
  </r>
  <r>
    <x v="6"/>
    <x v="6"/>
    <x v="10"/>
    <x v="16"/>
    <s v="028/13 WGP"/>
    <m/>
    <x v="614"/>
    <n v="3625"/>
    <x v="459"/>
    <n v="90"/>
    <d v="2013-06-04T00:00:00"/>
    <s v="Comodoro Rivadavia"/>
    <d v="2013-06-28T00:00:00"/>
    <x v="4"/>
    <m/>
    <d v="2013-07-05T00:00:00"/>
    <d v="2013-07-20T00:00:00"/>
    <n v="136"/>
    <s v="Fittings-2° ENVIO"/>
    <m/>
    <s v="atrasado"/>
    <x v="4"/>
    <n v="0"/>
  </r>
  <r>
    <x v="6"/>
    <x v="6"/>
    <x v="10"/>
    <x v="18"/>
    <s v="026/13 WEN"/>
    <m/>
    <x v="617"/>
    <n v="113706"/>
    <x v="459"/>
    <n v="127"/>
    <d v="2013-07-11T00:00:00"/>
    <s v="Buenos Aires"/>
    <d v="2013-07-05T00:00:00"/>
    <x v="44"/>
    <m/>
    <d v="2013-07-11T00:00:00"/>
    <d v="2013-07-16T00:00:00"/>
    <n v="132"/>
    <s v="Fittings  - TRANSPORTE IVANMET CHILE"/>
    <m/>
    <s v="en término"/>
    <x v="5"/>
    <n v="1"/>
  </r>
  <r>
    <x v="6"/>
    <x v="6"/>
    <x v="10"/>
    <x v="18"/>
    <s v="041/13 WEN"/>
    <m/>
    <x v="618"/>
    <n v="6508"/>
    <x v="464"/>
    <n v="98"/>
    <d v="2013-07-29T00:00:00"/>
    <s v="Buenos Aires"/>
    <d v="2013-07-19T00:00:00"/>
    <x v="11"/>
    <d v="2013-07-26T00:00:00"/>
    <d v="2013-07-31T00:00:00"/>
    <d v="2013-08-05T00:00:00"/>
    <n v="105"/>
    <s v="Fittings  - TRANSPORTE KONIG"/>
    <m/>
    <s v="atrasado"/>
    <x v="5"/>
    <n v="0"/>
  </r>
  <r>
    <x v="6"/>
    <x v="6"/>
    <x v="10"/>
    <x v="16"/>
    <s v="045/13 WGP"/>
    <m/>
    <x v="619"/>
    <n v="260381"/>
    <x v="465"/>
    <n v="120"/>
    <d v="2013-10-15T00:00:00"/>
    <s v="Comodoro Rivadavia"/>
    <d v="2013-10-11T00:00:00"/>
    <x v="19"/>
    <m/>
    <d v="2013-10-11T00:00:00"/>
    <d v="2013-10-13T00:00:00"/>
    <n v="118"/>
    <s v="76 bombas + MAQUETA"/>
    <m/>
    <s v="en término"/>
    <x v="8"/>
    <n v="1"/>
  </r>
  <r>
    <x v="6"/>
    <x v="6"/>
    <x v="10"/>
    <x v="16"/>
    <s v="071/13 WGP"/>
    <m/>
    <x v="620"/>
    <n v="8900"/>
    <x v="466"/>
    <n v="90"/>
    <d v="2013-10-29T00:00:00"/>
    <s v="Rio Gallegos"/>
    <d v="2013-10-24T00:00:00"/>
    <x v="62"/>
    <m/>
    <d v="2013-11-04T00:00:00"/>
    <d v="2013-11-14T00:00:00"/>
    <n v="106"/>
    <s v="Fittings"/>
    <m/>
    <s v="atrasado"/>
    <x v="8"/>
    <n v="0"/>
  </r>
  <r>
    <x v="6"/>
    <x v="6"/>
    <x v="10"/>
    <x v="16"/>
    <s v="091/13 WGP"/>
    <m/>
    <x v="621"/>
    <n v="11370"/>
    <x v="467"/>
    <n v="45"/>
    <d v="2013-11-02T00:00:00"/>
    <s v="Rio Gallegos"/>
    <d v="2013-10-24T00:00:00"/>
    <x v="11"/>
    <m/>
    <d v="2013-11-04T00:00:00"/>
    <d v="2013-11-14T00:00:00"/>
    <n v="57"/>
    <s v="Fittings"/>
    <m/>
    <s v="atrasado"/>
    <x v="8"/>
    <n v="0"/>
  </r>
  <r>
    <x v="6"/>
    <x v="6"/>
    <x v="10"/>
    <x v="16"/>
    <s v="093/13 WGP"/>
    <m/>
    <x v="622"/>
    <n v="5900"/>
    <x v="467"/>
    <n v="70"/>
    <d v="2013-11-27T00:00:00"/>
    <s v="Rio Gallegos"/>
    <d v="2013-11-21T00:00:00"/>
    <x v="125"/>
    <m/>
    <d v="2014-01-15T00:00:00"/>
    <d v="2014-01-16T00:00:00"/>
    <n v="120"/>
    <s v="Fittings"/>
    <s v="Desde el lunes 25/11  la aduana en chile estan de paro (72hs)"/>
    <s v="atrasado"/>
    <x v="9"/>
    <n v="0"/>
  </r>
  <r>
    <x v="6"/>
    <x v="6"/>
    <x v="10"/>
    <x v="18"/>
    <s v="080/13 WEN"/>
    <m/>
    <x v="623"/>
    <n v="140530"/>
    <x v="468"/>
    <n v="102"/>
    <d v="2013-12-02T00:00:00"/>
    <s v="Comodoro Rivadavia"/>
    <d v="2013-12-06T00:00:00"/>
    <x v="30"/>
    <m/>
    <d v="2013-12-12T00:00:00"/>
    <d v="2013-12-22T00:00:00"/>
    <n v="122"/>
    <s v="50 bombas  - TRANSPORTE IVANMET"/>
    <s v="Desde el lunes 25/11 la aduana en chile estan de paro (72hs). No nos dan instrucciones para despachar"/>
    <s v="atrasado"/>
    <x v="11"/>
    <n v="0"/>
  </r>
  <r>
    <x v="6"/>
    <x v="6"/>
    <x v="10"/>
    <x v="18"/>
    <s v="077/13 WEN"/>
    <m/>
    <x v="624"/>
    <n v="98700"/>
    <x v="469"/>
    <n v="123"/>
    <d v="2014-01-06T00:00:00"/>
    <s v="Comodoro Rivadavia"/>
    <d v="2013-12-06T00:00:00"/>
    <x v="48"/>
    <m/>
    <d v="2013-12-12T00:00:00"/>
    <d v="2013-12-22T00:00:00"/>
    <n v="108"/>
    <s v="Fittings  - TRANSPORTE IVANMET"/>
    <s v="Certificado de calidad"/>
    <s v="en término"/>
    <x v="11"/>
    <n v="1"/>
  </r>
  <r>
    <x v="6"/>
    <x v="6"/>
    <x v="10"/>
    <x v="18"/>
    <s v="104/13 WEN"/>
    <m/>
    <x v="625"/>
    <n v="6400"/>
    <x v="470"/>
    <n v="65"/>
    <d v="2014-01-20T00:00:00"/>
    <s v="Buenos Aires"/>
    <d v="2013-12-17T00:00:00"/>
    <x v="19"/>
    <m/>
    <d v="2014-01-16T00:00:00"/>
    <d v="2014-01-21T00:00:00"/>
    <n v="66"/>
    <s v="Fittings  - TRANSPORTE KONIG"/>
    <s v="Certificado de calidad. Se postergo por tema de las Fiestas y toco canal rojo."/>
    <s v="en término"/>
    <x v="11"/>
    <n v="1"/>
  </r>
  <r>
    <x v="6"/>
    <x v="6"/>
    <x v="17"/>
    <x v="10"/>
    <s v="008/13 LYP"/>
    <m/>
    <x v="626"/>
    <n v="3387"/>
    <x v="471"/>
    <n v="75"/>
    <d v="2013-05-19T00:00:00"/>
    <s v="Buenos Aires"/>
    <d v="2013-04-22T00:00:00"/>
    <x v="2"/>
    <d v="2013-05-13T00:00:00"/>
    <d v="2013-05-18T00:00:00"/>
    <d v="2013-05-20T00:00:00"/>
    <n v="76"/>
    <s v="Fittings - CERTIFICADOS DE CALIDAD"/>
    <m/>
    <s v="en término"/>
    <x v="10"/>
    <n v="1"/>
  </r>
  <r>
    <x v="6"/>
    <x v="6"/>
    <x v="6"/>
    <x v="35"/>
    <s v="010/13 YEO"/>
    <m/>
    <x v="627"/>
    <n v="11015.4"/>
    <x v="472"/>
    <n v="90"/>
    <d v="2013-06-26T00:00:00"/>
    <s v="Buenos Aires"/>
    <d v="2013-06-18T00:00:00"/>
    <x v="63"/>
    <m/>
    <d v="2013-06-27T00:00:00"/>
    <d v="2013-06-30T00:00:00"/>
    <n v="94"/>
    <s v="Fittings - CERTIFICADOS DE CALIDAD - FORWARDER"/>
    <s v="Pago del 50% el 08 de Abril - OK - ----  Resta el 50% -llego el resto (U$ 5707) el 18 de Jun."/>
    <s v="atrasado"/>
    <x v="4"/>
    <n v="0"/>
  </r>
  <r>
    <x v="6"/>
    <x v="6"/>
    <x v="5"/>
    <x v="7"/>
    <s v="123/12 TAL"/>
    <m/>
    <x v="628"/>
    <n v="8700"/>
    <x v="473"/>
    <n v="70"/>
    <d v="2013-01-31T00:00:00"/>
    <s v="Buenos Aires"/>
    <d v="2013-01-11T00:00:00"/>
    <x v="0"/>
    <d v="2013-02-06T00:00:00"/>
    <d v="2013-02-15T00:00:00"/>
    <d v="2013-03-27T00:00:00"/>
    <n v="125"/>
    <s v="2 bombas"/>
    <m/>
    <s v="atrasado"/>
    <x v="0"/>
    <n v="0"/>
  </r>
  <r>
    <x v="6"/>
    <x v="6"/>
    <x v="5"/>
    <x v="7"/>
    <s v="017/13 TAL"/>
    <m/>
    <x v="629"/>
    <n v="10153.299999999999"/>
    <x v="474"/>
    <n v="81"/>
    <d v="2013-04-21T00:00:00"/>
    <s v="Buenos Aires"/>
    <d v="2013-04-12T00:00:00"/>
    <x v="3"/>
    <d v="2013-05-08T00:00:00"/>
    <d v="2013-05-17T00:00:00"/>
    <d v="2013-07-01T00:00:00"/>
    <n v="152"/>
    <s v="Fittings"/>
    <m/>
    <s v="atrasado"/>
    <x v="10"/>
    <n v="0"/>
  </r>
  <r>
    <x v="6"/>
    <x v="6"/>
    <x v="3"/>
    <x v="36"/>
    <s v="012/13 EXI"/>
    <m/>
    <x v="630"/>
    <n v="6900"/>
    <x v="461"/>
    <n v="90"/>
    <d v="2013-04-25T00:00:00"/>
    <s v="Buenos Aires"/>
    <d v="2013-04-16T00:00:00"/>
    <x v="30"/>
    <d v="2013-04-23T00:00:00"/>
    <d v="2013-05-05T00:00:00"/>
    <d v="2013-06-07T00:00:00"/>
    <n v="133"/>
    <s v="1 bombas + 1 vastago"/>
    <s v="ANTICIPO: Pagado el 07/02 (U$ 3450) - Salida todos los viernes: Bue - Chile (terrestre 29/4-arriba el 1/5) - Chile - Ecuador (Maritimo) - PAGO TOTAL: U$ 3450 (22/04/13)"/>
    <s v="atrasado"/>
    <x v="10"/>
    <n v="0"/>
  </r>
  <r>
    <x v="6"/>
    <x v="6"/>
    <x v="3"/>
    <x v="37"/>
    <s v="046/13 ETE"/>
    <m/>
    <x v="631"/>
    <n v="22465"/>
    <x v="475"/>
    <n v="90"/>
    <d v="2013-08-25T00:00:00"/>
    <s v="Buenos Aires"/>
    <d v="2013-08-27T00:00:00"/>
    <x v="100"/>
    <d v="2013-09-13T00:00:00"/>
    <d v="2013-09-19T00:00:00"/>
    <d v="2013-09-22T00:00:00"/>
    <n v="117"/>
    <s v="5 bombas + fitings"/>
    <s v="Despachar junto a las 4 bombas de la 066/13 ETE"/>
    <s v="atrasado"/>
    <x v="6"/>
    <n v="0"/>
  </r>
  <r>
    <x v="6"/>
    <x v="6"/>
    <x v="3"/>
    <x v="38"/>
    <s v="066/13 ETE"/>
    <m/>
    <x v="632"/>
    <n v="12260"/>
    <x v="476"/>
    <n v="63"/>
    <d v="2013-08-30T00:00:00"/>
    <s v="Buenos Aires"/>
    <d v="2013-08-27T00:00:00"/>
    <x v="92"/>
    <d v="2013-09-13T00:00:00"/>
    <d v="2013-09-19T00:00:00"/>
    <d v="2013-09-22T00:00:00"/>
    <n v="86"/>
    <s v="4 bombas + fitings"/>
    <s v="Despachar junto a las 5 bombas de la 046/13 ETE"/>
    <s v="atrasado"/>
    <x v="6"/>
    <n v="0"/>
  </r>
  <r>
    <x v="6"/>
    <x v="6"/>
    <x v="2"/>
    <x v="3"/>
    <s v="031/12 VBV"/>
    <m/>
    <x v="633"/>
    <n v="3776.28"/>
    <x v="477"/>
    <n v="90"/>
    <d v="2013-06-10T00:00:00"/>
    <s v="Buenos Aires"/>
    <d v="2013-05-10T00:00:00"/>
    <x v="50"/>
    <m/>
    <d v="2013-05-27T00:00:00"/>
    <d v="2013-06-03T00:00:00"/>
    <n v="83"/>
    <s v="Fittigs"/>
    <m/>
    <s v="en término"/>
    <x v="3"/>
    <n v="1"/>
  </r>
  <r>
    <x v="6"/>
    <x v="6"/>
    <x v="1"/>
    <x v="12"/>
    <s v="127/12 CEC"/>
    <m/>
    <x v="634"/>
    <n v="1399947.94"/>
    <x v="478"/>
    <n v="117"/>
    <d v="2013-05-05T00:00:00"/>
    <s v="Buenos Aires"/>
    <d v="2013-03-27T00:00:00"/>
    <x v="87"/>
    <d v="2013-04-12T00:00:00"/>
    <d v="2013-04-19T00:00:00"/>
    <d v="2013-05-19T00:00:00"/>
    <n v="131"/>
    <s v="Fittings - 1° ENVIO"/>
    <m/>
    <s v="en término"/>
    <x v="2"/>
    <n v="1"/>
  </r>
  <r>
    <x v="6"/>
    <x v="6"/>
    <x v="1"/>
    <x v="12"/>
    <s v="127/12 CEC"/>
    <m/>
    <x v="634"/>
    <n v="812095.14"/>
    <x v="478"/>
    <n v="117"/>
    <d v="2013-05-05T00:00:00"/>
    <s v="Buenos Aires"/>
    <d v="2013-04-30T00:00:00"/>
    <x v="13"/>
    <d v="2013-05-02T00:00:00"/>
    <d v="2013-05-16T00:00:00"/>
    <d v="2013-06-15T00:00:00"/>
    <n v="158"/>
    <s v="Fittings - 2° ENVIO"/>
    <m/>
    <s v="atrasado"/>
    <x v="10"/>
    <n v="0"/>
  </r>
  <r>
    <x v="6"/>
    <x v="6"/>
    <x v="1"/>
    <x v="12"/>
    <s v="021/13 CEC"/>
    <m/>
    <x v="635"/>
    <n v="25350"/>
    <x v="479"/>
    <n v="75"/>
    <d v="2013-05-07T00:00:00"/>
    <s v="Buenos Aires"/>
    <d v="2013-04-30T00:00:00"/>
    <x v="47"/>
    <d v="2013-05-02T00:00:00"/>
    <d v="2013-05-16T00:00:00"/>
    <d v="2013-06-15T00:00:00"/>
    <n v="114"/>
    <s v="6 Bombas - ENVIAR JUNTO AL 2° ENVIO DE LA PO 596770"/>
    <m/>
    <s v="atrasado"/>
    <x v="10"/>
    <n v="0"/>
  </r>
  <r>
    <x v="6"/>
    <x v="6"/>
    <x v="1"/>
    <x v="12"/>
    <s v="127/12 CEC"/>
    <m/>
    <x v="634"/>
    <n v="253596.66"/>
    <x v="478"/>
    <n v="132"/>
    <d v="2013-05-20T00:00:00"/>
    <s v="Buenos Aires"/>
    <d v="2013-05-20T00:00:00"/>
    <x v="5"/>
    <d v="2013-05-22T00:00:00"/>
    <d v="2013-06-05T00:00:00"/>
    <d v="2013-07-05T00:00:00"/>
    <n v="178"/>
    <s v="Fittings - 3° ENVIO"/>
    <m/>
    <s v="atrasado"/>
    <x v="3"/>
    <n v="0"/>
  </r>
  <r>
    <x v="6"/>
    <x v="6"/>
    <x v="1"/>
    <x v="12"/>
    <s v="013/13 CEC"/>
    <m/>
    <x v="636"/>
    <n v="640388"/>
    <x v="479"/>
    <n v="123"/>
    <d v="2013-06-24T00:00:00"/>
    <s v="Buenos Aires"/>
    <d v="2013-06-11T00:00:00"/>
    <x v="75"/>
    <d v="2013-06-14T00:00:00"/>
    <d v="2013-06-22T00:00:00"/>
    <d v="2013-07-12T00:00:00"/>
    <n v="141"/>
    <s v="Fittings - 1° ENVIO"/>
    <m/>
    <s v="en término"/>
    <x v="4"/>
    <n v="1"/>
  </r>
  <r>
    <x v="6"/>
    <x v="6"/>
    <x v="1"/>
    <x v="2"/>
    <s v="020/13 CPG"/>
    <m/>
    <x v="637"/>
    <n v="18680"/>
    <x v="480"/>
    <n v="90"/>
    <d v="2013-08-05T00:00:00"/>
    <s v="Buenos Aires"/>
    <d v="2013-07-30T00:00:00"/>
    <x v="15"/>
    <d v="2013-08-08T00:00:00"/>
    <d v="2013-08-08T00:00:00"/>
    <d v="2013-08-13T00:00:00"/>
    <n v="98"/>
    <s v="4 bombas"/>
    <m/>
    <s v="atrasado"/>
    <x v="5"/>
    <n v="0"/>
  </r>
  <r>
    <x v="6"/>
    <x v="6"/>
    <x v="1"/>
    <x v="12"/>
    <s v="013/13 CEC"/>
    <m/>
    <x v="636"/>
    <n v="13740"/>
    <x v="479"/>
    <n v="166"/>
    <d v="2013-08-06T00:00:00"/>
    <s v="Buenos Aires"/>
    <d v="2013-07-30T00:00:00"/>
    <x v="44"/>
    <m/>
    <d v="2013-08-06T00:00:00"/>
    <d v="2013-09-05T00:00:00"/>
    <n v="196"/>
    <s v="Fittings - 2° ENVIO"/>
    <m/>
    <s v="en término"/>
    <x v="5"/>
    <n v="1"/>
  </r>
  <r>
    <x v="6"/>
    <x v="6"/>
    <x v="1"/>
    <x v="12"/>
    <s v="029/13 CEC"/>
    <m/>
    <x v="638"/>
    <n v="168995.6"/>
    <x v="481"/>
    <n v="120"/>
    <d v="2013-08-06T00:00:00"/>
    <s v="Buenos Aires"/>
    <d v="2013-07-30T00:00:00"/>
    <x v="44"/>
    <m/>
    <d v="2013-08-06T00:00:00"/>
    <d v="2013-09-05T00:00:00"/>
    <n v="150"/>
    <s v="Fittings "/>
    <m/>
    <s v="en término"/>
    <x v="5"/>
    <n v="1"/>
  </r>
  <r>
    <x v="6"/>
    <x v="6"/>
    <x v="1"/>
    <x v="12"/>
    <s v="082/13 CEC"/>
    <m/>
    <x v="639"/>
    <n v="5896"/>
    <x v="482"/>
    <n v="47"/>
    <d v="2013-11-11T00:00:00"/>
    <s v="Buenos Aires"/>
    <d v="2013-11-08T00:00:00"/>
    <x v="8"/>
    <d v="2013-11-13T00:00:00"/>
    <d v="2013-11-29T00:00:00"/>
    <d v="2013-12-19T00:00:00"/>
    <n v="85"/>
    <s v="Fittings"/>
    <m/>
    <s v="atrasado"/>
    <x v="9"/>
    <n v="0"/>
  </r>
  <r>
    <x v="6"/>
    <x v="6"/>
    <x v="1"/>
    <x v="2"/>
    <s v="098/13 CPG"/>
    <m/>
    <x v="640"/>
    <n v="10077.200000000001"/>
    <x v="483"/>
    <n v="43"/>
    <d v="2013-11-20T00:00:00"/>
    <s v="Buenos Aires"/>
    <d v="2013-11-08T00:00:00"/>
    <x v="77"/>
    <m/>
    <d v="2013-11-12T00:00:00"/>
    <d v="2013-12-12T00:00:00"/>
    <n v="65"/>
    <s v="Fittings"/>
    <m/>
    <s v="en término"/>
    <x v="9"/>
    <n v="1"/>
  </r>
  <r>
    <x v="6"/>
    <x v="6"/>
    <x v="0"/>
    <x v="1"/>
    <s v="111/11 BPB"/>
    <s v="4600334989 (GLOBAL 2011-2012)"/>
    <x v="641"/>
    <n v="84488.59"/>
    <x v="484"/>
    <n v="90"/>
    <d v="2013-02-06T00:00:00"/>
    <s v="Salvador"/>
    <d v="2013-01-15T00:00:00"/>
    <x v="10"/>
    <d v="2013-01-22T00:00:00"/>
    <d v="2013-01-24T00:00:00"/>
    <d v="2013-02-11T00:00:00"/>
    <n v="95"/>
    <s v="34 bombas"/>
    <m/>
    <s v="en término"/>
    <x v="0"/>
    <n v="1"/>
  </r>
  <r>
    <x v="6"/>
    <x v="6"/>
    <x v="0"/>
    <x v="1"/>
    <s v="111/11 BPB"/>
    <s v="4600334989 (GLOBAL 2011-2012)"/>
    <x v="642"/>
    <n v="27696"/>
    <x v="485"/>
    <n v="90"/>
    <d v="2013-02-05T00:00:00"/>
    <s v="Salvador"/>
    <d v="2013-01-15T00:00:00"/>
    <x v="52"/>
    <d v="2013-01-22T00:00:00"/>
    <d v="2013-01-24T00:00:00"/>
    <d v="2013-02-11T00:00:00"/>
    <n v="96"/>
    <s v="Fittings"/>
    <m/>
    <s v="en término"/>
    <x v="0"/>
    <n v="1"/>
  </r>
  <r>
    <x v="6"/>
    <x v="6"/>
    <x v="0"/>
    <x v="1"/>
    <s v="027/10 BBR"/>
    <s v="4600313538 (Global vastagos)"/>
    <x v="602"/>
    <n v="20400"/>
    <x v="450"/>
    <n v="102"/>
    <d v="2013-02-04T00:00:00"/>
    <s v="Salvador"/>
    <d v="2013-01-15T00:00:00"/>
    <x v="17"/>
    <d v="2013-01-22T00:00:00"/>
    <d v="2013-01-24T00:00:00"/>
    <d v="2013-02-11T00:00:00"/>
    <n v="109"/>
    <s v="50 vastagos - 2° ENVIO"/>
    <m/>
    <s v="en término"/>
    <x v="0"/>
    <n v="1"/>
  </r>
  <r>
    <x v="6"/>
    <x v="6"/>
    <x v="0"/>
    <x v="1"/>
    <s v="111/11 BPB"/>
    <s v="4600334989 (GLOBAL 2011-2012)"/>
    <x v="643"/>
    <n v="12972.27"/>
    <x v="486"/>
    <n v="83"/>
    <d v="2013-02-11T00:00:00"/>
    <s v="Salvador"/>
    <d v="2013-01-15T00:00:00"/>
    <x v="18"/>
    <d v="2013-01-22T00:00:00"/>
    <d v="2013-01-24T00:00:00"/>
    <d v="2013-02-11T00:00:00"/>
    <n v="83"/>
    <s v="4 bombas"/>
    <m/>
    <s v="en término"/>
    <x v="0"/>
    <n v="1"/>
  </r>
  <r>
    <x v="6"/>
    <x v="6"/>
    <x v="0"/>
    <x v="1"/>
    <s v="111/11 BPB"/>
    <s v="4600334989 (GLOBAL 2011-2012)"/>
    <x v="644"/>
    <n v="91414.11"/>
    <x v="487"/>
    <n v="91"/>
    <d v="2013-02-20T00:00:00"/>
    <s v="Salvador"/>
    <d v="2013-01-15T00:00:00"/>
    <x v="42"/>
    <d v="2013-01-22T00:00:00"/>
    <d v="2013-01-24T00:00:00"/>
    <d v="2013-02-11T00:00:00"/>
    <n v="82"/>
    <s v="38 bombas"/>
    <m/>
    <s v="en término"/>
    <x v="0"/>
    <n v="1"/>
  </r>
  <r>
    <x v="6"/>
    <x v="6"/>
    <x v="0"/>
    <x v="1"/>
    <s v="027/10 BBR"/>
    <s v="4600313538 (Global vastagos)"/>
    <x v="645"/>
    <n v="18105"/>
    <x v="473"/>
    <n v="71"/>
    <d v="2013-02-01T00:00:00"/>
    <s v="Salvador"/>
    <d v="2013-01-15T00:00:00"/>
    <x v="77"/>
    <d v="2013-01-22T00:00:00"/>
    <d v="2013-01-24T00:00:00"/>
    <d v="2013-02-11T00:00:00"/>
    <n v="81"/>
    <s v="40 vastagos"/>
    <m/>
    <s v="en término"/>
    <x v="0"/>
    <n v="1"/>
  </r>
  <r>
    <x v="6"/>
    <x v="6"/>
    <x v="0"/>
    <x v="1"/>
    <s v="111/11 BPB"/>
    <s v="4600334989 (GLOBAL 2011-2012)"/>
    <x v="646"/>
    <n v="2191.04"/>
    <x v="488"/>
    <n v="76"/>
    <d v="2013-02-03T00:00:00"/>
    <s v="Salvador"/>
    <d v="2013-01-15T00:00:00"/>
    <x v="49"/>
    <d v="2013-01-22T00:00:00"/>
    <d v="2013-01-24T00:00:00"/>
    <d v="2013-02-11T00:00:00"/>
    <n v="84"/>
    <s v="Fittings"/>
    <m/>
    <s v="en término"/>
    <x v="0"/>
    <n v="1"/>
  </r>
  <r>
    <x v="6"/>
    <x v="6"/>
    <x v="0"/>
    <x v="1"/>
    <s v="111/11 BPB"/>
    <s v="4600334989 (GLOBAL 2011-2012)"/>
    <x v="647"/>
    <n v="108808"/>
    <x v="489"/>
    <n v="61"/>
    <d v="2013-02-25T00:00:00"/>
    <s v="Salvador"/>
    <d v="2013-02-08T00:00:00"/>
    <x v="33"/>
    <d v="2013-02-19T00:00:00"/>
    <d v="2013-02-20T00:00:00"/>
    <d v="2013-03-10T00:00:00"/>
    <n v="74"/>
    <s v="60 bombas"/>
    <m/>
    <s v="en término"/>
    <x v="1"/>
    <n v="1"/>
  </r>
  <r>
    <x v="6"/>
    <x v="6"/>
    <x v="0"/>
    <x v="1"/>
    <s v="027/10 BBR"/>
    <s v="4600313538 (Global vastagos)"/>
    <x v="648"/>
    <n v="20410"/>
    <x v="489"/>
    <n v="71"/>
    <d v="2013-03-07T00:00:00"/>
    <s v="Salvador"/>
    <d v="2013-02-08T00:00:00"/>
    <x v="21"/>
    <d v="2013-02-19T00:00:00"/>
    <d v="2013-02-20T00:00:00"/>
    <d v="2013-03-10T00:00:00"/>
    <n v="74"/>
    <s v="45 vastagos"/>
    <m/>
    <s v="en término"/>
    <x v="1"/>
    <n v="1"/>
  </r>
  <r>
    <x v="6"/>
    <x v="6"/>
    <x v="0"/>
    <x v="1"/>
    <s v="111/11 BPB"/>
    <s v="4600334989 (GLOBAL 2011-2012)"/>
    <x v="649"/>
    <n v="15085.66"/>
    <x v="489"/>
    <n v="61"/>
    <d v="2013-02-25T00:00:00"/>
    <s v="Salvador"/>
    <d v="2013-02-08T00:00:00"/>
    <x v="33"/>
    <d v="2013-02-19T00:00:00"/>
    <d v="2013-02-20T00:00:00"/>
    <d v="2013-03-10T00:00:00"/>
    <n v="74"/>
    <s v="Fittings"/>
    <m/>
    <s v="en término"/>
    <x v="1"/>
    <n v="1"/>
  </r>
  <r>
    <x v="6"/>
    <x v="6"/>
    <x v="0"/>
    <x v="1"/>
    <s v="111/11 BPB"/>
    <s v="4600334989 (GLOBAL 2011-2012)"/>
    <x v="650"/>
    <n v="32976.92"/>
    <x v="490"/>
    <n v="91"/>
    <d v="2013-03-11T00:00:00"/>
    <s v="Salvador"/>
    <d v="2013-02-08T00:00:00"/>
    <x v="102"/>
    <d v="2013-02-19T00:00:00"/>
    <d v="2013-02-20T00:00:00"/>
    <d v="2013-03-10T00:00:00"/>
    <n v="90"/>
    <s v="10 bombas + Fittings"/>
    <m/>
    <s v="en término"/>
    <x v="1"/>
    <n v="1"/>
  </r>
  <r>
    <x v="6"/>
    <x v="6"/>
    <x v="0"/>
    <x v="0"/>
    <s v="124/12 BBR"/>
    <s v="Petrobras N° 4505025826"/>
    <x v="651"/>
    <n v="2927"/>
    <x v="491"/>
    <n v="90"/>
    <d v="2013-03-07T00:00:00"/>
    <s v="Salvador"/>
    <d v="2013-02-19T00:00:00"/>
    <x v="86"/>
    <m/>
    <d v="2013-03-01T00:00:00"/>
    <d v="2013-03-06T00:00:00"/>
    <n v="89"/>
    <s v="Fittings (valvulas y copas)"/>
    <s v="Se envian solo 8 valvulas, en lugar de 10 (a pedido de Bolland do Brasil). Se agregan 15 copas al despacho"/>
    <s v="en término"/>
    <x v="1"/>
    <n v="1"/>
  </r>
  <r>
    <x v="6"/>
    <x v="6"/>
    <x v="0"/>
    <x v="1"/>
    <s v="111/11 BPB"/>
    <s v="4600334989 (GLOBAL 2011-2012)"/>
    <x v="652"/>
    <n v="64775.39"/>
    <x v="492"/>
    <n v="91"/>
    <d v="2013-03-18T00:00:00"/>
    <s v="Salvador"/>
    <d v="2013-03-12T00:00:00"/>
    <x v="15"/>
    <d v="2013-03-19T00:00:00"/>
    <d v="2013-03-21T00:00:00"/>
    <d v="2013-04-08T00:00:00"/>
    <n v="112"/>
    <s v="20 bombas"/>
    <m/>
    <s v="atrasado"/>
    <x v="2"/>
    <n v="0"/>
  </r>
  <r>
    <x v="6"/>
    <x v="6"/>
    <x v="0"/>
    <x v="1"/>
    <s v="111/11 BPB"/>
    <s v="4600334989 (GLOBAL 2011-2012)"/>
    <x v="653"/>
    <n v="4558.1099999999997"/>
    <x v="489"/>
    <n v="86"/>
    <d v="2013-03-22T00:00:00"/>
    <s v="Salvador"/>
    <d v="2013-03-12T00:00:00"/>
    <x v="2"/>
    <d v="2013-03-19T00:00:00"/>
    <d v="2013-03-21T00:00:00"/>
    <d v="2013-04-08T00:00:00"/>
    <n v="103"/>
    <s v="Fittings"/>
    <m/>
    <s v="en término"/>
    <x v="2"/>
    <n v="1"/>
  </r>
  <r>
    <x v="6"/>
    <x v="6"/>
    <x v="0"/>
    <x v="1"/>
    <s v="111/11 BPB"/>
    <s v="4600334989 (GLOBAL 2011-2012)"/>
    <x v="654"/>
    <n v="108740.04"/>
    <x v="493"/>
    <n v="59"/>
    <d v="2013-03-14T00:00:00"/>
    <s v="Salvador"/>
    <d v="2013-03-12T00:00:00"/>
    <x v="32"/>
    <d v="2013-03-19T00:00:00"/>
    <d v="2013-03-21T00:00:00"/>
    <d v="2013-04-08T00:00:00"/>
    <n v="84"/>
    <s v="60 bombas"/>
    <s v="Se solicita modificar el vto. - NO SE VA A MODIFICAR"/>
    <s v="atrasado"/>
    <x v="2"/>
    <n v="0"/>
  </r>
  <r>
    <x v="6"/>
    <x v="6"/>
    <x v="0"/>
    <x v="1"/>
    <s v="111/11 BPB"/>
    <s v="4600334989 (GLOBAL 2011-2012)"/>
    <x v="655"/>
    <n v="13231.93"/>
    <x v="494"/>
    <n v="60"/>
    <d v="2013-03-16T00:00:00"/>
    <s v="Salvador"/>
    <d v="2013-03-12T00:00:00"/>
    <x v="14"/>
    <d v="2013-03-19T00:00:00"/>
    <d v="2013-03-21T00:00:00"/>
    <d v="2013-04-08T00:00:00"/>
    <n v="83"/>
    <s v="Fittings"/>
    <s v="Se solicita modificar el vto. - NO SE VA A MODIFICAR"/>
    <s v="atrasado"/>
    <x v="2"/>
    <n v="0"/>
  </r>
  <r>
    <x v="6"/>
    <x v="6"/>
    <x v="0"/>
    <x v="1"/>
    <s v="027/10 BBR"/>
    <s v="4600313538 (Global vastagos)"/>
    <x v="656"/>
    <n v="34895"/>
    <x v="473"/>
    <n v="128"/>
    <d v="2013-03-30T00:00:00"/>
    <s v="Salvador"/>
    <d v="2013-03-12T00:00:00"/>
    <x v="74"/>
    <d v="2013-03-19T00:00:00"/>
    <d v="2013-03-21T00:00:00"/>
    <d v="2013-04-08T00:00:00"/>
    <n v="137"/>
    <s v="75 vastagos"/>
    <m/>
    <s v="en término"/>
    <x v="2"/>
    <n v="1"/>
  </r>
  <r>
    <x v="6"/>
    <x v="6"/>
    <x v="0"/>
    <x v="1"/>
    <s v="111/11 BPB"/>
    <s v="4600334989 (GLOBAL 2011-2012)"/>
    <x v="657"/>
    <n v="17393.72"/>
    <x v="495"/>
    <n v="90"/>
    <d v="2013-03-05T00:00:00"/>
    <s v="Salvador"/>
    <d v="2013-03-12T00:00:00"/>
    <x v="5"/>
    <d v="2013-03-19T00:00:00"/>
    <d v="2013-03-21T00:00:00"/>
    <d v="2013-04-08T00:00:00"/>
    <n v="124"/>
    <s v="Fittings"/>
    <m/>
    <s v="atrasado"/>
    <x v="2"/>
    <n v="0"/>
  </r>
  <r>
    <x v="6"/>
    <x v="6"/>
    <x v="0"/>
    <x v="1"/>
    <s v="111/11 BPB"/>
    <s v="4600334989 (GLOBAL 2011-2012)"/>
    <x v="658"/>
    <n v="74154.8"/>
    <x v="496"/>
    <n v="90"/>
    <d v="2013-04-09T00:00:00"/>
    <s v="Salvador"/>
    <d v="2013-03-22T00:00:00"/>
    <x v="46"/>
    <d v="2013-03-26T00:00:00"/>
    <d v="2013-04-06T00:00:00"/>
    <d v="2013-04-15T00:00:00"/>
    <n v="96"/>
    <s v="22 bombas + Fittings"/>
    <m/>
    <s v="en término"/>
    <x v="2"/>
    <n v="1"/>
  </r>
  <r>
    <x v="6"/>
    <x v="6"/>
    <x v="0"/>
    <x v="0"/>
    <s v="001/13 BBR"/>
    <s v="Petrobras N° 4505085577"/>
    <x v="659"/>
    <n v="13960"/>
    <x v="455"/>
    <n v="90"/>
    <d v="2013-04-17T00:00:00"/>
    <s v="Salvador"/>
    <d v="2013-03-28T00:00:00"/>
    <x v="64"/>
    <d v="2013-04-08T00:00:00"/>
    <d v="2013-04-10T00:00:00"/>
    <d v="2013-04-30T00:00:00"/>
    <n v="103"/>
    <s v="20 pistones"/>
    <m/>
    <s v="en término"/>
    <x v="2"/>
    <n v="1"/>
  </r>
  <r>
    <x v="6"/>
    <x v="6"/>
    <x v="0"/>
    <x v="0"/>
    <s v="007/13 BBR"/>
    <s v="Petrobras N° 4505099209"/>
    <x v="660"/>
    <n v="950"/>
    <x v="497"/>
    <n v="120"/>
    <d v="2013-05-28T00:00:00"/>
    <s v="Salvador"/>
    <d v="2013-03-28T00:00:00"/>
    <x v="40"/>
    <d v="2013-04-08T00:00:00"/>
    <d v="2013-04-10T00:00:00"/>
    <d v="2013-04-30T00:00:00"/>
    <n v="92"/>
    <s v="Fittings"/>
    <m/>
    <s v="en término"/>
    <x v="2"/>
    <n v="1"/>
  </r>
  <r>
    <x v="6"/>
    <x v="6"/>
    <x v="0"/>
    <x v="1"/>
    <s v="111/11 BPB"/>
    <s v="4600334989 (GLOBAL 2011-2012)"/>
    <x v="642"/>
    <n v="17051.29"/>
    <x v="485"/>
    <n v="159"/>
    <d v="2013-04-15T00:00:00"/>
    <s v="Salvador"/>
    <d v="2013-03-28T00:00:00"/>
    <x v="33"/>
    <d v="2013-04-08T00:00:00"/>
    <d v="2013-04-10T00:00:00"/>
    <d v="2013-04-30T00:00:00"/>
    <n v="174"/>
    <s v="Fittings"/>
    <m/>
    <s v="en término"/>
    <x v="2"/>
    <n v="1"/>
  </r>
  <r>
    <x v="6"/>
    <x v="6"/>
    <x v="0"/>
    <x v="1"/>
    <s v="111/11 BPB"/>
    <s v="4600334989 (GLOBAL 2011-2012)"/>
    <x v="661"/>
    <n v="75475"/>
    <x v="455"/>
    <n v="91"/>
    <d v="2013-04-18T00:00:00"/>
    <s v="Salvador"/>
    <d v="2013-04-09T00:00:00"/>
    <x v="44"/>
    <d v="2013-04-17T00:00:00"/>
    <d v="2013-04-18T00:00:00"/>
    <d v="2013-05-06T00:00:00"/>
    <n v="109"/>
    <s v="30 bombas + Fittings"/>
    <m/>
    <s v="en término"/>
    <x v="10"/>
    <n v="1"/>
  </r>
  <r>
    <x v="6"/>
    <x v="6"/>
    <x v="0"/>
    <x v="1"/>
    <s v="027/10 BBR"/>
    <s v="4600313538 (Global vastagos)"/>
    <x v="662"/>
    <n v="30966"/>
    <x v="496"/>
    <n v="70"/>
    <d v="2013-03-20T00:00:00"/>
    <s v="Salvador"/>
    <d v="2013-04-16T00:00:00"/>
    <x v="119"/>
    <d v="2013-04-23T00:00:00"/>
    <d v="2013-04-24T00:00:00"/>
    <d v="2013-05-13T00:00:00"/>
    <n v="124"/>
    <s v="64 vastagos"/>
    <m/>
    <s v="atrasado"/>
    <x v="10"/>
    <n v="0"/>
  </r>
  <r>
    <x v="6"/>
    <x v="6"/>
    <x v="0"/>
    <x v="1"/>
    <s v="105/12 BBR"/>
    <s v="4600387192 (Global vastagos 2013)"/>
    <x v="663"/>
    <n v="26176.6"/>
    <x v="498"/>
    <n v="118"/>
    <d v="2013-04-25T00:00:00"/>
    <s v="Salvador"/>
    <d v="2013-04-16T00:00:00"/>
    <x v="2"/>
    <d v="2013-04-23T00:00:00"/>
    <d v="2013-04-24T00:00:00"/>
    <d v="2013-05-13T00:00:00"/>
    <n v="136"/>
    <s v="50 vastagos"/>
    <m/>
    <s v="en término"/>
    <x v="10"/>
    <n v="1"/>
  </r>
  <r>
    <x v="6"/>
    <x v="6"/>
    <x v="0"/>
    <x v="1"/>
    <s v="027/10 BBR"/>
    <s v="4600313538 (Global vastagos)"/>
    <x v="602"/>
    <n v="61200"/>
    <x v="450"/>
    <n v="130"/>
    <d v="2013-03-04T00:00:00"/>
    <s v="Salvador"/>
    <d v="2013-04-16T00:00:00"/>
    <x v="126"/>
    <d v="2013-04-23T00:00:00"/>
    <d v="2013-04-24T00:00:00"/>
    <d v="2013-05-13T00:00:00"/>
    <n v="200"/>
    <s v="150 vastagos - 3° ENVIO"/>
    <m/>
    <s v="atrasado"/>
    <x v="10"/>
    <n v="0"/>
  </r>
  <r>
    <x v="6"/>
    <x v="6"/>
    <x v="0"/>
    <x v="1"/>
    <s v="105/12 BBR"/>
    <s v="4600387192 (Global vastagos 2013)"/>
    <x v="664"/>
    <n v="77618.33"/>
    <x v="499"/>
    <n v="120"/>
    <d v="2013-05-18T00:00:00"/>
    <s v="Salvador"/>
    <d v="2013-05-07T00:00:00"/>
    <x v="75"/>
    <d v="2013-05-14T00:00:00"/>
    <d v="2013-05-16T00:00:00"/>
    <d v="2013-06-03T00:00:00"/>
    <n v="136"/>
    <s v="172 vastagos"/>
    <m/>
    <s v="en término"/>
    <x v="3"/>
    <n v="1"/>
  </r>
  <r>
    <x v="6"/>
    <x v="6"/>
    <x v="0"/>
    <x v="1"/>
    <s v="129/12 BPB"/>
    <s v="4600390337 (GLOBAL 2013)"/>
    <x v="665"/>
    <n v="5479.14"/>
    <x v="462"/>
    <n v="90"/>
    <d v="2013-05-21T00:00:00"/>
    <s v="Salvador"/>
    <d v="2013-05-07T00:00:00"/>
    <x v="33"/>
    <d v="2013-05-14T00:00:00"/>
    <d v="2013-05-16T00:00:00"/>
    <d v="2013-06-03T00:00:00"/>
    <n v="103"/>
    <s v="Fittings"/>
    <m/>
    <s v="en término"/>
    <x v="3"/>
    <n v="1"/>
  </r>
  <r>
    <x v="6"/>
    <x v="6"/>
    <x v="0"/>
    <x v="1"/>
    <s v="129/12 BPB"/>
    <s v="4600390337 (GLOBAL 2013)"/>
    <x v="666"/>
    <n v="153298.53"/>
    <x v="479"/>
    <n v="90"/>
    <d v="2013-05-22T00:00:00"/>
    <s v="Salvador"/>
    <d v="2013-05-07T00:00:00"/>
    <x v="86"/>
    <d v="2013-05-14T00:00:00"/>
    <d v="2013-05-16T00:00:00"/>
    <d v="2013-06-03T00:00:00"/>
    <n v="102"/>
    <s v="38 bombas + Fittings"/>
    <m/>
    <s v="en término"/>
    <x v="3"/>
    <n v="1"/>
  </r>
  <r>
    <x v="6"/>
    <x v="6"/>
    <x v="0"/>
    <x v="1"/>
    <s v="129/12 BPB"/>
    <s v="4600390337 (GLOBAL 2013)"/>
    <x v="667"/>
    <n v="109126"/>
    <x v="500"/>
    <n v="90"/>
    <d v="2013-05-28T00:00:00"/>
    <s v="Salvador"/>
    <d v="2013-05-14T00:00:00"/>
    <x v="19"/>
    <d v="2013-05-22T00:00:00"/>
    <d v="2013-05-24T00:00:00"/>
    <d v="2013-06-10T00:00:00"/>
    <n v="103"/>
    <s v="40 bombas"/>
    <m/>
    <s v="en término"/>
    <x v="3"/>
    <n v="1"/>
  </r>
  <r>
    <x v="6"/>
    <x v="6"/>
    <x v="0"/>
    <x v="1"/>
    <s v="129/12 BPB"/>
    <s v="4600390337 (GLOBAL 2013)"/>
    <x v="668"/>
    <n v="148188.74"/>
    <x v="501"/>
    <n v="96"/>
    <d v="2013-06-05T00:00:00"/>
    <s v="Salvador"/>
    <d v="2013-05-14T00:00:00"/>
    <x v="52"/>
    <d v="2013-05-22T00:00:00"/>
    <d v="2013-05-24T00:00:00"/>
    <d v="2013-06-10T00:00:00"/>
    <n v="101"/>
    <s v="71 bombas"/>
    <m/>
    <s v="en término"/>
    <x v="3"/>
    <n v="1"/>
  </r>
  <r>
    <x v="6"/>
    <x v="6"/>
    <x v="0"/>
    <x v="1"/>
    <s v="129/12 BPB"/>
    <s v="4600390337 (GLOBAL 2013)"/>
    <x v="669"/>
    <n v="13385.7"/>
    <x v="502"/>
    <n v="93"/>
    <d v="2013-06-05T00:00:00"/>
    <s v="Salvador"/>
    <d v="2013-05-14T00:00:00"/>
    <x v="52"/>
    <d v="2013-05-22T00:00:00"/>
    <d v="2013-05-24T00:00:00"/>
    <d v="2013-06-10T00:00:00"/>
    <n v="98"/>
    <s v="Fitings"/>
    <m/>
    <s v="en término"/>
    <x v="3"/>
    <n v="1"/>
  </r>
  <r>
    <x v="6"/>
    <x v="6"/>
    <x v="0"/>
    <x v="1"/>
    <s v="129/12 BPB"/>
    <s v="4600390337 (GLOBAL 2013)"/>
    <x v="670"/>
    <n v="11553.13"/>
    <x v="503"/>
    <n v="94"/>
    <d v="2013-06-10T00:00:00"/>
    <s v="Salvador"/>
    <d v="2013-05-28T00:00:00"/>
    <x v="46"/>
    <d v="2013-06-05T00:00:00"/>
    <d v="2013-06-07T00:00:00"/>
    <d v="2013-06-24T00:00:00"/>
    <n v="108"/>
    <s v="Fitings"/>
    <m/>
    <s v="en término"/>
    <x v="3"/>
    <n v="1"/>
  </r>
  <r>
    <x v="6"/>
    <x v="6"/>
    <x v="0"/>
    <x v="1"/>
    <s v="129/12 BPB"/>
    <s v="4600390337 (GLOBAL 2013)"/>
    <x v="671"/>
    <n v="129717.35"/>
    <x v="503"/>
    <n v="94"/>
    <d v="2013-06-10T00:00:00"/>
    <s v="Salvador"/>
    <d v="2013-05-28T00:00:00"/>
    <x v="46"/>
    <d v="2013-06-05T00:00:00"/>
    <d v="2013-06-07T00:00:00"/>
    <d v="2013-06-24T00:00:00"/>
    <n v="108"/>
    <s v="65 bombas"/>
    <m/>
    <s v="en término"/>
    <x v="3"/>
    <n v="1"/>
  </r>
  <r>
    <x v="6"/>
    <x v="6"/>
    <x v="0"/>
    <x v="1"/>
    <s v="129/12 BPB"/>
    <s v="4600390337 (GLOBAL 2013)"/>
    <x v="672"/>
    <n v="4408.12"/>
    <x v="504"/>
    <n v="61"/>
    <d v="2013-06-10T00:00:00"/>
    <s v="Salvador"/>
    <d v="2013-05-28T00:00:00"/>
    <x v="46"/>
    <d v="2013-06-05T00:00:00"/>
    <d v="2013-06-07T00:00:00"/>
    <d v="2013-06-24T00:00:00"/>
    <n v="75"/>
    <s v="Fittings"/>
    <s v="Se solicita modificar el vto. "/>
    <s v="en término"/>
    <x v="3"/>
    <n v="1"/>
  </r>
  <r>
    <x v="6"/>
    <x v="6"/>
    <x v="0"/>
    <x v="0"/>
    <s v="058/13 BBR"/>
    <s v="Petrobras N° 4505313110"/>
    <x v="673"/>
    <n v="1090"/>
    <x v="463"/>
    <n v="15"/>
    <d v="2013-06-18T00:00:00"/>
    <s v="Salvador"/>
    <d v="2013-06-12T00:00:00"/>
    <x v="2"/>
    <m/>
    <d v="2013-06-17T00:00:00"/>
    <d v="2013-06-22T00:00:00"/>
    <n v="19"/>
    <s v="Fittings"/>
    <m/>
    <s v="en término"/>
    <x v="4"/>
    <n v="1"/>
  </r>
  <r>
    <x v="6"/>
    <x v="6"/>
    <x v="0"/>
    <x v="0"/>
    <s v="055/13 BBR"/>
    <s v="Petrobras N° 4505336243"/>
    <x v="674"/>
    <n v="1815"/>
    <x v="465"/>
    <n v="45"/>
    <d v="2013-08-01T00:00:00"/>
    <s v="Salvador"/>
    <d v="2013-07-15T00:00:00"/>
    <x v="52"/>
    <d v="2013-07-19T00:00:00"/>
    <d v="2013-07-20T00:00:00"/>
    <d v="2013-07-22T00:00:00"/>
    <n v="35"/>
    <s v="Fittings - ENVIA PANDELTA"/>
    <m/>
    <s v="en término"/>
    <x v="5"/>
    <n v="1"/>
  </r>
  <r>
    <x v="6"/>
    <x v="6"/>
    <x v="0"/>
    <x v="1"/>
    <s v="129/12 BPB"/>
    <s v="4600390337 (GLOBAL 2013)"/>
    <x v="675"/>
    <n v="6256.63"/>
    <x v="505"/>
    <n v="93"/>
    <d v="2013-07-07T00:00:00"/>
    <s v="Salvador"/>
    <d v="2013-06-14T00:00:00"/>
    <x v="74"/>
    <d v="2013-06-25T00:00:00"/>
    <d v="2013-06-28T00:00:00"/>
    <d v="2013-07-14T00:00:00"/>
    <n v="100"/>
    <s v="Fittings"/>
    <m/>
    <s v="en término"/>
    <x v="4"/>
    <n v="1"/>
  </r>
  <r>
    <x v="6"/>
    <x v="6"/>
    <x v="0"/>
    <x v="1"/>
    <s v="129/12 BPB"/>
    <s v="4600390337 (GLOBAL 2013)"/>
    <x v="676"/>
    <n v="79406.600000000006"/>
    <x v="506"/>
    <n v="60"/>
    <d v="2013-07-09T00:00:00"/>
    <s v="Salvador"/>
    <d v="2013-06-14T00:00:00"/>
    <x v="17"/>
    <d v="2013-06-25T00:00:00"/>
    <d v="2013-06-28T00:00:00"/>
    <d v="2013-07-14T00:00:00"/>
    <n v="65"/>
    <s v="43 bombas"/>
    <m/>
    <s v="en término"/>
    <x v="4"/>
    <n v="1"/>
  </r>
  <r>
    <x v="6"/>
    <x v="6"/>
    <x v="0"/>
    <x v="1"/>
    <s v="129/12 BPB"/>
    <s v="4600390337 (GLOBAL 2013)"/>
    <x v="677"/>
    <n v="48935.66"/>
    <x v="507"/>
    <n v="90"/>
    <d v="2013-07-02T00:00:00"/>
    <s v="Salvador"/>
    <d v="2013-06-14T00:00:00"/>
    <x v="19"/>
    <d v="2013-06-25T00:00:00"/>
    <d v="2013-06-28T00:00:00"/>
    <d v="2013-07-14T00:00:00"/>
    <n v="102"/>
    <s v="12 bombas"/>
    <m/>
    <s v="en término"/>
    <x v="4"/>
    <n v="1"/>
  </r>
  <r>
    <x v="6"/>
    <x v="6"/>
    <x v="0"/>
    <x v="1"/>
    <s v="129/12 BPB"/>
    <s v="4600390337 (GLOBAL 2013)"/>
    <x v="678"/>
    <n v="7356.01"/>
    <x v="506"/>
    <n v="60"/>
    <d v="2013-07-09T00:00:00"/>
    <s v="Salvador"/>
    <d v="2013-06-14T00:00:00"/>
    <x v="17"/>
    <d v="2013-06-25T00:00:00"/>
    <d v="2013-06-28T00:00:00"/>
    <d v="2013-07-14T00:00:00"/>
    <n v="65"/>
    <s v="Fittings"/>
    <m/>
    <s v="en término"/>
    <x v="4"/>
    <n v="1"/>
  </r>
  <r>
    <x v="6"/>
    <x v="6"/>
    <x v="0"/>
    <x v="1"/>
    <s v="129/12 BPB"/>
    <s v="4600390337 (GLOBAL 2013)"/>
    <x v="679"/>
    <n v="243460"/>
    <x v="508"/>
    <n v="90"/>
    <d v="2013-07-14T00:00:00"/>
    <s v="Salvador"/>
    <d v="2013-06-28T00:00:00"/>
    <x v="9"/>
    <d v="2013-07-09T00:00:00"/>
    <d v="2013-07-18T00:00:00"/>
    <d v="2013-08-04T00:00:00"/>
    <n v="111"/>
    <s v="80 bombas"/>
    <m/>
    <s v="atrasado"/>
    <x v="4"/>
    <n v="0"/>
  </r>
  <r>
    <x v="6"/>
    <x v="6"/>
    <x v="0"/>
    <x v="1"/>
    <s v="129/12 BPB"/>
    <s v="4600390337 (GLOBAL 2013)"/>
    <x v="680"/>
    <n v="88090.11"/>
    <x v="509"/>
    <n v="92"/>
    <d v="2013-07-24T00:00:00"/>
    <s v="Salvador"/>
    <d v="2013-07-10T00:00:00"/>
    <x v="86"/>
    <d v="2013-07-17T00:00:00"/>
    <d v="2013-07-18T00:00:00"/>
    <d v="2013-08-04T00:00:00"/>
    <n v="103"/>
    <s v="30 bombas + Fittings"/>
    <m/>
    <s v="en término"/>
    <x v="5"/>
    <n v="1"/>
  </r>
  <r>
    <x v="6"/>
    <x v="6"/>
    <x v="0"/>
    <x v="1"/>
    <s v="129/12 BPB"/>
    <s v="4600390337 (GLOBAL 2013)"/>
    <x v="681"/>
    <n v="111463.45"/>
    <x v="510"/>
    <n v="88"/>
    <d v="2013-07-26T00:00:00"/>
    <s v="Salvador"/>
    <d v="2013-07-10T00:00:00"/>
    <x v="77"/>
    <d v="2013-07-17T00:00:00"/>
    <d v="2013-07-18T00:00:00"/>
    <d v="2013-08-04T00:00:00"/>
    <n v="97"/>
    <s v="40 bombas"/>
    <m/>
    <s v="en término"/>
    <x v="5"/>
    <n v="1"/>
  </r>
  <r>
    <x v="6"/>
    <x v="6"/>
    <x v="0"/>
    <x v="1"/>
    <s v="129/12 BPB"/>
    <s v="4600390337 (GLOBAL 2013)"/>
    <x v="682"/>
    <n v="83416.44"/>
    <x v="511"/>
    <n v="90"/>
    <d v="2013-07-31T00:00:00"/>
    <s v="Salvador"/>
    <d v="2013-07-10T00:00:00"/>
    <x v="10"/>
    <d v="2013-07-17T00:00:00"/>
    <d v="2013-07-18T00:00:00"/>
    <d v="2013-08-04T00:00:00"/>
    <n v="94"/>
    <s v="30 bombas"/>
    <m/>
    <s v="en término"/>
    <x v="5"/>
    <n v="1"/>
  </r>
  <r>
    <x v="6"/>
    <x v="6"/>
    <x v="0"/>
    <x v="0"/>
    <s v="040/13 BBR"/>
    <s v="Petrobras N° 4505239062"/>
    <x v="683"/>
    <n v="7800"/>
    <x v="464"/>
    <n v="100"/>
    <d v="2013-07-31T00:00:00"/>
    <s v="Salvador"/>
    <d v="2013-07-12T00:00:00"/>
    <x v="75"/>
    <m/>
    <d v="2013-07-29T00:00:00"/>
    <d v="2013-08-03T00:00:00"/>
    <n v="103"/>
    <s v="Fittings"/>
    <m/>
    <s v="en término"/>
    <x v="5"/>
    <n v="1"/>
  </r>
  <r>
    <x v="6"/>
    <x v="6"/>
    <x v="0"/>
    <x v="0"/>
    <s v="055/13 BBR"/>
    <s v="Petrobras N° 4505429732"/>
    <x v="684"/>
    <n v="2040"/>
    <x v="512"/>
    <n v="38"/>
    <d v="2013-09-19T00:00:00"/>
    <s v="Salvador"/>
    <d v="2013-08-23T00:00:00"/>
    <x v="42"/>
    <m/>
    <d v="2013-08-23T00:00:00"/>
    <d v="2013-08-25T00:00:00"/>
    <n v="13"/>
    <s v="Fittings - ENVIA CONROE PLASTICS"/>
    <m/>
    <s v="en término"/>
    <x v="6"/>
    <n v="1"/>
  </r>
  <r>
    <x v="6"/>
    <x v="6"/>
    <x v="0"/>
    <x v="1"/>
    <s v="129/12 BPB"/>
    <s v="4600390337 (GLOBAL 2013)"/>
    <x v="685"/>
    <n v="180782.03"/>
    <x v="513"/>
    <n v="63"/>
    <d v="2013-08-12T00:00:00"/>
    <s v="Salvador"/>
    <d v="2013-09-03T00:00:00"/>
    <x v="1"/>
    <d v="2013-09-10T00:00:00"/>
    <d v="2013-09-20T00:00:00"/>
    <d v="2013-10-05T00:00:00"/>
    <n v="117"/>
    <s v="88 bombas"/>
    <s v="Esta PCS reemplaza la PCS 4505227056 (66 bombas)  PENDIENTE DE INSPECCION, NO AUTORIZAN DESDE PETROBRAS.  Se autorizo el 26/08 - Se solicita modificar el vto."/>
    <s v="atrasado"/>
    <x v="7"/>
    <n v="0"/>
  </r>
  <r>
    <x v="6"/>
    <x v="6"/>
    <x v="0"/>
    <x v="1"/>
    <s v="121/11 BPB"/>
    <s v="4600351379 (REPUESTOS 2012)"/>
    <x v="686"/>
    <n v="25519.35"/>
    <x v="514"/>
    <n v="91"/>
    <d v="2013-09-30T00:00:00"/>
    <s v="Salvador"/>
    <d v="2013-09-03T00:00:00"/>
    <x v="49"/>
    <d v="2013-09-10T00:00:00"/>
    <d v="2013-09-20T00:00:00"/>
    <d v="2013-10-05T00:00:00"/>
    <n v="96"/>
    <s v="Fittings"/>
    <m/>
    <s v="en término"/>
    <x v="7"/>
    <n v="1"/>
  </r>
  <r>
    <x v="6"/>
    <x v="6"/>
    <x v="0"/>
    <x v="1"/>
    <s v="129/12 BPB"/>
    <s v="4600390337 (GLOBAL 2013)"/>
    <x v="687"/>
    <n v="1944.17"/>
    <x v="513"/>
    <n v="63"/>
    <d v="2013-08-12T00:00:00"/>
    <s v="Salvador"/>
    <d v="2013-09-03T00:00:00"/>
    <x v="1"/>
    <d v="2013-09-10T00:00:00"/>
    <d v="2013-09-20T00:00:00"/>
    <d v="2013-10-05T00:00:00"/>
    <n v="117"/>
    <s v="Fittings"/>
    <s v="PENDIENTE DE INSPECCION, NO AUTORIZAN DESDE PETROBRAS.  Se autorizo el 26/08"/>
    <s v="atrasado"/>
    <x v="7"/>
    <n v="0"/>
  </r>
  <r>
    <x v="6"/>
    <x v="6"/>
    <x v="0"/>
    <x v="1"/>
    <s v="129/12 BPB"/>
    <s v="4600390337 (GLOBAL 2013)"/>
    <x v="688"/>
    <n v="111176"/>
    <x v="515"/>
    <n v="92"/>
    <d v="2013-09-19T00:00:00"/>
    <s v="Salvador"/>
    <d v="2013-09-03T00:00:00"/>
    <x v="63"/>
    <d v="2013-09-10T00:00:00"/>
    <d v="2013-09-20T00:00:00"/>
    <d v="2013-10-05T00:00:00"/>
    <n v="108"/>
    <s v="44 bombas"/>
    <s v="PENDIENTE DE INSPECCION, NO AUTORIZAN DESDE PETROBRAS.  Se autorizo el 26/08"/>
    <s v="atrasado"/>
    <x v="7"/>
    <n v="0"/>
  </r>
  <r>
    <x v="6"/>
    <x v="6"/>
    <x v="0"/>
    <x v="1"/>
    <s v="129/12 BPB"/>
    <s v="4600390337 (GLOBAL 2013)"/>
    <x v="689"/>
    <n v="109546"/>
    <x v="515"/>
    <n v="93"/>
    <d v="2013-09-20T00:00:00"/>
    <s v="Salvador"/>
    <d v="2013-09-03T00:00:00"/>
    <x v="44"/>
    <d v="2013-09-10T00:00:00"/>
    <d v="2013-09-20T00:00:00"/>
    <d v="2013-10-05T00:00:00"/>
    <n v="108"/>
    <s v="20 bombas + fittings"/>
    <s v="PENDIENTE DE INSPECCION, NO AUTORIZAN DESDE PETROBRAS.  Se autorizo el 26/08"/>
    <s v="en término"/>
    <x v="7"/>
    <n v="1"/>
  </r>
  <r>
    <x v="6"/>
    <x v="6"/>
    <x v="0"/>
    <x v="1"/>
    <s v="129/12 BPB"/>
    <s v="4600390337 (GLOBAL 2013)"/>
    <x v="690"/>
    <n v="32265"/>
    <x v="516"/>
    <n v="90"/>
    <d v="2013-09-19T00:00:00"/>
    <s v="Salvador"/>
    <d v="2013-09-03T00:00:00"/>
    <x v="63"/>
    <d v="2013-09-10T00:00:00"/>
    <d v="2013-09-20T00:00:00"/>
    <d v="2013-10-05T00:00:00"/>
    <n v="106"/>
    <s v="10 bombas + fittings"/>
    <s v="PENDIENTE DE INSPECCION, NO AUTORIZAN DESDE PETROBRAS.  Se autorizo el 26/08"/>
    <s v="atrasado"/>
    <x v="7"/>
    <n v="0"/>
  </r>
  <r>
    <x v="6"/>
    <x v="6"/>
    <x v="0"/>
    <x v="1"/>
    <s v="129/12 BPB"/>
    <s v="4600390337 (GLOBAL 2013)"/>
    <x v="691"/>
    <n v="215225"/>
    <x v="517"/>
    <n v="91"/>
    <d v="2013-08-13T00:00:00"/>
    <s v="Salvador"/>
    <d v="2013-09-03T00:00:00"/>
    <x v="94"/>
    <d v="2013-09-10T00:00:00"/>
    <d v="2013-09-20T00:00:00"/>
    <d v="2013-10-05T00:00:00"/>
    <n v="144"/>
    <s v="76 bombas"/>
    <s v="PENDIENTE DE INSPECCION, NO AUTORIZAN DESDE PETROBRAS. Se autorizo el 26/08 - Se solicita modificar el vto."/>
    <s v="atrasado"/>
    <x v="7"/>
    <n v="0"/>
  </r>
  <r>
    <x v="6"/>
    <x v="6"/>
    <x v="0"/>
    <x v="1"/>
    <s v="129/12 BPB"/>
    <s v="4600390337 (GLOBAL 2013)"/>
    <x v="692"/>
    <n v="297144.75"/>
    <x v="518"/>
    <n v="91"/>
    <d v="2013-10-03T00:00:00"/>
    <s v="Salvador"/>
    <d v="2013-09-17T00:00:00"/>
    <x v="15"/>
    <d v="2013-10-01T00:00:00"/>
    <d v="2013-10-06T00:00:00"/>
    <d v="2013-10-17T00:00:00"/>
    <n v="105"/>
    <s v="89 bombas + Fittings"/>
    <m/>
    <s v="atrasado"/>
    <x v="7"/>
    <n v="0"/>
  </r>
  <r>
    <x v="6"/>
    <x v="6"/>
    <x v="0"/>
    <x v="1"/>
    <s v="105/12 BBR"/>
    <s v="4600387192 (Global vastagos 2013)"/>
    <x v="693"/>
    <n v="20927.25"/>
    <x v="519"/>
    <n v="81"/>
    <d v="2013-10-21T00:00:00"/>
    <s v="Salvador"/>
    <d v="2013-09-17T00:00:00"/>
    <x v="21"/>
    <d v="2013-10-01T00:00:00"/>
    <d v="2013-10-06T00:00:00"/>
    <d v="2013-10-17T00:00:00"/>
    <n v="77"/>
    <s v="40 vastagos"/>
    <m/>
    <s v="en término"/>
    <x v="7"/>
    <n v="1"/>
  </r>
  <r>
    <x v="6"/>
    <x v="6"/>
    <x v="0"/>
    <x v="1"/>
    <s v="129/12 BPB"/>
    <s v="4600390337 (GLOBAL 2013)"/>
    <x v="694"/>
    <n v="42059.09"/>
    <x v="520"/>
    <n v="90"/>
    <d v="2013-10-15T00:00:00"/>
    <s v="Salvador"/>
    <d v="2013-10-01T00:00:00"/>
    <x v="62"/>
    <d v="2013-10-11T00:00:00"/>
    <d v="2013-10-21T00:00:00"/>
    <d v="2013-11-03T00:00:00"/>
    <n v="109"/>
    <s v="12 bombas"/>
    <m/>
    <s v="atrasado"/>
    <x v="8"/>
    <n v="0"/>
  </r>
  <r>
    <x v="6"/>
    <x v="6"/>
    <x v="0"/>
    <x v="1"/>
    <s v="129/12 BPB"/>
    <s v="4600390337 (GLOBAL 2013)"/>
    <x v="695"/>
    <n v="9150"/>
    <x v="521"/>
    <n v="90"/>
    <d v="2013-10-21T00:00:00"/>
    <s v="Salvador"/>
    <d v="2013-10-01T00:00:00"/>
    <x v="44"/>
    <d v="2013-10-11T00:00:00"/>
    <d v="2013-10-21T00:00:00"/>
    <d v="2013-11-03T00:00:00"/>
    <n v="103"/>
    <s v="Fittings"/>
    <m/>
    <s v="en término"/>
    <x v="8"/>
    <n v="1"/>
  </r>
  <r>
    <x v="6"/>
    <x v="6"/>
    <x v="0"/>
    <x v="1"/>
    <s v="105/12 BBR"/>
    <s v="4600387192 (Global vastagos 2013)"/>
    <x v="696"/>
    <n v="69990.91"/>
    <x v="521"/>
    <n v="83"/>
    <d v="2013-10-14T00:00:00"/>
    <s v="Salvador"/>
    <d v="2013-10-01T00:00:00"/>
    <x v="32"/>
    <d v="2013-10-11T00:00:00"/>
    <d v="2013-10-21T00:00:00"/>
    <d v="2013-11-03T00:00:00"/>
    <n v="103"/>
    <s v="145 vastagos"/>
    <s v="Modificar inspeccion del item 2."/>
    <s v="atrasado"/>
    <x v="8"/>
    <n v="0"/>
  </r>
  <r>
    <x v="6"/>
    <x v="6"/>
    <x v="0"/>
    <x v="1"/>
    <s v="129/12 BPB"/>
    <s v="4600390337 (GLOBAL 2013)"/>
    <x v="697"/>
    <n v="19094.5"/>
    <x v="522"/>
    <n v="90"/>
    <d v="2013-11-07T00:00:00"/>
    <s v="Salvador"/>
    <d v="2013-10-15T00:00:00"/>
    <x v="52"/>
    <d v="2013-10-23T00:00:00"/>
    <d v="2013-10-26T00:00:00"/>
    <d v="2013-11-09T00:00:00"/>
    <n v="92"/>
    <s v="Fittings"/>
    <m/>
    <s v="en término"/>
    <x v="8"/>
    <n v="1"/>
  </r>
  <r>
    <x v="6"/>
    <x v="6"/>
    <x v="0"/>
    <x v="0"/>
    <s v="072/13 BBR"/>
    <s v="Petrobras N° 4505458202"/>
    <x v="698"/>
    <n v="2050"/>
    <x v="523"/>
    <n v="100"/>
    <d v="2013-12-01T00:00:00"/>
    <s v="Salvador"/>
    <d v="2013-10-15T00:00:00"/>
    <x v="53"/>
    <d v="2013-10-23T00:00:00"/>
    <d v="2013-10-26T00:00:00"/>
    <d v="2013-11-09T00:00:00"/>
    <n v="78"/>
    <s v="Fittings"/>
    <m/>
    <s v="en término"/>
    <x v="8"/>
    <n v="1"/>
  </r>
  <r>
    <x v="6"/>
    <x v="6"/>
    <x v="0"/>
    <x v="0"/>
    <s v="075/13 BBR"/>
    <s v="Petrobras N° 4505495556"/>
    <x v="699"/>
    <n v="3570"/>
    <x v="524"/>
    <n v="75"/>
    <d v="2013-11-23T00:00:00"/>
    <s v="Salvador"/>
    <d v="2013-10-15T00:00:00"/>
    <x v="20"/>
    <d v="2013-10-23T00:00:00"/>
    <d v="2013-10-26T00:00:00"/>
    <d v="2013-11-09T00:00:00"/>
    <n v="61"/>
    <s v="Fittings"/>
    <m/>
    <s v="en término"/>
    <x v="8"/>
    <n v="1"/>
  </r>
  <r>
    <x v="6"/>
    <x v="6"/>
    <x v="0"/>
    <x v="1"/>
    <s v="129/12 BPB"/>
    <s v="4600390337 (GLOBAL 2013)"/>
    <x v="700"/>
    <n v="76632.7"/>
    <x v="525"/>
    <n v="95"/>
    <d v="2013-11-11T00:00:00"/>
    <s v="Salvador"/>
    <d v="2013-10-15T00:00:00"/>
    <x v="87"/>
    <d v="2013-10-23T00:00:00"/>
    <d v="2013-10-26T00:00:00"/>
    <d v="2013-11-09T00:00:00"/>
    <n v="93"/>
    <s v="30 bombas"/>
    <m/>
    <s v="en término"/>
    <x v="8"/>
    <n v="1"/>
  </r>
  <r>
    <x v="6"/>
    <x v="6"/>
    <x v="0"/>
    <x v="1"/>
    <s v="129/12 BPB"/>
    <s v="4600390337 (GLOBAL 2013)"/>
    <x v="701"/>
    <n v="258799.5"/>
    <x v="526"/>
    <n v="91"/>
    <d v="2013-11-20T00:00:00"/>
    <s v="Salvador"/>
    <d v="2013-10-29T00:00:00"/>
    <x v="10"/>
    <d v="2013-11-06T00:00:00"/>
    <d v="2013-11-07T00:00:00"/>
    <d v="2013-11-23T00:00:00"/>
    <n v="94"/>
    <s v="100 bombas + Fittings"/>
    <m/>
    <s v="en término"/>
    <x v="8"/>
    <n v="1"/>
  </r>
  <r>
    <x v="6"/>
    <x v="6"/>
    <x v="0"/>
    <x v="0"/>
    <s v="087/13 BBR"/>
    <s v="Petrobras N° 4505476124"/>
    <x v="702"/>
    <n v="3750"/>
    <x v="527"/>
    <n v="60"/>
    <d v="2013-11-16T00:00:00"/>
    <s v="Salvador"/>
    <d v="2013-10-29T00:00:00"/>
    <x v="74"/>
    <d v="2013-11-06T00:00:00"/>
    <d v="2013-11-07T00:00:00"/>
    <d v="2013-11-23T00:00:00"/>
    <n v="67"/>
    <s v="15 pistones"/>
    <m/>
    <s v="en término"/>
    <x v="8"/>
    <n v="1"/>
  </r>
  <r>
    <x v="6"/>
    <x v="6"/>
    <x v="0"/>
    <x v="1"/>
    <s v="129/12 BPB"/>
    <s v="4600390337 (GLOBAL 2013)"/>
    <x v="703"/>
    <n v="45284"/>
    <x v="523"/>
    <n v="95"/>
    <d v="2013-11-26T00:00:00"/>
    <s v="Salvador"/>
    <d v="2013-10-29T00:00:00"/>
    <x v="102"/>
    <d v="2013-11-06T00:00:00"/>
    <d v="2013-11-07T00:00:00"/>
    <d v="2013-11-23T00:00:00"/>
    <n v="92"/>
    <s v="18 bombas"/>
    <m/>
    <s v="en término"/>
    <x v="8"/>
    <n v="1"/>
  </r>
  <r>
    <x v="6"/>
    <x v="6"/>
    <x v="0"/>
    <x v="1"/>
    <s v="129/12 BPB"/>
    <s v="4600390337 (GLOBAL 2013)"/>
    <x v="704"/>
    <n v="8664.1200000000008"/>
    <x v="528"/>
    <n v="91"/>
    <d v="2013-12-20T00:00:00"/>
    <s v="Salvador"/>
    <d v="2013-12-03T00:00:00"/>
    <x v="33"/>
    <d v="2013-12-11T00:00:00"/>
    <d v="2013-12-15T00:00:00"/>
    <d v="2013-12-28T00:00:00"/>
    <n v="99"/>
    <s v="Fittings"/>
    <m/>
    <s v="en término"/>
    <x v="11"/>
    <n v="1"/>
  </r>
  <r>
    <x v="6"/>
    <x v="6"/>
    <x v="0"/>
    <x v="1"/>
    <s v="129/12 BPB"/>
    <s v="4600390337 (GLOBAL 2013)"/>
    <x v="705"/>
    <n v="228714.79"/>
    <x v="482"/>
    <n v="92"/>
    <d v="2013-12-26T00:00:00"/>
    <s v="Salvador"/>
    <d v="2013-12-03T00:00:00"/>
    <x v="17"/>
    <d v="2013-12-11T00:00:00"/>
    <d v="2013-12-15T00:00:00"/>
    <d v="2013-12-28T00:00:00"/>
    <n v="94"/>
    <s v="85 bombas"/>
    <m/>
    <s v="en término"/>
    <x v="11"/>
    <n v="1"/>
  </r>
  <r>
    <x v="6"/>
    <x v="6"/>
    <x v="0"/>
    <x v="1"/>
    <s v="105/12 BBR"/>
    <s v="4600387192 (Global vastagos 2013)"/>
    <x v="706"/>
    <n v="114410.55"/>
    <x v="482"/>
    <n v="82"/>
    <d v="2013-12-16T00:00:00"/>
    <s v="Salvador"/>
    <d v="2013-12-03T00:00:00"/>
    <x v="2"/>
    <d v="2013-12-11T00:00:00"/>
    <d v="2013-12-15T00:00:00"/>
    <d v="2013-12-28T00:00:00"/>
    <n v="94"/>
    <s v="247 vastagos"/>
    <m/>
    <s v="en término"/>
    <x v="11"/>
    <n v="1"/>
  </r>
  <r>
    <x v="6"/>
    <x v="6"/>
    <x v="0"/>
    <x v="1"/>
    <s v="129/12 BPB"/>
    <s v="4600390337 (GLOBAL 2013)"/>
    <x v="707"/>
    <n v="116738.89"/>
    <x v="529"/>
    <n v="81"/>
    <d v="2014-01-13T00:00:00"/>
    <s v="Salvador"/>
    <d v="2013-12-03T00:00:00"/>
    <x v="37"/>
    <d v="2013-12-11T00:00:00"/>
    <d v="2013-12-15T00:00:00"/>
    <d v="2013-12-28T00:00:00"/>
    <n v="65"/>
    <s v="41 bombas"/>
    <m/>
    <s v="en término"/>
    <x v="11"/>
    <n v="1"/>
  </r>
  <r>
    <x v="6"/>
    <x v="6"/>
    <x v="0"/>
    <x v="0"/>
    <s v="079/13 BBR"/>
    <s v="Petrobras N° 4505479721"/>
    <x v="708"/>
    <n v="146100"/>
    <x v="530"/>
    <n v="100"/>
    <d v="2013-12-07T00:00:00"/>
    <s v="Salvador"/>
    <d v="2013-12-17T00:00:00"/>
    <x v="36"/>
    <d v="2014-01-01T00:00:00"/>
    <d v="2014-01-03T00:00:00"/>
    <d v="2014-01-24T00:00:00"/>
    <n v="148"/>
    <s v="190 vastagos "/>
    <s v="Se cancleo el buque, paso del 29/11 al 06/12/13.  Bolland do Brasil pidio postergar la salida a Enero."/>
    <s v="atrasado"/>
    <x v="11"/>
    <n v="0"/>
  </r>
  <r>
    <x v="6"/>
    <x v="6"/>
    <x v="0"/>
    <x v="0"/>
    <s v="088/13 BBR"/>
    <s v="Petrobras N° 4505513039"/>
    <x v="709"/>
    <n v="47250"/>
    <x v="531"/>
    <n v="90"/>
    <d v="2013-12-22T00:00:00"/>
    <s v="Salvador"/>
    <d v="2013-12-17T00:00:00"/>
    <x v="43"/>
    <d v="2014-01-01T00:00:00"/>
    <d v="2014-01-03T00:00:00"/>
    <d v="2014-01-24T00:00:00"/>
    <n v="123"/>
    <s v="126 pistones"/>
    <s v="Se cancleo el buque, paso del 29/11 al 06/12/13.  Bolland do Brasil pidio postergar la salida a Enero."/>
    <s v="atrasado"/>
    <x v="11"/>
    <n v="0"/>
  </r>
  <r>
    <x v="6"/>
    <x v="6"/>
    <x v="0"/>
    <x v="0"/>
    <s v="099/13 BBR"/>
    <s v="Petrobras N° 4505561468"/>
    <x v="710"/>
    <n v="4125"/>
    <x v="532"/>
    <n v="90"/>
    <d v="2014-01-13T00:00:00"/>
    <s v="Salvador"/>
    <d v="2013-12-17T00:00:00"/>
    <x v="49"/>
    <d v="2014-01-01T00:00:00"/>
    <d v="2014-01-03T00:00:00"/>
    <d v="2014-01-24T00:00:00"/>
    <n v="101"/>
    <s v="Fittings"/>
    <s v="Se cancleo el buque, paso del 29/11 al 06/12/13.  Bolland do Brasil pidio postergar la salida a Enero."/>
    <s v="en término"/>
    <x v="11"/>
    <n v="1"/>
  </r>
  <r>
    <x v="6"/>
    <x v="6"/>
    <x v="0"/>
    <x v="0"/>
    <s v="054/13 BBR"/>
    <s v="Petrobras N° 4505454206"/>
    <x v="711"/>
    <n v="1500"/>
    <x v="533"/>
    <n v="75"/>
    <d v="2014-01-19T00:00:00"/>
    <s v="Salvador"/>
    <d v="2013-12-17T00:00:00"/>
    <x v="87"/>
    <d v="2014-01-01T00:00:00"/>
    <d v="2014-01-03T00:00:00"/>
    <d v="2014-01-24T00:00:00"/>
    <n v="80"/>
    <s v="Fittings"/>
    <s v="Se cancleo el buque, paso del 29/11 al 06/12/13.  Bolland do Brasil pidio postergar la salida a Enero."/>
    <s v="en término"/>
    <x v="11"/>
    <n v="1"/>
  </r>
  <r>
    <x v="7"/>
    <x v="7"/>
    <x v="16"/>
    <x v="34"/>
    <s v="111/13 UAS"/>
    <m/>
    <x v="712"/>
    <n v="217904.7"/>
    <x v="534"/>
    <n v="153"/>
    <d v="2014-04-21T00:00:00"/>
    <s v="Buenos Aires"/>
    <d v="2014-06-09T00:00:00"/>
    <x v="78"/>
    <d v="2014-06-17T00:00:00"/>
    <d v="2014-06-20T00:00:00"/>
    <d v="2014-07-25T00:00:00"/>
    <n v="248"/>
    <s v="Fittings  - CERTIFICADOS DE CALIDAD"/>
    <s v="Pago  50% anticipado - 50 % al momento del embarque - 03/12 se pago el anticipo (U$ 108.952,50) - 30/05 cancelado"/>
    <s v="atrasado"/>
    <x v="4"/>
    <n v="0"/>
  </r>
  <r>
    <x v="7"/>
    <x v="7"/>
    <x v="18"/>
    <x v="29"/>
    <s v="029/14 TAK"/>
    <m/>
    <x v="713"/>
    <n v="2874.11"/>
    <x v="535"/>
    <n v="45"/>
    <d v="2014-07-20T00:00:00"/>
    <s v="Buenos Aires"/>
    <d v="2014-07-22T00:00:00"/>
    <x v="82"/>
    <d v="2014-08-11T00:00:00"/>
    <d v="2014-08-13T00:00:00"/>
    <d v="2014-08-28T00:00:00"/>
    <n v="84"/>
    <s v="Fittings "/>
    <s v="Se hizo el pago anticipado total.  Desde el 25 de Junio estamos esperando instrucciones del cliente para despachar la carga"/>
    <s v="atrasado"/>
    <x v="5"/>
    <n v="0"/>
  </r>
  <r>
    <x v="7"/>
    <x v="7"/>
    <x v="12"/>
    <x v="20"/>
    <s v="057/13 GUN"/>
    <m/>
    <x v="714"/>
    <n v="41550"/>
    <x v="536"/>
    <n v="120"/>
    <d v="2013-11-15T00:00:00"/>
    <s v="Buenos Aires"/>
    <d v="2014-01-10T00:00:00"/>
    <x v="127"/>
    <d v="2014-01-21T00:00:00"/>
    <d v="2014-01-30T00:00:00"/>
    <d v="2014-03-16T00:00:00"/>
    <n v="241"/>
    <s v="10 bombas - PAGO ANTICIPADO"/>
    <s v="Buque via Valencia"/>
    <s v="atrasado"/>
    <x v="0"/>
    <n v="0"/>
  </r>
  <r>
    <x v="7"/>
    <x v="7"/>
    <x v="12"/>
    <x v="20"/>
    <s v="084/14 GUN"/>
    <m/>
    <x v="715"/>
    <n v="4375"/>
    <x v="537"/>
    <n v="20"/>
    <d v="2014-11-26T00:00:00"/>
    <s v="Buenos Aires"/>
    <d v="2014-11-25T00:00:00"/>
    <x v="120"/>
    <d v="2014-12-23T00:00:00"/>
    <d v="2015-01-06T00:00:00"/>
    <d v="2015-02-20T00:00:00"/>
    <n v="106"/>
    <s v="Fittings  - PAGO ANTICIPADO"/>
    <m/>
    <s v="atrasado"/>
    <x v="9"/>
    <n v="0"/>
  </r>
  <r>
    <x v="7"/>
    <x v="7"/>
    <x v="10"/>
    <x v="16"/>
    <s v="117/13 WGP"/>
    <m/>
    <x v="716"/>
    <n v="40626"/>
    <x v="538"/>
    <n v="100"/>
    <d v="2014-04-02T00:00:00"/>
    <s v="Comodoro Rivadavia"/>
    <d v="2014-04-08T00:00:00"/>
    <x v="32"/>
    <m/>
    <d v="2014-04-09T00:00:00"/>
    <d v="2014-04-24T00:00:00"/>
    <n v="122"/>
    <s v="Fittings"/>
    <m/>
    <s v="atrasado"/>
    <x v="10"/>
    <n v="0"/>
  </r>
  <r>
    <x v="7"/>
    <x v="7"/>
    <x v="10"/>
    <x v="16"/>
    <s v="001/14 WGP"/>
    <m/>
    <x v="717"/>
    <n v="11600"/>
    <x v="539"/>
    <n v="82"/>
    <d v="2014-04-02T00:00:00"/>
    <s v="Comodoro Rivadavia"/>
    <d v="2014-04-08T00:00:00"/>
    <x v="32"/>
    <m/>
    <d v="2014-04-09T00:00:00"/>
    <d v="2014-04-24T00:00:00"/>
    <n v="104"/>
    <s v="Fittings"/>
    <m/>
    <s v="atrasado"/>
    <x v="10"/>
    <n v="0"/>
  </r>
  <r>
    <x v="7"/>
    <x v="7"/>
    <x v="10"/>
    <x v="16"/>
    <s v="009/14 WGP"/>
    <m/>
    <x v="718"/>
    <n v="375"/>
    <x v="540"/>
    <n v="100"/>
    <d v="2014-05-30T00:00:00"/>
    <s v="Comodoro Rivadavia"/>
    <d v="2014-04-08T00:00:00"/>
    <x v="115"/>
    <m/>
    <d v="2014-04-09T00:00:00"/>
    <d v="2014-04-24T00:00:00"/>
    <n v="64"/>
    <s v="Fittings"/>
    <m/>
    <s v="en término"/>
    <x v="10"/>
    <n v="1"/>
  </r>
  <r>
    <x v="7"/>
    <x v="7"/>
    <x v="10"/>
    <x v="18"/>
    <s v="007/14 WEN"/>
    <m/>
    <x v="719"/>
    <n v="14984"/>
    <x v="541"/>
    <n v="63"/>
    <d v="2014-04-30T00:00:00"/>
    <s v="Buenos Aires"/>
    <d v="2014-04-25T00:00:00"/>
    <x v="47"/>
    <d v="2014-05-07T00:00:00"/>
    <d v="2014-05-09T00:00:00"/>
    <d v="2014-05-12T00:00:00"/>
    <n v="75"/>
    <s v="Fitings"/>
    <m/>
    <s v="atrasado"/>
    <x v="10"/>
    <n v="0"/>
  </r>
  <r>
    <x v="7"/>
    <x v="7"/>
    <x v="10"/>
    <x v="16"/>
    <s v="015/14 WGP"/>
    <m/>
    <x v="720"/>
    <n v="2900"/>
    <x v="542"/>
    <n v="45"/>
    <d v="2014-05-10T00:00:00"/>
    <s v="Buenos Aires"/>
    <d v="2014-05-27T00:00:00"/>
    <x v="3"/>
    <m/>
    <d v="2014-06-05T00:00:00"/>
    <d v="2014-06-20T00:00:00"/>
    <n v="86"/>
    <s v="Fittings"/>
    <m/>
    <s v="atrasado"/>
    <x v="3"/>
    <n v="0"/>
  </r>
  <r>
    <x v="7"/>
    <x v="7"/>
    <x v="10"/>
    <x v="18"/>
    <s v="008/14 WEN"/>
    <m/>
    <x v="721"/>
    <n v="18510"/>
    <x v="543"/>
    <n v="92"/>
    <d v="2014-05-27T00:00:00"/>
    <s v="Buenos Aires"/>
    <d v="2014-06-06T00:00:00"/>
    <x v="110"/>
    <m/>
    <d v="2014-06-19T00:00:00"/>
    <d v="2014-06-24T00:00:00"/>
    <n v="120"/>
    <s v="6 bombas"/>
    <m/>
    <s v="atrasado"/>
    <x v="4"/>
    <n v="0"/>
  </r>
  <r>
    <x v="7"/>
    <x v="7"/>
    <x v="10"/>
    <x v="18"/>
    <s v="022/14 WEN"/>
    <m/>
    <x v="722"/>
    <n v="29900"/>
    <x v="544"/>
    <n v="93"/>
    <d v="2014-07-16T00:00:00"/>
    <s v="Buenos Aires"/>
    <d v="2014-07-10T00:00:00"/>
    <x v="32"/>
    <d v="2014-07-17T00:00:00"/>
    <d v="2014-07-23T00:00:00"/>
    <d v="2014-07-29T00:00:00"/>
    <n v="106"/>
    <s v="10 bombas"/>
    <m/>
    <s v="atrasado"/>
    <x v="5"/>
    <n v="0"/>
  </r>
  <r>
    <x v="7"/>
    <x v="7"/>
    <x v="10"/>
    <x v="18"/>
    <s v="026/14 WEN"/>
    <m/>
    <x v="723"/>
    <n v="6850"/>
    <x v="545"/>
    <n v="125"/>
    <d v="2014-08-27T00:00:00"/>
    <s v="Buenos Aires"/>
    <d v="2014-08-19T00:00:00"/>
    <x v="2"/>
    <d v="2014-08-21T00:00:00"/>
    <d v="2014-08-26T00:00:00"/>
    <d v="2014-08-31T00:00:00"/>
    <n v="129"/>
    <s v="Fittings"/>
    <m/>
    <s v="en término"/>
    <x v="6"/>
    <n v="1"/>
  </r>
  <r>
    <x v="7"/>
    <x v="7"/>
    <x v="10"/>
    <x v="18"/>
    <s v="042/14 WEN"/>
    <m/>
    <x v="724"/>
    <n v="5800"/>
    <x v="546"/>
    <n v="68"/>
    <d v="2014-08-18T00:00:00"/>
    <s v="Buenos Aires"/>
    <d v="2014-08-19T00:00:00"/>
    <x v="23"/>
    <d v="2014-08-21T00:00:00"/>
    <d v="2014-08-26T00:00:00"/>
    <d v="2014-08-31T00:00:00"/>
    <n v="81"/>
    <s v="Fittings"/>
    <m/>
    <s v="atrasado"/>
    <x v="6"/>
    <n v="0"/>
  </r>
  <r>
    <x v="7"/>
    <x v="7"/>
    <x v="10"/>
    <x v="16"/>
    <s v="031/14 WGP"/>
    <m/>
    <x v="725"/>
    <n v="48555"/>
    <x v="547"/>
    <n v="70"/>
    <d v="2014-08-25T00:00:00"/>
    <s v="Comodoro Rivadavia"/>
    <d v="2014-08-21T00:00:00"/>
    <x v="44"/>
    <m/>
    <d v="2014-08-25T00:00:00"/>
    <d v="2014-08-27T00:00:00"/>
    <n v="72"/>
    <s v="Fittings - 1° ENVIO"/>
    <m/>
    <s v="en término"/>
    <x v="6"/>
    <n v="1"/>
  </r>
  <r>
    <x v="7"/>
    <x v="7"/>
    <x v="10"/>
    <x v="16"/>
    <s v="031/14 WGP"/>
    <m/>
    <x v="725"/>
    <n v="59555"/>
    <x v="547"/>
    <n v="100"/>
    <d v="2014-09-24T00:00:00"/>
    <s v="Comodoro Rivadavia"/>
    <d v="2014-09-24T00:00:00"/>
    <x v="45"/>
    <m/>
    <d v="2014-10-08T00:00:00"/>
    <d v="2014-10-10T00:00:00"/>
    <n v="116"/>
    <s v="Fittings - 2° ENVIO"/>
    <m/>
    <s v="atrasado"/>
    <x v="7"/>
    <n v="0"/>
  </r>
  <r>
    <x v="7"/>
    <x v="7"/>
    <x v="10"/>
    <x v="18"/>
    <s v="067/14 WEN"/>
    <m/>
    <x v="726"/>
    <n v="107315"/>
    <x v="548"/>
    <n v="92"/>
    <d v="2014-12-26T00:00:00"/>
    <s v="Buenos Aires"/>
    <d v="2014-12-12T00:00:00"/>
    <x v="64"/>
    <m/>
    <d v="2014-12-19T00:00:00"/>
    <d v="2014-12-24T00:00:00"/>
    <n v="90"/>
    <s v="Bombas + Fittings - ENVIAR MAQUETA"/>
    <m/>
    <s v="en término"/>
    <x v="11"/>
    <n v="1"/>
  </r>
  <r>
    <x v="7"/>
    <x v="7"/>
    <x v="10"/>
    <x v="16"/>
    <s v="072/14 WGP"/>
    <m/>
    <x v="727"/>
    <n v="4295"/>
    <x v="549"/>
    <n v="75"/>
    <d v="2014-12-20T00:00:00"/>
    <s v="Comodoro Rivadavia"/>
    <d v="2014-12-16T00:00:00"/>
    <x v="19"/>
    <m/>
    <d v="2014-12-16T00:00:00"/>
    <d v="2014-12-18T00:00:00"/>
    <n v="73"/>
    <s v="Fittings "/>
    <m/>
    <s v="en término"/>
    <x v="11"/>
    <n v="1"/>
  </r>
  <r>
    <x v="7"/>
    <x v="7"/>
    <x v="10"/>
    <x v="16"/>
    <s v="074/14 WGP"/>
    <m/>
    <x v="728"/>
    <n v="12420"/>
    <x v="550"/>
    <n v="75"/>
    <d v="2014-12-21T00:00:00"/>
    <s v="Comodoro Rivadavia"/>
    <d v="2014-12-16T00:00:00"/>
    <x v="33"/>
    <m/>
    <d v="2014-12-16T00:00:00"/>
    <d v="2014-12-18T00:00:00"/>
    <n v="72"/>
    <s v="Fittings "/>
    <m/>
    <s v="en término"/>
    <x v="11"/>
    <n v="1"/>
  </r>
  <r>
    <x v="7"/>
    <x v="7"/>
    <x v="10"/>
    <x v="16"/>
    <s v="075/14 WGP"/>
    <m/>
    <x v="729"/>
    <n v="29700"/>
    <x v="550"/>
    <n v="75"/>
    <d v="2014-12-21T00:00:00"/>
    <s v="Comodoro Rivadavia"/>
    <d v="2014-12-16T00:00:00"/>
    <x v="33"/>
    <m/>
    <d v="2014-12-16T00:00:00"/>
    <d v="2014-12-18T00:00:00"/>
    <n v="72"/>
    <s v="Fittings "/>
    <m/>
    <s v="en término"/>
    <x v="11"/>
    <n v="1"/>
  </r>
  <r>
    <x v="7"/>
    <x v="7"/>
    <x v="5"/>
    <x v="7"/>
    <s v="025/14 TAL"/>
    <m/>
    <x v="730"/>
    <n v="24137.5"/>
    <x v="551"/>
    <n v="110"/>
    <d v="2014-07-28T00:00:00"/>
    <s v="Buenos Aires"/>
    <d v="2014-07-18T00:00:00"/>
    <x v="43"/>
    <d v="2014-07-31T00:00:00"/>
    <d v="2014-08-09T00:00:00"/>
    <d v="2014-10-21T00:00:00"/>
    <n v="195"/>
    <s v="Fittings"/>
    <m/>
    <s v="atrasado"/>
    <x v="5"/>
    <n v="0"/>
  </r>
  <r>
    <x v="7"/>
    <x v="7"/>
    <x v="3"/>
    <x v="4"/>
    <s v="109/13 ETE"/>
    <m/>
    <x v="731"/>
    <n v="19300"/>
    <x v="552"/>
    <n v="101"/>
    <d v="2014-03-07T00:00:00"/>
    <s v="Buenos Aires"/>
    <d v="2014-01-31T00:00:00"/>
    <x v="18"/>
    <d v="2014-02-07T00:00:00"/>
    <d v="2014-02-17T00:00:00"/>
    <d v="2014-03-19T00:00:00"/>
    <n v="113"/>
    <s v="8 bombas"/>
    <m/>
    <s v="en término"/>
    <x v="0"/>
    <n v="1"/>
  </r>
  <r>
    <x v="7"/>
    <x v="7"/>
    <x v="3"/>
    <x v="4"/>
    <s v="046/14 ETE"/>
    <m/>
    <x v="732"/>
    <n v="38495.4"/>
    <x v="553"/>
    <n v="90"/>
    <d v="2014-10-08T00:00:00"/>
    <s v="Buenos Aires"/>
    <d v="2014-09-30T00:00:00"/>
    <x v="128"/>
    <d v="2014-10-30T00:00:00"/>
    <d v="2014-11-11T00:00:00"/>
    <d v="2014-12-06T00:00:00"/>
    <n v="149"/>
    <s v="13 bombas"/>
    <m/>
    <s v="atrasado"/>
    <x v="7"/>
    <n v="0"/>
  </r>
  <r>
    <x v="7"/>
    <x v="7"/>
    <x v="8"/>
    <x v="13"/>
    <s v="030/14 OBB"/>
    <m/>
    <x v="733"/>
    <n v="3120"/>
    <x v="554"/>
    <n v="40"/>
    <d v="2014-07-08T00:00:00"/>
    <s v="Buenos Aires"/>
    <d v="2014-07-04T00:00:00"/>
    <x v="119"/>
    <m/>
    <d v="2014-08-12T00:00:00"/>
    <d v="2014-08-18T00:00:00"/>
    <n v="81"/>
    <s v="6 vástagos"/>
    <s v="Se esta aguardando la entrega de químicos para realizar un solo envio (ver mail 09/07/14 de Víctor Canestrari)"/>
    <s v="atrasado"/>
    <x v="5"/>
    <n v="0"/>
  </r>
  <r>
    <x v="7"/>
    <x v="7"/>
    <x v="1"/>
    <x v="12"/>
    <s v="107/13 CEC"/>
    <m/>
    <x v="734"/>
    <n v="209499.63"/>
    <x v="555"/>
    <n v="67"/>
    <d v="2014-03-10T00:00:00"/>
    <s v="Buenos Aires"/>
    <d v="2014-02-04T00:00:00"/>
    <x v="35"/>
    <d v="2014-02-11T00:00:00"/>
    <d v="2014-02-18T00:00:00"/>
    <d v="2014-03-13T00:00:00"/>
    <n v="70"/>
    <s v="Fittings - 1° ENVIO"/>
    <m/>
    <s v="en término"/>
    <x v="1"/>
    <n v="1"/>
  </r>
  <r>
    <x v="7"/>
    <x v="7"/>
    <x v="1"/>
    <x v="12"/>
    <s v="100/13 CEC"/>
    <m/>
    <x v="735"/>
    <n v="986545.34"/>
    <x v="556"/>
    <n v="57"/>
    <d v="2014-04-08T00:00:00"/>
    <s v="Buenos Aires"/>
    <d v="2014-03-13T00:00:00"/>
    <x v="102"/>
    <d v="2014-03-19T00:00:00"/>
    <d v="2014-03-20T00:00:00"/>
    <d v="2014-04-12T00:00:00"/>
    <n v="61"/>
    <s v="Fittings  - 1° ENVIO"/>
    <m/>
    <s v="en término"/>
    <x v="2"/>
    <n v="1"/>
  </r>
  <r>
    <x v="7"/>
    <x v="7"/>
    <x v="1"/>
    <x v="12"/>
    <s v="107/13 CEC"/>
    <m/>
    <x v="734"/>
    <n v="333096.25"/>
    <x v="555"/>
    <n v="123"/>
    <d v="2014-05-05T00:00:00"/>
    <s v="Buenos Aires"/>
    <d v="2014-05-15T00:00:00"/>
    <x v="8"/>
    <d v="2014-05-21T00:00:00"/>
    <d v="2014-05-23T00:00:00"/>
    <d v="2014-06-13T00:00:00"/>
    <n v="162"/>
    <s v="Fittings - 2° ENVIO"/>
    <m/>
    <s v="atrasado"/>
    <x v="3"/>
    <n v="0"/>
  </r>
  <r>
    <x v="7"/>
    <x v="7"/>
    <x v="1"/>
    <x v="12"/>
    <s v="110/13 CEC"/>
    <m/>
    <x v="736"/>
    <n v="531484.9"/>
    <x v="556"/>
    <n v="84"/>
    <d v="2014-05-05T00:00:00"/>
    <s v="Buenos Aires"/>
    <d v="2014-05-15T00:00:00"/>
    <x v="8"/>
    <d v="2014-05-21T00:00:00"/>
    <d v="2014-05-23T00:00:00"/>
    <d v="2014-06-13T00:00:00"/>
    <n v="123"/>
    <s v="Fittings "/>
    <m/>
    <s v="atrasado"/>
    <x v="3"/>
    <n v="0"/>
  </r>
  <r>
    <x v="7"/>
    <x v="7"/>
    <x v="1"/>
    <x v="12"/>
    <s v="100/13 CEC"/>
    <m/>
    <x v="735"/>
    <n v="557651.72"/>
    <x v="556"/>
    <n v="95"/>
    <d v="2014-05-16T00:00:00"/>
    <s v="Buenos Aires"/>
    <d v="2014-05-15T00:00:00"/>
    <x v="32"/>
    <d v="2014-05-21T00:00:00"/>
    <d v="2014-05-23T00:00:00"/>
    <d v="2014-06-13T00:00:00"/>
    <n v="123"/>
    <s v="Fittings - 2° ENVIO"/>
    <m/>
    <s v="atrasado"/>
    <x v="3"/>
    <n v="0"/>
  </r>
  <r>
    <x v="7"/>
    <x v="7"/>
    <x v="1"/>
    <x v="12"/>
    <s v="014/14 CEC"/>
    <m/>
    <x v="737"/>
    <n v="2590.12"/>
    <x v="557"/>
    <n v="98"/>
    <d v="2014-06-09T00:00:00"/>
    <s v="Buenos Aires"/>
    <d v="2014-05-15T00:00:00"/>
    <x v="34"/>
    <d v="2014-05-21T00:00:00"/>
    <d v="2014-05-23T00:00:00"/>
    <d v="2014-06-13T00:00:00"/>
    <n v="102"/>
    <s v="Fittings "/>
    <m/>
    <s v="en término"/>
    <x v="3"/>
    <n v="1"/>
  </r>
  <r>
    <x v="7"/>
    <x v="7"/>
    <x v="1"/>
    <x v="2"/>
    <s v="028/14 CEC"/>
    <m/>
    <x v="738"/>
    <n v="14073.6"/>
    <x v="558"/>
    <n v="90"/>
    <d v="2014-07-15T00:00:00"/>
    <s v="Buenos Aires"/>
    <d v="2014-07-10T00:00:00"/>
    <x v="32"/>
    <m/>
    <d v="2014-07-22T00:00:00"/>
    <d v="2014-07-24T00:00:00"/>
    <n v="99"/>
    <s v="Fittings "/>
    <m/>
    <s v="atrasado"/>
    <x v="5"/>
    <n v="0"/>
  </r>
  <r>
    <x v="7"/>
    <x v="7"/>
    <x v="1"/>
    <x v="12"/>
    <s v="020/14 CEC"/>
    <m/>
    <x v="739"/>
    <n v="35111.46"/>
    <x v="559"/>
    <n v="90"/>
    <d v="2014-08-04T00:00:00"/>
    <s v="Buenos Aires"/>
    <d v="2014-07-18T00:00:00"/>
    <x v="11"/>
    <d v="2014-08-05T00:00:00"/>
    <d v="2014-08-06T00:00:00"/>
    <d v="2014-08-26T00:00:00"/>
    <n v="112"/>
    <s v="Fittings"/>
    <m/>
    <s v="atrasado"/>
    <x v="5"/>
    <n v="0"/>
  </r>
  <r>
    <x v="7"/>
    <x v="7"/>
    <x v="1"/>
    <x v="12"/>
    <s v="100/13 CEC"/>
    <m/>
    <x v="735"/>
    <n v="20619.099999999999"/>
    <x v="556"/>
    <n v="95"/>
    <d v="2014-05-16T00:00:00"/>
    <s v="Buenos Aires"/>
    <d v="2014-07-18T00:00:00"/>
    <x v="129"/>
    <d v="2014-08-05T00:00:00"/>
    <d v="2014-08-06T00:00:00"/>
    <d v="2014-08-26T00:00:00"/>
    <n v="197"/>
    <s v="5 barriles - 3° ENVIO"/>
    <m/>
    <s v="atrasado"/>
    <x v="5"/>
    <n v="0"/>
  </r>
  <r>
    <x v="7"/>
    <x v="7"/>
    <x v="1"/>
    <x v="12"/>
    <s v="032/14 CEC"/>
    <m/>
    <x v="740"/>
    <n v="66090"/>
    <x v="559"/>
    <n v="92"/>
    <d v="2014-08-06T00:00:00"/>
    <s v="Buenos Aires"/>
    <d v="2014-07-18T00:00:00"/>
    <x v="44"/>
    <d v="2014-08-05T00:00:00"/>
    <d v="2014-08-06T00:00:00"/>
    <d v="2014-08-26T00:00:00"/>
    <n v="112"/>
    <s v="Fittings"/>
    <m/>
    <s v="en término"/>
    <x v="5"/>
    <n v="1"/>
  </r>
  <r>
    <x v="7"/>
    <x v="7"/>
    <x v="1"/>
    <x v="2"/>
    <s v="114/13 CPG"/>
    <m/>
    <x v="741"/>
    <n v="12585"/>
    <x v="560"/>
    <n v="60"/>
    <d v="2014-07-25T00:00:00"/>
    <s v="Buenos Aires"/>
    <d v="2014-07-25T00:00:00"/>
    <x v="32"/>
    <d v="2014-08-04T00:00:00"/>
    <d v="2014-08-01T00:00:00"/>
    <d v="2014-08-06T00:00:00"/>
    <n v="72"/>
    <s v="3 bombas"/>
    <m/>
    <s v="atrasado"/>
    <x v="5"/>
    <n v="0"/>
  </r>
  <r>
    <x v="7"/>
    <x v="7"/>
    <x v="1"/>
    <x v="12"/>
    <s v="054/14 CEC"/>
    <m/>
    <x v="742"/>
    <n v="6611"/>
    <x v="561"/>
    <n v="90"/>
    <d v="2014-11-12T00:00:00"/>
    <s v="Buenos Aires"/>
    <d v="2014-11-04T00:00:00"/>
    <x v="100"/>
    <d v="2014-11-26T00:00:00"/>
    <d v="2014-12-07T00:00:00"/>
    <d v="2015-01-06T00:00:00"/>
    <n v="145"/>
    <s v="Fittings"/>
    <m/>
    <s v="atrasado"/>
    <x v="9"/>
    <n v="0"/>
  </r>
  <r>
    <x v="7"/>
    <x v="7"/>
    <x v="0"/>
    <x v="0"/>
    <s v="106/13 BBR"/>
    <s v="Petrobras N° 4505641171"/>
    <x v="743"/>
    <n v="62000"/>
    <x v="562"/>
    <n v="60"/>
    <d v="2014-01-26T00:00:00"/>
    <s v="Salvador"/>
    <d v="2014-01-13T00:00:00"/>
    <x v="46"/>
    <d v="2014-01-22T00:00:00"/>
    <d v="2014-01-23T00:00:00"/>
    <d v="2014-02-08T00:00:00"/>
    <n v="73"/>
    <s v="Fittings"/>
    <m/>
    <s v="en término"/>
    <x v="0"/>
    <n v="1"/>
  </r>
  <r>
    <x v="7"/>
    <x v="7"/>
    <x v="0"/>
    <x v="0"/>
    <s v="112/13 BBR"/>
    <s v="Petrobras N° 4505669297"/>
    <x v="744"/>
    <n v="4400"/>
    <x v="563"/>
    <n v="70"/>
    <d v="2014-02-22T00:00:00"/>
    <s v="Salvador"/>
    <d v="2014-01-13T00:00:00"/>
    <x v="39"/>
    <d v="2014-01-22T00:00:00"/>
    <d v="2014-01-23T00:00:00"/>
    <d v="2014-02-08T00:00:00"/>
    <n v="60"/>
    <s v="Fittings"/>
    <m/>
    <s v="en término"/>
    <x v="0"/>
    <n v="1"/>
  </r>
  <r>
    <x v="7"/>
    <x v="7"/>
    <x v="0"/>
    <x v="1"/>
    <s v="129/12 BPB"/>
    <s v="4600390337 (GLOBAL 2013)"/>
    <x v="745"/>
    <n v="80668"/>
    <x v="564"/>
    <n v="91"/>
    <d v="2014-02-03T00:00:00"/>
    <s v="Salvador"/>
    <d v="2014-01-13T00:00:00"/>
    <x v="17"/>
    <d v="2014-01-22T00:00:00"/>
    <d v="2014-01-23T00:00:00"/>
    <d v="2014-02-08T00:00:00"/>
    <n v="96"/>
    <s v="25 bombas"/>
    <m/>
    <s v="en término"/>
    <x v="0"/>
    <n v="1"/>
  </r>
  <r>
    <x v="7"/>
    <x v="7"/>
    <x v="0"/>
    <x v="1"/>
    <s v="129/12 BPB"/>
    <s v="4600390337 (GLOBAL 2013)"/>
    <x v="746"/>
    <n v="1586.27"/>
    <x v="565"/>
    <n v="90"/>
    <d v="2014-02-10T00:00:00"/>
    <s v="Salvador"/>
    <d v="2014-01-13T00:00:00"/>
    <x v="18"/>
    <d v="2014-01-22T00:00:00"/>
    <d v="2014-01-23T00:00:00"/>
    <d v="2014-02-08T00:00:00"/>
    <n v="88"/>
    <s v="Fittings"/>
    <s v="Se solicita modificacion de precios. La modificacion d elos precios se realizaran luego de recibir la factura. (mail 02/12/13)"/>
    <s v="en término"/>
    <x v="0"/>
    <n v="1"/>
  </r>
  <r>
    <x v="7"/>
    <x v="7"/>
    <x v="0"/>
    <x v="1"/>
    <s v="129/12 BPB"/>
    <s v="4600390337 (GLOBAL 2013)"/>
    <x v="747"/>
    <n v="145199.84"/>
    <x v="566"/>
    <n v="94"/>
    <d v="2014-02-10T00:00:00"/>
    <s v="Salvador"/>
    <d v="2014-01-13T00:00:00"/>
    <x v="18"/>
    <d v="2014-01-22T00:00:00"/>
    <d v="2014-01-23T00:00:00"/>
    <d v="2014-02-08T00:00:00"/>
    <n v="92"/>
    <s v="50 bombas + fittings"/>
    <m/>
    <s v="en término"/>
    <x v="0"/>
    <n v="1"/>
  </r>
  <r>
    <x v="7"/>
    <x v="7"/>
    <x v="0"/>
    <x v="1"/>
    <s v="129/12 BPB"/>
    <s v="4600390337 (GLOBAL 2013)"/>
    <x v="748"/>
    <n v="3925.53"/>
    <x v="567"/>
    <n v="91"/>
    <d v="2014-01-28T00:00:00"/>
    <s v="Salvador"/>
    <d v="2014-01-13T00:00:00"/>
    <x v="33"/>
    <d v="2014-01-22T00:00:00"/>
    <d v="2014-01-23T00:00:00"/>
    <d v="2014-02-08T00:00:00"/>
    <n v="102"/>
    <s v="Fittings"/>
    <m/>
    <s v="en término"/>
    <x v="0"/>
    <n v="1"/>
  </r>
  <r>
    <x v="7"/>
    <x v="7"/>
    <x v="0"/>
    <x v="1"/>
    <s v="129/12 BPB"/>
    <s v="4600390337 (GLOBAL 2013)"/>
    <x v="749"/>
    <n v="141267.01999999999"/>
    <x v="566"/>
    <n v="93"/>
    <d v="2014-02-09T00:00:00"/>
    <s v="Salvador"/>
    <d v="2014-01-13T00:00:00"/>
    <x v="34"/>
    <d v="2014-01-22T00:00:00"/>
    <d v="2014-01-23T00:00:00"/>
    <d v="2014-02-08T00:00:00"/>
    <n v="92"/>
    <s v="51 bombas"/>
    <m/>
    <s v="en término"/>
    <x v="0"/>
    <n v="1"/>
  </r>
  <r>
    <x v="7"/>
    <x v="7"/>
    <x v="0"/>
    <x v="0"/>
    <s v="101/13 BBR"/>
    <s v="Petrobras N° 4505623947"/>
    <x v="750"/>
    <n v="1392"/>
    <x v="568"/>
    <n v="35"/>
    <d v="2014-01-21T00:00:00"/>
    <s v="Salvador"/>
    <d v="2014-02-01T00:00:00"/>
    <x v="7"/>
    <m/>
    <d v="2014-02-07T00:00:00"/>
    <d v="2014-02-10T00:00:00"/>
    <n v="55"/>
    <s v="Fittings - Se envian desde USA"/>
    <m/>
    <s v="atrasado"/>
    <x v="1"/>
    <n v="0"/>
  </r>
  <r>
    <x v="7"/>
    <x v="7"/>
    <x v="0"/>
    <x v="1"/>
    <s v="129/12 BPB"/>
    <s v="4600390337 (GLOBAL 2013)"/>
    <x v="751"/>
    <n v="21783.27"/>
    <x v="569"/>
    <n v="91"/>
    <d v="2014-01-27T00:00:00"/>
    <s v="Salvador"/>
    <d v="2014-01-13T00:00:00"/>
    <x v="19"/>
    <d v="2014-01-22T00:00:00"/>
    <d v="2014-01-23T00:00:00"/>
    <d v="2014-02-08T00:00:00"/>
    <n v="103"/>
    <s v="Fittings"/>
    <m/>
    <s v="en término"/>
    <x v="0"/>
    <n v="1"/>
  </r>
  <r>
    <x v="7"/>
    <x v="7"/>
    <x v="0"/>
    <x v="0"/>
    <s v="084/13 BBR"/>
    <s v="Petrobras N° 4505512759"/>
    <x v="752"/>
    <n v="29850"/>
    <x v="570"/>
    <n v="70"/>
    <d v="2014-02-12T00:00:00"/>
    <s v="Salvador"/>
    <d v="2014-03-10T00:00:00"/>
    <x v="96"/>
    <d v="2014-03-17T00:00:00"/>
    <d v="2014-03-20T00:00:00"/>
    <d v="2014-04-03T00:00:00"/>
    <n v="120"/>
    <s v="10 bombas  "/>
    <m/>
    <s v="atrasado"/>
    <x v="2"/>
    <n v="0"/>
  </r>
  <r>
    <x v="7"/>
    <x v="7"/>
    <x v="0"/>
    <x v="0"/>
    <s v="112/13 BBR"/>
    <s v="Petrobras N° 4505715083"/>
    <x v="753"/>
    <n v="4700"/>
    <x v="571"/>
    <n v="105"/>
    <d v="2014-05-01T00:00:00"/>
    <s v="Salvador"/>
    <d v="2014-03-31T00:00:00"/>
    <x v="18"/>
    <d v="2014-04-07T00:00:00"/>
    <d v="2014-04-13T00:00:00"/>
    <d v="2014-04-27T00:00:00"/>
    <n v="101"/>
    <s v="Fittings"/>
    <m/>
    <s v="en término"/>
    <x v="2"/>
    <n v="1"/>
  </r>
  <r>
    <x v="7"/>
    <x v="7"/>
    <x v="0"/>
    <x v="1"/>
    <s v="129/12 BPB"/>
    <s v="4600390337 (GLOBAL 2013)"/>
    <x v="754"/>
    <n v="298878.62"/>
    <x v="572"/>
    <n v="90"/>
    <d v="2014-04-08T00:00:00"/>
    <s v="Salvador"/>
    <d v="2014-03-31T00:00:00"/>
    <x v="14"/>
    <d v="2014-04-07T00:00:00"/>
    <d v="2014-04-13T00:00:00"/>
    <d v="2014-04-27T00:00:00"/>
    <n v="109"/>
    <s v="120 bombas"/>
    <m/>
    <s v="atrasado"/>
    <x v="2"/>
    <n v="0"/>
  </r>
  <r>
    <x v="7"/>
    <x v="7"/>
    <x v="0"/>
    <x v="1"/>
    <s v="129/12 BPB"/>
    <s v="4600390337 (GLOBAL 2013)"/>
    <x v="755"/>
    <n v="7889.58"/>
    <x v="573"/>
    <n v="92"/>
    <d v="2014-04-15T00:00:00"/>
    <s v="Salvador"/>
    <d v="2014-03-31T00:00:00"/>
    <x v="75"/>
    <d v="2014-04-07T00:00:00"/>
    <d v="2014-04-13T00:00:00"/>
    <d v="2014-04-27T00:00:00"/>
    <n v="104"/>
    <s v="Valvulas"/>
    <m/>
    <s v="en término"/>
    <x v="2"/>
    <n v="1"/>
  </r>
  <r>
    <x v="7"/>
    <x v="7"/>
    <x v="0"/>
    <x v="1"/>
    <s v="129/12 BPB"/>
    <s v="4600390337 (GLOBAL 2013)"/>
    <x v="756"/>
    <n v="2956.11"/>
    <x v="574"/>
    <n v="91"/>
    <d v="2014-04-16T00:00:00"/>
    <s v="Salvador"/>
    <d v="2014-03-31T00:00:00"/>
    <x v="46"/>
    <d v="2014-04-07T00:00:00"/>
    <d v="2014-04-13T00:00:00"/>
    <d v="2014-04-27T00:00:00"/>
    <n v="102"/>
    <s v="Fittings"/>
    <m/>
    <s v="en término"/>
    <x v="2"/>
    <n v="1"/>
  </r>
  <r>
    <x v="7"/>
    <x v="7"/>
    <x v="0"/>
    <x v="1"/>
    <s v="129/12 BPB"/>
    <s v="4600390337 (GLOBAL 2013)"/>
    <x v="757"/>
    <n v="6706.53"/>
    <x v="575"/>
    <n v="94"/>
    <d v="2014-04-28T00:00:00"/>
    <s v="Salvador"/>
    <d v="2014-03-31T00:00:00"/>
    <x v="21"/>
    <d v="2014-04-07T00:00:00"/>
    <d v="2014-04-13T00:00:00"/>
    <d v="2014-04-27T00:00:00"/>
    <n v="93"/>
    <s v="2 bombas"/>
    <m/>
    <s v="en término"/>
    <x v="2"/>
    <n v="1"/>
  </r>
  <r>
    <x v="7"/>
    <x v="7"/>
    <x v="0"/>
    <x v="1"/>
    <s v="129/12 BPB"/>
    <s v="4600390337 (GLOBAL 2013)"/>
    <x v="758"/>
    <n v="1562.83"/>
    <x v="575"/>
    <n v="94"/>
    <d v="2014-04-28T00:00:00"/>
    <s v="Salvador"/>
    <d v="2014-03-31T00:00:00"/>
    <x v="21"/>
    <d v="2014-04-07T00:00:00"/>
    <d v="2014-04-13T00:00:00"/>
    <d v="2014-04-27T00:00:00"/>
    <n v="93"/>
    <s v="Fittings"/>
    <m/>
    <s v="en término"/>
    <x v="2"/>
    <n v="1"/>
  </r>
  <r>
    <x v="7"/>
    <x v="7"/>
    <x v="0"/>
    <x v="1"/>
    <s v="129/12 BPB"/>
    <s v="4600390337 (GLOBAL 2013)"/>
    <x v="759"/>
    <n v="237120"/>
    <x v="575"/>
    <n v="94"/>
    <d v="2014-04-28T00:00:00"/>
    <s v="Salvador"/>
    <d v="2014-04-08T00:00:00"/>
    <x v="86"/>
    <d v="2014-04-21T00:00:00"/>
    <d v="2014-04-22T00:00:00"/>
    <d v="2014-05-08T00:00:00"/>
    <n v="104"/>
    <s v="84 bombas"/>
    <m/>
    <s v="en término"/>
    <x v="10"/>
    <n v="1"/>
  </r>
  <r>
    <x v="7"/>
    <x v="7"/>
    <x v="0"/>
    <x v="1"/>
    <s v="129/12 BPB"/>
    <s v="4600390337 (GLOBAL 2013)"/>
    <x v="760"/>
    <n v="125197.19"/>
    <x v="575"/>
    <n v="94"/>
    <d v="2014-04-28T00:00:00"/>
    <s v="Salvador"/>
    <d v="2014-03-31T00:00:00"/>
    <x v="21"/>
    <d v="2014-04-07T00:00:00"/>
    <d v="2014-04-13T00:00:00"/>
    <d v="2014-04-27T00:00:00"/>
    <n v="93"/>
    <s v="42 bombas"/>
    <m/>
    <s v="en término"/>
    <x v="2"/>
    <n v="1"/>
  </r>
  <r>
    <x v="7"/>
    <x v="7"/>
    <x v="0"/>
    <x v="1"/>
    <s v="129/12 BPB"/>
    <s v="4600390337 (GLOBAL 2013)"/>
    <x v="761"/>
    <n v="41001.54"/>
    <x v="576"/>
    <n v="104"/>
    <d v="2014-04-28T00:00:00"/>
    <s v="Salvador"/>
    <d v="2014-03-31T00:00:00"/>
    <x v="21"/>
    <d v="2014-04-07T00:00:00"/>
    <d v="2014-04-13T00:00:00"/>
    <d v="2014-04-27T00:00:00"/>
    <n v="103"/>
    <s v="Fittings"/>
    <m/>
    <s v="en término"/>
    <x v="2"/>
    <n v="1"/>
  </r>
  <r>
    <x v="7"/>
    <x v="7"/>
    <x v="0"/>
    <x v="1"/>
    <s v="129/12 BPB"/>
    <s v="4600390337 (GLOBAL 2013)"/>
    <x v="762"/>
    <n v="308026.38"/>
    <x v="576"/>
    <n v="98"/>
    <d v="2014-04-22T00:00:00"/>
    <s v="Salvador"/>
    <d v="2014-03-31T00:00:00"/>
    <x v="74"/>
    <d v="2014-04-07T00:00:00"/>
    <d v="2014-04-13T00:00:00"/>
    <d v="2014-04-27T00:00:00"/>
    <n v="103"/>
    <s v="125 bombas"/>
    <m/>
    <s v="en término"/>
    <x v="2"/>
    <n v="1"/>
  </r>
  <r>
    <x v="7"/>
    <x v="7"/>
    <x v="0"/>
    <x v="1"/>
    <s v="121/11 BPB"/>
    <s v="4600351379 (REPUESTOS 2012)"/>
    <x v="763"/>
    <n v="36363.83"/>
    <x v="575"/>
    <n v="94"/>
    <d v="2014-04-28T00:00:00"/>
    <s v="Salvador"/>
    <d v="2014-05-12T00:00:00"/>
    <x v="16"/>
    <d v="2014-05-14T00:00:00"/>
    <d v="2014-05-20T00:00:00"/>
    <d v="2014-06-04T00:00:00"/>
    <n v="131"/>
    <s v="Fittings"/>
    <m/>
    <s v="atrasado"/>
    <x v="3"/>
    <n v="0"/>
  </r>
  <r>
    <x v="7"/>
    <x v="7"/>
    <x v="0"/>
    <x v="1"/>
    <s v="129/12 BPB"/>
    <s v="4600390337 (GLOBAL 2013)"/>
    <x v="764"/>
    <n v="272495.17"/>
    <x v="573"/>
    <n v="121"/>
    <d v="2014-05-14T00:00:00"/>
    <s v="Salvador"/>
    <d v="2014-05-12T00:00:00"/>
    <x v="62"/>
    <d v="2014-05-14T00:00:00"/>
    <d v="2014-05-20T00:00:00"/>
    <d v="2014-06-04T00:00:00"/>
    <n v="142"/>
    <s v="67 bombas + fittings"/>
    <s v="Se pidió a Petrobras modificación de precios"/>
    <s v="atrasado"/>
    <x v="3"/>
    <n v="0"/>
  </r>
  <r>
    <x v="7"/>
    <x v="7"/>
    <x v="0"/>
    <x v="1"/>
    <s v="129/12 BPB"/>
    <s v="4600390337 (GLOBAL 2013)"/>
    <x v="765"/>
    <n v="177875.64"/>
    <x v="575"/>
    <n v="123"/>
    <d v="2014-05-27T00:00:00"/>
    <s v="Salvador"/>
    <d v="2014-06-02T00:00:00"/>
    <x v="0"/>
    <d v="2014-06-09T00:00:00"/>
    <d v="2014-06-11T00:00:00"/>
    <d v="2014-06-25T00:00:00"/>
    <n v="152"/>
    <s v="63 bombas"/>
    <m/>
    <s v="atrasado"/>
    <x v="4"/>
    <n v="0"/>
  </r>
  <r>
    <x v="7"/>
    <x v="7"/>
    <x v="0"/>
    <x v="1"/>
    <s v="129/12 BPB"/>
    <s v="4600390337 (GLOBAL 2013)"/>
    <x v="766"/>
    <n v="379282.57"/>
    <x v="575"/>
    <n v="122"/>
    <d v="2014-05-26T00:00:00"/>
    <s v="Salvador"/>
    <d v="2014-06-02T00:00:00"/>
    <x v="5"/>
    <d v="2014-06-09T00:00:00"/>
    <d v="2014-06-11T00:00:00"/>
    <d v="2014-06-25T00:00:00"/>
    <n v="152"/>
    <s v="143 bombas"/>
    <m/>
    <s v="atrasado"/>
    <x v="4"/>
    <n v="0"/>
  </r>
  <r>
    <x v="7"/>
    <x v="7"/>
    <x v="0"/>
    <x v="1"/>
    <s v="129/12 BPB"/>
    <s v="4600390337 (GLOBAL 2013)"/>
    <x v="767"/>
    <n v="36041.39"/>
    <x v="575"/>
    <n v="124"/>
    <d v="2014-05-28T00:00:00"/>
    <s v="Salvador"/>
    <d v="2014-06-02T00:00:00"/>
    <x v="45"/>
    <d v="2014-06-09T00:00:00"/>
    <d v="2014-06-11T00:00:00"/>
    <d v="2014-06-25T00:00:00"/>
    <n v="152"/>
    <s v="Fittings"/>
    <m/>
    <s v="atrasado"/>
    <x v="4"/>
    <n v="0"/>
  </r>
  <r>
    <x v="7"/>
    <x v="7"/>
    <x v="0"/>
    <x v="0"/>
    <s v="017/14 BBR"/>
    <s v="Petrobras N° 4505873550 "/>
    <x v="768"/>
    <n v="1960"/>
    <x v="577"/>
    <n v="73"/>
    <d v="2014-08-09T00:00:00"/>
    <s v="Salvador"/>
    <d v="2014-07-21T00:00:00"/>
    <x v="49"/>
    <d v="2014-07-22T00:00:00"/>
    <d v="2014-07-30T00:00:00"/>
    <d v="2014-08-09T00:00:00"/>
    <n v="73"/>
    <s v="Fittings"/>
    <m/>
    <s v="en término"/>
    <x v="5"/>
    <n v="1"/>
  </r>
  <r>
    <x v="7"/>
    <x v="7"/>
    <x v="0"/>
    <x v="0"/>
    <s v="017/14 BBR"/>
    <s v="Petrobras N° 4505952439"/>
    <x v="768"/>
    <n v="2750"/>
    <x v="577"/>
    <n v="75"/>
    <d v="2014-08-11T00:00:00"/>
    <s v="Salvador"/>
    <d v="2014-07-21T00:00:00"/>
    <x v="52"/>
    <d v="2014-07-22T00:00:00"/>
    <d v="2014-07-30T00:00:00"/>
    <d v="2014-08-09T00:00:00"/>
    <n v="73"/>
    <s v="Fittings"/>
    <m/>
    <s v="en término"/>
    <x v="5"/>
    <n v="1"/>
  </r>
  <r>
    <x v="7"/>
    <x v="7"/>
    <x v="0"/>
    <x v="0"/>
    <s v="023/14 BBR"/>
    <s v="Petrobras N° 4505977829"/>
    <x v="733"/>
    <n v="2960"/>
    <x v="578"/>
    <n v="109"/>
    <d v="2014-09-20T00:00:00"/>
    <s v="Salvador"/>
    <d v="2014-07-21T00:00:00"/>
    <x v="130"/>
    <d v="2014-07-22T00:00:00"/>
    <d v="2014-07-30T00:00:00"/>
    <d v="2014-08-09T00:00:00"/>
    <n v="67"/>
    <s v="Fittings"/>
    <m/>
    <s v="en término"/>
    <x v="5"/>
    <n v="1"/>
  </r>
  <r>
    <x v="7"/>
    <x v="7"/>
    <x v="0"/>
    <x v="0"/>
    <s v="034/14 BBR"/>
    <s v="Petrobras N° 4506008045"/>
    <x v="769"/>
    <n v="12320"/>
    <x v="579"/>
    <n v="60"/>
    <d v="2014-08-23T00:00:00"/>
    <s v="Salvador"/>
    <d v="2014-08-15T00:00:00"/>
    <x v="7"/>
    <d v="2014-09-08T00:00:00"/>
    <d v="2014-09-09T00:00:00"/>
    <d v="2014-09-29T00:00:00"/>
    <n v="97"/>
    <s v="Fittings"/>
    <m/>
    <s v="atrasado"/>
    <x v="6"/>
    <n v="0"/>
  </r>
  <r>
    <x v="7"/>
    <x v="7"/>
    <x v="0"/>
    <x v="0"/>
    <s v="049/14 BBR"/>
    <s v="Petrobras N° 4506108545"/>
    <x v="770"/>
    <n v="3000"/>
    <x v="561"/>
    <n v="60"/>
    <d v="2014-10-13T00:00:00"/>
    <s v="Salvador"/>
    <d v="2014-09-16T00:00:00"/>
    <x v="10"/>
    <m/>
    <d v="2014-09-30T00:00:00"/>
    <d v="2014-10-06T00:00:00"/>
    <n v="53"/>
    <s v="Fittings"/>
    <m/>
    <s v="en término"/>
    <x v="7"/>
    <n v="1"/>
  </r>
  <r>
    <x v="7"/>
    <x v="7"/>
    <x v="0"/>
    <x v="0"/>
    <s v="041/14 BBR"/>
    <s v="Petrobras N° 4506015460"/>
    <x v="771"/>
    <n v="2900"/>
    <x v="580"/>
    <n v="69"/>
    <d v="2014-11-05T00:00:00"/>
    <s v="Salvador"/>
    <d v="2014-09-16T00:00:00"/>
    <x v="53"/>
    <m/>
    <d v="2014-09-30T00:00:00"/>
    <d v="2014-10-06T00:00:00"/>
    <n v="39"/>
    <s v="Fittings"/>
    <m/>
    <s v="en término"/>
    <x v="7"/>
    <n v="1"/>
  </r>
  <r>
    <x v="7"/>
    <x v="7"/>
    <x v="0"/>
    <x v="0"/>
    <s v="052/14 BBR"/>
    <s v="Petrobras N° 4506201528"/>
    <x v="772"/>
    <n v="26365"/>
    <x v="581"/>
    <n v="67"/>
    <d v="2014-12-15T00:00:00"/>
    <s v="Salvador"/>
    <d v="2014-12-16T00:00:00"/>
    <x v="29"/>
    <d v="2015-01-12T00:00:00"/>
    <d v="2015-01-14T00:00:00"/>
    <d v="2015-01-30T00:00:00"/>
    <n v="113"/>
    <s v="Fittings"/>
    <s v="A pedido de Brasil se retrasa la salida, de Diciembre pasa a Enero"/>
    <s v="atrasado"/>
    <x v="11"/>
    <n v="0"/>
  </r>
  <r>
    <x v="7"/>
    <x v="7"/>
    <x v="0"/>
    <x v="0"/>
    <s v="077/14 BBR"/>
    <s v="Petrobras N° 4506238715"/>
    <x v="773"/>
    <n v="154800"/>
    <x v="582"/>
    <n v="102"/>
    <d v="2015-02-02T00:00:00"/>
    <s v="Salvador"/>
    <d v="2014-12-16T00:00:00"/>
    <x v="102"/>
    <d v="2015-01-12T00:00:00"/>
    <d v="2015-01-14T00:00:00"/>
    <d v="2015-01-30T00:00:00"/>
    <n v="99"/>
    <s v="65 bombas"/>
    <s v="A pedido de Brasil se retrasa la salida, de Diciembre pasa a Enero"/>
    <s v="en término"/>
    <x v="11"/>
    <n v="1"/>
  </r>
  <r>
    <x v="7"/>
    <x v="7"/>
    <x v="0"/>
    <x v="0"/>
    <s v="077/14 BBR"/>
    <s v="Petrobras N° 4506238715"/>
    <x v="773"/>
    <n v="93200"/>
    <x v="582"/>
    <n v="120"/>
    <d v="2015-02-20T00:00:00"/>
    <s v="Salvador"/>
    <d v="2014-12-16T00:00:00"/>
    <x v="38"/>
    <d v="2015-01-12T00:00:00"/>
    <d v="2015-01-14T00:00:00"/>
    <d v="2015-01-30T00:00:00"/>
    <n v="99"/>
    <s v="40bombas"/>
    <s v="A pedido de Brasil se retrasa la salida, de Diciembre pasa a Enero"/>
    <s v="en término"/>
    <x v="11"/>
    <n v="1"/>
  </r>
  <r>
    <x v="7"/>
    <x v="7"/>
    <x v="0"/>
    <x v="0"/>
    <s v="076/14 BBR"/>
    <s v="Petrobras N° 4506279054"/>
    <x v="774"/>
    <n v="456"/>
    <x v="583"/>
    <n v="75"/>
    <d v="2015-01-25T00:00:00"/>
    <s v="Salvador"/>
    <d v="2014-12-16T00:00:00"/>
    <x v="17"/>
    <d v="2015-01-12T00:00:00"/>
    <d v="2015-01-14T00:00:00"/>
    <d v="2015-01-30T00:00:00"/>
    <n v="80"/>
    <s v="Fittings"/>
    <s v="A pedido de Brasil se retrasa la salida, de Diciembre pasa a Enero"/>
    <s v="en término"/>
    <x v="11"/>
    <n v="1"/>
  </r>
  <r>
    <x v="8"/>
    <x v="8"/>
    <x v="16"/>
    <x v="34"/>
    <s v="056/14 UAS"/>
    <m/>
    <x v="775"/>
    <n v="397840"/>
    <x v="584"/>
    <n v="120"/>
    <d v="2015-03-04T00:00:00"/>
    <s v="Buenos Aires"/>
    <d v="2015-03-20T00:00:00"/>
    <x v="128"/>
    <d v="2015-04-01T00:00:00"/>
    <d v="2015-04-07T00:00:00"/>
    <d v="2015-05-08T00:00:00"/>
    <n v="185"/>
    <s v="Fittings  - CERTIFICADOS DE CALIDAD"/>
    <s v="Pago  50% anticipado - 50 % al momento del embarque (U$ 198.920) - 1° PAGO RECIBIDO EL 12 DE NOV. - 2° PAGO RECIBIDO EL 20 DE MARZO. "/>
    <s v="atrasado"/>
    <x v="2"/>
    <n v="0"/>
  </r>
  <r>
    <x v="8"/>
    <x v="8"/>
    <x v="16"/>
    <x v="39"/>
    <s v="067/15 UGB"/>
    <m/>
    <x v="776"/>
    <n v="5021"/>
    <x v="585"/>
    <n v="90"/>
    <d v="2015-10-13T00:00:00"/>
    <s v="Buenos Aires"/>
    <d v="2015-09-22T00:00:00"/>
    <x v="17"/>
    <d v="2015-09-28T00:00:00"/>
    <d v="2015-10-02T00:00:00"/>
    <d v="2015-10-09T00:00:00"/>
    <n v="86"/>
    <s v="Fittings "/>
    <s v="FALTA FORWARDER - Pago anticipado:  50% con la PO y 50% al momento del embarque - Anticipo cancelado el 15 de Julio (U$ 2510,50)"/>
    <s v="en término"/>
    <x v="7"/>
    <n v="1"/>
  </r>
  <r>
    <x v="8"/>
    <x v="8"/>
    <x v="12"/>
    <x v="20"/>
    <s v="090/14 GUN"/>
    <m/>
    <x v="777"/>
    <n v="9685.2999999999993"/>
    <x v="586"/>
    <n v="90"/>
    <d v="2015-02-18T00:00:00"/>
    <s v="Buenos Aires"/>
    <d v="2015-05-04T00:00:00"/>
    <x v="131"/>
    <d v="2015-06-02T00:00:00"/>
    <d v="2015-06-11T00:00:00"/>
    <d v="2015-07-04T00:00:00"/>
    <n v="226"/>
    <s v="Fittings  - PAGO ANTICIPADO"/>
    <s v="Material terminado el 10 de feb. Estamos aguardando el pago del cliente. - CANCELAMOS LA PO POR FALTA DE PAGO"/>
    <s v="atrasado"/>
    <x v="3"/>
    <n v="0"/>
  </r>
  <r>
    <x v="8"/>
    <x v="8"/>
    <x v="5"/>
    <x v="7"/>
    <s v="050/15 TAL"/>
    <m/>
    <x v="778"/>
    <n v="14071"/>
    <x v="587"/>
    <n v="89"/>
    <d v="2015-07-21T00:00:00"/>
    <s v="Buenos Aires"/>
    <d v="2015-07-13T00:00:00"/>
    <x v="13"/>
    <d v="2015-07-20T00:00:00"/>
    <d v="2015-08-01T00:00:00"/>
    <d v="2015-09-15T00:00:00"/>
    <n v="145"/>
    <s v="Fittings "/>
    <m/>
    <s v="atrasado"/>
    <x v="5"/>
    <n v="0"/>
  </r>
  <r>
    <x v="8"/>
    <x v="8"/>
    <x v="10"/>
    <x v="18"/>
    <s v="094/14 WEN"/>
    <m/>
    <x v="779"/>
    <n v="5760"/>
    <x v="588"/>
    <n v="97"/>
    <d v="2015-03-11T00:00:00"/>
    <s v="Buenos Aires"/>
    <d v="2015-02-24T00:00:00"/>
    <x v="86"/>
    <m/>
    <d v="2015-03-05T00:00:00"/>
    <d v="2015-03-10T00:00:00"/>
    <n v="96"/>
    <s v="2 Bombas "/>
    <m/>
    <s v="en término"/>
    <x v="1"/>
    <n v="1"/>
  </r>
  <r>
    <x v="8"/>
    <x v="8"/>
    <x v="10"/>
    <x v="18"/>
    <s v="020/15 WEN"/>
    <m/>
    <x v="780"/>
    <n v="24600"/>
    <x v="589"/>
    <n v="77"/>
    <d v="2015-04-30T00:00:00"/>
    <s v="Buenos Aires"/>
    <d v="2015-04-28T00:00:00"/>
    <x v="32"/>
    <m/>
    <d v="2015-05-07T00:00:00"/>
    <d v="2015-05-17T00:00:00"/>
    <n v="94"/>
    <s v="Fitings"/>
    <m/>
    <s v="atrasado"/>
    <x v="10"/>
    <n v="0"/>
  </r>
  <r>
    <x v="8"/>
    <x v="8"/>
    <x v="10"/>
    <x v="16"/>
    <s v="030/15 WGP"/>
    <m/>
    <x v="781"/>
    <n v="3525"/>
    <x v="590"/>
    <n v="75"/>
    <d v="2015-05-31T00:00:00"/>
    <s v="Buenos Aires"/>
    <d v="2015-05-21T00:00:00"/>
    <x v="75"/>
    <m/>
    <d v="2015-05-29T00:00:00"/>
    <d v="2015-06-03T00:00:00"/>
    <n v="78"/>
    <s v="Fitings"/>
    <m/>
    <s v="en término"/>
    <x v="3"/>
    <n v="1"/>
  </r>
  <r>
    <x v="8"/>
    <x v="8"/>
    <x v="10"/>
    <x v="18"/>
    <s v="045/15 WEN"/>
    <m/>
    <x v="782"/>
    <n v="6900"/>
    <x v="591"/>
    <n v="50"/>
    <d v="2015-06-25T00:00:00"/>
    <s v="Buenos Aires"/>
    <d v="2015-06-15T00:00:00"/>
    <x v="63"/>
    <d v="2015-06-23T00:00:00"/>
    <d v="2015-06-26T00:00:00"/>
    <d v="2015-07-01T00:00:00"/>
    <n v="56"/>
    <s v="Fitings"/>
    <m/>
    <s v="atrasado"/>
    <x v="4"/>
    <n v="0"/>
  </r>
  <r>
    <x v="8"/>
    <x v="8"/>
    <x v="10"/>
    <x v="18"/>
    <s v="057/15 WEN"/>
    <m/>
    <x v="783"/>
    <n v="33560"/>
    <x v="592"/>
    <n v="96"/>
    <d v="2015-08-31T00:00:00"/>
    <s v="Buenos Aires"/>
    <d v="2015-08-25T00:00:00"/>
    <x v="14"/>
    <d v="2015-09-02T00:00:00"/>
    <d v="2015-09-05T00:00:00"/>
    <d v="2015-09-10T00:00:00"/>
    <n v="106"/>
    <s v="Fitings"/>
    <m/>
    <s v="atrasado"/>
    <x v="6"/>
    <n v="0"/>
  </r>
  <r>
    <x v="8"/>
    <x v="8"/>
    <x v="10"/>
    <x v="18"/>
    <s v="066/15 WEN"/>
    <m/>
    <x v="784"/>
    <n v="15675"/>
    <x v="593"/>
    <n v="97"/>
    <d v="2015-09-28T00:00:00"/>
    <s v="Buenos Aires"/>
    <d v="2015-09-22T00:00:00"/>
    <x v="11"/>
    <d v="2015-09-28T00:00:00"/>
    <d v="2015-09-30T00:00:00"/>
    <d v="2015-10-05T00:00:00"/>
    <n v="104"/>
    <s v="Fitings"/>
    <m/>
    <s v="atrasado"/>
    <x v="7"/>
    <n v="0"/>
  </r>
  <r>
    <x v="8"/>
    <x v="8"/>
    <x v="10"/>
    <x v="18"/>
    <s v="097/15 WEN"/>
    <m/>
    <x v="785"/>
    <n v="64484"/>
    <x v="594"/>
    <n v="95"/>
    <d v="2015-10-16T00:00:00"/>
    <s v="Buenos Aires"/>
    <d v="2015-10-05T00:00:00"/>
    <x v="2"/>
    <d v="2015-10-13T00:00:00"/>
    <d v="2015-10-15T00:00:00"/>
    <d v="2015-10-25T00:00:00"/>
    <n v="104"/>
    <s v="Fitings"/>
    <m/>
    <s v="en término"/>
    <x v="8"/>
    <n v="1"/>
  </r>
  <r>
    <x v="8"/>
    <x v="8"/>
    <x v="10"/>
    <x v="18"/>
    <s v="101/15 WEN"/>
    <m/>
    <x v="786"/>
    <n v="43950"/>
    <x v="595"/>
    <n v="93"/>
    <d v="2015-10-23T00:00:00"/>
    <s v="Buenos Aires"/>
    <d v="2015-10-13T00:00:00"/>
    <x v="77"/>
    <d v="2015-10-13T00:00:00"/>
    <d v="2015-10-15T00:00:00"/>
    <d v="2015-10-25T00:00:00"/>
    <n v="95"/>
    <s v="Fitings"/>
    <m/>
    <s v="en término"/>
    <x v="8"/>
    <n v="1"/>
  </r>
  <r>
    <x v="8"/>
    <x v="8"/>
    <x v="10"/>
    <x v="16"/>
    <s v="096/15 WGP"/>
    <m/>
    <x v="787"/>
    <n v="93768"/>
    <x v="596"/>
    <n v="80"/>
    <d v="2015-10-15T00:00:00"/>
    <s v="Comodoro Rivadavia"/>
    <d v="2015-10-13T00:00:00"/>
    <x v="75"/>
    <d v="2015-10-13T00:00:00"/>
    <d v="2015-10-13T00:00:00"/>
    <d v="2015-10-15T00:00:00"/>
    <n v="80"/>
    <s v="21 bombas + Fitings"/>
    <m/>
    <s v="en término"/>
    <x v="8"/>
    <n v="1"/>
  </r>
  <r>
    <x v="8"/>
    <x v="8"/>
    <x v="10"/>
    <x v="18"/>
    <s v="126/15 WEN"/>
    <m/>
    <x v="788"/>
    <n v="3730"/>
    <x v="597"/>
    <n v="60"/>
    <d v="2015-11-10T00:00:00"/>
    <s v="Buenos Aires"/>
    <d v="2015-11-09T00:00:00"/>
    <x v="23"/>
    <d v="2015-11-13T00:00:00"/>
    <d v="2015-11-18T00:00:00"/>
    <d v="2015-11-23T00:00:00"/>
    <n v="73"/>
    <s v="1 bomba"/>
    <m/>
    <s v="atrasado"/>
    <x v="9"/>
    <n v="0"/>
  </r>
  <r>
    <x v="8"/>
    <x v="8"/>
    <x v="10"/>
    <x v="18"/>
    <s v="140/15 WEN"/>
    <m/>
    <x v="789"/>
    <n v="1250"/>
    <x v="598"/>
    <n v="39"/>
    <d v="2015-11-09T00:00:00"/>
    <s v="Buenos Aires"/>
    <d v="2015-11-09T00:00:00"/>
    <x v="47"/>
    <d v="2015-11-13T00:00:00"/>
    <d v="2015-11-18T00:00:00"/>
    <d v="2015-11-23T00:00:00"/>
    <n v="53"/>
    <s v="Fittings"/>
    <m/>
    <s v="atrasado"/>
    <x v="9"/>
    <n v="0"/>
  </r>
  <r>
    <x v="8"/>
    <x v="8"/>
    <x v="3"/>
    <x v="40"/>
    <s v="040/15 EPE"/>
    <m/>
    <x v="790"/>
    <n v="19169.7"/>
    <x v="599"/>
    <n v="60"/>
    <d v="2015-07-31T00:00:00"/>
    <s v="Buenos Aires"/>
    <d v="2015-07-13T00:00:00"/>
    <x v="74"/>
    <m/>
    <d v="2015-07-22T00:00:00"/>
    <d v="2015-07-27T00:00:00"/>
    <n v="56"/>
    <s v="Fittings "/>
    <m/>
    <s v="en término"/>
    <x v="5"/>
    <n v="1"/>
  </r>
  <r>
    <x v="8"/>
    <x v="8"/>
    <x v="1"/>
    <x v="12"/>
    <s v="109/14 CEC"/>
    <m/>
    <x v="791"/>
    <n v="872341.32"/>
    <x v="600"/>
    <n v="97"/>
    <d v="2015-03-31T00:00:00"/>
    <s v="Buenos Aires"/>
    <d v="2015-04-21T00:00:00"/>
    <x v="82"/>
    <d v="2015-04-27T00:00:00"/>
    <d v="2015-04-24T00:00:00"/>
    <d v="2015-05-23T00:00:00"/>
    <n v="150"/>
    <s v="Fittings"/>
    <m/>
    <s v="atrasado"/>
    <x v="10"/>
    <n v="0"/>
  </r>
  <r>
    <x v="8"/>
    <x v="8"/>
    <x v="1"/>
    <x v="41"/>
    <s v="086/14 COX"/>
    <m/>
    <x v="792"/>
    <n v="153400"/>
    <x v="601"/>
    <n v="136"/>
    <d v="2015-04-30T00:00:00"/>
    <s v="Buenos Aires"/>
    <d v="2015-04-20T00:00:00"/>
    <x v="5"/>
    <d v="2015-05-18T00:00:00"/>
    <d v="2015-05-16T00:00:00"/>
    <d v="2015-05-20T00:00:00"/>
    <n v="156"/>
    <s v="26 bombas"/>
    <m/>
    <s v="atrasado"/>
    <x v="10"/>
    <n v="0"/>
  </r>
  <r>
    <x v="8"/>
    <x v="8"/>
    <x v="1"/>
    <x v="2"/>
    <s v="108/14 CPG"/>
    <m/>
    <x v="793"/>
    <n v="8600"/>
    <x v="602"/>
    <n v="130"/>
    <d v="2015-05-15T00:00:00"/>
    <s v="Buenos Aires"/>
    <d v="2015-05-08T00:00:00"/>
    <x v="62"/>
    <m/>
    <d v="2015-05-21T00:00:00"/>
    <d v="2015-05-26T00:00:00"/>
    <n v="141"/>
    <s v="4 bombas"/>
    <m/>
    <s v="atrasado"/>
    <x v="3"/>
    <n v="0"/>
  </r>
  <r>
    <x v="8"/>
    <x v="8"/>
    <x v="1"/>
    <x v="12"/>
    <s v="111/14 CEC"/>
    <m/>
    <x v="794"/>
    <n v="1552027.2"/>
    <x v="603"/>
    <n v="130"/>
    <d v="2015-06-05T00:00:00"/>
    <s v="Buenos Aires"/>
    <d v="2015-06-17T00:00:00"/>
    <x v="92"/>
    <d v="2015-06-22T00:00:00"/>
    <d v="2015-06-25T00:00:00"/>
    <d v="2015-07-18T00:00:00"/>
    <n v="173"/>
    <s v="Fittings"/>
    <s v="La carga estaba lista el 26 de mayo en planta, pero no teiamos la autorizacion de Colombia."/>
    <s v="atrasado"/>
    <x v="4"/>
    <n v="0"/>
  </r>
  <r>
    <x v="8"/>
    <x v="8"/>
    <x v="1"/>
    <x v="2"/>
    <s v="112/15 CPG"/>
    <m/>
    <x v="795"/>
    <n v="22730"/>
    <x v="604"/>
    <n v="90"/>
    <d v="2015-11-16T00:00:00"/>
    <s v="Buenos Aires"/>
    <d v="2015-11-09T00:00:00"/>
    <x v="45"/>
    <d v="2015-11-25T00:00:00"/>
    <d v="2015-11-30T00:00:00"/>
    <d v="2015-12-05T00:00:00"/>
    <n v="109"/>
    <s v="Bombas + fittings"/>
    <s v="FALTA FORWARDER"/>
    <s v="atrasado"/>
    <x v="9"/>
    <n v="0"/>
  </r>
  <r>
    <x v="8"/>
    <x v="8"/>
    <x v="1"/>
    <x v="12"/>
    <s v="111/14 CEC"/>
    <m/>
    <x v="794"/>
    <n v="46994.400000000001"/>
    <x v="603"/>
    <n v="214"/>
    <d v="2015-08-28T00:00:00"/>
    <s v="Buenos Aires"/>
    <d v="2015-08-25T00:00:00"/>
    <x v="36"/>
    <d v="2015-09-10T00:00:00"/>
    <d v="2015-09-24T00:00:00"/>
    <d v="2015-10-24T00:00:00"/>
    <n v="271"/>
    <s v="16 Barriles - 2° ENVIO"/>
    <m/>
    <s v="atrasado"/>
    <x v="6"/>
    <n v="0"/>
  </r>
  <r>
    <x v="8"/>
    <x v="8"/>
    <x v="1"/>
    <x v="42"/>
    <s v="150/14 UEC"/>
    <m/>
    <x v="796"/>
    <n v="119889.1"/>
    <x v="605"/>
    <n v="141"/>
    <d v="2016-04-12T00:00:00"/>
    <s v="Buenos Aires"/>
    <d v="2015-11-09T00:00:00"/>
    <x v="132"/>
    <d v="2015-12-17T00:00:00"/>
    <d v="2015-12-26T00:00:00"/>
    <d v="2016-01-25T00:00:00"/>
    <n v="63"/>
    <s v="40 Barriles - 3° ENVIO"/>
    <s v="Se demora la salida por la falta de confirmacion por parte del cliente sobre el tipo de envio (Ecopetrol no da la autorizacion final para entregar la carga y realizar el embarque)"/>
    <s v="en término"/>
    <x v="9"/>
    <n v="1"/>
  </r>
  <r>
    <x v="8"/>
    <x v="8"/>
    <x v="0"/>
    <x v="43"/>
    <s v="064/14 BBR"/>
    <m/>
    <x v="797"/>
    <n v="26400"/>
    <x v="606"/>
    <n v="90"/>
    <d v="2015-01-03T00:00:00"/>
    <s v="Salvador"/>
    <d v="2015-01-05T00:00:00"/>
    <x v="96"/>
    <m/>
    <d v="2015-02-08T00:00:00"/>
    <d v="2015-02-14T00:00:00"/>
    <n v="143"/>
    <s v="3 bombas - PUERTO DE SANTOS - INSPECCION TIPO B"/>
    <s v="Material listo desde mediados de Diciembre. Petrobras America no da el OK para embarcar"/>
    <s v="atrasado"/>
    <x v="0"/>
    <n v="0"/>
  </r>
  <r>
    <x v="8"/>
    <x v="8"/>
    <x v="0"/>
    <x v="43"/>
    <s v="065/14 BBR"/>
    <m/>
    <x v="798"/>
    <n v="78750"/>
    <x v="606"/>
    <n v="90"/>
    <d v="2015-01-05T00:00:00"/>
    <s v="Salvador"/>
    <d v="2015-01-05T00:00:00"/>
    <x v="133"/>
    <d v="2015-02-18T00:00:00"/>
    <d v="2015-03-10T00:00:00"/>
    <d v="2015-04-09T00:00:00"/>
    <n v="197"/>
    <s v="35 bombas - PUERTO DE SANTOS - INSPECCION TIPO A"/>
    <s v="Material listo desde mediados de Diciembre. Petrobras America no da el OK para embarcar"/>
    <s v="atrasado"/>
    <x v="0"/>
    <n v="0"/>
  </r>
  <r>
    <x v="8"/>
    <x v="8"/>
    <x v="0"/>
    <x v="0"/>
    <s v="081/14 BBR"/>
    <s v="Petrobras N° 4506273104"/>
    <x v="799"/>
    <n v="390000"/>
    <x v="607"/>
    <n v="150"/>
    <d v="2015-04-06T00:00:00"/>
    <s v="Salvador"/>
    <d v="2015-03-16T00:00:00"/>
    <x v="10"/>
    <d v="2015-03-20T00:00:00"/>
    <d v="2015-03-24T00:00:00"/>
    <d v="2015-04-13T00:00:00"/>
    <n v="157"/>
    <s v="150 bombas"/>
    <m/>
    <s v="en término"/>
    <x v="2"/>
    <n v="1"/>
  </r>
  <r>
    <x v="8"/>
    <x v="8"/>
    <x v="0"/>
    <x v="0"/>
    <s v="106/14 BBR"/>
    <s v="Petrobras N° 4506359839"/>
    <x v="800"/>
    <n v="5445"/>
    <x v="608"/>
    <n v="90"/>
    <d v="2015-04-05T00:00:00"/>
    <s v="Salvador"/>
    <d v="2015-03-16T00:00:00"/>
    <x v="52"/>
    <d v="2015-03-20T00:00:00"/>
    <d v="2015-03-24T00:00:00"/>
    <d v="2015-04-13T00:00:00"/>
    <n v="105"/>
    <s v="15 pistones"/>
    <m/>
    <s v="en término"/>
    <x v="2"/>
    <n v="1"/>
  </r>
  <r>
    <x v="8"/>
    <x v="8"/>
    <x v="0"/>
    <x v="0"/>
    <s v="091/14 BBR"/>
    <s v="Petrobras N° 4506318016"/>
    <x v="801"/>
    <n v="185339"/>
    <x v="609"/>
    <n v="90"/>
    <d v="2015-03-02T00:00:00"/>
    <s v="Salvador"/>
    <d v="2015-04-06T00:00:00"/>
    <x v="134"/>
    <d v="2015-04-13T00:00:00"/>
    <d v="2015-04-15T00:00:00"/>
    <d v="2015-05-01T00:00:00"/>
    <n v="150"/>
    <s v="Fittings"/>
    <m/>
    <s v="atrasado"/>
    <x v="10"/>
    <n v="0"/>
  </r>
  <r>
    <x v="8"/>
    <x v="8"/>
    <x v="0"/>
    <x v="0"/>
    <s v="099/14 BBR"/>
    <s v="Petrobras N° 4506359130"/>
    <x v="802"/>
    <n v="79425"/>
    <x v="610"/>
    <n v="100"/>
    <d v="2015-04-09T00:00:00"/>
    <s v="Salvador"/>
    <d v="2015-04-06T00:00:00"/>
    <x v="62"/>
    <d v="2015-04-13T00:00:00"/>
    <d v="2015-04-15T00:00:00"/>
    <d v="2015-05-01T00:00:00"/>
    <n v="122"/>
    <s v="Vastagos"/>
    <m/>
    <s v="atrasado"/>
    <x v="10"/>
    <n v="0"/>
  </r>
  <r>
    <x v="8"/>
    <x v="8"/>
    <x v="0"/>
    <x v="0"/>
    <s v="107/14 BBR"/>
    <s v="Petrobras N° 4506370834"/>
    <x v="803"/>
    <n v="312510"/>
    <x v="611"/>
    <n v="120"/>
    <d v="2015-05-14T00:00:00"/>
    <s v="Salvador"/>
    <d v="2015-05-04T00:00:00"/>
    <x v="75"/>
    <d v="2015-05-11T00:00:00"/>
    <d v="2015-05-12T00:00:00"/>
    <d v="2015-05-29T00:00:00"/>
    <n v="135"/>
    <s v="128 bombas"/>
    <m/>
    <s v="en término"/>
    <x v="3"/>
    <n v="1"/>
  </r>
  <r>
    <x v="8"/>
    <x v="8"/>
    <x v="0"/>
    <x v="0"/>
    <s v="005/15 BBR"/>
    <s v="Petrobras N° 4506404710"/>
    <x v="804"/>
    <n v="8160"/>
    <x v="612"/>
    <n v="100"/>
    <d v="2015-05-10T00:00:00"/>
    <s v="Salvador"/>
    <d v="2015-05-04T00:00:00"/>
    <x v="11"/>
    <d v="2015-05-11T00:00:00"/>
    <d v="2015-05-12T00:00:00"/>
    <d v="2015-05-29T00:00:00"/>
    <n v="119"/>
    <s v="17 Pistones"/>
    <m/>
    <s v="atrasado"/>
    <x v="3"/>
    <n v="0"/>
  </r>
  <r>
    <x v="8"/>
    <x v="8"/>
    <x v="0"/>
    <x v="0"/>
    <s v="096/14 BBR"/>
    <s v="Petrobras N° 4506396830"/>
    <x v="805"/>
    <n v="67650"/>
    <x v="612"/>
    <n v="120"/>
    <d v="2015-05-30T00:00:00"/>
    <s v="Salvador"/>
    <d v="2015-05-04T00:00:00"/>
    <x v="18"/>
    <d v="2015-05-11T00:00:00"/>
    <d v="2015-05-12T00:00:00"/>
    <d v="2015-05-29T00:00:00"/>
    <n v="119"/>
    <s v="Fittings"/>
    <m/>
    <s v="en término"/>
    <x v="3"/>
    <n v="1"/>
  </r>
  <r>
    <x v="8"/>
    <x v="8"/>
    <x v="0"/>
    <x v="0"/>
    <s v="014/15 BBR"/>
    <s v="Petrobras N° 4506463874"/>
    <x v="806"/>
    <n v="15600"/>
    <x v="613"/>
    <n v="71"/>
    <d v="2015-05-12T00:00:00"/>
    <s v="Salvador"/>
    <d v="2015-05-04T00:00:00"/>
    <x v="44"/>
    <d v="2015-05-11T00:00:00"/>
    <d v="2015-05-12T00:00:00"/>
    <d v="2015-05-29T00:00:00"/>
    <n v="88"/>
    <s v="40 pistones"/>
    <m/>
    <s v="en término"/>
    <x v="3"/>
    <n v="1"/>
  </r>
  <r>
    <x v="8"/>
    <x v="8"/>
    <x v="0"/>
    <x v="0"/>
    <s v="012/15 BBR"/>
    <s v="Petrobras N° 4506466487"/>
    <x v="807"/>
    <n v="89500"/>
    <x v="614"/>
    <n v="100"/>
    <d v="2015-06-26T00:00:00"/>
    <s v="Salvador"/>
    <d v="2015-06-08T00:00:00"/>
    <x v="49"/>
    <d v="2015-06-14T00:00:00"/>
    <d v="2015-06-16T00:00:00"/>
    <d v="2015-07-03T00:00:00"/>
    <n v="107"/>
    <s v="155 vastagos"/>
    <m/>
    <s v="en término"/>
    <x v="4"/>
    <n v="1"/>
  </r>
  <r>
    <x v="8"/>
    <x v="8"/>
    <x v="0"/>
    <x v="0"/>
    <s v="039/15 BBR"/>
    <s v="Petrobras N° 4506584945"/>
    <x v="808"/>
    <n v="9060"/>
    <x v="591"/>
    <n v="89"/>
    <d v="2015-08-03T00:00:00"/>
    <s v="Salvador"/>
    <d v="2015-07-17T00:00:00"/>
    <x v="86"/>
    <d v="2015-07-27T00:00:00"/>
    <d v="2015-07-28T00:00:00"/>
    <d v="2015-08-14T00:00:00"/>
    <n v="100"/>
    <s v="Fittings"/>
    <m/>
    <s v="en término"/>
    <x v="5"/>
    <n v="1"/>
  </r>
  <r>
    <x v="8"/>
    <x v="8"/>
    <x v="0"/>
    <x v="0"/>
    <s v="008/15 BBR"/>
    <s v="Petrobras N° 4506586558"/>
    <x v="809"/>
    <n v="10640"/>
    <x v="615"/>
    <n v="96"/>
    <d v="2015-08-11T00:00:00"/>
    <s v="Salvador"/>
    <d v="2015-07-17T00:00:00"/>
    <x v="50"/>
    <d v="2015-07-27T00:00:00"/>
    <d v="2015-07-28T00:00:00"/>
    <d v="2015-08-14T00:00:00"/>
    <n v="99"/>
    <s v="28 pistones"/>
    <m/>
    <s v="en término"/>
    <x v="5"/>
    <n v="1"/>
  </r>
  <r>
    <x v="8"/>
    <x v="8"/>
    <x v="0"/>
    <x v="26"/>
    <s v="051/15 BBR"/>
    <m/>
    <x v="810"/>
    <n v="14164"/>
    <x v="616"/>
    <n v="100"/>
    <d v="2015-08-16T00:00:00"/>
    <s v="Salvador"/>
    <d v="2015-07-31T00:00:00"/>
    <x v="44"/>
    <d v="2015-08-06T00:00:00"/>
    <d v="2015-08-16T00:00:00"/>
    <d v="2015-09-05T00:00:00"/>
    <n v="120"/>
    <s v="Fittings"/>
    <m/>
    <s v="en término"/>
    <x v="5"/>
    <n v="1"/>
  </r>
  <r>
    <x v="8"/>
    <x v="8"/>
    <x v="0"/>
    <x v="0"/>
    <s v="024/15 BBR"/>
    <s v="Petrobras N° 4506506177"/>
    <x v="811"/>
    <n v="393930"/>
    <x v="617"/>
    <n v="82"/>
    <d v="2015-08-15T00:00:00"/>
    <s v="Salvador"/>
    <d v="2015-07-17T00:00:00"/>
    <x v="18"/>
    <d v="2015-07-27T00:00:00"/>
    <d v="2015-07-28T00:00:00"/>
    <d v="2015-08-14T00:00:00"/>
    <n v="81"/>
    <s v="197 bombas"/>
    <m/>
    <s v="en término"/>
    <x v="5"/>
    <n v="1"/>
  </r>
  <r>
    <x v="8"/>
    <x v="8"/>
    <x v="0"/>
    <x v="0"/>
    <s v="028/15 BBR"/>
    <s v="Petrobras N° 4506530961"/>
    <x v="812"/>
    <n v="366120"/>
    <x v="618"/>
    <n v="126"/>
    <d v="2015-09-29T00:00:00"/>
    <s v="Salvador"/>
    <d v="2015-09-14T00:00:00"/>
    <x v="19"/>
    <d v="2015-09-21T00:00:00"/>
    <d v="2015-09-25T00:00:00"/>
    <d v="2015-10-09T00:00:00"/>
    <n v="136"/>
    <s v="80 bombas "/>
    <m/>
    <s v="en término"/>
    <x v="7"/>
    <n v="1"/>
  </r>
  <r>
    <x v="8"/>
    <x v="8"/>
    <x v="0"/>
    <x v="0"/>
    <s v="054/15 BBR"/>
    <s v="Petrobras N° 4506618983"/>
    <x v="813"/>
    <n v="8050"/>
    <x v="592"/>
    <n v="93"/>
    <d v="2015-08-28T00:00:00"/>
    <s v="Salvador"/>
    <d v="2015-07-17T00:00:00"/>
    <x v="69"/>
    <d v="2015-07-27T00:00:00"/>
    <d v="2015-07-28T00:00:00"/>
    <d v="2015-08-14T00:00:00"/>
    <n v="79"/>
    <s v="Valvulas"/>
    <m/>
    <s v="en término"/>
    <x v="5"/>
    <n v="1"/>
  </r>
  <r>
    <x v="8"/>
    <x v="8"/>
    <x v="0"/>
    <x v="0"/>
    <s v="053/15 BBR"/>
    <s v="Petrobras N° 4506629430"/>
    <x v="814"/>
    <n v="30276"/>
    <x v="619"/>
    <n v="76"/>
    <d v="2015-08-17T00:00:00"/>
    <s v="Salvador"/>
    <d v="2015-08-07T00:00:00"/>
    <x v="47"/>
    <d v="2015-08-23T00:00:00"/>
    <d v="2015-08-26T00:00:00"/>
    <d v="2015-09-11T00:00:00"/>
    <n v="101"/>
    <s v="Fittings"/>
    <m/>
    <s v="atrasado"/>
    <x v="6"/>
    <n v="0"/>
  </r>
  <r>
    <x v="8"/>
    <x v="8"/>
    <x v="0"/>
    <x v="0"/>
    <s v="052/15 BBR"/>
    <s v="Petrobras N° 4506644206"/>
    <x v="815"/>
    <n v="47260"/>
    <x v="620"/>
    <n v="167"/>
    <d v="2015-11-17T00:00:00"/>
    <s v="Salvador"/>
    <d v="2015-10-05T00:00:00"/>
    <x v="39"/>
    <d v="2015-10-16T00:00:00"/>
    <d v="2015-10-18T00:00:00"/>
    <d v="2015-11-02T00:00:00"/>
    <n v="152"/>
    <s v="Fittings"/>
    <m/>
    <s v="en término"/>
    <x v="8"/>
    <n v="1"/>
  </r>
  <r>
    <x v="8"/>
    <x v="8"/>
    <x v="0"/>
    <x v="0"/>
    <s v="056/15 BBR"/>
    <s v="Petrobras N° 4506645792"/>
    <x v="816"/>
    <n v="2140"/>
    <x v="621"/>
    <n v="53"/>
    <d v="2015-07-28T00:00:00"/>
    <s v="Salvador"/>
    <d v="2015-08-07T00:00:00"/>
    <x v="81"/>
    <d v="2015-08-23T00:00:00"/>
    <d v="2015-08-26T00:00:00"/>
    <d v="2015-09-11T00:00:00"/>
    <n v="98"/>
    <s v="Fittings"/>
    <m/>
    <s v="atrasado"/>
    <x v="6"/>
    <n v="0"/>
  </r>
  <r>
    <x v="8"/>
    <x v="8"/>
    <x v="0"/>
    <x v="0"/>
    <s v="061/15 BBR"/>
    <s v="Petrobras N° 4506652907"/>
    <x v="817"/>
    <n v="475"/>
    <x v="622"/>
    <n v="60"/>
    <d v="2015-08-09T00:00:00"/>
    <s v="Salvador"/>
    <d v="2015-08-07T00:00:00"/>
    <x v="7"/>
    <d v="2015-08-23T00:00:00"/>
    <d v="2015-08-26T00:00:00"/>
    <d v="2015-09-11T00:00:00"/>
    <n v="93"/>
    <s v="Fittings"/>
    <m/>
    <s v="atrasado"/>
    <x v="6"/>
    <n v="0"/>
  </r>
  <r>
    <x v="8"/>
    <x v="8"/>
    <x v="0"/>
    <x v="0"/>
    <s v="062/15 BBR"/>
    <s v="Petrobras N° 4506660209"/>
    <x v="818"/>
    <n v="9200"/>
    <x v="623"/>
    <n v="92"/>
    <d v="2015-09-19T00:00:00"/>
    <s v="Salvador"/>
    <d v="2015-08-07T00:00:00"/>
    <x v="90"/>
    <d v="2015-08-23T00:00:00"/>
    <d v="2015-08-26T00:00:00"/>
    <d v="2015-09-11T00:00:00"/>
    <n v="84"/>
    <s v="Fittings"/>
    <m/>
    <s v="en término"/>
    <x v="6"/>
    <n v="1"/>
  </r>
  <r>
    <x v="8"/>
    <x v="8"/>
    <x v="0"/>
    <x v="0"/>
    <s v="034/15 BBR"/>
    <s v="Petrobras N° 4506677818"/>
    <x v="819"/>
    <n v="275"/>
    <x v="624"/>
    <n v="85"/>
    <d v="2015-09-19T00:00:00"/>
    <s v="Salvador"/>
    <d v="2015-08-07T00:00:00"/>
    <x v="90"/>
    <d v="2015-08-23T00:00:00"/>
    <d v="2015-08-26T00:00:00"/>
    <d v="2015-09-11T00:00:00"/>
    <n v="77"/>
    <s v="Fittings"/>
    <m/>
    <s v="en término"/>
    <x v="6"/>
    <n v="1"/>
  </r>
  <r>
    <x v="8"/>
    <x v="8"/>
    <x v="0"/>
    <x v="0"/>
    <s v="035/15 BBR"/>
    <s v="Petrobras N° 4506675659"/>
    <x v="820"/>
    <n v="1680"/>
    <x v="624"/>
    <n v="92"/>
    <d v="2015-09-26T00:00:00"/>
    <s v="Salvador"/>
    <d v="2015-08-07T00:00:00"/>
    <x v="69"/>
    <d v="2015-08-23T00:00:00"/>
    <d v="2015-08-26T00:00:00"/>
    <d v="2015-09-11T00:00:00"/>
    <n v="77"/>
    <s v="Fittings"/>
    <m/>
    <s v="en término"/>
    <x v="6"/>
    <n v="1"/>
  </r>
  <r>
    <x v="8"/>
    <x v="8"/>
    <x v="0"/>
    <x v="0"/>
    <s v="103/15 BBR"/>
    <s v="Petrobras N° 4506733338"/>
    <x v="821"/>
    <n v="800"/>
    <x v="625"/>
    <n v="88"/>
    <d v="2015-10-24T00:00:00"/>
    <s v="Salvador"/>
    <d v="2015-09-14T00:00:00"/>
    <x v="37"/>
    <d v="2015-09-21T00:00:00"/>
    <d v="2015-09-25T00:00:00"/>
    <d v="2015-10-09T00:00:00"/>
    <n v="79"/>
    <s v="16 asientos"/>
    <s v="Las bolas para estos asientos estan en stock en Bolland do Brasil, de esta manera queda formada al avalvula solicitada por Petrobras"/>
    <s v="en término"/>
    <x v="7"/>
    <n v="1"/>
  </r>
  <r>
    <x v="8"/>
    <x v="8"/>
    <x v="0"/>
    <x v="0"/>
    <s v="044/15 BBR"/>
    <s v="Petrobras N° 4506783132"/>
    <x v="822"/>
    <n v="149820.79999999999"/>
    <x v="604"/>
    <n v="150"/>
    <d v="2016-01-15T00:00:00"/>
    <s v="Salvador"/>
    <d v="2015-12-14T00:00:00"/>
    <x v="59"/>
    <d v="2015-12-21T00:00:00"/>
    <d v="2015-12-23T00:00:00"/>
    <d v="2016-01-08T00:00:00"/>
    <n v="143"/>
    <s v="58 bombas - 2° ENVIO"/>
    <m/>
    <s v="en término"/>
    <x v="11"/>
    <n v="1"/>
  </r>
  <r>
    <x v="8"/>
    <x v="8"/>
    <x v="0"/>
    <x v="0"/>
    <s v="044/15 BBR"/>
    <s v="Petrobras N° 4506783132"/>
    <x v="822"/>
    <n v="20390"/>
    <x v="604"/>
    <n v="120"/>
    <d v="2015-12-16T00:00:00"/>
    <s v="Salvador"/>
    <d v="2015-10-05T00:00:00"/>
    <x v="135"/>
    <d v="2015-10-16T00:00:00"/>
    <d v="2015-10-18T00:00:00"/>
    <d v="2015-11-02T00:00:00"/>
    <n v="76"/>
    <s v="100 valvulas - 1° ENVIO"/>
    <m/>
    <s v="en término"/>
    <x v="8"/>
    <n v="1"/>
  </r>
  <r>
    <x v="8"/>
    <x v="8"/>
    <x v="0"/>
    <x v="0"/>
    <s v="044/15 BBR"/>
    <s v="Petrobras N° 4506783132"/>
    <x v="822"/>
    <n v="843765"/>
    <x v="604"/>
    <n v="120"/>
    <d v="2015-12-16T00:00:00"/>
    <s v="Salvador"/>
    <d v="2015-11-20T00:00:00"/>
    <x v="10"/>
    <d v="2015-11-30T00:00:00"/>
    <d v="2015-12-03T00:00:00"/>
    <d v="2015-12-18T00:00:00"/>
    <n v="122"/>
    <s v="Fittings + 187 bombas- 2° ENVIO"/>
    <m/>
    <s v="en término"/>
    <x v="9"/>
    <n v="1"/>
  </r>
  <r>
    <x v="8"/>
    <x v="8"/>
    <x v="0"/>
    <x v="0"/>
    <s v="116/15 BBR"/>
    <s v="Petrobras N° 4506835893"/>
    <x v="823"/>
    <n v="1100"/>
    <x v="626"/>
    <n v="75"/>
    <d v="2015-12-01T00:00:00"/>
    <s v="Salvador"/>
    <d v="2015-11-20T00:00:00"/>
    <x v="11"/>
    <d v="2015-11-30T00:00:00"/>
    <d v="2015-12-03T00:00:00"/>
    <d v="2015-12-18T00:00:00"/>
    <n v="92"/>
    <s v="Fittings"/>
    <m/>
    <s v="atrasado"/>
    <x v="9"/>
    <n v="0"/>
  </r>
  <r>
    <x v="8"/>
    <x v="8"/>
    <x v="0"/>
    <x v="0"/>
    <s v="135/15 BBR"/>
    <s v="Petrobras N° 4506884111"/>
    <x v="824"/>
    <n v="3795"/>
    <x v="627"/>
    <n v="88"/>
    <d v="2016-01-11T00:00:00"/>
    <s v="Salvador"/>
    <d v="2015-11-20T00:00:00"/>
    <x v="68"/>
    <d v="2015-11-30T00:00:00"/>
    <d v="2015-12-03T00:00:00"/>
    <d v="2015-12-18T00:00:00"/>
    <n v="64"/>
    <s v="Fittings"/>
    <m/>
    <s v="en término"/>
    <x v="9"/>
    <n v="1"/>
  </r>
  <r>
    <x v="9"/>
    <x v="9"/>
    <x v="0"/>
    <x v="0"/>
    <s v="044/15 BBR"/>
    <s v="Petrobras N° 4506783132"/>
    <x v="822"/>
    <n v="74036.899999999994"/>
    <x v="604"/>
    <n v="180"/>
    <d v="2016-02-14T00:00:00"/>
    <s v="Salvador"/>
    <d v="2016-02-19T00:00:00"/>
    <x v="7"/>
    <d v="2016-02-29T00:00:00"/>
    <d v="2016-03-02T00:00:00"/>
    <d v="2016-03-18T00:00:00"/>
    <n v="213"/>
    <s v="23 bombas - 4° ENVIO"/>
    <m/>
    <s v="atrasado"/>
    <x v="1"/>
    <n v="0"/>
  </r>
  <r>
    <x v="9"/>
    <x v="9"/>
    <x v="0"/>
    <x v="0"/>
    <s v="119/15 BBR"/>
    <s v="Petrobras N° 4506872780"/>
    <x v="825"/>
    <n v="74035"/>
    <x v="628"/>
    <n v="95"/>
    <d v="2016-02-29T00:00:00"/>
    <s v="Salvador"/>
    <d v="2016-02-19T00:00:00"/>
    <x v="11"/>
    <d v="2016-02-29T00:00:00"/>
    <d v="2016-03-02T00:00:00"/>
    <d v="2016-03-18T00:00:00"/>
    <n v="113"/>
    <s v="27 bombas"/>
    <m/>
    <s v="atrasado"/>
    <x v="1"/>
    <n v="0"/>
  </r>
  <r>
    <x v="9"/>
    <x v="9"/>
    <x v="0"/>
    <x v="0"/>
    <s v="149/15 BBR"/>
    <s v="Petrobras N° 4506981857"/>
    <x v="826"/>
    <n v="7820"/>
    <x v="629"/>
    <n v="91"/>
    <d v="2016-03-11T00:00:00"/>
    <s v="Salvador"/>
    <d v="2016-02-19T00:00:00"/>
    <x v="74"/>
    <d v="2016-02-29T00:00:00"/>
    <d v="2016-03-02T00:00:00"/>
    <d v="2016-03-18T00:00:00"/>
    <n v="98"/>
    <s v="Fittings - 23 pistones"/>
    <m/>
    <s v="en término"/>
    <x v="1"/>
    <n v="1"/>
  </r>
  <r>
    <x v="9"/>
    <x v="9"/>
    <x v="0"/>
    <x v="0"/>
    <s v="005/16 BBR"/>
    <s v="Petrobras N° 4506990401/4507016846/4507075030/4507059575"/>
    <x v="827"/>
    <n v="5540"/>
    <x v="630"/>
    <n v="104"/>
    <d v="2016-05-16T00:00:00"/>
    <s v="Salvador"/>
    <d v="2016-05-02T00:00:00"/>
    <x v="86"/>
    <m/>
    <d v="2016-05-10T00:00:00"/>
    <d v="2016-05-30T00:00:00"/>
    <n v="118"/>
    <s v="Fittings "/>
    <s v="Se espera enviar junto a otra carga"/>
    <s v="en término"/>
    <x v="3"/>
    <n v="1"/>
  </r>
  <r>
    <x v="9"/>
    <x v="9"/>
    <x v="0"/>
    <x v="0"/>
    <s v="154/15 BBR"/>
    <s v="Petrobras N° 4507057841"/>
    <x v="828"/>
    <n v="12752"/>
    <x v="631"/>
    <n v="90"/>
    <d v="2016-05-30T00:00:00"/>
    <s v="Salvador"/>
    <d v="2016-05-02T00:00:00"/>
    <x v="35"/>
    <m/>
    <d v="2016-05-10T00:00:00"/>
    <d v="2016-05-30T00:00:00"/>
    <n v="90"/>
    <s v="Fittings"/>
    <m/>
    <s v="en término"/>
    <x v="3"/>
    <n v="1"/>
  </r>
  <r>
    <x v="9"/>
    <x v="9"/>
    <x v="0"/>
    <x v="0"/>
    <s v="154/15 BBR"/>
    <s v="Petrobras N° 4507057806"/>
    <x v="829"/>
    <n v="95858"/>
    <x v="631"/>
    <n v="90"/>
    <d v="2016-05-30T00:00:00"/>
    <s v="Salvador"/>
    <d v="2016-05-02T00:00:00"/>
    <x v="35"/>
    <m/>
    <d v="2016-05-10T00:00:00"/>
    <d v="2016-05-30T00:00:00"/>
    <n v="90"/>
    <s v="31 Bombas + Fittings - 1° ENVIO"/>
    <m/>
    <s v="en término"/>
    <x v="3"/>
    <n v="1"/>
  </r>
  <r>
    <x v="9"/>
    <x v="9"/>
    <x v="0"/>
    <x v="0"/>
    <s v="154/15 BBR"/>
    <s v="Petrobras N° 4507057806"/>
    <x v="829"/>
    <n v="52303"/>
    <x v="631"/>
    <n v="120"/>
    <d v="2016-06-29T00:00:00"/>
    <s v="Salvador"/>
    <d v="2016-05-31T00:00:00"/>
    <x v="21"/>
    <m/>
    <d v="2016-06-14T00:00:00"/>
    <d v="2016-07-04T00:00:00"/>
    <n v="125"/>
    <s v="3 Bombas + Fittings - 2° ENVIO"/>
    <m/>
    <s v="en término"/>
    <x v="3"/>
    <n v="1"/>
  </r>
  <r>
    <x v="9"/>
    <x v="9"/>
    <x v="0"/>
    <x v="0"/>
    <s v="154/15 BBR"/>
    <s v="Petrobras N° 4507057825"/>
    <x v="830"/>
    <n v="27667"/>
    <x v="631"/>
    <n v="90"/>
    <d v="2016-05-30T00:00:00"/>
    <s v="Salvador"/>
    <d v="2016-05-02T00:00:00"/>
    <x v="35"/>
    <m/>
    <d v="2016-05-10T00:00:00"/>
    <d v="2016-05-30T00:00:00"/>
    <n v="90"/>
    <s v="8 Bombas + Fittings- 1° ENVIO"/>
    <m/>
    <s v="en término"/>
    <x v="3"/>
    <n v="1"/>
  </r>
  <r>
    <x v="9"/>
    <x v="9"/>
    <x v="0"/>
    <x v="0"/>
    <s v="154/15 BBR"/>
    <s v="Petrobras N° 4507057825"/>
    <x v="830"/>
    <n v="16532"/>
    <x v="631"/>
    <n v="120"/>
    <d v="2016-06-29T00:00:00"/>
    <s v="Salvador"/>
    <d v="2016-05-31T00:00:00"/>
    <x v="21"/>
    <m/>
    <d v="2016-06-14T00:00:00"/>
    <d v="2016-07-04T00:00:00"/>
    <n v="125"/>
    <s v="4 Bombas + Fittings- 2° ENVIO"/>
    <m/>
    <s v="en término"/>
    <x v="3"/>
    <n v="1"/>
  </r>
  <r>
    <x v="9"/>
    <x v="9"/>
    <x v="0"/>
    <x v="0"/>
    <s v="154/15 BBR"/>
    <s v="Petrobras N° 4507057835"/>
    <x v="831"/>
    <n v="134592"/>
    <x v="631"/>
    <n v="90"/>
    <d v="2016-05-30T00:00:00"/>
    <s v="Salvador"/>
    <d v="2016-05-02T00:00:00"/>
    <x v="35"/>
    <m/>
    <d v="2016-05-10T00:00:00"/>
    <d v="2016-05-30T00:00:00"/>
    <n v="90"/>
    <s v="53 Bombas + Fittings- 1° ENVIO"/>
    <m/>
    <s v="en término"/>
    <x v="3"/>
    <n v="1"/>
  </r>
  <r>
    <x v="9"/>
    <x v="9"/>
    <x v="0"/>
    <x v="0"/>
    <s v="154/15 BBR"/>
    <s v="Petrobras N° 4507057835"/>
    <x v="831"/>
    <n v="56160"/>
    <x v="631"/>
    <n v="120"/>
    <d v="2016-06-29T00:00:00"/>
    <s v="Salvador"/>
    <d v="2016-05-31T00:00:00"/>
    <x v="21"/>
    <m/>
    <d v="2016-06-14T00:00:00"/>
    <d v="2016-07-04T00:00:00"/>
    <n v="125"/>
    <s v="10 Bombas + Fittings- 2° ENVIO"/>
    <m/>
    <s v="en término"/>
    <x v="3"/>
    <n v="1"/>
  </r>
  <r>
    <x v="9"/>
    <x v="9"/>
    <x v="0"/>
    <x v="0"/>
    <s v="002/16 BBR"/>
    <s v="Petrobras N° 4507111051"/>
    <x v="832"/>
    <n v="29500"/>
    <x v="632"/>
    <n v="80"/>
    <d v="2016-06-05T00:00:00"/>
    <s v="Salvador"/>
    <d v="2016-06-08T00:00:00"/>
    <x v="0"/>
    <d v="2016-06-18T00:00:00"/>
    <d v="2016-06-20T00:00:00"/>
    <d v="2016-07-08T00:00:00"/>
    <n v="113"/>
    <s v="100 vastagos - 1° ENVIO"/>
    <m/>
    <s v="atrasado"/>
    <x v="4"/>
    <n v="0"/>
  </r>
  <r>
    <x v="9"/>
    <x v="9"/>
    <x v="0"/>
    <x v="0"/>
    <s v="002/16 BBR"/>
    <s v="Petrobras N° 4507111051"/>
    <x v="832"/>
    <n v="118000"/>
    <x v="632"/>
    <n v="200"/>
    <d v="2016-10-03T00:00:00"/>
    <s v="Salvador"/>
    <d v="2016-09-19T00:00:00"/>
    <x v="86"/>
    <m/>
    <d v="2016-09-27T00:00:00"/>
    <d v="2016-10-17T00:00:00"/>
    <n v="214"/>
    <s v="400 vastagos - 2° ENVIO"/>
    <m/>
    <s v="en término"/>
    <x v="7"/>
    <n v="1"/>
  </r>
  <r>
    <x v="9"/>
    <x v="9"/>
    <x v="0"/>
    <x v="0"/>
    <s v="026/16 BBR"/>
    <s v="Petrobras N° 4507147022"/>
    <x v="833"/>
    <n v="580"/>
    <x v="633"/>
    <n v="61"/>
    <d v="2016-06-11T00:00:00"/>
    <s v="Salvador"/>
    <d v="2016-05-31T00:00:00"/>
    <x v="15"/>
    <m/>
    <d v="2016-06-14T00:00:00"/>
    <d v="2016-07-04T00:00:00"/>
    <n v="84"/>
    <s v="Fittings"/>
    <m/>
    <s v="atrasado"/>
    <x v="3"/>
    <n v="0"/>
  </r>
  <r>
    <x v="9"/>
    <x v="9"/>
    <x v="1"/>
    <x v="2"/>
    <s v="047/15 CPG"/>
    <m/>
    <x v="834"/>
    <n v="97259"/>
    <x v="634"/>
    <n v="120"/>
    <d v="2016-06-02T00:00:00"/>
    <s v="Bogota"/>
    <d v="2016-05-27T00:00:00"/>
    <x v="47"/>
    <m/>
    <d v="2016-06-11T00:00:00"/>
    <d v="2016-07-01T00:00:00"/>
    <n v="149"/>
    <s v="Fittings - ENVIAR MUESTA DE LOS ANILLOS &quot;D&quot;"/>
    <m/>
    <s v="atrasado"/>
    <x v="3"/>
    <n v="0"/>
  </r>
  <r>
    <x v="9"/>
    <x v="9"/>
    <x v="1"/>
    <x v="2"/>
    <s v="033/16 CPG"/>
    <m/>
    <x v="835"/>
    <n v="8164"/>
    <x v="635"/>
    <n v="90"/>
    <d v="2016-06-21T00:00:00"/>
    <s v="Bogota"/>
    <d v="2016-05-27T00:00:00"/>
    <x v="49"/>
    <m/>
    <d v="2016-06-11T00:00:00"/>
    <d v="2016-07-01T00:00:00"/>
    <n v="100"/>
    <s v="Fittings"/>
    <m/>
    <s v="en término"/>
    <x v="3"/>
    <n v="1"/>
  </r>
  <r>
    <x v="9"/>
    <x v="9"/>
    <x v="5"/>
    <x v="7"/>
    <s v="008/16 TAL"/>
    <m/>
    <x v="836"/>
    <n v="1799.2"/>
    <x v="636"/>
    <n v="69"/>
    <d v="2016-03-21T00:00:00"/>
    <s v="Buenos Aires"/>
    <d v="2016-03-11T00:00:00"/>
    <x v="9"/>
    <d v="2016-03-18T00:00:00"/>
    <d v="2016-03-25T00:00:00"/>
    <d v="2016-05-09T00:00:00"/>
    <n v="118"/>
    <s v="Fittings "/>
    <m/>
    <s v="atrasado"/>
    <x v="2"/>
    <n v="0"/>
  </r>
  <r>
    <x v="9"/>
    <x v="9"/>
    <x v="5"/>
    <x v="7"/>
    <s v="009/16 TAL"/>
    <m/>
    <x v="837"/>
    <n v="3373.5"/>
    <x v="637"/>
    <n v="76"/>
    <d v="2016-03-21T00:00:00"/>
    <s v="Buenos Aires"/>
    <d v="2016-03-11T00:00:00"/>
    <x v="9"/>
    <d v="2016-03-18T00:00:00"/>
    <d v="2016-03-25T00:00:00"/>
    <d v="2016-05-09T00:00:00"/>
    <n v="125"/>
    <s v="Fittings "/>
    <m/>
    <s v="atrasado"/>
    <x v="2"/>
    <n v="0"/>
  </r>
  <r>
    <x v="9"/>
    <x v="9"/>
    <x v="0"/>
    <x v="0"/>
    <s v="040/16 BBR"/>
    <s v="Petrobras N° 4507235676"/>
    <x v="838"/>
    <n v="1224"/>
    <x v="638"/>
    <n v="60"/>
    <d v="2016-08-08T00:00:00"/>
    <s v="Salvador"/>
    <d v="2016-07-15T00:00:00"/>
    <x v="102"/>
    <m/>
    <d v="2016-07-20T00:00:00"/>
    <d v="2016-07-25T00:00:00"/>
    <n v="46"/>
    <s v="Fittings"/>
    <m/>
    <s v="en término"/>
    <x v="5"/>
    <n v="1"/>
  </r>
  <r>
    <x v="9"/>
    <x v="9"/>
    <x v="1"/>
    <x v="41"/>
    <s v="044/16 COX"/>
    <m/>
    <x v="839"/>
    <n v="104770"/>
    <x v="639"/>
    <n v="90"/>
    <d v="2016-08-31T00:00:00"/>
    <s v="Bogota"/>
    <d v="2016-08-16T00:00:00"/>
    <x v="75"/>
    <m/>
    <d v="2016-08-29T00:00:00"/>
    <d v="2016-09-08T00:00:00"/>
    <n v="98"/>
    <s v="Fittings - ENVIAR CERTIFICADO DE CALIDAD"/>
    <s v="La semana del 15 de agosto confirman que la carga sale via aerea."/>
    <s v="en término"/>
    <x v="6"/>
    <n v="1"/>
  </r>
  <r>
    <x v="9"/>
    <x v="9"/>
    <x v="1"/>
    <x v="2"/>
    <s v="062/16 CPG"/>
    <m/>
    <x v="840"/>
    <n v="103386.4"/>
    <x v="640"/>
    <n v="75"/>
    <d v="2016-10-23T00:00:00"/>
    <s v="Bogota"/>
    <d v="2016-10-07T00:00:00"/>
    <x v="23"/>
    <d v="2016-10-20T00:00:00"/>
    <d v="2016-10-31T00:00:00"/>
    <d v="2016-11-22T00:00:00"/>
    <n v="105"/>
    <s v="Bombas + Fittings (MATERIAL PARA OXY)"/>
    <m/>
    <s v="atrasado"/>
    <x v="8"/>
    <n v="0"/>
  </r>
  <r>
    <x v="9"/>
    <x v="9"/>
    <x v="3"/>
    <x v="44"/>
    <s v="041/16 ETE"/>
    <m/>
    <x v="841"/>
    <n v="39245.08"/>
    <x v="641"/>
    <n v="87"/>
    <d v="2016-08-27T00:00:00"/>
    <s v="Ecuador"/>
    <d v="2016-08-22T00:00:00"/>
    <x v="3"/>
    <d v="2016-09-20T00:00:00"/>
    <d v="2016-09-22T00:00:00"/>
    <d v="2016-09-29T00:00:00"/>
    <n v="120"/>
    <s v="14 bombas"/>
    <m/>
    <s v="atrasado"/>
    <x v="6"/>
    <n v="0"/>
  </r>
  <r>
    <x v="9"/>
    <x v="9"/>
    <x v="10"/>
    <x v="18"/>
    <s v="055/16 WEN"/>
    <m/>
    <x v="842"/>
    <n v="1600"/>
    <x v="642"/>
    <n v="49"/>
    <d v="2016-08-22T00:00:00"/>
    <s v="Chile"/>
    <d v="2016-08-16T00:00:00"/>
    <x v="19"/>
    <m/>
    <d v="2016-08-18T00:00:00"/>
    <d v="2016-08-23T00:00:00"/>
    <n v="50"/>
    <s v="1 Maqueta - TRANSPORTE KONIG"/>
    <m/>
    <s v="en término"/>
    <x v="6"/>
    <n v="1"/>
  </r>
  <r>
    <x v="9"/>
    <x v="9"/>
    <x v="10"/>
    <x v="18"/>
    <s v="049/16 WEN"/>
    <m/>
    <x v="843"/>
    <n v="7500"/>
    <x v="643"/>
    <n v="59"/>
    <d v="2016-08-19T00:00:00"/>
    <s v="Chile"/>
    <d v="2016-08-16T00:00:00"/>
    <x v="2"/>
    <m/>
    <d v="2016-08-18T00:00:00"/>
    <d v="2016-08-23T00:00:00"/>
    <n v="63"/>
    <s v="Fittings - TRANSPORTE KONIG"/>
    <s v="La orden de compra nos llego el 13 de julio"/>
    <s v="en término"/>
    <x v="6"/>
    <n v="1"/>
  </r>
  <r>
    <x v="9"/>
    <x v="9"/>
    <x v="0"/>
    <x v="0"/>
    <s v="063/16 BBR"/>
    <s v="PetroReconcavo 049396/1"/>
    <x v="844"/>
    <n v="5033"/>
    <x v="644"/>
    <n v="75"/>
    <d v="2016-11-28T00:00:00"/>
    <s v="Salvador"/>
    <d v="2016-11-07T00:00:00"/>
    <x v="64"/>
    <d v="2016-11-19T00:00:00"/>
    <d v="2016-11-21T00:00:00"/>
    <d v="2016-12-08T00:00:00"/>
    <n v="85"/>
    <s v="Fittings"/>
    <s v="No hay lugar en el buque del 19/11, se pasa al proximo del 26/11"/>
    <s v="en término"/>
    <x v="9"/>
    <n v="1"/>
  </r>
  <r>
    <x v="9"/>
    <x v="9"/>
    <x v="1"/>
    <x v="2"/>
    <s v="065/16 CPG"/>
    <m/>
    <x v="845"/>
    <n v="111321"/>
    <x v="645"/>
    <n v="75"/>
    <d v="2016-11-05T00:00:00"/>
    <s v="Bogota"/>
    <d v="2016-10-21T00:00:00"/>
    <x v="75"/>
    <d v="2016-11-03T00:00:00"/>
    <d v="2016-11-12T00:00:00"/>
    <d v="2016-12-05T00:00:00"/>
    <n v="105"/>
    <s v="Fittings (MATERIAL PARA MANSAROVAR)"/>
    <s v="Forwarder:  LCL IMPORTACION - PAGOS:  1° : 23 DE DIC. - 2° : 23 DE ENE - 3° : 23 DE FEB."/>
    <s v="en término"/>
    <x v="8"/>
    <n v="1"/>
  </r>
  <r>
    <x v="9"/>
    <x v="9"/>
    <x v="1"/>
    <x v="2"/>
    <s v="050/16 CPG"/>
    <s v="CONTRATO ALCI 0075"/>
    <x v="846"/>
    <n v="266490.5"/>
    <x v="646"/>
    <n v="60"/>
    <d v="2016-10-25T00:00:00"/>
    <s v="Bogota"/>
    <d v="2016-10-21T00:00:00"/>
    <x v="47"/>
    <d v="2016-11-03T00:00:00"/>
    <d v="2016-11-12T00:00:00"/>
    <d v="2016-12-05T00:00:00"/>
    <n v="101"/>
    <s v="Bombas + Fittings (MATERIAL PARA OXY)"/>
    <s v="Forwarder:  LCL IMPORTACION - PAGOS:  1° : 23 DE DIC. - 2° : 23 DE ENE - 3° : 23 DE FEB."/>
    <s v="atrasado"/>
    <x v="8"/>
    <n v="0"/>
  </r>
  <r>
    <x v="9"/>
    <x v="9"/>
    <x v="1"/>
    <x v="2"/>
    <s v="050/16 CPG"/>
    <s v="CONTRATO ALCI 0075 y Mansarovar"/>
    <x v="847"/>
    <n v="4320"/>
    <x v="647"/>
    <n v="10"/>
    <d v="2016-10-29T00:00:00"/>
    <s v="Bogota"/>
    <d v="2016-10-21T00:00:00"/>
    <x v="44"/>
    <d v="2016-10-28T00:00:00"/>
    <d v="2016-10-29T00:00:00"/>
    <d v="2016-11-01T00:00:00"/>
    <n v="13"/>
    <s v="Fittings (MATERIAL PARA OXY Y MANSAROVAR)"/>
    <s v="FORWARDER: GEFCO"/>
    <s v="en término"/>
    <x v="8"/>
    <n v="1"/>
  </r>
  <r>
    <x v="9"/>
    <x v="9"/>
    <x v="1"/>
    <x v="2"/>
    <s v="050/16 CPG"/>
    <s v="CONTRATO ALCI 0075"/>
    <x v="848"/>
    <n v="85691"/>
    <x v="648"/>
    <n v="60"/>
    <d v="2016-11-22T00:00:00"/>
    <s v="Bogota"/>
    <d v="2016-11-14T00:00:00"/>
    <x v="11"/>
    <d v="2016-11-24T00:00:00"/>
    <d v="2016-12-04T00:00:00"/>
    <d v="2016-12-30T00:00:00"/>
    <n v="98"/>
    <s v="Fittings (MATERIAL PARA OXY)"/>
    <s v="SE PAGA EL 20 DE FEB. (OK - 10 Feb. - U$ 25,691) (OK - 15 Feb. - U$ 30.000) - 20 DE MARZ. (U$ 30.000)  - Forwarder: Navetrans"/>
    <s v="atrasado"/>
    <x v="9"/>
    <n v="0"/>
  </r>
  <r>
    <x v="9"/>
    <x v="9"/>
    <x v="1"/>
    <x v="2"/>
    <s v="050/16 CPG"/>
    <s v="CONTRATO ALCI 0075"/>
    <x v="849"/>
    <n v="233988.5"/>
    <x v="649"/>
    <n v="98"/>
    <d v="2017-01-10T00:00:00"/>
    <s v="Bogota"/>
    <d v="2017-01-06T00:00:00"/>
    <x v="7"/>
    <d v="2017-01-19T00:00:00"/>
    <d v="2017-01-27T00:00:00"/>
    <d v="2017-02-24T00:00:00"/>
    <n v="143"/>
    <s v="Fittings (MATERIAL PARA OXY)"/>
    <s v="PAGOS:  1° : 10 DE ABRIL (u$ 200.000) - 2° : 10 DE MAYO (u$ 33.988) -  Forwarder: Navetrans"/>
    <s v="atrasado"/>
    <x v="0"/>
    <n v="0"/>
  </r>
  <r>
    <x v="9"/>
    <x v="9"/>
    <x v="1"/>
    <x v="41"/>
    <s v="067/16 COX"/>
    <m/>
    <x v="850"/>
    <n v="135950"/>
    <x v="650"/>
    <n v="73"/>
    <d v="2016-12-17T00:00:00"/>
    <s v="Bogota"/>
    <d v="2016-12-05T00:00:00"/>
    <x v="95"/>
    <d v="2017-01-05T00:00:00"/>
    <d v="2017-01-07T00:00:00"/>
    <d v="2017-01-14T00:00:00"/>
    <n v="101"/>
    <s v="32 Bombas - 1° ENVIO"/>
    <s v="Recien a fin de Dicimbre nos dan instrucciones para mover la carga, un mes parada la carga en Bue."/>
    <s v="atrasado"/>
    <x v="11"/>
    <n v="0"/>
  </r>
  <r>
    <x v="10"/>
    <x v="10"/>
    <x v="1"/>
    <x v="41"/>
    <s v="067/16 COX"/>
    <m/>
    <x v="850"/>
    <n v="100800"/>
    <x v="650"/>
    <n v="104"/>
    <d v="2017-01-17T00:00:00"/>
    <s v="Bogota"/>
    <d v="2017-01-06T00:00:00"/>
    <x v="118"/>
    <d v="2017-02-24T00:00:00"/>
    <d v="2017-03-04T00:00:00"/>
    <d v="2017-03-31T00:00:00"/>
    <n v="177"/>
    <s v="20 Bombas - 2° ENVIO"/>
    <m/>
    <s v="atrasado"/>
    <x v="0"/>
    <n v="0"/>
  </r>
  <r>
    <x v="10"/>
    <x v="10"/>
    <x v="1"/>
    <x v="2"/>
    <s v="050/16 CPG"/>
    <s v="CONTRATO ALCI 0075"/>
    <x v="851"/>
    <n v="170231.5"/>
    <x v="651"/>
    <n v="53"/>
    <d v="2017-03-20T00:00:00"/>
    <s v="Bogota"/>
    <d v="2017-03-15T00:00:00"/>
    <x v="6"/>
    <d v="2017-03-31T00:00:00"/>
    <d v="2017-04-08T00:00:00"/>
    <d v="2017-05-05T00:00:00"/>
    <n v="99"/>
    <s v="Fittings + 6 bombas (MATERIAL PARA OXY y Ecopetrol)"/>
    <s v="PAGOS  1° : 10 DE JUNIO - Forwarder: Senator"/>
    <s v="atrasado"/>
    <x v="2"/>
    <n v="0"/>
  </r>
  <r>
    <x v="10"/>
    <x v="10"/>
    <x v="1"/>
    <x v="42"/>
    <s v="068/16 CEC"/>
    <m/>
    <x v="852"/>
    <n v="94772"/>
    <x v="652"/>
    <n v="105"/>
    <d v="2017-04-20T00:00:00"/>
    <s v="Bogota"/>
    <d v="2017-04-25T00:00:00"/>
    <x v="136"/>
    <d v="2017-06-08T00:00:00"/>
    <d v="2017-06-18T00:00:00"/>
    <d v="2017-07-13T00:00:00"/>
    <n v="189"/>
    <s v="Fittings y bombas"/>
    <s v="Se posterga una semana por el temporal de CDR"/>
    <s v="atrasado"/>
    <x v="10"/>
    <n v="0"/>
  </r>
  <r>
    <x v="10"/>
    <x v="10"/>
    <x v="1"/>
    <x v="2"/>
    <s v="050/16 CPG"/>
    <s v="CONTRATO ALCI 0075"/>
    <x v="853"/>
    <n v="197813.7"/>
    <x v="651"/>
    <n v="84"/>
    <d v="2017-04-20T00:00:00"/>
    <s v="Bogota"/>
    <d v="2017-04-25T00:00:00"/>
    <x v="110"/>
    <d v="2017-05-05T00:00:00"/>
    <d v="2017-05-13T00:00:00"/>
    <d v="2017-06-02T00:00:00"/>
    <n v="127"/>
    <s v="Fittings (MATERIAL PARA OXY)"/>
    <s v="PAGO:  1° : 10 DE JULIO - Se posterga una semana por el temporal de CDR - Forwarder: Navetrans"/>
    <s v="atrasado"/>
    <x v="10"/>
    <n v="0"/>
  </r>
  <r>
    <x v="10"/>
    <x v="10"/>
    <x v="1"/>
    <x v="2"/>
    <s v="050/16 CPG"/>
    <s v="CONTRATO ALCI 0075"/>
    <x v="854"/>
    <n v="86135"/>
    <x v="651"/>
    <n v="84"/>
    <d v="2017-04-20T00:00:00"/>
    <s v="Bogota"/>
    <d v="2017-04-25T00:00:00"/>
    <x v="110"/>
    <d v="2017-05-05T00:00:00"/>
    <d v="2017-05-13T00:00:00"/>
    <d v="2017-06-02T00:00:00"/>
    <n v="127"/>
    <s v="Fittings (MATERIAL PARA OXY)"/>
    <s v="PAGOS:  1° : 60 dias de BL (u$ 29.000) - 2° : 90 dias de BL (u$ 29.000) - 3° : 120 dias de BL (u$ 28.134,60)  - SE POSTERGA UNA SEMANA POR EL TEMPORAL EN CDR  -  Forwarder: Navetrans"/>
    <s v="atrasado"/>
    <x v="10"/>
    <n v="0"/>
  </r>
  <r>
    <x v="10"/>
    <x v="10"/>
    <x v="1"/>
    <x v="2"/>
    <s v="050/16 CPG"/>
    <s v="CONTRATO ALCI 0075"/>
    <x v="855"/>
    <n v="229749.78"/>
    <x v="651"/>
    <n v="114"/>
    <d v="2017-05-20T00:00:00"/>
    <s v="Bogota"/>
    <d v="2017-05-30T00:00:00"/>
    <x v="137"/>
    <d v="2017-06-23T00:00:00"/>
    <d v="2017-07-01T00:00:00"/>
    <d v="2017-07-28T00:00:00"/>
    <n v="183"/>
    <s v="Fittings (MATERIAL PARA OXY)"/>
    <s v="PAGOS: 1° : 60 dias de BL (u$ 165.000) - 2° : 90 dias de BL (u$ 35.000) - 3° : 120 dias de BL (u$ 29.749,78)   -  A pedido del cliente se solicita demorar la salida de esta orden (prevista para fin de mayo) para enviarla junto a  la PO 007-17"/>
    <s v="atrasado"/>
    <x v="3"/>
    <n v="0"/>
  </r>
  <r>
    <x v="10"/>
    <x v="10"/>
    <x v="1"/>
    <x v="42"/>
    <s v="015/17 CEC"/>
    <m/>
    <x v="856"/>
    <n v="33828"/>
    <x v="653"/>
    <n v="100"/>
    <d v="2017-05-18T00:00:00"/>
    <s v="Bogota"/>
    <d v="2017-05-18T00:00:00"/>
    <x v="117"/>
    <d v="2017-06-08T00:00:00"/>
    <d v="2017-06-18T00:00:00"/>
    <d v="2017-07-13T00:00:00"/>
    <n v="156"/>
    <s v="Fittings"/>
    <m/>
    <s v="atrasado"/>
    <x v="3"/>
    <n v="0"/>
  </r>
  <r>
    <x v="10"/>
    <x v="10"/>
    <x v="1"/>
    <x v="42"/>
    <s v="016/17 CEC"/>
    <m/>
    <x v="857"/>
    <n v="17061"/>
    <x v="653"/>
    <n v="100"/>
    <d v="2017-05-18T00:00:00"/>
    <s v="Bogota"/>
    <d v="2017-05-18T00:00:00"/>
    <x v="117"/>
    <d v="2017-06-08T00:00:00"/>
    <d v="2017-06-18T00:00:00"/>
    <d v="2017-07-13T00:00:00"/>
    <n v="156"/>
    <s v="Fittings"/>
    <m/>
    <s v="atrasado"/>
    <x v="3"/>
    <n v="0"/>
  </r>
  <r>
    <x v="10"/>
    <x v="10"/>
    <x v="1"/>
    <x v="2"/>
    <s v="025/17 CPG"/>
    <m/>
    <x v="858"/>
    <n v="58460"/>
    <x v="654"/>
    <n v="65"/>
    <d v="2017-07-08T00:00:00"/>
    <s v="Bogota"/>
    <d v="2017-06-26T00:00:00"/>
    <x v="134"/>
    <d v="2017-04-14T00:00:00"/>
    <d v="2017-07-22T00:00:00"/>
    <d v="2017-08-21T00:00:00"/>
    <n v="109"/>
    <s v="Fittings"/>
    <m/>
    <s v="atrasado"/>
    <x v="4"/>
    <n v="0"/>
  </r>
  <r>
    <x v="10"/>
    <x v="10"/>
    <x v="1"/>
    <x v="2"/>
    <s v="035/17 CPG"/>
    <m/>
    <x v="859"/>
    <n v="2290"/>
    <x v="654"/>
    <n v="28"/>
    <d v="2017-06-01T00:00:00"/>
    <s v="Bogota"/>
    <d v="2017-05-30T00:00:00"/>
    <x v="109"/>
    <d v="2017-06-23T00:00:00"/>
    <d v="2017-07-01T00:00:00"/>
    <d v="2017-07-28T00:00:00"/>
    <n v="85"/>
    <s v="Fittings"/>
    <s v="Se envia junto a la 005"/>
    <s v="atrasado"/>
    <x v="3"/>
    <n v="0"/>
  </r>
  <r>
    <x v="10"/>
    <x v="10"/>
    <x v="1"/>
    <x v="2"/>
    <s v="050/16 CPG"/>
    <s v="CONTRATO ALCI 0075"/>
    <x v="849"/>
    <n v="233988.5"/>
    <x v="649"/>
    <n v="98"/>
    <d v="2017-01-10T00:00:00"/>
    <s v="Bogota"/>
    <d v="2017-01-06T00:00:00"/>
    <x v="7"/>
    <d v="2017-01-19T00:00:00"/>
    <d v="2017-01-27T00:00:00"/>
    <d v="2017-02-24T00:00:00"/>
    <n v="143"/>
    <s v="Fittings (MATERIAL PARA OXY)"/>
    <s v="PAGOS:  1° : 10 DE ABRIL (u$ 200.000 - pagado 11/04/17)   -     2° : U$ 12.000 pagado 17 de Mayo - 3°:  u$ 15.311 pagado el 19 de junio -  Forwarder: Navetrans"/>
    <s v="atrasado"/>
    <x v="0"/>
    <n v="0"/>
  </r>
  <r>
    <x v="10"/>
    <x v="10"/>
    <x v="1"/>
    <x v="2"/>
    <s v="032/17 CPG"/>
    <m/>
    <x v="860"/>
    <n v="108917.5"/>
    <x v="655"/>
    <n v="75"/>
    <d v="2017-09-18T00:00:00"/>
    <s v="Bogota"/>
    <d v="2017-09-25T00:00:00"/>
    <x v="3"/>
    <d v="2017-10-06T00:00:00"/>
    <d v="2017-10-14T00:00:00"/>
    <d v="2017-11-13T00:00:00"/>
    <n v="131"/>
    <s v="Fittings - Ecopetrol"/>
    <s v="Forwarder: NaveTrans"/>
    <s v="atrasado"/>
    <x v="7"/>
    <n v="0"/>
  </r>
  <r>
    <x v="10"/>
    <x v="10"/>
    <x v="1"/>
    <x v="2"/>
    <s v="056/17 CPG"/>
    <m/>
    <x v="861"/>
    <n v="62143.3"/>
    <x v="656"/>
    <n v="60"/>
    <d v="2017-09-26T00:00:00"/>
    <s v="Bogota"/>
    <d v="2017-09-25T00:00:00"/>
    <x v="8"/>
    <d v="2017-10-06T00:00:00"/>
    <d v="2017-10-14T00:00:00"/>
    <d v="2017-11-13T00:00:00"/>
    <n v="108"/>
    <s v="Fittings - OXY"/>
    <s v="Forwarder: NaveTrans"/>
    <s v="atrasado"/>
    <x v="7"/>
    <n v="0"/>
  </r>
  <r>
    <x v="10"/>
    <x v="10"/>
    <x v="1"/>
    <x v="2"/>
    <s v="062/17 CPG"/>
    <m/>
    <x v="862"/>
    <n v="147866.70000000001"/>
    <x v="657"/>
    <n v="75"/>
    <d v="2017-10-18T00:00:00"/>
    <s v="Bogota"/>
    <d v="2017-10-13T00:00:00"/>
    <x v="30"/>
    <d v="2017-10-20T00:00:00"/>
    <d v="2017-10-28T00:00:00"/>
    <d v="2017-11-27T00:00:00"/>
    <n v="115"/>
    <s v="Fittings - OXY"/>
    <s v="Forwarder: NaveTrans"/>
    <s v="atrasado"/>
    <x v="8"/>
    <n v="0"/>
  </r>
  <r>
    <x v="10"/>
    <x v="10"/>
    <x v="1"/>
    <x v="2"/>
    <s v="055/17 CPG"/>
    <m/>
    <x v="863"/>
    <n v="31030"/>
    <x v="658"/>
    <n v="70"/>
    <d v="2017-10-19T00:00:00"/>
    <s v="Bogota"/>
    <d v="2017-10-13T00:00:00"/>
    <x v="47"/>
    <d v="2017-10-20T00:00:00"/>
    <d v="2017-10-28T00:00:00"/>
    <d v="2017-11-27T00:00:00"/>
    <n v="109"/>
    <s v="11 bombas - OXY"/>
    <s v="Forwarder: NaveTrans"/>
    <s v="atrasado"/>
    <x v="8"/>
    <n v="0"/>
  </r>
  <r>
    <x v="10"/>
    <x v="10"/>
    <x v="1"/>
    <x v="2"/>
    <s v="068/17 CPG"/>
    <m/>
    <x v="864"/>
    <n v="41130"/>
    <x v="659"/>
    <n v="90"/>
    <d v="2017-11-30T00:00:00"/>
    <s v="Bogota"/>
    <d v="2017-11-14T00:00:00"/>
    <x v="47"/>
    <d v="2017-11-24T00:00:00"/>
    <d v="2017-12-09T00:00:00"/>
    <d v="2018-01-08T00:00:00"/>
    <n v="129"/>
    <s v="14 bombas - OXY - Certificados"/>
    <s v="Forwarder: NaveTrans - Se roleo la carga, del 02/12 paso al 9/12"/>
    <s v="atrasado"/>
    <x v="9"/>
    <n v="0"/>
  </r>
  <r>
    <x v="10"/>
    <x v="10"/>
    <x v="1"/>
    <x v="2"/>
    <s v="050/16 CPG"/>
    <s v="CONTRATO ALCI 0075"/>
    <x v="865"/>
    <n v="149293.9"/>
    <x v="659"/>
    <n v="90"/>
    <d v="2017-11-20T00:00:00"/>
    <s v="Bogota"/>
    <d v="2017-11-14T00:00:00"/>
    <x v="6"/>
    <d v="2017-11-24T00:00:00"/>
    <d v="2017-12-09T00:00:00"/>
    <d v="2018-01-08T00:00:00"/>
    <n v="129"/>
    <s v="Fittings - OXY - Certificados, solo items para OXY"/>
    <s v="Forwarder: NaveTrans - Se roleo la carga, del 02/12 paso al 9/12"/>
    <s v="atrasado"/>
    <x v="9"/>
    <n v="0"/>
  </r>
  <r>
    <x v="10"/>
    <x v="10"/>
    <x v="0"/>
    <x v="0"/>
    <s v="077/16 BBR"/>
    <n v="4507543335"/>
    <x v="866"/>
    <n v="4726"/>
    <x v="660"/>
    <n v="90"/>
    <d v="2017-04-24T00:00:00"/>
    <s v="Salvador"/>
    <d v="2017-04-12T00:00:00"/>
    <x v="46"/>
    <d v="2017-04-21T00:00:00"/>
    <d v="2017-04-24T00:00:00"/>
    <d v="2017-05-12T00:00:00"/>
    <n v="108"/>
    <s v="Fittings"/>
    <s v="Se pidio juntar esta orden con la PO 17020001"/>
    <s v="en término"/>
    <x v="10"/>
    <n v="1"/>
  </r>
  <r>
    <x v="10"/>
    <x v="10"/>
    <x v="0"/>
    <x v="0"/>
    <s v="054/16 BBR"/>
    <n v="4507572017"/>
    <x v="867"/>
    <n v="180884.7"/>
    <x v="661"/>
    <n v="78"/>
    <d v="2017-04-19T00:00:00"/>
    <s v="Salvador"/>
    <d v="2017-04-12T00:00:00"/>
    <x v="11"/>
    <d v="2017-04-21T00:00:00"/>
    <d v="2017-04-24T00:00:00"/>
    <d v="2017-05-12T00:00:00"/>
    <n v="101"/>
    <s v="72 bombas + Fittings"/>
    <m/>
    <s v="atrasado"/>
    <x v="10"/>
    <n v="0"/>
  </r>
  <r>
    <x v="10"/>
    <x v="10"/>
    <x v="0"/>
    <x v="0"/>
    <s v="069/16 BBR"/>
    <n v="4507476527"/>
    <x v="868"/>
    <n v="327580"/>
    <x v="662"/>
    <n v="113"/>
    <d v="2017-07-13T00:00:00"/>
    <s v="Salvador"/>
    <d v="2017-06-16T00:00:00"/>
    <x v="34"/>
    <d v="2017-06-23T00:00:00"/>
    <d v="2017-06-26T00:00:00"/>
    <d v="2017-07-14T00:00:00"/>
    <n v="114"/>
    <s v="141 bombas"/>
    <m/>
    <s v="en término"/>
    <x v="4"/>
    <n v="1"/>
  </r>
  <r>
    <x v="10"/>
    <x v="10"/>
    <x v="0"/>
    <x v="0"/>
    <s v="041/17 BBR"/>
    <s v="4507789463 - 4507789465"/>
    <x v="869"/>
    <n v="2068"/>
    <x v="663"/>
    <n v="75"/>
    <d v="2017-08-19T00:00:00"/>
    <s v="Salvador"/>
    <d v="2017-06-16T00:00:00"/>
    <x v="111"/>
    <d v="2017-06-23T00:00:00"/>
    <d v="2017-06-26T00:00:00"/>
    <d v="2017-07-14T00:00:00"/>
    <n v="39"/>
    <s v="16 valvulas"/>
    <m/>
    <s v="en término"/>
    <x v="4"/>
    <n v="1"/>
  </r>
  <r>
    <x v="10"/>
    <x v="10"/>
    <x v="0"/>
    <x v="0"/>
    <s v="069/16 BBR"/>
    <n v="4507476527"/>
    <x v="870"/>
    <n v="218350"/>
    <x v="662"/>
    <n v="189"/>
    <d v="2017-09-27T00:00:00"/>
    <s v="Salvador"/>
    <d v="2017-09-14T00:00:00"/>
    <x v="19"/>
    <d v="2017-09-23T00:00:00"/>
    <d v="2017-09-25T00:00:00"/>
    <d v="2017-10-13T00:00:00"/>
    <n v="205"/>
    <s v="83 bombas "/>
    <s v="A. Pigni:  solicita pagar en 90 dias"/>
    <s v="en término"/>
    <x v="7"/>
    <n v="1"/>
  </r>
  <r>
    <x v="10"/>
    <x v="10"/>
    <x v="0"/>
    <x v="0"/>
    <s v="038/17 BBR"/>
    <n v="4507842702"/>
    <x v="871"/>
    <n v="123000"/>
    <x v="664"/>
    <n v="90"/>
    <d v="2017-10-08T00:00:00"/>
    <s v="Salvador"/>
    <d v="2017-09-14T00:00:00"/>
    <x v="21"/>
    <d v="2017-09-23T00:00:00"/>
    <d v="2017-09-25T00:00:00"/>
    <d v="2017-10-13T00:00:00"/>
    <n v="95"/>
    <s v="35 bombas "/>
    <s v="A. Pigni:  solicita pagar en 90 dias"/>
    <s v="en término"/>
    <x v="7"/>
    <n v="1"/>
  </r>
  <r>
    <x v="10"/>
    <x v="10"/>
    <x v="0"/>
    <x v="0"/>
    <s v="018/17 BBR"/>
    <n v="4507855548"/>
    <x v="872"/>
    <n v="327707.24"/>
    <x v="665"/>
    <n v="150"/>
    <d v="2017-12-15T00:00:00"/>
    <s v="Salvador"/>
    <d v="2017-10-12T00:00:00"/>
    <x v="138"/>
    <d v="2017-10-21T00:00:00"/>
    <d v="2017-10-23T00:00:00"/>
    <d v="2017-11-09T00:00:00"/>
    <n v="114"/>
    <s v="156 bombas "/>
    <s v="A. Pigni:  solicita pagar en 90 dias"/>
    <s v="en término"/>
    <x v="8"/>
    <n v="1"/>
  </r>
  <r>
    <x v="10"/>
    <x v="10"/>
    <x v="0"/>
    <x v="0"/>
    <s v="060/17 BBR"/>
    <s v="OP 26695/1"/>
    <x v="873"/>
    <n v="3200"/>
    <x v="666"/>
    <n v="75"/>
    <d v="2017-10-23T00:00:00"/>
    <s v="Salvador"/>
    <d v="2017-10-12T00:00:00"/>
    <x v="75"/>
    <d v="2017-10-21T00:00:00"/>
    <d v="2017-10-23T00:00:00"/>
    <d v="2017-11-09T00:00:00"/>
    <n v="92"/>
    <s v="2 bombas "/>
    <s v="PetroSynergy - A. Pigni:  solicita pagar en 90 dias"/>
    <s v="en término"/>
    <x v="8"/>
    <n v="1"/>
  </r>
  <r>
    <x v="10"/>
    <x v="10"/>
    <x v="0"/>
    <x v="0"/>
    <s v="001/17 BBR"/>
    <n v="4600543885"/>
    <x v="874"/>
    <n v="7373.5"/>
    <x v="667"/>
    <n v="75"/>
    <d v="2017-10-28T00:00:00"/>
    <s v="Salvador"/>
    <d v="2017-10-12T00:00:00"/>
    <x v="64"/>
    <d v="2017-10-21T00:00:00"/>
    <d v="2017-10-23T00:00:00"/>
    <d v="2017-11-09T00:00:00"/>
    <n v="87"/>
    <s v="Fittings"/>
    <s v="A. Pigni:  solicita pagar en 90 dias"/>
    <s v="en término"/>
    <x v="8"/>
    <n v="1"/>
  </r>
  <r>
    <x v="10"/>
    <x v="10"/>
    <x v="0"/>
    <x v="0"/>
    <s v="059/17 BBR"/>
    <n v="4507947592"/>
    <x v="875"/>
    <n v="5238"/>
    <x v="668"/>
    <n v="66"/>
    <d v="2017-11-18T00:00:00"/>
    <s v="Salvador"/>
    <d v="2017-10-12T00:00:00"/>
    <x v="20"/>
    <d v="2017-10-21T00:00:00"/>
    <d v="2017-10-23T00:00:00"/>
    <d v="2017-11-09T00:00:00"/>
    <n v="57"/>
    <s v="Fittings (valvulas y asientos)"/>
    <s v="A. Pigni:  solicita pagar en 90 dias"/>
    <s v="en término"/>
    <x v="8"/>
    <n v="1"/>
  </r>
  <r>
    <x v="10"/>
    <x v="10"/>
    <x v="0"/>
    <x v="0"/>
    <s v="050/17 BBR"/>
    <n v="4507979282"/>
    <x v="876"/>
    <n v="18312"/>
    <x v="669"/>
    <n v="75"/>
    <d v="2017-12-13T00:00:00"/>
    <s v="Salvador"/>
    <d v="2017-11-24T00:00:00"/>
    <x v="19"/>
    <d v="2017-12-09T00:00:00"/>
    <d v="2017-12-11T00:00:00"/>
    <d v="2017-12-29T00:00:00"/>
    <n v="91"/>
    <s v="56 vastagos"/>
    <s v="A. Pigni:  solicita pagar en 90 dias"/>
    <s v="en término"/>
    <x v="9"/>
    <n v="1"/>
  </r>
  <r>
    <x v="10"/>
    <x v="10"/>
    <x v="0"/>
    <x v="0"/>
    <s v="058/17 BBR"/>
    <n v="4507970589"/>
    <x v="877"/>
    <n v="6626"/>
    <x v="670"/>
    <n v="88"/>
    <d v="2018-01-07T00:00:00"/>
    <s v="Salvador"/>
    <d v="2017-11-24T00:00:00"/>
    <x v="37"/>
    <d v="2017-12-09T00:00:00"/>
    <d v="2017-12-11T00:00:00"/>
    <d v="2017-12-29T00:00:00"/>
    <n v="79"/>
    <s v="Fittings"/>
    <s v="A. Pigni:  solicita pagar en 90 dias"/>
    <s v="en término"/>
    <x v="9"/>
    <n v="1"/>
  </r>
  <r>
    <x v="10"/>
    <x v="10"/>
    <x v="0"/>
    <x v="0"/>
    <s v="064/17 BBR"/>
    <n v="4507965804"/>
    <x v="878"/>
    <n v="291826"/>
    <x v="670"/>
    <n v="88"/>
    <d v="2018-01-07T00:00:00"/>
    <s v="Salvador"/>
    <d v="2017-12-21T00:00:00"/>
    <x v="77"/>
    <d v="2017-12-30T00:00:00"/>
    <d v="2018-01-01T00:00:00"/>
    <d v="2018-01-19T00:00:00"/>
    <n v="100"/>
    <s v="130 bombas + Fittings"/>
    <s v="A. Pigni:  solicita pagar en 90 dias"/>
    <s v="en término"/>
    <x v="11"/>
    <n v="1"/>
  </r>
  <r>
    <x v="10"/>
    <x v="10"/>
    <x v="0"/>
    <x v="0"/>
    <s v="001/17 BBR"/>
    <n v="4600543885"/>
    <x v="879"/>
    <n v="2470"/>
    <x v="671"/>
    <n v="60"/>
    <d v="2018-01-22T00:00:00"/>
    <s v="Salvador"/>
    <d v="2017-12-21T00:00:00"/>
    <x v="59"/>
    <d v="2017-12-30T00:00:00"/>
    <d v="2018-01-01T00:00:00"/>
    <d v="2018-01-19T00:00:00"/>
    <n v="57"/>
    <s v="Fittings"/>
    <s v="A. Pigni:  solicita pagar en 90 dias"/>
    <s v="en término"/>
    <x v="11"/>
    <n v="1"/>
  </r>
  <r>
    <x v="10"/>
    <x v="10"/>
    <x v="10"/>
    <x v="18"/>
    <s v="003/17 WEN"/>
    <m/>
    <x v="880"/>
    <n v="6610"/>
    <x v="672"/>
    <n v="76"/>
    <d v="2017-04-06T00:00:00"/>
    <s v="Chile"/>
    <d v="2017-03-28T00:00:00"/>
    <x v="14"/>
    <d v="2017-04-07T00:00:00"/>
    <d v="2017-04-11T00:00:00"/>
    <d v="2017-04-17T00:00:00"/>
    <n v="87"/>
    <s v="Fittings"/>
    <m/>
    <s v="atrasado"/>
    <x v="2"/>
    <n v="0"/>
  </r>
  <r>
    <x v="10"/>
    <x v="10"/>
    <x v="10"/>
    <x v="18"/>
    <s v="007/17 WEN"/>
    <m/>
    <x v="881"/>
    <n v="10400"/>
    <x v="661"/>
    <n v="91"/>
    <d v="2017-05-02T00:00:00"/>
    <s v="Chile"/>
    <d v="2017-04-25T00:00:00"/>
    <x v="11"/>
    <d v="2017-05-02T00:00:00"/>
    <d v="2017-05-04T00:00:00"/>
    <d v="2017-05-09T00:00:00"/>
    <n v="98"/>
    <s v="4 bombas"/>
    <m/>
    <s v="atrasado"/>
    <x v="10"/>
    <n v="0"/>
  </r>
  <r>
    <x v="10"/>
    <x v="10"/>
    <x v="10"/>
    <x v="18"/>
    <s v="027/17 WEN"/>
    <m/>
    <x v="882"/>
    <n v="160"/>
    <x v="673"/>
    <n v="33"/>
    <d v="2017-05-02T00:00:00"/>
    <s v="Chile"/>
    <d v="2017-04-25T00:00:00"/>
    <x v="32"/>
    <d v="2017-05-02T00:00:00"/>
    <d v="2017-05-04T00:00:00"/>
    <d v="2017-05-09T00:00:00"/>
    <n v="40"/>
    <s v="Fittings"/>
    <m/>
    <s v="atrasado"/>
    <x v="10"/>
    <n v="0"/>
  </r>
  <r>
    <x v="10"/>
    <x v="10"/>
    <x v="10"/>
    <x v="16"/>
    <s v="066/17 WGP"/>
    <m/>
    <x v="883"/>
    <n v="28230"/>
    <x v="674"/>
    <n v="75"/>
    <d v="2017-12-11T00:00:00"/>
    <s v="Chile"/>
    <d v="2017-11-24T00:00:00"/>
    <x v="34"/>
    <m/>
    <d v="2017-11-24T00:00:00"/>
    <d v="2017-11-26T00:00:00"/>
    <n v="67"/>
    <s v="10 bombas"/>
    <m/>
    <s v="en término"/>
    <x v="9"/>
    <n v="1"/>
  </r>
  <r>
    <x v="10"/>
    <x v="10"/>
    <x v="10"/>
    <x v="16"/>
    <s v="072/17 WGP"/>
    <m/>
    <x v="884"/>
    <n v="2970"/>
    <x v="675"/>
    <n v="75"/>
    <d v="2017-12-01T00:00:00"/>
    <s v="Chile"/>
    <d v="2017-11-24T00:00:00"/>
    <x v="64"/>
    <m/>
    <d v="2017-11-24T00:00:00"/>
    <d v="2017-11-26T00:00:00"/>
    <n v="32"/>
    <s v="Fittings"/>
    <m/>
    <s v="en término"/>
    <x v="9"/>
    <n v="1"/>
  </r>
  <r>
    <x v="10"/>
    <x v="10"/>
    <x v="16"/>
    <x v="45"/>
    <s v="004/17 UQE"/>
    <m/>
    <x v="885"/>
    <n v="6183"/>
    <x v="660"/>
    <n v="90"/>
    <d v="2017-04-24T00:00:00"/>
    <s v="Florida"/>
    <d v="2017-04-11T00:00:00"/>
    <x v="19"/>
    <m/>
    <d v="2017-04-20T00:00:00"/>
    <d v="2017-04-23T00:00:00"/>
    <n v="89"/>
    <s v="Fittings - PAGO:  50% CON PO Y 50% ANTES DEL EMBARQUE"/>
    <s v="PAGO:  27/01 se hizo el pago anticipado del 50%"/>
    <s v="en término"/>
    <x v="10"/>
    <n v="1"/>
  </r>
  <r>
    <x v="10"/>
    <x v="10"/>
    <x v="5"/>
    <x v="7"/>
    <s v="024/17 TAL"/>
    <m/>
    <x v="886"/>
    <n v="5348.8"/>
    <x v="676"/>
    <n v="69"/>
    <d v="2017-05-25T00:00:00"/>
    <s v="Buenos Aires"/>
    <d v="2017-05-15T00:00:00"/>
    <x v="139"/>
    <d v="2017-06-01T00:00:00"/>
    <d v="2017-06-10T00:00:00"/>
    <d v="2017-07-25T00:00:00"/>
    <n v="130"/>
    <s v="Fittings"/>
    <m/>
    <s v="atrasado"/>
    <x v="3"/>
    <n v="0"/>
  </r>
  <r>
    <x v="10"/>
    <x v="10"/>
    <x v="5"/>
    <x v="7"/>
    <s v="030/17 TAL"/>
    <m/>
    <x v="887"/>
    <n v="6444.65"/>
    <x v="677"/>
    <n v="75"/>
    <d v="2017-05-25T00:00:00"/>
    <s v="Buenos Aires"/>
    <d v="2017-06-16T00:00:00"/>
    <x v="24"/>
    <d v="2017-07-01T00:00:00"/>
    <d v="2017-07-08T00:00:00"/>
    <d v="2017-08-22T00:00:00"/>
    <n v="127"/>
    <s v="Fittings"/>
    <m/>
    <s v="atrasado"/>
    <x v="4"/>
    <n v="0"/>
  </r>
  <r>
    <x v="10"/>
    <x v="10"/>
    <x v="6"/>
    <x v="46"/>
    <s v="014/17 YEO"/>
    <m/>
    <x v="888"/>
    <n v="26113"/>
    <x v="678"/>
    <n v="60"/>
    <d v="2017-05-26T00:00:00"/>
    <s v="Buenos Aires"/>
    <d v="2017-05-21T00:00:00"/>
    <x v="126"/>
    <d v="2017-06-05T00:00:00"/>
    <d v="2017-06-11T00:00:00"/>
    <d v="2017-07-16T00:00:00"/>
    <n v="111"/>
    <s v="Fittings - PAGO:  50% CON PO Y 50% ANTES DEL EMBARQUE"/>
    <s v="PAGO:  11/04 se hizo el pago anticipado (USD  12753.5 )"/>
    <s v="atrasado"/>
    <x v="3"/>
    <n v="0"/>
  </r>
  <r>
    <x v="11"/>
    <x v="11"/>
    <x v="0"/>
    <x v="0"/>
    <s v="001/17 BBR"/>
    <n v="4600543885"/>
    <x v="889"/>
    <n v="2052"/>
    <x v="679"/>
    <n v="71"/>
    <d v="2018-03-09T00:00:00"/>
    <s v="Salvador"/>
    <d v="2018-03-02T00:00:00"/>
    <x v="23"/>
    <d v="2018-03-17T00:00:00"/>
    <d v="2018-03-19T00:00:00"/>
    <d v="2018-04-06T00:00:00"/>
    <n v="99"/>
    <s v="Fittings"/>
    <s v="A pedido del cliente del 22/02 se pasa para el 22/03 para despachar todo junto a la PO 18010002 y 18020001.  A. Pigni:  solicita pagar en 90 dias"/>
    <s v="atrasado"/>
    <x v="2"/>
    <n v="0"/>
  </r>
  <r>
    <x v="11"/>
    <x v="11"/>
    <x v="0"/>
    <x v="0"/>
    <s v="063/17 BBR"/>
    <n v="4600548677"/>
    <x v="890"/>
    <n v="11988"/>
    <x v="680"/>
    <n v="92"/>
    <d v="2018-05-01T00:00:00"/>
    <s v="Salvador"/>
    <d v="2018-03-22T00:00:00"/>
    <x v="90"/>
    <d v="2018-04-07T00:00:00"/>
    <d v="2018-04-09T00:00:00"/>
    <d v="2018-04-27T00:00:00"/>
    <n v="88"/>
    <s v="Fittings (36 vastagos)"/>
    <s v="A. Pigni:  solicita pagar en 90 dias"/>
    <s v="en término"/>
    <x v="2"/>
    <n v="1"/>
  </r>
  <r>
    <x v="11"/>
    <x v="11"/>
    <x v="0"/>
    <x v="0"/>
    <s v="001/18 BBR"/>
    <n v="4508172681"/>
    <x v="891"/>
    <n v="25520"/>
    <x v="681"/>
    <n v="95"/>
    <d v="2018-05-06T00:00:00"/>
    <s v="Salvador"/>
    <d v="2018-03-22T00:00:00"/>
    <x v="37"/>
    <d v="2018-04-07T00:00:00"/>
    <d v="2018-04-09T00:00:00"/>
    <d v="2018-04-27T00:00:00"/>
    <n v="86"/>
    <s v="11 bombas"/>
    <s v="A. Pigni:  solicita pagar en 90 dias"/>
    <s v="en término"/>
    <x v="2"/>
    <n v="1"/>
  </r>
  <r>
    <x v="11"/>
    <x v="11"/>
    <x v="0"/>
    <x v="0"/>
    <s v="008/18 BBR"/>
    <s v="Novapetroleo"/>
    <x v="892"/>
    <n v="5545"/>
    <x v="682"/>
    <n v="13"/>
    <d v="2018-03-04T00:00:00"/>
    <s v="Salvador"/>
    <d v="2018-03-02T00:00:00"/>
    <x v="12"/>
    <d v="2018-03-17T00:00:00"/>
    <d v="2018-03-19T00:00:00"/>
    <d v="2018-04-06T00:00:00"/>
    <n v="46"/>
    <s v="2 bombas"/>
    <s v="A. Pigni:  solicita pagar en 90 dias"/>
    <s v="atrasado"/>
    <x v="2"/>
    <n v="0"/>
  </r>
  <r>
    <x v="11"/>
    <x v="11"/>
    <x v="0"/>
    <x v="0"/>
    <s v="063/17 BBR"/>
    <n v="4600548677"/>
    <x v="893"/>
    <n v="59940"/>
    <x v="683"/>
    <n v="94"/>
    <d v="2018-06-09T00:00:00"/>
    <s v="Salvador"/>
    <d v="2018-05-24T00:00:00"/>
    <x v="34"/>
    <d v="2018-05-23T00:00:00"/>
    <d v="2018-06-04T00:00:00"/>
    <d v="2018-06-22T00:00:00"/>
    <n v="107"/>
    <s v="Fittings (180 vastagos)"/>
    <s v="A. Pigni:  solicita pagar en 90 dias"/>
    <s v="en término"/>
    <x v="3"/>
    <n v="1"/>
  </r>
  <r>
    <x v="11"/>
    <x v="11"/>
    <x v="0"/>
    <x v="0"/>
    <s v="012/18 BBR"/>
    <n v="27080"/>
    <x v="894"/>
    <n v="2200"/>
    <x v="684"/>
    <n v="63"/>
    <d v="2018-06-05T00:00:00"/>
    <s v="Salvador"/>
    <d v="2018-05-24T00:00:00"/>
    <x v="10"/>
    <d v="2018-05-23T00:00:00"/>
    <d v="2018-06-04T00:00:00"/>
    <d v="2018-06-22T00:00:00"/>
    <n v="80"/>
    <s v="1 bomba"/>
    <s v="A. Pigni:  solicita pagar en 90 dias"/>
    <s v="en término"/>
    <x v="3"/>
    <n v="1"/>
  </r>
  <r>
    <x v="11"/>
    <x v="11"/>
    <x v="0"/>
    <x v="0"/>
    <s v="078/17 BBR"/>
    <n v="4600558097"/>
    <x v="895"/>
    <n v="176548.87"/>
    <x v="685"/>
    <n v="121"/>
    <d v="2018-07-27T00:00:00"/>
    <s v="Salvador"/>
    <d v="2018-06-13T00:00:00"/>
    <x v="140"/>
    <d v="2018-05-23T00:00:00"/>
    <d v="2018-06-26T00:00:00"/>
    <d v="2018-07-12T00:00:00"/>
    <n v="106"/>
    <s v="61 Bombas"/>
    <s v="A. Pigni:  solicita pagar en 90 dias"/>
    <s v="en término"/>
    <x v="4"/>
    <n v="1"/>
  </r>
  <r>
    <x v="11"/>
    <x v="11"/>
    <x v="0"/>
    <x v="0"/>
    <s v="001/17 BBR"/>
    <n v="4600543885"/>
    <x v="896"/>
    <n v="708"/>
    <x v="686"/>
    <n v="106"/>
    <d v="2018-08-18T00:00:00"/>
    <s v="Salvador"/>
    <d v="2018-06-13T00:00:00"/>
    <x v="141"/>
    <d v="2018-06-13T00:00:00"/>
    <d v="2018-06-26T00:00:00"/>
    <d v="2018-07-12T00:00:00"/>
    <n v="69"/>
    <s v="Fittings"/>
    <s v="A. Pigni:  solicita pagar en 90 dias"/>
    <s v="en término"/>
    <x v="4"/>
    <n v="1"/>
  </r>
  <r>
    <x v="11"/>
    <x v="11"/>
    <x v="0"/>
    <x v="0"/>
    <s v="078/17 BBR"/>
    <n v="4600558097"/>
    <x v="897"/>
    <n v="430671.53"/>
    <x v="687"/>
    <n v="153"/>
    <d v="2018-09-17T00:00:00"/>
    <s v="Salvador"/>
    <d v="2018-07-26T00:00:00"/>
    <x v="91"/>
    <d v="2018-08-05T00:00:00"/>
    <d v="2018-08-06T00:00:00"/>
    <d v="2018-08-23T00:00:00"/>
    <n v="128"/>
    <s v="161 Bombas"/>
    <s v="A. Pigni:  solicita pagar en 90 dias"/>
    <s v="en término"/>
    <x v="5"/>
    <n v="1"/>
  </r>
  <r>
    <x v="11"/>
    <x v="11"/>
    <x v="0"/>
    <x v="0"/>
    <s v="063/17 BBR"/>
    <n v="4600548677"/>
    <x v="898"/>
    <n v="3960"/>
    <x v="688"/>
    <n v="121"/>
    <d v="2018-09-15T00:00:00"/>
    <s v="Salvador"/>
    <d v="2018-07-26T00:00:00"/>
    <x v="25"/>
    <d v="2018-08-05T00:00:00"/>
    <d v="2018-08-06T00:00:00"/>
    <d v="2018-08-23T00:00:00"/>
    <n v="98"/>
    <s v="vastagos (5)"/>
    <s v="A. Pigni:  solicita pagar en 90 dias"/>
    <s v="en término"/>
    <x v="5"/>
    <n v="1"/>
  </r>
  <r>
    <x v="11"/>
    <x v="11"/>
    <x v="0"/>
    <x v="0"/>
    <s v="005/18 BBR"/>
    <n v="4600557062"/>
    <x v="899"/>
    <n v="333601.34000000003"/>
    <x v="689"/>
    <n v="94"/>
    <d v="2018-08-18T00:00:00"/>
    <s v="Salvador"/>
    <d v="2018-08-23T00:00:00"/>
    <x v="0"/>
    <d v="2018-09-02T00:00:00"/>
    <d v="2018-09-03T00:00:00"/>
    <d v="2018-09-21T00:00:00"/>
    <n v="128"/>
    <s v="160 bombas , fittings y pistones -              1°  ENTREGA"/>
    <s v="A. Pigni:  solicita pagar en 90 dias."/>
    <s v="atrasado"/>
    <x v="6"/>
    <n v="0"/>
  </r>
  <r>
    <x v="11"/>
    <x v="11"/>
    <x v="0"/>
    <x v="0"/>
    <s v="005/18 BBR"/>
    <n v="4600557062"/>
    <x v="900"/>
    <n v="153138.26"/>
    <x v="689"/>
    <n v="125"/>
    <d v="2018-09-18T00:00:00"/>
    <s v="Salvador"/>
    <d v="2018-09-20T00:00:00"/>
    <x v="43"/>
    <d v="2018-09-30T00:00:00"/>
    <d v="2018-10-02T00:00:00"/>
    <d v="2018-10-22T00:00:00"/>
    <n v="159"/>
    <s v="160 bombas , fittings y pistones  -            2° ENTREGA"/>
    <s v="A. Pigni:  solicita pagar en 90 dias."/>
    <s v="atrasado"/>
    <x v="7"/>
    <n v="0"/>
  </r>
  <r>
    <x v="11"/>
    <x v="11"/>
    <x v="0"/>
    <x v="0"/>
    <s v="005/18 BBR"/>
    <n v="4600557062"/>
    <x v="901"/>
    <n v="135171"/>
    <x v="689"/>
    <n v="214"/>
    <d v="2018-12-16T00:00:00"/>
    <s v="Salvador"/>
    <d v="2018-10-11T00:00:00"/>
    <x v="111"/>
    <d v="2018-10-20T00:00:00"/>
    <d v="2018-10-22T00:00:00"/>
    <d v="2018-11-09T00:00:00"/>
    <n v="177"/>
    <s v="160 bombas , fittings y pistones  -            3° ENTREGA"/>
    <s v="A. Pigni:  solicita pagar en 90 dias."/>
    <s v="en término"/>
    <x v="8"/>
    <n v="1"/>
  </r>
  <r>
    <x v="11"/>
    <x v="11"/>
    <x v="0"/>
    <x v="0"/>
    <s v="005/18 BBR"/>
    <n v="4600557062"/>
    <x v="902"/>
    <n v="35125.370000000003"/>
    <x v="689"/>
    <n v="90"/>
    <d v="2018-08-14T00:00:00"/>
    <s v="Salvador"/>
    <d v="2018-08-23T00:00:00"/>
    <x v="6"/>
    <d v="2018-09-02T00:00:00"/>
    <d v="2018-09-03T00:00:00"/>
    <d v="2018-09-21T00:00:00"/>
    <n v="128"/>
    <s v="14 bombas, fittings, copas y valvulas -    1° ENTREGA"/>
    <s v="A. Pigni:  solicita pagar en 90 dias."/>
    <s v="atrasado"/>
    <x v="6"/>
    <n v="0"/>
  </r>
  <r>
    <x v="11"/>
    <x v="11"/>
    <x v="0"/>
    <x v="0"/>
    <s v="005/18 BBR"/>
    <n v="4600557062"/>
    <x v="903"/>
    <n v="14895.79"/>
    <x v="689"/>
    <n v="137"/>
    <d v="2018-09-30T00:00:00"/>
    <s v="Salvador"/>
    <d v="2018-10-11T00:00:00"/>
    <x v="92"/>
    <d v="2018-10-20T00:00:00"/>
    <d v="2018-10-22T00:00:00"/>
    <d v="2018-11-09T00:00:00"/>
    <n v="177"/>
    <s v="14 bombas, fittings, copas y valvulas -     2° ENTREGA"/>
    <s v="A. Pigni:  solicita pagar en 90 dias."/>
    <s v="atrasado"/>
    <x v="8"/>
    <n v="0"/>
  </r>
  <r>
    <x v="11"/>
    <x v="11"/>
    <x v="0"/>
    <x v="0"/>
    <s v="005/18 BBR"/>
    <n v="4600557062"/>
    <x v="904"/>
    <n v="9895.82"/>
    <x v="690"/>
    <n v="156"/>
    <d v="2018-10-27T00:00:00"/>
    <s v="Salvador"/>
    <d v="2018-10-11T00:00:00"/>
    <x v="64"/>
    <d v="2018-10-20T00:00:00"/>
    <d v="2018-10-22T00:00:00"/>
    <d v="2018-11-09T00:00:00"/>
    <n v="169"/>
    <s v="2 bombas (se suspenden 4 bombas)"/>
    <s v="A. Pigni:  solicita pagar en 90 dias."/>
    <s v="en término"/>
    <x v="8"/>
    <n v="1"/>
  </r>
  <r>
    <x v="11"/>
    <x v="11"/>
    <x v="0"/>
    <x v="0"/>
    <s v="005/18 BBR"/>
    <n v="4600557062"/>
    <x v="905"/>
    <n v="41842.25"/>
    <x v="691"/>
    <n v="94"/>
    <d v="2018-08-25T00:00:00"/>
    <s v="Salvador"/>
    <d v="2018-08-23T00:00:00"/>
    <x v="23"/>
    <d v="2018-09-02T00:00:00"/>
    <d v="2018-09-03T00:00:00"/>
    <d v="2018-09-21T00:00:00"/>
    <n v="121"/>
    <s v="30 bombas -  1°  ENTREGA"/>
    <s v="A. Pigni:  solicita pagar en 90 dias."/>
    <s v="atrasado"/>
    <x v="6"/>
    <n v="0"/>
  </r>
  <r>
    <x v="11"/>
    <x v="11"/>
    <x v="0"/>
    <x v="0"/>
    <s v="005/18 BBR"/>
    <n v="4600557062"/>
    <x v="906"/>
    <n v="95682.6"/>
    <x v="691"/>
    <n v="94"/>
    <d v="2018-08-25T00:00:00"/>
    <s v="Salvador"/>
    <d v="2018-09-20T00:00:00"/>
    <x v="96"/>
    <d v="2018-09-30T00:00:00"/>
    <d v="2018-10-02T00:00:00"/>
    <d v="2018-10-22T00:00:00"/>
    <n v="152"/>
    <s v="30 bombas -   2°  ENTREGA"/>
    <s v="A. Pigni:  solicita pagar en 90 dias."/>
    <s v="atrasado"/>
    <x v="7"/>
    <n v="0"/>
  </r>
  <r>
    <x v="11"/>
    <x v="11"/>
    <x v="0"/>
    <x v="0"/>
    <s v="005/18 BBR"/>
    <n v="4600557062"/>
    <x v="907"/>
    <n v="95737"/>
    <x v="690"/>
    <n v="96"/>
    <d v="2018-08-28T00:00:00"/>
    <s v="Salvador"/>
    <d v="2018-08-23T00:00:00"/>
    <x v="14"/>
    <d v="2018-09-02T00:00:00"/>
    <d v="2018-09-03T00:00:00"/>
    <d v="2018-09-21T00:00:00"/>
    <n v="120"/>
    <s v="60 bombas"/>
    <s v="A. Pigni:  solicita pagar en 90 dias."/>
    <s v="atrasado"/>
    <x v="6"/>
    <n v="0"/>
  </r>
  <r>
    <x v="11"/>
    <x v="11"/>
    <x v="0"/>
    <x v="0"/>
    <s v="078/17 BBR"/>
    <n v="4600558097"/>
    <x v="908"/>
    <n v="46610"/>
    <x v="691"/>
    <n v="155"/>
    <d v="2018-10-25T00:00:00"/>
    <s v="Salvador"/>
    <d v="2018-09-20T00:00:00"/>
    <x v="85"/>
    <d v="2018-09-29T00:00:00"/>
    <d v="2018-10-02T00:00:00"/>
    <d v="2018-10-22T00:00:00"/>
    <n v="152"/>
    <s v="30 bombas"/>
    <s v="A. Pigni:  solicita pagar en 90 dias._x000a_"/>
    <s v="en término"/>
    <x v="7"/>
    <n v="1"/>
  </r>
  <r>
    <x v="11"/>
    <x v="11"/>
    <x v="0"/>
    <x v="0"/>
    <s v="005/18 BBR"/>
    <n v="4600557062"/>
    <x v="909"/>
    <n v="16874.68"/>
    <x v="692"/>
    <n v="93"/>
    <d v="2018-09-06T00:00:00"/>
    <s v="Salvador"/>
    <d v="2018-09-20T00:00:00"/>
    <x v="82"/>
    <d v="2018-09-30T00:00:00"/>
    <d v="2018-10-02T00:00:00"/>
    <d v="2018-10-22T00:00:00"/>
    <n v="139"/>
    <s v="158 Fittings y 80 Pistones - 1° ENTREGA"/>
    <s v="A. Pigni:  solicita pagar en 90 dias._x000a_"/>
    <s v="atrasado"/>
    <x v="7"/>
    <n v="0"/>
  </r>
  <r>
    <x v="11"/>
    <x v="11"/>
    <x v="0"/>
    <x v="0"/>
    <s v="005/18 BBR"/>
    <n v="4600557062"/>
    <x v="910"/>
    <n v="26620.400000000001"/>
    <x v="692"/>
    <n v="122"/>
    <d v="2018-10-05T00:00:00"/>
    <s v="Salvador"/>
    <d v="2018-10-11T00:00:00"/>
    <x v="0"/>
    <d v="2018-10-20T00:00:00"/>
    <d v="2018-10-22T00:00:00"/>
    <d v="2018-11-09T00:00:00"/>
    <n v="157"/>
    <s v="158 Fittings y 80 Pistones - 2° ENTREGA"/>
    <s v="A. Pigni:  solicita pagar en 90 dias._x000a_"/>
    <s v="atrasado"/>
    <x v="8"/>
    <n v="0"/>
  </r>
  <r>
    <x v="11"/>
    <x v="11"/>
    <x v="0"/>
    <x v="0"/>
    <s v="005/18 BBR"/>
    <n v="4600557062"/>
    <x v="911"/>
    <n v="3646.97"/>
    <x v="693"/>
    <n v="105"/>
    <d v="2018-10-16T00:00:00"/>
    <s v="Salvador"/>
    <d v="2018-10-11T00:00:00"/>
    <x v="9"/>
    <d v="2018-10-20T00:00:00"/>
    <d v="2018-10-22T00:00:00"/>
    <d v="2018-11-09T00:00:00"/>
    <n v="129"/>
    <s v="Niples y pistones"/>
    <s v="A. Pigni:  solicita pagar en 90 dias._x000a_"/>
    <s v="atrasado"/>
    <x v="8"/>
    <n v="0"/>
  </r>
  <r>
    <x v="11"/>
    <x v="11"/>
    <x v="0"/>
    <x v="0"/>
    <s v="005/18 BBR"/>
    <n v="4600557062"/>
    <x v="912"/>
    <n v="38940.839999999997"/>
    <x v="694"/>
    <n v="93"/>
    <d v="2018-10-05T00:00:00"/>
    <s v="Salvador"/>
    <d v="2018-10-11T00:00:00"/>
    <x v="0"/>
    <d v="2018-10-20T00:00:00"/>
    <d v="2018-10-22T00:00:00"/>
    <d v="2018-11-09T00:00:00"/>
    <n v="128"/>
    <s v="17 bombas,fittinga y copas"/>
    <s v="A. Pigni:  solicita pagar en 90 dias"/>
    <s v="atrasado"/>
    <x v="8"/>
    <n v="0"/>
  </r>
  <r>
    <x v="11"/>
    <x v="11"/>
    <x v="0"/>
    <x v="0"/>
    <s v="005/18 BBR"/>
    <n v="4600557062"/>
    <x v="913"/>
    <n v="1364.36"/>
    <x v="695"/>
    <n v="95"/>
    <d v="2018-10-21T00:00:00"/>
    <s v="Salvador"/>
    <d v="2018-10-11T00:00:00"/>
    <x v="2"/>
    <d v="2018-10-20T00:00:00"/>
    <d v="2018-10-22T00:00:00"/>
    <d v="2018-11-09T00:00:00"/>
    <n v="114"/>
    <s v="36 fittings"/>
    <s v="A. Pigni:  solicita pagar en 90 dias"/>
    <s v="en término"/>
    <x v="8"/>
    <n v="1"/>
  </r>
  <r>
    <x v="11"/>
    <x v="11"/>
    <x v="0"/>
    <x v="0"/>
    <s v="005/18 BBR"/>
    <n v="4600557062"/>
    <x v="914"/>
    <n v="7599.6"/>
    <x v="696"/>
    <n v="91"/>
    <d v="2018-11-14T00:00:00"/>
    <s v="Salvador"/>
    <d v="2018-10-11T00:00:00"/>
    <x v="48"/>
    <d v="2018-10-20T00:00:00"/>
    <d v="2018-10-22T00:00:00"/>
    <d v="2018-11-09T00:00:00"/>
    <n v="86"/>
    <s v="60 pistones - 1° ENTREGA"/>
    <s v="A. Pigni:  solicita pagar en 90 dias. 1 entrega Salida planta :11/10_x000a_2 entrega: Salida planta : 06/12"/>
    <s v="en término"/>
    <x v="8"/>
    <n v="1"/>
  </r>
  <r>
    <x v="11"/>
    <x v="11"/>
    <x v="0"/>
    <x v="0"/>
    <s v="005/18 BBR"/>
    <n v="4600557062"/>
    <x v="915"/>
    <n v="22798.799999999999"/>
    <x v="696"/>
    <n v="91"/>
    <d v="2018-11-14T00:00:00"/>
    <s v="Salvador"/>
    <d v="2018-11-15T00:00:00"/>
    <x v="30"/>
    <d v="2018-11-24T00:00:00"/>
    <d v="2018-11-25T00:00:00"/>
    <d v="2018-12-14T00:00:00"/>
    <n v="121"/>
    <s v="180 pistones - 2° ENTREGA"/>
    <s v="A. Pigni:  solicita pagar en 90 dias. 1 entrega Salida planta :11/10_x000a_2 entrega se posterga, del 08/11 pasa al 15/11 por falta de inspeccion"/>
    <s v="atrasado"/>
    <x v="9"/>
    <n v="0"/>
  </r>
  <r>
    <x v="11"/>
    <x v="11"/>
    <x v="0"/>
    <x v="0"/>
    <s v="005/18 BBR"/>
    <n v="4600557062"/>
    <x v="916"/>
    <n v="15199.2"/>
    <x v="696"/>
    <n v="91"/>
    <d v="2018-11-14T00:00:00"/>
    <s v="Salvador"/>
    <d v="2018-12-13T00:00:00"/>
    <x v="94"/>
    <d v="2018-12-22T00:00:00"/>
    <d v="2018-12-24T00:00:00"/>
    <d v="2019-01-11T00:00:00"/>
    <n v="149"/>
    <s v="120 pistones - 3° ENTREGA"/>
    <s v="A. Pigni:  solicita pagar en 90 dias. 1 entrega Salida planta :11/10 _x000a_2 entrega: Salida planta : 06/12 -  - Se posterga la salida para 13/12 ya que Petrobras no envia el inspector"/>
    <s v="atrasado"/>
    <x v="11"/>
    <n v="0"/>
  </r>
  <r>
    <x v="11"/>
    <x v="11"/>
    <x v="0"/>
    <x v="0"/>
    <s v="045/18 BBR"/>
    <n v="7002104668"/>
    <x v="917"/>
    <n v="856"/>
    <x v="697"/>
    <n v="96"/>
    <d v="2018-11-14T00:00:00"/>
    <s v="Salvador"/>
    <d v="2018-11-15T00:00:00"/>
    <x v="30"/>
    <d v="2018-11-24T00:00:00"/>
    <d v="2018-11-25T00:00:00"/>
    <d v="2018-12-14T00:00:00"/>
    <n v="126"/>
    <s v="16 fittings"/>
    <s v="Salida de planta se posterga, del 08/11 pasa al 15/11 por falta de inspeccion"/>
    <s v="atrasado"/>
    <x v="9"/>
    <n v="0"/>
  </r>
  <r>
    <x v="11"/>
    <x v="11"/>
    <x v="0"/>
    <x v="0"/>
    <s v="005/18 BBR"/>
    <n v="4600557062"/>
    <x v="918"/>
    <n v="34611.9"/>
    <x v="698"/>
    <n v="118"/>
    <d v="2018-12-10T00:00:00"/>
    <s v="Salvador"/>
    <d v="2018-11-15T00:00:00"/>
    <x v="87"/>
    <d v="2018-11-24T00:00:00"/>
    <d v="2018-11-25T00:00:00"/>
    <d v="2018-12-14T00:00:00"/>
    <n v="122"/>
    <s v="15 bombas ,fittings y copas"/>
    <s v="A. Pigni:  solicita pagar en 90 dias  -  Se anula PCS original , cambia para numero 4508595390.  Salida de planta se posterga, del 08/11 pasa al 15/11 por falta de inspeccion"/>
    <s v="en término"/>
    <x v="9"/>
    <n v="1"/>
  </r>
  <r>
    <x v="11"/>
    <x v="11"/>
    <x v="0"/>
    <x v="0"/>
    <s v="005/18 BBR"/>
    <n v="4600557062"/>
    <x v="919"/>
    <n v="59662.62"/>
    <x v="696"/>
    <n v="95"/>
    <d v="2018-11-18T00:00:00"/>
    <s v="Salvador"/>
    <d v="2018-11-15T00:00:00"/>
    <x v="62"/>
    <d v="2018-11-24T00:00:00"/>
    <d v="2018-11-25T00:00:00"/>
    <d v="2018-12-14T00:00:00"/>
    <n v="121"/>
    <s v="26 bombas"/>
    <s v="A. Pigni:  solicita pagar en 90 dias.  Salida de planta se posterga, del 08/11 pasa al 15/11 por falta de inspeccion"/>
    <s v="atrasado"/>
    <x v="9"/>
    <n v="0"/>
  </r>
  <r>
    <x v="11"/>
    <x v="11"/>
    <x v="0"/>
    <x v="0"/>
    <s v="005/18/ BBR"/>
    <n v="4600557062"/>
    <x v="920"/>
    <n v="96821.97"/>
    <x v="696"/>
    <n v="95"/>
    <d v="2018-11-18T00:00:00"/>
    <s v="Salvador"/>
    <d v="2018-11-15T00:00:00"/>
    <x v="62"/>
    <d v="2018-11-24T00:00:00"/>
    <d v="2018-11-25T00:00:00"/>
    <d v="2018-12-14T00:00:00"/>
    <n v="121"/>
    <s v="36 bombas"/>
    <s v="A. Pigni:  solicita pagar en 90 dias.  Salida de planta se posterga, del 08/11 pasa al 15/11 por falta de inspeccion"/>
    <s v="atrasado"/>
    <x v="9"/>
    <n v="0"/>
  </r>
  <r>
    <x v="11"/>
    <x v="11"/>
    <x v="0"/>
    <x v="0"/>
    <s v="005/18 BBR"/>
    <n v="4600557062"/>
    <x v="921"/>
    <n v="5260.31"/>
    <x v="696"/>
    <n v="92"/>
    <d v="2018-11-15T00:00:00"/>
    <s v="Salvador"/>
    <d v="2018-11-15T00:00:00"/>
    <x v="47"/>
    <d v="2018-11-24T00:00:00"/>
    <d v="2018-11-25T00:00:00"/>
    <d v="2018-12-14T00:00:00"/>
    <n v="121"/>
    <s v="fittings y copas"/>
    <s v="A. Pigni:  solicita pagar en 90 dias. Salida de planta se posterga, del 08/11 pasa al 15/11 por falta de inspeccion"/>
    <s v="atrasado"/>
    <x v="9"/>
    <n v="0"/>
  </r>
  <r>
    <x v="11"/>
    <x v="11"/>
    <x v="0"/>
    <x v="0"/>
    <s v="005/18/ BBR"/>
    <n v="4600557062"/>
    <x v="922"/>
    <n v="2513.3200000000002"/>
    <x v="699"/>
    <n v="90"/>
    <d v="2018-12-12T00:00:00"/>
    <s v="Salvador"/>
    <d v="2018-12-13T00:00:00"/>
    <x v="30"/>
    <d v="2018-12-22T00:00:00"/>
    <d v="2018-12-24T00:00:00"/>
    <d v="2019-01-11T00:00:00"/>
    <n v="120"/>
    <s v="2 bombas  "/>
    <s v="A. Pigni:  solicita pagar en 90 dias - Se posterga la salida para 13/12 ya que Petrobras no envia el inspector"/>
    <s v="atrasado"/>
    <x v="11"/>
    <n v="0"/>
  </r>
  <r>
    <x v="11"/>
    <x v="11"/>
    <x v="0"/>
    <x v="0"/>
    <s v="005/18 BBR"/>
    <n v="4600557062"/>
    <x v="923"/>
    <n v="15213.6"/>
    <x v="700"/>
    <n v="92"/>
    <d v="2018-12-13T00:00:00"/>
    <s v="Salvador"/>
    <d v="2018-12-13T00:00:00"/>
    <x v="47"/>
    <d v="2018-12-22T00:00:00"/>
    <d v="2018-12-24T00:00:00"/>
    <d v="2019-01-11T00:00:00"/>
    <n v="121"/>
    <s v="120 pistones   "/>
    <s v="A. Pigni:  solicita pagar en 90 dias  - Se posterga la salida para 13/12 ya que Petrobras no envia el inspector"/>
    <s v="atrasado"/>
    <x v="11"/>
    <n v="0"/>
  </r>
  <r>
    <x v="11"/>
    <x v="11"/>
    <x v="0"/>
    <x v="0"/>
    <s v="078/17 BBR"/>
    <n v="4600558097"/>
    <x v="924"/>
    <n v="6367.01"/>
    <x v="701"/>
    <n v="151"/>
    <d v="2019-01-25T00:00:00"/>
    <s v="Salvador"/>
    <d v="2018-12-13T00:00:00"/>
    <x v="70"/>
    <d v="2018-12-22T00:00:00"/>
    <d v="2018-12-24T00:00:00"/>
    <d v="2019-01-11T00:00:00"/>
    <n v="137"/>
    <s v="67 pistones"/>
    <s v="A. Pigni:  solicita pagar en 90 dias -  Se posterga la salida para 13/12 ya que Petrobras no envia el inspector"/>
    <s v="en término"/>
    <x v="11"/>
    <n v="1"/>
  </r>
  <r>
    <x v="11"/>
    <x v="11"/>
    <x v="0"/>
    <x v="0"/>
    <s v="005/18 BBR"/>
    <n v="4600557062"/>
    <x v="925"/>
    <n v="105579.27"/>
    <x v="702"/>
    <n v="94"/>
    <d v="2018-12-28T00:00:00"/>
    <s v="Salvador"/>
    <d v="2018-12-13T00:00:00"/>
    <x v="86"/>
    <d v="2018-12-22T00:00:00"/>
    <d v="2018-12-24T00:00:00"/>
    <d v="2019-01-11T00:00:00"/>
    <n v="108"/>
    <s v="fittings y 45 bombas"/>
    <s v="A. Pigni:  solicita pagar en 90 dias -  Se posterga la salida para 13/12 ya que Petrobras no envia el inspector"/>
    <s v="en término"/>
    <x v="11"/>
    <n v="1"/>
  </r>
  <r>
    <x v="11"/>
    <x v="11"/>
    <x v="0"/>
    <x v="0"/>
    <s v="005/18 BBR"/>
    <n v="4600557062"/>
    <x v="926"/>
    <n v="89.21"/>
    <x v="703"/>
    <n v="97"/>
    <d v="2019-01-27T00:00:00"/>
    <s v="Salvador"/>
    <d v="2018-12-13T00:00:00"/>
    <x v="53"/>
    <d v="2018-12-22T00:00:00"/>
    <d v="2018-12-24T00:00:00"/>
    <d v="2019-01-11T00:00:00"/>
    <n v="81"/>
    <s v="1 piston - 1° ENTREGA"/>
    <s v="A. Pigni:  solicita pagar en 90 dias"/>
    <s v="en término"/>
    <x v="11"/>
    <n v="1"/>
  </r>
  <r>
    <x v="11"/>
    <x v="11"/>
    <x v="0"/>
    <x v="0"/>
    <s v="005/18 BBR"/>
    <n v="4600557062"/>
    <x v="927"/>
    <n v="51560.76"/>
    <x v="704"/>
    <n v="96"/>
    <d v="2019-02-04T00:00:00"/>
    <s v="Salvador"/>
    <d v="2018-12-13T00:00:00"/>
    <x v="83"/>
    <d v="2018-12-22T00:00:00"/>
    <d v="2018-12-24T00:00:00"/>
    <d v="2019-01-11T00:00:00"/>
    <n v="72"/>
    <s v="fittings y 21 bombas"/>
    <s v="A. Pigni:  solicita pagar en 90 dias -  Se posterga la salida para 13/12 ya que Petrobras no envia el inspector"/>
    <s v="en término"/>
    <x v="11"/>
    <n v="1"/>
  </r>
  <r>
    <x v="11"/>
    <x v="11"/>
    <x v="1"/>
    <x v="2"/>
    <s v="076/17 CPG"/>
    <s v="ACUERDO ECOPETROL"/>
    <x v="928"/>
    <n v="47618"/>
    <x v="705"/>
    <n v="90"/>
    <d v="2018-01-24T00:00:00"/>
    <s v="Bogota"/>
    <d v="2018-01-05T00:00:00"/>
    <x v="19"/>
    <d v="2018-01-12T00:00:00"/>
    <d v="2018-01-20T00:00:00"/>
    <d v="2018-02-19T00:00:00"/>
    <n v="116"/>
    <s v="Fittings"/>
    <s v="Forwarder: NaveTrans - PAGO:  Avisan que pagan el 16 de Marzo"/>
    <s v="en término"/>
    <x v="0"/>
    <n v="1"/>
  </r>
  <r>
    <x v="11"/>
    <x v="11"/>
    <x v="1"/>
    <x v="2"/>
    <s v="069/17 CPG"/>
    <m/>
    <x v="929"/>
    <n v="40774"/>
    <x v="705"/>
    <n v="90"/>
    <d v="2018-01-24T00:00:00"/>
    <s v="Bogota"/>
    <d v="2018-01-05T00:00:00"/>
    <x v="19"/>
    <d v="2018-01-12T00:00:00"/>
    <d v="2018-01-20T00:00:00"/>
    <d v="2018-02-19T00:00:00"/>
    <n v="116"/>
    <s v="Fittings"/>
    <s v="Forwarder: NaveTrans - PAGO:  Avisan que pagan el 16 de Marzo"/>
    <s v="en término"/>
    <x v="0"/>
    <n v="1"/>
  </r>
  <r>
    <x v="11"/>
    <x v="11"/>
    <x v="1"/>
    <x v="2"/>
    <s v="043/17 CPG"/>
    <m/>
    <x v="930"/>
    <n v="73359"/>
    <x v="706"/>
    <n v="90"/>
    <d v="2018-02-13T00:00:00"/>
    <s v="Bogota"/>
    <d v="2018-01-16T00:00:00"/>
    <x v="49"/>
    <d v="2018-01-26T00:00:00"/>
    <d v="2018-02-03T00:00:00"/>
    <d v="2018-03-05T00:00:00"/>
    <n v="110"/>
    <s v="15 bombas (Copco)  + Fittings (Mansarovar)"/>
    <s v="PAGO:   60 días del BL: US$  37.000,00 -  90 días del BL: US$  36.359,00 - Forwarder: NaveTrans_x000a_"/>
    <s v="en término"/>
    <x v="0"/>
    <n v="1"/>
  </r>
  <r>
    <x v="11"/>
    <x v="11"/>
    <x v="1"/>
    <x v="2"/>
    <s v="083/17 CPG"/>
    <m/>
    <x v="931"/>
    <n v="85739"/>
    <x v="707"/>
    <n v="75"/>
    <d v="2018-03-03T00:00:00"/>
    <s v="Bogota"/>
    <d v="2018-02-23T00:00:00"/>
    <x v="32"/>
    <d v="2018-03-01T00:00:00"/>
    <d v="2018-03-10T00:00:00"/>
    <d v="2018-04-09T00:00:00"/>
    <n v="112"/>
    <s v="24 bombas (OXY)  + Fittings (Mansarovar)"/>
    <s v="Forwarder: Action Global"/>
    <s v="atrasado"/>
    <x v="1"/>
    <n v="0"/>
  </r>
  <r>
    <x v="11"/>
    <x v="11"/>
    <x v="1"/>
    <x v="41"/>
    <s v="004/18 COX"/>
    <m/>
    <x v="932"/>
    <n v="17750"/>
    <x v="708"/>
    <n v="68"/>
    <d v="2018-05-07T00:00:00"/>
    <s v="Bogota"/>
    <d v="2018-04-20T00:00:00"/>
    <x v="49"/>
    <d v="2018-04-20T00:00:00"/>
    <d v="2018-04-27T00:00:00"/>
    <d v="2018-04-29T00:00:00"/>
    <n v="60"/>
    <s v="5 bombas - OXY - Certificados"/>
    <m/>
    <s v="en término"/>
    <x v="10"/>
    <n v="1"/>
  </r>
  <r>
    <x v="11"/>
    <x v="11"/>
    <x v="1"/>
    <x v="2"/>
    <s v="050/16 CPG"/>
    <s v="CONTRATO ALCI 0075"/>
    <x v="933"/>
    <n v="394899.5"/>
    <x v="709"/>
    <n v="75"/>
    <d v="2018-05-02T00:00:00"/>
    <s v="Bogota"/>
    <d v="2018-04-20T00:00:00"/>
    <x v="8"/>
    <m/>
    <d v="2018-05-20T00:00:00"/>
    <d v="2018-06-19T00:00:00"/>
    <n v="123"/>
    <s v="Fittings - OXY - Certificados, solo items para OXY"/>
    <m/>
    <s v="atrasado"/>
    <x v="10"/>
    <n v="0"/>
  </r>
  <r>
    <x v="11"/>
    <x v="11"/>
    <x v="1"/>
    <x v="2"/>
    <s v="082/17CPG"/>
    <m/>
    <x v="934"/>
    <n v="54870"/>
    <x v="680"/>
    <n v="90"/>
    <d v="2018-04-29T00:00:00"/>
    <s v="Bogota"/>
    <d v="2018-04-20T00:00:00"/>
    <x v="95"/>
    <m/>
    <d v="2018-05-20T00:00:00"/>
    <d v="2018-06-19T00:00:00"/>
    <n v="141"/>
    <s v=" Fittings "/>
    <m/>
    <s v="atrasado"/>
    <x v="10"/>
    <n v="0"/>
  </r>
  <r>
    <x v="11"/>
    <x v="11"/>
    <x v="1"/>
    <x v="2"/>
    <s v="081/17CPG"/>
    <m/>
    <x v="935"/>
    <n v="80845"/>
    <x v="710"/>
    <n v="90"/>
    <d v="2018-04-23T00:00:00"/>
    <s v="Bogota"/>
    <d v="2018-04-20T00:00:00"/>
    <x v="36"/>
    <m/>
    <d v="2018-05-20T00:00:00"/>
    <d v="2018-06-19T00:00:00"/>
    <n v="147"/>
    <s v=" Fittings "/>
    <m/>
    <s v="atrasado"/>
    <x v="10"/>
    <n v="0"/>
  </r>
  <r>
    <x v="11"/>
    <x v="11"/>
    <x v="1"/>
    <x v="41"/>
    <s v="009/18 COX"/>
    <m/>
    <x v="936"/>
    <n v="59500"/>
    <x v="711"/>
    <n v="133"/>
    <d v="2018-07-23T00:00:00"/>
    <s v="Bogota"/>
    <d v="2018-07-13T00:00:00"/>
    <x v="44"/>
    <m/>
    <d v="2018-07-23T00:00:00"/>
    <d v="2018-07-28T00:00:00"/>
    <n v="138"/>
    <s v="barriles - OXY - Certificados"/>
    <m/>
    <s v="en término"/>
    <x v="5"/>
    <n v="1"/>
  </r>
  <r>
    <x v="11"/>
    <x v="11"/>
    <x v="1"/>
    <x v="2"/>
    <s v="050/16 CPG"/>
    <s v="CONTRATO ALCI 0075"/>
    <x v="937"/>
    <n v="146630.6"/>
    <x v="712"/>
    <n v="150"/>
    <d v="2018-07-15T00:00:00"/>
    <s v="Bogota"/>
    <d v="2018-07-27T00:00:00"/>
    <x v="36"/>
    <m/>
    <d v="2018-08-11T00:00:00"/>
    <d v="2018-09-10T00:00:00"/>
    <n v="207"/>
    <s v="Fittings - OXY - Certificados, solo items para OXY"/>
    <m/>
    <s v="atrasado"/>
    <x v="5"/>
    <n v="0"/>
  </r>
  <r>
    <x v="11"/>
    <x v="11"/>
    <x v="1"/>
    <x v="2"/>
    <s v="029/18CPG"/>
    <m/>
    <x v="938"/>
    <n v="10742"/>
    <x v="692"/>
    <n v="48"/>
    <d v="2018-07-23T00:00:00"/>
    <s v="Bogota"/>
    <d v="2018-07-27T00:00:00"/>
    <x v="6"/>
    <m/>
    <d v="2018-08-11T00:00:00"/>
    <d v="2018-09-10T00:00:00"/>
    <n v="97"/>
    <s v=" Fittings "/>
    <m/>
    <s v="atrasado"/>
    <x v="5"/>
    <n v="0"/>
  </r>
  <r>
    <x v="11"/>
    <x v="11"/>
    <x v="1"/>
    <x v="2"/>
    <s v="023/18CPG"/>
    <m/>
    <x v="939"/>
    <n v="14870"/>
    <x v="691"/>
    <n v="61"/>
    <d v="2018-07-23T00:00:00"/>
    <s v="Bogota"/>
    <d v="2018-07-27T00:00:00"/>
    <x v="6"/>
    <m/>
    <d v="2018-08-11T00:00:00"/>
    <d v="2018-09-10T00:00:00"/>
    <n v="110"/>
    <s v=" Fittings ( Mansarovar)"/>
    <m/>
    <s v="atrasado"/>
    <x v="5"/>
    <n v="0"/>
  </r>
  <r>
    <x v="11"/>
    <x v="11"/>
    <x v="1"/>
    <x v="2"/>
    <s v="031/18CPG"/>
    <s v="ACUERDO ECOPETROL (076/17 CPG)"/>
    <x v="940"/>
    <n v="195169.22"/>
    <x v="713"/>
    <n v="100"/>
    <d v="2018-09-26T00:00:00"/>
    <s v="Bogota"/>
    <d v="2018-10-04T00:00:00"/>
    <x v="4"/>
    <d v="2018-10-09T00:00:00"/>
    <d v="2018-10-27T00:00:00"/>
    <d v="2018-11-26T00:00:00"/>
    <n v="161"/>
    <s v=" Fittings "/>
    <s v="Se demoro por tema de materia prima y despues el buque. De Planta salia el el 21/09 pero salio el 4/10.  El buque iba a ser el 20/10 pero se paso al 27/10."/>
    <s v="atrasado"/>
    <x v="8"/>
    <n v="0"/>
  </r>
  <r>
    <x v="11"/>
    <x v="11"/>
    <x v="1"/>
    <x v="2"/>
    <s v="032/18 CPG"/>
    <s v="ACUERDO ECOPETROL (076/17 CPG)"/>
    <x v="941"/>
    <n v="294486.87"/>
    <x v="714"/>
    <n v="100"/>
    <d v="2018-09-30T00:00:00"/>
    <s v="Bogota"/>
    <d v="2018-10-26T00:00:00"/>
    <x v="120"/>
    <d v="2018-11-02T00:00:00"/>
    <d v="2018-11-10T00:00:00"/>
    <d v="2018-12-10T00:00:00"/>
    <n v="171"/>
    <s v=" Fittings "/>
    <s v="Forwarder: NaveTrans"/>
    <s v="atrasado"/>
    <x v="8"/>
    <n v="0"/>
  </r>
  <r>
    <x v="11"/>
    <x v="11"/>
    <x v="1"/>
    <x v="2"/>
    <s v="037/18 CPG"/>
    <s v="ACUERDO ECOPETROL (076/17 CPG)"/>
    <x v="942"/>
    <n v="20494"/>
    <x v="715"/>
    <n v="40"/>
    <d v="2018-09-30T00:00:00"/>
    <s v="Bogota"/>
    <d v="2018-10-26T00:00:00"/>
    <x v="120"/>
    <d v="2018-11-02T00:00:00"/>
    <d v="2018-11-10T00:00:00"/>
    <d v="2018-12-10T00:00:00"/>
    <n v="111"/>
    <s v=" Fittings "/>
    <s v="Forwarder: NaveTrans"/>
    <s v="atrasado"/>
    <x v="8"/>
    <n v="0"/>
  </r>
  <r>
    <x v="11"/>
    <x v="11"/>
    <x v="1"/>
    <x v="2"/>
    <s v="045/15 CPG"/>
    <s v="ACUERDO MANSAROVAR"/>
    <x v="943"/>
    <n v="3560"/>
    <x v="716"/>
    <n v="15"/>
    <d v="2018-12-29T00:00:00"/>
    <s v="Bogota"/>
    <d v="2018-12-20T00:00:00"/>
    <x v="9"/>
    <m/>
    <d v="2019-01-02T00:00:00"/>
    <d v="2019-01-07T00:00:00"/>
    <n v="24"/>
    <s v=" Fittings -   LLEVA CERTIFICADOS DE CALIDAD"/>
    <m/>
    <s v="atrasado"/>
    <x v="11"/>
    <n v="0"/>
  </r>
  <r>
    <x v="11"/>
    <x v="11"/>
    <x v="1"/>
    <x v="2"/>
    <s v="052/18 CPG"/>
    <n v="63000016929"/>
    <x v="944"/>
    <n v="153448.5"/>
    <x v="717"/>
    <n v="91"/>
    <d v="2018-12-21T00:00:00"/>
    <s v="Bogota"/>
    <d v="2018-12-20T00:00:00"/>
    <x v="82"/>
    <d v="2019-01-03T00:00:00"/>
    <d v="2019-01-14T00:00:00"/>
    <d v="2019-02-06T00:00:00"/>
    <n v="138"/>
    <s v="51 bombas - OXY-  LLEVA CERTIFICADOS DE CALIDAD"/>
    <s v="Forwarder: Delpa"/>
    <s v="atrasado"/>
    <x v="11"/>
    <n v="0"/>
  </r>
  <r>
    <x v="11"/>
    <x v="11"/>
    <x v="1"/>
    <x v="2"/>
    <s v="047/15 CPG"/>
    <s v="ACUERDO MANSAROVAR"/>
    <x v="945"/>
    <n v="15623.2"/>
    <x v="718"/>
    <n v="60"/>
    <d v="2018-12-28T00:00:00"/>
    <s v="Bogota"/>
    <d v="2018-12-20T00:00:00"/>
    <x v="7"/>
    <d v="2019-01-03T00:00:00"/>
    <d v="2019-01-14T00:00:00"/>
    <d v="2019-02-06T00:00:00"/>
    <n v="100"/>
    <s v=" Fittings  -  LLEVA CERTIFICADOS DE CALIDAD"/>
    <s v="Forwarder: Delpa"/>
    <s v="atrasado"/>
    <x v="11"/>
    <n v="0"/>
  </r>
  <r>
    <x v="11"/>
    <x v="11"/>
    <x v="3"/>
    <x v="4"/>
    <s v="014/18 ETE"/>
    <m/>
    <x v="946"/>
    <n v="10180"/>
    <x v="719"/>
    <n v="108"/>
    <d v="2018-06-30T00:00:00"/>
    <s v="Ecuador"/>
    <d v="2018-05-18T00:00:00"/>
    <x v="49"/>
    <m/>
    <d v="2018-06-20T00:00:00"/>
    <d v="2018-07-20T00:00:00"/>
    <n v="128"/>
    <s v="3 bombas"/>
    <m/>
    <s v="en término"/>
    <x v="3"/>
    <n v="1"/>
  </r>
  <r>
    <x v="11"/>
    <x v="11"/>
    <x v="3"/>
    <x v="47"/>
    <s v="026/18 EAG"/>
    <m/>
    <x v="947"/>
    <n v="2040"/>
    <x v="720"/>
    <n v="58"/>
    <d v="2018-06-08T00:00:00"/>
    <s v="Ecuador"/>
    <d v="2018-05-31T00:00:00"/>
    <x v="94"/>
    <m/>
    <d v="2018-07-16T00:00:00"/>
    <d v="2018-08-15T00:00:00"/>
    <n v="126"/>
    <s v="3 bombas"/>
    <m/>
    <s v="atrasado"/>
    <x v="3"/>
    <n v="0"/>
  </r>
  <r>
    <x v="11"/>
    <x v="11"/>
    <x v="5"/>
    <x v="7"/>
    <s v="010/18 TAL"/>
    <m/>
    <x v="948"/>
    <n v="6708.55"/>
    <x v="721"/>
    <n v="60"/>
    <d v="2018-04-07T00:00:00"/>
    <s v="Buenos Aires"/>
    <d v="2018-03-27T00:00:00"/>
    <x v="93"/>
    <d v="2018-03-27T00:00:00"/>
    <d v="2018-05-05T00:00:00"/>
    <d v="2018-06-04T00:00:00"/>
    <n v="118"/>
    <s v="Fittings"/>
    <m/>
    <s v="atrasado"/>
    <x v="2"/>
    <n v="0"/>
  </r>
  <r>
    <x v="11"/>
    <x v="11"/>
    <x v="5"/>
    <x v="7"/>
    <s v="013/18 TAL"/>
    <m/>
    <x v="949"/>
    <n v="23302.65"/>
    <x v="722"/>
    <n v="72"/>
    <d v="2018-05-10T00:00:00"/>
    <s v="Buenos Aires"/>
    <d v="2018-04-27T00:00:00"/>
    <x v="12"/>
    <m/>
    <d v="2018-05-23T00:00:00"/>
    <d v="2018-07-07T00:00:00"/>
    <n v="130"/>
    <s v="Fittings"/>
    <m/>
    <s v="atrasado"/>
    <x v="10"/>
    <n v="0"/>
  </r>
  <r>
    <x v="11"/>
    <x v="11"/>
    <x v="5"/>
    <x v="7"/>
    <s v="017/18 TAL"/>
    <m/>
    <x v="950"/>
    <n v="2043"/>
    <x v="723"/>
    <n v="67"/>
    <d v="2018-05-21T00:00:00"/>
    <s v="Buenos Aires"/>
    <d v="2018-04-27T00:00:00"/>
    <x v="11"/>
    <m/>
    <d v="2018-05-23T00:00:00"/>
    <d v="2018-07-07T00:00:00"/>
    <n v="114"/>
    <s v="Fittings"/>
    <m/>
    <s v="atrasado"/>
    <x v="10"/>
    <n v="0"/>
  </r>
  <r>
    <x v="11"/>
    <x v="11"/>
    <x v="10"/>
    <x v="16"/>
    <s v="022/18WGP"/>
    <m/>
    <x v="951"/>
    <n v="5500"/>
    <x v="724"/>
    <n v="61"/>
    <d v="2018-07-03T00:00:00"/>
    <s v="Comodoro Riv"/>
    <d v="2018-05-29T00:00:00"/>
    <x v="48"/>
    <d v="2018-05-31T00:00:00"/>
    <d v="2018-06-08T00:00:00"/>
    <d v="2018-06-08T00:00:00"/>
    <n v="36"/>
    <m/>
    <m/>
    <s v="en término"/>
    <x v="3"/>
    <n v="1"/>
  </r>
  <r>
    <x v="11"/>
    <x v="11"/>
    <x v="10"/>
    <x v="16"/>
    <s v="041/18 WPG"/>
    <m/>
    <x v="952"/>
    <n v="6000"/>
    <x v="725"/>
    <n v="60"/>
    <d v="2018-11-30T00:00:00"/>
    <s v="Comodoro Riv"/>
    <d v="2018-11-26T00:00:00"/>
    <x v="46"/>
    <m/>
    <d v="2018-11-27T00:00:00"/>
    <d v="2018-12-07T00:00:00"/>
    <n v="67"/>
    <s v="Fittings"/>
    <m/>
    <s v="en término"/>
    <x v="9"/>
    <n v="1"/>
  </r>
  <r>
    <x v="12"/>
    <x v="12"/>
    <x v="0"/>
    <x v="0"/>
    <s v="078/17 BBR"/>
    <n v="4600558097"/>
    <x v="953"/>
    <n v="3529.84"/>
    <x v="726"/>
    <n v="123"/>
    <d v="2019-02-25T00:00:00"/>
    <s v="Salvador"/>
    <d v="2019-02-28T00:00:00"/>
    <x v="43"/>
    <d v="2019-03-09T00:00:00"/>
    <d v="2019-03-13T00:00:00"/>
    <d v="2019-03-29T00:00:00"/>
    <n v="155"/>
    <s v="1 bomba"/>
    <s v="A. Pigni:  solicita pagar en 90 dias"/>
    <s v="atrasado"/>
    <x v="1"/>
    <n v="0"/>
  </r>
  <r>
    <x v="12"/>
    <x v="12"/>
    <x v="0"/>
    <x v="0"/>
    <s v="005/18 BBR"/>
    <n v="4600557062"/>
    <x v="926"/>
    <n v="253483.4"/>
    <x v="703"/>
    <n v="97"/>
    <d v="2019-01-27T00:00:00"/>
    <s v="Salvador"/>
    <d v="2019-01-17T00:00:00"/>
    <x v="2"/>
    <d v="2019-01-26T00:00:00"/>
    <d v="2019-01-28T00:00:00"/>
    <d v="2019-02-15T00:00:00"/>
    <n v="116"/>
    <s v="fittings y 109 bombas - 2° ENTREGA"/>
    <s v="A. Pigni:  solicita pagar en 120 dias"/>
    <s v="en término"/>
    <x v="0"/>
    <n v="1"/>
  </r>
  <r>
    <x v="12"/>
    <x v="12"/>
    <x v="0"/>
    <x v="0"/>
    <s v="005/18 BBR"/>
    <n v="4600557062"/>
    <x v="926"/>
    <n v="152376.21"/>
    <x v="703"/>
    <n v="128"/>
    <d v="2019-02-27T00:00:00"/>
    <s v="Salvador"/>
    <d v="2019-02-28T00:00:00"/>
    <x v="30"/>
    <d v="2019-03-09T00:00:00"/>
    <d v="2019-03-13T00:00:00"/>
    <d v="2019-03-29T00:00:00"/>
    <n v="158"/>
    <s v="fittings y 65 bombas - 3° ENTREGA"/>
    <s v="A. Pigni:  solicita pagar en 90 dias"/>
    <s v="atrasado"/>
    <x v="1"/>
    <n v="0"/>
  </r>
  <r>
    <x v="12"/>
    <x v="12"/>
    <x v="0"/>
    <x v="0"/>
    <s v="005/18 BBR"/>
    <n v="4600557062"/>
    <x v="926"/>
    <n v="26916.36"/>
    <x v="703"/>
    <n v="128"/>
    <d v="2019-02-27T00:00:00"/>
    <s v="Salvador"/>
    <d v="2019-03-21T00:00:00"/>
    <x v="4"/>
    <d v="2019-03-30T00:00:00"/>
    <d v="2019-04-01T00:00:00"/>
    <d v="2019-04-19T00:00:00"/>
    <n v="179"/>
    <s v="fittings y 12 bombas - 4° ENTREGA"/>
    <s v="A. Pigni:  solicita pagar en 90 dias"/>
    <s v="atrasado"/>
    <x v="2"/>
    <n v="0"/>
  </r>
  <r>
    <x v="12"/>
    <x v="12"/>
    <x v="0"/>
    <x v="0"/>
    <s v="005/18 BBR"/>
    <n v="4600557062"/>
    <x v="954"/>
    <n v="1702.6"/>
    <x v="727"/>
    <n v="93"/>
    <d v="2019-02-07T00:00:00"/>
    <s v="Salvador"/>
    <d v="2019-01-17T00:00:00"/>
    <x v="52"/>
    <d v="2019-01-26T00:00:00"/>
    <d v="2019-01-28T00:00:00"/>
    <d v="2019-02-15T00:00:00"/>
    <n v="101"/>
    <s v="fittings"/>
    <s v="A. Pigni:  solicita pagar en 120 dias"/>
    <s v="en término"/>
    <x v="0"/>
    <n v="1"/>
  </r>
  <r>
    <x v="12"/>
    <x v="12"/>
    <x v="0"/>
    <x v="0"/>
    <s v="005/18 BBR"/>
    <n v="4600557062"/>
    <x v="955"/>
    <n v="687.12"/>
    <x v="728"/>
    <n v="88"/>
    <d v="2019-03-01T00:00:00"/>
    <s v="Salvador"/>
    <d v="2019-02-28T00:00:00"/>
    <x v="23"/>
    <d v="2019-03-09T00:00:00"/>
    <d v="2019-03-13T00:00:00"/>
    <d v="2019-03-29T00:00:00"/>
    <n v="116"/>
    <s v="fittings"/>
    <s v="A. Pigni:  solicita pagar en 90 dias"/>
    <s v="atrasado"/>
    <x v="1"/>
    <n v="0"/>
  </r>
  <r>
    <x v="12"/>
    <x v="12"/>
    <x v="0"/>
    <x v="0"/>
    <s v="058/18 BBR"/>
    <s v="Petroreconcavo N° 74288"/>
    <x v="956"/>
    <n v="9726"/>
    <x v="729"/>
    <n v="110"/>
    <d v="2019-03-13T00:00:00"/>
    <s v="Salvador"/>
    <d v="2019-02-28T00:00:00"/>
    <x v="19"/>
    <d v="2019-03-09T00:00:00"/>
    <d v="2019-03-13T00:00:00"/>
    <d v="2019-03-29T00:00:00"/>
    <n v="126"/>
    <s v="2 bombas + fittings para Petroreconcavo"/>
    <s v="A. Pigni:  solicita pagar en 90 dias"/>
    <s v="en término"/>
    <x v="1"/>
    <n v="1"/>
  </r>
  <r>
    <x v="12"/>
    <x v="12"/>
    <x v="0"/>
    <x v="0"/>
    <s v="005/18 BBR"/>
    <n v="4600557062"/>
    <x v="957"/>
    <n v="126925.1"/>
    <x v="730"/>
    <n v="88"/>
    <d v="2019-03-04T00:00:00"/>
    <s v="Salvador"/>
    <d v="2019-02-28T00:00:00"/>
    <x v="14"/>
    <d v="2019-03-09T00:00:00"/>
    <d v="2019-03-13T00:00:00"/>
    <d v="2019-03-29T00:00:00"/>
    <n v="113"/>
    <s v="65 bombas + fittings"/>
    <s v="A. Pigni:  solicita pagar en 90 dias"/>
    <s v="atrasado"/>
    <x v="1"/>
    <n v="0"/>
  </r>
  <r>
    <x v="12"/>
    <x v="12"/>
    <x v="0"/>
    <x v="0"/>
    <s v="005/18 BBR"/>
    <n v="4600557062"/>
    <x v="958"/>
    <n v="1029.0999999999999"/>
    <x v="731"/>
    <n v="119"/>
    <d v="2019-04-10T00:00:00"/>
    <s v="Salvador"/>
    <d v="2019-02-28T00:00:00"/>
    <x v="71"/>
    <d v="2019-03-09T00:00:00"/>
    <d v="2019-03-13T00:00:00"/>
    <d v="2019-03-29T00:00:00"/>
    <n v="107"/>
    <s v="Fittings"/>
    <s v="A. Pigni:  solicita pagar en 90 dias"/>
    <s v="en término"/>
    <x v="1"/>
    <n v="1"/>
  </r>
  <r>
    <x v="12"/>
    <x v="12"/>
    <x v="0"/>
    <x v="0"/>
    <s v="005/18 BBR"/>
    <n v="4600557062"/>
    <x v="959"/>
    <n v="34928"/>
    <x v="732"/>
    <n v="95"/>
    <d v="2019-04-02T00:00:00"/>
    <s v="Salvador"/>
    <d v="2019-03-21T00:00:00"/>
    <x v="46"/>
    <d v="2019-03-30T00:00:00"/>
    <d v="2019-04-01T00:00:00"/>
    <d v="2019-04-19T00:00:00"/>
    <n v="112"/>
    <s v="25 bombas + Fittings"/>
    <s v="A. Pigni:  solicita pagar en 90 dias"/>
    <s v="en término"/>
    <x v="2"/>
    <n v="1"/>
  </r>
  <r>
    <x v="12"/>
    <x v="12"/>
    <x v="0"/>
    <x v="0"/>
    <s v="005/18 BBR"/>
    <n v="4600557062"/>
    <x v="960"/>
    <n v="180442.13"/>
    <x v="733"/>
    <n v="89"/>
    <d v="2019-04-03T00:00:00"/>
    <s v="Salvador"/>
    <d v="2019-03-21T00:00:00"/>
    <x v="19"/>
    <d v="2019-03-30T00:00:00"/>
    <d v="2019-04-01T00:00:00"/>
    <d v="2019-04-19T00:00:00"/>
    <n v="105"/>
    <s v="88 bombas + Fittings"/>
    <s v="A. Pigni:  solicita pagar en 90 dias"/>
    <s v="en término"/>
    <x v="2"/>
    <n v="1"/>
  </r>
  <r>
    <x v="12"/>
    <x v="12"/>
    <x v="0"/>
    <x v="0"/>
    <s v="005/18 BBR"/>
    <n v="4600557062"/>
    <x v="961"/>
    <n v="170131"/>
    <x v="734"/>
    <n v="83"/>
    <d v="2019-04-25T00:00:00"/>
    <s v="Salvador"/>
    <d v="2019-04-17T00:00:00"/>
    <x v="11"/>
    <d v="2019-04-27T00:00:00"/>
    <d v="2019-04-28T00:00:00"/>
    <d v="2019-05-17T00:00:00"/>
    <n v="105"/>
    <s v="80 bombas + Fittings"/>
    <s v="A. Pigni:  solicita pagar en 90 dias"/>
    <s v="atrasado"/>
    <x v="10"/>
    <n v="0"/>
  </r>
  <r>
    <x v="12"/>
    <x v="12"/>
    <x v="0"/>
    <x v="0"/>
    <s v="014/19 BBR"/>
    <m/>
    <x v="962"/>
    <n v="350"/>
    <x v="735"/>
    <n v="88"/>
    <d v="2019-05-14T00:00:00"/>
    <s v="Salvador"/>
    <d v="2019-03-21T00:00:00"/>
    <x v="51"/>
    <d v="2019-03-30T00:00:00"/>
    <d v="2019-04-01T00:00:00"/>
    <d v="2019-04-19T00:00:00"/>
    <n v="63"/>
    <s v="Fittings (jaulas)"/>
    <s v="A. Pigni:  solicita pagar en 90 dias"/>
    <s v="en término"/>
    <x v="2"/>
    <n v="1"/>
  </r>
  <r>
    <x v="12"/>
    <x v="12"/>
    <x v="0"/>
    <x v="0"/>
    <s v="007/19 BBR"/>
    <m/>
    <x v="963"/>
    <n v="4280"/>
    <x v="736"/>
    <n v="101"/>
    <d v="2019-05-24T00:00:00"/>
    <s v="Salvador"/>
    <d v="2019-04-17T00:00:00"/>
    <x v="42"/>
    <d v="2019-04-27T00:00:00"/>
    <d v="2019-04-28T00:00:00"/>
    <d v="2019-05-17T00:00:00"/>
    <n v="94"/>
    <s v="2 bombas"/>
    <s v="A. Pigni:  solicita pagar en 90 dias"/>
    <s v="en término"/>
    <x v="10"/>
    <n v="1"/>
  </r>
  <r>
    <x v="12"/>
    <x v="12"/>
    <x v="0"/>
    <x v="0"/>
    <s v="005/18 BBR"/>
    <n v="4600557062"/>
    <x v="964"/>
    <n v="1997.04"/>
    <x v="737"/>
    <n v="90"/>
    <d v="2019-06-17T00:00:00"/>
    <s v="Salvador"/>
    <d v="2019-04-17T00:00:00"/>
    <x v="115"/>
    <d v="2019-04-27T00:00:00"/>
    <d v="2019-04-28T00:00:00"/>
    <d v="2019-05-17T00:00:00"/>
    <n v="59"/>
    <s v="Fittings"/>
    <s v="A. Pigni:  solicita pagar en 90 dias"/>
    <s v="en término"/>
    <x v="10"/>
    <n v="1"/>
  </r>
  <r>
    <x v="12"/>
    <x v="12"/>
    <x v="0"/>
    <x v="0"/>
    <s v="078/17 BBR"/>
    <n v="4600558097"/>
    <x v="965"/>
    <n v="177278"/>
    <x v="736"/>
    <n v="123"/>
    <d v="2019-06-15T00:00:00"/>
    <s v="Salvador"/>
    <d v="2019-06-21T00:00:00"/>
    <x v="45"/>
    <d v="2019-06-29T00:00:00"/>
    <d v="2019-07-01T00:00:00"/>
    <d v="2019-07-19T00:00:00"/>
    <s v=""/>
    <s v="83 bombas - 1° ENTREGA (valor con el 4% de descuento)"/>
    <s v="A. Pigni:  solicita pagar en 90 dias - Si Petrobras autoriza las entregas, se harian 6 entregas a apartir de Junio (87 bombas) y luego 88 bombas por mes hasta Noviembre inclusive"/>
    <s v="atrasado"/>
    <x v="4"/>
    <n v="0"/>
  </r>
  <r>
    <x v="12"/>
    <x v="12"/>
    <x v="0"/>
    <x v="0"/>
    <s v="017/19 BBR"/>
    <m/>
    <x v="966"/>
    <n v="378"/>
    <x v="738"/>
    <n v="97"/>
    <d v="2019-07-05T00:00:00"/>
    <s v="Salvador"/>
    <d v="2019-06-21T00:00:00"/>
    <x v="86"/>
    <d v="2019-06-29T00:00:00"/>
    <d v="2019-07-01T00:00:00"/>
    <d v="2019-07-19T00:00:00"/>
    <n v="111"/>
    <s v="Fittings"/>
    <s v="A. Pigni:  solicita pagar en 90 dias"/>
    <s v="en término"/>
    <x v="4"/>
    <n v="1"/>
  </r>
  <r>
    <x v="12"/>
    <x v="12"/>
    <x v="0"/>
    <x v="0"/>
    <s v="005/18 BBR"/>
    <n v="4600557062"/>
    <x v="967"/>
    <n v="182248.9"/>
    <x v="739"/>
    <n v="89"/>
    <d v="2019-07-01T00:00:00"/>
    <s v="Salvador"/>
    <d v="2019-06-21T00:00:00"/>
    <x v="75"/>
    <d v="2019-06-29T00:00:00"/>
    <d v="2019-07-01T00:00:00"/>
    <d v="2019-07-19T00:00:00"/>
    <n v="107"/>
    <s v="100 bombas + Fittings"/>
    <s v="A. Pigni:  solicita pagar en 90 dias"/>
    <s v="en término"/>
    <x v="4"/>
    <n v="1"/>
  </r>
  <r>
    <x v="12"/>
    <x v="12"/>
    <x v="0"/>
    <x v="0"/>
    <s v="022/19 BBR"/>
    <m/>
    <x v="968"/>
    <n v="2475"/>
    <x v="740"/>
    <n v="76"/>
    <d v="2019-06-17T00:00:00"/>
    <s v="Salvador"/>
    <d v="2019-06-21T00:00:00"/>
    <x v="43"/>
    <d v="2019-06-29T00:00:00"/>
    <d v="2019-07-01T00:00:00"/>
    <d v="2019-07-19T00:00:00"/>
    <n v="108"/>
    <s v="Fittings"/>
    <s v="A. Pigni:  solicita pagar en 90 dias"/>
    <s v="atrasado"/>
    <x v="4"/>
    <n v="0"/>
  </r>
  <r>
    <x v="12"/>
    <x v="12"/>
    <x v="0"/>
    <x v="0"/>
    <s v="028/19 BBR"/>
    <m/>
    <x v="969"/>
    <n v="1929.6"/>
    <x v="741"/>
    <n v="91"/>
    <d v="2019-07-06T00:00:00"/>
    <s v="Salvador"/>
    <d v="2019-06-21T00:00:00"/>
    <x v="64"/>
    <d v="2019-06-29T00:00:00"/>
    <d v="2019-07-01T00:00:00"/>
    <d v="2019-07-19T00:00:00"/>
    <n v="104"/>
    <s v="Fittings"/>
    <s v="A. Pigni:  solicita pagar en 90 dias"/>
    <s v="en término"/>
    <x v="4"/>
    <n v="1"/>
  </r>
  <r>
    <x v="12"/>
    <x v="12"/>
    <x v="0"/>
    <x v="0"/>
    <s v="005/18 BBR"/>
    <n v="4600557062"/>
    <x v="970"/>
    <n v="2455.15"/>
    <x v="740"/>
    <n v="90"/>
    <d v="2019-07-01T00:00:00"/>
    <s v="Salvador"/>
    <d v="2019-06-21T00:00:00"/>
    <x v="75"/>
    <d v="2019-06-29T00:00:00"/>
    <d v="2019-07-01T00:00:00"/>
    <d v="2019-07-19T00:00:00"/>
    <n v="108"/>
    <s v="Fittings"/>
    <s v="A. Pigni:  solicita pagar en 90 dias"/>
    <s v="en término"/>
    <x v="4"/>
    <n v="1"/>
  </r>
  <r>
    <x v="12"/>
    <x v="12"/>
    <x v="0"/>
    <x v="0"/>
    <s v="078/17 BBR"/>
    <n v="4600558097"/>
    <x v="965"/>
    <n v="194355"/>
    <x v="736"/>
    <n v="123"/>
    <d v="2019-07-15T00:00:00"/>
    <s v="Salvador"/>
    <d v="2019-07-19T00:00:00"/>
    <x v="43"/>
    <d v="2019-07-27T00:00:00"/>
    <d v="2019-07-29T00:00:00"/>
    <d v="2019-08-16T00:00:00"/>
    <n v="185"/>
    <s v="92 bombas - 2° ENTREGA (valor con el 4% de descuento) - LIBERAN LA INSPECCION"/>
    <s v="A. Pigni:  solicita pagar en 90 dias - Si Petrobras autoriza las entregas, se harian 6 entregas a apartir de Junio (87 bombas) y luego 88 bombas por mes hasta Noviembre inclusive"/>
    <s v="atrasado"/>
    <x v="5"/>
    <n v="0"/>
  </r>
  <r>
    <x v="12"/>
    <x v="12"/>
    <x v="0"/>
    <x v="0"/>
    <s v="005/18 BBR"/>
    <n v="4600557062"/>
    <x v="971"/>
    <n v="84296.44"/>
    <x v="742"/>
    <n v="94"/>
    <d v="2019-08-02T00:00:00"/>
    <s v="Salvador"/>
    <d v="2019-07-19T00:00:00"/>
    <x v="86"/>
    <d v="2019-07-27T00:00:00"/>
    <d v="2019-07-29T00:00:00"/>
    <d v="2019-08-16T00:00:00"/>
    <n v="108"/>
    <s v="Fittings y 46 bombas - LIBERAN LA INSPECCION"/>
    <s v="A. Pigni:  solicita pagar en 90 dias"/>
    <s v="en término"/>
    <x v="5"/>
    <n v="1"/>
  </r>
  <r>
    <x v="12"/>
    <x v="12"/>
    <x v="0"/>
    <x v="0"/>
    <s v="063/17 BBR"/>
    <n v="4600548677"/>
    <x v="972"/>
    <n v="31968"/>
    <x v="743"/>
    <n v="92"/>
    <d v="2019-08-02T00:00:00"/>
    <s v="Salvador"/>
    <d v="2019-07-19T00:00:00"/>
    <x v="86"/>
    <d v="2019-07-27T00:00:00"/>
    <d v="2019-07-29T00:00:00"/>
    <d v="2019-08-16T00:00:00"/>
    <n v="106"/>
    <s v="vastagos (96)"/>
    <s v="A. Pigni:  solicita pagar en 90 dias"/>
    <s v="en término"/>
    <x v="5"/>
    <n v="1"/>
  </r>
  <r>
    <x v="12"/>
    <x v="12"/>
    <x v="0"/>
    <x v="0"/>
    <s v="005/18 BBR"/>
    <n v="4600557062"/>
    <x v="973"/>
    <n v="142725.20000000001"/>
    <x v="743"/>
    <n v="92"/>
    <d v="2019-08-02T00:00:00"/>
    <s v="Salvador"/>
    <d v="2019-07-19T00:00:00"/>
    <x v="86"/>
    <d v="2019-07-27T00:00:00"/>
    <d v="2019-07-29T00:00:00"/>
    <d v="2019-08-16T00:00:00"/>
    <n v="106"/>
    <s v="Fittings y 75 bombas - LIBERAN LA INSPECCION"/>
    <s v="A. Pigni:  solicita pagar en 90 dias"/>
    <s v="en término"/>
    <x v="5"/>
    <n v="1"/>
  </r>
  <r>
    <x v="12"/>
    <x v="12"/>
    <x v="0"/>
    <x v="0"/>
    <s v="005/18 BBR"/>
    <n v="4600557062"/>
    <x v="974"/>
    <n v="89000.7"/>
    <x v="744"/>
    <n v="91"/>
    <d v="2019-08-02T00:00:00"/>
    <s v="Salvador"/>
    <d v="2019-07-19T00:00:00"/>
    <x v="86"/>
    <d v="2019-07-27T00:00:00"/>
    <d v="2019-07-29T00:00:00"/>
    <d v="2019-08-16T00:00:00"/>
    <n v="105"/>
    <s v="Fittings, pistones  y 10 bombas - LIBERAN LA INSPECCION"/>
    <s v="A. Pigni:  solicita pagar en 90 dias"/>
    <s v="en término"/>
    <x v="5"/>
    <n v="1"/>
  </r>
  <r>
    <x v="12"/>
    <x v="12"/>
    <x v="0"/>
    <x v="0"/>
    <s v="078/17 BBR"/>
    <n v="4600558097"/>
    <x v="965"/>
    <n v="195528"/>
    <x v="736"/>
    <n v="123"/>
    <d v="2019-08-15T00:00:00"/>
    <s v="Salvador"/>
    <d v="2019-08-08T00:00:00"/>
    <x v="11"/>
    <d v="2019-08-17T00:00:00"/>
    <d v="2019-08-20T00:00:00"/>
    <d v="2019-09-06T00:00:00"/>
    <n v="206"/>
    <s v="88 bombas - 3° ENTREGA (valor con el 4% de descuento) - LIBERAN LA INSPECCION"/>
    <s v="A. Pigni:  solicita pagar en 90 dias - Si Petrobras autoriza las entregas, se harian 6 entregas a apartir de Junio (87 bombas) y luego 88 bombas por mes hasta Noviembre inclusive"/>
    <s v="atrasado"/>
    <x v="6"/>
    <n v="0"/>
  </r>
  <r>
    <x v="12"/>
    <x v="12"/>
    <x v="0"/>
    <x v="0"/>
    <s v="078/17 BBR"/>
    <n v="4600558097"/>
    <x v="965"/>
    <n v="196571"/>
    <x v="736"/>
    <n v="123"/>
    <d v="2019-09-15T00:00:00"/>
    <s v="Salvador"/>
    <d v="2019-09-13T00:00:00"/>
    <x v="62"/>
    <d v="2019-09-21T00:00:00"/>
    <d v="2019-09-23T00:00:00"/>
    <d v="2019-10-11T00:00:00"/>
    <n v="241"/>
    <s v="88 bombas - 4° ENTREGA (valor con el 4% de descuento) - LIBERAN LA INSPECCION"/>
    <s v="A. Pigni:  solicita pagar en 90 dias - Si Petrobras autoriza las entregas, se harian 6 entregas a apartir de Junio (87 bombas) y luego 88 bombas por mes hasta Noviembre inclusive"/>
    <s v="atrasado"/>
    <x v="7"/>
    <n v="0"/>
  </r>
  <r>
    <x v="12"/>
    <x v="12"/>
    <x v="0"/>
    <x v="0"/>
    <s v="005/18 BBR"/>
    <n v="4600557062"/>
    <x v="975"/>
    <n v="89013.6"/>
    <x v="743"/>
    <n v="92"/>
    <d v="2019-08-02T00:00:00"/>
    <s v="Salvador"/>
    <d v="2019-08-08T00:00:00"/>
    <x v="0"/>
    <d v="2019-08-17T00:00:00"/>
    <d v="2019-08-20T00:00:00"/>
    <d v="2019-09-06T00:00:00"/>
    <n v="127"/>
    <s v="Fittings y 70 bombas - 1° ENVIO - LIBERACION DE INSPECCION"/>
    <s v="A. Pigni:  solicita pagar en 90 dias"/>
    <s v="atrasado"/>
    <x v="6"/>
    <n v="0"/>
  </r>
  <r>
    <x v="12"/>
    <x v="12"/>
    <x v="0"/>
    <x v="0"/>
    <s v="005/18 BBR"/>
    <n v="4600557062"/>
    <x v="975"/>
    <n v="34295.4"/>
    <x v="743"/>
    <n v="92"/>
    <d v="2019-08-02T00:00:00"/>
    <s v="Salvador"/>
    <d v="2019-10-04T00:00:00"/>
    <x v="55"/>
    <d v="2019-10-12T00:00:00"/>
    <d v="2019-10-15T00:00:00"/>
    <d v="2019-11-01T00:00:00"/>
    <n v="183"/>
    <s v="20 bombas - 2° ENVIO"/>
    <s v="A. Pigni:  solicita pagar en 90 dias"/>
    <s v="atrasado"/>
    <x v="8"/>
    <n v="0"/>
  </r>
  <r>
    <x v="12"/>
    <x v="12"/>
    <x v="0"/>
    <x v="0"/>
    <s v="005/18 BBR"/>
    <n v="4600557062"/>
    <x v="976"/>
    <n v="51425.99"/>
    <x v="745"/>
    <n v="89"/>
    <d v="2019-08-17T00:00:00"/>
    <s v="Salvador"/>
    <d v="2019-08-08T00:00:00"/>
    <x v="44"/>
    <d v="2019-08-17T00:00:00"/>
    <d v="2019-08-20T00:00:00"/>
    <d v="2019-09-06T00:00:00"/>
    <n v="109"/>
    <s v="Fittings y 21 bombas - LIBERACION DE INSPECCION"/>
    <s v="A. Pigni:  solicita pagar en 90 dias"/>
    <s v="en término"/>
    <x v="6"/>
    <n v="1"/>
  </r>
  <r>
    <x v="12"/>
    <x v="12"/>
    <x v="0"/>
    <x v="0"/>
    <s v="005/18 BBR"/>
    <n v="4600557062"/>
    <x v="977"/>
    <n v="278.3"/>
    <x v="745"/>
    <n v="89"/>
    <d v="2019-08-17T00:00:00"/>
    <s v="Salvador"/>
    <d v="2019-08-08T00:00:00"/>
    <x v="44"/>
    <d v="2019-08-17T00:00:00"/>
    <d v="2019-08-20T00:00:00"/>
    <d v="2019-09-06T00:00:00"/>
    <n v="109"/>
    <s v="Fittings -  LIBERACION DE INSPECCION"/>
    <s v="A. Pigni:  solicita pagar en 90 dias"/>
    <s v="en término"/>
    <x v="6"/>
    <n v="1"/>
  </r>
  <r>
    <x v="12"/>
    <x v="12"/>
    <x v="0"/>
    <x v="0"/>
    <s v="005/18 BBR"/>
    <n v="4600557062"/>
    <x v="978"/>
    <n v="74141.240000000005"/>
    <x v="746"/>
    <n v="89"/>
    <d v="2019-08-26T00:00:00"/>
    <s v="Salvador"/>
    <d v="2019-08-23T00:00:00"/>
    <x v="14"/>
    <d v="2019-08-31T00:00:00"/>
    <d v="2019-09-03T00:00:00"/>
    <d v="2019-09-20T00:00:00"/>
    <n v="114"/>
    <s v="24 bombas - 1° ENVIO"/>
    <s v="A. Pigni:  solicita pagar en 90 dias"/>
    <s v="atrasado"/>
    <x v="6"/>
    <n v="0"/>
  </r>
  <r>
    <x v="12"/>
    <x v="12"/>
    <x v="0"/>
    <x v="0"/>
    <s v="005/18 BBR"/>
    <n v="4600557062"/>
    <x v="978"/>
    <n v="5570.36"/>
    <x v="746"/>
    <n v="89"/>
    <d v="2019-08-26T00:00:00"/>
    <s v="Salvador"/>
    <d v="2019-11-15T00:00:00"/>
    <x v="24"/>
    <d v="2019-11-23T00:00:00"/>
    <d v="2019-11-25T00:00:00"/>
    <d v="2019-12-13T00:00:00"/>
    <n v="198"/>
    <s v="1 bombas - 2° ENVIO"/>
    <s v="A. Pigni:  solicita pagar en 90 dias"/>
    <s v="atrasado"/>
    <x v="9"/>
    <n v="0"/>
  </r>
  <r>
    <x v="12"/>
    <x v="12"/>
    <x v="0"/>
    <x v="0"/>
    <s v="005/18 BBR"/>
    <n v="4600557062"/>
    <x v="979"/>
    <n v="323.45999999999998"/>
    <x v="746"/>
    <n v="89"/>
    <d v="2019-08-26T00:00:00"/>
    <s v="Salvador"/>
    <d v="2019-08-08T00:00:00"/>
    <x v="74"/>
    <d v="2019-08-17T00:00:00"/>
    <d v="2019-08-20T00:00:00"/>
    <d v="2019-09-06T00:00:00"/>
    <n v="100"/>
    <s v="Fittings"/>
    <s v="A. Pigni:  solicita pagar en 90 dias"/>
    <s v="en término"/>
    <x v="6"/>
    <n v="1"/>
  </r>
  <r>
    <x v="12"/>
    <x v="12"/>
    <x v="0"/>
    <x v="0"/>
    <s v="005/18 BBR"/>
    <n v="4600557062"/>
    <x v="980"/>
    <n v="56538.38"/>
    <x v="746"/>
    <n v="89"/>
    <d v="2019-08-26T00:00:00"/>
    <s v="Salvador"/>
    <d v="2019-08-23T00:00:00"/>
    <x v="14"/>
    <d v="2019-08-31T00:00:00"/>
    <d v="2019-09-03T00:00:00"/>
    <d v="2019-09-20T00:00:00"/>
    <n v="114"/>
    <s v="35 bombas + Fittings"/>
    <s v="A. Pigni:  solicita pagar en 90 dias"/>
    <s v="atrasado"/>
    <x v="6"/>
    <n v="0"/>
  </r>
  <r>
    <x v="12"/>
    <x v="12"/>
    <x v="0"/>
    <x v="0"/>
    <s v="005/18 BBR"/>
    <n v="4600557062"/>
    <x v="981"/>
    <n v="874"/>
    <x v="747"/>
    <n v="90"/>
    <d v="2019-09-01T00:00:00"/>
    <s v="Salvador"/>
    <d v="2019-08-23T00:00:00"/>
    <x v="2"/>
    <d v="2019-08-31T00:00:00"/>
    <d v="2019-09-03T00:00:00"/>
    <d v="2019-09-20T00:00:00"/>
    <n v="109"/>
    <s v="Fittings - LIBERAN LA INSPECCION"/>
    <s v="A. Pigni:  solicita pagar en 90 dias"/>
    <s v="en término"/>
    <x v="6"/>
    <n v="1"/>
  </r>
  <r>
    <x v="12"/>
    <x v="12"/>
    <x v="0"/>
    <x v="0"/>
    <s v="005/18 BBR"/>
    <n v="4600557062"/>
    <x v="982"/>
    <n v="73741.8"/>
    <x v="748"/>
    <n v="90"/>
    <d v="2019-09-09T00:00:00"/>
    <s v="Salvador"/>
    <d v="2019-08-23T00:00:00"/>
    <x v="74"/>
    <d v="2019-08-31T00:00:00"/>
    <d v="2019-09-03T00:00:00"/>
    <d v="2019-09-20T00:00:00"/>
    <n v="101"/>
    <s v="36 bombas + Fittings - 1° ENVIO"/>
    <s v="A. Pigni:  solicita pagar en 90 dias"/>
    <s v="en término"/>
    <x v="6"/>
    <n v="1"/>
  </r>
  <r>
    <x v="12"/>
    <x v="12"/>
    <x v="0"/>
    <x v="0"/>
    <s v="005/18 BBR"/>
    <n v="4600557062"/>
    <x v="982"/>
    <n v="3279.77"/>
    <x v="748"/>
    <n v="90"/>
    <d v="2019-09-09T00:00:00"/>
    <s v="Salvador"/>
    <d v="2019-09-13T00:00:00"/>
    <x v="43"/>
    <d v="2019-09-21T00:00:00"/>
    <d v="2019-09-23T00:00:00"/>
    <d v="2019-10-11T00:00:00"/>
    <n v="122"/>
    <s v="13 pistones - 2° ENVIO"/>
    <s v="A. Pigni:  solicita pagar en 90 dias"/>
    <s v="atrasado"/>
    <x v="7"/>
    <n v="0"/>
  </r>
  <r>
    <x v="12"/>
    <x v="12"/>
    <x v="0"/>
    <x v="0"/>
    <s v="005/18 BBR"/>
    <n v="4600557062"/>
    <x v="983"/>
    <n v="17314.32"/>
    <x v="749"/>
    <n v="89"/>
    <d v="2019-10-15T00:00:00"/>
    <s v="Salvador"/>
    <d v="2019-10-04T00:00:00"/>
    <x v="46"/>
    <d v="2019-10-12T00:00:00"/>
    <d v="2019-10-15T00:00:00"/>
    <d v="2019-11-01T00:00:00"/>
    <n v="106"/>
    <s v="7 bombas + Fittings"/>
    <s v="A. Pigni:  solicita pagar en 90 dias"/>
    <s v="en término"/>
    <x v="8"/>
    <n v="1"/>
  </r>
  <r>
    <x v="12"/>
    <x v="12"/>
    <x v="0"/>
    <x v="0"/>
    <s v="005/18 BBR"/>
    <n v="4600557062"/>
    <x v="984"/>
    <n v="4421.9799999999996"/>
    <x v="749"/>
    <n v="89"/>
    <d v="2019-10-15T00:00:00"/>
    <s v="Salvador"/>
    <d v="2019-10-04T00:00:00"/>
    <x v="46"/>
    <d v="2019-10-12T00:00:00"/>
    <d v="2019-10-15T00:00:00"/>
    <d v="2019-11-01T00:00:00"/>
    <n v="106"/>
    <s v="Fittings"/>
    <s v="A. Pigni:  solicita pagar en 90 dias"/>
    <s v="en término"/>
    <x v="8"/>
    <n v="1"/>
  </r>
  <r>
    <x v="12"/>
    <x v="12"/>
    <x v="0"/>
    <x v="0"/>
    <s v="005/18 BBR"/>
    <n v="4600557062"/>
    <x v="985"/>
    <n v="6652.17"/>
    <x v="749"/>
    <n v="89"/>
    <d v="2019-10-15T00:00:00"/>
    <s v="Salvador"/>
    <d v="2019-10-04T00:00:00"/>
    <x v="46"/>
    <d v="2019-10-12T00:00:00"/>
    <d v="2019-10-15T00:00:00"/>
    <d v="2019-11-01T00:00:00"/>
    <n v="106"/>
    <s v="Fittings"/>
    <s v="A. Pigni:  solicita pagar en 90 dias"/>
    <s v="en término"/>
    <x v="8"/>
    <n v="1"/>
  </r>
  <r>
    <x v="12"/>
    <x v="12"/>
    <x v="0"/>
    <x v="0"/>
    <s v="005/18 BBR"/>
    <n v="4600557062"/>
    <x v="986"/>
    <n v="160285"/>
    <x v="750"/>
    <n v="121"/>
    <d v="2019-10-29T00:00:00"/>
    <s v="Salvador"/>
    <d v="2019-11-15T00:00:00"/>
    <x v="100"/>
    <d v="2019-11-23T00:00:00"/>
    <d v="2019-11-25T00:00:00"/>
    <d v="2019-12-13T00:00:00"/>
    <n v="166"/>
    <s v="90 bombas + Fittings "/>
    <s v="A. Pigni:  solicita pagar en 90 dias"/>
    <s v="atrasado"/>
    <x v="9"/>
    <n v="0"/>
  </r>
  <r>
    <x v="12"/>
    <x v="12"/>
    <x v="0"/>
    <x v="0"/>
    <s v="005/18 BBR"/>
    <n v="4600557062"/>
    <x v="987"/>
    <n v="77069.25"/>
    <x v="751"/>
    <n v="131"/>
    <d v="2019-12-20T00:00:00"/>
    <s v="Salvador"/>
    <d v="2019-12-06T00:00:00"/>
    <x v="86"/>
    <d v="2019-12-14T00:00:00"/>
    <d v="2019-12-16T00:00:00"/>
    <d v="2020-01-03T00:00:00"/>
    <n v="145"/>
    <s v="Fittings + 47 bombas "/>
    <s v="A. Pigni:  solicita pagar en 90 dias"/>
    <s v="en término"/>
    <x v="11"/>
    <n v="1"/>
  </r>
  <r>
    <x v="12"/>
    <x v="12"/>
    <x v="0"/>
    <x v="0"/>
    <s v="031/19 BBR"/>
    <m/>
    <x v="988"/>
    <n v="31200"/>
    <x v="752"/>
    <n v="135"/>
    <d v="2019-12-20T00:00:00"/>
    <s v="Salvador"/>
    <d v="2019-12-06T00:00:00"/>
    <x v="86"/>
    <d v="2019-12-14T00:00:00"/>
    <d v="2019-12-16T00:00:00"/>
    <d v="2020-01-03T00:00:00"/>
    <n v="149"/>
    <s v="12 bombas "/>
    <s v="A. Pigni:  solicita pagar en 90 dias"/>
    <s v="en término"/>
    <x v="11"/>
    <n v="1"/>
  </r>
  <r>
    <x v="12"/>
    <x v="12"/>
    <x v="0"/>
    <x v="0"/>
    <s v="015/19 BBR"/>
    <m/>
    <x v="989"/>
    <n v="3916"/>
    <x v="753"/>
    <n v="129"/>
    <d v="2019-12-13T00:00:00"/>
    <s v="Salvador"/>
    <d v="2019-12-06T00:00:00"/>
    <x v="63"/>
    <d v="2019-12-14T00:00:00"/>
    <d v="2019-12-16T00:00:00"/>
    <d v="2020-01-03T00:00:00"/>
    <n v="150"/>
    <s v="Fittings"/>
    <s v="A. Pigni:  solicita pagar en 90 dias"/>
    <s v="atrasado"/>
    <x v="11"/>
    <n v="0"/>
  </r>
  <r>
    <x v="12"/>
    <x v="12"/>
    <x v="0"/>
    <x v="0"/>
    <s v="063/17 BBR"/>
    <n v="4600548677"/>
    <x v="990"/>
    <n v="3330"/>
    <x v="754"/>
    <n v="78"/>
    <d v="2019-11-12T00:00:00"/>
    <s v="Salvador"/>
    <d v="2019-12-06T00:00:00"/>
    <x v="13"/>
    <d v="2019-11-23T00:00:00"/>
    <d v="2019-11-25T00:00:00"/>
    <d v="2019-12-13T00:00:00"/>
    <n v="109"/>
    <s v="vastagos (10)"/>
    <s v="A. Pigni:  solicita pagar en 90 dias"/>
    <s v="atrasado"/>
    <x v="11"/>
    <n v="0"/>
  </r>
  <r>
    <x v="12"/>
    <x v="12"/>
    <x v="0"/>
    <x v="0"/>
    <s v="005/18 BBR"/>
    <n v="4600557062"/>
    <x v="991"/>
    <n v="31645.84"/>
    <x v="755"/>
    <n v="90"/>
    <d v="2019-11-18T00:00:00"/>
    <s v="Salvador"/>
    <d v="2019-11-15T00:00:00"/>
    <x v="14"/>
    <d v="2019-11-23T00:00:00"/>
    <d v="2019-11-25T00:00:00"/>
    <d v="2019-12-13T00:00:00"/>
    <n v="115"/>
    <s v="Fittings + 15 bombas "/>
    <s v="A. Pigni:  solicita pagar en 90 dias"/>
    <s v="atrasado"/>
    <x v="9"/>
    <n v="0"/>
  </r>
  <r>
    <x v="12"/>
    <x v="12"/>
    <x v="0"/>
    <x v="0"/>
    <s v="005/18 BBR"/>
    <n v="4600557062"/>
    <x v="992"/>
    <n v="4901.57"/>
    <x v="755"/>
    <n v="90"/>
    <d v="2019-11-18T00:00:00"/>
    <s v="Salvador"/>
    <d v="2019-11-15T00:00:00"/>
    <x v="14"/>
    <d v="2019-11-23T00:00:00"/>
    <d v="2019-11-25T00:00:00"/>
    <d v="2019-12-13T00:00:00"/>
    <n v="115"/>
    <s v="Fittings"/>
    <s v="A. Pigni:  solicita pagar en 90 dias"/>
    <s v="atrasado"/>
    <x v="9"/>
    <n v="0"/>
  </r>
  <r>
    <x v="12"/>
    <x v="12"/>
    <x v="0"/>
    <x v="0"/>
    <s v="005/18 BBR"/>
    <n v="4600557062"/>
    <x v="993"/>
    <n v="6908"/>
    <x v="756"/>
    <n v="93"/>
    <d v="2019-12-01T00:00:00"/>
    <s v="Salvador"/>
    <d v="2019-12-06T00:00:00"/>
    <x v="12"/>
    <d v="2019-12-14T00:00:00"/>
    <d v="2019-12-16T00:00:00"/>
    <d v="2020-01-03T00:00:00"/>
    <n v="126"/>
    <s v="Fittings"/>
    <s v="Se demora la salida a pedido de Bolland Brasil debido a la nueva legislacion del Bco. Central (pago 60 dias del cumplimiento)"/>
    <s v="atrasado"/>
    <x v="11"/>
    <n v="0"/>
  </r>
  <r>
    <x v="12"/>
    <x v="12"/>
    <x v="0"/>
    <x v="0"/>
    <s v="005/18 BBR"/>
    <n v="4600557062"/>
    <x v="994"/>
    <n v="33369.42"/>
    <x v="757"/>
    <n v="120"/>
    <d v="2019-11-27T00:00:00"/>
    <s v="Salvador"/>
    <d v="2019-11-15T00:00:00"/>
    <x v="86"/>
    <d v="2019-11-21T00:00:00"/>
    <d v="2019-11-25T00:00:00"/>
    <d v="2019-12-13T00:00:00"/>
    <n v="136"/>
    <s v="18 bombas"/>
    <s v="Pago: 60 dias del cumplimiento"/>
    <s v="en término"/>
    <x v="9"/>
    <n v="1"/>
  </r>
  <r>
    <x v="12"/>
    <x v="12"/>
    <x v="0"/>
    <x v="0"/>
    <s v="078/17 BBR"/>
    <n v="4600558097"/>
    <x v="995"/>
    <n v="6922"/>
    <x v="758"/>
    <n v="123"/>
    <d v="2019-12-27T00:00:00"/>
    <s v="Salvador"/>
    <d v="2019-12-06T00:00:00"/>
    <x v="10"/>
    <d v="2019-12-14T00:00:00"/>
    <d v="2019-12-16T00:00:00"/>
    <d v="2020-01-03T00:00:00"/>
    <n v="127"/>
    <s v="Fittings - valvulas"/>
    <s v="Pago 60 dias del cumplimiento"/>
    <s v="en término"/>
    <x v="11"/>
    <n v="1"/>
  </r>
  <r>
    <x v="12"/>
    <x v="12"/>
    <x v="0"/>
    <x v="0"/>
    <s v="063/17 BBR"/>
    <n v="4600548677"/>
    <x v="996"/>
    <n v="16650"/>
    <x v="759"/>
    <n v="90"/>
    <d v="2019-12-01T00:00:00"/>
    <s v="Salvador"/>
    <d v="2019-12-06T00:00:00"/>
    <x v="12"/>
    <d v="2019-12-14T00:00:00"/>
    <d v="2019-12-16T00:00:00"/>
    <d v="2020-01-03T00:00:00"/>
    <n v="123"/>
    <s v="vastagos (50)"/>
    <s v="Se demora la salida a pedido de Bolland Brasil debido a la nueva legislacion del Bco. Central (pago 30 dias del cumplimiento)"/>
    <s v="atrasado"/>
    <x v="11"/>
    <n v="0"/>
  </r>
  <r>
    <x v="12"/>
    <x v="12"/>
    <x v="0"/>
    <x v="0"/>
    <s v="063/17 BBR"/>
    <n v="4600548677"/>
    <x v="997"/>
    <n v="46287"/>
    <x v="760"/>
    <n v="115"/>
    <d v="2019-12-20T00:00:00"/>
    <s v="Salvador"/>
    <d v="2019-12-06T00:00:00"/>
    <x v="86"/>
    <d v="2019-12-14T00:00:00"/>
    <d v="2019-12-16T00:00:00"/>
    <d v="2020-01-03T00:00:00"/>
    <n v="129"/>
    <s v="vastagos (139)"/>
    <s v="Se demora la salida a pedido de Bolland Brasil debido a la nueva legislacion del Bco. Central (pago 60 dias del cumplimiento)"/>
    <s v="en término"/>
    <x v="11"/>
    <n v="1"/>
  </r>
  <r>
    <x v="12"/>
    <x v="12"/>
    <x v="0"/>
    <x v="0"/>
    <s v="063/17 BBR"/>
    <n v="4600548677"/>
    <x v="998"/>
    <n v="333"/>
    <x v="761"/>
    <n v="89"/>
    <d v="2019-12-01T00:00:00"/>
    <s v="Salvador"/>
    <d v="2019-12-06T00:00:00"/>
    <x v="12"/>
    <d v="2019-12-14T00:00:00"/>
    <d v="2019-12-16T00:00:00"/>
    <d v="2020-01-03T00:00:00"/>
    <n v="122"/>
    <s v="vastago (1)"/>
    <s v="Se demora la salida a pedido de Bolland Brasil debido a la nueva legislacion del Bco. Central (pago 60 dias del cumplimiento)"/>
    <s v="atrasado"/>
    <x v="11"/>
    <n v="0"/>
  </r>
  <r>
    <x v="12"/>
    <x v="12"/>
    <x v="0"/>
    <x v="0"/>
    <s v="005/18 BBR"/>
    <n v="4600557062"/>
    <x v="999"/>
    <n v="4516.8500000000004"/>
    <x v="762"/>
    <n v="91"/>
    <d v="2019-12-13T00:00:00"/>
    <s v="Salvador"/>
    <d v="2019-12-06T00:00:00"/>
    <x v="63"/>
    <d v="2019-12-14T00:00:00"/>
    <d v="2019-12-16T00:00:00"/>
    <d v="2020-01-03T00:00:00"/>
    <n v="112"/>
    <s v="Fittings"/>
    <s v="Pago: 60 dias del cumplimiento"/>
    <s v="atrasado"/>
    <x v="11"/>
    <n v="0"/>
  </r>
  <r>
    <x v="12"/>
    <x v="12"/>
    <x v="0"/>
    <x v="0"/>
    <s v="005/18 BBR"/>
    <n v="4600557062"/>
    <x v="1000"/>
    <n v="3606.67"/>
    <x v="763"/>
    <n v="89"/>
    <d v="2019-12-24T00:00:00"/>
    <s v="Salvador"/>
    <d v="2019-12-06T00:00:00"/>
    <x v="49"/>
    <d v="2019-12-14T00:00:00"/>
    <d v="2019-12-16T00:00:00"/>
    <d v="2020-01-03T00:00:00"/>
    <n v="99"/>
    <s v="Fittings"/>
    <s v="Pago: 60 dias del cumplimiento"/>
    <s v="en término"/>
    <x v="11"/>
    <n v="1"/>
  </r>
  <r>
    <x v="12"/>
    <x v="12"/>
    <x v="0"/>
    <x v="0"/>
    <s v="005/18 BBR"/>
    <n v="4600557062"/>
    <x v="1001"/>
    <n v="6811.91"/>
    <x v="763"/>
    <n v="89"/>
    <d v="2019-12-24T00:00:00"/>
    <s v="Salvador"/>
    <d v="2019-12-06T00:00:00"/>
    <x v="49"/>
    <d v="2019-12-14T00:00:00"/>
    <d v="2019-12-16T00:00:00"/>
    <d v="2020-01-03T00:00:00"/>
    <n v="99"/>
    <s v="Pistones (27)"/>
    <s v="Pago: 60 dias del cumplimiento"/>
    <s v="en término"/>
    <x v="11"/>
    <n v="1"/>
  </r>
  <r>
    <x v="12"/>
    <x v="12"/>
    <x v="0"/>
    <x v="0"/>
    <s v="005/18 BBR"/>
    <n v="4600557062"/>
    <x v="1002"/>
    <n v="386.2"/>
    <x v="764"/>
    <n v="55"/>
    <d v="2019-11-28T00:00:00"/>
    <s v="Salvador"/>
    <d v="2019-10-04T00:00:00"/>
    <x v="101"/>
    <d v="2019-10-12T00:00:00"/>
    <d v="2019-10-15T00:00:00"/>
    <d v="2019-11-01T00:00:00"/>
    <n v="28"/>
    <s v="Fittings"/>
    <s v="Pago: 60 dias del cumplimiento"/>
    <s v="en término"/>
    <x v="8"/>
    <n v="1"/>
  </r>
  <r>
    <x v="12"/>
    <x v="12"/>
    <x v="0"/>
    <x v="0"/>
    <s v="005/18 BBR"/>
    <n v="4600557062"/>
    <x v="993"/>
    <n v="2268.56"/>
    <x v="756"/>
    <n v="93"/>
    <d v="2019-12-01T00:00:00"/>
    <s v="Salvador"/>
    <d v="2019-12-19T00:00:00"/>
    <x v="142"/>
    <m/>
    <d v="2019-12-27T00:00:00"/>
    <d v="2020-01-02T00:00:00"/>
    <n v="125"/>
    <s v="Fittings (56 valvulas) - 2° ENVIO"/>
    <s v="Se demora la salida a pedido de Bolland Brasil debido a la nueva legislacion del Bco. Central (pago 60 dias del cumplimiento) - Pedido SAP N° 1059609"/>
    <s v=""/>
    <x v="11"/>
    <n v="0"/>
  </r>
  <r>
    <x v="12"/>
    <x v="12"/>
    <x v="1"/>
    <x v="2"/>
    <s v="018/18 CPG"/>
    <s v="ACUERDO MANSAROVAR"/>
    <x v="1003"/>
    <n v="102326.3"/>
    <x v="765"/>
    <n v="60"/>
    <d v="2019-02-22T00:00:00"/>
    <s v="Bogota"/>
    <d v="2019-01-22T00:00:00"/>
    <x v="86"/>
    <d v="2019-02-07T00:00:00"/>
    <d v="2019-02-16T00:00:00"/>
    <d v="2019-03-08T00:00:00"/>
    <n v="100"/>
    <s v=" Fittings  -  LLEVA CERTIFICADOS DE CALIDAD"/>
    <s v="Forwarder: MSL Argentina"/>
    <s v="en término"/>
    <x v="0"/>
    <n v="1"/>
  </r>
  <r>
    <x v="12"/>
    <x v="12"/>
    <x v="1"/>
    <x v="2"/>
    <s v="018/18 CPG"/>
    <s v="ACUERDO MANSAROVAR"/>
    <x v="1004"/>
    <n v="63797.5"/>
    <x v="765"/>
    <n v="60"/>
    <d v="2019-03-20T00:00:00"/>
    <s v="Bogota"/>
    <d v="2019-03-20T00:00:00"/>
    <x v="6"/>
    <m/>
    <d v="2019-04-08T00:00:00"/>
    <d v="2019-05-08T00:00:00"/>
    <n v="161"/>
    <s v=" Fittings -   LLEVA CERTIFICADOS DE CALIDAD"/>
    <s v="Forwarder: NaveTrans"/>
    <s v="atrasado"/>
    <x v="2"/>
    <n v="0"/>
  </r>
  <r>
    <x v="12"/>
    <x v="12"/>
    <x v="1"/>
    <x v="2"/>
    <s v="018/18 CPG"/>
    <s v="ACUERDO MANSAROVAR"/>
    <x v="1005"/>
    <n v="2304"/>
    <x v="766"/>
    <n v="10"/>
    <d v="2019-04-11T00:00:00"/>
    <s v="Bogota"/>
    <d v="2019-04-03T00:00:00"/>
    <x v="63"/>
    <m/>
    <d v="2019-04-12T00:00:00"/>
    <d v="2019-04-17T00:00:00"/>
    <n v="16"/>
    <s v=" Fittings -   LLEVA CERTIFICADOS DE CALIDAD"/>
    <s v="Aereo con NaveTrans"/>
    <s v="atrasado"/>
    <x v="10"/>
    <n v="0"/>
  </r>
  <r>
    <x v="12"/>
    <x v="12"/>
    <x v="1"/>
    <x v="48"/>
    <s v="010/19 CDQ"/>
    <s v="ACUERDO ECOPETROL"/>
    <x v="1006"/>
    <n v="109965.5"/>
    <x v="767"/>
    <n v="90"/>
    <d v="2019-08-13T00:00:00"/>
    <s v="Bogota"/>
    <d v="2019-05-17T00:00:00"/>
    <x v="143"/>
    <d v="2019-05-30T00:00:00"/>
    <d v="2019-06-05T00:00:00"/>
    <d v="2019-06-28T00:00:00"/>
    <n v="44"/>
    <s v="Fittings - 1° ENTREGA - LLEVA CERTIFICADOS DE CALIDAD"/>
    <m/>
    <s v="en término"/>
    <x v="3"/>
    <n v="1"/>
  </r>
  <r>
    <x v="12"/>
    <x v="12"/>
    <x v="1"/>
    <x v="48"/>
    <s v="011/19 CDQ"/>
    <s v="ACUERDO ECOPETROL"/>
    <x v="1007"/>
    <n v="79723.44"/>
    <x v="767"/>
    <n v="90"/>
    <d v="2019-08-13T00:00:00"/>
    <s v="Bogota"/>
    <d v="2019-05-17T00:00:00"/>
    <x v="143"/>
    <d v="2019-05-30T00:00:00"/>
    <d v="2019-06-05T00:00:00"/>
    <d v="2019-06-28T00:00:00"/>
    <n v="44"/>
    <s v="Fittings - 1° ENTREGA - LLEVA CERTIFICADOS DE CALIDAD"/>
    <m/>
    <s v="en término"/>
    <x v="3"/>
    <n v="1"/>
  </r>
  <r>
    <x v="12"/>
    <x v="12"/>
    <x v="1"/>
    <x v="48"/>
    <s v="012/19 CDQ"/>
    <s v="ACUERDO ECOPETROL"/>
    <x v="1008"/>
    <n v="2349.6"/>
    <x v="767"/>
    <n v="90"/>
    <d v="2019-08-13T00:00:00"/>
    <s v="Bogota"/>
    <d v="2019-05-17T00:00:00"/>
    <x v="143"/>
    <d v="2019-05-30T00:00:00"/>
    <d v="2019-06-05T00:00:00"/>
    <d v="2019-06-28T00:00:00"/>
    <n v="44"/>
    <s v="Fittings - 1° ENTREGA - LLEVA CERTIFICADOS DE CALIDAD"/>
    <m/>
    <s v="en término"/>
    <x v="3"/>
    <n v="1"/>
  </r>
  <r>
    <x v="12"/>
    <x v="12"/>
    <x v="1"/>
    <x v="48"/>
    <s v="013/19 CDQ"/>
    <s v="ACUERDO ECOPETROL"/>
    <x v="1009"/>
    <n v="35715.31"/>
    <x v="767"/>
    <n v="90"/>
    <d v="2019-08-13T00:00:00"/>
    <s v="Bogota"/>
    <d v="2019-05-17T00:00:00"/>
    <x v="143"/>
    <d v="2019-05-30T00:00:00"/>
    <d v="2019-06-05T00:00:00"/>
    <d v="2019-06-28T00:00:00"/>
    <n v="44"/>
    <s v="Fittings - 1° ENTREGA - LLEVA CERTIFICADOS DE CALIDAD"/>
    <m/>
    <s v="en término"/>
    <x v="3"/>
    <n v="1"/>
  </r>
  <r>
    <x v="12"/>
    <x v="12"/>
    <x v="1"/>
    <x v="48"/>
    <s v="035/19 CDQ"/>
    <s v="ACUERDO MANSAROVAR"/>
    <x v="1010"/>
    <n v="873.5"/>
    <x v="767"/>
    <n v="90"/>
    <d v="2019-08-13T00:00:00"/>
    <s v="Bogota"/>
    <d v="2019-05-17T00:00:00"/>
    <x v="143"/>
    <d v="2019-05-30T00:00:00"/>
    <d v="2019-06-05T00:00:00"/>
    <d v="2019-06-28T00:00:00"/>
    <n v="44"/>
    <s v=" Fittings -   LLEVA CERTIFICADOS DE CALIDAD"/>
    <m/>
    <s v="en término"/>
    <x v="3"/>
    <n v="1"/>
  </r>
  <r>
    <x v="12"/>
    <x v="12"/>
    <x v="1"/>
    <x v="48"/>
    <s v="010/19 CDQ"/>
    <s v="ACUERDO ECOPETROL"/>
    <x v="1011"/>
    <n v="203005.27"/>
    <x v="768"/>
    <n v="120"/>
    <d v="2019-10-05T00:00:00"/>
    <s v="Bogota"/>
    <d v="2019-06-14T00:00:00"/>
    <x v="144"/>
    <d v="2019-07-02T00:00:00"/>
    <d v="2019-07-06T00:00:00"/>
    <d v="2019-07-27T00:00:00"/>
    <n v="50"/>
    <s v="Fittings - 2° ENTREGA - LLEVA CERTIFICADOS DE CALIDAD"/>
    <m/>
    <s v="en término"/>
    <x v="4"/>
    <n v="1"/>
  </r>
  <r>
    <x v="12"/>
    <x v="12"/>
    <x v="1"/>
    <x v="48"/>
    <s v="011/19 CDQ"/>
    <s v="ACUERDO ECOPETROL"/>
    <x v="1012"/>
    <n v="193650.23"/>
    <x v="768"/>
    <n v="120"/>
    <d v="2019-10-05T00:00:00"/>
    <s v="Bogota"/>
    <d v="2019-06-14T00:00:00"/>
    <x v="144"/>
    <d v="2019-07-02T00:00:00"/>
    <d v="2019-07-06T00:00:00"/>
    <d v="2019-07-27T00:00:00"/>
    <n v="50"/>
    <s v="Fittings - 2° ENTREGA - LLEVA CERTIFICADOS DE CALIDAD"/>
    <m/>
    <s v="en término"/>
    <x v="4"/>
    <n v="1"/>
  </r>
  <r>
    <x v="12"/>
    <x v="12"/>
    <x v="1"/>
    <x v="48"/>
    <s v="013/19 CDQ"/>
    <s v="ACUERDO ECOPETROL"/>
    <x v="1013"/>
    <n v="49638.16"/>
    <x v="768"/>
    <n v="120"/>
    <d v="2019-10-05T00:00:00"/>
    <s v="Bogota"/>
    <d v="2019-06-14T00:00:00"/>
    <x v="144"/>
    <d v="2019-07-02T00:00:00"/>
    <d v="2019-07-06T00:00:00"/>
    <d v="2019-07-27T00:00:00"/>
    <n v="50"/>
    <s v="Fittings - 2° ENTREGA - LLEVA CERTIFICADOS DE CALIDAD"/>
    <m/>
    <s v="en término"/>
    <x v="4"/>
    <n v="1"/>
  </r>
  <r>
    <x v="12"/>
    <x v="12"/>
    <x v="1"/>
    <x v="48"/>
    <s v="020/19 CDQ"/>
    <s v="ACUERDO ECOPETROL"/>
    <x v="1014"/>
    <n v="13745.02"/>
    <x v="768"/>
    <n v="90"/>
    <d v="2019-09-05T00:00:00"/>
    <s v="Bogota"/>
    <d v="2019-06-14T00:00:00"/>
    <x v="112"/>
    <d v="2019-07-02T00:00:00"/>
    <d v="2019-07-06T00:00:00"/>
    <d v="2019-07-27T00:00:00"/>
    <n v="50"/>
    <s v=" Fittings -   LLEVA CERTIFICADOS DE CALIDAD"/>
    <m/>
    <s v="en término"/>
    <x v="4"/>
    <n v="1"/>
  </r>
  <r>
    <x v="12"/>
    <x v="12"/>
    <x v="1"/>
    <x v="48"/>
    <s v="021/19 CDQ"/>
    <s v="ACUERDO ECOPETROL"/>
    <x v="1015"/>
    <n v="4450.6099999999997"/>
    <x v="768"/>
    <n v="90"/>
    <d v="2019-09-05T00:00:00"/>
    <s v="Bogota"/>
    <d v="2019-06-14T00:00:00"/>
    <x v="112"/>
    <d v="2019-07-02T00:00:00"/>
    <d v="2019-07-06T00:00:00"/>
    <d v="2019-07-27T00:00:00"/>
    <n v="50"/>
    <s v=" Fittings -   LLEVA CERTIFICADOS DE CALIDAD"/>
    <m/>
    <s v="en término"/>
    <x v="4"/>
    <n v="1"/>
  </r>
  <r>
    <x v="12"/>
    <x v="12"/>
    <x v="1"/>
    <x v="48"/>
    <s v="010/19 CDQ"/>
    <s v="ACUERDO ECOPETROL"/>
    <x v="1016"/>
    <n v="143331.25"/>
    <x v="769"/>
    <n v="150"/>
    <d v="2019-12-06T00:00:00"/>
    <s v="Bogota"/>
    <d v="2019-07-26T00:00:00"/>
    <x v="145"/>
    <d v="2019-08-06T00:00:00"/>
    <d v="2019-08-17T00:00:00"/>
    <d v="2019-08-31T00:00:00"/>
    <n v="53"/>
    <s v=" Fittings - 3° ENTREGA - LLEVA CERTIFICADOS DE CALIDAD"/>
    <s v="Se roleo del 10 al 17/08/19"/>
    <s v="en término"/>
    <x v="5"/>
    <n v="1"/>
  </r>
  <r>
    <x v="12"/>
    <x v="12"/>
    <x v="1"/>
    <x v="48"/>
    <s v="010/19 CDQ"/>
    <s v="ACUERDO ECOPETROL"/>
    <x v="1017"/>
    <n v="23670.67"/>
    <x v="770"/>
    <n v="165"/>
    <d v="2020-01-13T00:00:00"/>
    <s v="Bogota"/>
    <d v="2019-08-13T00:00:00"/>
    <x v="146"/>
    <d v="2019-09-06T00:00:00"/>
    <d v="2019-09-14T00:00:00"/>
    <d v="2019-10-04T00:00:00"/>
    <n v="64"/>
    <s v=" Bombas + Fittings - 4° ENTREGA - LLEVA CERTIFICADOS DE CALIDAD"/>
    <m/>
    <s v="en término"/>
    <x v="6"/>
    <n v="1"/>
  </r>
  <r>
    <x v="12"/>
    <x v="12"/>
    <x v="1"/>
    <x v="48"/>
    <s v="010/19 CDQ"/>
    <s v="ACUERDO ECOPETROL"/>
    <x v="1018"/>
    <n v="369072"/>
    <x v="771"/>
    <n v="165"/>
    <d v="2019-08-12T00:00:00"/>
    <s v="Bogota"/>
    <d v="2019-10-29T00:00:00"/>
    <x v="24"/>
    <d v="2019-11-06T00:00:00"/>
    <d v="2019-11-09T00:00:00"/>
    <d v="2019-11-30T00:00:00"/>
    <n v="275"/>
    <s v=" Bombas + Fittings - 5° ENTREGA - LLEVA CERTIFICADOS DE CALIDAD"/>
    <m/>
    <s v="atrasado"/>
    <x v="8"/>
    <n v="0"/>
  </r>
  <r>
    <x v="12"/>
    <x v="12"/>
    <x v="1"/>
    <x v="48"/>
    <s v="011/19 CDQ"/>
    <s v="ACUERDO ECOPETROL"/>
    <x v="1019"/>
    <n v="95886.62"/>
    <x v="769"/>
    <n v="150"/>
    <d v="2019-12-06T00:00:00"/>
    <s v="Bogota"/>
    <d v="2019-07-26T00:00:00"/>
    <x v="145"/>
    <d v="2019-08-06T00:00:00"/>
    <d v="2019-08-17T00:00:00"/>
    <d v="2019-08-31T00:00:00"/>
    <n v="53"/>
    <s v=" Fittings - 3° ENTREGA - LLEVA CERTIFICADOS DE CALIDAD"/>
    <s v="Se roleo del 10 al 17/08/19"/>
    <s v="en término"/>
    <x v="5"/>
    <n v="1"/>
  </r>
  <r>
    <x v="12"/>
    <x v="12"/>
    <x v="1"/>
    <x v="48"/>
    <s v="013/19 CDQ"/>
    <s v="ACUERDO ECOPETROL"/>
    <x v="1020"/>
    <n v="46886.12"/>
    <x v="769"/>
    <n v="150"/>
    <d v="2019-12-06T00:00:00"/>
    <s v="Bogota"/>
    <d v="2019-07-26T00:00:00"/>
    <x v="145"/>
    <d v="2019-08-06T00:00:00"/>
    <d v="2019-08-17T00:00:00"/>
    <d v="2019-08-31T00:00:00"/>
    <n v="53"/>
    <s v=" Fittings - 3° ENTREGA - LLEVA CERTIFICADOS DE CALIDAD"/>
    <s v="Se roleo del 10 al 17/08/19"/>
    <s v="en término"/>
    <x v="5"/>
    <n v="1"/>
  </r>
  <r>
    <x v="12"/>
    <x v="12"/>
    <x v="1"/>
    <x v="48"/>
    <s v="039/18 CDQ"/>
    <s v="ACUERDO MANSAROVAR"/>
    <x v="1021"/>
    <n v="111746.11"/>
    <x v="772"/>
    <n v="90"/>
    <d v="2019-10-24T00:00:00"/>
    <s v="Bogota"/>
    <d v="2019-08-13T00:00:00"/>
    <x v="108"/>
    <d v="2019-09-06T00:00:00"/>
    <d v="2019-09-14T00:00:00"/>
    <d v="2019-10-04T00:00:00"/>
    <n v="70"/>
    <s v=" Fittings -   LLEVA CERTIFICADOS DE CALIDAD"/>
    <m/>
    <s v="en término"/>
    <x v="6"/>
    <n v="1"/>
  </r>
  <r>
    <x v="12"/>
    <x v="12"/>
    <x v="1"/>
    <x v="48"/>
    <s v="045/18 CDQ"/>
    <s v="ACUERDO MANSAROVAR"/>
    <x v="1022"/>
    <n v="3890.73"/>
    <x v="772"/>
    <n v="90"/>
    <d v="2019-10-24T00:00:00"/>
    <s v="Bogota"/>
    <d v="2019-08-13T00:00:00"/>
    <x v="108"/>
    <d v="2019-09-06T00:00:00"/>
    <d v="2019-09-14T00:00:00"/>
    <d v="2019-10-04T00:00:00"/>
    <n v="70"/>
    <s v=" Fittings -   LLEVA CERTIFICADOS DE CALIDAD"/>
    <m/>
    <s v="en término"/>
    <x v="6"/>
    <n v="1"/>
  </r>
  <r>
    <x v="12"/>
    <x v="12"/>
    <x v="1"/>
    <x v="48"/>
    <s v="050/19 CDQ"/>
    <s v="ACUERDO ECOPETROL"/>
    <x v="1023"/>
    <n v="1794.62"/>
    <x v="753"/>
    <n v="75"/>
    <d v="2019-10-20T00:00:00"/>
    <s v="Bogota"/>
    <d v="2019-10-29T00:00:00"/>
    <x v="92"/>
    <d v="2019-11-06T00:00:00"/>
    <d v="2019-11-09T00:00:00"/>
    <d v="2019-11-30T00:00:00"/>
    <n v="116"/>
    <s v=" Fittings -   LLEVA CERTIFICADOS DE CALIDAD"/>
    <s v="Forwarder Almar"/>
    <s v="atrasado"/>
    <x v="8"/>
    <n v="0"/>
  </r>
  <r>
    <x v="12"/>
    <x v="12"/>
    <x v="1"/>
    <x v="48"/>
    <s v="051/19 CDQ"/>
    <s v="ACUERDO MANSAROVAR"/>
    <x v="1024"/>
    <n v="44589.64"/>
    <x v="773"/>
    <n v="75"/>
    <d v="2019-12-04T00:00:00"/>
    <s v="Bogota"/>
    <d v="2019-12-10T00:00:00"/>
    <x v="7"/>
    <d v="2019-12-13T00:00:00"/>
    <d v="2019-12-21T00:00:00"/>
    <d v="2020-01-20T00:00:00"/>
    <n v="122"/>
    <s v=" Fittings -   LLEVA CERTIFICADOS DE CALIDAD"/>
    <m/>
    <s v="atrasado"/>
    <x v="11"/>
    <n v="0"/>
  </r>
  <r>
    <x v="12"/>
    <x v="12"/>
    <x v="1"/>
    <x v="48"/>
    <s v="053/19 CDQ"/>
    <s v="ACUERDO ECOPETROL"/>
    <x v="1025"/>
    <n v="314.79000000000002"/>
    <x v="773"/>
    <n v="75"/>
    <d v="2019-12-04T00:00:00"/>
    <s v="Bogota"/>
    <d v="2019-11-15T00:00:00"/>
    <x v="7"/>
    <d v="2019-12-13T00:00:00"/>
    <d v="2019-12-21T00:00:00"/>
    <d v="2020-01-20T00:00:00"/>
    <n v="122"/>
    <s v=" Fittings -   LLEVA CERTIFICADOS DE CALIDAD"/>
    <m/>
    <s v="atrasado"/>
    <x v="9"/>
    <n v="0"/>
  </r>
  <r>
    <x v="12"/>
    <x v="12"/>
    <x v="1"/>
    <x v="48"/>
    <s v="054/19 CDQ"/>
    <s v="ACUERDO MANSAROVAR"/>
    <x v="1026"/>
    <n v="3918.21"/>
    <x v="774"/>
    <n v="30"/>
    <d v="2019-10-13T00:00:00"/>
    <s v="Bogota"/>
    <d v="2019-10-11T00:00:00"/>
    <x v="15"/>
    <m/>
    <d v="2019-10-16T00:00:00"/>
    <d v="2019-10-21T00:00:00"/>
    <n v="18"/>
    <s v="30 pistones -   LLEVA CERTIFICADOS DE CALIDAD - Forwarder: Navetrans"/>
    <m/>
    <s v="atrasado"/>
    <x v="8"/>
    <n v="0"/>
  </r>
  <r>
    <x v="12"/>
    <x v="12"/>
    <x v="3"/>
    <x v="47"/>
    <s v="019/19 EAG"/>
    <m/>
    <x v="1027"/>
    <n v="3400"/>
    <x v="775"/>
    <n v="75"/>
    <d v="2019-05-23T00:00:00"/>
    <s v="Buenos Aires"/>
    <d v="2019-05-17T00:00:00"/>
    <x v="5"/>
    <d v="2019-05-24T00:00:00"/>
    <d v="2019-06-08T00:00:00"/>
    <d v="2019-06-17T00:00:00"/>
    <n v="100"/>
    <s v=" Fittings"/>
    <m/>
    <s v="atrasado"/>
    <x v="3"/>
    <n v="0"/>
  </r>
  <r>
    <x v="12"/>
    <x v="12"/>
    <x v="5"/>
    <x v="7"/>
    <s v="027/19 TAL"/>
    <m/>
    <x v="1028"/>
    <n v="9871.06"/>
    <x v="776"/>
    <n v="261"/>
    <d v="2019-06-30T00:00:00"/>
    <s v="Buenos Aires"/>
    <d v="2019-06-21T00:00:00"/>
    <x v="120"/>
    <d v="2019-08-01T00:00:00"/>
    <d v="2019-08-10T00:00:00"/>
    <d v="2019-09-07T00:00:00"/>
    <n v="330"/>
    <s v=" Fittings -   LLEVA CERTIFICADOS DE CALIDAD"/>
    <m/>
    <s v="atrasado"/>
    <x v="4"/>
    <n v="0"/>
  </r>
  <r>
    <x v="12"/>
    <x v="12"/>
    <x v="10"/>
    <x v="18"/>
    <s v="062/18 WEN"/>
    <m/>
    <x v="1029"/>
    <n v="2542"/>
    <x v="777"/>
    <n v="57"/>
    <d v="2019-03-15T00:00:00"/>
    <s v="Buenos Aires"/>
    <d v="2019-03-12T00:00:00"/>
    <x v="44"/>
    <m/>
    <d v="2019-03-15T00:00:00"/>
    <d v="2019-03-20T00:00:00"/>
    <n v="62"/>
    <s v=" Fittings -   LLEVA CERTIFICADOS DE CALIDAD"/>
    <m/>
    <s v="en término"/>
    <x v="2"/>
    <n v="1"/>
  </r>
  <r>
    <x v="12"/>
    <x v="12"/>
    <x v="10"/>
    <x v="18"/>
    <s v="026/19 WEN"/>
    <m/>
    <x v="1030"/>
    <n v="6950"/>
    <x v="778"/>
    <n v="75"/>
    <d v="2019-06-18T00:00:00"/>
    <s v="Buenos Aires"/>
    <d v="2019-06-11T00:00:00"/>
    <x v="33"/>
    <m/>
    <d v="2019-06-13T00:00:00"/>
    <d v="2019-06-18T00:00:00"/>
    <n v="75"/>
    <s v=" Fittings -   LLEVA CERTIFICADOS DE CALIDAD"/>
    <m/>
    <s v="en término"/>
    <x v="4"/>
    <n v="1"/>
  </r>
  <r>
    <x v="12"/>
    <x v="12"/>
    <x v="10"/>
    <x v="18"/>
    <s v="029/19 WEN"/>
    <m/>
    <x v="1031"/>
    <n v="430"/>
    <x v="779"/>
    <n v="76"/>
    <d v="2019-07-03T00:00:00"/>
    <s v="Buenos Aires"/>
    <d v="2019-06-11T00:00:00"/>
    <x v="35"/>
    <m/>
    <d v="2019-06-13T00:00:00"/>
    <d v="2019-06-18T00:00:00"/>
    <n v="61"/>
    <s v=" Fittings -   LLEVA CERTIFICADOS DE CALIDAD"/>
    <m/>
    <s v="en término"/>
    <x v="4"/>
    <n v="1"/>
  </r>
  <r>
    <x v="12"/>
    <x v="12"/>
    <x v="10"/>
    <x v="16"/>
    <s v="044/19 WGP"/>
    <m/>
    <x v="1032"/>
    <n v="3185"/>
    <x v="769"/>
    <n v="20"/>
    <d v="2019-07-29T00:00:00"/>
    <s v="Buenos Aires"/>
    <d v="2019-07-12T00:00:00"/>
    <x v="17"/>
    <m/>
    <d v="2019-07-18T00:00:00"/>
    <d v="2019-07-25T00:00:00"/>
    <n v="16"/>
    <s v=" Fittings"/>
    <m/>
    <s v="en término"/>
    <x v="5"/>
    <n v="1"/>
  </r>
  <r>
    <x v="12"/>
    <x v="12"/>
    <x v="10"/>
    <x v="18"/>
    <s v="040/19 WEN"/>
    <m/>
    <x v="1033"/>
    <n v="631"/>
    <x v="748"/>
    <n v="48"/>
    <d v="2019-07-29T00:00:00"/>
    <s v="Buenos Aires"/>
    <d v="2019-07-26T00:00:00"/>
    <x v="63"/>
    <m/>
    <d v="2019-07-30T00:00:00"/>
    <d v="2019-08-04T00:00:00"/>
    <n v="54"/>
    <s v=" Fittings -   LLEVA CERTIFICADOS DE CALIDAD"/>
    <m/>
    <s v="atrasado"/>
    <x v="5"/>
    <n v="0"/>
  </r>
  <r>
    <x v="12"/>
    <x v="12"/>
    <x v="10"/>
    <x v="16"/>
    <s v="037/19 WGP"/>
    <m/>
    <x v="1034"/>
    <n v="12300"/>
    <x v="780"/>
    <n v="100"/>
    <d v="2019-10-04T00:00:00"/>
    <s v="Comodoro Rivadavia"/>
    <d v="2019-10-11T00:00:00"/>
    <x v="32"/>
    <m/>
    <d v="2019-10-11T00:00:00"/>
    <d v="2019-10-14T00:00:00"/>
    <n v="110"/>
    <s v=" Fittings"/>
    <m/>
    <s v="atrasado"/>
    <x v="8"/>
    <n v="0"/>
  </r>
  <r>
    <x v="12"/>
    <x v="12"/>
    <x v="10"/>
    <x v="18"/>
    <s v="049/19 WEN"/>
    <m/>
    <x v="1035"/>
    <n v="355"/>
    <x v="781"/>
    <n v="80"/>
    <d v="2019-12-18T00:00:00"/>
    <s v="Buenos Aires"/>
    <d v="2019-11-29T00:00:00"/>
    <x v="50"/>
    <m/>
    <d v="2019-12-04T00:00:00"/>
    <d v="2019-12-09T00:00:00"/>
    <n v="71"/>
    <s v=" Fittings"/>
    <m/>
    <s v="en término"/>
    <x v="9"/>
    <n v="1"/>
  </r>
  <r>
    <x v="12"/>
    <x v="12"/>
    <x v="10"/>
    <x v="16"/>
    <s v="057/19 WGP"/>
    <m/>
    <x v="1036"/>
    <n v="3800"/>
    <x v="782"/>
    <n v="66"/>
    <d v="2020-01-10T00:00:00"/>
    <s v="Buenos Aires"/>
    <d v="2019-12-20T00:00:00"/>
    <x v="21"/>
    <m/>
    <d v="2019-12-26T00:00:00"/>
    <d v="2019-12-31T00:00:00"/>
    <n v="56"/>
    <s v=" Fittings"/>
    <s v="Pedido SAP N° 1058146"/>
    <s v="en término"/>
    <x v="11"/>
    <n v="1"/>
  </r>
  <r>
    <x v="13"/>
    <x v="13"/>
    <x v="0"/>
    <x v="0"/>
    <s v="078/17 BBR"/>
    <n v="4600558097"/>
    <x v="965"/>
    <n v="200055"/>
    <x v="736"/>
    <n v="123"/>
    <d v="2020-01-15T00:00:00"/>
    <s v="Salvador"/>
    <d v="2020-01-10T00:00:00"/>
    <x v="15"/>
    <d v="2020-01-18T00:00:00"/>
    <d v="2020-01-20T00:00:00"/>
    <d v="2020-02-09T00:00:00"/>
    <n v="362"/>
    <s v="88 bombas - 5° ENTREGA (valor con el 4% de descuento) - LIBERAN LA INSPECCION"/>
    <s v="A. Pigni:  solicita pagar en 90 dias - Si Petrobras autoriza las entregas, se harian 6 entregas a apartir de Junio (87 bombas) y luego 88 bombas por mes hasta Noviembre inclusive"/>
    <s v="atrasado"/>
    <x v="0"/>
    <n v="0"/>
  </r>
  <r>
    <x v="13"/>
    <x v="13"/>
    <x v="0"/>
    <x v="0"/>
    <s v="078/17 BBR"/>
    <n v="4600558097"/>
    <x v="965"/>
    <n v="207314"/>
    <x v="736"/>
    <n v="123"/>
    <d v="2020-02-15T00:00:00"/>
    <s v="Salvador"/>
    <d v="2020-02-14T00:00:00"/>
    <x v="32"/>
    <d v="2020-02-22T00:00:00"/>
    <d v="2020-02-23T00:00:00"/>
    <d v="2020-03-14T00:00:00"/>
    <n v="396"/>
    <s v="88 bombas - 6° ENTREGA (valor con el 4% de descuento) - LIBERAN LA INSPECCION"/>
    <s v="A. Pigni:  solicita pagar en 90 dias - Si Petrobras autoriza las entregas, se harian 6 entregas a apartir de Junio (87 bombas) y luego 88 bombas por mes hasta Noviembre inclusive"/>
    <s v="atrasado"/>
    <x v="1"/>
    <n v="0"/>
  </r>
  <r>
    <x v="13"/>
    <x v="13"/>
    <x v="0"/>
    <x v="0"/>
    <s v="052/19 BBR"/>
    <m/>
    <x v="1037"/>
    <n v="1150"/>
    <x v="783"/>
    <n v="137"/>
    <d v="2020-02-02T00:00:00"/>
    <s v="Salvador"/>
    <d v="2020-01-09T00:00:00"/>
    <x v="21"/>
    <d v="2020-01-18T00:00:00"/>
    <d v="2020-01-20T00:00:00"/>
    <d v="2020-02-09T00:00:00"/>
    <n v="144"/>
    <s v="1 bomba"/>
    <s v="Pago: 60 dias del cumplimiento"/>
    <s v="en término"/>
    <x v="0"/>
    <n v="1"/>
  </r>
  <r>
    <x v="13"/>
    <x v="13"/>
    <x v="0"/>
    <x v="0"/>
    <s v="005/18 BBR"/>
    <n v="4600557062"/>
    <x v="1038"/>
    <n v="8337.58"/>
    <x v="784"/>
    <n v="91"/>
    <d v="2020-02-03T00:00:00"/>
    <s v="Salvador"/>
    <d v="2020-01-10T00:00:00"/>
    <x v="34"/>
    <d v="2020-01-17T00:00:00"/>
    <d v="2020-01-19T00:00:00"/>
    <d v="2020-02-08T00:00:00"/>
    <n v="96"/>
    <s v="Fittings + 4 bombas"/>
    <s v="Pago: 60 dias del cumplimiento -  Pedido SAP N° 1058199"/>
    <s v="en término"/>
    <x v="0"/>
    <n v="1"/>
  </r>
  <r>
    <x v="13"/>
    <x v="13"/>
    <x v="0"/>
    <x v="0"/>
    <s v="056/19 BBR"/>
    <s v="Central Resources"/>
    <x v="1039"/>
    <n v="1120"/>
    <x v="785"/>
    <n v="90"/>
    <d v="2020-02-05T00:00:00"/>
    <s v="Salvador"/>
    <d v="2020-01-10T00:00:00"/>
    <x v="102"/>
    <d v="2020-01-17T00:00:00"/>
    <d v="2020-01-19T00:00:00"/>
    <d v="2020-02-08T00:00:00"/>
    <n v="93"/>
    <s v="1 bomba"/>
    <s v="Pago: 60 dias del cumplimiento"/>
    <s v="en término"/>
    <x v="0"/>
    <n v="1"/>
  </r>
  <r>
    <x v="13"/>
    <x v="13"/>
    <x v="0"/>
    <x v="0"/>
    <s v="055/19 BBR"/>
    <m/>
    <x v="1040"/>
    <n v="59244.1"/>
    <x v="786"/>
    <n v="86"/>
    <d v="2020-02-26T00:00:00"/>
    <s v="Salvador"/>
    <d v="2020-02-14T00:00:00"/>
    <x v="19"/>
    <d v="2020-02-22T00:00:00"/>
    <d v="2020-02-23T00:00:00"/>
    <d v="2020-03-14T00:00:00"/>
    <n v="103"/>
    <s v="Fittings"/>
    <s v="Pago: 60 dias del cumplimiento - Pedido SAP N° 1059457"/>
    <s v="en término"/>
    <x v="1"/>
    <n v="1"/>
  </r>
  <r>
    <x v="13"/>
    <x v="13"/>
    <x v="0"/>
    <x v="0"/>
    <s v="061/19 BBR"/>
    <m/>
    <x v="1041"/>
    <n v="15220"/>
    <x v="786"/>
    <n v="86"/>
    <d v="2020-02-26T00:00:00"/>
    <s v="Salvador"/>
    <d v="2020-02-14T00:00:00"/>
    <x v="19"/>
    <d v="2020-02-22T00:00:00"/>
    <d v="2020-02-23T00:00:00"/>
    <d v="2020-03-14T00:00:00"/>
    <n v="103"/>
    <s v="Fittings"/>
    <s v="Pago: 60 dias del cumplimiento - Pedido SAP N° 1059453"/>
    <s v="en término"/>
    <x v="1"/>
    <n v="1"/>
  </r>
  <r>
    <x v="13"/>
    <x v="13"/>
    <x v="0"/>
    <x v="0"/>
    <s v="062/19 BBR"/>
    <m/>
    <x v="1042"/>
    <n v="3918.8"/>
    <x v="786"/>
    <n v="86"/>
    <d v="2020-02-26T00:00:00"/>
    <s v="Salvador"/>
    <d v="2020-02-14T00:00:00"/>
    <x v="19"/>
    <d v="2020-02-22T00:00:00"/>
    <d v="2020-02-23T00:00:00"/>
    <d v="2020-03-14T00:00:00"/>
    <n v="103"/>
    <s v="Fittings"/>
    <s v="Pago: 60 dias del cumplimiento - Pedido SAP N° 1059451"/>
    <s v="en término"/>
    <x v="1"/>
    <n v="1"/>
  </r>
  <r>
    <x v="13"/>
    <x v="13"/>
    <x v="0"/>
    <x v="0"/>
    <s v="005/18 BBR"/>
    <n v="4600557062"/>
    <x v="1043"/>
    <n v="358.32"/>
    <x v="787"/>
    <n v="82"/>
    <d v="2020-03-07T00:00:00"/>
    <s v="Salvador"/>
    <d v="2020-02-14T00:00:00"/>
    <x v="50"/>
    <d v="2020-02-22T00:00:00"/>
    <d v="2020-02-23T00:00:00"/>
    <d v="2020-03-14T00:00:00"/>
    <n v="89"/>
    <s v="Fittings"/>
    <s v="Pago: 60 dias del cumplimiento -  Pedido SAP N° 1060096"/>
    <s v="en término"/>
    <x v="1"/>
    <n v="1"/>
  </r>
  <r>
    <x v="13"/>
    <x v="13"/>
    <x v="0"/>
    <x v="0"/>
    <s v="005/18 BBR"/>
    <n v="4600557062"/>
    <x v="1044"/>
    <n v="8797.4599999999991"/>
    <x v="787"/>
    <n v="82"/>
    <d v="2020-03-07T00:00:00"/>
    <s v="Salvador"/>
    <d v="2020-02-14T00:00:00"/>
    <x v="50"/>
    <d v="2020-02-22T00:00:00"/>
    <d v="2020-02-23T00:00:00"/>
    <d v="2020-03-14T00:00:00"/>
    <n v="89"/>
    <s v="Fittings"/>
    <s v="Pago: 60 dias del cumplimiento -  Pedido SAP N° 1060097"/>
    <s v="en término"/>
    <x v="1"/>
    <n v="1"/>
  </r>
  <r>
    <x v="13"/>
    <x v="13"/>
    <x v="0"/>
    <x v="0"/>
    <s v="005/18 BBR"/>
    <n v="4600557062"/>
    <x v="1045"/>
    <n v="4552.17"/>
    <x v="788"/>
    <n v="83"/>
    <d v="2020-03-09T00:00:00"/>
    <s v="Salvador"/>
    <d v="2020-03-13T00:00:00"/>
    <x v="43"/>
    <d v="2020-03-21T00:00:00"/>
    <d v="2020-03-23T00:00:00"/>
    <d v="2020-04-13T00:00:00"/>
    <n v="118"/>
    <s v="Fittings"/>
    <s v="Pago: 60 dias del cumplimiento -  Pedido SAP N° 1060146"/>
    <s v="atrasado"/>
    <x v="2"/>
    <n v="0"/>
  </r>
  <r>
    <x v="13"/>
    <x v="13"/>
    <x v="0"/>
    <x v="0"/>
    <s v="005/18 BBR"/>
    <n v="4600557062"/>
    <x v="1046"/>
    <n v="32295.17"/>
    <x v="789"/>
    <n v="84"/>
    <d v="2020-03-16T00:00:00"/>
    <s v="Salvador"/>
    <d v="2020-03-13T00:00:00"/>
    <x v="14"/>
    <d v="2020-03-21T00:00:00"/>
    <d v="2020-03-23T00:00:00"/>
    <d v="2020-04-13T00:00:00"/>
    <n v="112"/>
    <s v="Fittings"/>
    <s v="Pago: 60 dias del cumplimiento -  Pedido SAP N° 1061164"/>
    <s v="atrasado"/>
    <x v="2"/>
    <n v="0"/>
  </r>
  <r>
    <x v="13"/>
    <x v="13"/>
    <x v="0"/>
    <x v="0"/>
    <s v="005/18 BBR"/>
    <n v="4600557062"/>
    <x v="1047"/>
    <n v="3939.37"/>
    <x v="790"/>
    <n v="90"/>
    <d v="2020-04-06T00:00:00"/>
    <s v="Salvador"/>
    <d v="2020-03-13T00:00:00"/>
    <x v="87"/>
    <d v="2020-03-21T00:00:00"/>
    <d v="2020-03-23T00:00:00"/>
    <d v="2020-04-13T00:00:00"/>
    <n v="97"/>
    <s v="Fittings"/>
    <s v="Pago: 60 dias del cumplimiento -  Pedido SAP N° 1061500"/>
    <s v="en término"/>
    <x v="2"/>
    <n v="1"/>
  </r>
  <r>
    <x v="13"/>
    <x v="13"/>
    <x v="0"/>
    <x v="0"/>
    <s v="005/18 BBR"/>
    <n v="4600557062"/>
    <x v="1048"/>
    <n v="1436.48"/>
    <x v="791"/>
    <n v="90"/>
    <d v="2020-04-15T00:00:00"/>
    <s v="Salvador"/>
    <d v="2020-03-13T00:00:00"/>
    <x v="48"/>
    <d v="2020-03-21T00:00:00"/>
    <d v="2020-03-23T00:00:00"/>
    <d v="2020-04-13T00:00:00"/>
    <n v="88"/>
    <s v="Fittings"/>
    <s v="Pago: 60 dias del cumplimiento -  Pedido SAP N° 1062018"/>
    <s v="en término"/>
    <x v="2"/>
    <n v="1"/>
  </r>
  <r>
    <x v="13"/>
    <x v="13"/>
    <x v="0"/>
    <x v="0"/>
    <s v="005/18 BBR"/>
    <n v="4600557062"/>
    <x v="1049"/>
    <n v="33242.97"/>
    <x v="792"/>
    <n v="88"/>
    <d v="2020-05-02T00:00:00"/>
    <s v="Salvador"/>
    <d v="2020-04-08T00:00:00"/>
    <x v="17"/>
    <d v="2020-04-21T00:00:00"/>
    <d v="2020-04-29T00:00:00"/>
    <d v="2020-05-19T00:00:00"/>
    <n v="105"/>
    <s v="19 bombas + Fittings"/>
    <s v="Pago: 60 dias del cumplimiento -  Pedido SAP N° 1063537"/>
    <s v="en término"/>
    <x v="10"/>
    <n v="1"/>
  </r>
  <r>
    <x v="13"/>
    <x v="13"/>
    <x v="19"/>
    <x v="0"/>
    <s v="001/20 BBR"/>
    <m/>
    <x v="1050"/>
    <n v="1280"/>
    <x v="793"/>
    <n v="79"/>
    <d v="2020-05-16T00:00:00"/>
    <s v="Salvador"/>
    <d v="2020-04-08T00:00:00"/>
    <x v="48"/>
    <d v="2020-04-21T00:00:00"/>
    <d v="2020-04-29T00:00:00"/>
    <d v="2020-05-19T00:00:00"/>
    <n v="82"/>
    <s v="1 bomba"/>
    <s v="Pago: 60 dias del cumplimiento -  Pedido SAP N° 1064982"/>
    <s v="en término"/>
    <x v="10"/>
    <n v="1"/>
  </r>
  <r>
    <x v="13"/>
    <x v="13"/>
    <x v="0"/>
    <x v="0"/>
    <s v="005/18 BBR"/>
    <n v="4600557062"/>
    <x v="1051"/>
    <n v="2224.62"/>
    <x v="794"/>
    <n v="86"/>
    <d v="2020-06-07T00:00:00"/>
    <s v="Salvador"/>
    <d v="2020-05-22T00:00:00"/>
    <x v="44"/>
    <d v="2020-06-07T00:00:00"/>
    <d v="2020-06-08T00:00:00"/>
    <d v="2020-06-26T00:00:00"/>
    <n v="105"/>
    <s v="Fittings"/>
    <s v="Pago: 60 dias del cumplimiento -  Pedido SAP N° 1065242"/>
    <s v="en término"/>
    <x v="3"/>
    <n v="1"/>
  </r>
  <r>
    <x v="13"/>
    <x v="13"/>
    <x v="0"/>
    <x v="0"/>
    <s v="005/18 BBR"/>
    <n v="4600557062"/>
    <x v="1052"/>
    <n v="729.06"/>
    <x v="795"/>
    <n v="87"/>
    <d v="2020-06-07T00:00:00"/>
    <s v="Salvador"/>
    <d v="2020-05-22T00:00:00"/>
    <x v="44"/>
    <d v="2020-06-07T00:00:00"/>
    <d v="2020-06-08T00:00:00"/>
    <d v="2020-06-26T00:00:00"/>
    <n v="106"/>
    <s v="Fittings"/>
    <s v="Pago: 60 dias del cumplimiento -  Pedido SAP N° 1065244"/>
    <s v="en término"/>
    <x v="3"/>
    <n v="1"/>
  </r>
  <r>
    <x v="13"/>
    <x v="13"/>
    <x v="0"/>
    <x v="0"/>
    <s v="005/18 BBR"/>
    <n v="4600557062"/>
    <x v="1053"/>
    <n v="48497.14"/>
    <x v="794"/>
    <n v="86"/>
    <d v="2020-06-07T00:00:00"/>
    <s v="Salvador"/>
    <d v="2020-05-22T00:00:00"/>
    <x v="44"/>
    <d v="2020-06-07T00:00:00"/>
    <d v="2020-06-08T00:00:00"/>
    <d v="2020-06-26T00:00:00"/>
    <n v="105"/>
    <s v="17 bombas + Fittings"/>
    <s v="Pago: 60 dias del cumplimiento -  Pedido SAP N° 1065253"/>
    <s v="en término"/>
    <x v="3"/>
    <n v="1"/>
  </r>
  <r>
    <x v="13"/>
    <x v="13"/>
    <x v="0"/>
    <x v="0"/>
    <s v="005/18 BBR"/>
    <n v="4600557062"/>
    <x v="1054"/>
    <n v="2080.62"/>
    <x v="796"/>
    <n v="85"/>
    <d v="2020-06-16T00:00:00"/>
    <s v="Salvador"/>
    <d v="2020-05-22T00:00:00"/>
    <x v="74"/>
    <d v="2020-06-07T00:00:00"/>
    <d v="2020-06-08T00:00:00"/>
    <d v="2020-06-26T00:00:00"/>
    <n v="95"/>
    <s v="Fittings"/>
    <s v="Pago: 60 dias del cumplimiento -  Pedido SAP N° 1065844"/>
    <s v="en término"/>
    <x v="3"/>
    <n v="1"/>
  </r>
  <r>
    <x v="13"/>
    <x v="13"/>
    <x v="0"/>
    <x v="0"/>
    <s v="005/18 BBR"/>
    <n v="4600557062"/>
    <x v="1055"/>
    <n v="3798.08"/>
    <x v="796"/>
    <n v="85"/>
    <d v="2020-06-16T00:00:00"/>
    <s v="Salvador"/>
    <d v="2020-05-22T00:00:00"/>
    <x v="74"/>
    <d v="2020-06-07T00:00:00"/>
    <d v="2020-06-08T00:00:00"/>
    <d v="2020-06-26T00:00:00"/>
    <n v="95"/>
    <s v="Fittings"/>
    <s v="Pago: 60 dias del cumplimiento -  Pedido SAP N° 1065845"/>
    <s v="en término"/>
    <x v="3"/>
    <n v="1"/>
  </r>
  <r>
    <x v="13"/>
    <x v="13"/>
    <x v="0"/>
    <x v="0"/>
    <s v="005/18 BBR"/>
    <n v="4600557062"/>
    <x v="1056"/>
    <n v="47062.7"/>
    <x v="797"/>
    <n v="89"/>
    <d v="2020-06-23T00:00:00"/>
    <s v="Salvador"/>
    <d v="2020-06-19T00:00:00"/>
    <x v="9"/>
    <d v="2020-06-27T00:00:00"/>
    <d v="2020-06-29T00:00:00"/>
    <d v="2020-07-17T00:00:00"/>
    <n v="113"/>
    <s v="33 bombas"/>
    <s v="Pago: 60 dias del cumplimiento -  Pedido SAP N° 1066054"/>
    <s v="atrasado"/>
    <x v="4"/>
    <n v="0"/>
  </r>
  <r>
    <x v="13"/>
    <x v="13"/>
    <x v="0"/>
    <x v="0"/>
    <s v="005/18 BBR"/>
    <n v="4600557062"/>
    <x v="1057"/>
    <n v="46551.23"/>
    <x v="797"/>
    <n v="89"/>
    <d v="2020-06-23T00:00:00"/>
    <s v="Salvador"/>
    <d v="2020-06-19T00:00:00"/>
    <x v="9"/>
    <d v="2020-06-27T00:00:00"/>
    <d v="2020-06-29T00:00:00"/>
    <d v="2020-07-17T00:00:00"/>
    <n v="113"/>
    <s v="26 bombas + fittings"/>
    <s v="Pago: 60 dias del cumplimiento -  Pedido SAP N° 1066055"/>
    <s v="atrasado"/>
    <x v="4"/>
    <n v="0"/>
  </r>
  <r>
    <x v="13"/>
    <x v="13"/>
    <x v="0"/>
    <x v="0"/>
    <s v="005/18 BBR"/>
    <n v="4600557062"/>
    <x v="1058"/>
    <n v="43846.53"/>
    <x v="798"/>
    <n v="88"/>
    <d v="2020-06-27T00:00:00"/>
    <s v="Salvador"/>
    <d v="2020-06-19T00:00:00"/>
    <x v="44"/>
    <d v="2020-06-27T00:00:00"/>
    <d v="2020-06-29T00:00:00"/>
    <d v="2020-07-17T00:00:00"/>
    <n v="108"/>
    <s v="21 bombas - 1° ENTREGA"/>
    <s v="Pago: 60 dias del cumplimiento -  Pedido SAP N° 1066367"/>
    <s v="en término"/>
    <x v="4"/>
    <n v="1"/>
  </r>
  <r>
    <x v="13"/>
    <x v="13"/>
    <x v="0"/>
    <x v="0"/>
    <s v="005/18 BBR"/>
    <n v="4600557062"/>
    <x v="1058"/>
    <n v="56357.1"/>
    <x v="798"/>
    <n v="210"/>
    <d v="2020-10-27T00:00:00"/>
    <s v="Salvador"/>
    <d v="2020-10-09T00:00:00"/>
    <x v="49"/>
    <d v="2020-10-17T00:00:00"/>
    <d v="2020-10-19T00:00:00"/>
    <d v="2020-11-06T00:00:00"/>
    <n v="220"/>
    <s v="27 bombas - 2° ENTREGA"/>
    <s v="Pago: 60 dias del cumplimiento -  Pedido SAP N° 1066370"/>
    <s v="en término"/>
    <x v="8"/>
    <n v="1"/>
  </r>
  <r>
    <x v="13"/>
    <x v="13"/>
    <x v="0"/>
    <x v="0"/>
    <s v="005/18 BBR"/>
    <n v="4600557062"/>
    <x v="1059"/>
    <n v="25878.86"/>
    <x v="799"/>
    <n v="84"/>
    <d v="2020-06-29T00:00:00"/>
    <s v="Salvador"/>
    <d v="2020-06-19T00:00:00"/>
    <x v="75"/>
    <d v="2020-06-27T00:00:00"/>
    <d v="2020-06-29T00:00:00"/>
    <d v="2020-07-17T00:00:00"/>
    <n v="102"/>
    <s v="Fittings"/>
    <s v="Pago: 60 dias del cumplimiento -  Pedido SAP N° 1066535"/>
    <s v="en término"/>
    <x v="4"/>
    <n v="1"/>
  </r>
  <r>
    <x v="13"/>
    <x v="13"/>
    <x v="0"/>
    <x v="0"/>
    <s v="005/18 BBR"/>
    <n v="4600557062"/>
    <x v="1060"/>
    <n v="30326.959999999999"/>
    <x v="800"/>
    <n v="78"/>
    <d v="2020-08-25T00:00:00"/>
    <s v="Salvador"/>
    <d v="2020-08-07T00:00:00"/>
    <x v="49"/>
    <d v="2020-08-15T00:00:00"/>
    <d v="2020-08-17T00:00:00"/>
    <d v="2020-09-04T00:00:00"/>
    <n v="88"/>
    <s v="9 bombas + Fittings"/>
    <s v="Pago: 60 dias del cumplimiento -  Pedido SAP N° 1069140"/>
    <s v="en término"/>
    <x v="6"/>
    <n v="1"/>
  </r>
  <r>
    <x v="13"/>
    <x v="13"/>
    <x v="0"/>
    <x v="0"/>
    <s v="005/18 BBR"/>
    <n v="4600557062"/>
    <x v="1061"/>
    <n v="911"/>
    <x v="801"/>
    <n v="8"/>
    <d v="2020-07-22T00:00:00"/>
    <s v="Salvador"/>
    <d v="2020-07-14T00:00:00"/>
    <x v="19"/>
    <d v="2020-07-18T00:00:00"/>
    <d v="2020-07-21T00:00:00"/>
    <d v="2020-07-31T00:00:00"/>
    <n v="17"/>
    <s v="Fittings"/>
    <s v="Pago: 60 dias del cumplimiento -  Pedido SAP N° 1070379"/>
    <s v="en término"/>
    <x v="5"/>
    <n v="1"/>
  </r>
  <r>
    <x v="13"/>
    <x v="13"/>
    <x v="0"/>
    <x v="0"/>
    <s v="005/18 BBR"/>
    <n v="4600557062"/>
    <x v="1062"/>
    <n v="89.26"/>
    <x v="802"/>
    <n v="26"/>
    <d v="2020-08-31T00:00:00"/>
    <s v="Salvador"/>
    <d v="2020-08-07T00:00:00"/>
    <x v="87"/>
    <d v="2020-08-15T00:00:00"/>
    <d v="2020-08-17T00:00:00"/>
    <d v="2020-09-04T00:00:00"/>
    <n v="30"/>
    <s v="Fittings"/>
    <s v="Pago: 60 dias del cumplimiento -  Pedido SAP N° 1071591"/>
    <s v="en término"/>
    <x v="6"/>
    <n v="1"/>
  </r>
  <r>
    <x v="13"/>
    <x v="13"/>
    <x v="0"/>
    <x v="0"/>
    <s v="005/18 BBR"/>
    <n v="4600557062"/>
    <x v="1063"/>
    <n v="8897.94"/>
    <x v="803"/>
    <n v="68"/>
    <d v="2020-09-15T00:00:00"/>
    <s v="Salvador"/>
    <d v="2020-08-24T00:00:00"/>
    <x v="49"/>
    <d v="2020-09-05T00:00:00"/>
    <d v="2020-09-07T00:00:00"/>
    <d v="2020-09-25T00:00:00"/>
    <n v="78"/>
    <s v="Fittings"/>
    <s v="Pago: 60 dias del cumplimiento -  Pedido SAP N° 1070322"/>
    <s v="en término"/>
    <x v="6"/>
    <n v="1"/>
  </r>
  <r>
    <x v="13"/>
    <x v="13"/>
    <x v="0"/>
    <x v="0"/>
    <s v="005/18 BBR"/>
    <n v="4600557062"/>
    <x v="1064"/>
    <n v="3515.3"/>
    <x v="803"/>
    <n v="76"/>
    <d v="2020-09-23T00:00:00"/>
    <s v="Salvador"/>
    <d v="2020-08-24T00:00:00"/>
    <x v="18"/>
    <d v="2020-09-05T00:00:00"/>
    <d v="2020-09-07T00:00:00"/>
    <d v="2020-09-25T00:00:00"/>
    <n v="78"/>
    <s v="Fittings"/>
    <s v="Pago: 60 dias del cumplimiento -  Pedido SAP N° 1070325"/>
    <s v="en término"/>
    <x v="6"/>
    <n v="1"/>
  </r>
  <r>
    <x v="13"/>
    <x v="13"/>
    <x v="0"/>
    <x v="0"/>
    <s v="022/20 BBR"/>
    <m/>
    <x v="1065"/>
    <n v="20795"/>
    <x v="803"/>
    <n v="82"/>
    <d v="2020-09-29T00:00:00"/>
    <s v="Salvador"/>
    <d v="2020-08-24T00:00:00"/>
    <x v="90"/>
    <d v="2020-09-05T00:00:00"/>
    <d v="2020-09-07T00:00:00"/>
    <d v="2020-09-25T00:00:00"/>
    <n v="78"/>
    <s v="Fittings"/>
    <s v="Pago: 60 dias del cumplimiento -  Pedido SAP N° 1070347"/>
    <s v="en término"/>
    <x v="6"/>
    <n v="1"/>
  </r>
  <r>
    <x v="13"/>
    <x v="13"/>
    <x v="0"/>
    <x v="0"/>
    <s v="023/20 BBR"/>
    <m/>
    <x v="1066"/>
    <n v="1344"/>
    <x v="804"/>
    <n v="62"/>
    <d v="2020-09-13T00:00:00"/>
    <s v="Salvador"/>
    <d v="2020-08-24T00:00:00"/>
    <x v="77"/>
    <d v="2020-09-05T00:00:00"/>
    <d v="2020-09-07T00:00:00"/>
    <d v="2020-09-25T00:00:00"/>
    <n v="74"/>
    <s v="Fittings"/>
    <s v="Pago: 60 dias del cumplimiento -  Pedido SAP N° 1070348"/>
    <s v="en término"/>
    <x v="6"/>
    <n v="1"/>
  </r>
  <r>
    <x v="13"/>
    <x v="13"/>
    <x v="0"/>
    <x v="0"/>
    <s v="028/20 BBR"/>
    <m/>
    <x v="1067"/>
    <n v="1829"/>
    <x v="805"/>
    <n v="71"/>
    <d v="2020-10-02T00:00:00"/>
    <s v="Salvador"/>
    <d v="2020-08-24T00:00:00"/>
    <x v="42"/>
    <d v="2020-09-05T00:00:00"/>
    <d v="2020-09-07T00:00:00"/>
    <d v="2020-09-25T00:00:00"/>
    <n v="64"/>
    <s v="Fittings"/>
    <s v="Pago: 60 dias del cumplimiento -  Pedido SAP N° 1070795"/>
    <s v="en término"/>
    <x v="6"/>
    <n v="1"/>
  </r>
  <r>
    <x v="13"/>
    <x v="13"/>
    <x v="0"/>
    <x v="0"/>
    <s v="039/20 BBR"/>
    <n v="4600611934"/>
    <x v="1068"/>
    <n v="4346.09"/>
    <x v="805"/>
    <n v="86"/>
    <d v="2020-10-17T00:00:00"/>
    <s v="Salvador"/>
    <d v="2020-10-09T00:00:00"/>
    <x v="44"/>
    <d v="2020-10-17T00:00:00"/>
    <d v="2020-10-19T00:00:00"/>
    <d v="2020-11-06T00:00:00"/>
    <n v="106"/>
    <s v="Fittings"/>
    <s v="Pago: 60 dias del cumplimiento -  Pedido SAP N° 1070799"/>
    <s v="en término"/>
    <x v="8"/>
    <n v="1"/>
  </r>
  <r>
    <x v="13"/>
    <x v="13"/>
    <x v="0"/>
    <x v="0"/>
    <s v="039/20 BBR"/>
    <n v="4600611934"/>
    <x v="1069"/>
    <n v="6165.2"/>
    <x v="806"/>
    <n v="86"/>
    <d v="2020-10-20T00:00:00"/>
    <s v="Salvador"/>
    <d v="2020-10-09T00:00:00"/>
    <x v="46"/>
    <d v="2020-10-17T00:00:00"/>
    <d v="2020-10-19T00:00:00"/>
    <d v="2020-11-06T00:00:00"/>
    <n v="103"/>
    <s v="Fittings"/>
    <s v="Pago: 60 dias del cumplimiento -  Pedido SAP N° 1070910"/>
    <s v="en término"/>
    <x v="8"/>
    <n v="1"/>
  </r>
  <r>
    <x v="13"/>
    <x v="13"/>
    <x v="0"/>
    <x v="0"/>
    <s v="039/20 BBR"/>
    <n v="4600611934"/>
    <x v="1070"/>
    <n v="1696.8"/>
    <x v="806"/>
    <n v="86"/>
    <d v="2020-10-20T00:00:00"/>
    <s v="Salvador"/>
    <d v="2020-10-09T00:00:00"/>
    <x v="46"/>
    <d v="2020-10-17T00:00:00"/>
    <d v="2020-10-19T00:00:00"/>
    <d v="2020-11-06T00:00:00"/>
    <n v="103"/>
    <s v="Fittings"/>
    <s v="Pago: 60 dias del cumplimiento -  Pedido SAP N° 1070911"/>
    <s v="en término"/>
    <x v="8"/>
    <n v="1"/>
  </r>
  <r>
    <x v="13"/>
    <x v="13"/>
    <x v="0"/>
    <x v="0"/>
    <s v="039/20 BBR"/>
    <n v="4600611934"/>
    <x v="1071"/>
    <n v="5422.34"/>
    <x v="807"/>
    <n v="84"/>
    <d v="2020-10-30T00:00:00"/>
    <s v="Salvador"/>
    <d v="2020-10-09T00:00:00"/>
    <x v="10"/>
    <d v="2020-10-17T00:00:00"/>
    <d v="2020-10-19T00:00:00"/>
    <d v="2020-11-06T00:00:00"/>
    <n v="91"/>
    <s v="Fittings (22 PISTONES)"/>
    <s v="Pago: 60 dias del cumplimiento -  Pedido SAP N° 1071668"/>
    <s v="en término"/>
    <x v="8"/>
    <n v="1"/>
  </r>
  <r>
    <x v="13"/>
    <x v="13"/>
    <x v="0"/>
    <x v="0"/>
    <s v="039/20 BBR"/>
    <n v="4600611934"/>
    <x v="1072"/>
    <n v="363.6"/>
    <x v="807"/>
    <n v="84"/>
    <d v="2020-10-30T00:00:00"/>
    <s v="Salvador"/>
    <d v="2020-10-09T00:00:00"/>
    <x v="10"/>
    <d v="2020-10-17T00:00:00"/>
    <d v="2020-10-19T00:00:00"/>
    <d v="2020-11-06T00:00:00"/>
    <n v="91"/>
    <s v="Fittings"/>
    <s v="Pago: 60 dias del cumplimiento -  Pedido SAP N° 1071669"/>
    <s v="en término"/>
    <x v="8"/>
    <n v="1"/>
  </r>
  <r>
    <x v="13"/>
    <x v="13"/>
    <x v="0"/>
    <x v="0"/>
    <s v="039/20 BBR"/>
    <n v="4600611934"/>
    <x v="1073"/>
    <n v="7817.28"/>
    <x v="807"/>
    <n v="84"/>
    <d v="2020-10-30T00:00:00"/>
    <s v="Salvador"/>
    <d v="2020-10-09T00:00:00"/>
    <x v="10"/>
    <d v="2020-10-17T00:00:00"/>
    <d v="2020-10-19T00:00:00"/>
    <d v="2020-11-06T00:00:00"/>
    <n v="91"/>
    <s v="Fittings (32 PISTONES)"/>
    <s v="Pago: 60 dias del cumplimiento -  Pedido SAP N° 1071671"/>
    <s v="en término"/>
    <x v="8"/>
    <n v="1"/>
  </r>
  <r>
    <x v="13"/>
    <x v="13"/>
    <x v="0"/>
    <x v="0"/>
    <s v="005/18 BBR"/>
    <n v="4600557062"/>
    <x v="1074"/>
    <n v="1833.5"/>
    <x v="808"/>
    <n v="47"/>
    <d v="2020-09-28T00:00:00"/>
    <s v="Salvador"/>
    <d v="2020-08-24T00:00:00"/>
    <x v="59"/>
    <d v="2020-09-05T00:00:00"/>
    <d v="2020-09-07T00:00:00"/>
    <d v="2020-09-25T00:00:00"/>
    <n v="44"/>
    <s v="Fittings"/>
    <s v="Pago: 60 dias del cumplimiento -  Pedido SAP N° 1071788"/>
    <s v="en término"/>
    <x v="6"/>
    <n v="1"/>
  </r>
  <r>
    <x v="13"/>
    <x v="13"/>
    <x v="0"/>
    <x v="0"/>
    <s v="027/20 BBR"/>
    <s v="3R - Pedido 20"/>
    <x v="1075"/>
    <n v="30580"/>
    <x v="809"/>
    <n v="27"/>
    <d v="2020-09-13T00:00:00"/>
    <s v="Salvador"/>
    <d v="2020-09-25T00:00:00"/>
    <x v="92"/>
    <d v="2020-10-03T00:00:00"/>
    <d v="2020-10-03T00:00:00"/>
    <d v="2020-10-13T00:00:00"/>
    <n v="57"/>
    <s v="20 bombas - AEREO por OPEN SEA"/>
    <s v="Pago: 60 dias del cumplimiento -  Pedido SAP N° 1071969"/>
    <s v="atrasado"/>
    <x v="7"/>
    <n v="0"/>
  </r>
  <r>
    <x v="13"/>
    <x v="13"/>
    <x v="0"/>
    <x v="0"/>
    <s v="005/18 BBR"/>
    <n v="4600557062"/>
    <x v="1076"/>
    <n v="119395.8"/>
    <x v="810"/>
    <n v="89"/>
    <d v="2020-11-16T00:00:00"/>
    <s v="Salvador"/>
    <d v="2020-11-13T00:00:00"/>
    <x v="14"/>
    <d v="2020-11-21T00:00:00"/>
    <d v="2020-11-23T00:00:00"/>
    <d v="2020-12-11T00:00:00"/>
    <n v="114"/>
    <s v="Fittings"/>
    <s v="Pago: 60 dias del cumplimiento -  Pedido SAP N° 1072008"/>
    <s v="atrasado"/>
    <x v="9"/>
    <n v="0"/>
  </r>
  <r>
    <x v="13"/>
    <x v="13"/>
    <x v="0"/>
    <x v="0"/>
    <s v="005/18 BBR"/>
    <n v="4600557062"/>
    <x v="1077"/>
    <n v="145786"/>
    <x v="810"/>
    <n v="89"/>
    <d v="2020-11-16T00:00:00"/>
    <s v="Salvador"/>
    <d v="2020-11-13T00:00:00"/>
    <x v="14"/>
    <d v="2020-11-21T00:00:00"/>
    <d v="2020-11-23T00:00:00"/>
    <d v="2020-12-11T00:00:00"/>
    <n v="114"/>
    <s v="Fittings"/>
    <s v="Pago: 60 dias del cumplimiento -  Pedido SAP N° 1072016"/>
    <s v="atrasado"/>
    <x v="9"/>
    <n v="0"/>
  </r>
  <r>
    <x v="13"/>
    <x v="13"/>
    <x v="0"/>
    <x v="0"/>
    <s v="005/18 BBR"/>
    <n v="4600557062"/>
    <x v="1078"/>
    <n v="9702"/>
    <x v="810"/>
    <n v="89"/>
    <d v="2020-11-16T00:00:00"/>
    <s v="Salvador"/>
    <d v="2020-11-13T00:00:00"/>
    <x v="14"/>
    <d v="2020-11-21T00:00:00"/>
    <d v="2020-11-23T00:00:00"/>
    <d v="2020-12-11T00:00:00"/>
    <n v="114"/>
    <s v="Fittings"/>
    <s v="Pago: 60 dias del cumplimiento -  Pedido SAP N° 1072018"/>
    <s v="atrasado"/>
    <x v="9"/>
    <n v="0"/>
  </r>
  <r>
    <x v="13"/>
    <x v="13"/>
    <x v="0"/>
    <x v="0"/>
    <s v="005/18 BBR"/>
    <n v="4600557062"/>
    <x v="1079"/>
    <n v="5352.64"/>
    <x v="810"/>
    <n v="89"/>
    <d v="2020-11-16T00:00:00"/>
    <s v="Salvador"/>
    <d v="2020-11-13T00:00:00"/>
    <x v="14"/>
    <d v="2020-11-21T00:00:00"/>
    <d v="2020-11-23T00:00:00"/>
    <d v="2020-12-11T00:00:00"/>
    <n v="114"/>
    <s v="Fittings"/>
    <s v="Pago: 60 dias del cumplimiento -  Pedido SAP N° 1072020"/>
    <s v="atrasado"/>
    <x v="9"/>
    <n v="0"/>
  </r>
  <r>
    <x v="13"/>
    <x v="13"/>
    <x v="0"/>
    <x v="0"/>
    <s v="036/20 BBR"/>
    <n v="94698"/>
    <x v="1080"/>
    <n v="13974"/>
    <x v="811"/>
    <n v="90"/>
    <d v="2020-11-19T00:00:00"/>
    <s v="Salvador"/>
    <d v="2020-11-13T00:00:00"/>
    <x v="11"/>
    <d v="2020-11-21T00:00:00"/>
    <d v="2020-11-23T00:00:00"/>
    <d v="2020-12-11T00:00:00"/>
    <n v="112"/>
    <s v="Fittings - PETRORECONCAVO"/>
    <s v="Pago: 60 dias del cumplimiento -  Pedido SAP N° 1072198"/>
    <s v="atrasado"/>
    <x v="9"/>
    <n v="0"/>
  </r>
  <r>
    <x v="13"/>
    <x v="13"/>
    <x v="0"/>
    <x v="0"/>
    <s v="005/18 BBR"/>
    <n v="4600557062"/>
    <x v="1081"/>
    <n v="32476"/>
    <x v="812"/>
    <n v="88"/>
    <d v="2020-11-28T00:00:00"/>
    <s v="Salvador"/>
    <d v="2020-11-13T00:00:00"/>
    <x v="64"/>
    <d v="2020-11-21T00:00:00"/>
    <d v="2020-11-23T00:00:00"/>
    <d v="2020-12-11T00:00:00"/>
    <n v="101"/>
    <s v="14 bombas + Fittings"/>
    <s v="Pago: 60 dias del cumplimiento -  Pedido SAP N° 1073216"/>
    <s v="en término"/>
    <x v="9"/>
    <n v="1"/>
  </r>
  <r>
    <x v="13"/>
    <x v="13"/>
    <x v="0"/>
    <x v="0"/>
    <s v="005/18 BBR"/>
    <n v="4600557062"/>
    <x v="1082"/>
    <n v="44329"/>
    <x v="812"/>
    <n v="110"/>
    <d v="2020-12-20T00:00:00"/>
    <s v="Salvador"/>
    <d v="2020-11-13T00:00:00"/>
    <x v="37"/>
    <d v="2020-11-21T00:00:00"/>
    <d v="2020-11-23T00:00:00"/>
    <d v="2020-12-11T00:00:00"/>
    <n v="101"/>
    <s v="28 bombas"/>
    <s v="Pago: 60 dias del cumplimiento -  Pedido SAP N° 1072929"/>
    <s v="en término"/>
    <x v="9"/>
    <n v="1"/>
  </r>
  <r>
    <x v="13"/>
    <x v="13"/>
    <x v="0"/>
    <x v="0"/>
    <s v="046/20 BBR"/>
    <n v="95456"/>
    <x v="1083"/>
    <n v="1112"/>
    <x v="813"/>
    <n v="82"/>
    <d v="2020-11-30T00:00:00"/>
    <s v="Salvador"/>
    <d v="2020-11-13T00:00:00"/>
    <x v="74"/>
    <d v="2020-11-21T00:00:00"/>
    <d v="2020-11-23T00:00:00"/>
    <d v="2020-12-11T00:00:00"/>
    <n v="93"/>
    <s v="Fittings - PETRORECONCAVO"/>
    <s v="Pago: 60 dias del cumplimiento -  Pedido SAP N° 1073211"/>
    <s v="en término"/>
    <x v="9"/>
    <n v="1"/>
  </r>
  <r>
    <x v="13"/>
    <x v="13"/>
    <x v="0"/>
    <x v="0"/>
    <s v="005/18 BBR"/>
    <n v="4600557062"/>
    <x v="1084"/>
    <n v="19103.400000000001"/>
    <x v="814"/>
    <n v="54"/>
    <d v="2020-12-08T00:00:00"/>
    <s v="Salvador"/>
    <d v="2020-12-09T00:00:00"/>
    <x v="142"/>
    <m/>
    <m/>
    <m/>
    <s v=""/>
    <s v="12 bombas"/>
    <s v="Pago: 60 dias del cumplimiento -  Pedido SAP N° 1074821"/>
    <s v=""/>
    <x v="11"/>
    <n v="0"/>
  </r>
  <r>
    <x v="13"/>
    <x v="13"/>
    <x v="0"/>
    <x v="0"/>
    <s v="005/18 BBR"/>
    <n v="4600557062"/>
    <x v="1085"/>
    <n v="7146.98"/>
    <x v="814"/>
    <n v="60"/>
    <d v="2020-12-14T00:00:00"/>
    <s v="Salvador"/>
    <d v="2020-12-09T00:00:00"/>
    <x v="142"/>
    <m/>
    <m/>
    <m/>
    <s v=""/>
    <s v="3 bombas y fitting"/>
    <s v="Pago: 60 dias del cumplimiento -  Pedido SAP N° 1074824"/>
    <s v=""/>
    <x v="11"/>
    <n v="0"/>
  </r>
  <r>
    <x v="13"/>
    <x v="13"/>
    <x v="0"/>
    <x v="0"/>
    <s v="005/18 BBR"/>
    <n v="4600557062"/>
    <x v="1086"/>
    <n v="27646.6"/>
    <x v="814"/>
    <n v="66"/>
    <d v="2020-12-20T00:00:00"/>
    <s v="Salvador"/>
    <d v="2020-12-09T00:00:00"/>
    <x v="142"/>
    <m/>
    <m/>
    <m/>
    <s v=""/>
    <s v="11 bombas y fittings"/>
    <s v="Pago: 60 dias del cumplimiento -  Pedido SAP N° 1074827"/>
    <s v=""/>
    <x v="11"/>
    <n v="0"/>
  </r>
  <r>
    <x v="13"/>
    <x v="13"/>
    <x v="0"/>
    <x v="0"/>
    <s v="005/18 BBR"/>
    <n v="4600557062"/>
    <x v="1087"/>
    <n v="12225.02"/>
    <x v="814"/>
    <n v="81"/>
    <d v="2021-01-04T00:00:00"/>
    <s v="Salvador"/>
    <d v="2020-12-09T00:00:00"/>
    <x v="142"/>
    <m/>
    <m/>
    <m/>
    <s v=""/>
    <s v="10 bombasy fittings"/>
    <s v="Pago: 60 dias del cumplimiento -  Pedido SAP N° 1074829"/>
    <s v=""/>
    <x v="11"/>
    <n v="0"/>
  </r>
  <r>
    <x v="13"/>
    <x v="13"/>
    <x v="0"/>
    <x v="0"/>
    <s v="005/18 BBR"/>
    <n v="4600557062"/>
    <x v="1088"/>
    <n v="46017.1"/>
    <x v="815"/>
    <n v="86"/>
    <d v="2021-01-15T00:00:00"/>
    <s v="Salvador"/>
    <d v="2020-12-29T00:00:00"/>
    <x v="142"/>
    <m/>
    <m/>
    <m/>
    <s v=""/>
    <s v="29 bombasy fittings"/>
    <s v="Pago: 60 dias del cumplimiento -  Pedido SAP N° 1075017"/>
    <s v=""/>
    <x v="11"/>
    <n v="0"/>
  </r>
  <r>
    <x v="13"/>
    <x v="13"/>
    <x v="1"/>
    <x v="48"/>
    <s v="060/19 CDQ"/>
    <s v="ACUERDO ECOPETROL"/>
    <x v="1089"/>
    <n v="6372"/>
    <x v="816"/>
    <n v="50"/>
    <d v="2020-01-18T00:00:00"/>
    <s v="Bogota"/>
    <d v="2020-02-28T00:00:00"/>
    <x v="147"/>
    <d v="2020-03-06T00:00:00"/>
    <d v="2020-03-14T00:00:00"/>
    <d v="2020-04-13T00:00:00"/>
    <n v="136"/>
    <s v="Fittings -   LLEVA CERTIFICADOS DE CALIDAD "/>
    <m/>
    <s v="atrasado"/>
    <x v="1"/>
    <n v="0"/>
  </r>
  <r>
    <x v="13"/>
    <x v="13"/>
    <x v="1"/>
    <x v="48"/>
    <s v="064/19 CDQ"/>
    <s v="ACUERDO ECOPETROL"/>
    <x v="1090"/>
    <n v="8275"/>
    <x v="817"/>
    <n v="35"/>
    <d v="2020-01-14T00:00:00"/>
    <s v="Bogota"/>
    <d v="2020-01-17T00:00:00"/>
    <x v="62"/>
    <d v="2020-01-20T00:00:00"/>
    <d v="2020-01-23T00:00:00"/>
    <d v="2020-01-30T00:00:00"/>
    <n v="51"/>
    <s v="Fittings -   LLEVA CERTIFICADOS DE CALIDAD "/>
    <s v="Un item faltante de la PO 021 - Pedido SAP 1059731"/>
    <s v="atrasado"/>
    <x v="0"/>
    <n v="0"/>
  </r>
  <r>
    <x v="13"/>
    <x v="13"/>
    <x v="1"/>
    <x v="48"/>
    <s v="066/19 CDQ"/>
    <s v="ACUERDO ECOPETROL"/>
    <x v="1091"/>
    <n v="27876"/>
    <x v="787"/>
    <n v="74"/>
    <d v="2020-02-28T00:00:00"/>
    <s v="Bogota"/>
    <d v="2020-02-28T00:00:00"/>
    <x v="32"/>
    <d v="2020-03-06T00:00:00"/>
    <d v="2020-03-14T00:00:00"/>
    <d v="2020-04-13T00:00:00"/>
    <n v="119"/>
    <s v="Fittings -   LLEVA CERTIFICADOS DE CALIDAD "/>
    <m/>
    <s v="atrasado"/>
    <x v="1"/>
    <n v="0"/>
  </r>
  <r>
    <x v="13"/>
    <x v="13"/>
    <x v="1"/>
    <x v="49"/>
    <s v="004/20 CDQ"/>
    <s v="ACUERDO ECOPETROL"/>
    <x v="1092"/>
    <n v="106400"/>
    <x v="798"/>
    <n v="30"/>
    <d v="2020-04-30T00:00:00"/>
    <s v="Bogota"/>
    <d v="2020-05-15T00:00:00"/>
    <x v="1"/>
    <d v="2020-06-08T00:00:00"/>
    <d v="2020-06-12T00:00:00"/>
    <d v="2020-07-02T00:00:00"/>
    <n v="93"/>
    <s v="Fittings -   LLEVA CERTIFICADOS DE CALIDAD "/>
    <s v="Pedido SAP N° 1066391"/>
    <s v="atrasado"/>
    <x v="3"/>
    <n v="0"/>
  </r>
  <r>
    <x v="13"/>
    <x v="13"/>
    <x v="1"/>
    <x v="49"/>
    <s v="004/20 CDQ"/>
    <s v="ACUERDO ECOPETROL"/>
    <x v="1092"/>
    <n v="1215.4000000000001"/>
    <x v="798"/>
    <n v="30"/>
    <d v="2020-04-30T00:00:00"/>
    <s v="Bogota"/>
    <d v="2020-07-17T00:00:00"/>
    <x v="148"/>
    <d v="2020-07-24T00:00:00"/>
    <d v="2020-08-01T00:00:00"/>
    <d v="2020-08-22T00:00:00"/>
    <n v="144"/>
    <s v="20-LPS125-3 -   LLEVA CERTIFICADOS DE CALIDAD -2° ENVIO"/>
    <s v="Pedido SAP N° 1068094"/>
    <s v="atrasado"/>
    <x v="5"/>
    <n v="0"/>
  </r>
  <r>
    <x v="13"/>
    <x v="13"/>
    <x v="1"/>
    <x v="49"/>
    <s v="015/20 CDQ"/>
    <s v="ACUERDO ECOPETROL"/>
    <x v="1093"/>
    <n v="41462.25"/>
    <x v="798"/>
    <n v="38"/>
    <d v="2020-05-08T00:00:00"/>
    <s v="Bogota"/>
    <d v="2020-05-15T00:00:00"/>
    <x v="4"/>
    <d v="2020-06-08T00:00:00"/>
    <d v="2020-06-12T00:00:00"/>
    <d v="2020-07-02T00:00:00"/>
    <n v="93"/>
    <s v="Fittings -   LLEVA CERTIFICADOS DE CALIDAD "/>
    <s v="Pedido SAP N° 1066423"/>
    <s v="atrasado"/>
    <x v="3"/>
    <n v="0"/>
  </r>
  <r>
    <x v="13"/>
    <x v="13"/>
    <x v="1"/>
    <x v="49"/>
    <s v="016/20 CDQ"/>
    <s v="ACUERDO ECOPETROL"/>
    <x v="1094"/>
    <n v="297074.12"/>
    <x v="818"/>
    <n v="15"/>
    <d v="2020-05-08T00:00:00"/>
    <s v="Bogota"/>
    <d v="2020-05-15T00:00:00"/>
    <x v="4"/>
    <d v="2020-06-08T00:00:00"/>
    <d v="2020-06-12T00:00:00"/>
    <d v="2020-07-02T00:00:00"/>
    <n v="70"/>
    <s v="Fittings -   LLEVA CERTIFICADOS DE CALIDAD "/>
    <s v="Pedido SAP N° 1067220"/>
    <s v="atrasado"/>
    <x v="3"/>
    <n v="0"/>
  </r>
  <r>
    <x v="13"/>
    <x v="13"/>
    <x v="1"/>
    <x v="49"/>
    <s v="016/20 CDQ"/>
    <s v="ACUERDO ECOPETROL"/>
    <x v="1094"/>
    <n v="1085.58"/>
    <x v="818"/>
    <n v="15"/>
    <d v="2020-05-08T00:00:00"/>
    <s v="Bogota"/>
    <d v="2020-06-12T00:00:00"/>
    <x v="73"/>
    <d v="2020-06-30T00:00:00"/>
    <d v="2020-07-03T00:00:00"/>
    <d v="2020-07-23T00:00:00"/>
    <n v="91"/>
    <s v="9-P24-225-10C -   LLEVA CERTIFICADOS DE CALIDAD -2° ENVIO"/>
    <s v="Pedido SAP N° 1068095"/>
    <s v="atrasado"/>
    <x v="4"/>
    <n v="0"/>
  </r>
  <r>
    <x v="13"/>
    <x v="13"/>
    <x v="1"/>
    <x v="49"/>
    <s v="017/20 CDQ"/>
    <s v="ACUERDO ECOPETROL"/>
    <x v="1095"/>
    <n v="242161.09"/>
    <x v="818"/>
    <n v="43"/>
    <d v="2020-06-05T00:00:00"/>
    <s v="Bogota"/>
    <d v="2020-06-12T00:00:00"/>
    <x v="100"/>
    <d v="2020-06-30T00:00:00"/>
    <d v="2020-07-03T00:00:00"/>
    <d v="2020-07-23T00:00:00"/>
    <n v="91"/>
    <s v="Fittings -   LLEVA CERTIFICADOS DE CALIDAD  - 1  ENVIO"/>
    <s v="Pedido SAP N° 1067226"/>
    <s v="atrasado"/>
    <x v="4"/>
    <n v="0"/>
  </r>
  <r>
    <x v="13"/>
    <x v="13"/>
    <x v="1"/>
    <x v="49"/>
    <s v="017/20 CDQ"/>
    <s v="ACUERDO ECOPETROL"/>
    <x v="1095"/>
    <n v="11611.9"/>
    <x v="818"/>
    <n v="43"/>
    <d v="2020-06-05T00:00:00"/>
    <s v="Bogota"/>
    <d v="2020-07-17T00:00:00"/>
    <x v="125"/>
    <d v="2020-07-24T00:00:00"/>
    <d v="2020-08-01T00:00:00"/>
    <d v="2020-08-22T00:00:00"/>
    <n v="121"/>
    <s v="Fittings -   LLEVA CERTIFICADOS DE CALIDAD - 2 ENVIO"/>
    <s v="Pedido SAP N° 1068812"/>
    <s v="atrasado"/>
    <x v="5"/>
    <n v="0"/>
  </r>
  <r>
    <x v="13"/>
    <x v="13"/>
    <x v="1"/>
    <x v="49"/>
    <s v="018/20 CDQ"/>
    <s v="ACUERDO ECOPETROL"/>
    <x v="1096"/>
    <n v="156705"/>
    <x v="818"/>
    <n v="71"/>
    <d v="2020-07-03T00:00:00"/>
    <s v="Bogota"/>
    <d v="2020-07-17T00:00:00"/>
    <x v="95"/>
    <d v="2020-07-24T00:00:00"/>
    <d v="2020-08-01T00:00:00"/>
    <d v="2020-08-22T00:00:00"/>
    <n v="121"/>
    <s v="Fittings -   LLEVA CERTIFICADOS DE CALIDAD "/>
    <s v="Pedido SAP N° 1067239"/>
    <s v="atrasado"/>
    <x v="5"/>
    <n v="0"/>
  </r>
  <r>
    <x v="13"/>
    <x v="13"/>
    <x v="1"/>
    <x v="49"/>
    <s v="019/20 CDQ"/>
    <s v="ACUERDO ECOPETROL"/>
    <x v="1097"/>
    <n v="54862.9"/>
    <x v="819"/>
    <n v="11"/>
    <d v="2020-06-13T00:00:00"/>
    <s v="Bogota"/>
    <d v="2020-06-12T00:00:00"/>
    <x v="7"/>
    <d v="2020-06-30T00:00:00"/>
    <d v="2020-07-03T00:00:00"/>
    <d v="2020-07-23T00:00:00"/>
    <n v="51"/>
    <s v="Fittings -   LLEVA CERTIFICADOS DE CALIDAD "/>
    <s v="Pedido SAP N° 1068899"/>
    <s v="atrasado"/>
    <x v="4"/>
    <n v="0"/>
  </r>
  <r>
    <x v="13"/>
    <x v="13"/>
    <x v="1"/>
    <x v="49"/>
    <s v="020/20 CDQ"/>
    <s v="ACUERDO ECOPETROL"/>
    <x v="1098"/>
    <n v="1379.8"/>
    <x v="820"/>
    <n v="23"/>
    <d v="2020-07-03T00:00:00"/>
    <s v="Bogota"/>
    <d v="2020-07-17T00:00:00"/>
    <x v="95"/>
    <d v="2020-07-24T00:00:00"/>
    <d v="2020-08-01T00:00:00"/>
    <d v="2020-08-22T00:00:00"/>
    <n v="73"/>
    <s v="Fittings -   LLEVA CERTIFICADOS DE CALIDAD "/>
    <s v="Pedido SAP N° 1069174"/>
    <s v="atrasado"/>
    <x v="5"/>
    <n v="0"/>
  </r>
  <r>
    <x v="13"/>
    <x v="13"/>
    <x v="1"/>
    <x v="49"/>
    <s v="021/20 CDQ"/>
    <s v="ACUERDO ECOPETROL"/>
    <x v="1099"/>
    <n v="604"/>
    <x v="820"/>
    <n v="23"/>
    <d v="2020-07-03T00:00:00"/>
    <s v="Bogota"/>
    <d v="2020-07-17T00:00:00"/>
    <x v="95"/>
    <d v="2020-07-24T00:00:00"/>
    <d v="2020-08-01T00:00:00"/>
    <d v="2020-08-22T00:00:00"/>
    <n v="73"/>
    <s v="Fittings -   LLEVA CERTIFICADOS DE CALIDAD "/>
    <s v="Pedido SAP N° 1069176"/>
    <s v="atrasado"/>
    <x v="5"/>
    <n v="0"/>
  </r>
  <r>
    <x v="13"/>
    <x v="13"/>
    <x v="1"/>
    <x v="49"/>
    <s v="041/20 CDQ"/>
    <s v="ACUERDO ECOPETROL"/>
    <x v="1100"/>
    <n v="14655.71"/>
    <x v="821"/>
    <n v="65"/>
    <d v="2020-10-02T00:00:00"/>
    <s v="Bogota"/>
    <d v="2020-10-23T00:00:00"/>
    <x v="28"/>
    <d v="2020-10-26T00:00:00"/>
    <d v="2020-11-11T00:00:00"/>
    <d v="2020-11-27T00:00:00"/>
    <n v="121"/>
    <s v="Fittings -   LLEVA CERTIFICADOS DE CALIDAD "/>
    <s v="Pedido SAP N° 1071163 - La salida del buque estaba programada para el 4/11, se postergo para el 10/11 - Despacho con la muestra sin valor comercial (C35-30 - cant: 1) del embarque anterior"/>
    <s v="atrasado"/>
    <x v="8"/>
    <n v="0"/>
  </r>
  <r>
    <x v="13"/>
    <x v="13"/>
    <x v="1"/>
    <x v="49"/>
    <s v="042/20 CDQ"/>
    <s v="ACUERDO ECOPETROL"/>
    <x v="1101"/>
    <n v="63280.24"/>
    <x v="821"/>
    <n v="65"/>
    <d v="2020-10-02T00:00:00"/>
    <s v="Bogota"/>
    <d v="2020-10-23T00:00:00"/>
    <x v="28"/>
    <d v="2020-10-26T00:00:00"/>
    <d v="2020-11-11T00:00:00"/>
    <d v="2020-11-27T00:00:00"/>
    <n v="121"/>
    <s v="Fittings -   LLEVA CERTIFICADOS DE CALIDAD "/>
    <s v="Pedido SAP N° 1071178 - La salida del buque estaba programada para el 4/11, se postergo para el 10/11- Despacho con la muestra sin valor comercial (C35-30 - cant: 1) del embarque anterior"/>
    <s v="atrasado"/>
    <x v="8"/>
    <n v="0"/>
  </r>
  <r>
    <x v="13"/>
    <x v="13"/>
    <x v="1"/>
    <x v="49"/>
    <s v="043/20 CDQ"/>
    <s v="ACUERDO MANSAROVAR"/>
    <x v="1102"/>
    <n v="1409.05"/>
    <x v="821"/>
    <n v="65"/>
    <d v="2020-10-02T00:00:00"/>
    <s v="Bogota"/>
    <d v="2020-10-23T00:00:00"/>
    <x v="28"/>
    <d v="2020-10-26T00:00:00"/>
    <d v="2020-11-11T00:00:00"/>
    <d v="2020-11-27T00:00:00"/>
    <n v="121"/>
    <s v="Fittings -   LLEVA CERTIFICADOS DE CALIDAD "/>
    <s v="Pedido SAP N° 1071181 - La salida del buque estaba programada para el 4/11, se postergo para el 10/11- Despacho con la muestra sin valor comercial (C35-30 - cant: 1) del embarque anterior"/>
    <s v="atrasado"/>
    <x v="8"/>
    <n v="0"/>
  </r>
  <r>
    <x v="13"/>
    <x v="13"/>
    <x v="1"/>
    <x v="49"/>
    <s v="049/20 CDQ"/>
    <s v="ACUERDO ECOPETROL"/>
    <x v="1103"/>
    <n v="4498.76"/>
    <x v="821"/>
    <n v="65"/>
    <d v="2020-10-02T00:00:00"/>
    <s v="Bogota"/>
    <d v="2020-10-23T00:00:00"/>
    <x v="28"/>
    <d v="2020-10-26T00:00:00"/>
    <d v="2020-11-11T00:00:00"/>
    <d v="2020-11-27T00:00:00"/>
    <n v="121"/>
    <s v="Fittings -   LLEVA CERTIFICADOS DE CALIDAD "/>
    <s v="Pedido SAP N° 1074398 - La salida del buque estaba programada para el 4/11, se postergo para el 10/11- Despacho con la muestra sin valor comercial (C35-30 - cant: 1) del embarque anterior"/>
    <s v="atrasado"/>
    <x v="8"/>
    <n v="0"/>
  </r>
  <r>
    <x v="13"/>
    <x v="13"/>
    <x v="1"/>
    <x v="49"/>
    <s v="050/20 CDQ"/>
    <s v="ACUERDO ECOPETROL"/>
    <x v="1104"/>
    <n v="10291.68"/>
    <x v="822"/>
    <n v="25"/>
    <d v="2020-10-23T00:00:00"/>
    <s v="Bogota"/>
    <d v="2020-10-23T00:00:00"/>
    <x v="6"/>
    <d v="2020-10-26T00:00:00"/>
    <d v="2020-11-11T00:00:00"/>
    <d v="2020-11-27T00:00:00"/>
    <n v="60"/>
    <s v="Fittings -   LLEVA CERTIFICADOS DE CALIDAD "/>
    <s v="Pedido SAP N° 1074992 - La salida del buque estaba programada para el 4/11, se postergo para el 10/11- Despacho con la muestra sin valor comercial (C35-30 - cant: 1) del embarque anterior"/>
    <s v="atrasado"/>
    <x v="8"/>
    <n v="0"/>
  </r>
  <r>
    <x v="13"/>
    <x v="13"/>
    <x v="1"/>
    <x v="49"/>
    <s v="054/20 CDQ"/>
    <s v="ACUERDO ECOPETROL"/>
    <x v="1105"/>
    <n v="27330.400000000001"/>
    <x v="823"/>
    <n v="34"/>
    <d v="2020-11-23T00:00:00"/>
    <s v="Bogota"/>
    <d v="2020-11-27T00:00:00"/>
    <x v="6"/>
    <d v="2020-12-04T00:00:00"/>
    <d v="2020-12-12T00:00:00"/>
    <d v="2021-01-11T00:00:00"/>
    <n v="83"/>
    <s v="Fittings -   LLEVA CERTIFICADOS DE CALIDAD "/>
    <s v="Pedido SAP N° 1075008"/>
    <s v="atrasado"/>
    <x v="9"/>
    <n v="0"/>
  </r>
  <r>
    <x v="13"/>
    <x v="13"/>
    <x v="1"/>
    <x v="49"/>
    <s v="055/20 CDQ"/>
    <s v="ACUERDO ECOPETROL"/>
    <x v="1106"/>
    <n v="1075.56"/>
    <x v="823"/>
    <n v="34"/>
    <d v="2020-11-23T00:00:00"/>
    <s v="Bogota"/>
    <d v="2020-11-27T00:00:00"/>
    <x v="6"/>
    <d v="2020-12-04T00:00:00"/>
    <d v="2020-12-12T00:00:00"/>
    <d v="2021-01-11T00:00:00"/>
    <n v="83"/>
    <s v="Fittings -   LLEVA CERTIFICADOS DE CALIDAD "/>
    <s v="Pedido SAP N° 1075009"/>
    <s v="atrasado"/>
    <x v="9"/>
    <n v="0"/>
  </r>
  <r>
    <x v="13"/>
    <x v="13"/>
    <x v="1"/>
    <x v="49"/>
    <s v="042/20 CDQ"/>
    <s v="ACUERDO ECOPETROL"/>
    <x v="1101"/>
    <n v="1825.4"/>
    <x v="821"/>
    <n v="65"/>
    <d v="2020-10-02T00:00:00"/>
    <s v="Bogota"/>
    <d v="2020-11-13T00:00:00"/>
    <x v="149"/>
    <d v="2020-11-20T00:00:00"/>
    <d v="2020-11-25T00:00:00"/>
    <d v="2020-11-26T00:00:00"/>
    <n v="120"/>
    <s v="Fittings -   LLEVA CERTIFICADOS DE CALIDAD "/>
    <s v="Pedido SAP N° 1074999"/>
    <s v="atrasado"/>
    <x v="9"/>
    <n v="0"/>
  </r>
  <r>
    <x v="13"/>
    <x v="13"/>
    <x v="10"/>
    <x v="16"/>
    <s v="058/19 WGP"/>
    <m/>
    <x v="1107"/>
    <n v="23270"/>
    <x v="824"/>
    <n v="72"/>
    <d v="2020-02-28T00:00:00"/>
    <s v="Buenos Aires"/>
    <d v="2020-02-28T00:00:00"/>
    <x v="14"/>
    <d v="2020-03-04T00:00:00"/>
    <d v="2020-03-06T00:00:00"/>
    <d v="2020-03-16T00:00:00"/>
    <n v="89"/>
    <s v=" Fittings"/>
    <s v="Pedido SAP N° 1060558"/>
    <s v="atrasado"/>
    <x v="1"/>
    <n v="0"/>
  </r>
  <r>
    <x v="13"/>
    <x v="13"/>
    <x v="10"/>
    <x v="18"/>
    <s v="049/19 WEN"/>
    <m/>
    <x v="1035"/>
    <n v="355"/>
    <x v="781"/>
    <n v="80"/>
    <d v="2019-12-18T00:00:00"/>
    <s v="Buenos Aires"/>
    <d v="2019-11-29T00:00:00"/>
    <x v="50"/>
    <d v="2019-12-04T00:00:00"/>
    <d v="2019-12-04T00:00:00"/>
    <d v="2019-12-09T00:00:00"/>
    <n v="71"/>
    <s v=" Fittings"/>
    <s v="Pedido SAP N° 1058134"/>
    <s v="en término"/>
    <x v="9"/>
    <n v="1"/>
  </r>
  <r>
    <x v="13"/>
    <x v="13"/>
    <x v="12"/>
    <x v="50"/>
    <s v="052/20 GUN"/>
    <m/>
    <x v="1108"/>
    <n v="2175"/>
    <x v="825"/>
    <n v="60"/>
    <d v="2020-12-05T00:00:00"/>
    <s v="Buenos Aires"/>
    <d v="2020-12-18T00:00:00"/>
    <x v="8"/>
    <m/>
    <d v="2020-12-23T00:00:00"/>
    <d v="2020-12-27T00:00:00"/>
    <n v="82"/>
    <s v=" Fittings - PAGO ANTICIPADO"/>
    <s v="Pedido SAP N° 1074786 (ANTICIPO)"/>
    <s v="atrasado"/>
    <x v="11"/>
    <n v="0"/>
  </r>
  <r>
    <x v="13"/>
    <x v="13"/>
    <x v="20"/>
    <x v="51"/>
    <s v="034/20 RRB"/>
    <m/>
    <x v="1109"/>
    <n v="48345"/>
    <x v="826"/>
    <n v="90"/>
    <d v="2022-01-21T00:00:00"/>
    <s v="Buenos Aires"/>
    <d v="2021-01-22T00:00:00"/>
    <x v="150"/>
    <d v="2021-03-29T00:00:00"/>
    <d v="2021-05-04T00:00:00"/>
    <d v="2021-05-03T00:00:00"/>
    <n v="-173"/>
    <s v="33 bombas - PAGO ANTICIPADO"/>
    <s v="Pedido SAP N° 1074809 (ANTICIPO) - SAP N° 1077580 (ANTICIPO) NUEVO:  1080785 - SAP N° 1075335 (X 33 BOMBAS) - NUEVO:  1081199 (reemplaza al 1080672) - Pistones fisurados, del 18/12 se posterga entrega para el 15/1/21.  Informan por mail (23/3/21) que se cancelo el buque del 28/3 y pasa al del 5/4/21."/>
    <s v="en término"/>
    <x v="0"/>
    <n v="1"/>
  </r>
  <r>
    <x v="14"/>
    <x v="14"/>
    <x v="0"/>
    <x v="0"/>
    <s v="005/18 BBR"/>
    <n v="4600557062"/>
    <x v="1110"/>
    <n v="64089.66"/>
    <x v="827"/>
    <n v="91"/>
    <d v="2021-02-03T00:00:00"/>
    <s v="Salvador"/>
    <d v="2021-01-15T00:00:00"/>
    <x v="17"/>
    <d v="2021-01-23T00:00:00"/>
    <d v="2021-01-25T00:00:00"/>
    <d v="2021-02-11T00:00:00"/>
    <n v="99"/>
    <s v="51 bombas"/>
    <s v="Pago: 60 dias del cumplimiento -  Pedido SAP N° 1075929 - NUEVO:  1080535"/>
    <s v="en término"/>
    <x v="0"/>
    <n v="1"/>
  </r>
  <r>
    <x v="14"/>
    <x v="14"/>
    <x v="0"/>
    <x v="0"/>
    <s v="005/18 BBR"/>
    <n v="4600557062"/>
    <x v="1111"/>
    <n v="1777.88"/>
    <x v="828"/>
    <n v="90"/>
    <d v="2021-02-04T00:00:00"/>
    <s v="Salvador"/>
    <d v="2021-01-15T00:00:00"/>
    <x v="52"/>
    <d v="2021-01-23T00:00:00"/>
    <d v="2021-01-25T00:00:00"/>
    <d v="2021-02-11T00:00:00"/>
    <n v="97"/>
    <s v="1 bomba"/>
    <s v="Pago: 60 dias del cumplimiento -  Pedido SAP N° 1076084 - NUEVO: 1080654"/>
    <s v="en término"/>
    <x v="0"/>
    <n v="1"/>
  </r>
  <r>
    <x v="14"/>
    <x v="14"/>
    <x v="0"/>
    <x v="0"/>
    <s v="005/18 BBR"/>
    <n v="4600557062"/>
    <x v="1112"/>
    <n v="76922.100000000006"/>
    <x v="829"/>
    <n v="91"/>
    <d v="2021-02-15T00:00:00"/>
    <s v="Salvador"/>
    <d v="2021-01-15T00:00:00"/>
    <x v="59"/>
    <d v="2021-01-23T00:00:00"/>
    <d v="2021-01-25T00:00:00"/>
    <d v="2021-02-11T00:00:00"/>
    <n v="87"/>
    <s v="47 bombas + fittings"/>
    <s v="Pago: 60 dias del cumplimiento -  Pedido SAP N° 1076393 - NUEVO: 1080537"/>
    <s v="en término"/>
    <x v="0"/>
    <n v="1"/>
  </r>
  <r>
    <x v="14"/>
    <x v="14"/>
    <x v="0"/>
    <x v="0"/>
    <s v="039/20 BBR"/>
    <n v="4600611934"/>
    <x v="1113"/>
    <n v="20540"/>
    <x v="830"/>
    <n v="91"/>
    <d v="2021-02-23T00:00:00"/>
    <s v="Salvador"/>
    <d v="2021-02-19T00:00:00"/>
    <x v="9"/>
    <d v="2021-02-27T00:00:00"/>
    <d v="2021-03-02T00:00:00"/>
    <d v="2021-03-19T00:00:00"/>
    <n v="115"/>
    <s v="Fittings (20 barriles) - 1° ENVIO"/>
    <s v="Pago: 60 dias del cumplimiento -  Pedido SAP N° 1076661 - NUEVO: 1080615 (1085493)"/>
    <s v="atrasado"/>
    <x v="1"/>
    <n v="0"/>
  </r>
  <r>
    <x v="14"/>
    <x v="14"/>
    <x v="0"/>
    <x v="0"/>
    <s v="005/18 BBR"/>
    <n v="4600557062"/>
    <x v="1114"/>
    <n v="31894.2"/>
    <x v="831"/>
    <n v="92"/>
    <d v="2021-02-26T00:00:00"/>
    <s v="Salvador"/>
    <d v="2021-02-19T00:00:00"/>
    <x v="63"/>
    <d v="2021-02-27T00:00:00"/>
    <d v="2021-03-02T00:00:00"/>
    <d v="2021-03-19T00:00:00"/>
    <n v="113"/>
    <s v="10 bombas"/>
    <s v="Pago: 60 dias del cumplimiento -  Pedido SAP N° 1077012 - NUEVO:  1080657 (1085494)"/>
    <s v="atrasado"/>
    <x v="1"/>
    <n v="0"/>
  </r>
  <r>
    <x v="14"/>
    <x v="14"/>
    <x v="0"/>
    <x v="0"/>
    <s v="039/20 BBR"/>
    <n v="4600611934"/>
    <x v="1115"/>
    <n v="925.76"/>
    <x v="832"/>
    <n v="87"/>
    <d v="2021-03-05T00:00:00"/>
    <s v="Salvador"/>
    <d v="2021-02-26T00:00:00"/>
    <x v="63"/>
    <d v="2021-03-06T00:00:00"/>
    <d v="2021-03-08T00:00:00"/>
    <d v="2021-03-26T00:00:00"/>
    <n v="108"/>
    <s v="Fittings (4 Pistones)"/>
    <s v="Pago: 60 dias del cumplimiento -  Pedido SAP N° 1077431 - NUEVO: 1080618"/>
    <s v="atrasado"/>
    <x v="1"/>
    <n v="0"/>
  </r>
  <r>
    <x v="14"/>
    <x v="14"/>
    <x v="0"/>
    <x v="0"/>
    <s v="005/18 BBR"/>
    <n v="4600557062"/>
    <x v="1116"/>
    <n v="40528.69"/>
    <x v="832"/>
    <n v="84"/>
    <d v="2021-03-02T00:00:00"/>
    <s v="Salvador"/>
    <d v="2021-02-26T00:00:00"/>
    <x v="9"/>
    <d v="2021-03-06T00:00:00"/>
    <d v="2021-03-08T00:00:00"/>
    <d v="2021-03-26T00:00:00"/>
    <n v="108"/>
    <s v="31 bombas + fittings"/>
    <s v="Pago: 60 dias del cumplimiento -  Pedido SAP N° 1077451 - NUEVO: 1080663"/>
    <s v="atrasado"/>
    <x v="1"/>
    <n v="0"/>
  </r>
  <r>
    <x v="14"/>
    <x v="14"/>
    <x v="0"/>
    <x v="0"/>
    <s v="067/20 BBR"/>
    <m/>
    <x v="1117"/>
    <n v="13000"/>
    <x v="833"/>
    <n v="66"/>
    <d v="2021-02-26T00:00:00"/>
    <s v="Salvador"/>
    <d v="2021-02-26T00:00:00"/>
    <x v="23"/>
    <d v="2021-03-06T00:00:00"/>
    <d v="2021-03-08T00:00:00"/>
    <d v="2021-03-26T00:00:00"/>
    <n v="94"/>
    <s v="60 pistones"/>
    <s v="Pago: 60 dias del cumplimiento -  Pedido SAP N° 1078248 - NUEVO: 1080692"/>
    <s v="atrasado"/>
    <x v="1"/>
    <n v="0"/>
  </r>
  <r>
    <x v="14"/>
    <x v="14"/>
    <x v="0"/>
    <x v="0"/>
    <s v="068/20 BBR"/>
    <m/>
    <x v="1118"/>
    <n v="3180"/>
    <x v="833"/>
    <n v="66"/>
    <d v="2021-02-26T00:00:00"/>
    <s v="Salvador"/>
    <d v="2021-02-26T00:00:00"/>
    <x v="23"/>
    <d v="2021-03-06T00:00:00"/>
    <d v="2021-03-08T00:00:00"/>
    <d v="2021-03-26T00:00:00"/>
    <n v="94"/>
    <s v="Fittings"/>
    <s v="Pago: 60 dias del cumplimiento -  Pedido SAP N° 1078253 - NUEVO: 1080696"/>
    <s v="atrasado"/>
    <x v="1"/>
    <n v="0"/>
  </r>
  <r>
    <x v="14"/>
    <x v="14"/>
    <x v="0"/>
    <x v="0"/>
    <s v="069/20 BBR"/>
    <m/>
    <x v="1119"/>
    <n v="4460"/>
    <x v="833"/>
    <n v="66"/>
    <d v="2021-02-26T00:00:00"/>
    <s v="Salvador"/>
    <d v="2021-02-26T00:00:00"/>
    <x v="23"/>
    <d v="2021-03-06T00:00:00"/>
    <d v="2021-03-08T00:00:00"/>
    <d v="2021-03-26T00:00:00"/>
    <n v="94"/>
    <s v="40 Valvulas"/>
    <s v="Pago: 60 dias del cumplimiento -  Pedido SAP N° 1078263 - NUEVO:  1080626"/>
    <s v="atrasado"/>
    <x v="1"/>
    <n v="0"/>
  </r>
  <r>
    <x v="14"/>
    <x v="14"/>
    <x v="0"/>
    <x v="0"/>
    <s v="011/21 BBR"/>
    <m/>
    <x v="1120"/>
    <n v="60"/>
    <x v="834"/>
    <n v="32"/>
    <d v="2021-03-09T00:00:00"/>
    <s v="Salvador"/>
    <d v="2021-02-26T00:00:00"/>
    <x v="46"/>
    <d v="2021-03-06T00:00:00"/>
    <d v="2021-03-08T00:00:00"/>
    <d v="2021-03-26T00:00:00"/>
    <n v="49"/>
    <s v="6 Valvulas"/>
    <s v="Pago: 60 dias del cumplimiento -  Pedido SAP N° 1082598"/>
    <s v="en término"/>
    <x v="1"/>
    <n v="1"/>
  </r>
  <r>
    <x v="14"/>
    <x v="14"/>
    <x v="0"/>
    <x v="0"/>
    <s v="039/20 BBR"/>
    <n v="4600611934"/>
    <x v="1121"/>
    <n v="6250"/>
    <x v="830"/>
    <n v="91"/>
    <d v="2021-02-23T00:00:00"/>
    <s v="Salvador"/>
    <d v="2021-03-05T00:00:00"/>
    <x v="8"/>
    <d v="2021-03-13T00:00:00"/>
    <d v="2021-03-17T00:00:00"/>
    <d v="2021-04-02T00:00:00"/>
    <n v="129"/>
    <s v="Fittings"/>
    <s v="Pago: 60 dias del cumplimiento -  Pedido SAP N° 1076662 - NUEVO: 1080620"/>
    <s v="atrasado"/>
    <x v="2"/>
    <n v="0"/>
  </r>
  <r>
    <x v="14"/>
    <x v="14"/>
    <x v="0"/>
    <x v="0"/>
    <s v="005/18 BBR"/>
    <n v="4600557062"/>
    <x v="1122"/>
    <n v="3308.73"/>
    <x v="833"/>
    <n v="83"/>
    <d v="2021-03-15T00:00:00"/>
    <s v="Salvador"/>
    <d v="2021-03-05T00:00:00"/>
    <x v="75"/>
    <d v="2021-03-13T00:00:00"/>
    <d v="2021-03-17T00:00:00"/>
    <d v="2021-04-02T00:00:00"/>
    <n v="101"/>
    <s v="3 bombas"/>
    <s v="Pago: 60 dias del cumplimiento -  Pedido SAP N° 1078289 - NUEVO: 1080614"/>
    <s v="en término"/>
    <x v="2"/>
    <n v="1"/>
  </r>
  <r>
    <x v="14"/>
    <x v="14"/>
    <x v="0"/>
    <x v="0"/>
    <s v="005/18 BBR"/>
    <n v="4600557062"/>
    <x v="1123"/>
    <n v="2679.78"/>
    <x v="835"/>
    <n v="67"/>
    <d v="2021-03-20T00:00:00"/>
    <s v="Salvador"/>
    <d v="2021-03-05T00:00:00"/>
    <x v="64"/>
    <d v="2021-03-13T00:00:00"/>
    <d v="2021-03-17T00:00:00"/>
    <d v="2021-04-02T00:00:00"/>
    <n v="80"/>
    <s v="Fittings"/>
    <s v="Pago: 60 dias del cumplimiento -  Pedido SAP N° 1080538"/>
    <s v="en término"/>
    <x v="2"/>
    <n v="1"/>
  </r>
  <r>
    <x v="14"/>
    <x v="14"/>
    <x v="0"/>
    <x v="0"/>
    <s v="005/18 BBR"/>
    <n v="4600557062"/>
    <x v="1124"/>
    <n v="426.11"/>
    <x v="835"/>
    <n v="75"/>
    <d v="2021-03-28T00:00:00"/>
    <s v="Salvador"/>
    <d v="2021-03-05T00:00:00"/>
    <x v="21"/>
    <d v="2021-03-13T00:00:00"/>
    <d v="2021-03-17T00:00:00"/>
    <d v="2021-04-02T00:00:00"/>
    <n v="80"/>
    <s v="Fittings"/>
    <s v="Pago: 60 dias del cumplimiento -  Pedido SAP N° 1080540"/>
    <s v="en término"/>
    <x v="2"/>
    <n v="1"/>
  </r>
  <r>
    <x v="14"/>
    <x v="14"/>
    <x v="0"/>
    <x v="0"/>
    <s v="005/18 BBR"/>
    <n v="4600557062"/>
    <x v="1125"/>
    <n v="1536.74"/>
    <x v="835"/>
    <n v="75"/>
    <d v="2021-03-28T00:00:00"/>
    <s v="Salvador"/>
    <d v="2021-03-05T00:00:00"/>
    <x v="21"/>
    <d v="2021-03-13T00:00:00"/>
    <d v="2021-03-17T00:00:00"/>
    <d v="2021-04-02T00:00:00"/>
    <n v="80"/>
    <s v="Fittings"/>
    <s v="Pago: 60 dias del cumplimiento -  Pedido SAP N° 1080541"/>
    <s v="en término"/>
    <x v="2"/>
    <n v="1"/>
  </r>
  <r>
    <x v="14"/>
    <x v="14"/>
    <x v="0"/>
    <x v="0"/>
    <s v="039/20 BBR"/>
    <n v="4600611934"/>
    <x v="1126"/>
    <n v="255.2"/>
    <x v="836"/>
    <n v="39"/>
    <d v="2021-03-02T00:00:00"/>
    <s v="Salvador"/>
    <d v="2021-03-05T00:00:00"/>
    <x v="13"/>
    <d v="2021-03-13T00:00:00"/>
    <d v="2021-03-17T00:00:00"/>
    <d v="2021-04-02T00:00:00"/>
    <n v="70"/>
    <s v="Fittings"/>
    <s v="Pago: 60 dias del cumplimiento -  Pedido SAP N° 1081058"/>
    <s v="atrasado"/>
    <x v="2"/>
    <n v="0"/>
  </r>
  <r>
    <x v="14"/>
    <x v="14"/>
    <x v="0"/>
    <x v="0"/>
    <s v="005/18 BBR"/>
    <n v="4600557062"/>
    <x v="1127"/>
    <n v="104441.3"/>
    <x v="835"/>
    <n v="88"/>
    <d v="2021-04-10T00:00:00"/>
    <s v="Salvador"/>
    <d v="2021-03-30T00:00:00"/>
    <x v="45"/>
    <d v="2021-04-24T00:00:00"/>
    <d v="2021-04-26T00:00:00"/>
    <d v="2021-05-14T00:00:00"/>
    <n v="122"/>
    <s v="193 pistones + 37 bombas - 1° ENVIO"/>
    <s v="Pago: 60 dias del cumplimiento -  Pedido SAP N° 1080544 - Se cancela el buque del 12/4 y pasa al buque del 18/4. Finalmente paso para el buque del 26/4"/>
    <s v="atrasado"/>
    <x v="2"/>
    <n v="0"/>
  </r>
  <r>
    <x v="14"/>
    <x v="14"/>
    <x v="0"/>
    <x v="0"/>
    <s v="005/18 BBR"/>
    <n v="4600557062"/>
    <x v="1128"/>
    <n v="4530.12"/>
    <x v="835"/>
    <n v="88"/>
    <d v="2021-04-10T00:00:00"/>
    <s v="Salvador"/>
    <d v="2021-03-30T00:00:00"/>
    <x v="45"/>
    <d v="2021-04-24T00:00:00"/>
    <d v="2021-04-26T00:00:00"/>
    <d v="2021-05-14T00:00:00"/>
    <n v="122"/>
    <s v="3 bombas"/>
    <s v="Pago: 60 dias del cumplimiento -  Pedido SAP N° 1080542 - Se cancela el buque del 12/4 y pasa al buque del 18/4. Finalmente paso para el buque del 26/4"/>
    <s v="atrasado"/>
    <x v="2"/>
    <n v="0"/>
  </r>
  <r>
    <x v="14"/>
    <x v="14"/>
    <x v="0"/>
    <x v="0"/>
    <s v="005/18 BBR"/>
    <n v="4600557062"/>
    <x v="1129"/>
    <n v="2594.5100000000002"/>
    <x v="835"/>
    <n v="115"/>
    <d v="2021-05-07T00:00:00"/>
    <s v="Salvador"/>
    <d v="2021-03-30T00:00:00"/>
    <x v="10"/>
    <d v="2021-04-24T00:00:00"/>
    <d v="2021-04-26T00:00:00"/>
    <d v="2021-05-14T00:00:00"/>
    <n v="122"/>
    <s v="Fittings"/>
    <s v="Pago: 60 dias del cumplimiento -  Pedido SAP N° 1080543 - Se cancela el buque del 12/4 y pasa al buque del 18/4. Finalmente paso para el buque del 26/4"/>
    <s v="en término"/>
    <x v="2"/>
    <n v="1"/>
  </r>
  <r>
    <x v="14"/>
    <x v="14"/>
    <x v="0"/>
    <x v="0"/>
    <s v="005/18 BBR"/>
    <n v="4600557062"/>
    <x v="1130"/>
    <n v="1958.24"/>
    <x v="836"/>
    <n v="89"/>
    <d v="2021-04-21T00:00:00"/>
    <s v="Salvador"/>
    <d v="2021-04-16T00:00:00"/>
    <x v="15"/>
    <d v="2021-04-24T00:00:00"/>
    <d v="2021-04-26T00:00:00"/>
    <d v="2021-05-14T00:00:00"/>
    <n v="112"/>
    <s v="1 bomba"/>
    <s v="Pago: 60 dias del cumplimiento -  Pedido SAP N° 1080924"/>
    <s v="atrasado"/>
    <x v="10"/>
    <n v="0"/>
  </r>
  <r>
    <x v="14"/>
    <x v="14"/>
    <x v="0"/>
    <x v="0"/>
    <s v="005/18 BBR"/>
    <n v="4600557062"/>
    <x v="1131"/>
    <n v="13340.58"/>
    <x v="837"/>
    <n v="88"/>
    <d v="2021-05-01T00:00:00"/>
    <s v="Salvador"/>
    <d v="2021-04-16T00:00:00"/>
    <x v="64"/>
    <d v="2021-04-24T00:00:00"/>
    <d v="2021-04-26T00:00:00"/>
    <d v="2021-05-14T00:00:00"/>
    <n v="101"/>
    <s v="66 pistones"/>
    <s v="Pago: 60 dias del cumplimiento -  Pedido SAP N° 1082584"/>
    <s v="en término"/>
    <x v="10"/>
    <n v="1"/>
  </r>
  <r>
    <x v="14"/>
    <x v="14"/>
    <x v="0"/>
    <x v="0"/>
    <s v="005/18 BBR"/>
    <n v="4600557062"/>
    <x v="1132"/>
    <n v="43220.65"/>
    <x v="837"/>
    <n v="88"/>
    <d v="2021-05-01T00:00:00"/>
    <s v="Salvador"/>
    <d v="2021-04-16T00:00:00"/>
    <x v="64"/>
    <d v="2021-04-24T00:00:00"/>
    <d v="2021-04-26T00:00:00"/>
    <d v="2021-05-14T00:00:00"/>
    <n v="101"/>
    <s v="27 bombas"/>
    <s v="Pago: 60 dias del cumplimiento -  Pedido SAP N° 1082585"/>
    <s v="en término"/>
    <x v="10"/>
    <n v="1"/>
  </r>
  <r>
    <x v="14"/>
    <x v="14"/>
    <x v="0"/>
    <x v="0"/>
    <s v="005/18 BBR"/>
    <n v="4600557062"/>
    <x v="1127"/>
    <n v="17263.8"/>
    <x v="835"/>
    <n v="88"/>
    <d v="2021-04-10T00:00:00"/>
    <s v="Salvador"/>
    <d v="2021-04-23T00:00:00"/>
    <x v="95"/>
    <d v="2021-05-01T00:00:00"/>
    <d v="2021-05-03T00:00:00"/>
    <d v="2021-05-21T00:00:00"/>
    <n v="129"/>
    <s v="108 pistones - 2° ENVIO"/>
    <s v="Pago: 60 dias del cumplimiento -  Pedido SAP N°  1084752"/>
    <s v="atrasado"/>
    <x v="10"/>
    <n v="0"/>
  </r>
  <r>
    <x v="14"/>
    <x v="14"/>
    <x v="0"/>
    <x v="0"/>
    <s v="005/18 BBR"/>
    <n v="4600557062"/>
    <x v="1133"/>
    <n v="2275.0300000000002"/>
    <x v="838"/>
    <n v="81"/>
    <d v="2021-05-04T00:00:00"/>
    <s v="Salvador"/>
    <d v="2021-04-23T00:00:00"/>
    <x v="46"/>
    <d v="2021-05-01T00:00:00"/>
    <d v="2021-05-03T00:00:00"/>
    <d v="2021-05-21T00:00:00"/>
    <n v="98"/>
    <s v="Fittings"/>
    <s v="Pago: 60 dias del cumplimiento -  Pedido SAP N° 1082635"/>
    <s v="en término"/>
    <x v="10"/>
    <n v="1"/>
  </r>
  <r>
    <x v="14"/>
    <x v="14"/>
    <x v="0"/>
    <x v="0"/>
    <s v="005/18 BBR"/>
    <n v="4600557062"/>
    <x v="1134"/>
    <n v="3531.96"/>
    <x v="838"/>
    <n v="81"/>
    <d v="2021-05-04T00:00:00"/>
    <s v="Salvador"/>
    <d v="2021-04-23T00:00:00"/>
    <x v="46"/>
    <d v="2021-05-01T00:00:00"/>
    <d v="2021-05-03T00:00:00"/>
    <d v="2021-05-21T00:00:00"/>
    <n v="98"/>
    <s v="Fittings"/>
    <s v="Pago: 60 dias del cumplimiento -  Pedido SAP N° 1082636"/>
    <s v="en término"/>
    <x v="10"/>
    <n v="1"/>
  </r>
  <r>
    <x v="14"/>
    <x v="14"/>
    <x v="0"/>
    <x v="0"/>
    <s v="005/18 BBR"/>
    <n v="4600557062"/>
    <x v="1135"/>
    <n v="63101.599999999999"/>
    <x v="838"/>
    <n v="84"/>
    <d v="2021-05-07T00:00:00"/>
    <s v="Salvador"/>
    <d v="2021-04-23T00:00:00"/>
    <x v="86"/>
    <d v="2021-05-01T00:00:00"/>
    <d v="2021-05-03T00:00:00"/>
    <d v="2021-05-21T00:00:00"/>
    <n v="98"/>
    <s v="22 bombas - 1° ENVIO"/>
    <s v="Pago: 60 dias del cumplimiento -  Pedido SAP N° 1082784"/>
    <s v="en término"/>
    <x v="10"/>
    <n v="1"/>
  </r>
  <r>
    <x v="14"/>
    <x v="14"/>
    <x v="0"/>
    <x v="0"/>
    <s v="078/17 BBR"/>
    <n v="4600558097"/>
    <x v="1136"/>
    <n v="61209"/>
    <x v="838"/>
    <n v="113"/>
    <d v="2021-06-05T00:00:00"/>
    <s v="Salvador"/>
    <d v="2021-06-04T00:00:00"/>
    <x v="32"/>
    <d v="2021-06-12T00:00:00"/>
    <d v="2021-06-14T00:00:00"/>
    <d v="2021-07-01T00:00:00"/>
    <n v="139"/>
    <s v="30 bombas - 1° ENVIO"/>
    <s v="Pago: 60 dias del cumplimiento -  Pedido SAP N° 1082647"/>
    <s v="atrasado"/>
    <x v="4"/>
    <n v="0"/>
  </r>
  <r>
    <x v="14"/>
    <x v="14"/>
    <x v="0"/>
    <x v="0"/>
    <s v="078/17 BBR"/>
    <n v="4600558097"/>
    <x v="1137"/>
    <n v="170663.23"/>
    <x v="838"/>
    <n v="113"/>
    <d v="2021-06-05T00:00:00"/>
    <s v="Salvador"/>
    <d v="2021-06-04T00:00:00"/>
    <x v="32"/>
    <d v="2021-06-12T00:00:00"/>
    <d v="2021-06-14T00:00:00"/>
    <d v="2021-07-01T00:00:00"/>
    <n v="139"/>
    <s v="57 bombas - 1° ENVIO"/>
    <s v="Pago: 60 dias del cumplimiento -  Pedido SAP N° 1083002"/>
    <s v="atrasado"/>
    <x v="4"/>
    <n v="0"/>
  </r>
  <r>
    <x v="14"/>
    <x v="14"/>
    <x v="0"/>
    <x v="0"/>
    <s v="005/18 BBR"/>
    <n v="4600557062"/>
    <x v="1138"/>
    <n v="1873.41"/>
    <x v="839"/>
    <n v="81"/>
    <d v="2021-06-06T00:00:00"/>
    <s v="Salvador"/>
    <d v="2021-06-04T00:00:00"/>
    <x v="62"/>
    <d v="2021-06-12T00:00:00"/>
    <d v="2021-06-14T00:00:00"/>
    <d v="2021-07-01T00:00:00"/>
    <n v="106"/>
    <s v="21 pistones"/>
    <s v="Pago: 60 dias del cumplimiento -  Pedido SAP N° 1084815"/>
    <s v="atrasado"/>
    <x v="4"/>
    <n v="0"/>
  </r>
  <r>
    <x v="14"/>
    <x v="14"/>
    <x v="0"/>
    <x v="0"/>
    <s v="005/18 BBR"/>
    <n v="4600557062"/>
    <x v="1139"/>
    <n v="24267.66"/>
    <x v="839"/>
    <n v="81"/>
    <d v="2021-06-06T00:00:00"/>
    <s v="Salvador"/>
    <d v="2021-06-04T00:00:00"/>
    <x v="62"/>
    <d v="2021-06-12T00:00:00"/>
    <d v="2021-06-14T00:00:00"/>
    <d v="2021-07-01T00:00:00"/>
    <n v="106"/>
    <s v="9 bombas + 18 pistones"/>
    <s v="Pago: 60 dias del cumplimiento -  Pedido SAP N°  1084829"/>
    <s v="atrasado"/>
    <x v="4"/>
    <n v="0"/>
  </r>
  <r>
    <x v="14"/>
    <x v="14"/>
    <x v="0"/>
    <x v="0"/>
    <s v="039/20 BBR"/>
    <n v="4600611934"/>
    <x v="1140"/>
    <n v="153.78"/>
    <x v="840"/>
    <n v="77"/>
    <d v="2021-06-09T00:00:00"/>
    <s v="Salvador"/>
    <d v="2021-06-04T00:00:00"/>
    <x v="15"/>
    <d v="2021-06-12T00:00:00"/>
    <d v="2021-06-14T00:00:00"/>
    <d v="2021-07-01T00:00:00"/>
    <n v="99"/>
    <s v="Fittings"/>
    <s v="Pago: 60 dias del cumplimiento -  Pedido SAP N°  1085321"/>
    <s v="atrasado"/>
    <x v="4"/>
    <n v="0"/>
  </r>
  <r>
    <x v="14"/>
    <x v="14"/>
    <x v="0"/>
    <x v="0"/>
    <s v="070/20 BBR"/>
    <s v="Petroreconcavo 10767"/>
    <x v="1141"/>
    <n v="3806"/>
    <x v="841"/>
    <n v="77"/>
    <d v="2021-06-25T00:00:00"/>
    <s v="Salvador"/>
    <d v="2021-06-18T00:00:00"/>
    <x v="23"/>
    <d v="2021-07-03T00:00:00"/>
    <d v="2021-07-04T00:00:00"/>
    <d v="2021-07-23T00:00:00"/>
    <n v="105"/>
    <s v="Fittings"/>
    <s v="Pago: 60 dias del cumplimiento -  Pedido SAP N° 1086854 -Estaba previsto para el buque Jacaranda 132 para el  dia 28/6 pero no ingresa a Buenos Aires.  Se pasa para el Guarani 039-4/7."/>
    <s v="atrasado"/>
    <x v="4"/>
    <n v="0"/>
  </r>
  <r>
    <x v="14"/>
    <x v="14"/>
    <x v="0"/>
    <x v="0"/>
    <s v="005/18 BBR"/>
    <n v="4600557062"/>
    <x v="1142"/>
    <n v="34730.92"/>
    <x v="842"/>
    <n v="81"/>
    <d v="2021-06-26T00:00:00"/>
    <s v="Salvador"/>
    <d v="2021-06-18T00:00:00"/>
    <x v="32"/>
    <d v="2021-07-03T00:00:00"/>
    <d v="2021-07-04T00:00:00"/>
    <d v="2021-07-23T00:00:00"/>
    <n v="108"/>
    <s v="23 bombas"/>
    <s v="Pago: 60 dias del cumplimiento -  Pedido SAP N°  1086163 - Estaba previsto para el buque Jacaranda 132 para el  dia 28/6 pero no ingresa a Buenos Aires.  Se pasa para el Guarani 039-4/7."/>
    <s v="atrasado"/>
    <x v="4"/>
    <n v="0"/>
  </r>
  <r>
    <x v="14"/>
    <x v="14"/>
    <x v="0"/>
    <x v="0"/>
    <s v="005/18 BBR"/>
    <n v="4600557062"/>
    <x v="1143"/>
    <n v="84373.35"/>
    <x v="842"/>
    <n v="83"/>
    <d v="2021-06-28T00:00:00"/>
    <s v="Salvador"/>
    <d v="2021-07-02T00:00:00"/>
    <x v="43"/>
    <d v="2021-07-10T00:00:00"/>
    <d v="2021-07-12T00:00:00"/>
    <d v="2021-07-30T00:00:00"/>
    <n v="115"/>
    <s v="53 bombas"/>
    <s v="Pago: 60 dias del cumplimiento -  Pedido SAP N°  1086164"/>
    <s v="atrasado"/>
    <x v="5"/>
    <n v="0"/>
  </r>
  <r>
    <x v="14"/>
    <x v="14"/>
    <x v="0"/>
    <x v="0"/>
    <s v="005/18 BBR"/>
    <n v="4600557062"/>
    <x v="1144"/>
    <n v="11424.1"/>
    <x v="843"/>
    <n v="89"/>
    <d v="2021-07-20T00:00:00"/>
    <s v="Salvador"/>
    <d v="2021-07-02T00:00:00"/>
    <x v="49"/>
    <d v="2021-07-10T00:00:00"/>
    <d v="2021-07-12T00:00:00"/>
    <d v="2021-07-30T00:00:00"/>
    <n v="99"/>
    <s v="8 bombas + fittings"/>
    <s v="Pago: 60 dias del cumplimiento -  Pedido SAP N°  1087306"/>
    <s v="en término"/>
    <x v="5"/>
    <n v="1"/>
  </r>
  <r>
    <x v="14"/>
    <x v="14"/>
    <x v="0"/>
    <x v="0"/>
    <s v="005/18 BBR"/>
    <n v="4600557062"/>
    <x v="1145"/>
    <n v="9384.51"/>
    <x v="844"/>
    <n v="91"/>
    <d v="2021-07-30T00:00:00"/>
    <s v="Salvador"/>
    <d v="2021-07-02T00:00:00"/>
    <x v="35"/>
    <d v="2021-07-10T00:00:00"/>
    <d v="2021-07-12T00:00:00"/>
    <d v="2021-07-30T00:00:00"/>
    <n v="91"/>
    <s v="4 bombas + fittings"/>
    <s v="Pago: 60 dias del cumplimiento -  Pedido SAP N°  1088117"/>
    <s v="en término"/>
    <x v="5"/>
    <n v="1"/>
  </r>
  <r>
    <x v="14"/>
    <x v="14"/>
    <x v="0"/>
    <x v="0"/>
    <s v="039/20 BBR"/>
    <n v="4600611934"/>
    <x v="1146"/>
    <n v="207.76"/>
    <x v="844"/>
    <n v="91"/>
    <d v="2021-07-30T00:00:00"/>
    <s v="Salvador"/>
    <d v="2021-07-02T00:00:00"/>
    <x v="35"/>
    <d v="2021-07-10T00:00:00"/>
    <d v="2021-07-12T00:00:00"/>
    <d v="2021-07-30T00:00:00"/>
    <n v="91"/>
    <s v="Fittings"/>
    <s v="Pago: 60 dias del cumplimiento -  Pedido SAP N°  1088118 (ANULADO:1088037)"/>
    <s v="en término"/>
    <x v="5"/>
    <n v="1"/>
  </r>
  <r>
    <x v="14"/>
    <x v="14"/>
    <x v="0"/>
    <x v="0"/>
    <s v="039/20 BBR"/>
    <n v="4600611934"/>
    <x v="1113"/>
    <n v="18486"/>
    <x v="830"/>
    <n v="91"/>
    <d v="2021-02-23T00:00:00"/>
    <s v="Salvador"/>
    <d v="2021-07-23T00:00:00"/>
    <x v="151"/>
    <d v="2021-07-31T00:00:00"/>
    <d v="2021-08-02T00:00:00"/>
    <d v="2021-08-20T00:00:00"/>
    <n v="269"/>
    <s v="Fittings (18 barriles) - 2° ENVIO"/>
    <s v="Pago: 60 dias del cumplimiento -  Pedido SAP N° 1076771 - NUEVO: 1080616"/>
    <s v="atrasado"/>
    <x v="5"/>
    <n v="0"/>
  </r>
  <r>
    <x v="14"/>
    <x v="14"/>
    <x v="0"/>
    <x v="0"/>
    <s v="005/18 BBR"/>
    <n v="4600557062"/>
    <x v="1147"/>
    <n v="2424.5"/>
    <x v="845"/>
    <n v="87"/>
    <d v="2021-08-08T00:00:00"/>
    <s v="Salvador"/>
    <d v="2021-07-23T00:00:00"/>
    <x v="77"/>
    <d v="2021-07-31T00:00:00"/>
    <d v="2021-08-02T00:00:00"/>
    <d v="2021-08-20T00:00:00"/>
    <n v="99"/>
    <s v="1 bomba"/>
    <s v="Pago: 60 dias del cumplimiento -  Pedido SAP N°  1088992"/>
    <s v="en término"/>
    <x v="5"/>
    <n v="1"/>
  </r>
  <r>
    <x v="14"/>
    <x v="14"/>
    <x v="0"/>
    <x v="0"/>
    <s v="005/18 BBR"/>
    <n v="4600557062"/>
    <x v="1148"/>
    <n v="4849.0600000000004"/>
    <x v="846"/>
    <n v="81"/>
    <d v="2021-08-03T00:00:00"/>
    <s v="Salvador"/>
    <d v="2021-07-23T00:00:00"/>
    <x v="46"/>
    <d v="2021-07-31T00:00:00"/>
    <d v="2021-08-02T00:00:00"/>
    <d v="2021-08-20T00:00:00"/>
    <n v="98"/>
    <s v="2 bombas "/>
    <s v="Pago: 60 dias del cumplimiento -  Pedido SAP N°  1088994"/>
    <s v="en término"/>
    <x v="5"/>
    <n v="1"/>
  </r>
  <r>
    <x v="14"/>
    <x v="14"/>
    <x v="0"/>
    <x v="0"/>
    <s v="039/20 BBR"/>
    <n v="4600611934"/>
    <x v="1149"/>
    <n v="1845.88"/>
    <x v="846"/>
    <n v="91"/>
    <d v="2021-08-13T00:00:00"/>
    <s v="Salvador"/>
    <d v="2021-07-23T00:00:00"/>
    <x v="10"/>
    <d v="2021-07-31T00:00:00"/>
    <d v="2021-08-02T00:00:00"/>
    <d v="2021-08-20T00:00:00"/>
    <n v="98"/>
    <s v="Fittings (10 pistones)"/>
    <s v="Pago: 60 dias del cumplimiento -  Pedido SAP N°  1088914"/>
    <s v="en término"/>
    <x v="5"/>
    <n v="1"/>
  </r>
  <r>
    <x v="14"/>
    <x v="14"/>
    <x v="0"/>
    <x v="0"/>
    <s v="039/20 BBR"/>
    <n v="4600611934"/>
    <x v="1150"/>
    <n v="608.34"/>
    <x v="846"/>
    <n v="88"/>
    <d v="2021-08-10T00:00:00"/>
    <s v="Salvador"/>
    <d v="2021-07-23T00:00:00"/>
    <x v="49"/>
    <d v="2021-07-31T00:00:00"/>
    <d v="2021-08-02T00:00:00"/>
    <d v="2021-08-20T00:00:00"/>
    <n v="98"/>
    <s v="Fittings (2 pistones)"/>
    <s v="Pago: 60 dias del cumplimiento -  Pedido SAP N°  1088918"/>
    <s v="en término"/>
    <x v="5"/>
    <n v="1"/>
  </r>
  <r>
    <x v="14"/>
    <x v="14"/>
    <x v="0"/>
    <x v="0"/>
    <s v="005/18 BBR"/>
    <n v="4600557062"/>
    <x v="1151"/>
    <n v="3192.6"/>
    <x v="846"/>
    <n v="87"/>
    <d v="2021-08-09T00:00:00"/>
    <s v="Salvador"/>
    <d v="2021-07-23T00:00:00"/>
    <x v="74"/>
    <d v="2021-07-31T00:00:00"/>
    <d v="2021-08-02T00:00:00"/>
    <d v="2021-08-20T00:00:00"/>
    <n v="98"/>
    <s v="Fittings"/>
    <s v="Pago: 60 dias del cumplimiento -  Pedido SAP N°  1088956"/>
    <s v="en término"/>
    <x v="5"/>
    <n v="1"/>
  </r>
  <r>
    <x v="14"/>
    <x v="14"/>
    <x v="0"/>
    <x v="0"/>
    <s v="005/18 BBR"/>
    <n v="4600557062"/>
    <x v="1152"/>
    <n v="1784.21"/>
    <x v="847"/>
    <n v="89"/>
    <d v="2021-08-14T00:00:00"/>
    <s v="Salvador"/>
    <d v="2021-07-23T00:00:00"/>
    <x v="50"/>
    <d v="2021-07-31T00:00:00"/>
    <d v="2021-08-02T00:00:00"/>
    <d v="2021-08-20T00:00:00"/>
    <n v="95"/>
    <s v="Fittings (20 pistones)"/>
    <s v="Pago: 60 dias del cumplimiento -  Pedido SAP N°  1088957"/>
    <s v="en término"/>
    <x v="5"/>
    <n v="1"/>
  </r>
  <r>
    <x v="14"/>
    <x v="14"/>
    <x v="0"/>
    <x v="0"/>
    <s v="039/20 BBR"/>
    <n v="4600611934"/>
    <x v="1153"/>
    <n v="134.80000000000001"/>
    <x v="848"/>
    <n v="89"/>
    <d v="2021-08-21T00:00:00"/>
    <s v="Salvador"/>
    <d v="2021-07-23T00:00:00"/>
    <x v="84"/>
    <d v="2021-07-31T00:00:00"/>
    <d v="2021-08-02T00:00:00"/>
    <d v="2021-08-20T00:00:00"/>
    <n v="88"/>
    <s v="Fittings"/>
    <s v="Pago: 60 dias del cumplimiento -  Pedido SAP N°  1089408"/>
    <s v="en término"/>
    <x v="5"/>
    <n v="1"/>
  </r>
  <r>
    <x v="14"/>
    <x v="14"/>
    <x v="0"/>
    <x v="0"/>
    <s v="039/20 BBR"/>
    <n v="4600611934"/>
    <x v="1154"/>
    <n v="67.400000000000006"/>
    <x v="848"/>
    <n v="89"/>
    <d v="2021-08-21T00:00:00"/>
    <s v="Salvador"/>
    <d v="2021-07-23T00:00:00"/>
    <x v="84"/>
    <d v="2021-07-31T00:00:00"/>
    <d v="2021-08-02T00:00:00"/>
    <d v="2021-08-20T00:00:00"/>
    <n v="88"/>
    <s v="Fittings"/>
    <s v="Pago: 60 dias del cumplimiento -  Pedido SAP N°  1089406"/>
    <s v="en término"/>
    <x v="5"/>
    <n v="1"/>
  </r>
  <r>
    <x v="14"/>
    <x v="14"/>
    <x v="0"/>
    <x v="0"/>
    <s v="026/21 BBR"/>
    <s v="Petroreconcavo 102021"/>
    <x v="1155"/>
    <n v="10000"/>
    <x v="849"/>
    <n v="109"/>
    <d v="2021-07-12T00:00:00"/>
    <s v="Salvador"/>
    <d v="2021-07-30T00:00:00"/>
    <x v="3"/>
    <d v="2021-08-07T00:00:00"/>
    <d v="2021-08-09T00:00:00"/>
    <d v="2021-08-27T00:00:00"/>
    <n v="155"/>
    <s v="Fittings"/>
    <s v="Pago: 60 dias del cumplimiento -  Pedido SAP N° 1085891"/>
    <s v="atrasado"/>
    <x v="5"/>
    <n v="0"/>
  </r>
  <r>
    <x v="14"/>
    <x v="14"/>
    <x v="0"/>
    <x v="0"/>
    <s v="005/18 BBR"/>
    <n v="4600557062"/>
    <x v="1156"/>
    <n v="27063.15"/>
    <x v="850"/>
    <n v="83"/>
    <d v="2021-08-03T00:00:00"/>
    <s v="Salvador"/>
    <d v="2021-07-30T00:00:00"/>
    <x v="9"/>
    <d v="2021-08-07T00:00:00"/>
    <d v="2021-08-09T00:00:00"/>
    <d v="2021-08-27T00:00:00"/>
    <n v="107"/>
    <s v="17 bombas"/>
    <s v="Pago: 60 dias del cumplimiento -  Pedido SAP N°  1088693"/>
    <s v="atrasado"/>
    <x v="5"/>
    <n v="0"/>
  </r>
  <r>
    <x v="14"/>
    <x v="14"/>
    <x v="0"/>
    <x v="0"/>
    <s v="005/18 BBR"/>
    <n v="4600557062"/>
    <x v="1157"/>
    <n v="19630.55"/>
    <x v="845"/>
    <n v="86"/>
    <d v="2021-08-07T00:00:00"/>
    <s v="Salvador"/>
    <d v="2021-07-30T00:00:00"/>
    <x v="44"/>
    <d v="2021-08-07T00:00:00"/>
    <d v="2021-08-09T00:00:00"/>
    <d v="2021-08-27T00:00:00"/>
    <n v="106"/>
    <s v="13 bombas "/>
    <s v="Pago: 60 dias del cumplimiento -  Pedido SAP N°  1088765"/>
    <s v="en término"/>
    <x v="5"/>
    <n v="1"/>
  </r>
  <r>
    <x v="14"/>
    <x v="14"/>
    <x v="0"/>
    <x v="0"/>
    <s v="005/18 BBR"/>
    <n v="4600557062"/>
    <x v="1158"/>
    <n v="19136.52"/>
    <x v="845"/>
    <n v="87"/>
    <d v="2021-08-08T00:00:00"/>
    <s v="Salvador"/>
    <d v="2021-08-20T00:00:00"/>
    <x v="92"/>
    <d v="2021-08-28T00:00:00"/>
    <d v="2021-08-30T00:00:00"/>
    <d v="2021-09-17T00:00:00"/>
    <n v="127"/>
    <s v="6 bombas "/>
    <s v="Pago: 60 dias del cumplimiento -  Pedido SAP N°  1088767"/>
    <s v="atrasado"/>
    <x v="6"/>
    <n v="0"/>
  </r>
  <r>
    <x v="14"/>
    <x v="14"/>
    <x v="0"/>
    <x v="0"/>
    <s v="005/18 BBR"/>
    <n v="4600557062"/>
    <x v="1159"/>
    <n v="11454.92"/>
    <x v="846"/>
    <n v="90"/>
    <d v="2021-08-12T00:00:00"/>
    <s v="Salvador"/>
    <d v="2021-08-20T00:00:00"/>
    <x v="5"/>
    <d v="2021-08-28T00:00:00"/>
    <d v="2021-08-30T00:00:00"/>
    <d v="2021-09-17T00:00:00"/>
    <n v="126"/>
    <s v="6 bombas "/>
    <s v="Pago: 60 dias del cumplimiento -  Pedido SAP N°  1088923"/>
    <s v="atrasado"/>
    <x v="6"/>
    <n v="0"/>
  </r>
  <r>
    <x v="14"/>
    <x v="14"/>
    <x v="0"/>
    <x v="0"/>
    <s v="005/18 BBR"/>
    <n v="4600557062"/>
    <x v="1160"/>
    <n v="15947.1"/>
    <x v="846"/>
    <n v="90"/>
    <d v="2021-08-12T00:00:00"/>
    <s v="Salvador"/>
    <d v="2021-08-20T00:00:00"/>
    <x v="5"/>
    <d v="2021-08-28T00:00:00"/>
    <d v="2021-08-30T00:00:00"/>
    <d v="2021-09-17T00:00:00"/>
    <n v="126"/>
    <s v="5 bombas "/>
    <s v="Pago: 60 dias del cumplimiento -  Pedido SAP N°  1088955"/>
    <s v="atrasado"/>
    <x v="6"/>
    <n v="0"/>
  </r>
  <r>
    <x v="14"/>
    <x v="14"/>
    <x v="0"/>
    <x v="0"/>
    <s v="005/18 BBR"/>
    <n v="4600557062"/>
    <x v="1161"/>
    <n v="4933.8599999999997"/>
    <x v="851"/>
    <n v="88"/>
    <d v="2021-08-14T00:00:00"/>
    <s v="Salvador"/>
    <d v="2021-07-30T00:00:00"/>
    <x v="64"/>
    <d v="2021-08-07T00:00:00"/>
    <d v="2021-08-09T00:00:00"/>
    <d v="2021-08-27T00:00:00"/>
    <n v="101"/>
    <s v="2 bombas + Fittings"/>
    <s v="Pago: 60 dias del cumplimiento -  Pedido SAP N°  1089026"/>
    <s v="en término"/>
    <x v="5"/>
    <n v="1"/>
  </r>
  <r>
    <x v="14"/>
    <x v="14"/>
    <x v="0"/>
    <x v="0"/>
    <s v="005/18 BBR"/>
    <n v="4600557062"/>
    <x v="1162"/>
    <n v="1591.95"/>
    <x v="852"/>
    <n v="86"/>
    <d v="2021-08-21T00:00:00"/>
    <s v="Salvador"/>
    <d v="2021-07-30T00:00:00"/>
    <x v="50"/>
    <d v="2021-08-07T00:00:00"/>
    <d v="2021-08-09T00:00:00"/>
    <d v="2021-08-27T00:00:00"/>
    <n v="92"/>
    <s v="1 bomba"/>
    <s v="Pago: 60 dias del cumplimiento -  Pedido SAP N°  1089520"/>
    <s v="en término"/>
    <x v="5"/>
    <n v="1"/>
  </r>
  <r>
    <x v="14"/>
    <x v="14"/>
    <x v="0"/>
    <x v="0"/>
    <s v="046/21 BBR"/>
    <s v="4510985855 (7003478973)"/>
    <x v="1163"/>
    <n v="2183"/>
    <x v="852"/>
    <n v="71"/>
    <d v="2021-08-06T00:00:00"/>
    <s v="Salvador"/>
    <d v="2021-07-30T00:00:00"/>
    <x v="63"/>
    <d v="2021-08-07T00:00:00"/>
    <d v="2021-08-09T00:00:00"/>
    <d v="2021-08-27T00:00:00"/>
    <n v="92"/>
    <s v="1 bomba"/>
    <s v="Pago: 60 dias del cumplimiento -  Pedido SAP N° 1089646"/>
    <s v="atrasado"/>
    <x v="5"/>
    <n v="0"/>
  </r>
  <r>
    <x v="14"/>
    <x v="14"/>
    <x v="0"/>
    <x v="0"/>
    <s v="005/18 BBR"/>
    <n v="4600557062"/>
    <x v="1164"/>
    <n v="15476.72"/>
    <x v="853"/>
    <n v="90"/>
    <d v="2021-09-01T00:00:00"/>
    <s v="Salvador"/>
    <d v="2021-08-27T00:00:00"/>
    <x v="15"/>
    <d v="2021-09-04T00:00:00"/>
    <d v="2021-09-06T00:00:00"/>
    <d v="2021-09-24T00:00:00"/>
    <n v="113"/>
    <s v="7 bombas - 1° ENVIO"/>
    <s v="Pago: 60 dias del cumplimiento -  Pedido SAP N°  1090105"/>
    <s v="atrasado"/>
    <x v="6"/>
    <n v="0"/>
  </r>
  <r>
    <x v="14"/>
    <x v="14"/>
    <x v="0"/>
    <x v="0"/>
    <s v="005/18 BBR"/>
    <n v="4600557062"/>
    <x v="1165"/>
    <n v="26828.15"/>
    <x v="853"/>
    <n v="90"/>
    <d v="2021-09-01T00:00:00"/>
    <s v="Salvador"/>
    <d v="2021-08-27T00:00:00"/>
    <x v="15"/>
    <d v="2021-09-04T00:00:00"/>
    <d v="2021-09-06T00:00:00"/>
    <d v="2021-09-24T00:00:00"/>
    <n v="113"/>
    <s v="16 bombas"/>
    <s v="Pago: 60 dias del cumplimiento -  Pedido SAP N°  1090107"/>
    <s v="atrasado"/>
    <x v="6"/>
    <n v="0"/>
  </r>
  <r>
    <x v="14"/>
    <x v="14"/>
    <x v="0"/>
    <x v="0"/>
    <s v="005/18 BBR"/>
    <n v="4600557062"/>
    <x v="1166"/>
    <n v="10865.88"/>
    <x v="854"/>
    <n v="89"/>
    <d v="2021-10-03T00:00:00"/>
    <s v="Salvador"/>
    <d v="2021-09-14T00:00:00"/>
    <x v="77"/>
    <d v="2021-09-25T00:00:00"/>
    <d v="2021-10-11T00:00:00"/>
    <d v="2021-11-19T00:00:00"/>
    <n v="136"/>
    <s v="6 bombas"/>
    <s v="Pago: 60 dias del cumplimiento -  Pedido SAP N°  1092240"/>
    <s v="en término"/>
    <x v="7"/>
    <n v="1"/>
  </r>
  <r>
    <x v="14"/>
    <x v="14"/>
    <x v="0"/>
    <x v="0"/>
    <s v="005/18 BBR"/>
    <n v="4600557062"/>
    <x v="1167"/>
    <n v="22287.3"/>
    <x v="854"/>
    <n v="89"/>
    <d v="2021-10-03T00:00:00"/>
    <s v="Salvador"/>
    <d v="2021-09-14T00:00:00"/>
    <x v="77"/>
    <d v="2021-09-25T00:00:00"/>
    <d v="2021-10-11T00:00:00"/>
    <d v="2021-11-19T00:00:00"/>
    <n v="136"/>
    <s v="14 bombas"/>
    <s v="Pago: 60 dias del cumplimiento -  Pedido SAP N°  1092241"/>
    <s v="en término"/>
    <x v="7"/>
    <n v="1"/>
  </r>
  <r>
    <x v="14"/>
    <x v="14"/>
    <x v="0"/>
    <x v="0"/>
    <s v="005/18 BBR"/>
    <n v="4600557062"/>
    <x v="1168"/>
    <n v="26647.11"/>
    <x v="855"/>
    <n v="90"/>
    <d v="2021-10-10T00:00:00"/>
    <s v="Salvador"/>
    <d v="2021-09-14T00:00:00"/>
    <x v="21"/>
    <d v="2021-09-25T00:00:00"/>
    <d v="2021-10-11T00:00:00"/>
    <d v="2021-11-19T00:00:00"/>
    <n v="130"/>
    <s v="13 bombas"/>
    <s v="Pago: 60 dias del cumplimiento -  Pedido SAP N°  1092532"/>
    <s v="en término"/>
    <x v="7"/>
    <n v="1"/>
  </r>
  <r>
    <x v="14"/>
    <x v="14"/>
    <x v="0"/>
    <x v="0"/>
    <s v="005/18 BBR"/>
    <n v="4600557062"/>
    <x v="1169"/>
    <n v="15100.4"/>
    <x v="856"/>
    <n v="90"/>
    <d v="2021-10-19T00:00:00"/>
    <s v="Salvador"/>
    <d v="2021-09-14T00:00:00"/>
    <x v="90"/>
    <d v="2021-09-25T00:00:00"/>
    <d v="2021-10-11T00:00:00"/>
    <d v="2021-11-19T00:00:00"/>
    <n v="121"/>
    <s v="10 bombas"/>
    <s v="Pago: 60 dias del cumplimiento -  Pedido SAP N°  1093044"/>
    <s v="en término"/>
    <x v="7"/>
    <n v="1"/>
  </r>
  <r>
    <x v="14"/>
    <x v="14"/>
    <x v="0"/>
    <x v="0"/>
    <s v="005/18 BBR"/>
    <n v="4600557062"/>
    <x v="1170"/>
    <n v="19136.46"/>
    <x v="857"/>
    <n v="90"/>
    <d v="2021-10-24T00:00:00"/>
    <s v="Salvador"/>
    <d v="2021-09-14T00:00:00"/>
    <x v="37"/>
    <d v="2021-09-25T00:00:00"/>
    <d v="2021-10-11T00:00:00"/>
    <d v="2021-11-19T00:00:00"/>
    <n v="116"/>
    <s v="6 bombas"/>
    <s v="Pago: 60 dias del cumplimiento -  Pedido SAP N°  1093918"/>
    <s v="en término"/>
    <x v="7"/>
    <n v="1"/>
  </r>
  <r>
    <x v="14"/>
    <x v="14"/>
    <x v="0"/>
    <x v="0"/>
    <s v="067/21 BBR"/>
    <s v="Potiguar 16369"/>
    <x v="1171"/>
    <n v="189"/>
    <x v="858"/>
    <n v="90"/>
    <d v="2021-11-09T00:00:00"/>
    <s v="Salvador"/>
    <d v="2021-10-15T00:00:00"/>
    <x v="34"/>
    <d v="2021-10-23T00:00:00"/>
    <d v="2021-11-07T00:00:00"/>
    <d v="2021-11-26T00:00:00"/>
    <n v="107"/>
    <s v="Fittings"/>
    <s v="Pago: 60 dias del cumplimiento -  Pedido SAP N° 1094490"/>
    <s v="en término"/>
    <x v="8"/>
    <n v="1"/>
  </r>
  <r>
    <x v="14"/>
    <x v="14"/>
    <x v="0"/>
    <x v="0"/>
    <s v="005/18 BBR"/>
    <n v="4600557062"/>
    <x v="1172"/>
    <n v="5213.91"/>
    <x v="859"/>
    <n v="90"/>
    <d v="2021-11-10T00:00:00"/>
    <s v="Salvador"/>
    <d v="2021-10-15T00:00:00"/>
    <x v="18"/>
    <d v="2021-10-23T00:00:00"/>
    <d v="2021-11-07T00:00:00"/>
    <d v="2021-11-26T00:00:00"/>
    <n v="106"/>
    <s v="3 bombas"/>
    <s v="Pago: 60 dias del cumplimiento -  Pedido SAP N°  1094514"/>
    <s v="en término"/>
    <x v="8"/>
    <n v="1"/>
  </r>
  <r>
    <x v="14"/>
    <x v="14"/>
    <x v="0"/>
    <x v="0"/>
    <s v="005/18 BBR"/>
    <n v="4600557062"/>
    <x v="1173"/>
    <n v="2875.18"/>
    <x v="859"/>
    <n v="90"/>
    <d v="2021-11-10T00:00:00"/>
    <s v="Salvador"/>
    <d v="2021-10-15T00:00:00"/>
    <x v="18"/>
    <d v="2021-10-23T00:00:00"/>
    <d v="2021-11-07T00:00:00"/>
    <d v="2021-11-26T00:00:00"/>
    <n v="106"/>
    <s v="2 bombas + fittings"/>
    <s v="Pago: 60 dias del cumplimiento -  Pedido SAP N°  1094631"/>
    <s v="en término"/>
    <x v="8"/>
    <n v="1"/>
  </r>
  <r>
    <x v="14"/>
    <x v="14"/>
    <x v="0"/>
    <x v="52"/>
    <s v="005/18 BBR"/>
    <n v="4600557062"/>
    <x v="1174"/>
    <n v="3189.42"/>
    <x v="845"/>
    <n v="82"/>
    <d v="2021-08-03T00:00:00"/>
    <s v="Salvador"/>
    <d v="2021-08-20T00:00:00"/>
    <x v="100"/>
    <d v="2021-08-28T00:00:00"/>
    <d v="2021-08-30T00:00:00"/>
    <d v="2021-09-17T00:00:00"/>
    <n v="127"/>
    <s v="1 bomba"/>
    <s v="Pago: 60 dias del cumplimiento -  Pedido SAP N°  1088764 - PEDIDO CANCELADO MAIL 01/09"/>
    <s v="atrasado"/>
    <x v="6"/>
    <n v="0"/>
  </r>
  <r>
    <x v="14"/>
    <x v="14"/>
    <x v="0"/>
    <x v="52"/>
    <s v="056/21 BBR"/>
    <s v="3R 101343"/>
    <x v="1175"/>
    <n v="37542"/>
    <x v="860"/>
    <n v="139"/>
    <d v="2021-12-23T00:00:00"/>
    <s v="Salvador"/>
    <d v="2021-11-05T00:00:00"/>
    <x v="108"/>
    <d v="2021-11-13T00:00:00"/>
    <d v="2021-11-15T00:00:00"/>
    <d v="2021-12-03T00:00:00"/>
    <n v="119"/>
    <s v="18 bombas"/>
    <s v="Pago: 60 dias del cumplimiento -  Pedido SAP N° 1094480"/>
    <s v="en término"/>
    <x v="9"/>
    <n v="1"/>
  </r>
  <r>
    <x v="14"/>
    <x v="14"/>
    <x v="0"/>
    <x v="52"/>
    <s v="005/18 BBR"/>
    <n v="4600557062"/>
    <x v="1176"/>
    <n v="51626.7"/>
    <x v="861"/>
    <n v="90"/>
    <d v="2021-11-16T00:00:00"/>
    <s v="Salvador"/>
    <d v="2021-11-05T00:00:00"/>
    <x v="46"/>
    <d v="2021-11-13T00:00:00"/>
    <d v="2021-11-15T00:00:00"/>
    <d v="2021-12-03T00:00:00"/>
    <n v="107"/>
    <s v="3 bombas + 289 pistones"/>
    <s v="Pago: 60 dias del cumplimiento -  Pedido SAP N°  1094882"/>
    <s v="en término"/>
    <x v="9"/>
    <n v="1"/>
  </r>
  <r>
    <x v="14"/>
    <x v="14"/>
    <x v="0"/>
    <x v="52"/>
    <s v="005/18 BBR"/>
    <n v="4600557062"/>
    <x v="1177"/>
    <n v="18894.310000000001"/>
    <x v="862"/>
    <n v="90"/>
    <d v="2021-11-18T00:00:00"/>
    <s v="Salvador"/>
    <d v="2021-11-05T00:00:00"/>
    <x v="33"/>
    <d v="2021-11-13T00:00:00"/>
    <d v="2021-11-15T00:00:00"/>
    <d v="2021-12-03T00:00:00"/>
    <n v="105"/>
    <s v="113 pistones"/>
    <s v="Pago: 60 dias del cumplimiento -  Pedido SAP N°  1095172"/>
    <s v="en término"/>
    <x v="9"/>
    <n v="1"/>
  </r>
  <r>
    <x v="14"/>
    <x v="14"/>
    <x v="0"/>
    <x v="52"/>
    <s v="005/18 BBR"/>
    <n v="4600557062"/>
    <x v="1178"/>
    <n v="7548.83"/>
    <x v="863"/>
    <n v="90"/>
    <d v="2021-11-22T00:00:00"/>
    <s v="Salvador"/>
    <d v="2021-11-05T00:00:00"/>
    <x v="74"/>
    <d v="2021-11-13T00:00:00"/>
    <d v="2021-11-15T00:00:00"/>
    <d v="2021-12-03T00:00:00"/>
    <n v="101"/>
    <s v="3 bombas + 25 pistones"/>
    <s v="Pago: 60 dias del cumplimiento -  Pedido SAP N°  1095542"/>
    <s v="en término"/>
    <x v="9"/>
    <n v="1"/>
  </r>
  <r>
    <x v="14"/>
    <x v="14"/>
    <x v="0"/>
    <x v="0"/>
    <s v="005/18 BBR"/>
    <n v="4600557062"/>
    <x v="1164"/>
    <n v="19898.64"/>
    <x v="853"/>
    <n v="90"/>
    <d v="2021-09-01T00:00:00"/>
    <s v="Salvador"/>
    <d v="2021-11-26T00:00:00"/>
    <x v="152"/>
    <d v="2021-12-04T00:00:00"/>
    <d v="2021-12-06T00:00:00"/>
    <d v="2021-12-24T00:00:00"/>
    <n v="204"/>
    <s v="9 bombas - 2° ENVIO"/>
    <s v="Pago: 60 dias del cumplimiento -  Pedido SAP N°  1095434"/>
    <s v="atrasado"/>
    <x v="9"/>
    <n v="0"/>
  </r>
  <r>
    <x v="14"/>
    <x v="14"/>
    <x v="0"/>
    <x v="52"/>
    <s v="005/18 BBR"/>
    <n v="4600557062"/>
    <x v="1179"/>
    <n v="17212.32"/>
    <x v="864"/>
    <n v="92"/>
    <d v="2021-11-27T00:00:00"/>
    <s v="Salvador"/>
    <d v="2021-11-26T00:00:00"/>
    <x v="32"/>
    <d v="2021-12-04T00:00:00"/>
    <d v="2021-12-06T00:00:00"/>
    <d v="2021-12-24T00:00:00"/>
    <n v="119"/>
    <s v="11 bombas"/>
    <s v="Pago: 60 dias del cumplimiento -  Pedido SAP N° 1095674"/>
    <s v="atrasado"/>
    <x v="9"/>
    <n v="0"/>
  </r>
  <r>
    <x v="14"/>
    <x v="14"/>
    <x v="0"/>
    <x v="52"/>
    <s v="005/18 BBR"/>
    <n v="4600557062"/>
    <x v="1158"/>
    <n v="19136.52"/>
    <x v="845"/>
    <n v="87"/>
    <d v="2021-08-08T00:00:00"/>
    <s v="Salvador"/>
    <d v="2021-08-20T00:00:00"/>
    <x v="92"/>
    <d v="2021-08-28T00:00:00"/>
    <d v="2021-08-30T00:00:00"/>
    <d v="2021-09-17T00:00:00"/>
    <n v="127"/>
    <s v="6 bombas "/>
    <s v="Pago: 60 dias del cumplimiento -  Pedido SAP N°  1088767"/>
    <s v="atrasado"/>
    <x v="6"/>
    <n v="0"/>
  </r>
  <r>
    <x v="14"/>
    <x v="14"/>
    <x v="0"/>
    <x v="52"/>
    <s v="005/18 BBR"/>
    <n v="4600557062"/>
    <x v="1180"/>
    <n v="28655.1"/>
    <x v="865"/>
    <n v="94"/>
    <d v="2021-12-27T00:00:00"/>
    <s v="Salvador"/>
    <d v="2021-12-10T00:00:00"/>
    <x v="13"/>
    <d v="2022-01-07T00:00:00"/>
    <d v="2022-01-12T00:00:00"/>
    <d v="2022-02-01T00:00:00"/>
    <n v="130"/>
    <s v="18 bomba"/>
    <s v="Pago: 60 dias del cumplimiento -  Pedido SAP N° 1097553 - Se rolea la carga para el Guarani 046 y luego apra para Jacaranda 139"/>
    <s v="atrasado"/>
    <x v="11"/>
    <n v="0"/>
  </r>
  <r>
    <x v="14"/>
    <x v="14"/>
    <x v="0"/>
    <x v="52"/>
    <s v="005/18 BBR"/>
    <n v="4600557062"/>
    <x v="1181"/>
    <n v="43027.839999999997"/>
    <x v="865"/>
    <n v="94"/>
    <d v="2021-12-27T00:00:00"/>
    <s v="Salvador"/>
    <d v="2021-12-10T00:00:00"/>
    <x v="13"/>
    <d v="2022-01-07T00:00:00"/>
    <d v="2022-01-12T00:00:00"/>
    <d v="2022-02-01T00:00:00"/>
    <n v="130"/>
    <s v="25 bombas"/>
    <s v="Pago: 60 dias del cumplimiento -  Pedido SAP N° 1097556 - Se rolea la carga para el Guarani 046 y luego apra para Jacaranda 139"/>
    <s v="atrasado"/>
    <x v="11"/>
    <n v="0"/>
  </r>
  <r>
    <x v="14"/>
    <x v="14"/>
    <x v="0"/>
    <x v="52"/>
    <s v="005/18 BBR"/>
    <n v="4600557062"/>
    <x v="1182"/>
    <n v="6618.7"/>
    <x v="866"/>
    <n v="90"/>
    <d v="2022-01-17T00:00:00"/>
    <s v="Salvador"/>
    <d v="2021-12-10T00:00:00"/>
    <x v="49"/>
    <d v="2022-01-07T00:00:00"/>
    <d v="2022-01-12T00:00:00"/>
    <d v="2022-02-01T00:00:00"/>
    <n v="105"/>
    <s v="5 bombas"/>
    <s v="Pago: 60 dias del cumplimiento -  Pedido SAP N° 1099110 - Se rolea la carga para el Guarani 046 y luego apra para Jacaranda 139"/>
    <s v="en término"/>
    <x v="11"/>
    <n v="1"/>
  </r>
  <r>
    <x v="14"/>
    <x v="14"/>
    <x v="1"/>
    <x v="49"/>
    <s v="018/20 CDQ"/>
    <s v="ACUERDO ECOPETROL"/>
    <x v="1096"/>
    <n v="25082.5"/>
    <x v="818"/>
    <n v="71"/>
    <d v="2020-07-03T00:00:00"/>
    <s v="Bogota"/>
    <d v="2021-01-15T00:00:00"/>
    <x v="153"/>
    <m/>
    <d v="2021-02-06T00:00:00"/>
    <d v="2021-02-26T00:00:00"/>
    <n v="309"/>
    <s v="(30) R11-25-280SS y (80) R11-30-280SS -   LLEVA CERTIFICADOS DE CALIDAD - - 2 ENVIO"/>
    <s v="Pedido SAP N° 1069731 - NUEVO: 1080513"/>
    <s v="atrasado"/>
    <x v="0"/>
    <n v="0"/>
  </r>
  <r>
    <x v="14"/>
    <x v="14"/>
    <x v="1"/>
    <x v="49"/>
    <s v="002/21 CDQ"/>
    <s v="ACUERDO MANSAROVAR"/>
    <x v="1183"/>
    <n v="2694.53"/>
    <x v="867"/>
    <n v="2"/>
    <d v="2021-01-15T00:00:00"/>
    <s v="Bogota"/>
    <d v="2021-01-15T00:00:00"/>
    <x v="16"/>
    <m/>
    <d v="2021-02-06T00:00:00"/>
    <d v="2021-02-26T00:00:00"/>
    <n v="44"/>
    <s v="Fittings -   LLEVA CERTIFICADOS DE CALIDAD "/>
    <s v="Pedido SAP N° 1080512"/>
    <s v="atrasado"/>
    <x v="0"/>
    <n v="0"/>
  </r>
  <r>
    <x v="14"/>
    <x v="14"/>
    <x v="1"/>
    <x v="49"/>
    <s v="003/21 CDQ"/>
    <s v="ACUERDO ECOPETROL"/>
    <x v="1184"/>
    <n v="11753.23"/>
    <x v="867"/>
    <n v="72"/>
    <d v="2021-03-26T00:00:00"/>
    <s v="Bogota"/>
    <d v="2021-04-06T00:00:00"/>
    <x v="100"/>
    <d v="2021-04-13T00:00:00"/>
    <d v="2021-04-20T00:00:00"/>
    <d v="2021-04-25T00:00:00"/>
    <n v="102"/>
    <s v="Fittings -   LLEVA CERTIFICADOS DE CALIDAD  - NAVETRANS"/>
    <s v="Pedido SAP N° 1080501 - La salida de planta estaba prevista para el 15 de marzo pero se paso al 26 de marzo por la demora en la entrega del proveedor de los APB. Se vuelve a postergar para el 6/4/21"/>
    <s v="atrasado"/>
    <x v="10"/>
    <n v="0"/>
  </r>
  <r>
    <x v="14"/>
    <x v="14"/>
    <x v="1"/>
    <x v="49"/>
    <s v="004/21 CDQ"/>
    <s v="ACUERDO MANSAROVAR"/>
    <x v="1185"/>
    <n v="52364.4"/>
    <x v="867"/>
    <n v="86"/>
    <d v="2021-04-09T00:00:00"/>
    <s v="Bogota"/>
    <d v="2021-04-16T00:00:00"/>
    <x v="93"/>
    <d v="2021-05-05T00:00:00"/>
    <d v="2021-05-07T00:00:00"/>
    <d v="2021-05-29T00:00:00"/>
    <n v="136"/>
    <s v="Fittings -   LLEVA CERTIFICADOS DE CALIDAD "/>
    <s v="Pedido SAP N° 1080509 - OPEN SEA"/>
    <s v="atrasado"/>
    <x v="10"/>
    <n v="0"/>
  </r>
  <r>
    <x v="14"/>
    <x v="14"/>
    <x v="1"/>
    <x v="49"/>
    <s v="018/21 CDQ"/>
    <s v="ACUERDO ECOPETROL"/>
    <x v="1186"/>
    <n v="8021.95"/>
    <x v="868"/>
    <n v="30"/>
    <d v="2021-04-09T00:00:00"/>
    <s v="Bogota"/>
    <d v="2021-04-16T00:00:00"/>
    <x v="93"/>
    <d v="2021-05-05T00:00:00"/>
    <d v="2021-05-07T00:00:00"/>
    <d v="2021-05-29T00:00:00"/>
    <n v="80"/>
    <s v="Fittings -   LLEVA CERTIFICADOS DE CALIDAD "/>
    <s v="Pedido SAP N° 1084383  - OPEN SEA"/>
    <s v="atrasado"/>
    <x v="10"/>
    <n v="0"/>
  </r>
  <r>
    <x v="14"/>
    <x v="14"/>
    <x v="1"/>
    <x v="49"/>
    <s v="030/21 CDQ"/>
    <s v="ACUERDO ECOPETROL"/>
    <x v="1187"/>
    <n v="222649.55"/>
    <x v="869"/>
    <n v="9"/>
    <d v="2021-04-16T00:00:00"/>
    <s v="Bogota"/>
    <d v="2021-04-16T00:00:00"/>
    <x v="95"/>
    <d v="2021-05-05T00:00:00"/>
    <d v="2021-05-07T00:00:00"/>
    <d v="2021-05-29T00:00:00"/>
    <n v="52"/>
    <s v="Fittings -   LLEVA CERTIFICADOS DE CALIDAD - 1° ENVIO"/>
    <s v="Pedido SAP N° 1086458  - OPEN SEA"/>
    <s v="atrasado"/>
    <x v="10"/>
    <n v="0"/>
  </r>
  <r>
    <x v="14"/>
    <x v="14"/>
    <x v="1"/>
    <x v="49"/>
    <s v="031/21 CDQ"/>
    <s v="ACUERDO ECOPETROL"/>
    <x v="1188"/>
    <n v="184385.12"/>
    <x v="869"/>
    <n v="38"/>
    <d v="2021-05-15T00:00:00"/>
    <s v="Bogota"/>
    <d v="2021-05-28T00:00:00"/>
    <x v="55"/>
    <d v="2021-07-01T00:00:00"/>
    <d v="2021-07-25T00:00:00"/>
    <d v="2021-08-08T00:00:00"/>
    <n v="123"/>
    <s v="Fittings -   LLEVA CERTIFICADOS DE CALIDAD "/>
    <s v="Pedido SAP N° 1086590 - NAVETRANS - Se cancelo el buque Tucapel que salia el 24/6 y paso para el buque Tempanos 1/7 (mail 30/6) - Mail del 6/7 avisan que el buque Tempanos no sale el 10/7 y sale en un nuevo buque Toltel el 17/7"/>
    <s v="atrasado"/>
    <x v="3"/>
    <n v="0"/>
  </r>
  <r>
    <x v="14"/>
    <x v="14"/>
    <x v="1"/>
    <x v="49"/>
    <s v="032/21 CDQ"/>
    <s v="ACUERDO ECOPETROL"/>
    <x v="1189"/>
    <n v="154704.65"/>
    <x v="869"/>
    <n v="79"/>
    <d v="2021-06-25T00:00:00"/>
    <s v="Bogota"/>
    <d v="2021-07-02T00:00:00"/>
    <x v="78"/>
    <d v="2021-08-21T00:00:00"/>
    <d v="2021-08-24T00:00:00"/>
    <d v="2021-09-13T00:00:00"/>
    <n v="159"/>
    <s v="Fittings + item 41 y 43 de la PO 006 -   LLEVA CERTIFICADOS DE CALIDAD "/>
    <s v="Pedido SAP N° 1086595 - NAVETRANS - Se cancela el buque Tubul que salia el 22/7 (31/7 zarpe) y paso para el buque ER Canada 29/7 (7/8 zarpe), según mail del 26/7. Según mail del 9/8 el buque entro a reparacion y pasa para el 24/8."/>
    <s v="atrasado"/>
    <x v="5"/>
    <n v="0"/>
  </r>
  <r>
    <x v="14"/>
    <x v="14"/>
    <x v="1"/>
    <x v="49"/>
    <s v="040/21 CDQ"/>
    <s v="ACUERDO ECOPETROL"/>
    <x v="1190"/>
    <n v="15733.32"/>
    <x v="841"/>
    <n v="77"/>
    <d v="2021-06-25T00:00:00"/>
    <s v="Bogota"/>
    <d v="2021-07-02T00:00:00"/>
    <x v="78"/>
    <d v="2021-08-21T00:00:00"/>
    <d v="2021-08-24T00:00:00"/>
    <d v="2021-09-13T00:00:00"/>
    <n v="157"/>
    <s v="Fittings -   LLEVA CERTIFICADOS DE CALIDAD "/>
    <s v="Pedido SAP N° 1088162 - NAVETRANS - Se cancela el buque Tubul que salia el 22/7 (31/7 zarpe) y paso para el buque ER Canada 29/7 (7/8 zarpe), según mail del 26/7. Según mail del 9/8 el buque entro a reparacion y pasa para el 24/8."/>
    <s v="atrasado"/>
    <x v="5"/>
    <n v="0"/>
  </r>
  <r>
    <x v="14"/>
    <x v="14"/>
    <x v="1"/>
    <x v="49"/>
    <s v="060/21 CDQ"/>
    <s v="ACUERDO ECOPETROL"/>
    <x v="1191"/>
    <n v="5365.91"/>
    <x v="870"/>
    <n v="79"/>
    <d v="2021-07-16T00:00:00"/>
    <s v="Bogota"/>
    <d v="2021-07-27T00:00:00"/>
    <x v="6"/>
    <d v="2021-08-02T00:00:00"/>
    <d v="2021-08-04T00:00:00"/>
    <d v="2021-08-09T00:00:00"/>
    <n v="103"/>
    <s v="Fittings -   LLEVA CERTIFICADOS DE CALIDAD "/>
    <s v="Pedido SAP N° 1092320 - Salio el 8/7 de planta pero lo tuvimos que regresar a la planta por una equivocacion en un item asi que nuevamente volvio a Bue el 27/7"/>
    <s v="atrasado"/>
    <x v="5"/>
    <n v="0"/>
  </r>
  <r>
    <x v="14"/>
    <x v="14"/>
    <x v="1"/>
    <x v="49"/>
    <s v="061/21 CDQ"/>
    <s v="ACUERDO ECOPETROL"/>
    <x v="1192"/>
    <n v="137260.18"/>
    <x v="870"/>
    <n v="93"/>
    <d v="2021-07-30T00:00:00"/>
    <s v="Bogota"/>
    <d v="2021-08-13T00:00:00"/>
    <x v="154"/>
    <d v="2021-10-14T00:00:00"/>
    <d v="2021-10-22T00:00:00"/>
    <d v="2021-11-05T00:00:00"/>
    <n v="191"/>
    <s v="Fittings -   LLEVA CERTIFICADOS DE CALIDAD "/>
    <s v="Pedido SAP N° 1092368 - Forwarder: INTERAMERICAN - Estaba prevista para el B.Tolten del 13/9 con Geodis pero se debio cambiar de tamaño de contenedor, por lo tanto se re programa a nuevo buque"/>
    <s v="atrasado"/>
    <x v="6"/>
    <n v="0"/>
  </r>
  <r>
    <x v="14"/>
    <x v="14"/>
    <x v="1"/>
    <x v="49"/>
    <s v="062/21 CDQ"/>
    <s v="ACUERDO ECOPETROL"/>
    <x v="1193"/>
    <n v="56773.25"/>
    <x v="871"/>
    <n v="65"/>
    <d v="2021-08-27T00:00:00"/>
    <s v="Bogota"/>
    <d v="2021-09-10T00:00:00"/>
    <x v="117"/>
    <d v="2021-10-14T00:00:00"/>
    <d v="2021-10-22T00:00:00"/>
    <d v="2021-11-05T00:00:00"/>
    <n v="135"/>
    <s v="Fittings -   LLEVA CERTIFICADOS DE CALIDAD "/>
    <s v="Pedido SAP N° 1092379 - Forwarder: INTERAMERICAN - No se llego al buque del 03/10 y pasamos para el 15/10, la juntamos con la 011"/>
    <s v="atrasado"/>
    <x v="7"/>
    <n v="0"/>
  </r>
  <r>
    <x v="14"/>
    <x v="14"/>
    <x v="1"/>
    <x v="49"/>
    <s v="21/074 CDQ"/>
    <s v="ACUERDO ECOPETROL"/>
    <x v="1194"/>
    <n v="70148.81"/>
    <x v="859"/>
    <n v="81"/>
    <d v="2021-11-01T00:00:00"/>
    <s v="Bogota"/>
    <d v="2021-10-15T00:00:00"/>
    <x v="6"/>
    <d v="2021-11-12T00:00:00"/>
    <d v="2021-11-20T00:00:00"/>
    <d v="2021-12-10T00:00:00"/>
    <n v="120"/>
    <s v="Fittings + P24-275-10C (3)-   LLEVA CERTIFICADOS DE CALIDAD "/>
    <s v="Pedido SAP N° 1097794 - P24-275-10C PO IMP 280-2021 (ORIGINAL), LUEGO PASARON A LA PO 284-2021 (U$ 432,63) .  No habia lugar en el buque anterior (mail 22/10)"/>
    <s v="atrasado"/>
    <x v="8"/>
    <n v="0"/>
  </r>
  <r>
    <x v="14"/>
    <x v="14"/>
    <x v="1"/>
    <x v="49"/>
    <s v="21/075 CDQ"/>
    <s v="ACUERDO ECOPETROL"/>
    <x v="1195"/>
    <n v="108741.14"/>
    <x v="872"/>
    <n v="64"/>
    <d v="2021-11-16T00:00:00"/>
    <s v="Bogota"/>
    <d v="2021-11-05T00:00:00"/>
    <x v="30"/>
    <m/>
    <d v="2021-11-26T00:00:00"/>
    <d v="2021-12-16T00:00:00"/>
    <n v="94"/>
    <s v="Fittings -   LLEVA CERTIFICADOS DE CALIDAD "/>
    <s v="Pedido SAP N° 1097795 "/>
    <s v="atrasado"/>
    <x v="9"/>
    <n v="0"/>
  </r>
  <r>
    <x v="14"/>
    <x v="14"/>
    <x v="1"/>
    <x v="49"/>
    <s v="21/078 CDQ"/>
    <s v="ACUERDO ECOPETROL"/>
    <x v="1196"/>
    <n v="59687.85"/>
    <x v="873"/>
    <n v="49"/>
    <d v="2021-11-16T00:00:00"/>
    <s v="Bogota"/>
    <d v="2021-11-19T00:00:00"/>
    <x v="54"/>
    <d v="2021-12-21T00:00:00"/>
    <d v="2022-01-02T00:00:00"/>
    <d v="2022-01-28T00:00:00"/>
    <n v="122"/>
    <s v=" R11-25-280SS (22) + R11-30-280SS (157) -   LLEVA CERTIFICADOS DE CALIDAD "/>
    <s v="Pedido SAP N° 1097798  - R11-25 Y R11-30 PO IMP 280-2021 (ORIGINAL), LUEGO PASARON A LA PO IMP 285-2021 (U$ 59.687,85)"/>
    <s v="atrasado"/>
    <x v="9"/>
    <n v="0"/>
  </r>
  <r>
    <x v="14"/>
    <x v="14"/>
    <x v="1"/>
    <x v="49"/>
    <s v="21/076 CDQ"/>
    <s v="ACUERDO ECOPETROL"/>
    <x v="1197"/>
    <n v="14401.19"/>
    <x v="872"/>
    <n v="98"/>
    <d v="2021-12-20T00:00:00"/>
    <s v="Bogota"/>
    <d v="2021-12-20T00:00:00"/>
    <x v="13"/>
    <m/>
    <d v="2021-12-31T00:00:00"/>
    <d v="2022-01-03T00:00:00"/>
    <n v="112"/>
    <s v="Fittings -   LLEVA CERTIFICADOS DE CALIDAD "/>
    <s v="Pedido SAP N° 1102990.  DHL extravio el sobre.  Se hace un segundo enivo con la documentacion (20/1/22)"/>
    <s v="atrasado"/>
    <x v="11"/>
    <n v="0"/>
  </r>
  <r>
    <x v="14"/>
    <x v="14"/>
    <x v="20"/>
    <x v="51"/>
    <s v="034/20 RRB"/>
    <m/>
    <x v="1109"/>
    <n v="48345"/>
    <x v="826"/>
    <n v="90"/>
    <d v="2022-01-21T00:00:00"/>
    <s v="Buenos Aires"/>
    <d v="2021-01-22T00:00:00"/>
    <x v="155"/>
    <d v="2021-03-29T00:00:00"/>
    <d v="2021-04-16T00:00:00"/>
    <d v="2021-05-11T00:00:00"/>
    <n v="-165"/>
    <s v="33 bombas - PAGO ANTICIPADO"/>
    <s v="Pedido SAP N° 1074809 (ANTICIPO) - SAP N° 1077580 (ANTICIPO) NUEVO:  1080785 - SAP N° 1075335 (X 33 BOMBAS) - NUEVO:  1081199 (reemplaza al 1080672) - Pistones fisurados, del 18/12 se posterga entrega para el 15/1/21.  Informan por mail (23/3/21) que se cancelo el buque del 28/3 y pasa al del 5/4/21. Nuevo cambio, mail 6/4, se posrterga el buque al 14/4"/>
    <s v="en término"/>
    <x v="0"/>
    <n v="1"/>
  </r>
  <r>
    <x v="14"/>
    <x v="14"/>
    <x v="12"/>
    <x v="50"/>
    <s v="029/21 GUN"/>
    <m/>
    <x v="1198"/>
    <n v="9767"/>
    <x v="874"/>
    <n v="110"/>
    <d v="2021-08-02T00:00:00"/>
    <s v="Buenos Aires"/>
    <d v="2021-08-31T00:00:00"/>
    <x v="156"/>
    <d v="2021-11-19T00:00:00"/>
    <d v="2021-12-09T00:00:00"/>
    <d v="2021-12-14T00:00:00"/>
    <n v="244"/>
    <s v="Fittings - PAGO ANTICIPADO"/>
    <s v="Pedido SAP N° 1086817 (1° PAGO) --(pagado: 22/6/21)--1086822 (2° PAGO) --(pagado: 12/10/21)--- Pedido SAP N° 1086820 (PEDIDO COMPLETO)-Luego de recibir el pago el dia 22/10 se envio la carga a Bue. En la semana se contacta el forwarder y nos dice qu ela carga es aerea asi que tuvimos que regresar la carga a PIC para cambiar el cajon.  La carga vuelve a Bue el 29/10 para coordinar con el forwarder el despacho via aerea.   Se cancela el vuelo a Egipto para el 30/11 (mail 29/11) - No sale la carga por falta de lugar (mail del 02/12)"/>
    <s v="atrasado"/>
    <x v="6"/>
    <n v="0"/>
  </r>
  <r>
    <x v="15"/>
    <x v="15"/>
    <x v="0"/>
    <x v="52"/>
    <s v="21/084 BBR"/>
    <s v="Potiguar 15452"/>
    <x v="1199"/>
    <n v="15259"/>
    <x v="875"/>
    <n v="120"/>
    <d v="2022-02-22T00:00:00"/>
    <s v="Salvador"/>
    <d v="2022-01-14T00:00:00"/>
    <x v="90"/>
    <d v="2022-01-29T00:00:00"/>
    <d v="2022-01-31T00:00:00"/>
    <d v="2022-02-18T00:00:00"/>
    <n v="116"/>
    <s v="5 bombas"/>
    <s v="Pago: 60 dias del cumplimiento -  Pedido SAP N° 1099694 - PARTE DE LA CARGA VIAJO A COLOMBIA - Salida de Colombia 02/05/22 - Arribo a Brasil el 15 de Mayo (mail 6/4 de Tornado)"/>
    <s v="en término"/>
    <x v="0"/>
    <n v="1"/>
  </r>
  <r>
    <x v="15"/>
    <x v="15"/>
    <x v="0"/>
    <x v="52"/>
    <s v="21/045 BBR"/>
    <s v="Petroreconcavo 891385"/>
    <x v="1200"/>
    <n v="427"/>
    <x v="876"/>
    <n v="120"/>
    <d v="2022-02-26T00:00:00"/>
    <s v="Salvador"/>
    <d v="2022-01-14T00:00:00"/>
    <x v="20"/>
    <d v="2022-01-29T00:00:00"/>
    <d v="2022-01-31T00:00:00"/>
    <d v="2022-02-18T00:00:00"/>
    <n v="112"/>
    <s v="Fittings"/>
    <s v="Pago: 60 dias del cumplimiento -  Pedido SAP N° 1100227 - PARTE DE LA CARGA VIAJO A COLOMBIA - Salida de Colombia 02/05/22 - Arribo a Brasil el 15 de Mayo (mail 6/4 de Tornado)"/>
    <s v="en término"/>
    <x v="0"/>
    <n v="1"/>
  </r>
  <r>
    <x v="15"/>
    <x v="15"/>
    <x v="0"/>
    <x v="52"/>
    <s v="21/049 BBR"/>
    <s v="Petroreconcavo 104452"/>
    <x v="1201"/>
    <n v="2780"/>
    <x v="876"/>
    <n v="120"/>
    <d v="2022-02-26T00:00:00"/>
    <s v="Salvador"/>
    <d v="2022-01-14T00:00:00"/>
    <x v="20"/>
    <d v="2022-01-29T00:00:00"/>
    <d v="2022-01-31T00:00:00"/>
    <d v="2022-02-18T00:00:00"/>
    <n v="112"/>
    <s v="Fittings"/>
    <s v="Pago: 60 dias del cumplimiento -  Pedido SAP N° 1100226 - PARTE DE LA CARGA VIAJO A COLOMBIA - Salida de Colombia 02/05/22 - Arribo a Brasil el 15 de Mayo (mail 6/4 de Tornado)"/>
    <s v="en término"/>
    <x v="0"/>
    <n v="1"/>
  </r>
  <r>
    <x v="15"/>
    <x v="15"/>
    <x v="0"/>
    <x v="52"/>
    <s v="005/18 BBR"/>
    <n v="4600557062"/>
    <x v="1202"/>
    <n v="93740.11"/>
    <x v="877"/>
    <n v="83"/>
    <d v="2022-02-08T00:00:00"/>
    <s v="Salvador"/>
    <d v="2022-01-21T00:00:00"/>
    <x v="49"/>
    <d v="2022-01-29T00:00:00"/>
    <d v="2022-01-31T00:00:00"/>
    <d v="2022-02-18T00:00:00"/>
    <n v="93"/>
    <s v="Valvulas + 302 pistones - 1° ENVIO"/>
    <s v="Pago: 60 dias del cumplimiento -  Pedido SAP N°  1101404 - PARTE DE LA CARGA VIAJO A COLOMBIA - Salida de Colombia 02/05/22 - Arribo a Brasil el 15 de Mayo (mail 6/4 de Tornado)"/>
    <s v="en término"/>
    <x v="0"/>
    <n v="1"/>
  </r>
  <r>
    <x v="15"/>
    <x v="15"/>
    <x v="0"/>
    <x v="52"/>
    <s v="005/18 BBR"/>
    <n v="4600557062"/>
    <x v="1203"/>
    <n v="17593.240000000002"/>
    <x v="877"/>
    <n v="91"/>
    <d v="2022-02-16T00:00:00"/>
    <s v="Salvador"/>
    <d v="2022-01-14T00:00:00"/>
    <x v="18"/>
    <d v="2022-01-29T00:00:00"/>
    <d v="2022-01-31T00:00:00"/>
    <d v="2022-02-18T00:00:00"/>
    <n v="93"/>
    <s v="14 bombas"/>
    <s v="Pago: 60 dias del cumplimiento -  Pedido SAP N° 1101392 - PARTE DE LA CARGA VIAJO A COLOMBIA - Salida de Colombia 02/05/22 - Arribo a Brasil el 15 de Mayo (mail 6/4 de Tornado)"/>
    <s v="en término"/>
    <x v="0"/>
    <n v="1"/>
  </r>
  <r>
    <x v="15"/>
    <x v="15"/>
    <x v="0"/>
    <x v="52"/>
    <s v="005/18 BBR"/>
    <n v="4600557062"/>
    <x v="1204"/>
    <n v="25264.18"/>
    <x v="877"/>
    <n v="91"/>
    <d v="2022-02-16T00:00:00"/>
    <s v="Salvador"/>
    <d v="2022-01-14T00:00:00"/>
    <x v="18"/>
    <d v="2022-01-29T00:00:00"/>
    <d v="2022-01-31T00:00:00"/>
    <d v="2022-02-18T00:00:00"/>
    <n v="93"/>
    <s v="8 bombas"/>
    <s v="Pago: 60 dias del cumplimiento -  Pedido SAP N° 1101391 - PARTE DE LA CARGA VIAJO A COLOMBIA - Salida de Colombia 02/05/22 -  Arribo a Brasil el 15 de Mayo (mail 6/4 de Tornado)"/>
    <s v="en término"/>
    <x v="0"/>
    <n v="1"/>
  </r>
  <r>
    <x v="15"/>
    <x v="15"/>
    <x v="0"/>
    <x v="52"/>
    <s v="005/18 BBR"/>
    <n v="4600557062"/>
    <x v="1205"/>
    <n v="15100.4"/>
    <x v="877"/>
    <n v="91"/>
    <d v="2022-02-16T00:00:00"/>
    <s v="Salvador"/>
    <d v="2022-01-14T00:00:00"/>
    <x v="18"/>
    <d v="2022-01-29T00:00:00"/>
    <d v="2022-01-31T00:00:00"/>
    <d v="2022-02-18T00:00:00"/>
    <n v="93"/>
    <s v="10 bombas"/>
    <s v="Pago: 60 dias del cumplimiento -  Pedido SAP N° 1101390 - PARTE DE LA CARGA VIAJO A COLOMBIA - Salida de Colombia 02/05/22 - Arribo a Brasil el 15 de Mayo (mail 6/4 de Tornado)"/>
    <s v="en término"/>
    <x v="0"/>
    <n v="1"/>
  </r>
  <r>
    <x v="15"/>
    <x v="15"/>
    <x v="0"/>
    <x v="52"/>
    <s v="005/18 BBR"/>
    <n v="4600557062"/>
    <x v="1206"/>
    <n v="19833.95"/>
    <x v="878"/>
    <n v="92"/>
    <d v="2022-02-22T00:00:00"/>
    <s v="Salvador"/>
    <d v="2022-02-15T00:00:00"/>
    <x v="9"/>
    <d v="2022-02-26T00:00:00"/>
    <d v="2022-02-28T00:00:00"/>
    <d v="2022-03-20T00:00:00"/>
    <n v="118"/>
    <s v="Fittings + 15 bombas"/>
    <s v="Pago: 60 dias del cumplimiento -  Pedido SAP N° 1101528"/>
    <s v="atrasado"/>
    <x v="1"/>
    <n v="0"/>
  </r>
  <r>
    <x v="15"/>
    <x v="15"/>
    <x v="0"/>
    <x v="52"/>
    <s v="039/20 BBR"/>
    <n v="4600611934"/>
    <x v="1207"/>
    <n v="15405.17"/>
    <x v="878"/>
    <n v="92"/>
    <d v="2022-02-22T00:00:00"/>
    <s v="Salvador"/>
    <d v="2022-02-15T00:00:00"/>
    <x v="9"/>
    <d v="2022-02-26T00:00:00"/>
    <d v="2022-02-28T00:00:00"/>
    <d v="2022-03-20T00:00:00"/>
    <n v="118"/>
    <s v="15 barriles"/>
    <s v="Pago: 60 dias del cumplimiento -  Pedido SAP N° 1101530"/>
    <s v="atrasado"/>
    <x v="1"/>
    <n v="0"/>
  </r>
  <r>
    <x v="15"/>
    <x v="15"/>
    <x v="0"/>
    <x v="52"/>
    <s v="005/18 BBR"/>
    <n v="4600557062"/>
    <x v="1208"/>
    <n v="19700.09"/>
    <x v="879"/>
    <n v="92"/>
    <d v="2022-02-18T00:00:00"/>
    <s v="Salvador"/>
    <d v="2022-02-15T00:00:00"/>
    <x v="23"/>
    <d v="2022-02-26T00:00:00"/>
    <d v="2022-02-28T00:00:00"/>
    <d v="2022-03-20T00:00:00"/>
    <n v="122"/>
    <s v="15 bombas"/>
    <s v="Pago: 60 dias del cumplimiento -  Pedido SAP N° 1101665"/>
    <s v="atrasado"/>
    <x v="1"/>
    <n v="0"/>
  </r>
  <r>
    <x v="15"/>
    <x v="15"/>
    <x v="0"/>
    <x v="52"/>
    <s v="005/18 BBR"/>
    <n v="4600557062"/>
    <x v="1209"/>
    <n v="15947.09"/>
    <x v="879"/>
    <n v="92"/>
    <d v="2022-02-18T00:00:00"/>
    <s v="Salvador"/>
    <d v="2022-02-15T00:00:00"/>
    <x v="23"/>
    <d v="2022-02-26T00:00:00"/>
    <d v="2022-02-28T00:00:00"/>
    <d v="2022-03-20T00:00:00"/>
    <n v="122"/>
    <s v="5 bombas"/>
    <s v="Pago: 60 dias del cumplimiento -  Pedido SAP N° 1101666"/>
    <s v="atrasado"/>
    <x v="1"/>
    <n v="0"/>
  </r>
  <r>
    <x v="15"/>
    <x v="15"/>
    <x v="0"/>
    <x v="52"/>
    <s v="005/18 BBR"/>
    <n v="4600557062"/>
    <x v="1202"/>
    <n v="109478.48"/>
    <x v="877"/>
    <n v="114"/>
    <d v="2022-03-11T00:00:00"/>
    <s v="Salvador"/>
    <d v="2022-03-11T00:00:00"/>
    <x v="0"/>
    <d v="2022-03-26T00:00:00"/>
    <d v="2022-03-27T00:00:00"/>
    <d v="2022-04-15T00:00:00"/>
    <n v="149"/>
    <s v="Valvulas + 264 pistones - 2° ENVIO"/>
    <s v="Pago: 60 dias del cumplimiento -  Pedido SAP N° 1101405 - Del 4/3 se demora la salida de planta para el 11/3, según mail de MF del 21/2"/>
    <s v="atrasado"/>
    <x v="2"/>
    <n v="0"/>
  </r>
  <r>
    <x v="15"/>
    <x v="15"/>
    <x v="0"/>
    <x v="52"/>
    <s v="005/18 BBR"/>
    <n v="4600557062"/>
    <x v="1210"/>
    <n v="20956.7"/>
    <x v="880"/>
    <n v="88"/>
    <d v="2022-03-06T00:00:00"/>
    <s v="Salvador"/>
    <d v="2022-03-11T00:00:00"/>
    <x v="92"/>
    <d v="2022-03-26T00:00:00"/>
    <d v="2022-03-27T00:00:00"/>
    <d v="2022-04-15T00:00:00"/>
    <n v="128"/>
    <s v="16 bombas"/>
    <s v="Pago: 60 dias del cumplimiento -  Pedido SAP N° 1102736  - Del 4/3 se demora la salida de planta para el 11/3, según mail de MF del 21/2"/>
    <s v="atrasado"/>
    <x v="2"/>
    <n v="0"/>
  </r>
  <r>
    <x v="15"/>
    <x v="15"/>
    <x v="0"/>
    <x v="52"/>
    <s v="005/18 BBR"/>
    <n v="4600557062"/>
    <x v="1211"/>
    <n v="7243.92"/>
    <x v="880"/>
    <n v="88"/>
    <d v="2022-03-06T00:00:00"/>
    <s v="Salvador"/>
    <d v="2022-03-11T00:00:00"/>
    <x v="92"/>
    <d v="2022-03-26T00:00:00"/>
    <d v="2022-03-27T00:00:00"/>
    <d v="2022-04-15T00:00:00"/>
    <n v="128"/>
    <s v="4 bombas"/>
    <s v="Pago: 60 dias del cumplimiento -  Pedido SAP N° 1102737  - Del 4/3 se demora la salida de planta para el 11/3, según mail de MF del 21/2"/>
    <s v="atrasado"/>
    <x v="2"/>
    <n v="0"/>
  </r>
  <r>
    <x v="15"/>
    <x v="15"/>
    <x v="0"/>
    <x v="52"/>
    <s v="005/18 BBR"/>
    <n v="4600557062"/>
    <x v="1212"/>
    <n v="34264.32"/>
    <x v="880"/>
    <n v="88"/>
    <d v="2022-03-06T00:00:00"/>
    <s v="Salvador"/>
    <d v="2022-03-11T00:00:00"/>
    <x v="92"/>
    <d v="2022-03-26T00:00:00"/>
    <d v="2022-03-27T00:00:00"/>
    <d v="2022-04-15T00:00:00"/>
    <n v="128"/>
    <s v="24 bombas  "/>
    <s v="Pago: 60 dias del cumplimiento -  Pedido SAP N° 1102746  - Del 4/3 se demora la salida de planta para el 11/3, según mail de MF del 21/2"/>
    <s v="atrasado"/>
    <x v="2"/>
    <n v="0"/>
  </r>
  <r>
    <x v="15"/>
    <x v="15"/>
    <x v="0"/>
    <x v="52"/>
    <s v="005/18 BBR"/>
    <n v="4600557062"/>
    <x v="1213"/>
    <n v="86114.07"/>
    <x v="881"/>
    <n v="88"/>
    <d v="2022-03-07T00:00:00"/>
    <s v="Salvador"/>
    <d v="2022-03-11T00:00:00"/>
    <x v="6"/>
    <d v="2022-03-26T00:00:00"/>
    <d v="2022-03-27T00:00:00"/>
    <d v="2022-04-15T00:00:00"/>
    <n v="127"/>
    <s v="27 bombas"/>
    <s v="Pago: 60 dias del cumplimiento -  Pedido SAP N° 1102748  - Del 4/3 se demora la salida de planta para el 11/3, según mail de MF del 21/2"/>
    <s v="atrasado"/>
    <x v="2"/>
    <n v="0"/>
  </r>
  <r>
    <x v="15"/>
    <x v="15"/>
    <x v="0"/>
    <x v="52"/>
    <s v="005/18 BBR"/>
    <n v="4600557062"/>
    <x v="1214"/>
    <n v="9054.9"/>
    <x v="882"/>
    <n v="90"/>
    <d v="2022-03-13T00:00:00"/>
    <s v="Salvador"/>
    <d v="2022-03-11T00:00:00"/>
    <x v="12"/>
    <d v="2022-03-26T00:00:00"/>
    <d v="2022-03-27T00:00:00"/>
    <d v="2022-04-15T00:00:00"/>
    <n v="123"/>
    <s v="5 bombas"/>
    <s v="Pago: 60 dias del cumplimiento -  Pedido SAP N° 1102829"/>
    <s v="atrasado"/>
    <x v="2"/>
    <n v="0"/>
  </r>
  <r>
    <x v="15"/>
    <x v="15"/>
    <x v="0"/>
    <x v="52"/>
    <s v="005/18 BBR"/>
    <n v="4600557062"/>
    <x v="1215"/>
    <n v="18120.48"/>
    <x v="882"/>
    <n v="90"/>
    <d v="2022-03-13T00:00:00"/>
    <s v="Salvador"/>
    <d v="2022-03-11T00:00:00"/>
    <x v="12"/>
    <d v="2022-03-26T00:00:00"/>
    <d v="2022-03-27T00:00:00"/>
    <d v="2022-04-15T00:00:00"/>
    <n v="123"/>
    <s v="12 bombas"/>
    <s v="Pago: 60 dias del cumplimiento -  Pedido SAP N° 1102830"/>
    <s v="atrasado"/>
    <x v="2"/>
    <n v="0"/>
  </r>
  <r>
    <x v="15"/>
    <x v="15"/>
    <x v="0"/>
    <x v="52"/>
    <s v="005/18 BBR"/>
    <n v="4600557062"/>
    <x v="1216"/>
    <n v="25471.200000000001"/>
    <x v="883"/>
    <n v="90"/>
    <d v="2022-03-16T00:00:00"/>
    <s v="Salvador"/>
    <d v="2022-03-11T00:00:00"/>
    <x v="30"/>
    <d v="2022-03-26T00:00:00"/>
    <d v="2022-03-27T00:00:00"/>
    <d v="2022-04-15T00:00:00"/>
    <n v="120"/>
    <s v="16 bombas"/>
    <s v="Pago: 60 dias del cumplimiento -  Pedido SAP N° 1103135"/>
    <s v="atrasado"/>
    <x v="2"/>
    <n v="0"/>
  </r>
  <r>
    <x v="15"/>
    <x v="15"/>
    <x v="0"/>
    <x v="52"/>
    <s v="005/18 BBR"/>
    <n v="4600557062"/>
    <x v="1217"/>
    <n v="8098.27"/>
    <x v="883"/>
    <n v="90"/>
    <d v="2022-03-16T00:00:00"/>
    <s v="Salvador"/>
    <d v="2022-03-11T00:00:00"/>
    <x v="30"/>
    <d v="2022-03-26T00:00:00"/>
    <d v="2022-03-27T00:00:00"/>
    <d v="2022-04-15T00:00:00"/>
    <n v="120"/>
    <s v="4 bombas"/>
    <s v="Pago: 60 dias del cumplimiento -  Pedido SAP N° 1103137"/>
    <s v="atrasado"/>
    <x v="2"/>
    <n v="0"/>
  </r>
  <r>
    <x v="15"/>
    <x v="15"/>
    <x v="0"/>
    <x v="52"/>
    <s v="005/18 BBR"/>
    <n v="4600557062"/>
    <x v="1218"/>
    <n v="58461.760000000002"/>
    <x v="884"/>
    <n v="89"/>
    <d v="2022-05-16T00:00:00"/>
    <s v="Salvador"/>
    <d v="2022-05-05T00:00:00"/>
    <x v="75"/>
    <d v="2022-05-14T00:00:00"/>
    <d v="2022-05-17T00:00:00"/>
    <d v="2022-06-03T00:00:00"/>
    <n v="107"/>
    <s v="28 bombas"/>
    <s v="Pago: 60 dias del cumplimiento -  Pedido SAP N° 1107880"/>
    <s v="en término"/>
    <x v="3"/>
    <n v="1"/>
  </r>
  <r>
    <x v="15"/>
    <x v="15"/>
    <x v="0"/>
    <x v="52"/>
    <s v="005/18 BBR"/>
    <n v="4600557062"/>
    <x v="1219"/>
    <n v="9940.48"/>
    <x v="884"/>
    <n v="89"/>
    <d v="2022-05-16T00:00:00"/>
    <s v="Salvador"/>
    <d v="2022-05-05T00:00:00"/>
    <x v="75"/>
    <d v="2022-05-14T00:00:00"/>
    <d v="2022-05-17T00:00:00"/>
    <d v="2022-06-03T00:00:00"/>
    <n v="107"/>
    <s v="Valvulas"/>
    <s v="Pago: 60 dias del cumplimiento -  Pedido SAP N° 1107881"/>
    <s v="en término"/>
    <x v="3"/>
    <n v="1"/>
  </r>
  <r>
    <x v="15"/>
    <x v="15"/>
    <x v="0"/>
    <x v="52"/>
    <s v="005/18 BBR"/>
    <n v="4600557062"/>
    <x v="1220"/>
    <n v="11959.08"/>
    <x v="885"/>
    <n v="91"/>
    <d v="2022-05-20T00:00:00"/>
    <s v="Salvador"/>
    <d v="2022-05-05T00:00:00"/>
    <x v="86"/>
    <d v="2022-05-14T00:00:00"/>
    <d v="2022-05-17T00:00:00"/>
    <d v="2022-06-03T00:00:00"/>
    <n v="105"/>
    <s v="4 bombas"/>
    <s v="Pago: 60 dias del cumplimiento -  Pedido SAP N° 1107882"/>
    <s v="en término"/>
    <x v="3"/>
    <n v="1"/>
  </r>
  <r>
    <x v="15"/>
    <x v="15"/>
    <x v="0"/>
    <x v="52"/>
    <s v="005/18 BBR"/>
    <n v="4600557062"/>
    <x v="1221"/>
    <n v="25599.8"/>
    <x v="886"/>
    <n v="79"/>
    <d v="2022-05-27T00:00:00"/>
    <s v="Salvador"/>
    <d v="2022-05-05T00:00:00"/>
    <x v="10"/>
    <d v="2022-05-14T00:00:00"/>
    <d v="2022-05-17T00:00:00"/>
    <d v="2022-06-03T00:00:00"/>
    <n v="86"/>
    <s v="16 bombas + valvulas"/>
    <s v="Pago: 60 dias del cumplimiento -  Pedido SAP N° 1108361"/>
    <s v="en término"/>
    <x v="3"/>
    <n v="1"/>
  </r>
  <r>
    <x v="15"/>
    <x v="15"/>
    <x v="0"/>
    <x v="52"/>
    <s v="22/014 BBR"/>
    <m/>
    <x v="1222"/>
    <n v="24058"/>
    <x v="887"/>
    <n v="15"/>
    <d v="2022-03-30T00:00:00"/>
    <s v="Salvador"/>
    <d v="2022-05-05T00:00:00"/>
    <x v="157"/>
    <d v="2022-05-14T00:00:00"/>
    <d v="2022-05-17T00:00:00"/>
    <d v="2022-06-03T00:00:00"/>
    <n v="80"/>
    <s v="fittings - 1° pedido taller"/>
    <s v="Pago: 60 dias del cumplimiento -  Pedido SAP N° 1109118"/>
    <s v="atrasado"/>
    <x v="3"/>
    <n v="0"/>
  </r>
  <r>
    <x v="15"/>
    <x v="15"/>
    <x v="0"/>
    <x v="52"/>
    <s v="22/015 BBR"/>
    <m/>
    <x v="1223"/>
    <n v="9848"/>
    <x v="887"/>
    <n v="15"/>
    <d v="2022-03-30T00:00:00"/>
    <s v="Salvador"/>
    <d v="2022-05-05T00:00:00"/>
    <x v="157"/>
    <d v="2022-05-14T00:00:00"/>
    <d v="2022-05-17T00:00:00"/>
    <d v="2022-06-03T00:00:00"/>
    <n v="80"/>
    <s v="fittings - 2° pedido taller"/>
    <s v="Pago: 60 dias del cumplimiento -  Pedido SAP N° 1109121"/>
    <s v="atrasado"/>
    <x v="3"/>
    <n v="0"/>
  </r>
  <r>
    <x v="15"/>
    <x v="15"/>
    <x v="0"/>
    <x v="52"/>
    <s v="005/18 BBR"/>
    <n v="4600557062"/>
    <x v="1202"/>
    <n v="47953.2"/>
    <x v="877"/>
    <n v="156"/>
    <d v="2022-04-22T00:00:00"/>
    <s v="Salvador"/>
    <d v="2022-04-08T00:00:00"/>
    <x v="86"/>
    <d v="2022-04-16T00:00:00"/>
    <d v="2022-04-18T00:00:00"/>
    <d v="2022-05-06T00:00:00"/>
    <n v="170"/>
    <s v="300 pistones - 3° ENVIO"/>
    <s v="Pago: 60 dias del cumplimiento -  Pedido SAP N° 1101406 "/>
    <s v="en término"/>
    <x v="10"/>
    <n v="1"/>
  </r>
  <r>
    <x v="15"/>
    <x v="15"/>
    <x v="0"/>
    <x v="52"/>
    <s v="005/18 BBR"/>
    <n v="4600557062"/>
    <x v="1202"/>
    <n v="63940"/>
    <x v="877"/>
    <n v="177"/>
    <d v="2022-05-13T00:00:00"/>
    <s v="Salvador"/>
    <d v="2022-06-10T00:00:00"/>
    <x v="96"/>
    <d v="2022-06-18T00:00:00"/>
    <d v="2022-06-20T00:00:00"/>
    <d v="2022-07-08T00:00:00"/>
    <n v="233"/>
    <s v="400 pistones - 4° ENVIO"/>
    <s v="Pago: 60 dias del cumplimiento -  Pedido SAP N° 1101409 - Salida de planta prevista para el 6/5, pero por demora de Siderca pasa al 10/6 (mail del 18/4 de MF)"/>
    <s v="atrasado"/>
    <x v="4"/>
    <n v="0"/>
  </r>
  <r>
    <x v="15"/>
    <x v="15"/>
    <x v="0"/>
    <x v="52"/>
    <s v="21/085 BBR"/>
    <s v="3R - 100031"/>
    <x v="1224"/>
    <n v="29231"/>
    <x v="888"/>
    <n v="120"/>
    <d v="2022-04-29T00:00:00"/>
    <s v="Salvador"/>
    <d v="2022-04-08T00:00:00"/>
    <x v="10"/>
    <d v="2022-04-16T00:00:00"/>
    <d v="2022-04-18T00:00:00"/>
    <d v="2022-05-06T00:00:00"/>
    <n v="127"/>
    <s v="9 bombas + Fittings"/>
    <s v="Pago: 60 dias del cumplimiento -  Pedido SAP N° 1104438"/>
    <s v="en término"/>
    <x v="10"/>
    <n v="1"/>
  </r>
  <r>
    <x v="15"/>
    <x v="15"/>
    <x v="0"/>
    <x v="52"/>
    <s v="005/18 BBR"/>
    <n v="4600557062"/>
    <x v="1225"/>
    <n v="21246.73"/>
    <x v="889"/>
    <n v="90"/>
    <d v="2022-04-11T00:00:00"/>
    <s v="Salvador"/>
    <d v="2022-04-08T00:00:00"/>
    <x v="14"/>
    <d v="2022-04-16T00:00:00"/>
    <d v="2022-04-18T00:00:00"/>
    <d v="2022-05-06T00:00:00"/>
    <n v="115"/>
    <s v="11 bombas + fittings"/>
    <s v="Pago: 60 dias del cumplimiento -  Pedido SAP N° 1104710 - Estaba prevista para salir de planta el 1/4 pero para que no se despache sola se pasa al 8/4 "/>
    <s v="atrasado"/>
    <x v="10"/>
    <n v="0"/>
  </r>
  <r>
    <x v="15"/>
    <x v="15"/>
    <x v="0"/>
    <x v="52"/>
    <s v="005/18 BBR"/>
    <n v="4600557062"/>
    <x v="1226"/>
    <n v="16298.9"/>
    <x v="890"/>
    <n v="90"/>
    <d v="2022-04-27T00:00:00"/>
    <s v="Salvador"/>
    <d v="2022-04-08T00:00:00"/>
    <x v="17"/>
    <d v="2022-04-16T00:00:00"/>
    <d v="2022-04-18T00:00:00"/>
    <d v="2022-05-06T00:00:00"/>
    <n v="99"/>
    <s v="9 bombas"/>
    <s v="Pago: 60 dias del cumplimiento -  Pedido SAP N° 1106193"/>
    <s v="en término"/>
    <x v="10"/>
    <n v="1"/>
  </r>
  <r>
    <x v="15"/>
    <x v="15"/>
    <x v="0"/>
    <x v="52"/>
    <s v="005/18 BBR"/>
    <n v="4600557062"/>
    <x v="1227"/>
    <n v="5768.08"/>
    <x v="884"/>
    <n v="89"/>
    <d v="2022-05-16T00:00:00"/>
    <s v="Salvador"/>
    <d v="2022-04-08T00:00:00"/>
    <x v="39"/>
    <d v="2022-04-16T00:00:00"/>
    <d v="2022-04-18T00:00:00"/>
    <d v="2022-05-06T00:00:00"/>
    <n v="79"/>
    <s v="1 bomba + 40 pistones + fittings"/>
    <s v="Pago: 60 dias del cumplimiento -  Pedido SAP N°  1107879"/>
    <s v="en término"/>
    <x v="10"/>
    <n v="1"/>
  </r>
  <r>
    <x v="15"/>
    <x v="15"/>
    <x v="0"/>
    <x v="52"/>
    <s v="005/18 BBR"/>
    <n v="4600557062"/>
    <x v="1228"/>
    <n v="392.52"/>
    <x v="891"/>
    <n v="72"/>
    <d v="2022-04-27T00:00:00"/>
    <s v="Salvador"/>
    <d v="2022-04-08T00:00:00"/>
    <x v="17"/>
    <d v="2022-04-16T00:00:00"/>
    <d v="2022-04-18T00:00:00"/>
    <d v="2022-05-06T00:00:00"/>
    <n v="81"/>
    <s v="4 pistones"/>
    <s v="Pago: 60 dias del cumplimiento -  Pedido SAP N° 1107924"/>
    <s v="en término"/>
    <x v="10"/>
    <n v="1"/>
  </r>
  <r>
    <x v="15"/>
    <x v="15"/>
    <x v="0"/>
    <x v="52"/>
    <s v="22/017 BBR"/>
    <s v="3R - 102583"/>
    <x v="1229"/>
    <n v="61800"/>
    <x v="886"/>
    <n v="98"/>
    <d v="2022-06-15T00:00:00"/>
    <s v="Salvador"/>
    <d v="2022-05-27T00:00:00"/>
    <x v="17"/>
    <d v="2022-06-04T00:00:00"/>
    <d v="2022-06-07T00:00:00"/>
    <d v="2022-06-24T00:00:00"/>
    <n v="107"/>
    <s v="25 bombas"/>
    <s v="Pago: 60 dias del cumplimiento -  Pedido SAP N° 1108368"/>
    <s v="en término"/>
    <x v="3"/>
    <n v="1"/>
  </r>
  <r>
    <x v="15"/>
    <x v="15"/>
    <x v="0"/>
    <x v="52"/>
    <s v="005/18 BBR"/>
    <n v="4600557062"/>
    <x v="1230"/>
    <n v="18536"/>
    <x v="892"/>
    <n v="89"/>
    <d v="2022-06-07T00:00:00"/>
    <s v="Salvador"/>
    <d v="2022-05-27T00:00:00"/>
    <x v="46"/>
    <d v="2022-06-04T00:00:00"/>
    <d v="2022-06-07T00:00:00"/>
    <d v="2022-06-24T00:00:00"/>
    <n v="106"/>
    <s v="14 bombas"/>
    <s v="Pago: 60 dias del cumplimiento -  Pedido SAP N° 1108419"/>
    <s v="en término"/>
    <x v="3"/>
    <n v="1"/>
  </r>
  <r>
    <x v="15"/>
    <x v="15"/>
    <x v="0"/>
    <x v="52"/>
    <s v="005/18 BBR"/>
    <n v="4600557062"/>
    <x v="1231"/>
    <n v="13590"/>
    <x v="893"/>
    <n v="89"/>
    <d v="2022-06-28T00:00:00"/>
    <s v="Salvador"/>
    <d v="2022-06-10T00:00:00"/>
    <x v="49"/>
    <d v="2022-06-18T00:00:00"/>
    <d v="2022-06-20T00:00:00"/>
    <d v="2022-07-08T00:00:00"/>
    <n v="99"/>
    <s v="9 bombas"/>
    <s v="Pago: 60 dias del cumplimiento -  Pedido SAP N° 1110267"/>
    <s v="en término"/>
    <x v="4"/>
    <n v="1"/>
  </r>
  <r>
    <x v="15"/>
    <x v="15"/>
    <x v="0"/>
    <x v="52"/>
    <s v="005/18 BBR"/>
    <n v="4600557062"/>
    <x v="1232"/>
    <n v="5836.36"/>
    <x v="894"/>
    <n v="89"/>
    <d v="2022-07-05T00:00:00"/>
    <s v="Salvador"/>
    <d v="2022-07-01T00:00:00"/>
    <x v="9"/>
    <d v="2022-07-09T00:00:00"/>
    <d v="2022-07-11T00:00:00"/>
    <d v="2022-07-29T00:00:00"/>
    <n v="113"/>
    <s v="1 bomba + fittings"/>
    <s v="Pago: 60 dias del cumplimiento -  Pedido SAP N° 1110764"/>
    <s v="atrasado"/>
    <x v="5"/>
    <n v="0"/>
  </r>
  <r>
    <x v="15"/>
    <x v="15"/>
    <x v="0"/>
    <x v="52"/>
    <s v="22/022 BBR"/>
    <s v="032288"/>
    <x v="1233"/>
    <n v="12982"/>
    <x v="895"/>
    <n v="109"/>
    <d v="2022-08-05T00:00:00"/>
    <s v="Salvador"/>
    <d v="2022-07-22T00:00:00"/>
    <x v="86"/>
    <d v="2022-07-30T00:00:00"/>
    <d v="2022-08-01T00:00:00"/>
    <d v="2022-08-19T00:00:00"/>
    <n v="123"/>
    <s v="fittings - Potiguar"/>
    <s v="Pago: 60 dias del cumplimiento -  Pedido SAP N° 1111183"/>
    <s v="en término"/>
    <x v="5"/>
    <n v="1"/>
  </r>
  <r>
    <x v="15"/>
    <x v="15"/>
    <x v="0"/>
    <x v="52"/>
    <s v="005/18 BBR"/>
    <n v="4600557062"/>
    <x v="1234"/>
    <n v="14390.42"/>
    <x v="895"/>
    <n v="89"/>
    <d v="2022-07-16T00:00:00"/>
    <s v="Salvador"/>
    <d v="2022-07-01T00:00:00"/>
    <x v="64"/>
    <d v="2022-07-09T00:00:00"/>
    <d v="2022-07-11T00:00:00"/>
    <d v="2022-07-29T00:00:00"/>
    <n v="102"/>
    <s v="8 bomba + nipple"/>
    <s v="Pago: 60 dias del cumplimiento -  Pedido SAP N° 1111181 - Estaba previsto para el 8/7 pero se definio juntar este unico despacho con el resto para el 15/7"/>
    <s v="en término"/>
    <x v="5"/>
    <n v="1"/>
  </r>
  <r>
    <x v="15"/>
    <x v="15"/>
    <x v="0"/>
    <x v="52"/>
    <s v="22/024 BBR"/>
    <s v="100194/100195"/>
    <x v="1235"/>
    <n v="74418"/>
    <x v="896"/>
    <n v="110"/>
    <d v="2022-08-08T00:00:00"/>
    <s v="Salvador"/>
    <d v="2022-06-10T00:00:00"/>
    <x v="115"/>
    <d v="2022-06-18T00:00:00"/>
    <d v="2022-06-20T00:00:00"/>
    <d v="2022-07-08T00:00:00"/>
    <n v="79"/>
    <s v="31 bombas+ fittings - 3R"/>
    <s v="Pago: 60 dias del cumplimiento -  Pedido SAP N°  1111268"/>
    <s v="en término"/>
    <x v="4"/>
    <n v="1"/>
  </r>
  <r>
    <x v="15"/>
    <x v="15"/>
    <x v="0"/>
    <x v="52"/>
    <s v="22/025 BBR"/>
    <s v="0220"/>
    <x v="1236"/>
    <n v="153908"/>
    <x v="896"/>
    <n v="109"/>
    <d v="2022-08-07T00:00:00"/>
    <s v="Salvador"/>
    <d v="2022-06-10T00:00:00"/>
    <x v="158"/>
    <d v="2022-06-18T00:00:00"/>
    <d v="2022-06-20T00:00:00"/>
    <d v="2022-07-08T00:00:00"/>
    <n v="79"/>
    <s v="58 bombas - Seacrest"/>
    <s v="Pago: 60 dias del cumplimiento -  Pedido SAP N°  1111298"/>
    <s v="en término"/>
    <x v="4"/>
    <n v="1"/>
  </r>
  <r>
    <x v="15"/>
    <x v="15"/>
    <x v="0"/>
    <x v="52"/>
    <s v="005/18 BBR"/>
    <n v="4600557062"/>
    <x v="1237"/>
    <n v="31121.06"/>
    <x v="897"/>
    <n v="88"/>
    <d v="2022-07-29T00:00:00"/>
    <s v="Salvador"/>
    <d v="2022-07-22T00:00:00"/>
    <x v="63"/>
    <d v="2022-07-30T00:00:00"/>
    <d v="2022-08-01T00:00:00"/>
    <d v="2022-08-19T00:00:00"/>
    <n v="109"/>
    <s v="19 bombas"/>
    <s v="Pago: 60 dias del cumplimiento -  Pedido SAP N° 1112461"/>
    <s v="atrasado"/>
    <x v="5"/>
    <n v="0"/>
  </r>
  <r>
    <x v="15"/>
    <x v="15"/>
    <x v="0"/>
    <x v="52"/>
    <s v="005/18 BBR"/>
    <n v="4600557062"/>
    <x v="1238"/>
    <n v="1594"/>
    <x v="897"/>
    <n v="84"/>
    <d v="2022-07-25T00:00:00"/>
    <s v="Salvador"/>
    <d v="2022-07-22T00:00:00"/>
    <x v="14"/>
    <d v="2022-07-30T00:00:00"/>
    <d v="2022-08-01T00:00:00"/>
    <d v="2022-08-19T00:00:00"/>
    <n v="109"/>
    <s v="Fittings"/>
    <s v="Pago: 60 dias del cumplimiento -  Pedido SAP N° 1112462"/>
    <s v="atrasado"/>
    <x v="5"/>
    <n v="0"/>
  </r>
  <r>
    <x v="15"/>
    <x v="15"/>
    <x v="0"/>
    <x v="52"/>
    <s v="005/18 BBR"/>
    <n v="4600557062"/>
    <x v="1239"/>
    <n v="95958.3"/>
    <x v="897"/>
    <n v="84"/>
    <d v="2022-07-25T00:00:00"/>
    <s v="Salvador"/>
    <d v="2022-07-22T00:00:00"/>
    <x v="14"/>
    <d v="2022-07-30T00:00:00"/>
    <d v="2022-08-01T00:00:00"/>
    <d v="2022-08-19T00:00:00"/>
    <n v="109"/>
    <s v="26 bombas + fittings"/>
    <s v="Pago: 60 dias del cumplimiento -  Pedido SAP N° 1112504"/>
    <s v="atrasado"/>
    <x v="5"/>
    <n v="0"/>
  </r>
  <r>
    <x v="15"/>
    <x v="15"/>
    <x v="0"/>
    <x v="52"/>
    <s v="005/18 BBR"/>
    <n v="4600557062"/>
    <x v="1240"/>
    <n v="197074"/>
    <x v="897"/>
    <n v="84"/>
    <d v="2022-07-25T00:00:00"/>
    <s v="Salvador"/>
    <d v="2022-07-22T00:00:00"/>
    <x v="14"/>
    <d v="2022-07-30T00:00:00"/>
    <d v="2022-08-01T00:00:00"/>
    <d v="2022-08-19T00:00:00"/>
    <n v="109"/>
    <s v="111 bombas + fittings"/>
    <s v="Pago: 60 dias del cumplimiento -  Pedido SAP N° 1112492"/>
    <s v="atrasado"/>
    <x v="5"/>
    <n v="0"/>
  </r>
  <r>
    <x v="15"/>
    <x v="15"/>
    <x v="0"/>
    <x v="52"/>
    <s v="005/18 BBR"/>
    <n v="4600557062"/>
    <x v="1241"/>
    <n v="53328"/>
    <x v="897"/>
    <n v="84"/>
    <d v="2022-07-25T00:00:00"/>
    <s v="Salvador"/>
    <d v="2022-07-22T00:00:00"/>
    <x v="14"/>
    <d v="2022-07-30T00:00:00"/>
    <d v="2022-08-01T00:00:00"/>
    <d v="2022-08-19T00:00:00"/>
    <n v="109"/>
    <s v="33 bombas"/>
    <s v="Pago: 60 dias del cumplimiento -  Pedido SAP N° 1112463"/>
    <s v="atrasado"/>
    <x v="5"/>
    <n v="0"/>
  </r>
  <r>
    <x v="15"/>
    <x v="15"/>
    <x v="0"/>
    <x v="52"/>
    <s v="005/18 BBR"/>
    <n v="4600557062"/>
    <x v="1242"/>
    <n v="29850"/>
    <x v="897"/>
    <n v="104"/>
    <d v="2022-08-14T00:00:00"/>
    <s v="Salvador"/>
    <d v="2022-08-05T00:00:00"/>
    <x v="11"/>
    <d v="2022-08-16T00:00:00"/>
    <d v="2022-08-18T00:00:00"/>
    <d v="2022-09-07T00:00:00"/>
    <n v="128"/>
    <s v="15 bombas"/>
    <s v="Pago: 60 dias del cumplimiento -  Pedido SAP N° 1112489"/>
    <s v="atrasado"/>
    <x v="6"/>
    <n v="0"/>
  </r>
  <r>
    <x v="15"/>
    <x v="15"/>
    <x v="0"/>
    <x v="52"/>
    <s v="22/053 BBR"/>
    <m/>
    <x v="1243"/>
    <n v="15962"/>
    <x v="898"/>
    <n v="20"/>
    <d v="2022-08-14T00:00:00"/>
    <s v="Salvador"/>
    <d v="2022-07-29T00:00:00"/>
    <x v="10"/>
    <d v="2022-08-01T00:00:00"/>
    <d v="2022-08-08T00:00:00"/>
    <d v="2022-08-26T00:00:00"/>
    <n v="32"/>
    <s v="Fittings para Taller Macau"/>
    <s v="Pago: 60 dias del cumplimiento -  Pedido SAP N° 1118011"/>
    <s v="en término"/>
    <x v="5"/>
    <n v="1"/>
  </r>
  <r>
    <x v="15"/>
    <x v="15"/>
    <x v="0"/>
    <x v="52"/>
    <s v="21/095 BBR"/>
    <s v="SCM-0331"/>
    <x v="1244"/>
    <n v="84160"/>
    <x v="899"/>
    <n v="101"/>
    <d v="2022-11-24T00:00:00"/>
    <s v="Salvador"/>
    <d v="2022-11-04T00:00:00"/>
    <x v="52"/>
    <d v="2022-11-12T00:00:00"/>
    <d v="2022-11-15T00:00:00"/>
    <d v="2022-12-02T00:00:00"/>
    <n v="109"/>
    <s v="40 bombas - Contrato 3R"/>
    <s v="Pago: 60 dias del cumplimiento -  Pedido SAP N° 1119713"/>
    <s v="en término"/>
    <x v="9"/>
    <n v="1"/>
  </r>
  <r>
    <x v="15"/>
    <x v="15"/>
    <x v="0"/>
    <x v="52"/>
    <s v="22/061 BBR"/>
    <m/>
    <x v="1245"/>
    <n v="146192"/>
    <x v="900"/>
    <n v="78"/>
    <d v="2022-11-04T00:00:00"/>
    <s v="Salvador"/>
    <d v="2022-11-04T00:00:00"/>
    <x v="23"/>
    <d v="2022-11-12T00:00:00"/>
    <d v="2022-11-15T00:00:00"/>
    <d v="2022-12-02T00:00:00"/>
    <n v="106"/>
    <s v="Fittings para Taller Macau"/>
    <s v="Pago: 60 dias del cumplimiento -  Pedido SAP N° 1119891"/>
    <s v="atrasado"/>
    <x v="9"/>
    <n v="0"/>
  </r>
  <r>
    <x v="15"/>
    <x v="15"/>
    <x v="1"/>
    <x v="49"/>
    <s v="21/078 CDQ"/>
    <s v="ACUERDO ECOPETROL"/>
    <x v="1196"/>
    <n v="59687.85"/>
    <x v="873"/>
    <n v="49"/>
    <d v="2021-11-16T00:00:00"/>
    <s v="Bogota"/>
    <d v="2021-11-19T00:00:00"/>
    <x v="54"/>
    <d v="2021-12-21T00:00:00"/>
    <d v="2022-01-02T00:00:00"/>
    <d v="2022-01-28T00:00:00"/>
    <n v="122"/>
    <s v=" R11-25-280SS (22) + R11-30-280SS (157) -   LLEVA CERTIFICADOS DE CALIDAD "/>
    <s v="Pedido SAP N° 1097798  - R11-25 Y R11-30 PO IMP 280-2021 (ORIGINAL), LUEGO PASARON A LA PO IMP 285-2021 (U$ 59.687,85)"/>
    <s v="atrasado"/>
    <x v="9"/>
    <n v="0"/>
  </r>
  <r>
    <x v="15"/>
    <x v="15"/>
    <x v="1"/>
    <x v="49"/>
    <s v="21/076 CDQ"/>
    <s v="ACUERDO ECOPETROL"/>
    <x v="1197"/>
    <n v="14401.19"/>
    <x v="872"/>
    <n v="98"/>
    <d v="2021-12-20T00:00:00"/>
    <s v="Bogota"/>
    <d v="2021-12-20T00:00:00"/>
    <x v="13"/>
    <m/>
    <d v="2021-12-31T00:00:00"/>
    <d v="2022-01-03T00:00:00"/>
    <n v="112"/>
    <s v="Fittings -   LLEVA CERTIFICADOS DE CALIDAD "/>
    <s v="Pedido SAP N° 1102990.  DHL extravio el sobre.  Se hace un segundo enivo con la documentacion (20/1/22)"/>
    <s v="atrasado"/>
    <x v="11"/>
    <n v="0"/>
  </r>
  <r>
    <x v="15"/>
    <x v="15"/>
    <x v="1"/>
    <x v="49"/>
    <s v="21/077 CDQ"/>
    <s v="ACUERDO ECOPETROL"/>
    <x v="1246"/>
    <n v="55716.34"/>
    <x v="865"/>
    <n v="105"/>
    <d v="2022-01-07T00:00:00"/>
    <s v="Bogota"/>
    <d v="2022-01-07T00:00:00"/>
    <x v="16"/>
    <d v="2022-01-21T00:00:00"/>
    <d v="2022-01-29T00:00:00"/>
    <d v="2022-02-28T00:00:00"/>
    <n v="157"/>
    <s v="Fittings -   LLEVA CERTIFICADOS DE CALIDAD "/>
    <s v="Pedido SAP N° 1102975 - PARTE DE LA CARGA VIAJO A BRASIL (nueva fecha de arribo a Colombia el 17/4-6/5 se entrego a PTI)"/>
    <s v="atrasado"/>
    <x v="0"/>
    <n v="0"/>
  </r>
  <r>
    <x v="15"/>
    <x v="15"/>
    <x v="1"/>
    <x v="49"/>
    <s v="22/019 CDQ"/>
    <s v="ACUERDO ECOPETROL"/>
    <x v="1247"/>
    <n v="5548.65"/>
    <x v="884"/>
    <n v="34"/>
    <d v="2022-03-22T00:00:00"/>
    <s v="Bogota"/>
    <d v="2022-03-04T00:00:00"/>
    <x v="46"/>
    <m/>
    <d v="2022-03-19T00:00:00"/>
    <d v="2022-04-16T00:00:00"/>
    <n v="59"/>
    <s v="Fittings -   LLEVA CERTIFICADOS DE CALIDAD "/>
    <s v="Pedido SAP N° 1107029"/>
    <s v="en término"/>
    <x v="2"/>
    <n v="1"/>
  </r>
  <r>
    <x v="15"/>
    <x v="15"/>
    <x v="1"/>
    <x v="49"/>
    <m/>
    <s v="ACUERDO ECOPETROL"/>
    <x v="1248"/>
    <s v="MUESTRA"/>
    <x v="901"/>
    <n v="9"/>
    <d v="2022-05-20T00:00:00"/>
    <s v="Bogota"/>
    <d v="2022-05-16T00:00:00"/>
    <x v="62"/>
    <m/>
    <d v="2022-05-26T00:00:00"/>
    <d v="2022-06-07T00:00:00"/>
    <n v="27"/>
    <s v="6 copas"/>
    <s v="Pedido SAP N° 1112764 - se envio desde la planta por OCA y luego va a manos de DHL"/>
    <s v="atrasado"/>
    <x v="3"/>
    <n v="0"/>
  </r>
  <r>
    <x v="15"/>
    <x v="15"/>
    <x v="1"/>
    <x v="49"/>
    <s v="22/041 CDQ"/>
    <s v="ACUERDO ECOPETROL"/>
    <x v="1249"/>
    <n v="121072.04"/>
    <x v="901"/>
    <n v="9"/>
    <d v="2022-05-20T00:00:00"/>
    <s v="Bogota"/>
    <d v="2022-05-20T00:00:00"/>
    <x v="97"/>
    <d v="2022-06-03T00:00:00"/>
    <d v="2022-06-22T00:00:00"/>
    <d v="2022-07-10T00:00:00"/>
    <n v="60"/>
    <s v="Fittings -   LLEVA CERTIFICADOS DE CALIDAD "/>
    <s v="Pedido SAP N° 1112818 -Se demora la salida del buque.  1° salida:  12/6 -  2° salida: 20/6 - 3° salida: 22/6."/>
    <s v="atrasado"/>
    <x v="3"/>
    <n v="0"/>
  </r>
  <r>
    <x v="15"/>
    <x v="15"/>
    <x v="1"/>
    <x v="49"/>
    <s v="22/045 CDQ"/>
    <s v="ACUERDO ECOPETROL"/>
    <x v="1250"/>
    <n v="61674.75"/>
    <x v="902"/>
    <n v="46"/>
    <d v="2022-06-28T00:00:00"/>
    <s v="Bogota"/>
    <d v="2022-06-16T00:00:00"/>
    <x v="5"/>
    <d v="2022-06-24T00:00:00"/>
    <d v="2022-07-14T00:00:00"/>
    <d v="2022-08-13T00:00:00"/>
    <n v="92"/>
    <s v="Fittings -   LLEVA CERTIFICADOS DE CALIDAD "/>
    <s v="Pedido SAP N° 1114408 - Según mail de Vero del 11/7 el buque cambio de fecha del 9/7 al 14/7"/>
    <s v="atrasado"/>
    <x v="4"/>
    <n v="0"/>
  </r>
  <r>
    <x v="15"/>
    <x v="15"/>
    <x v="1"/>
    <x v="49"/>
    <s v="22/051 CDQ"/>
    <s v="ACUERDO ECOPETROL"/>
    <x v="1251"/>
    <n v="100232.58"/>
    <x v="903"/>
    <n v="20"/>
    <d v="2022-08-10T00:00:00"/>
    <s v="Bogota"/>
    <d v="2022-08-09T00:00:00"/>
    <x v="81"/>
    <d v="2022-08-25T00:00:00"/>
    <d v="2022-09-08T00:00:00"/>
    <d v="2022-09-28T00:00:00"/>
    <n v="69"/>
    <s v="Fittings -   LLEVA CERTIFICADOS DE CALIDAD "/>
    <s v="Pedido SAP N° 1117813 - Se roleo el buque del 28/8 al 4/9 ya que no pasaba por Cartagena (ver mail de V.Tornado del 24/8)"/>
    <s v="atrasado"/>
    <x v="6"/>
    <n v="0"/>
  </r>
  <r>
    <x v="15"/>
    <x v="15"/>
    <x v="1"/>
    <x v="49"/>
    <s v="22/067 CDQ"/>
    <s v="ACUERDO ECOPETROL"/>
    <x v="1252"/>
    <n v="77637.149999999994"/>
    <x v="904"/>
    <n v="23"/>
    <d v="2022-09-23T00:00:00"/>
    <s v="Bogota"/>
    <d v="2022-09-13T00:00:00"/>
    <x v="0"/>
    <d v="2022-09-25T00:00:00"/>
    <d v="2022-10-08T00:00:00"/>
    <d v="2022-11-04T00:00:00"/>
    <n v="65"/>
    <s v="Fittings -   LLEVA CERTIFICADOS DE CALIDAD "/>
    <s v="Pedido SAP N° 1121026"/>
    <s v="atrasado"/>
    <x v="7"/>
    <n v="0"/>
  </r>
  <r>
    <x v="15"/>
    <x v="15"/>
    <x v="1"/>
    <x v="49"/>
    <s v="22/079 CDQ"/>
    <s v="ACUERDO ECOPETROL"/>
    <x v="1253"/>
    <n v="226498.9"/>
    <x v="905"/>
    <n v="29"/>
    <d v="2022-10-14T00:00:00"/>
    <s v="Bogota"/>
    <d v="2022-10-07T00:00:00"/>
    <x v="0"/>
    <d v="2022-10-19T00:00:00"/>
    <d v="2022-10-29T00:00:00"/>
    <d v="2022-11-28T00:00:00"/>
    <n v="74"/>
    <s v="Fittings -   LLEVA CERTIFICADOS DE CALIDAD "/>
    <s v="Pedido SAP N° 1121886"/>
    <s v="atrasado"/>
    <x v="8"/>
    <n v="0"/>
  </r>
  <r>
    <x v="15"/>
    <x v="15"/>
    <x v="1"/>
    <x v="49"/>
    <s v="22/081 CDQ"/>
    <s v="ACUERDO ECOPETROL"/>
    <x v="1254"/>
    <n v="170689.17"/>
    <x v="906"/>
    <n v="31"/>
    <d v="2022-11-25T00:00:00"/>
    <s v="Bogota"/>
    <d v="2022-11-25T00:00:00"/>
    <x v="44"/>
    <d v="2022-12-12T00:00:00"/>
    <d v="2022-12-24T00:00:00"/>
    <d v="2023-01-13T00:00:00"/>
    <n v="80"/>
    <s v="Fittings -   LLEVA CERTIFICADOS DE CALIDAD "/>
    <s v="Pedido SAP N° 1124641 - Según mail del 19/12 el buque se retraso y del 15/12 se pasa al 23/12"/>
    <s v="en término"/>
    <x v="9"/>
    <n v="1"/>
  </r>
  <r>
    <x v="15"/>
    <x v="15"/>
    <x v="1"/>
    <x v="49"/>
    <s v="22/082 CDQ"/>
    <s v="ACUERDO ECOPETROL"/>
    <x v="1255"/>
    <n v="77778.45"/>
    <x v="906"/>
    <n v="59"/>
    <d v="2022-12-23T00:00:00"/>
    <s v="Bogota"/>
    <d v="2022-12-22T00:00:00"/>
    <x v="2"/>
    <d v="2023-01-06T00:00:00"/>
    <d v="2023-01-15T00:00:00"/>
    <d v="2023-02-10T00:00:00"/>
    <n v="108"/>
    <s v="Fittings -   LLEVA CERTIFICADOS DE CALIDAD "/>
    <s v="Pedido SAP N° 1124657 - según mail del 2/12 se confirma 2 envios (R11, se pasan a la PO 011)"/>
    <s v="en término"/>
    <x v="11"/>
    <n v="1"/>
  </r>
  <r>
    <x v="15"/>
    <x v="15"/>
    <x v="1"/>
    <x v="49"/>
    <s v="23/005 CDQ"/>
    <s v="ACUERDO ECOPETROL"/>
    <x v="1256"/>
    <n v="85582.73"/>
    <x v="907"/>
    <n v="18"/>
    <d v="2023-01-10T00:00:00"/>
    <s v="Bogota"/>
    <d v="2023-01-12T00:00:00"/>
    <x v="11"/>
    <d v="2023-01-27T00:00:00"/>
    <d v="2023-02-11T00:00:00"/>
    <d v="2023-03-02T00:00:00"/>
    <n v="69"/>
    <s v="Fittings -   LLEVA CERTIFICADOS DE CALIDAD  (quedan pendientes barriles-item 2 -cant: 3- e item 4-cant: 1)"/>
    <s v="Pedido SAP N° 1130042"/>
    <s v="atrasado"/>
    <x v="0"/>
    <n v="0"/>
  </r>
  <r>
    <x v="15"/>
    <x v="15"/>
    <x v="12"/>
    <x v="50"/>
    <s v="22/016 GUN"/>
    <m/>
    <x v="1257"/>
    <n v="57773"/>
    <x v="908"/>
    <n v="130"/>
    <d v="2022-08-24T00:00:00"/>
    <s v="Buenos Aires"/>
    <d v="2023-01-12T00:00:00"/>
    <x v="142"/>
    <m/>
    <m/>
    <m/>
    <s v=""/>
    <s v="17 bombas"/>
    <s v="Anticipo SAP N° 1116570 - Pedido SAP N° 1116670"/>
    <m/>
    <x v="0"/>
    <n v="0"/>
  </r>
  <r>
    <x v="15"/>
    <x v="15"/>
    <x v="5"/>
    <x v="7"/>
    <s v="22/032 TAL"/>
    <m/>
    <x v="1258"/>
    <n v="10010"/>
    <x v="909"/>
    <n v="127"/>
    <d v="2022-09-09T00:00:00"/>
    <s v="Buenos Aires"/>
    <d v="2022-08-26T00:00:00"/>
    <x v="118"/>
    <d v="2022-10-11T00:00:00"/>
    <d v="2022-10-25T00:00:00"/>
    <d v="2022-11-14T00:00:00"/>
    <n v="193"/>
    <s v=" Fittings -   LLEVA CERTIFICADOS DE CALIDAD"/>
    <s v="Anticipo SAP N° 1113523 (1° pago U$ 5005 - recibido 3/6) - 2° Anticipo SAP N° 1118869 (pago: 10/8/22) - Pedido SAP N° 1113421 - Estuvimos esperando 25 dias para hacer contacto con el forwarder.  Según mail del 3/10 se paso del buque del 30/9 por un tema de espacio al buque del 25/10"/>
    <s v="atrasado"/>
    <x v="6"/>
    <n v="0"/>
  </r>
  <r>
    <x v="15"/>
    <x v="15"/>
    <x v="5"/>
    <x v="7"/>
    <s v="22/032 TAL"/>
    <m/>
    <x v="1259"/>
    <n v="11285"/>
    <x v="910"/>
    <n v="112"/>
    <d v="2022-09-09T00:00:00"/>
    <s v="Buenos Aires"/>
    <d v="2022-08-26T00:00:00"/>
    <x v="118"/>
    <d v="2022-10-11T00:00:00"/>
    <d v="2022-10-25T00:00:00"/>
    <d v="2022-11-14T00:00:00"/>
    <n v="178"/>
    <s v=" Fittings -   LLEVA CERTIFICADOS DE CALIDAD"/>
    <s v="Anticipo SAP N° 1113525 ( 1° pago U$ 5643 -recibido 3/6) - 2° Anticipo SAP N° 1118870 (pago: 10/8/22) -  Pedido SAP N° 1113419 - Estuvimos esperando 25 dias para hacer contacto con el forwarder.  Según mail del 3/10 se paso del buque del 30/9 por un tema de espacio al buque del 25/10"/>
    <s v="atrasado"/>
    <x v="6"/>
    <n v="0"/>
  </r>
  <r>
    <x v="15"/>
    <x v="15"/>
    <x v="6"/>
    <x v="53"/>
    <s v="22/036 YZZ"/>
    <m/>
    <x v="1260"/>
    <n v="23209"/>
    <x v="911"/>
    <n v="110"/>
    <d v="2022-12-12T00:00:00"/>
    <s v="Buenos Aires"/>
    <d v="2022-11-04T00:00:00"/>
    <x v="7"/>
    <d v="2022-12-21T00:00:00"/>
    <d v="2022-12-29T00:00:00"/>
    <d v="2023-02-03T00:00:00"/>
    <n v="163"/>
    <s v="Fittings"/>
    <s v="Anticipo SAP N° 1120504 (1° anticipo) Pago: 7/9  - Pedido SAP N° 1120542"/>
    <s v="atrasado"/>
    <x v="9"/>
    <n v="0"/>
  </r>
  <r>
    <x v="16"/>
    <x v="16"/>
    <x v="0"/>
    <x v="52"/>
    <s v="039/20 BBR"/>
    <n v="4600611934"/>
    <x v="1261"/>
    <n v="183.99"/>
    <x v="912"/>
    <n v="79"/>
    <d v="2023-04-26T00:00:00"/>
    <s v="Salvador"/>
    <d v="2023-03-23T00:00:00"/>
    <x v="48"/>
    <d v="2023-04-01T00:00:00"/>
    <d v="2023-04-04T00:00:00"/>
    <d v="2023-04-22T00:00:00"/>
    <n v="75"/>
    <s v="Nipples"/>
    <s v="Pago: 60 dias del cumplimiento -  Pedido SAP N° 1132673"/>
    <s v="en término"/>
    <x v="2"/>
    <n v="1"/>
  </r>
  <r>
    <x v="16"/>
    <x v="16"/>
    <x v="0"/>
    <x v="52"/>
    <s v="039/20 BBR"/>
    <n v="4600611934"/>
    <x v="1262"/>
    <n v="61.33"/>
    <x v="912"/>
    <n v="79"/>
    <d v="2023-04-26T00:00:00"/>
    <s v="Salvador"/>
    <d v="2023-03-23T00:00:00"/>
    <x v="48"/>
    <d v="2023-04-01T00:00:00"/>
    <d v="2023-04-04T00:00:00"/>
    <d v="2023-04-22T00:00:00"/>
    <n v="75"/>
    <s v="Nipples"/>
    <s v="Pago: 60 dias del cumplimiento -  Pedido SAP N° 1132675"/>
    <s v="en término"/>
    <x v="2"/>
    <n v="1"/>
  </r>
  <r>
    <x v="16"/>
    <x v="16"/>
    <x v="0"/>
    <x v="52"/>
    <s v="039/20 BBR"/>
    <n v="4600611934"/>
    <x v="1263"/>
    <n v="315.07"/>
    <x v="912"/>
    <n v="64"/>
    <d v="2023-04-11T00:00:00"/>
    <s v="Salvador"/>
    <d v="2023-03-23T00:00:00"/>
    <x v="49"/>
    <d v="2023-04-01T00:00:00"/>
    <d v="2023-04-04T00:00:00"/>
    <d v="2023-04-22T00:00:00"/>
    <n v="75"/>
    <s v="Nipples y valvulas"/>
    <s v="Pago: 60 dias del cumplimiento -  Pedido SAP N° 1132677"/>
    <s v="en término"/>
    <x v="2"/>
    <n v="1"/>
  </r>
  <r>
    <x v="16"/>
    <x v="16"/>
    <x v="0"/>
    <x v="52"/>
    <s v="039/20 BBR"/>
    <n v="4600611934"/>
    <x v="1264"/>
    <n v="61.33"/>
    <x v="913"/>
    <n v="85"/>
    <d v="2023-05-06T00:00:00"/>
    <s v="Salvador"/>
    <d v="2023-03-23T00:00:00"/>
    <x v="88"/>
    <d v="2023-04-01T00:00:00"/>
    <d v="2023-04-04T00:00:00"/>
    <d v="2023-04-22T00:00:00"/>
    <n v="71"/>
    <s v="Nipples"/>
    <s v="Pago: 60 dias del cumplimiento -  Pedido SAP N° 1132678"/>
    <s v="en término"/>
    <x v="2"/>
    <n v="1"/>
  </r>
  <r>
    <x v="16"/>
    <x v="16"/>
    <x v="0"/>
    <x v="52"/>
    <s v="039/20 BBR"/>
    <n v="4600611934"/>
    <x v="1265"/>
    <n v="1027.01"/>
    <x v="913"/>
    <n v="88"/>
    <d v="2023-05-09T00:00:00"/>
    <s v="Salvador"/>
    <d v="2023-03-23T00:00:00"/>
    <x v="22"/>
    <d v="2023-04-01T00:00:00"/>
    <d v="2023-04-04T00:00:00"/>
    <d v="2023-04-22T00:00:00"/>
    <n v="71"/>
    <s v="Barriles"/>
    <s v="Pago: 60 dias del cumplimiento -  Pedido SAP N° 1132679"/>
    <s v="en término"/>
    <x v="2"/>
    <n v="1"/>
  </r>
  <r>
    <x v="16"/>
    <x v="16"/>
    <x v="0"/>
    <x v="52"/>
    <s v="21/095 BBR"/>
    <s v="SCM-0331"/>
    <x v="1266"/>
    <n v="83060"/>
    <x v="913"/>
    <n v="54"/>
    <d v="2023-04-05T00:00:00"/>
    <s v="Salvador"/>
    <d v="2023-03-23T00:00:00"/>
    <x v="19"/>
    <d v="2023-04-01T00:00:00"/>
    <d v="2023-04-04T00:00:00"/>
    <d v="2023-04-22T00:00:00"/>
    <n v="71"/>
    <s v="30 bombas - Contrato 3R"/>
    <s v="Pago: 60 dias del cumplimiento -  Pedido SAP N° 1133696"/>
    <s v="en término"/>
    <x v="2"/>
    <n v="1"/>
  </r>
  <r>
    <x v="16"/>
    <x v="16"/>
    <x v="0"/>
    <x v="52"/>
    <s v="21/095 BBR"/>
    <s v="SCM-0331"/>
    <x v="1267"/>
    <n v="10135"/>
    <x v="913"/>
    <n v="54"/>
    <d v="2023-04-05T00:00:00"/>
    <s v="Salvador"/>
    <d v="2023-03-23T00:00:00"/>
    <x v="19"/>
    <d v="2023-04-01T00:00:00"/>
    <d v="2023-04-04T00:00:00"/>
    <d v="2023-04-22T00:00:00"/>
    <n v="71"/>
    <s v="5 bombas - Contrato 3R"/>
    <s v="Pago: 60 dias del cumplimiento -  Pedido SAP N° 1133697"/>
    <s v="en término"/>
    <x v="2"/>
    <n v="1"/>
  </r>
  <r>
    <x v="16"/>
    <x v="16"/>
    <x v="0"/>
    <x v="52"/>
    <s v="22/077 BBR"/>
    <s v=" 4600671981-71982-71983-71984-71985-71986-71987-71988-71989-71990"/>
    <x v="1268"/>
    <n v="644"/>
    <x v="914"/>
    <n v="91"/>
    <d v="2023-05-09T00:00:00"/>
    <s v="Salvador"/>
    <d v="2023-03-23T00:00:00"/>
    <x v="22"/>
    <d v="2023-04-01T00:00:00"/>
    <d v="2023-04-04T00:00:00"/>
    <d v="2023-04-22T00:00:00"/>
    <n v="74"/>
    <s v="2 pistones"/>
    <s v="Pago: 60 dias del cumplimiento -  Pedido SAP N° 1132880"/>
    <s v="en término"/>
    <x v="2"/>
    <n v="1"/>
  </r>
  <r>
    <x v="16"/>
    <x v="16"/>
    <x v="0"/>
    <x v="52"/>
    <s v="21/095 BBR"/>
    <s v="SCM-0331"/>
    <x v="1269"/>
    <n v="50560"/>
    <x v="915"/>
    <n v="30"/>
    <d v="2023-04-05T00:00:00"/>
    <s v="Salvador"/>
    <d v="2023-03-23T00:00:00"/>
    <x v="19"/>
    <d v="2023-04-01T00:00:00"/>
    <d v="2023-04-04T00:00:00"/>
    <d v="2023-04-22T00:00:00"/>
    <n v="47"/>
    <s v="80 pistones - Contrato 3R"/>
    <s v="Pago: 60 dias del cumplimiento -  Pedido SAP N° 1133698"/>
    <s v="en término"/>
    <x v="2"/>
    <n v="1"/>
  </r>
  <r>
    <x v="16"/>
    <x v="16"/>
    <x v="0"/>
    <x v="52"/>
    <s v="039/20 BBR"/>
    <n v="4600611934"/>
    <x v="1270"/>
    <n v="1027.01"/>
    <x v="916"/>
    <n v="62"/>
    <d v="2023-05-08T00:00:00"/>
    <s v="Salvador"/>
    <d v="2023-04-28T00:00:00"/>
    <x v="75"/>
    <d v="2023-05-06T00:00:00"/>
    <d v="2023-05-09T00:00:00"/>
    <d v="2023-05-27T00:00:00"/>
    <n v="81"/>
    <s v="1 barril"/>
    <s v="Pago: 60 dias del cumplimiento -  Pedido SAP N° 1133810"/>
    <s v="en término"/>
    <x v="10"/>
    <n v="1"/>
  </r>
  <r>
    <x v="16"/>
    <x v="16"/>
    <x v="0"/>
    <x v="52"/>
    <s v="039/20 BBR"/>
    <n v="4600611934"/>
    <x v="1271"/>
    <n v="8.42"/>
    <x v="916"/>
    <n v="70"/>
    <d v="2023-05-16T00:00:00"/>
    <s v="Salvador"/>
    <d v="2023-04-28T00:00:00"/>
    <x v="49"/>
    <d v="2023-05-06T00:00:00"/>
    <d v="2023-05-09T00:00:00"/>
    <d v="2023-05-27T00:00:00"/>
    <n v="81"/>
    <s v="1 valvula"/>
    <s v="Pago: 60 dias del cumplimiento -  Pedido SAP N° 1133809"/>
    <s v="en término"/>
    <x v="10"/>
    <n v="1"/>
  </r>
  <r>
    <x v="16"/>
    <x v="16"/>
    <x v="0"/>
    <x v="52"/>
    <s v="23/012 BBR"/>
    <m/>
    <x v="1272"/>
    <n v="16880"/>
    <x v="917"/>
    <n v="67"/>
    <d v="2023-05-16T00:00:00"/>
    <s v="Salvador"/>
    <d v="2023-04-28T00:00:00"/>
    <x v="49"/>
    <d v="2023-05-06T00:00:00"/>
    <d v="2023-05-09T00:00:00"/>
    <d v="2023-05-27T00:00:00"/>
    <n v="78"/>
    <s v="Fittings - Seacrest"/>
    <s v="Pago: 60 dias del cumplimiento -  Pedido SAP N° 1134051"/>
    <s v="en término"/>
    <x v="10"/>
    <n v="1"/>
  </r>
  <r>
    <x v="16"/>
    <x v="16"/>
    <x v="0"/>
    <x v="52"/>
    <s v="23/033 BBR"/>
    <m/>
    <x v="1273"/>
    <n v="368919.4"/>
    <x v="918"/>
    <n v="28"/>
    <d v="2023-05-15T00:00:00"/>
    <s v="Salvador"/>
    <d v="2023-04-28T00:00:00"/>
    <x v="74"/>
    <d v="2023-05-06T00:00:00"/>
    <d v="2023-05-09T00:00:00"/>
    <d v="2023-05-27T00:00:00"/>
    <n v="40"/>
    <s v="1° ENVIO - Fittings - CarmoEnergy"/>
    <s v="Pago: 60 dias del cumplimiento -  Pedido SAP N° 1136949"/>
    <s v="en término"/>
    <x v="10"/>
    <n v="1"/>
  </r>
  <r>
    <x v="16"/>
    <x v="16"/>
    <x v="0"/>
    <x v="52"/>
    <s v="23/031 BBR"/>
    <m/>
    <x v="1274"/>
    <n v="88808"/>
    <x v="919"/>
    <n v="44"/>
    <d v="2023-04-28T00:00:00"/>
    <s v="Salvador"/>
    <d v="2023-05-30T00:00:00"/>
    <x v="96"/>
    <d v="2023-06-03T00:00:00"/>
    <d v="2023-06-06T00:00:00"/>
    <d v="2023-06-23T00:00:00"/>
    <n v="100"/>
    <s v="Fittings para Taller Macau"/>
    <s v="Pago: 60 dias del cumplimiento -  Pedido SAP N° 1136107. Se entrega cuando de el OK PECOM Brasil"/>
    <s v="atrasado"/>
    <x v="3"/>
    <n v="0"/>
  </r>
  <r>
    <x v="16"/>
    <x v="16"/>
    <x v="0"/>
    <x v="52"/>
    <s v="21/095 BBR"/>
    <s v="SCM-0331"/>
    <x v="1275"/>
    <n v="101445"/>
    <x v="920"/>
    <n v="103"/>
    <d v="2023-07-24T00:00:00"/>
    <s v="Salvador"/>
    <d v="2023-05-30T00:00:00"/>
    <x v="115"/>
    <d v="2023-06-03T00:00:00"/>
    <d v="2023-06-06T00:00:00"/>
    <d v="2023-06-23T00:00:00"/>
    <n v="72"/>
    <s v="27 bombas + fittings - Contrato 3R"/>
    <s v="Pago: 60 dias del cumplimiento -  Pedido SAP N° 1136209"/>
    <s v="en término"/>
    <x v="3"/>
    <n v="1"/>
  </r>
  <r>
    <x v="16"/>
    <x v="16"/>
    <x v="0"/>
    <x v="52"/>
    <s v="21/095 BBR"/>
    <s v="SCM-0331"/>
    <x v="1276"/>
    <n v="175939"/>
    <x v="920"/>
    <n v="103"/>
    <d v="2023-07-24T00:00:00"/>
    <s v="Salvador"/>
    <d v="2023-05-30T00:00:00"/>
    <x v="115"/>
    <d v="2023-06-03T00:00:00"/>
    <d v="2023-06-06T00:00:00"/>
    <d v="2023-06-23T00:00:00"/>
    <n v="72"/>
    <s v="1° ENVIO - 32 bombas + fittings - Contrato 3R"/>
    <s v="Pago: 60 dias del cumplimiento -  Pedido SAP N° 1136212"/>
    <s v="en término"/>
    <x v="3"/>
    <n v="1"/>
  </r>
  <r>
    <x v="16"/>
    <x v="16"/>
    <x v="0"/>
    <x v="52"/>
    <s v="23/033 BBR"/>
    <m/>
    <x v="1273"/>
    <n v="61309.4"/>
    <x v="918"/>
    <n v="64"/>
    <d v="2023-06-20T00:00:00"/>
    <s v="Salvador"/>
    <d v="2023-05-30T00:00:00"/>
    <x v="34"/>
    <d v="2023-06-03T00:00:00"/>
    <d v="2023-06-06T00:00:00"/>
    <d v="2023-06-23T00:00:00"/>
    <n v="67"/>
    <s v="2° ENVIO - Fittings - CarmoEnergy"/>
    <s v="Pago: 60 dias del cumplimiento -  Pedido SAP N° 1137052"/>
    <s v="en término"/>
    <x v="3"/>
    <n v="1"/>
  </r>
  <r>
    <x v="16"/>
    <x v="16"/>
    <x v="0"/>
    <x v="52"/>
    <s v="23/033 BBR"/>
    <m/>
    <x v="1273"/>
    <n v="77513"/>
    <x v="918"/>
    <n v="94"/>
    <d v="2023-07-20T00:00:00"/>
    <s v="Salvador"/>
    <d v="2023-06-23T00:00:00"/>
    <x v="52"/>
    <d v="2023-07-08T00:00:00"/>
    <d v="2023-07-10T00:00:00"/>
    <d v="2023-07-31T00:00:00"/>
    <n v="105"/>
    <s v="3° ENVIO - Fittings - CarmoEnergy"/>
    <s v="Pago: 60 dias del cumplimiento -  Pedido SAP N° 1137054 - Según mail de V Tornado del 23/6 por asueto en el puerto se pospone para el proximo buque, del 4/7 pasa al 11/7"/>
    <s v="en término"/>
    <x v="4"/>
    <n v="1"/>
  </r>
  <r>
    <x v="16"/>
    <x v="16"/>
    <x v="0"/>
    <x v="52"/>
    <s v="039/20 BBR"/>
    <n v="4600611934"/>
    <x v="1277"/>
    <n v="61.33"/>
    <x v="921"/>
    <n v="59"/>
    <d v="2023-07-01T00:00:00"/>
    <s v="Salvador"/>
    <d v="2023-06-23T00:00:00"/>
    <x v="32"/>
    <d v="2023-07-08T00:00:00"/>
    <d v="2023-07-10T00:00:00"/>
    <d v="2023-07-31T00:00:00"/>
    <n v="89"/>
    <s v="1 nipple"/>
    <s v="Pago: 60 dias del cumplimiento -  Pedido SAP N° 1138367 - Según mail de V Tornado del 23/6 por asueto en el puerto se pospone para el proximo buque, del 4/7 pasa al 11/7"/>
    <s v="atrasado"/>
    <x v="4"/>
    <n v="0"/>
  </r>
  <r>
    <x v="16"/>
    <x v="16"/>
    <x v="0"/>
    <x v="52"/>
    <s v="039/20 BBR"/>
    <n v="4600611934"/>
    <x v="1278"/>
    <n v="1027.01"/>
    <x v="921"/>
    <n v="76"/>
    <d v="2023-07-18T00:00:00"/>
    <s v="Salvador"/>
    <d v="2023-06-23T00:00:00"/>
    <x v="49"/>
    <d v="2023-07-08T00:00:00"/>
    <d v="2023-07-10T00:00:00"/>
    <d v="2023-07-31T00:00:00"/>
    <n v="89"/>
    <s v="1 barril"/>
    <s v="Pago: 60 dias del cumplimiento -  Pedido SAP N° 1138370 - Según mail de V Tornado del 23/6 por asueto en el puerto se pospone para el proximo buque, del 4/7 pasa al 11/7"/>
    <s v="en término"/>
    <x v="4"/>
    <n v="1"/>
  </r>
  <r>
    <x v="16"/>
    <x v="16"/>
    <x v="0"/>
    <x v="52"/>
    <s v="039/20 BBR"/>
    <n v="4600611934"/>
    <x v="1279"/>
    <n v="122.66"/>
    <x v="922"/>
    <n v="91"/>
    <d v="2023-08-11T00:00:00"/>
    <s v="Salvador"/>
    <d v="2023-06-23T00:00:00"/>
    <x v="70"/>
    <d v="2023-07-08T00:00:00"/>
    <d v="2023-07-10T00:00:00"/>
    <d v="2023-07-31T00:00:00"/>
    <n v="80"/>
    <s v="2 nipples"/>
    <s v="Pago: 60 dias del cumplimiento -  Pedido SAP N° 1139184 - Según mail de V Tornado del 23/6 por asueto en el puerto se pospone para el proximo buque, del 4/7 pasa al 11/7"/>
    <s v="en término"/>
    <x v="4"/>
    <n v="1"/>
  </r>
  <r>
    <x v="16"/>
    <x v="16"/>
    <x v="0"/>
    <x v="52"/>
    <s v="039/20 BBR"/>
    <n v="4600611934"/>
    <x v="1280"/>
    <n v="3081.03"/>
    <x v="923"/>
    <n v="86"/>
    <d v="2023-08-12T00:00:00"/>
    <s v="Salvador"/>
    <d v="2023-06-23T00:00:00"/>
    <x v="88"/>
    <d v="2023-07-08T00:00:00"/>
    <d v="2023-07-10T00:00:00"/>
    <d v="2023-07-31T00:00:00"/>
    <n v="74"/>
    <s v="3 barriles"/>
    <s v="Pago: 60 dias del cumplimiento -  Pedido SAP N° 1139418 - Según mail de V Tornado del 23/6 por asueto en el puerto se pospone para el proximo buque, del 4/7 pasa al 11/7"/>
    <s v="en término"/>
    <x v="4"/>
    <n v="1"/>
  </r>
  <r>
    <x v="16"/>
    <x v="16"/>
    <x v="0"/>
    <x v="52"/>
    <s v="039/20 BBR"/>
    <n v="4600611934"/>
    <x v="1281"/>
    <n v="306.66000000000003"/>
    <x v="923"/>
    <n v="89"/>
    <d v="2023-08-15T00:00:00"/>
    <s v="Salvador"/>
    <d v="2023-06-23T00:00:00"/>
    <x v="22"/>
    <d v="2023-07-08T00:00:00"/>
    <d v="2023-07-10T00:00:00"/>
    <d v="2023-07-31T00:00:00"/>
    <n v="74"/>
    <s v="5 nipples"/>
    <s v="Pago: 60 dias del cumplimiento -  Pedido SAP N° 1139419 - Según mail de V Tornado del 23/6 por asueto en el puerto se pospone para el proximo buque, del 4/7 pasa al 11/7"/>
    <s v="en término"/>
    <x v="4"/>
    <n v="1"/>
  </r>
  <r>
    <x v="16"/>
    <x v="16"/>
    <x v="0"/>
    <x v="52"/>
    <s v="039/20 BBR"/>
    <n v="4600611934"/>
    <x v="1282"/>
    <n v="1027.01"/>
    <x v="924"/>
    <n v="89"/>
    <d v="2023-08-19T00:00:00"/>
    <s v="Salvador"/>
    <d v="2023-06-23T00:00:00"/>
    <x v="31"/>
    <d v="2023-07-08T00:00:00"/>
    <d v="2023-07-10T00:00:00"/>
    <d v="2023-07-31T00:00:00"/>
    <n v="70"/>
    <s v="1 barril"/>
    <s v="Pago: 60 dias del cumplimiento -  Pedido SAP N° 1139525 - Según mail de V Tornado del 23/6 por asueto en el puerto se pospone para el proximo buque, del 4/7 pasa al 11/7"/>
    <s v="en término"/>
    <x v="4"/>
    <n v="1"/>
  </r>
  <r>
    <x v="16"/>
    <x v="16"/>
    <x v="0"/>
    <x v="52"/>
    <s v="039/20 BBR"/>
    <n v="4600611934"/>
    <x v="1283"/>
    <n v="2054.02"/>
    <x v="925"/>
    <n v="89"/>
    <d v="2023-08-21T00:00:00"/>
    <s v="Salvador"/>
    <d v="2023-06-23T00:00:00"/>
    <x v="83"/>
    <d v="2023-07-08T00:00:00"/>
    <d v="2023-07-10T00:00:00"/>
    <d v="2023-07-31T00:00:00"/>
    <n v="68"/>
    <s v="2 barriles"/>
    <s v="Pago: 60 dias del cumplimiento -  Pedido SAP N° 1139604 - Según mail de V Tornado del 23/6 por asueto en el puerto se pospone para el proximo buque, del 4/7 pasa al 11/7"/>
    <s v="en término"/>
    <x v="4"/>
    <n v="1"/>
  </r>
  <r>
    <x v="16"/>
    <x v="16"/>
    <x v="0"/>
    <x v="52"/>
    <s v="039/20 BBR"/>
    <n v="4600611934"/>
    <x v="1284"/>
    <n v="1027.01"/>
    <x v="926"/>
    <n v="90"/>
    <d v="2023-08-24T00:00:00"/>
    <s v="Salvador"/>
    <d v="2023-06-23T00:00:00"/>
    <x v="101"/>
    <d v="2023-07-08T00:00:00"/>
    <d v="2023-07-10T00:00:00"/>
    <d v="2023-07-31T00:00:00"/>
    <n v="66"/>
    <s v="1 barril"/>
    <s v="Pago: 60 dias del cumplimiento -  Pedido SAP N° 1139798 - Según mail de V Tornado del 23/6 por asueto en el puerto se pospone para el proximo buque, del 4/7 pasa al 11/7"/>
    <s v="en término"/>
    <x v="4"/>
    <n v="1"/>
  </r>
  <r>
    <x v="16"/>
    <x v="16"/>
    <x v="0"/>
    <x v="52"/>
    <s v="21/095 BBR"/>
    <s v="SCM-0331"/>
    <x v="1276"/>
    <n v="165720"/>
    <x v="920"/>
    <n v="103"/>
    <d v="2023-07-24T00:00:00"/>
    <s v="Salvador"/>
    <d v="2023-07-14T00:00:00"/>
    <x v="75"/>
    <d v="2023-07-22T00:00:00"/>
    <d v="2023-07-27T00:00:00"/>
    <d v="2023-08-11T00:00:00"/>
    <n v="121"/>
    <s v="2° ENVIO - 40 bombas - Contrato 3R"/>
    <s v="Pago: 60 dias del cumplimiento -  Pedido SAP N° 1136262"/>
    <s v="en término"/>
    <x v="5"/>
    <n v="1"/>
  </r>
  <r>
    <x v="16"/>
    <x v="16"/>
    <x v="0"/>
    <x v="52"/>
    <s v="21/095 BBR"/>
    <s v="SCM-0331"/>
    <x v="1285"/>
    <n v="360464"/>
    <x v="921"/>
    <n v="196"/>
    <d v="2023-11-15T00:00:00"/>
    <s v="Salvador"/>
    <d v="2023-07-14T00:00:00"/>
    <x v="159"/>
    <d v="2023-07-22T00:00:00"/>
    <d v="2023-07-27T00:00:00"/>
    <d v="2023-08-11T00:00:00"/>
    <n v="100"/>
    <s v="1° ENVIO - 111 bombas - Contrato 3R"/>
    <s v="Pago: 60 dias del cumplimiento -  Pedido SAP N° 1138373"/>
    <s v="en término"/>
    <x v="5"/>
    <n v="1"/>
  </r>
  <r>
    <x v="16"/>
    <x v="16"/>
    <x v="0"/>
    <x v="52"/>
    <s v="22/077 BBR"/>
    <s v=" 4600671981-71982-71983-71984-71985-71986-71987-71988-71989-71990"/>
    <x v="1286"/>
    <n v="6440"/>
    <x v="926"/>
    <n v="99"/>
    <d v="2023-09-02T00:00:00"/>
    <s v="Salvador"/>
    <d v="2023-07-14T00:00:00"/>
    <x v="31"/>
    <d v="2023-07-22T00:00:00"/>
    <d v="2023-07-27T00:00:00"/>
    <d v="2023-08-11T00:00:00"/>
    <n v="77"/>
    <s v="20 pistones"/>
    <s v="Pago: 60 dias del cumplimiento -  Pedido SAP N° 1139787"/>
    <s v="en término"/>
    <x v="5"/>
    <n v="1"/>
  </r>
  <r>
    <x v="16"/>
    <x v="16"/>
    <x v="0"/>
    <x v="52"/>
    <s v="23/043 BBR"/>
    <m/>
    <x v="1287"/>
    <n v="4666"/>
    <x v="927"/>
    <n v="37"/>
    <d v="2023-07-12T00:00:00"/>
    <s v="Salvador"/>
    <d v="2023-07-14T00:00:00"/>
    <x v="30"/>
    <d v="2023-07-22T00:00:00"/>
    <d v="2023-07-27T00:00:00"/>
    <d v="2023-08-11T00:00:00"/>
    <n v="67"/>
    <s v="12 pistones + valvulas - 3R"/>
    <s v="Pago: 60 dias del cumplimiento -  Pedido SAP N° 1140602"/>
    <s v="atrasado"/>
    <x v="5"/>
    <n v="0"/>
  </r>
  <r>
    <x v="16"/>
    <x v="16"/>
    <x v="0"/>
    <x v="52"/>
    <s v="23/035 BBR"/>
    <m/>
    <x v="1288"/>
    <n v="2766"/>
    <x v="928"/>
    <n v="89"/>
    <d v="2023-07-30T00:00:00"/>
    <s v="Salvador"/>
    <d v="2023-08-11T00:00:00"/>
    <x v="160"/>
    <d v="2023-09-30T00:00:00"/>
    <d v="2023-10-03T00:00:00"/>
    <d v="2023-10-21T00:00:00"/>
    <n v="172"/>
    <s v="Fittings para Taller Macau (DPH)"/>
    <s v="Pago: 60 dias del cumplimiento -  Pedido SAP N° 1138375 - Se posterga la salida de planta del 4/8 al 11/8 por corte de luz en la planta y paro de la UOM. - Según mail de IN del 11/8 se cancela la expo por falta de pago de Carmo. Quedo la carga en el deposito de Bue. 11/9 habilitan la salida de la carga, se factura en Sept."/>
    <s v="atrasado"/>
    <x v="6"/>
    <n v="0"/>
  </r>
  <r>
    <x v="16"/>
    <x v="16"/>
    <x v="0"/>
    <x v="52"/>
    <s v="22/063 BBR"/>
    <m/>
    <x v="1289"/>
    <n v="116960"/>
    <x v="929"/>
    <n v="115"/>
    <d v="2023-10-15T00:00:00"/>
    <s v="Salvador"/>
    <d v="2023-08-11T00:00:00"/>
    <x v="21"/>
    <d v="2023-09-30T00:00:00"/>
    <d v="2023-10-03T00:00:00"/>
    <d v="2023-10-21T00:00:00"/>
    <n v="121"/>
    <s v="1° ENVIO - 31 bombas - Carmoenergy "/>
    <s v="Pago: 60 dias del cumplimiento -  Pedido SAP N° 1141870 - Se posterga la salida de planta del 4/8 al 11/8 por corte de luz en la planta y paro de la UOM. - Según mail de IN del 11/8 se cancela la expo por falta de pago de Carmo. Quedo la carga en el deposito de Bue. 11/9 habilitan la salida de la carga., se factura en Sept."/>
    <s v="en término"/>
    <x v="6"/>
    <n v="1"/>
  </r>
  <r>
    <x v="16"/>
    <x v="16"/>
    <x v="0"/>
    <x v="52"/>
    <s v="22/047 BBR"/>
    <m/>
    <x v="1290"/>
    <n v="15800"/>
    <x v="930"/>
    <n v="91"/>
    <d v="2023-09-26T00:00:00"/>
    <s v="Salvador"/>
    <d v="2023-08-11T00:00:00"/>
    <x v="9"/>
    <d v="2023-09-30T00:00:00"/>
    <d v="2023-10-03T00:00:00"/>
    <d v="2023-10-21T00:00:00"/>
    <n v="116"/>
    <s v="1° ENVIO - 40 COO278-78 - CarmoEnergy"/>
    <s v="Pago: 60 dias del cumplimiento -  Pedido SAP N° 1142270 - Se posterga la salida de planta del 4/8 al 11/8 por corte de luz en la planta y paro de la UOM. - Según mail de IN del 11/8 se cancela la expo por falta de pago de Carmo. Quedo la carga en el deposito de Bue. 11/9 habilitan la salida de la carga, se factura en Sept."/>
    <s v="atrasado"/>
    <x v="6"/>
    <n v="0"/>
  </r>
  <r>
    <x v="16"/>
    <x v="16"/>
    <x v="0"/>
    <x v="52"/>
    <s v="21/095 BBR"/>
    <s v="SCM-0331"/>
    <x v="1291"/>
    <n v="69130"/>
    <x v="931"/>
    <n v="125"/>
    <d v="2023-11-01T00:00:00"/>
    <s v="Salvador"/>
    <d v="2023-09-15T00:00:00"/>
    <x v="71"/>
    <d v="2023-09-30T00:00:00"/>
    <d v="2023-10-03T00:00:00"/>
    <d v="2023-10-21T00:00:00"/>
    <n v="114"/>
    <s v="1° ENVIO - 108 conj. piston + 10 pistones - 3R"/>
    <s v="Pago: 60 dias del cumplimiento -  Pedido SAP N° 1142607  - Se posterga la salida de planta por un retraso del proveedor, antes 5/9.  Se junta con la carga de Carmo que estaba en el puerto de Bue."/>
    <s v="en término"/>
    <x v="7"/>
    <n v="1"/>
  </r>
  <r>
    <x v="16"/>
    <x v="16"/>
    <x v="0"/>
    <x v="52"/>
    <s v="21/095 BBR"/>
    <s v="SCM-0331"/>
    <x v="1285"/>
    <n v="403504"/>
    <x v="921"/>
    <n v="196"/>
    <d v="2023-11-15T00:00:00"/>
    <s v="Salvador"/>
    <d v="2023-10-12T00:00:00"/>
    <x v="48"/>
    <d v="2023-10-21T00:00:00"/>
    <d v="2023-10-24T00:00:00"/>
    <d v="2023-11-11T00:00:00"/>
    <n v="192"/>
    <s v="2° ENVIO - 111 bombas - Contrato 3R"/>
    <s v="Pago: 60 dias del cumplimiento -  Pedido SAP N° 1138374 - La fecha prevista de planta era el 6/10 pero se postergo para el 12/10 por demora en la entrega de la materia prima (laton)"/>
    <s v="en término"/>
    <x v="8"/>
    <n v="1"/>
  </r>
  <r>
    <x v="16"/>
    <x v="16"/>
    <x v="0"/>
    <x v="52"/>
    <s v="21/095 BBR"/>
    <s v="SCM-0331"/>
    <x v="1291"/>
    <n v="269786"/>
    <x v="931"/>
    <n v="125"/>
    <d v="2023-11-01T00:00:00"/>
    <s v="Salvador"/>
    <d v="2023-10-27T00:00:00"/>
    <x v="30"/>
    <d v="2023-11-11T00:00:00"/>
    <d v="2023-11-14T00:00:00"/>
    <d v="2023-12-09T00:00:00"/>
    <n v="163"/>
    <s v="2° ENVIO - 288 conj. piston + 38 pistones - 3R"/>
    <s v="Pago: 60 dias del cumplimiento -  Pedido SAP N° 1142609"/>
    <s v="atrasado"/>
    <x v="8"/>
    <n v="0"/>
  </r>
  <r>
    <x v="16"/>
    <x v="16"/>
    <x v="0"/>
    <x v="52"/>
    <s v="22/063 BBR"/>
    <m/>
    <x v="1289"/>
    <n v="312089"/>
    <x v="929"/>
    <n v="115"/>
    <d v="2023-10-15T00:00:00"/>
    <s v="Salvador"/>
    <d v="2023-11-02T00:00:00"/>
    <x v="36"/>
    <d v="2023-11-11T00:00:00"/>
    <d v="2023-11-14T00:00:00"/>
    <d v="2023-12-09T00:00:00"/>
    <n v="170"/>
    <s v="2° ENVIO - 77 bombas - Carmoenergy "/>
    <s v="Pago: 60 dias del cumplimiento -  Pedido SAP N° 1141871"/>
    <s v="atrasado"/>
    <x v="9"/>
    <n v="0"/>
  </r>
  <r>
    <x v="16"/>
    <x v="16"/>
    <x v="0"/>
    <x v="52"/>
    <s v="22/047 BBR"/>
    <m/>
    <x v="1290"/>
    <n v="15800"/>
    <x v="930"/>
    <n v="91"/>
    <d v="2023-09-26T00:00:00"/>
    <s v="Salvador"/>
    <d v="2023-10-27T00:00:00"/>
    <x v="118"/>
    <d v="2023-11-11T00:00:00"/>
    <d v="2023-11-14T00:00:00"/>
    <d v="2023-12-09T00:00:00"/>
    <n v="165"/>
    <s v="2° ENVIO - 40 COO278-78 - CarmoEnergy"/>
    <s v="Pago: 60 dias del cumplimiento -  Pedido SAP N° 1142271"/>
    <s v="atrasado"/>
    <x v="8"/>
    <n v="0"/>
  </r>
  <r>
    <x v="16"/>
    <x v="16"/>
    <x v="0"/>
    <x v="52"/>
    <s v="21/095 BBR"/>
    <s v="SCM-0331"/>
    <x v="1292"/>
    <n v="43986"/>
    <x v="932"/>
    <n v="110"/>
    <d v="2023-11-22T00:00:00"/>
    <s v="Salvador"/>
    <d v="2023-10-27T00:00:00"/>
    <x v="17"/>
    <d v="2023-11-11T00:00:00"/>
    <d v="2023-11-14T00:00:00"/>
    <d v="2023-12-09T00:00:00"/>
    <n v="127"/>
    <s v="18 bombas+ pistones"/>
    <s v="Pago: 60 dias del cumplimiento -  Pedido SAP N° 1147208"/>
    <s v="en término"/>
    <x v="8"/>
    <n v="1"/>
  </r>
  <r>
    <x v="16"/>
    <x v="16"/>
    <x v="0"/>
    <x v="52"/>
    <s v="21/095 BBR"/>
    <s v="SCM-0331"/>
    <x v="1293"/>
    <n v="257870"/>
    <x v="933"/>
    <n v="202"/>
    <d v="2024-03-03T00:00:00"/>
    <s v="Salvador"/>
    <d v="2023-10-27T00:00:00"/>
    <x v="161"/>
    <d v="2023-11-11T00:00:00"/>
    <d v="2023-11-14T00:00:00"/>
    <d v="2023-12-09T00:00:00"/>
    <n v="117"/>
    <s v="1° ENVIO - 80 bombas"/>
    <s v="Pago: 60 dias del cumplimiento -  Pedido SAP N° 1147212"/>
    <s v="en término"/>
    <x v="8"/>
    <n v="1"/>
  </r>
  <r>
    <x v="16"/>
    <x v="16"/>
    <x v="0"/>
    <x v="52"/>
    <s v="23/034 BBR"/>
    <m/>
    <x v="1294"/>
    <n v="118436"/>
    <x v="934"/>
    <n v="72"/>
    <d v="2023-11-11T00:00:00"/>
    <s v="Salvador"/>
    <d v="2023-10-27T00:00:00"/>
    <x v="44"/>
    <d v="2023-11-11T00:00:00"/>
    <d v="2023-11-14T00:00:00"/>
    <d v="2023-12-09T00:00:00"/>
    <n v="100"/>
    <s v="25 bombas - Seacrest"/>
    <s v="Pago: 60 dias del cumplimiento -  Pedido SAP N° 1150445"/>
    <s v="en término"/>
    <x v="8"/>
    <n v="1"/>
  </r>
  <r>
    <x v="16"/>
    <x v="16"/>
    <x v="0"/>
    <x v="52"/>
    <s v="23/037 BBR"/>
    <m/>
    <x v="1295"/>
    <n v="30440"/>
    <x v="934"/>
    <n v="72"/>
    <d v="2023-11-11T00:00:00"/>
    <s v="Salvador"/>
    <d v="2023-10-27T00:00:00"/>
    <x v="44"/>
    <d v="2023-11-11T00:00:00"/>
    <d v="2023-11-14T00:00:00"/>
    <d v="2023-12-09T00:00:00"/>
    <n v="100"/>
    <s v="Fittings - Seacrest"/>
    <s v="Pago: 60 dias del cumplimiento -  Pedido SAP N° 1150448"/>
    <s v="en término"/>
    <x v="8"/>
    <n v="1"/>
  </r>
  <r>
    <x v="16"/>
    <x v="16"/>
    <x v="0"/>
    <x v="52"/>
    <s v="21/095 BBR"/>
    <s v="SCM-0331"/>
    <x v="1293"/>
    <n v="158750"/>
    <x v="933"/>
    <n v="202"/>
    <d v="2024-03-03T00:00:00"/>
    <s v="Salvador"/>
    <d v="2023-11-17T00:00:00"/>
    <x v="162"/>
    <d v="2023-11-25T00:00:00"/>
    <d v="2023-12-01T00:00:00"/>
    <d v="2023-12-15T00:00:00"/>
    <n v="123"/>
    <s v="2° ENVIO - 60 bombas"/>
    <s v="Pago: 60 dias del cumplimiento -  Pedido SAP N° 1147214"/>
    <s v="en término"/>
    <x v="9"/>
    <n v="1"/>
  </r>
  <r>
    <x v="16"/>
    <x v="16"/>
    <x v="0"/>
    <x v="52"/>
    <s v="23/058 BBR"/>
    <m/>
    <x v="1296"/>
    <n v="9800"/>
    <x v="935"/>
    <n v="74"/>
    <d v="2023-12-11T00:00:00"/>
    <s v="Salvador"/>
    <d v="2023-11-17T00:00:00"/>
    <x v="87"/>
    <d v="2023-11-25T00:00:00"/>
    <d v="2023-12-01T00:00:00"/>
    <d v="2023-12-15T00:00:00"/>
    <n v="78"/>
    <s v="Fittings - 3R"/>
    <s v="Pago: 60 dias del cumplimiento -  Pedido SAP N° 1149683"/>
    <s v="en término"/>
    <x v="9"/>
    <n v="1"/>
  </r>
  <r>
    <x v="16"/>
    <x v="16"/>
    <x v="0"/>
    <x v="52"/>
    <s v="23/065 BBR"/>
    <m/>
    <x v="1297"/>
    <n v="2190"/>
    <x v="936"/>
    <n v="54"/>
    <d v="2024-01-10T00:00:00"/>
    <s v="Salvador"/>
    <d v="2023-12-15T00:00:00"/>
    <x v="18"/>
    <d v="2023-12-23T00:00:00"/>
    <d v="2023-12-26T00:00:00"/>
    <d v="2024-01-13T00:00:00"/>
    <n v="57"/>
    <s v="Fittings para Taller Macau (C13)"/>
    <s v="Pago: 60 dias del cumplimiento -  Pedido SAP N° 1153489"/>
    <s v="en término"/>
    <x v="11"/>
    <n v="1"/>
  </r>
  <r>
    <x v="16"/>
    <x v="16"/>
    <x v="0"/>
    <x v="52"/>
    <s v="23/066 BBR"/>
    <n v="4500001144"/>
    <x v="1298"/>
    <n v="99290"/>
    <x v="937"/>
    <n v="176"/>
    <d v="2024-05-10T00:00:00"/>
    <s v="Salvador"/>
    <d v="2023-12-15T00:00:00"/>
    <x v="163"/>
    <d v="2023-12-23T00:00:00"/>
    <d v="2023-12-26T00:00:00"/>
    <d v="2024-01-13T00:00:00"/>
    <n v="58"/>
    <s v="30 Bombas + 30 nipples - 1° ENVIO - CARMOENERGY"/>
    <s v="Pago: 60 dias del cumplimiento -  Pedido SAP N° 1153739"/>
    <s v="en término"/>
    <x v="11"/>
    <n v="1"/>
  </r>
  <r>
    <x v="16"/>
    <x v="16"/>
    <x v="1"/>
    <x v="49"/>
    <s v="23/005 CDQ"/>
    <s v="ACUERDO ECOPETROL"/>
    <x v="1256"/>
    <n v="85582.73"/>
    <x v="907"/>
    <n v="18"/>
    <d v="2023-01-10T00:00:00"/>
    <s v="Bogota"/>
    <d v="2023-01-12T00:00:00"/>
    <x v="11"/>
    <d v="2023-01-27T00:00:00"/>
    <d v="2023-02-11T00:00:00"/>
    <d v="2023-03-02T00:00:00"/>
    <n v="69"/>
    <s v="Fittings -   LLEVA CERTIFICADOS DE CALIDAD  (quedan pendientes barriles-item 2 -cant: 3- e item 4-cant: 1)"/>
    <s v="Pedido SAP N° 1130042"/>
    <s v="atrasado"/>
    <x v="0"/>
    <n v="0"/>
  </r>
  <r>
    <x v="16"/>
    <x v="16"/>
    <x v="1"/>
    <x v="49"/>
    <s v="23/013 CDQ"/>
    <s v="ACUERDO ECOPETROL"/>
    <x v="1299"/>
    <n v="46488.53"/>
    <x v="938"/>
    <n v="29"/>
    <d v="2023-02-28T00:00:00"/>
    <s v="Bogota"/>
    <d v="2023-02-17T00:00:00"/>
    <x v="17"/>
    <d v="2023-03-02T00:00:00"/>
    <d v="2023-03-09T00:00:00"/>
    <d v="2023-04-06T00:00:00"/>
    <n v="66"/>
    <s v="Fittings -   LLEVA CERTIFICADOS DE CALIDAD  "/>
    <s v="Pedido SAP N° 1131493"/>
    <s v="en término"/>
    <x v="1"/>
    <n v="1"/>
  </r>
  <r>
    <x v="16"/>
    <x v="16"/>
    <x v="1"/>
    <x v="49"/>
    <s v="23/027 CDQ"/>
    <s v="ACUERDO ECOPETROL"/>
    <x v="1300"/>
    <n v="57902.98"/>
    <x v="939"/>
    <n v="34"/>
    <d v="2023-04-24T00:00:00"/>
    <s v="Bogota"/>
    <d v="2023-04-25T00:00:00"/>
    <x v="63"/>
    <d v="2023-05-03T00:00:00"/>
    <d v="2023-05-13T00:00:00"/>
    <d v="2023-06-12T00:00:00"/>
    <n v="83"/>
    <s v="Fittings -   LLEVA CERTIFICADOS DE CALIDAD  "/>
    <s v="Pedido SAP N° 1134653"/>
    <s v="atrasado"/>
    <x v="10"/>
    <n v="0"/>
  </r>
  <r>
    <x v="16"/>
    <x v="16"/>
    <x v="1"/>
    <x v="49"/>
    <s v="23/038 CDQ"/>
    <s v="ACUERDO ECOPETROL"/>
    <x v="1301"/>
    <n v="11872"/>
    <x v="940"/>
    <n v="51"/>
    <d v="2023-07-15T00:00:00"/>
    <s v="Bogota"/>
    <d v="2023-06-01T00:00:00"/>
    <x v="83"/>
    <d v="2023-06-15T00:00:00"/>
    <d v="2023-06-22T00:00:00"/>
    <d v="2023-07-22T00:00:00"/>
    <n v="58"/>
    <s v="1 BOMBA (PetroSantander) -   LLEVA CERTIFICADOS DE CALIDAD  "/>
    <s v="Pedido SAP N° 1139605"/>
    <s v="en término"/>
    <x v="4"/>
    <n v="1"/>
  </r>
  <r>
    <x v="16"/>
    <x v="16"/>
    <x v="1"/>
    <x v="49"/>
    <s v="23/040 CDQ"/>
    <s v="ACUERDO ECOPETROL"/>
    <x v="1302"/>
    <n v="7223.3"/>
    <x v="926"/>
    <n v="70"/>
    <d v="2023-08-04T00:00:00"/>
    <s v="Bogota"/>
    <d v="2023-08-11T00:00:00"/>
    <x v="32"/>
    <d v="2023-08-25T00:00:00"/>
    <d v="2023-09-02T00:00:00"/>
    <d v="2023-09-22T00:00:00"/>
    <n v="119"/>
    <s v="Fittings -   LLEVA CERTIFICADOS DE CALIDAD  "/>
    <s v="Pedido SAP N° 1140283 - Según mail de PTI (11/7) solicitan despachar juntas la PO 002 y 003 .  Po 002 de 28/7 pasa al 11/8, igual que PO 003  - PLUSCARGO"/>
    <s v="atrasado"/>
    <x v="6"/>
    <n v="0"/>
  </r>
  <r>
    <x v="16"/>
    <x v="16"/>
    <x v="1"/>
    <x v="49"/>
    <s v="23/046 CDQ"/>
    <s v="ACUERDO ECOPETROL"/>
    <x v="1303"/>
    <n v="132548.16"/>
    <x v="929"/>
    <n v="59"/>
    <d v="2023-08-20T00:00:00"/>
    <s v="Bogota"/>
    <d v="2023-08-11T00:00:00"/>
    <x v="74"/>
    <d v="2023-08-25T00:00:00"/>
    <d v="2023-09-02T00:00:00"/>
    <d v="2023-09-22T00:00:00"/>
    <n v="92"/>
    <s v="Fittings -   LLEVA CERTIFICADOS DE CALIDAD  "/>
    <s v="Pedido SAP N° 1141833 - PLUSCARGO"/>
    <s v="en término"/>
    <x v="6"/>
    <n v="1"/>
  </r>
  <r>
    <x v="16"/>
    <x v="16"/>
    <x v="1"/>
    <x v="49"/>
    <s v="23/048 CDQ"/>
    <s v="ACUERDO ECOPETROL"/>
    <x v="1304"/>
    <n v="164675.82999999999"/>
    <x v="941"/>
    <n v="41"/>
    <d v="2023-08-28T00:00:00"/>
    <s v="Bogota"/>
    <d v="2023-09-06T00:00:00"/>
    <x v="47"/>
    <d v="2023-09-13T00:00:00"/>
    <d v="2023-09-23T00:00:00"/>
    <d v="2023-10-19T00:00:00"/>
    <n v="93"/>
    <s v="Fittings -   LLEVA CERTIFICADOS DE CALIDAD  "/>
    <s v="Pedido SAP N° 1144008 - Se posterga la salida de planta por un retraso del proveedor, antes 29/8."/>
    <s v="atrasado"/>
    <x v="7"/>
    <n v="0"/>
  </r>
  <r>
    <x v="16"/>
    <x v="16"/>
    <x v="1"/>
    <x v="49"/>
    <s v="23/057 CDQ"/>
    <s v="ACUERDO ECOPETROL"/>
    <x v="1305"/>
    <n v="51802.81"/>
    <x v="942"/>
    <n v="15"/>
    <d v="2023-09-20T00:00:00"/>
    <s v="Bogota"/>
    <d v="2023-09-22T00:00:00"/>
    <x v="11"/>
    <d v="2023-10-06T00:00:00"/>
    <d v="2023-10-16T00:00:00"/>
    <d v="2023-11-09T00:00:00"/>
    <n v="65"/>
    <s v="Fittings -   LLEVA CERTIFICADOS DE CALIDAD  "/>
    <s v="Pedido SAP N° 1147543"/>
    <s v="atrasado"/>
    <x v="7"/>
    <n v="0"/>
  </r>
  <r>
    <x v="16"/>
    <x v="16"/>
    <x v="1"/>
    <x v="49"/>
    <s v="23/062 CDQ"/>
    <s v="ACUERDO ECOPETROL"/>
    <x v="1306"/>
    <n v="104983.21"/>
    <x v="943"/>
    <n v="29"/>
    <d v="2023-12-01T00:00:00"/>
    <s v="Bogota"/>
    <d v="2023-11-24T00:00:00"/>
    <x v="64"/>
    <d v="2023-12-01T00:00:00"/>
    <d v="2023-12-16T00:00:00"/>
    <d v="2024-01-17T00:00:00"/>
    <n v="76"/>
    <s v="Fittings -   LLEVA CERTIFICADOS DE CALIDAD  "/>
    <s v="Pedido SAP N° 1151827 - Según maild el 29/11 se cancel el buque Palena del 9/12 y pasa al siguiente del 16/12 - Maipo"/>
    <s v="en término"/>
    <x v="9"/>
    <n v="1"/>
  </r>
  <r>
    <x v="16"/>
    <x v="16"/>
    <x v="6"/>
    <x v="53"/>
    <s v="22/036 YZZ"/>
    <m/>
    <x v="1307"/>
    <s v="1800            (sin costo)"/>
    <x v="944"/>
    <m/>
    <s v="Abril"/>
    <s v="Buenos Aires"/>
    <d v="2023-04-05T00:00:00"/>
    <x v="164"/>
    <m/>
    <d v="2023-04-14T00:00:00"/>
    <d v="2023-04-19T00:00:00"/>
    <n v="34"/>
    <s v="10 pistones"/>
    <s v="Estos pistones se envian sin valor comercial y sin PO - Se envian para reemplazar los que se enviaron erroneamente."/>
    <s v=""/>
    <x v="10"/>
    <n v="0"/>
  </r>
  <r>
    <x v="16"/>
    <x v="16"/>
    <x v="6"/>
    <x v="54"/>
    <s v="22/057 YZZ"/>
    <m/>
    <x v="1308"/>
    <n v="42945"/>
    <x v="945"/>
    <n v="130"/>
    <d v="2023-06-21T00:00:00"/>
    <s v="Buenos Aires"/>
    <d v="2023-06-09T00:00:00"/>
    <x v="8"/>
    <d v="2023-06-21T00:00:00"/>
    <d v="2023-07-09T00:00:00"/>
    <d v="2023-08-23T00:00:00"/>
    <n v="173"/>
    <s v="18 bombas"/>
    <s v="Anticipo 50% SAP N° 1133606 - U$ 21.472,50  (Pago: 28/3/23)   - Anticipo 50% SAP N° 1138559 - U$ 21.472,50 (Pago: 6/6/23) -   Pedido SAP N°  1135159 (orden de compra) - Según mail del 23/6 se reprograma el buque al siguente, del 29/6 pasa al 7/7"/>
    <s v="atrasado"/>
    <x v="4"/>
    <n v="0"/>
  </r>
  <r>
    <x v="16"/>
    <x v="16"/>
    <x v="12"/>
    <x v="50"/>
    <s v="22/085 GUN"/>
    <m/>
    <x v="1309"/>
    <n v="8481.6"/>
    <x v="946"/>
    <n v="100"/>
    <d v="2023-04-15T00:00:00"/>
    <s v="Buenos Aires"/>
    <d v="2023-06-12T00:00:00"/>
    <x v="165"/>
    <d v="2023-06-29T00:00:00"/>
    <d v="2023-07-01T00:00:00"/>
    <d v="2023-07-03T00:00:00"/>
    <n v="179"/>
    <s v="Fittings"/>
    <s v="Pedido SAP N° 1129817 (1° ANTICIPO u$ 4240,80) Pago: 2/5/23  - SAP N° 1130363 -80072549 (2° ANTICIPO u$ 4240,80) Pago: 12/6/23 - SAP N° 1130360 (orden de compra)  - FORWARDER: INES ARZUBI"/>
    <s v="atrasado"/>
    <x v="4"/>
    <n v="0"/>
  </r>
  <r>
    <x v="16"/>
    <x v="16"/>
    <x v="12"/>
    <x v="50"/>
    <s v="22/016 GUN"/>
    <m/>
    <x v="1257"/>
    <n v="57773"/>
    <x v="947"/>
    <n v="130"/>
    <d v="2023-03-17T00:00:00"/>
    <s v="Buenos Aires"/>
    <d v="2023-01-12T00:00:00"/>
    <x v="105"/>
    <d v="2023-04-11T00:00:00"/>
    <d v="2023-04-18T00:00:00"/>
    <d v="2023-06-02T00:00:00"/>
    <n v="207"/>
    <s v="17 bombas"/>
    <s v="La PO llego el 16/4 pero recien se hizo el 1° pago el 7/11 por lo tanto desde este dia se empieza con la fabricacion y contar el plazo de entrega.  Anticipo 20% SAP N° 1122412 - U$ 11554,60 (1116570 ANULADO) Pago: 7/11 -  Antcipo 30% SAP N° 1127686- U$ 17331,90 - Pago: 30/1/23 U$ 17.286,90 -     Anticipo 50% SAP N° 1130358 (80072530) - U$ 28.886,48 - Pago 10/10/23 - Pedido SAP N° 1116670.  Despues de varios dias de espera del contacto con el forwarder, se contacta y nos pasa fecha de buque.  Segun mail del 10/4 por falta de espacio se pasa al sig. buque (del Palak 11/4 al Hungary 18/4)"/>
    <s v="atrasado"/>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7024DA-85A6-480B-BD72-6FCB09BDBEA8}" name="Tabla dinámica1" cacheId="1" applyNumberFormats="0" applyBorderFormats="0" applyFontFormats="0" applyPatternFormats="0" applyAlignmentFormats="0" applyWidthHeightFormats="1" dataCaption="Datos" updatedVersion="8" minRefreshableVersion="3" showMemberPropertyTips="0" useAutoFormatting="1" itemPrintTitles="1" createdVersion="6" indent="0" compact="0" compactData="0" gridDropZones="1">
  <location ref="B4:F221" firstHeaderRow="2" firstDataRow="2" firstDataCol="4" rowPageCount="2" colPageCount="1"/>
  <pivotFields count="23">
    <pivotField axis="axisRow" compact="0" outline="0" subtotalTop="0" showAll="0" includeNewItemsInFilter="1">
      <items count="18">
        <item x="0"/>
        <item x="1"/>
        <item x="2"/>
        <item x="3"/>
        <item x="4"/>
        <item x="5"/>
        <item x="6"/>
        <item x="7"/>
        <item x="8"/>
        <item x="9"/>
        <item x="10"/>
        <item x="11"/>
        <item x="12"/>
        <item x="13"/>
        <item x="14"/>
        <item x="15"/>
        <item x="16"/>
        <item t="default"/>
      </items>
    </pivotField>
    <pivotField compact="0" outline="0" subtotalTop="0" showAll="0" includeNewItemsInFilter="1"/>
    <pivotField axis="axisPage" compact="0" outline="0" subtotalTop="0" showAll="0" includeNewItemsInFilter="1">
      <items count="22">
        <item x="17"/>
        <item x="11"/>
        <item x="14"/>
        <item x="8"/>
        <item x="0"/>
        <item x="10"/>
        <item x="1"/>
        <item x="3"/>
        <item x="12"/>
        <item x="7"/>
        <item x="6"/>
        <item x="13"/>
        <item x="15"/>
        <item x="4"/>
        <item x="9"/>
        <item x="5"/>
        <item x="18"/>
        <item x="16"/>
        <item x="2"/>
        <item x="19"/>
        <item x="20"/>
        <item t="default"/>
      </items>
    </pivotField>
    <pivotField axis="axisPage" compact="0" outline="0" subtotalTop="0" showAll="0" includeNewItemsInFilter="1">
      <items count="57">
        <item x="17"/>
        <item x="34"/>
        <item x="29"/>
        <item x="21"/>
        <item x="40"/>
        <item x="39"/>
        <item x="13"/>
        <item x="3"/>
        <item x="0"/>
        <item x="28"/>
        <item x="31"/>
        <item x="19"/>
        <item x="12"/>
        <item x="18"/>
        <item x="15"/>
        <item x="36"/>
        <item x="16"/>
        <item x="7"/>
        <item x="11"/>
        <item x="33"/>
        <item x="41"/>
        <item x="30"/>
        <item x="37"/>
        <item x="25"/>
        <item x="1"/>
        <item x="43"/>
        <item x="5"/>
        <item x="2"/>
        <item x="6"/>
        <item x="26"/>
        <item x="32"/>
        <item x="27"/>
        <item x="22"/>
        <item x="8"/>
        <item x="35"/>
        <item x="10"/>
        <item x="24"/>
        <item x="9"/>
        <item x="4"/>
        <item x="38"/>
        <item x="23"/>
        <item x="20"/>
        <item x="14"/>
        <item x="42"/>
        <item x="44"/>
        <item x="45"/>
        <item x="46"/>
        <item x="47"/>
        <item x="48"/>
        <item x="49"/>
        <item x="50"/>
        <item x="51"/>
        <item x="52"/>
        <item x="53"/>
        <item x="54"/>
        <item m="1" x="55"/>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312">
        <item sd="0" x="161"/>
        <item sd="0" x="504"/>
        <item sd="0" x="72"/>
        <item sd="0" x="73"/>
        <item sd="0" x="74"/>
        <item sd="0" x="776"/>
        <item sd="0" x="75"/>
        <item sd="0" x="76"/>
        <item sd="0" x="165"/>
        <item sd="0" x="166"/>
        <item sd="0" x="167"/>
        <item sd="0" x="168"/>
        <item sd="0" x="240"/>
        <item sd="0" x="241"/>
        <item sd="0" x="242"/>
        <item sd="0" x="243"/>
        <item sd="0" x="245"/>
        <item sd="0" x="244"/>
        <item sd="0" x="277"/>
        <item sd="0" x="278"/>
        <item sd="0" x="279"/>
        <item sd="0" x="280"/>
        <item sd="0" x="397"/>
        <item sd="0" x="398"/>
        <item sd="0" x="399"/>
        <item sd="0" x="400"/>
        <item sd="0" x="401"/>
        <item sd="0" x="402"/>
        <item sd="0" x="810"/>
        <item sd="0" x="628"/>
        <item sd="0" x="629"/>
        <item sd="0" x="730"/>
        <item sd="0" x="778"/>
        <item sd="0" x="253"/>
        <item sd="0" x="143"/>
        <item sd="0" x="229"/>
        <item sd="0" x="230"/>
        <item sd="0" x="231"/>
        <item sd="0" x="232"/>
        <item sd="0" x="290"/>
        <item sd="0" x="289"/>
        <item sd="0" x="291"/>
        <item sd="0" x="292"/>
        <item sd="0" x="293"/>
        <item sd="0" x="295"/>
        <item sd="0" x="296"/>
        <item sd="0" x="297"/>
        <item sd="0" x="298"/>
        <item sd="0" x="299"/>
        <item sd="0" x="405"/>
        <item sd="0" x="406"/>
        <item sd="0" x="408"/>
        <item sd="0" x="407"/>
        <item sd="0" x="410"/>
        <item sd="0" x="409"/>
        <item sd="0" x="413"/>
        <item sd="0" x="507"/>
        <item sd="0" x="508"/>
        <item sd="0" x="510"/>
        <item sd="0" x="511"/>
        <item sd="0" x="512"/>
        <item sd="0" x="513"/>
        <item sd="0" x="634"/>
        <item sd="0" x="636"/>
        <item sd="0" x="635"/>
        <item sd="0" x="638"/>
        <item sd="0" x="639"/>
        <item sd="0" x="734"/>
        <item sd="0" x="736"/>
        <item sd="0" x="735"/>
        <item sd="0" x="737"/>
        <item sd="0" x="739"/>
        <item sd="0" x="740"/>
        <item sd="0" x="742"/>
        <item sd="0" x="791"/>
        <item sd="0" x="794"/>
        <item sd="0" x="301"/>
        <item sd="0" x="474"/>
        <item sd="0" x="3"/>
        <item sd="0" x="5"/>
        <item sd="0" x="0"/>
        <item sd="0" x="2"/>
        <item sd="0" x="6"/>
        <item sd="0" x="7"/>
        <item sd="0" x="11"/>
        <item sd="0" x="24"/>
        <item sd="0" x="12"/>
        <item sd="0" x="28"/>
        <item sd="0" x="19"/>
        <item sd="0" x="25"/>
        <item sd="0" x="18"/>
        <item sd="0" x="44"/>
        <item sd="0" x="40"/>
        <item sd="0" x="20"/>
        <item sd="0" x="29"/>
        <item sd="0" x="39"/>
        <item sd="0" x="45"/>
        <item sd="0" x="38"/>
        <item sd="0" x="35"/>
        <item sd="0" x="36"/>
        <item sd="0" x="48"/>
        <item sd="0" x="37"/>
        <item sd="0" x="46"/>
        <item sd="0" x="41"/>
        <item sd="0" x="87"/>
        <item sd="0" x="88"/>
        <item sd="0" x="58"/>
        <item sd="0" x="93"/>
        <item sd="0" x="94"/>
        <item sd="0" x="95"/>
        <item sd="0" x="157"/>
        <item sd="0" x="102"/>
        <item sd="0" x="103"/>
        <item sd="0" x="104"/>
        <item sd="0" x="107"/>
        <item sd="0" x="110"/>
        <item sd="0" x="108"/>
        <item sd="0" x="111"/>
        <item sd="0" x="112"/>
        <item sd="0" x="113"/>
        <item sd="0" x="126"/>
        <item sd="0" x="123"/>
        <item sd="0" x="137"/>
        <item sd="0" x="129"/>
        <item sd="0" x="128"/>
        <item sd="0" x="130"/>
        <item sd="0" x="132"/>
        <item sd="0" x="133"/>
        <item sd="0" x="138"/>
        <item sd="0" x="136"/>
        <item sd="0" x="140"/>
        <item sd="0" x="141"/>
        <item sd="0" x="139"/>
        <item sd="0" x="158"/>
        <item sd="0" x="176"/>
        <item sd="0" x="177"/>
        <item sd="0" x="178"/>
        <item sd="0" x="181"/>
        <item sd="0" x="182"/>
        <item sd="0" x="184"/>
        <item sd="0" x="187"/>
        <item sd="0" x="183"/>
        <item sd="0" x="188"/>
        <item sd="0" x="190"/>
        <item sd="0" x="189"/>
        <item sd="0" x="191"/>
        <item sd="0" x="193"/>
        <item sd="0" x="194"/>
        <item sd="0" x="195"/>
        <item sd="0" x="200"/>
        <item sd="0" x="201"/>
        <item sd="0" x="202"/>
        <item sd="0" x="203"/>
        <item sd="0" x="204"/>
        <item sd="0" x="208"/>
        <item sd="0" x="209"/>
        <item sd="0" x="210"/>
        <item sd="0" x="215"/>
        <item sd="0" x="217"/>
        <item sd="0" x="218"/>
        <item sd="0" x="219"/>
        <item sd="0" x="220"/>
        <item sd="0" x="221"/>
        <item sd="0" x="222"/>
        <item sd="0" x="223"/>
        <item sd="0" x="303"/>
        <item sd="0" x="304"/>
        <item sd="0" x="306"/>
        <item sd="0" x="305"/>
        <item sd="0" x="307"/>
        <item sd="0" x="314"/>
        <item sd="0" x="327"/>
        <item sd="0" x="320"/>
        <item sd="0" x="346"/>
        <item sd="0" x="342"/>
        <item sd="0" x="339"/>
        <item sd="0" x="348"/>
        <item sd="0" x="354"/>
        <item sd="0" x="355"/>
        <item sd="0" x="349"/>
        <item sd="0" x="350"/>
        <item sd="0" x="356"/>
        <item sd="0" x="351"/>
        <item sd="0" x="352"/>
        <item sd="0" x="361"/>
        <item sd="0" x="362"/>
        <item sd="0" x="363"/>
        <item sd="0" x="357"/>
        <item sd="0" x="364"/>
        <item sd="0" x="370"/>
        <item sd="0" x="371"/>
        <item sd="0" x="465"/>
        <item sd="0" x="466"/>
        <item sd="0" x="435"/>
        <item sd="0" x="467"/>
        <item sd="0" x="423"/>
        <item sd="0" x="437"/>
        <item sd="0" x="436"/>
        <item sd="0" x="468"/>
        <item sd="0" x="469"/>
        <item sd="0" x="470"/>
        <item sd="0" x="473"/>
        <item sd="0" x="471"/>
        <item sd="0" x="475"/>
        <item sd="0" x="478"/>
        <item sd="0" x="477"/>
        <item sd="0" x="479"/>
        <item sd="0" x="480"/>
        <item sd="0" x="482"/>
        <item sd="0" x="487"/>
        <item sd="0" x="523"/>
        <item sd="0" x="527"/>
        <item sd="0" x="537"/>
        <item sd="0" x="530"/>
        <item sd="0" x="534"/>
        <item sd="0" x="538"/>
        <item sd="0" x="547"/>
        <item sd="0" x="559"/>
        <item sd="0" x="584"/>
        <item sd="0" x="578"/>
        <item sd="0" x="585"/>
        <item sd="0" x="587"/>
        <item sd="0" x="580"/>
        <item sd="0" x="581"/>
        <item sd="0" x="582"/>
        <item sd="0" x="651"/>
        <item sd="0" x="659"/>
        <item sd="0" x="660"/>
        <item sd="0" x="683"/>
        <item sd="0" x="673"/>
        <item sd="0" x="674"/>
        <item sd="0" x="684"/>
        <item sd="0" x="698"/>
        <item sd="0" x="708"/>
        <item sd="0" x="699"/>
        <item sd="0" x="702"/>
        <item sd="0" x="709"/>
        <item sd="0" x="710"/>
        <item sd="0" x="711"/>
        <item sd="0" x="743"/>
        <item sd="0" x="752"/>
        <item sd="0" x="744"/>
        <item sd="0" x="750"/>
        <item sd="0" x="753"/>
        <item sd="0" x="768"/>
        <item sd="0" x="733"/>
        <item sd="0" x="769"/>
        <item sd="0" x="770"/>
        <item sd="0" x="771"/>
        <item sd="0" x="772"/>
        <item sd="0" x="773"/>
        <item sd="0" x="774"/>
        <item sd="0" x="799"/>
        <item sd="0" x="801"/>
        <item sd="0" x="800"/>
        <item sd="0" x="802"/>
        <item sd="0" x="803"/>
        <item sd="0" x="805"/>
        <item sd="0" x="804"/>
        <item sd="0" x="806"/>
        <item sd="0" x="807"/>
        <item sd="0" x="808"/>
        <item sd="0" x="809"/>
        <item sd="0" x="812"/>
        <item sd="0" x="811"/>
        <item sd="0" x="813"/>
        <item sd="0" x="814"/>
        <item sd="0" x="815"/>
        <item sd="0" x="817"/>
        <item sd="0" x="816"/>
        <item sd="0" x="818"/>
        <item sd="0" x="819"/>
        <item sd="0" x="820"/>
        <item sd="0" x="66"/>
        <item sd="0" x="67"/>
        <item sd="0" x="631"/>
        <item sd="0" x="131"/>
        <item sd="0" x="599"/>
        <item sd="0" x="489"/>
        <item sd="0" x="797"/>
        <item sd="0" x="798"/>
        <item sd="0" x="781"/>
        <item sd="0" x="1"/>
        <item sd="0" x="4"/>
        <item sd="0" x="250"/>
        <item sd="0" x="262"/>
        <item sd="0" x="272"/>
        <item sd="0" x="388"/>
        <item sd="0" x="391"/>
        <item sd="0" x="488"/>
        <item sd="0" x="612"/>
        <item sd="0" x="610"/>
        <item sd="0" x="615"/>
        <item sd="0" x="617"/>
        <item sd="0" x="618"/>
        <item sd="0" x="623"/>
        <item sd="0" x="624"/>
        <item sd="0" x="625"/>
        <item sd="0" x="721"/>
        <item sd="0" x="719"/>
        <item sd="0" x="722"/>
        <item sd="0" x="723"/>
        <item sd="0" x="724"/>
        <item sd="0" x="726"/>
        <item sd="0" x="779"/>
        <item sd="0" x="780"/>
        <item sd="0" x="782"/>
        <item sd="0" x="783"/>
        <item sd="0" x="784"/>
        <item sd="0" x="785"/>
        <item sd="0" x="8"/>
        <item sd="0" x="9"/>
        <item sd="0" x="30"/>
        <item sd="0" x="10"/>
        <item sd="0" x="15"/>
        <item sd="0" x="16"/>
        <item sd="0" x="17"/>
        <item sd="0" x="27"/>
        <item sd="0" x="14"/>
        <item sd="0" x="13"/>
        <item sd="0" x="21"/>
        <item sd="0" x="22"/>
        <item sd="0" x="23"/>
        <item sd="0" x="42"/>
        <item sd="0" x="56"/>
        <item sd="0" x="114"/>
        <item sd="0" x="34"/>
        <item sd="0" x="33"/>
        <item sd="0" x="26"/>
        <item sd="0" x="47"/>
        <item sd="0" x="31"/>
        <item sd="0" x="32"/>
        <item sd="0" x="51"/>
        <item sd="0" x="43"/>
        <item sd="0" x="101"/>
        <item sd="0" x="99"/>
        <item sd="0" x="49"/>
        <item sd="0" x="50"/>
        <item sd="0" x="92"/>
        <item sd="0" x="57"/>
        <item sd="0" x="54"/>
        <item sd="0" x="53"/>
        <item sd="0" x="91"/>
        <item sd="0" x="55"/>
        <item sd="0" x="82"/>
        <item sd="0" x="83"/>
        <item sd="0" x="52"/>
        <item sd="0" x="84"/>
        <item sd="0" x="86"/>
        <item sd="0" x="85"/>
        <item sd="0" x="89"/>
        <item sd="0" x="90"/>
        <item sd="0" x="97"/>
        <item sd="0" x="96"/>
        <item sd="0" x="100"/>
        <item sd="0" x="98"/>
        <item sd="0" x="106"/>
        <item sd="0" x="105"/>
        <item sd="0" x="116"/>
        <item sd="0" x="118"/>
        <item sd="0" x="115"/>
        <item sd="0" x="109"/>
        <item sd="0" x="119"/>
        <item sd="0" x="117"/>
        <item sd="0" x="121"/>
        <item sd="0" x="120"/>
        <item sd="0" x="125"/>
        <item sd="0" x="122"/>
        <item sd="0" x="124"/>
        <item sd="0" x="134"/>
        <item sd="0" x="127"/>
        <item sd="0" x="135"/>
        <item sd="0" x="174"/>
        <item sd="0" x="175"/>
        <item sd="0" x="185"/>
        <item sd="0" x="179"/>
        <item sd="0" x="180"/>
        <item sd="0" x="186"/>
        <item sd="0" x="192"/>
        <item sd="0" x="198"/>
        <item sd="0" x="199"/>
        <item sd="0" x="196"/>
        <item sd="0" x="197"/>
        <item sd="0" x="206"/>
        <item sd="0" x="205"/>
        <item sd="0" x="207"/>
        <item sd="0" x="211"/>
        <item sd="0" x="212"/>
        <item sd="0" x="214"/>
        <item sd="0" x="216"/>
        <item sd="0" x="213"/>
        <item sd="0" x="224"/>
        <item sd="0" x="225"/>
        <item sd="0" x="228"/>
        <item sd="0" x="227"/>
        <item sd="0" x="226"/>
        <item sd="0" x="302"/>
        <item sd="0" x="308"/>
        <item sd="0" x="311"/>
        <item sd="0" x="312"/>
        <item sd="0" x="313"/>
        <item sd="0" x="309"/>
        <item sd="0" x="315"/>
        <item sd="0" x="318"/>
        <item sd="0" x="319"/>
        <item sd="0" x="322"/>
        <item sd="0" x="321"/>
        <item sd="0" x="310"/>
        <item sd="0" x="317"/>
        <item sd="0" x="316"/>
        <item sd="0" x="328"/>
        <item sd="0" x="323"/>
        <item sd="0" x="329"/>
        <item sd="0" x="326"/>
        <item sd="0" x="324"/>
        <item sd="0" x="335"/>
        <item sd="0" x="325"/>
        <item sd="0" x="336"/>
        <item sd="0" x="333"/>
        <item sd="0" x="330"/>
        <item sd="0" x="332"/>
        <item sd="0" x="334"/>
        <item sd="0" x="345"/>
        <item sd="0" x="343"/>
        <item sd="0" x="340"/>
        <item sd="0" x="338"/>
        <item sd="0" x="331"/>
        <item sd="0" x="337"/>
        <item sd="0" x="341"/>
        <item sd="0" x="358"/>
        <item sd="0" x="344"/>
        <item sd="0" x="353"/>
        <item sd="0" x="347"/>
        <item sd="0" x="369"/>
        <item sd="0" x="359"/>
        <item sd="0" x="365"/>
        <item sd="0" x="360"/>
        <item sd="0" x="366"/>
        <item sd="0" x="367"/>
        <item sd="0" x="379"/>
        <item sd="0" x="378"/>
        <item sd="0" x="372"/>
        <item sd="0" x="373"/>
        <item sd="0" x="376"/>
        <item sd="0" x="374"/>
        <item sd="0" x="375"/>
        <item sd="0" x="417"/>
        <item sd="0" x="418"/>
        <item sd="0" x="377"/>
        <item sd="0" x="368"/>
        <item sd="0" x="415"/>
        <item sd="0" x="433"/>
        <item sd="0" x="432"/>
        <item sd="0" x="416"/>
        <item sd="0" x="421"/>
        <item sd="0" x="419"/>
        <item sd="0" x="420"/>
        <item sd="0" x="434"/>
        <item sd="0" x="425"/>
        <item sd="0" x="424"/>
        <item sd="0" x="422"/>
        <item sd="0" x="429"/>
        <item sd="0" x="426"/>
        <item sd="0" x="428"/>
        <item sd="0" x="439"/>
        <item sd="0" x="430"/>
        <item sd="0" x="427"/>
        <item sd="0" x="440"/>
        <item sd="0" x="431"/>
        <item sd="0" x="438"/>
        <item sd="0" x="441"/>
        <item sd="0" x="442"/>
        <item sd="0" x="443"/>
        <item sd="0" x="446"/>
        <item sd="0" x="445"/>
        <item sd="0" x="448"/>
        <item sd="0" x="449"/>
        <item sd="0" x="444"/>
        <item sd="0" x="447"/>
        <item sd="0" x="481"/>
        <item sd="0" x="454"/>
        <item sd="0" x="452"/>
        <item sd="0" x="453"/>
        <item sd="0" x="450"/>
        <item sd="0" x="451"/>
        <item sd="0" x="472"/>
        <item sd="0" x="456"/>
        <item sd="0" x="458"/>
        <item sd="0" x="455"/>
        <item sd="0" x="457"/>
        <item sd="0" x="476"/>
        <item sd="0" x="461"/>
        <item sd="0" x="459"/>
        <item sd="0" x="460"/>
        <item sd="0" x="462"/>
        <item sd="0" x="483"/>
        <item sd="0" x="463"/>
        <item sd="0" x="464"/>
        <item sd="0" x="485"/>
        <item sd="0" x="484"/>
        <item sd="0" x="486"/>
        <item sd="0" x="526"/>
        <item sd="0" x="516"/>
        <item sd="0" x="522"/>
        <item sd="0" x="531"/>
        <item sd="0" x="518"/>
        <item sd="0" x="517"/>
        <item sd="0" x="515"/>
        <item sd="0" x="519"/>
        <item sd="0" x="524"/>
        <item sd="0" x="525"/>
        <item sd="0" x="532"/>
        <item sd="0" x="520"/>
        <item sd="0" x="521"/>
        <item sd="0" x="535"/>
        <item sd="0" x="536"/>
        <item sd="0" x="528"/>
        <item sd="0" x="529"/>
        <item sd="0" x="541"/>
        <item sd="0" x="555"/>
        <item sd="0" x="543"/>
        <item sd="0" x="545"/>
        <item sd="0" x="544"/>
        <item sd="0" x="539"/>
        <item sd="0" x="540"/>
        <item sd="0" x="550"/>
        <item sd="0" x="548"/>
        <item sd="0" x="546"/>
        <item sd="0" x="542"/>
        <item sd="0" x="554"/>
        <item sd="0" x="551"/>
        <item sd="0" x="552"/>
        <item sd="0" x="553"/>
        <item sd="0" x="558"/>
        <item sd="0" x="549"/>
        <item sd="0" x="560"/>
        <item sd="0" x="567"/>
        <item sd="0" x="565"/>
        <item sd="0" x="561"/>
        <item sd="0" x="556"/>
        <item sd="0" x="557"/>
        <item sd="0" x="564"/>
        <item sd="0" x="566"/>
        <item sd="0" x="562"/>
        <item sd="0" x="569"/>
        <item sd="0" x="563"/>
        <item sd="0" x="573"/>
        <item sd="0" x="572"/>
        <item sd="0" x="577"/>
        <item sd="0" x="570"/>
        <item sd="0" x="568"/>
        <item sd="0" x="571"/>
        <item sd="0" x="589"/>
        <item sd="0" x="574"/>
        <item sd="0" x="575"/>
        <item sd="0" x="586"/>
        <item sd="0" x="576"/>
        <item sd="0" x="588"/>
        <item sd="0" x="591"/>
        <item sd="0" x="590"/>
        <item sd="0" x="595"/>
        <item sd="0" x="642"/>
        <item sd="0" x="593"/>
        <item sd="0" x="579"/>
        <item sd="0" x="592"/>
        <item sd="0" x="594"/>
        <item sd="0" x="597"/>
        <item sd="0" x="596"/>
        <item sd="0" x="598"/>
        <item sd="0" x="600"/>
        <item sd="0" x="641"/>
        <item sd="0" x="601"/>
        <item sd="0" x="602"/>
        <item sd="0" x="643"/>
        <item sd="0" x="644"/>
        <item sd="0" x="646"/>
        <item sd="0" x="656"/>
        <item sd="0" x="645"/>
        <item sd="0" x="603"/>
        <item sd="0" x="604"/>
        <item sd="0" x="657"/>
        <item sd="0" x="650"/>
        <item sd="0" x="652"/>
        <item sd="0" x="653"/>
        <item sd="0" x="647"/>
        <item sd="0" x="648"/>
        <item sd="0" x="649"/>
        <item sd="0" x="663"/>
        <item sd="0" x="658"/>
        <item sd="0" x="662"/>
        <item sd="0" x="654"/>
        <item sd="0" x="655"/>
        <item sd="0" x="661"/>
        <item sd="0" x="664"/>
        <item sd="0" x="665"/>
        <item sd="0" x="666"/>
        <item sd="0" x="667"/>
        <item sd="0" x="668"/>
        <item sd="0" x="669"/>
        <item sd="0" x="671"/>
        <item sd="0" x="670"/>
        <item sd="0" x="679"/>
        <item sd="0" x="677"/>
        <item sd="0" x="675"/>
        <item sd="0" x="672"/>
        <item sd="0" x="680"/>
        <item sd="0" x="691"/>
        <item sd="0" x="681"/>
        <item sd="0" x="682"/>
        <item sd="0" x="678"/>
        <item sd="0" x="689"/>
        <item sd="0" x="685"/>
        <item sd="0" x="687"/>
        <item sd="0" x="688"/>
        <item sd="0" x="690"/>
        <item sd="0" x="686"/>
        <item sd="0" x="692"/>
        <item sd="0" x="694"/>
        <item sd="0" x="696"/>
        <item sd="0" x="695"/>
        <item sd="0" x="693"/>
        <item sd="0" x="700"/>
        <item sd="0" x="697"/>
        <item sd="0" x="701"/>
        <item sd="0" x="703"/>
        <item sd="0" x="704"/>
        <item sd="0" x="707"/>
        <item sd="0" x="705"/>
        <item sd="0" x="706"/>
        <item sd="0" x="751"/>
        <item sd="0" x="745"/>
        <item sd="0" x="748"/>
        <item sd="0" x="749"/>
        <item sd="0" x="747"/>
        <item sd="0" x="758"/>
        <item sd="0" x="746"/>
        <item sd="0" x="764"/>
        <item sd="0" x="759"/>
        <item sd="0" x="755"/>
        <item sd="0" x="762"/>
        <item sd="0" x="754"/>
        <item sd="0" x="761"/>
        <item sd="0" x="756"/>
        <item sd="0" x="760"/>
        <item sd="0" x="765"/>
        <item sd="0" x="767"/>
        <item sd="0" x="757"/>
        <item sd="0" x="763"/>
        <item sd="0" x="766"/>
        <item sd="0" x="676"/>
        <item sd="0" x="287"/>
        <item sd="0" x="792"/>
        <item sd="0" x="403"/>
        <item sd="0" x="412"/>
        <item sd="0" x="630"/>
        <item sd="0" x="288"/>
        <item sd="0" x="254"/>
        <item sd="0" x="255"/>
        <item sd="0" x="59"/>
        <item sd="0" x="738"/>
        <item sd="0" x="256"/>
        <item sd="0" x="741"/>
        <item sd="0" x="258"/>
        <item sd="0" x="506"/>
        <item sd="0" x="637"/>
        <item sd="0" x="793"/>
        <item sd="0" x="257"/>
        <item sd="0" x="509"/>
        <item sd="0" x="145"/>
        <item sd="0" x="146"/>
        <item sd="0" x="411"/>
        <item sd="0" x="294"/>
        <item sd="0" x="640"/>
        <item sd="0" x="300"/>
        <item sd="0" x="77"/>
        <item sd="0" x="246"/>
        <item sd="0" x="79"/>
        <item sd="0" x="396"/>
        <item sd="0" x="78"/>
        <item sd="0" x="247"/>
        <item sd="0" x="503"/>
        <item sd="0" x="275"/>
        <item sd="0" x="627"/>
        <item sd="0" x="605"/>
        <item sd="0" x="712"/>
        <item sd="0" x="775"/>
        <item sd="0" x="68"/>
        <item sd="0" x="159"/>
        <item sd="0" x="236"/>
        <item sd="0" x="286"/>
        <item sd="0" x="500"/>
        <item sd="0" x="501"/>
        <item sd="0" x="502"/>
        <item sd="0" x="499"/>
        <item sd="0" x="285"/>
        <item sd="0" x="632"/>
        <item sd="0" x="731"/>
        <item sd="0" x="732"/>
        <item sd="0" x="283"/>
        <item sd="0" x="169"/>
        <item sd="0" x="142"/>
        <item sd="0" x="144"/>
        <item sd="0" x="147"/>
        <item sd="0" x="514"/>
        <item sd="0" x="281"/>
        <item sd="0" x="70"/>
        <item sd="0" x="69"/>
        <item sd="0" x="505"/>
        <item sd="0" x="162"/>
        <item sd="0" x="163"/>
        <item sd="0" x="164"/>
        <item sd="0" x="170"/>
        <item sd="0" x="60"/>
        <item sd="0" x="61"/>
        <item sd="0" x="62"/>
        <item sd="0" x="63"/>
        <item sd="0" x="64"/>
        <item sd="0" x="65"/>
        <item sd="0" x="149"/>
        <item sd="0" x="148"/>
        <item sd="0" x="150"/>
        <item sd="0" x="152"/>
        <item sd="0" x="154"/>
        <item sd="0" x="151"/>
        <item sd="0" x="155"/>
        <item sd="0" x="153"/>
        <item sd="0" x="233"/>
        <item sd="0" x="156"/>
        <item sd="0" x="234"/>
        <item sd="0" x="235"/>
        <item sd="0" x="404"/>
        <item sd="0" x="633"/>
        <item sd="0" x="282"/>
        <item sd="0" x="284"/>
        <item sd="0" x="238"/>
        <item sd="0" x="237"/>
        <item sd="0" x="239"/>
        <item sd="0" x="713"/>
        <item sd="0" x="414"/>
        <item sd="0" x="790"/>
        <item sd="0" x="266"/>
        <item sd="0" x="260"/>
        <item sd="0" x="259"/>
        <item sd="0" x="261"/>
        <item sd="0" x="380"/>
        <item sd="0" x="381"/>
        <item sd="0" x="383"/>
        <item sd="0" x="384"/>
        <item sd="0" x="382"/>
        <item sd="0" x="385"/>
        <item sd="0" x="607"/>
        <item sd="0" x="606"/>
        <item sd="0" x="608"/>
        <item sd="0" x="715"/>
        <item sd="0" x="609"/>
        <item sd="0" x="777"/>
        <item sd="0" x="714"/>
        <item sd="0" x="614"/>
        <item sd="0" x="611"/>
        <item sd="0" x="619"/>
        <item sd="0" x="616"/>
        <item sd="0" x="620"/>
        <item sd="0" x="621"/>
        <item sd="0" x="622"/>
        <item sd="0" x="716"/>
        <item sd="0" x="718"/>
        <item sd="0" x="717"/>
        <item sd="0" x="720"/>
        <item sd="0" x="725"/>
        <item sd="0" x="727"/>
        <item sd="0" x="173"/>
        <item sd="0" x="249"/>
        <item sd="0" x="251"/>
        <item sd="0" x="252"/>
        <item sd="0" x="263"/>
        <item sd="0" x="264"/>
        <item sd="0" x="265"/>
        <item sd="0" x="267"/>
        <item sd="0" x="271"/>
        <item sd="0" x="269"/>
        <item sd="0" x="270"/>
        <item sd="0" x="268"/>
        <item sd="0" x="273"/>
        <item sd="0" x="274"/>
        <item sd="0" x="386"/>
        <item sd="0" x="387"/>
        <item sd="0" x="390"/>
        <item sd="0" x="389"/>
        <item sd="0" x="392"/>
        <item sd="0" x="393"/>
        <item sd="0" x="491"/>
        <item sd="0" x="490"/>
        <item sd="0" x="492"/>
        <item sd="0" x="493"/>
        <item sd="0" x="495"/>
        <item sd="0" x="494"/>
        <item sd="0" x="496"/>
        <item sd="0" x="497"/>
        <item sd="0" x="498"/>
        <item sd="0" x="729"/>
        <item sd="0" x="71"/>
        <item sd="0" x="160"/>
        <item sd="0" x="276"/>
        <item sd="0" x="394"/>
        <item sd="0" x="626"/>
        <item sd="0" x="395"/>
        <item sd="0" x="80"/>
        <item sd="0" x="81"/>
        <item sd="0" x="171"/>
        <item sd="0" x="172"/>
        <item sd="0" x="248"/>
        <item sd="0" x="613"/>
        <item sd="0" x="728"/>
        <item sd="0" x="533"/>
        <item sd="0" x="786"/>
        <item sd="0" x="787"/>
        <item sd="0" x="821"/>
        <item sd="0" x="795"/>
        <item sd="0" x="788"/>
        <item sd="0" x="789"/>
        <item sd="0" x="822"/>
        <item sd="0" x="823"/>
        <item sd="0" x="796"/>
        <item sd="0" x="825"/>
        <item sd="0" x="826"/>
        <item sd="0" x="834"/>
        <item sd="0" x="836"/>
        <item sd="0" x="837"/>
        <item sd="0" x="583"/>
        <item sd="0" x="824"/>
        <item sd="0" x="827"/>
        <item sd="0" x="828"/>
        <item sd="0" x="829"/>
        <item sd="0" x="830"/>
        <item sd="0" x="831"/>
        <item sd="0" x="832"/>
        <item sd="0" x="835"/>
        <item sd="0" x="833"/>
        <item sd="0" x="838"/>
        <item sd="0" x="839"/>
        <item sd="0" x="840"/>
        <item sd="0" x="841"/>
        <item sd="0" x="842"/>
        <item sd="0" x="843"/>
        <item sd="0" x="844"/>
        <item sd="0" x="845"/>
        <item sd="0" x="846"/>
        <item sd="0" x="850"/>
        <item sd="0" x="847"/>
        <item sd="0" x="848"/>
        <item sd="0" x="849"/>
        <item sd="0" x="851"/>
        <item sd="0" x="852"/>
        <item sd="0" x="853"/>
        <item sd="0" x="854"/>
        <item sd="0" x="855"/>
        <item sd="0" x="866"/>
        <item sd="0" x="867"/>
        <item sd="0" x="880"/>
        <item sd="0" x="881"/>
        <item sd="0" x="885"/>
        <item sd="0" x="856"/>
        <item sd="0" x="857"/>
        <item sd="0" x="868"/>
        <item sd="0" x="882"/>
        <item sd="0" x="886"/>
        <item sd="0" x="887"/>
        <item sd="0" x="888"/>
        <item sd="0" x="858"/>
        <item sd="0" x="859"/>
        <item sd="0" x="860"/>
        <item sd="0" x="861"/>
        <item sd="0" x="862"/>
        <item sd="0" x="863"/>
        <item sd="0" x="869"/>
        <item sd="0" x="870"/>
        <item sd="0" x="871"/>
        <item sd="0" x="872"/>
        <item sd="0" x="873"/>
        <item sd="0" x="874"/>
        <item sd="0" x="875"/>
        <item sd="0" x="864"/>
        <item sd="0" x="865"/>
        <item sd="0" x="876"/>
        <item sd="0" x="877"/>
        <item sd="0" x="878"/>
        <item sd="0" x="879"/>
        <item sd="0" x="889"/>
        <item sd="0" x="883"/>
        <item sd="0" x="884"/>
        <item sd="0" x="890"/>
        <item sd="0" x="891"/>
        <item sd="0" x="892"/>
        <item sd="0" x="893"/>
        <item sd="0" x="894"/>
        <item sd="0" x="895"/>
        <item sd="0" x="896"/>
        <item sd="0" x="897"/>
        <item sd="0" x="898"/>
        <item sd="0" x="899"/>
        <item sd="0" x="902"/>
        <item sd="0" x="905"/>
        <item sd="0" x="907"/>
        <item sd="0" x="900"/>
        <item sd="0" x="906"/>
        <item sd="0" x="908"/>
        <item sd="0" x="909"/>
        <item sd="0" x="901"/>
        <item sd="0" x="903"/>
        <item sd="0" x="904"/>
        <item sd="0" x="910"/>
        <item sd="0" x="911"/>
        <item sd="0" x="912"/>
        <item sd="0" x="913"/>
        <item sd="0" x="914"/>
        <item sd="0" x="915"/>
        <item sd="0" x="917"/>
        <item sd="0" x="918"/>
        <item sd="0" x="919"/>
        <item sd="0" x="920"/>
        <item sd="0" x="921"/>
        <item sd="0" x="922"/>
        <item sd="0" x="916"/>
        <item sd="0" x="923"/>
        <item sd="0" x="925"/>
        <item sd="0" x="927"/>
        <item sd="0" x="924"/>
        <item sd="0" x="926"/>
        <item sd="0" x="928"/>
        <item sd="0" x="929"/>
        <item sd="0" x="930"/>
        <item sd="0" x="931"/>
        <item sd="0" x="932"/>
        <item sd="0" x="933"/>
        <item sd="0" x="934"/>
        <item sd="0" x="935"/>
        <item sd="0" x="937"/>
        <item sd="0" x="938"/>
        <item sd="0" x="939"/>
        <item sd="0" x="936"/>
        <item sd="0" x="940"/>
        <item sd="0" x="941"/>
        <item sd="0" x="942"/>
        <item sd="0" x="944"/>
        <item sd="0" x="945"/>
        <item sd="0" x="946"/>
        <item sd="0" x="947"/>
        <item sd="0" x="948"/>
        <item sd="0" x="949"/>
        <item sd="0" x="950"/>
        <item sd="0" x="951"/>
        <item sd="0" x="952"/>
        <item sd="0" x="943"/>
        <item sd="0" x="956"/>
        <item sd="0" x="1004"/>
        <item sd="0" x="1028"/>
        <item sd="0" x="953"/>
        <item sd="0" x="954"/>
        <item sd="0" x="955"/>
        <item sd="0" x="957"/>
        <item sd="0" x="958"/>
        <item sd="0" x="959"/>
        <item sd="0" x="960"/>
        <item sd="0" x="961"/>
        <item sd="0" x="962"/>
        <item sd="0" x="963"/>
        <item sd="0" x="964"/>
        <item sd="0" x="1003"/>
        <item sd="0" x="1005"/>
        <item sd="0" x="1029"/>
        <item sd="0" x="965"/>
        <item sd="0" x="966"/>
        <item sd="0" x="967"/>
        <item sd="0" x="968"/>
        <item sd="0" x="969"/>
        <item sd="0" x="970"/>
        <item sd="0" x="1006"/>
        <item sd="0" x="1007"/>
        <item sd="0" x="1008"/>
        <item sd="0" x="1009"/>
        <item sd="0" x="1010"/>
        <item sd="0" x="1027"/>
        <item sd="0" x="1030"/>
        <item sd="0" x="1031"/>
        <item sd="0" x="971"/>
        <item sd="0" x="972"/>
        <item sd="0" x="973"/>
        <item sd="0" x="974"/>
        <item sd="0" x="1011"/>
        <item sd="0" x="1012"/>
        <item sd="0" x="1013"/>
        <item sd="0" x="1014"/>
        <item sd="0" x="1015"/>
        <item sd="0" x="1032"/>
        <item sd="0" x="975"/>
        <item sd="0" x="976"/>
        <item sd="0" x="977"/>
        <item sd="0" x="978"/>
        <item sd="0" x="979"/>
        <item sd="0" x="980"/>
        <item sd="0" x="981"/>
        <item sd="0" x="982"/>
        <item sd="0" x="983"/>
        <item sd="0" x="984"/>
        <item sd="0" x="985"/>
        <item sd="0" x="986"/>
        <item sd="0" x="987"/>
        <item sd="0" x="988"/>
        <item sd="0" x="989"/>
        <item sd="0" x="990"/>
        <item sd="0" x="991"/>
        <item sd="0" x="992"/>
        <item sd="0" x="1016"/>
        <item sd="0" x="1017"/>
        <item sd="0" x="1018"/>
        <item sd="0" x="1019"/>
        <item sd="0" x="1020"/>
        <item sd="0" x="1021"/>
        <item sd="0" x="1022"/>
        <item sd="0" x="1033"/>
        <item sd="0" x="1034"/>
        <item sd="0" x="993"/>
        <item sd="0" x="994"/>
        <item sd="0" x="995"/>
        <item sd="0" x="996"/>
        <item sd="0" x="997"/>
        <item sd="0" x="998"/>
        <item sd="0" x="999"/>
        <item sd="0" x="1037"/>
        <item sd="0" x="1000"/>
        <item sd="0" x="1001"/>
        <item sd="0" x="1002"/>
        <item sd="0" x="1023"/>
        <item sd="0" x="1026"/>
        <item sd="0" x="1035"/>
        <item sd="0" x="1024"/>
        <item sd="0" x="1025"/>
        <item sd="0" x="1038"/>
        <item sd="0" x="1039"/>
        <item sd="0" x="1040"/>
        <item sd="0" x="1041"/>
        <item sd="0" x="1042"/>
        <item sd="0" x="1043"/>
        <item sd="0" x="1044"/>
        <item sd="0" x="1045"/>
        <item sd="0" x="1046"/>
        <item sd="0" x="1047"/>
        <item sd="0" x="1090"/>
        <item sd="0" x="1036"/>
        <item sd="0" x="1107"/>
        <item sd="0" x="1089"/>
        <item sd="0" x="1091"/>
        <item sd="0" x="1048"/>
        <item sd="0" x="1049"/>
        <item sd="0" x="1050"/>
        <item sd="0" x="1051"/>
        <item sd="0" x="1052"/>
        <item sd="0" x="1053"/>
        <item sd="0" x="1054"/>
        <item sd="0" x="1055"/>
        <item sd="0" x="1056"/>
        <item sd="0" x="1057"/>
        <item sd="0" x="1058"/>
        <item sd="0" x="1059"/>
        <item sd="0" x="1092"/>
        <item sd="0" x="1093"/>
        <item sd="0" x="1094"/>
        <item sd="0" x="1095"/>
        <item sd="0" x="1096"/>
        <item sd="0" x="1097"/>
        <item sd="0" x="1098"/>
        <item sd="0" x="109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100"/>
        <item sd="0" x="1101"/>
        <item sd="0" x="1102"/>
        <item sd="0" x="1103"/>
        <item sd="0" x="1104"/>
        <item sd="0" x="1105"/>
        <item sd="0" x="1106"/>
        <item sd="0" x="1108"/>
        <item sd="0" x="1109"/>
        <item sd="0" x="1110"/>
        <item sd="0" x="1111"/>
        <item sd="0" x="1112"/>
        <item sd="0" x="1121"/>
        <item sd="0" x="1113"/>
        <item sd="0" x="1114"/>
        <item sd="0" x="1115"/>
        <item sd="0" x="1116"/>
        <item sd="0" x="1117"/>
        <item sd="0" x="1118"/>
        <item sd="0" x="1119"/>
        <item sd="0" x="1122"/>
        <item sd="0" x="1123"/>
        <item sd="0" x="1124"/>
        <item sd="0" x="1125"/>
        <item sd="0" x="1127"/>
        <item sd="0" x="1128"/>
        <item sd="0" x="1129"/>
        <item sd="0" x="1130"/>
        <item sd="0" x="1126"/>
        <item sd="0" x="1131"/>
        <item sd="0" x="1132"/>
        <item sd="0" x="1120"/>
        <item sd="0" x="1133"/>
        <item sd="0" x="1134"/>
        <item sd="0" x="1135"/>
        <item sd="0" x="1136"/>
        <item sd="0" x="1137"/>
        <item sd="0" x="1138"/>
        <item sd="0" x="1139"/>
        <item sd="0" x="1183"/>
        <item sd="0" x="1184"/>
        <item sd="0" x="1185"/>
        <item sd="0" x="1186"/>
        <item sd="0" x="1140"/>
        <item sd="0" x="1155"/>
        <item sd="0" x="1142"/>
        <item sd="0" x="1143"/>
        <item sd="0" x="1141"/>
        <item sd="0" x="1144"/>
        <item sd="0" x="1145"/>
        <item sd="0" x="1146"/>
        <item sd="0" x="1187"/>
        <item sd="0" x="1188"/>
        <item sd="0" x="1189"/>
        <item x="1147"/>
        <item x="1148"/>
        <item x="1149"/>
        <item x="1150"/>
        <item x="1151"/>
        <item x="1152"/>
        <item x="1153"/>
        <item x="1154"/>
        <item x="1156"/>
        <item x="1157"/>
        <item x="1158"/>
        <item x="1159"/>
        <item x="1160"/>
        <item x="1161"/>
        <item x="1162"/>
        <item x="1163"/>
        <item x="1164"/>
        <item x="1165"/>
        <item x="1166"/>
        <item x="1167"/>
        <item x="1168"/>
        <item x="1169"/>
        <item x="1170"/>
        <item x="1171"/>
        <item x="1172"/>
        <item x="1173"/>
        <item x="1190"/>
        <item x="1191"/>
        <item x="1192"/>
        <item x="1193"/>
        <item x="1174"/>
        <item x="1175"/>
        <item x="1176"/>
        <item x="1177"/>
        <item x="1178"/>
        <item x="1179"/>
        <item x="1194"/>
        <item x="1195"/>
        <item x="1180"/>
        <item x="1181"/>
        <item x="1182"/>
        <item x="1196"/>
        <item x="1197"/>
        <item x="1198"/>
        <item x="1199"/>
        <item x="1200"/>
        <item x="1201"/>
        <item x="1202"/>
        <item x="1203"/>
        <item x="1204"/>
        <item x="1205"/>
        <item x="1206"/>
        <item x="1207"/>
        <item x="1208"/>
        <item x="1209"/>
        <item x="1210"/>
        <item x="1211"/>
        <item x="1212"/>
        <item x="1213"/>
        <item x="1214"/>
        <item x="1215"/>
        <item x="1216"/>
        <item x="1217"/>
        <item x="1224"/>
        <item x="1225"/>
        <item x="1226"/>
        <item x="1227"/>
        <item x="1218"/>
        <item x="1219"/>
        <item x="1228"/>
        <item x="1220"/>
        <item x="1221"/>
        <item x="1229"/>
        <item x="1230"/>
        <item x="1222"/>
        <item x="1223"/>
        <item x="1231"/>
        <item x="1232"/>
        <item x="1233"/>
        <item x="1234"/>
        <item x="1235"/>
        <item x="1236"/>
        <item x="1246"/>
        <item x="1247"/>
        <item x="1237"/>
        <item x="1238"/>
        <item x="1239"/>
        <item x="1240"/>
        <item x="1241"/>
        <item x="1242"/>
        <item x="1248"/>
        <item x="1249"/>
        <item x="1250"/>
        <item x="1257"/>
        <item x="1243"/>
        <item x="1244"/>
        <item x="1245"/>
        <item x="1251"/>
        <item x="1252"/>
        <item x="1253"/>
        <item x="1258"/>
        <item x="1259"/>
        <item x="1260"/>
        <item x="1254"/>
        <item x="1255"/>
        <item x="1256"/>
        <item x="1299"/>
        <item x="1261"/>
        <item x="1262"/>
        <item x="1263"/>
        <item x="1264"/>
        <item x="1265"/>
        <item x="1266"/>
        <item x="1267"/>
        <item x="1268"/>
        <item x="1269"/>
        <item x="1270"/>
        <item x="1271"/>
        <item x="1272"/>
        <item x="1274"/>
        <item x="1275"/>
        <item x="1276"/>
        <item x="1273"/>
        <item x="1277"/>
        <item x="1278"/>
        <item x="1285"/>
        <item x="1288"/>
        <item x="1300"/>
        <item x="1309"/>
        <item x="1308"/>
        <item x="1279"/>
        <item x="1280"/>
        <item x="1281"/>
        <item x="1282"/>
        <item x="1283"/>
        <item x="1286"/>
        <item x="1284"/>
        <item x="1287"/>
        <item x="1301"/>
        <item x="1302"/>
        <item x="1289"/>
        <item x="1290"/>
        <item x="1291"/>
        <item x="1292"/>
        <item x="1293"/>
        <item x="1294"/>
        <item x="1295"/>
        <item x="1296"/>
        <item x="1297"/>
        <item x="1298"/>
        <item x="1303"/>
        <item x="1304"/>
        <item x="1305"/>
        <item x="1306"/>
        <item x="1307"/>
        <item m="1" x="1310"/>
        <item t="default" sd="0"/>
      </items>
    </pivotField>
    <pivotField dataField="1" compact="0" outline="0" subtotalTop="0" showAll="0" includeNewItemsInFilter="1"/>
    <pivotField axis="axisRow" compact="0" outline="0" subtotalTop="0" showAll="0" includeNewItemsInFilter="1">
      <items count="951">
        <item x="3"/>
        <item x="1"/>
        <item x="59"/>
        <item x="60"/>
        <item x="4"/>
        <item x="52"/>
        <item x="62"/>
        <item x="5"/>
        <item x="0"/>
        <item x="2"/>
        <item x="7"/>
        <item x="8"/>
        <item x="6"/>
        <item x="63"/>
        <item x="29"/>
        <item x="9"/>
        <item x="53"/>
        <item x="57"/>
        <item x="14"/>
        <item x="15"/>
        <item x="51"/>
        <item x="16"/>
        <item x="26"/>
        <item x="13"/>
        <item x="12"/>
        <item x="68"/>
        <item x="10"/>
        <item x="80"/>
        <item x="20"/>
        <item x="54"/>
        <item x="23"/>
        <item x="21"/>
        <item x="11"/>
        <item x="67"/>
        <item x="27"/>
        <item x="18"/>
        <item x="22"/>
        <item x="66"/>
        <item x="40"/>
        <item x="24"/>
        <item x="17"/>
        <item x="33"/>
        <item x="32"/>
        <item x="25"/>
        <item x="38"/>
        <item x="43"/>
        <item x="30"/>
        <item x="31"/>
        <item x="19"/>
        <item x="28"/>
        <item x="55"/>
        <item x="41"/>
        <item x="37"/>
        <item x="42"/>
        <item x="83"/>
        <item x="61"/>
        <item x="34"/>
        <item x="44"/>
        <item x="35"/>
        <item x="79"/>
        <item x="64"/>
        <item x="36"/>
        <item x="49"/>
        <item x="47"/>
        <item x="46"/>
        <item x="78"/>
        <item x="39"/>
        <item x="74"/>
        <item x="48"/>
        <item x="70"/>
        <item x="65"/>
        <item x="71"/>
        <item x="45"/>
        <item x="72"/>
        <item x="56"/>
        <item x="75"/>
        <item x="69"/>
        <item x="50"/>
        <item x="73"/>
        <item x="76"/>
        <item x="58"/>
        <item x="77"/>
        <item x="132"/>
        <item x="137"/>
        <item x="81"/>
        <item x="133"/>
        <item x="84"/>
        <item x="82"/>
        <item x="121"/>
        <item x="120"/>
        <item x="88"/>
        <item x="86"/>
        <item x="96"/>
        <item x="85"/>
        <item x="87"/>
        <item x="98"/>
        <item x="95"/>
        <item x="91"/>
        <item x="92"/>
        <item x="128"/>
        <item x="123"/>
        <item x="90"/>
        <item x="89"/>
        <item x="116"/>
        <item x="93"/>
        <item x="99"/>
        <item x="122"/>
        <item x="94"/>
        <item x="97"/>
        <item x="105"/>
        <item x="103"/>
        <item x="101"/>
        <item x="139"/>
        <item x="100"/>
        <item x="102"/>
        <item x="138"/>
        <item x="104"/>
        <item x="106"/>
        <item x="125"/>
        <item x="129"/>
        <item x="107"/>
        <item x="124"/>
        <item x="108"/>
        <item x="109"/>
        <item x="127"/>
        <item x="110"/>
        <item x="130"/>
        <item x="134"/>
        <item x="117"/>
        <item x="113"/>
        <item x="131"/>
        <item x="111"/>
        <item x="112"/>
        <item x="118"/>
        <item x="135"/>
        <item x="115"/>
        <item x="136"/>
        <item x="114"/>
        <item x="119"/>
        <item x="126"/>
        <item x="140"/>
        <item x="142"/>
        <item x="145"/>
        <item x="185"/>
        <item x="141"/>
        <item x="147"/>
        <item x="146"/>
        <item x="190"/>
        <item x="143"/>
        <item x="144"/>
        <item x="149"/>
        <item x="150"/>
        <item x="151"/>
        <item x="148"/>
        <item x="152"/>
        <item x="194"/>
        <item x="154"/>
        <item x="153"/>
        <item x="188"/>
        <item x="156"/>
        <item x="158"/>
        <item x="157"/>
        <item x="159"/>
        <item x="160"/>
        <item x="155"/>
        <item x="164"/>
        <item x="162"/>
        <item x="163"/>
        <item x="161"/>
        <item x="186"/>
        <item x="165"/>
        <item x="187"/>
        <item x="166"/>
        <item x="167"/>
        <item x="168"/>
        <item x="172"/>
        <item x="169"/>
        <item x="198"/>
        <item x="171"/>
        <item x="195"/>
        <item x="173"/>
        <item x="170"/>
        <item x="189"/>
        <item x="174"/>
        <item x="180"/>
        <item x="196"/>
        <item x="175"/>
        <item x="176"/>
        <item x="191"/>
        <item x="177"/>
        <item x="199"/>
        <item x="181"/>
        <item x="193"/>
        <item x="184"/>
        <item x="183"/>
        <item x="200"/>
        <item x="178"/>
        <item x="192"/>
        <item x="197"/>
        <item x="182"/>
        <item x="201"/>
        <item x="179"/>
        <item x="244"/>
        <item x="203"/>
        <item x="202"/>
        <item x="243"/>
        <item x="242"/>
        <item x="245"/>
        <item x="246"/>
        <item x="219"/>
        <item x="249"/>
        <item x="250"/>
        <item x="247"/>
        <item x="252"/>
        <item x="254"/>
        <item x="251"/>
        <item x="255"/>
        <item x="232"/>
        <item x="233"/>
        <item x="248"/>
        <item x="207"/>
        <item x="253"/>
        <item x="226"/>
        <item x="221"/>
        <item x="234"/>
        <item x="258"/>
        <item x="229"/>
        <item x="256"/>
        <item x="257"/>
        <item x="208"/>
        <item x="262"/>
        <item x="259"/>
        <item x="261"/>
        <item x="209"/>
        <item x="231"/>
        <item x="267"/>
        <item x="268"/>
        <item x="204"/>
        <item x="265"/>
        <item x="260"/>
        <item x="269"/>
        <item x="205"/>
        <item x="266"/>
        <item x="264"/>
        <item x="263"/>
        <item x="212"/>
        <item x="235"/>
        <item x="222"/>
        <item x="210"/>
        <item x="211"/>
        <item x="216"/>
        <item x="227"/>
        <item x="220"/>
        <item x="270"/>
        <item x="273"/>
        <item x="213"/>
        <item x="283"/>
        <item x="271"/>
        <item x="214"/>
        <item x="215"/>
        <item x="236"/>
        <item x="272"/>
        <item x="279"/>
        <item x="282"/>
        <item x="237"/>
        <item x="275"/>
        <item x="280"/>
        <item x="276"/>
        <item x="239"/>
        <item x="238"/>
        <item x="240"/>
        <item x="230"/>
        <item x="277"/>
        <item x="281"/>
        <item x="206"/>
        <item x="288"/>
        <item x="274"/>
        <item x="285"/>
        <item x="228"/>
        <item x="223"/>
        <item x="224"/>
        <item x="217"/>
        <item x="286"/>
        <item x="278"/>
        <item x="218"/>
        <item x="284"/>
        <item x="318"/>
        <item x="287"/>
        <item x="316"/>
        <item x="329"/>
        <item x="317"/>
        <item x="320"/>
        <item x="331"/>
        <item x="319"/>
        <item x="330"/>
        <item x="323"/>
        <item x="321"/>
        <item x="241"/>
        <item x="302"/>
        <item x="352"/>
        <item x="225"/>
        <item x="322"/>
        <item x="327"/>
        <item x="324"/>
        <item x="353"/>
        <item x="315"/>
        <item x="326"/>
        <item x="334"/>
        <item x="332"/>
        <item x="325"/>
        <item x="310"/>
        <item x="328"/>
        <item x="333"/>
        <item x="335"/>
        <item x="336"/>
        <item x="305"/>
        <item x="295"/>
        <item x="337"/>
        <item x="354"/>
        <item x="311"/>
        <item x="296"/>
        <item x="339"/>
        <item x="340"/>
        <item x="297"/>
        <item x="355"/>
        <item x="309"/>
        <item x="338"/>
        <item x="343"/>
        <item x="342"/>
        <item x="306"/>
        <item x="299"/>
        <item x="341"/>
        <item x="298"/>
        <item x="356"/>
        <item x="345"/>
        <item x="357"/>
        <item x="346"/>
        <item x="303"/>
        <item x="344"/>
        <item x="358"/>
        <item x="359"/>
        <item x="313"/>
        <item x="289"/>
        <item x="304"/>
        <item x="360"/>
        <item x="349"/>
        <item x="347"/>
        <item x="312"/>
        <item x="348"/>
        <item x="361"/>
        <item x="362"/>
        <item x="363"/>
        <item x="351"/>
        <item x="364"/>
        <item x="350"/>
        <item x="365"/>
        <item x="308"/>
        <item x="290"/>
        <item x="366"/>
        <item x="292"/>
        <item x="293"/>
        <item x="401"/>
        <item x="314"/>
        <item x="300"/>
        <item x="307"/>
        <item x="291"/>
        <item x="294"/>
        <item x="377"/>
        <item x="397"/>
        <item x="395"/>
        <item x="389"/>
        <item x="301"/>
        <item x="394"/>
        <item x="390"/>
        <item x="388"/>
        <item x="400"/>
        <item x="391"/>
        <item x="396"/>
        <item x="402"/>
        <item x="392"/>
        <item x="393"/>
        <item x="367"/>
        <item x="404"/>
        <item x="376"/>
        <item x="398"/>
        <item x="405"/>
        <item x="399"/>
        <item x="380"/>
        <item x="407"/>
        <item x="409"/>
        <item x="406"/>
        <item x="410"/>
        <item x="403"/>
        <item x="369"/>
        <item x="368"/>
        <item x="379"/>
        <item x="414"/>
        <item x="412"/>
        <item x="408"/>
        <item x="411"/>
        <item x="382"/>
        <item x="417"/>
        <item x="381"/>
        <item x="415"/>
        <item x="416"/>
        <item x="418"/>
        <item x="421"/>
        <item x="413"/>
        <item x="423"/>
        <item x="427"/>
        <item x="422"/>
        <item x="370"/>
        <item x="424"/>
        <item x="419"/>
        <item x="420"/>
        <item x="426"/>
        <item x="371"/>
        <item x="383"/>
        <item x="372"/>
        <item x="425"/>
        <item x="384"/>
        <item x="431"/>
        <item x="385"/>
        <item x="434"/>
        <item x="439"/>
        <item x="433"/>
        <item x="429"/>
        <item x="428"/>
        <item x="430"/>
        <item x="378"/>
        <item x="440"/>
        <item x="442"/>
        <item x="432"/>
        <item x="441"/>
        <item x="373"/>
        <item x="444"/>
        <item x="443"/>
        <item x="435"/>
        <item x="445"/>
        <item x="436"/>
        <item x="446"/>
        <item x="448"/>
        <item x="447"/>
        <item x="437"/>
        <item x="449"/>
        <item x="374"/>
        <item x="450"/>
        <item x="386"/>
        <item x="485"/>
        <item x="484"/>
        <item x="375"/>
        <item x="488"/>
        <item x="486"/>
        <item x="487"/>
        <item x="473"/>
        <item x="451"/>
        <item x="458"/>
        <item x="452"/>
        <item x="438"/>
        <item x="453"/>
        <item x="495"/>
        <item x="491"/>
        <item x="490"/>
        <item x="387"/>
        <item x="492"/>
        <item x="489"/>
        <item x="498"/>
        <item x="478"/>
        <item x="496"/>
        <item x="493"/>
        <item x="494"/>
        <item x="455"/>
        <item x="499"/>
        <item x="460"/>
        <item x="461"/>
        <item x="497"/>
        <item x="474"/>
        <item x="462"/>
        <item x="479"/>
        <item x="500"/>
        <item x="454"/>
        <item x="501"/>
        <item x="502"/>
        <item x="471"/>
        <item x="459"/>
        <item x="503"/>
        <item x="477"/>
        <item x="456"/>
        <item x="472"/>
        <item x="507"/>
        <item x="505"/>
        <item x="481"/>
        <item x="504"/>
        <item x="508"/>
        <item x="464"/>
        <item x="509"/>
        <item x="510"/>
        <item x="511"/>
        <item x="480"/>
        <item x="506"/>
        <item x="457"/>
        <item x="517"/>
        <item x="475"/>
        <item x="463"/>
        <item x="513"/>
        <item x="465"/>
        <item x="515"/>
        <item x="516"/>
        <item x="476"/>
        <item x="514"/>
        <item x="518"/>
        <item x="520"/>
        <item x="536"/>
        <item x="521"/>
        <item x="466"/>
        <item x="519"/>
        <item x="525"/>
        <item x="522"/>
        <item x="512"/>
        <item x="526"/>
        <item x="468"/>
        <item x="523"/>
        <item x="530"/>
        <item x="469"/>
        <item x="524"/>
        <item x="527"/>
        <item x="467"/>
        <item x="528"/>
        <item x="531"/>
        <item x="482"/>
        <item x="483"/>
        <item x="532"/>
        <item x="529"/>
        <item x="569"/>
        <item x="567"/>
        <item x="564"/>
        <item x="533"/>
        <item x="566"/>
        <item x="565"/>
        <item x="470"/>
        <item x="534"/>
        <item x="552"/>
        <item x="562"/>
        <item x="570"/>
        <item x="563"/>
        <item x="568"/>
        <item x="538"/>
        <item x="555"/>
        <item x="572"/>
        <item x="539"/>
        <item x="573"/>
        <item x="576"/>
        <item x="574"/>
        <item x="571"/>
        <item x="575"/>
        <item x="556"/>
        <item x="540"/>
        <item x="543"/>
        <item x="541"/>
        <item x="557"/>
        <item x="542"/>
        <item x="551"/>
        <item x="544"/>
        <item x="558"/>
        <item x="545"/>
        <item x="559"/>
        <item x="560"/>
        <item x="577"/>
        <item x="554"/>
        <item x="578"/>
        <item x="535"/>
        <item x="546"/>
        <item x="547"/>
        <item x="579"/>
        <item x="553"/>
        <item x="561"/>
        <item x="580"/>
        <item x="606"/>
        <item x="548"/>
        <item x="549"/>
        <item x="550"/>
        <item x="581"/>
        <item x="582"/>
        <item x="584"/>
        <item x="537"/>
        <item x="607"/>
        <item x="583"/>
        <item x="586"/>
        <item x="609"/>
        <item x="588"/>
        <item x="601"/>
        <item x="600"/>
        <item x="608"/>
        <item x="610"/>
        <item x="602"/>
        <item x="611"/>
        <item x="603"/>
        <item x="612"/>
        <item x="589"/>
        <item x="613"/>
        <item x="590"/>
        <item x="614"/>
        <item x="587"/>
        <item x="591"/>
        <item x="615"/>
        <item x="616"/>
        <item x="617"/>
        <item x="618"/>
        <item x="592"/>
        <item x="599"/>
        <item x="619"/>
        <item x="620"/>
        <item x="621"/>
        <item x="622"/>
        <item x="623"/>
        <item x="593"/>
        <item x="624"/>
        <item x="594"/>
        <item x="585"/>
        <item x="595"/>
        <item x="596"/>
        <item x="625"/>
        <item x="604"/>
        <item x="597"/>
        <item x="598"/>
        <item x="626"/>
        <item x="627"/>
        <item x="605"/>
        <item x="628"/>
        <item x="629"/>
        <item x="630"/>
        <item x="634"/>
        <item x="636"/>
        <item x="637"/>
        <item x="631"/>
        <item x="632"/>
        <item x="633"/>
        <item x="635"/>
        <item x="638"/>
        <item x="639"/>
        <item x="640"/>
        <item x="641"/>
        <item x="642"/>
        <item x="643"/>
        <item x="644"/>
        <item x="645"/>
        <item x="646"/>
        <item x="648"/>
        <item x="649"/>
        <item x="650"/>
        <item x="647"/>
        <item x="651"/>
        <item x="652"/>
        <item x="660"/>
        <item x="661"/>
        <item x="672"/>
        <item x="653"/>
        <item x="662"/>
        <item x="673"/>
        <item x="676"/>
        <item x="677"/>
        <item x="678"/>
        <item x="654"/>
        <item x="655"/>
        <item x="656"/>
        <item x="657"/>
        <item x="658"/>
        <item x="663"/>
        <item x="664"/>
        <item x="665"/>
        <item x="666"/>
        <item x="667"/>
        <item x="668"/>
        <item x="659"/>
        <item x="706"/>
        <item x="707"/>
        <item x="669"/>
        <item x="670"/>
        <item x="671"/>
        <item x="679"/>
        <item x="674"/>
        <item x="675"/>
        <item x="680"/>
        <item x="681"/>
        <item x="682"/>
        <item x="683"/>
        <item x="684"/>
        <item x="685"/>
        <item x="686"/>
        <item x="687"/>
        <item x="688"/>
        <item x="689"/>
        <item x="691"/>
        <item x="690"/>
        <item x="692"/>
        <item x="693"/>
        <item x="694"/>
        <item x="695"/>
        <item x="696"/>
        <item x="697"/>
        <item x="698"/>
        <item x="699"/>
        <item x="700"/>
        <item x="702"/>
        <item x="704"/>
        <item x="701"/>
        <item x="703"/>
        <item x="727"/>
        <item x="726"/>
        <item x="705"/>
        <item x="708"/>
        <item x="709"/>
        <item x="710"/>
        <item x="712"/>
        <item x="711"/>
        <item x="713"/>
        <item x="714"/>
        <item x="715"/>
        <item x="717"/>
        <item x="718"/>
        <item x="719"/>
        <item x="720"/>
        <item x="721"/>
        <item x="722"/>
        <item x="723"/>
        <item x="724"/>
        <item x="725"/>
        <item x="716"/>
        <item x="728"/>
        <item x="729"/>
        <item x="730"/>
        <item x="731"/>
        <item x="732"/>
        <item x="765"/>
        <item x="776"/>
        <item x="733"/>
        <item x="734"/>
        <item x="735"/>
        <item x="736"/>
        <item x="737"/>
        <item x="766"/>
        <item x="777"/>
        <item x="738"/>
        <item x="739"/>
        <item x="740"/>
        <item x="741"/>
        <item x="767"/>
        <item x="775"/>
        <item x="778"/>
        <item x="779"/>
        <item x="742"/>
        <item x="743"/>
        <item x="744"/>
        <item x="768"/>
        <item x="769"/>
        <item x="745"/>
        <item x="746"/>
        <item x="747"/>
        <item x="748"/>
        <item x="749"/>
        <item x="750"/>
        <item x="770"/>
        <item x="751"/>
        <item x="752"/>
        <item x="753"/>
        <item x="754"/>
        <item x="755"/>
        <item x="771"/>
        <item x="772"/>
        <item x="780"/>
        <item x="756"/>
        <item x="757"/>
        <item x="758"/>
        <item x="759"/>
        <item x="760"/>
        <item x="761"/>
        <item x="762"/>
        <item x="783"/>
        <item x="763"/>
        <item x="764"/>
        <item x="773"/>
        <item x="774"/>
        <item x="781"/>
        <item x="784"/>
        <item x="785"/>
        <item x="786"/>
        <item x="787"/>
        <item x="788"/>
        <item x="789"/>
        <item x="790"/>
        <item x="816"/>
        <item x="817"/>
        <item x="782"/>
        <item x="824"/>
        <item x="791"/>
        <item x="792"/>
        <item x="793"/>
        <item x="794"/>
        <item x="795"/>
        <item x="796"/>
        <item x="797"/>
        <item x="798"/>
        <item x="799"/>
        <item x="800"/>
        <item x="818"/>
        <item x="819"/>
        <item x="820"/>
        <item x="801"/>
        <item x="802"/>
        <item x="803"/>
        <item x="804"/>
        <item x="805"/>
        <item x="806"/>
        <item x="807"/>
        <item x="808"/>
        <item x="809"/>
        <item x="810"/>
        <item x="811"/>
        <item x="812"/>
        <item x="813"/>
        <item x="814"/>
        <item x="815"/>
        <item x="821"/>
        <item x="822"/>
        <item x="823"/>
        <item x="825"/>
        <item x="826"/>
        <item x="827"/>
        <item x="828"/>
        <item x="829"/>
        <item x="830"/>
        <item x="831"/>
        <item x="832"/>
        <item x="833"/>
        <item x="835"/>
        <item x="836"/>
        <item x="837"/>
        <item x="834"/>
        <item x="838"/>
        <item x="839"/>
        <item x="867"/>
        <item x="868"/>
        <item x="840"/>
        <item x="849"/>
        <item x="842"/>
        <item x="841"/>
        <item x="843"/>
        <item x="844"/>
        <item x="869"/>
        <item x="845"/>
        <item x="846"/>
        <item x="847"/>
        <item x="848"/>
        <item x="850"/>
        <item x="851"/>
        <item x="852"/>
        <item x="853"/>
        <item x="854"/>
        <item x="855"/>
        <item x="856"/>
        <item x="857"/>
        <item x="858"/>
        <item x="859"/>
        <item x="870"/>
        <item x="871"/>
        <item x="860"/>
        <item x="861"/>
        <item x="862"/>
        <item x="863"/>
        <item x="864"/>
        <item x="872"/>
        <item x="865"/>
        <item x="866"/>
        <item x="873"/>
        <item x="874"/>
        <item x="875"/>
        <item x="876"/>
        <item x="877"/>
        <item x="878"/>
        <item x="879"/>
        <item x="880"/>
        <item x="881"/>
        <item x="882"/>
        <item x="883"/>
        <item x="888"/>
        <item x="889"/>
        <item x="890"/>
        <item x="884"/>
        <item x="891"/>
        <item x="885"/>
        <item x="886"/>
        <item x="892"/>
        <item x="887"/>
        <item x="893"/>
        <item x="894"/>
        <item x="895"/>
        <item x="896"/>
        <item x="897"/>
        <item x="901"/>
        <item x="902"/>
        <item x="908"/>
        <item x="898"/>
        <item x="899"/>
        <item x="900"/>
        <item x="903"/>
        <item x="904"/>
        <item x="905"/>
        <item x="909"/>
        <item x="910"/>
        <item x="911"/>
        <item x="906"/>
        <item x="907"/>
        <item x="938"/>
        <item x="912"/>
        <item x="913"/>
        <item x="914"/>
        <item x="915"/>
        <item x="916"/>
        <item x="917"/>
        <item x="919"/>
        <item x="920"/>
        <item x="918"/>
        <item x="921"/>
        <item x="928"/>
        <item x="939"/>
        <item x="947"/>
        <item x="946"/>
        <item x="944"/>
        <item x="945"/>
        <item x="922"/>
        <item x="923"/>
        <item x="924"/>
        <item x="925"/>
        <item x="926"/>
        <item x="927"/>
        <item x="940"/>
        <item x="929"/>
        <item x="930"/>
        <item x="931"/>
        <item x="932"/>
        <item x="933"/>
        <item x="934"/>
        <item m="1" x="948"/>
        <item x="935"/>
        <item m="1" x="949"/>
        <item x="936"/>
        <item x="937"/>
        <item x="941"/>
        <item x="942"/>
        <item x="94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4">
        <item sd="0" x="0"/>
        <item sd="0" x="1"/>
        <item sd="0" x="2"/>
        <item sd="0" x="10"/>
        <item sd="0" x="3"/>
        <item sd="0" x="4"/>
        <item sd="0" x="5"/>
        <item sd="0" x="6"/>
        <item sd="0" x="7"/>
        <item sd="0" x="8"/>
        <item sd="0" x="9"/>
        <item sd="0" x="11"/>
        <item sd="0" m="1" x="12"/>
        <item t="default"/>
      </items>
    </pivotField>
    <pivotField compact="0" outline="0" showAll="0"/>
  </pivotFields>
  <rowFields count="4">
    <field x="0"/>
    <field x="21"/>
    <field x="6"/>
    <field x="8"/>
  </rowFields>
  <rowItems count="216">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10"/>
    </i>
    <i r="1">
      <x v="11"/>
    </i>
    <i t="default">
      <x v="7"/>
    </i>
    <i>
      <x v="8"/>
      <x/>
    </i>
    <i r="1">
      <x v="1"/>
    </i>
    <i r="1">
      <x v="2"/>
    </i>
    <i r="1">
      <x v="3"/>
    </i>
    <i r="1">
      <x v="4"/>
    </i>
    <i r="1">
      <x v="5"/>
    </i>
    <i r="1">
      <x v="6"/>
    </i>
    <i r="1">
      <x v="7"/>
    </i>
    <i r="1">
      <x v="8"/>
    </i>
    <i r="1">
      <x v="9"/>
    </i>
    <i r="1">
      <x v="10"/>
    </i>
    <i r="1">
      <x v="11"/>
    </i>
    <i t="default">
      <x v="8"/>
    </i>
    <i>
      <x v="9"/>
      <x/>
    </i>
    <i r="1">
      <x v="1"/>
    </i>
    <i r="1">
      <x v="2"/>
    </i>
    <i r="1">
      <x v="4"/>
    </i>
    <i r="1">
      <x v="5"/>
    </i>
    <i r="1">
      <x v="6"/>
    </i>
    <i r="1">
      <x v="7"/>
    </i>
    <i r="1">
      <x v="8"/>
    </i>
    <i r="1">
      <x v="9"/>
    </i>
    <i r="1">
      <x v="10"/>
    </i>
    <i r="1">
      <x v="11"/>
    </i>
    <i t="default">
      <x v="9"/>
    </i>
    <i>
      <x v="10"/>
      <x/>
    </i>
    <i r="1">
      <x v="2"/>
    </i>
    <i r="1">
      <x v="3"/>
    </i>
    <i r="1">
      <x v="4"/>
    </i>
    <i r="1">
      <x v="5"/>
    </i>
    <i r="1">
      <x v="8"/>
    </i>
    <i r="1">
      <x v="9"/>
    </i>
    <i r="1">
      <x v="10"/>
    </i>
    <i r="1">
      <x v="11"/>
    </i>
    <i t="default">
      <x v="10"/>
    </i>
    <i>
      <x v="11"/>
      <x/>
    </i>
    <i r="1">
      <x v="1"/>
    </i>
    <i r="1">
      <x v="2"/>
    </i>
    <i r="1">
      <x v="3"/>
    </i>
    <i r="1">
      <x v="4"/>
    </i>
    <i r="1">
      <x v="5"/>
    </i>
    <i r="1">
      <x v="6"/>
    </i>
    <i r="1">
      <x v="7"/>
    </i>
    <i r="1">
      <x v="8"/>
    </i>
    <i r="1">
      <x v="9"/>
    </i>
    <i r="1">
      <x v="10"/>
    </i>
    <i r="1">
      <x v="11"/>
    </i>
    <i t="default">
      <x v="11"/>
    </i>
    <i>
      <x v="12"/>
      <x/>
    </i>
    <i r="1">
      <x v="1"/>
    </i>
    <i r="1">
      <x v="2"/>
    </i>
    <i r="1">
      <x v="3"/>
    </i>
    <i r="1">
      <x v="4"/>
    </i>
    <i r="1">
      <x v="5"/>
    </i>
    <i r="1">
      <x v="6"/>
    </i>
    <i r="1">
      <x v="7"/>
    </i>
    <i r="1">
      <x v="8"/>
    </i>
    <i r="1">
      <x v="9"/>
    </i>
    <i r="1">
      <x v="10"/>
    </i>
    <i r="1">
      <x v="11"/>
    </i>
    <i t="default">
      <x v="12"/>
    </i>
    <i>
      <x v="13"/>
      <x/>
    </i>
    <i r="1">
      <x v="1"/>
    </i>
    <i r="1">
      <x v="2"/>
    </i>
    <i r="1">
      <x v="3"/>
    </i>
    <i r="1">
      <x v="4"/>
    </i>
    <i r="1">
      <x v="5"/>
    </i>
    <i r="1">
      <x v="6"/>
    </i>
    <i r="1">
      <x v="7"/>
    </i>
    <i r="1">
      <x v="8"/>
    </i>
    <i r="1">
      <x v="9"/>
    </i>
    <i r="1">
      <x v="10"/>
    </i>
    <i r="1">
      <x v="11"/>
    </i>
    <i t="default">
      <x v="13"/>
    </i>
    <i>
      <x v="14"/>
      <x/>
    </i>
    <i r="1">
      <x v="1"/>
    </i>
    <i r="1">
      <x v="2"/>
    </i>
    <i r="1">
      <x v="3"/>
    </i>
    <i r="1">
      <x v="4"/>
    </i>
    <i r="1">
      <x v="5"/>
    </i>
    <i r="1">
      <x v="6"/>
    </i>
    <i r="1">
      <x v="7"/>
    </i>
    <i r="1">
      <x v="8"/>
    </i>
    <i r="1">
      <x v="9"/>
    </i>
    <i r="1">
      <x v="10"/>
    </i>
    <i r="1">
      <x v="11"/>
    </i>
    <i t="default">
      <x v="14"/>
    </i>
    <i>
      <x v="15"/>
      <x/>
    </i>
    <i r="1">
      <x v="1"/>
    </i>
    <i r="1">
      <x v="2"/>
    </i>
    <i r="1">
      <x v="3"/>
    </i>
    <i r="1">
      <x v="4"/>
    </i>
    <i r="1">
      <x v="5"/>
    </i>
    <i r="1">
      <x v="6"/>
    </i>
    <i r="1">
      <x v="7"/>
    </i>
    <i r="1">
      <x v="8"/>
    </i>
    <i r="1">
      <x v="9"/>
    </i>
    <i r="1">
      <x v="10"/>
    </i>
    <i r="1">
      <x v="11"/>
    </i>
    <i t="default">
      <x v="15"/>
    </i>
    <i>
      <x v="16"/>
      <x/>
    </i>
    <i r="1">
      <x v="1"/>
    </i>
    <i r="1">
      <x v="2"/>
    </i>
    <i r="1">
      <x v="3"/>
    </i>
    <i r="1">
      <x v="4"/>
    </i>
    <i r="1">
      <x v="5"/>
    </i>
    <i r="1">
      <x v="6"/>
    </i>
    <i r="1">
      <x v="7"/>
    </i>
    <i r="1">
      <x v="8"/>
    </i>
    <i r="1">
      <x v="9"/>
    </i>
    <i r="1">
      <x v="10"/>
    </i>
    <i r="1">
      <x v="11"/>
    </i>
    <i t="default">
      <x v="16"/>
    </i>
    <i t="grand">
      <x/>
    </i>
  </rowItems>
  <colItems count="1">
    <i/>
  </colItems>
  <pageFields count="2">
    <pageField fld="2" hier="0"/>
    <pageField fld="3" hier="0"/>
  </pageFields>
  <dataFields count="1">
    <dataField name="Suma de MONTO U$S" fld="7" baseField="0" baseItem="0" numFmtId="4"/>
  </dataFields>
  <formats count="16">
    <format dxfId="70">
      <pivotArea type="topRight" dataOnly="0" labelOnly="1" outline="0" fieldPosition="0"/>
    </format>
    <format dxfId="69">
      <pivotArea outline="0" fieldPosition="0"/>
    </format>
    <format dxfId="68">
      <pivotArea type="topRight" dataOnly="0" labelOnly="1" outline="0" fieldPosition="0"/>
    </format>
    <format dxfId="67">
      <pivotArea type="origin" dataOnly="0" labelOnly="1" outline="0" fieldPosition="0"/>
    </format>
    <format dxfId="66">
      <pivotArea field="0" type="button" dataOnly="0" labelOnly="1" outline="0" axis="axisRow" fieldPosition="0"/>
    </format>
    <format dxfId="65">
      <pivotArea field="21" type="button" dataOnly="0" labelOnly="1" outline="0" axis="axisRow" fieldPosition="1"/>
    </format>
    <format dxfId="64">
      <pivotArea field="8" type="button" dataOnly="0" labelOnly="1" outline="0" axis="axisRow" fieldPosition="3"/>
    </format>
    <format dxfId="63">
      <pivotArea type="topRight" dataOnly="0" labelOnly="1" outline="0" fieldPosition="0"/>
    </format>
    <format dxfId="62">
      <pivotArea field="6" type="button" dataOnly="0" labelOnly="1" outline="0" axis="axisRow" fieldPosition="2"/>
    </format>
    <format dxfId="61">
      <pivotArea field="0" type="button" dataOnly="0" labelOnly="1" outline="0" axis="axisRow" fieldPosition="0"/>
    </format>
    <format dxfId="60">
      <pivotArea field="21" type="button" dataOnly="0" labelOnly="1" outline="0" axis="axisRow" fieldPosition="1"/>
    </format>
    <format dxfId="59">
      <pivotArea field="6" type="button" dataOnly="0" labelOnly="1" outline="0" axis="axisRow" fieldPosition="2"/>
    </format>
    <format dxfId="58">
      <pivotArea field="8" type="button" dataOnly="0" labelOnly="1" outline="0" axis="axisRow" fieldPosition="3"/>
    </format>
    <format dxfId="57">
      <pivotArea field="6" type="button" dataOnly="0" labelOnly="1" outline="0" axis="axisRow" fieldPosition="2"/>
    </format>
    <format dxfId="56">
      <pivotArea dataOnly="0" labelOnly="1" outline="0" fieldPosition="0">
        <references count="3">
          <reference field="0" count="1" selected="0">
            <x v="8"/>
          </reference>
          <reference field="6" count="1">
            <x v="816"/>
          </reference>
          <reference field="21" count="1" selected="0">
            <x v="6"/>
          </reference>
        </references>
      </pivotArea>
    </format>
    <format dxfId="55">
      <pivotArea dataOnly="0" labelOnly="1" outline="0" fieldPosition="0">
        <references count="1">
          <reference field="6" count="0"/>
        </references>
      </pivotArea>
    </format>
  </formats>
  <pivotTableStyleInfo name="PivotStyleMedium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8ED576-A75D-4533-843D-4476A9853363}" name="Tabla dinámica2" cacheId="1" dataOnRows="1" applyNumberFormats="0" applyBorderFormats="0" applyFontFormats="0" applyPatternFormats="0" applyAlignmentFormats="0" applyWidthHeightFormats="1" dataCaption="Datos" updatedVersion="8" minRefreshableVersion="3" showMemberPropertyTips="0" useAutoFormatting="1" itemPrintTitles="1" createdVersion="6" indent="0" compact="0" compactData="0" gridDropZones="1">
  <location ref="B4:F221" firstHeaderRow="2" firstDataRow="2" firstDataCol="4" rowPageCount="2" colPageCount="1"/>
  <pivotFields count="23">
    <pivotField axis="axisPage" compact="0" outline="0" subtotalTop="0" showAll="0" includeNewItemsInFilter="1">
      <items count="18">
        <item x="0"/>
        <item x="1"/>
        <item x="2"/>
        <item x="3"/>
        <item x="4"/>
        <item x="5"/>
        <item x="6"/>
        <item x="7"/>
        <item x="8"/>
        <item x="9"/>
        <item x="10"/>
        <item x="11"/>
        <item x="12"/>
        <item x="13"/>
        <item x="14"/>
        <item x="15"/>
        <item x="16"/>
        <item t="default"/>
      </items>
    </pivotField>
    <pivotField axis="axisRow" compact="0" outline="0" subtotalTop="0" showAll="0" includeNewItemsInFilter="1">
      <items count="18">
        <item x="0"/>
        <item x="1"/>
        <item x="2"/>
        <item x="3"/>
        <item x="4"/>
        <item x="5"/>
        <item x="6"/>
        <item x="7"/>
        <item x="8"/>
        <item x="9"/>
        <item x="10"/>
        <item x="11"/>
        <item x="12"/>
        <item x="13"/>
        <item x="14"/>
        <item x="15"/>
        <item x="16"/>
        <item t="default"/>
      </items>
    </pivotField>
    <pivotField compact="0" outline="0" subtotalTop="0" showAll="0" includeNewItemsInFilter="1"/>
    <pivotField axis="axisPage" compact="0" outline="0" subtotalTop="0" showAll="0" includeNewItemsInFilter="1">
      <items count="57">
        <item x="17"/>
        <item x="34"/>
        <item x="29"/>
        <item x="21"/>
        <item x="40"/>
        <item x="39"/>
        <item x="13"/>
        <item x="3"/>
        <item x="0"/>
        <item x="28"/>
        <item x="31"/>
        <item x="19"/>
        <item x="12"/>
        <item x="18"/>
        <item x="15"/>
        <item x="36"/>
        <item x="16"/>
        <item x="7"/>
        <item x="11"/>
        <item x="33"/>
        <item x="41"/>
        <item x="30"/>
        <item x="37"/>
        <item x="25"/>
        <item x="1"/>
        <item x="43"/>
        <item x="5"/>
        <item x="2"/>
        <item x="6"/>
        <item x="26"/>
        <item x="32"/>
        <item x="27"/>
        <item x="22"/>
        <item x="8"/>
        <item x="35"/>
        <item x="10"/>
        <item x="24"/>
        <item x="9"/>
        <item x="4"/>
        <item x="38"/>
        <item x="23"/>
        <item x="20"/>
        <item x="14"/>
        <item x="42"/>
        <item x="44"/>
        <item x="45"/>
        <item x="46"/>
        <item x="47"/>
        <item x="48"/>
        <item x="49"/>
        <item x="50"/>
        <item x="51"/>
        <item x="52"/>
        <item x="53"/>
        <item x="54"/>
        <item m="1" x="55"/>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312">
        <item sd="0" x="161"/>
        <item sd="0" x="504"/>
        <item sd="0" x="72"/>
        <item sd="0" x="73"/>
        <item sd="0" x="74"/>
        <item sd="0" x="776"/>
        <item sd="0" x="75"/>
        <item sd="0" x="76"/>
        <item sd="0" x="165"/>
        <item sd="0" x="166"/>
        <item sd="0" x="167"/>
        <item sd="0" x="168"/>
        <item sd="0" x="240"/>
        <item sd="0" x="241"/>
        <item sd="0" x="242"/>
        <item sd="0" x="243"/>
        <item sd="0" x="245"/>
        <item sd="0" x="244"/>
        <item sd="0" x="277"/>
        <item sd="0" x="278"/>
        <item sd="0" x="279"/>
        <item sd="0" x="280"/>
        <item sd="0" x="397"/>
        <item sd="0" x="398"/>
        <item sd="0" x="399"/>
        <item sd="0" x="400"/>
        <item sd="0" x="401"/>
        <item sd="0" x="402"/>
        <item sd="0" x="810"/>
        <item sd="0" x="628"/>
        <item sd="0" x="629"/>
        <item sd="0" x="730"/>
        <item sd="0" x="778"/>
        <item sd="0" x="253"/>
        <item sd="0" x="143"/>
        <item sd="0" x="229"/>
        <item sd="0" x="230"/>
        <item sd="0" x="231"/>
        <item sd="0" x="232"/>
        <item sd="0" x="290"/>
        <item sd="0" x="289"/>
        <item sd="0" x="291"/>
        <item sd="0" x="292"/>
        <item sd="0" x="293"/>
        <item sd="0" x="295"/>
        <item sd="0" x="296"/>
        <item sd="0" x="297"/>
        <item sd="0" x="298"/>
        <item sd="0" x="299"/>
        <item sd="0" x="405"/>
        <item sd="0" x="406"/>
        <item sd="0" x="408"/>
        <item sd="0" x="407"/>
        <item sd="0" x="410"/>
        <item sd="0" x="409"/>
        <item sd="0" x="413"/>
        <item sd="0" x="507"/>
        <item sd="0" x="508"/>
        <item sd="0" x="510"/>
        <item sd="0" x="511"/>
        <item sd="0" x="512"/>
        <item sd="0" x="513"/>
        <item sd="0" x="634"/>
        <item sd="0" x="636"/>
        <item sd="0" x="635"/>
        <item sd="0" x="638"/>
        <item sd="0" x="639"/>
        <item sd="0" x="734"/>
        <item sd="0" x="736"/>
        <item sd="0" x="735"/>
        <item sd="0" x="737"/>
        <item sd="0" x="739"/>
        <item sd="0" x="740"/>
        <item sd="0" x="742"/>
        <item sd="0" x="791"/>
        <item sd="0" x="794"/>
        <item sd="0" x="301"/>
        <item sd="0" x="474"/>
        <item sd="0" x="3"/>
        <item sd="0" x="5"/>
        <item sd="0" x="0"/>
        <item sd="0" x="2"/>
        <item sd="0" x="6"/>
        <item sd="0" x="7"/>
        <item sd="0" x="11"/>
        <item sd="0" x="24"/>
        <item sd="0" x="12"/>
        <item sd="0" x="28"/>
        <item sd="0" x="19"/>
        <item sd="0" x="25"/>
        <item sd="0" x="18"/>
        <item sd="0" x="44"/>
        <item sd="0" x="40"/>
        <item sd="0" x="20"/>
        <item sd="0" x="29"/>
        <item sd="0" x="39"/>
        <item sd="0" x="45"/>
        <item sd="0" x="38"/>
        <item sd="0" x="35"/>
        <item sd="0" x="36"/>
        <item sd="0" x="48"/>
        <item sd="0" x="37"/>
        <item sd="0" x="46"/>
        <item sd="0" x="41"/>
        <item sd="0" x="87"/>
        <item sd="0" x="88"/>
        <item sd="0" x="58"/>
        <item sd="0" x="93"/>
        <item sd="0" x="94"/>
        <item sd="0" x="95"/>
        <item sd="0" x="157"/>
        <item sd="0" x="102"/>
        <item sd="0" x="103"/>
        <item sd="0" x="104"/>
        <item sd="0" x="107"/>
        <item sd="0" x="110"/>
        <item sd="0" x="108"/>
        <item sd="0" x="111"/>
        <item sd="0" x="112"/>
        <item sd="0" x="113"/>
        <item sd="0" x="126"/>
        <item sd="0" x="123"/>
        <item sd="0" x="137"/>
        <item sd="0" x="129"/>
        <item sd="0" x="128"/>
        <item sd="0" x="130"/>
        <item sd="0" x="132"/>
        <item sd="0" x="133"/>
        <item sd="0" x="138"/>
        <item sd="0" x="136"/>
        <item sd="0" x="140"/>
        <item sd="0" x="141"/>
        <item sd="0" x="139"/>
        <item sd="0" x="158"/>
        <item sd="0" x="176"/>
        <item sd="0" x="177"/>
        <item sd="0" x="178"/>
        <item sd="0" x="181"/>
        <item sd="0" x="182"/>
        <item sd="0" x="184"/>
        <item sd="0" x="187"/>
        <item sd="0" x="183"/>
        <item sd="0" x="188"/>
        <item sd="0" x="190"/>
        <item sd="0" x="189"/>
        <item sd="0" x="191"/>
        <item sd="0" x="193"/>
        <item sd="0" x="194"/>
        <item sd="0" x="195"/>
        <item sd="0" x="200"/>
        <item sd="0" x="201"/>
        <item sd="0" x="202"/>
        <item sd="0" x="203"/>
        <item sd="0" x="204"/>
        <item sd="0" x="208"/>
        <item sd="0" x="209"/>
        <item sd="0" x="210"/>
        <item sd="0" x="215"/>
        <item sd="0" x="217"/>
        <item sd="0" x="218"/>
        <item sd="0" x="219"/>
        <item sd="0" x="220"/>
        <item sd="0" x="221"/>
        <item sd="0" x="222"/>
        <item sd="0" x="223"/>
        <item sd="0" x="303"/>
        <item sd="0" x="304"/>
        <item sd="0" x="306"/>
        <item sd="0" x="305"/>
        <item sd="0" x="307"/>
        <item sd="0" x="314"/>
        <item sd="0" x="327"/>
        <item sd="0" x="320"/>
        <item sd="0" x="346"/>
        <item sd="0" x="342"/>
        <item sd="0" x="339"/>
        <item sd="0" x="348"/>
        <item sd="0" x="354"/>
        <item sd="0" x="355"/>
        <item sd="0" x="349"/>
        <item sd="0" x="350"/>
        <item sd="0" x="356"/>
        <item sd="0" x="351"/>
        <item sd="0" x="352"/>
        <item sd="0" x="361"/>
        <item sd="0" x="362"/>
        <item sd="0" x="363"/>
        <item sd="0" x="357"/>
        <item sd="0" x="364"/>
        <item sd="0" x="370"/>
        <item sd="0" x="371"/>
        <item sd="0" x="465"/>
        <item sd="0" x="466"/>
        <item sd="0" x="435"/>
        <item sd="0" x="467"/>
        <item sd="0" x="423"/>
        <item sd="0" x="437"/>
        <item sd="0" x="436"/>
        <item sd="0" x="468"/>
        <item sd="0" x="469"/>
        <item sd="0" x="470"/>
        <item sd="0" x="473"/>
        <item sd="0" x="471"/>
        <item sd="0" x="475"/>
        <item sd="0" x="478"/>
        <item sd="0" x="477"/>
        <item sd="0" x="479"/>
        <item sd="0" x="480"/>
        <item sd="0" x="482"/>
        <item sd="0" x="487"/>
        <item sd="0" x="523"/>
        <item sd="0" x="527"/>
        <item sd="0" x="537"/>
        <item sd="0" x="530"/>
        <item sd="0" x="534"/>
        <item sd="0" x="538"/>
        <item sd="0" x="547"/>
        <item sd="0" x="559"/>
        <item sd="0" x="584"/>
        <item sd="0" x="578"/>
        <item sd="0" x="585"/>
        <item sd="0" x="587"/>
        <item sd="0" x="580"/>
        <item sd="0" x="581"/>
        <item sd="0" x="582"/>
        <item sd="0" x="651"/>
        <item sd="0" x="659"/>
        <item sd="0" x="660"/>
        <item sd="0" x="683"/>
        <item sd="0" x="673"/>
        <item sd="0" x="674"/>
        <item sd="0" x="684"/>
        <item sd="0" x="698"/>
        <item sd="0" x="708"/>
        <item sd="0" x="699"/>
        <item sd="0" x="702"/>
        <item sd="0" x="709"/>
        <item sd="0" x="710"/>
        <item sd="0" x="711"/>
        <item sd="0" x="743"/>
        <item sd="0" x="752"/>
        <item sd="0" x="744"/>
        <item sd="0" x="750"/>
        <item sd="0" x="753"/>
        <item sd="0" x="768"/>
        <item sd="0" x="733"/>
        <item sd="0" x="769"/>
        <item sd="0" x="770"/>
        <item sd="0" x="771"/>
        <item sd="0" x="772"/>
        <item sd="0" x="773"/>
        <item sd="0" x="774"/>
        <item sd="0" x="799"/>
        <item sd="0" x="801"/>
        <item sd="0" x="800"/>
        <item sd="0" x="802"/>
        <item sd="0" x="803"/>
        <item sd="0" x="805"/>
        <item sd="0" x="804"/>
        <item sd="0" x="806"/>
        <item sd="0" x="807"/>
        <item sd="0" x="808"/>
        <item sd="0" x="809"/>
        <item sd="0" x="812"/>
        <item sd="0" x="811"/>
        <item sd="0" x="813"/>
        <item sd="0" x="814"/>
        <item sd="0" x="815"/>
        <item sd="0" x="817"/>
        <item sd="0" x="816"/>
        <item sd="0" x="818"/>
        <item sd="0" x="819"/>
        <item sd="0" x="820"/>
        <item sd="0" x="66"/>
        <item sd="0" x="67"/>
        <item sd="0" x="631"/>
        <item sd="0" x="131"/>
        <item sd="0" x="599"/>
        <item sd="0" x="489"/>
        <item sd="0" x="797"/>
        <item sd="0" x="798"/>
        <item sd="0" x="781"/>
        <item sd="0" x="1"/>
        <item sd="0" x="4"/>
        <item sd="0" x="250"/>
        <item sd="0" x="262"/>
        <item sd="0" x="272"/>
        <item sd="0" x="388"/>
        <item sd="0" x="391"/>
        <item sd="0" x="488"/>
        <item sd="0" x="612"/>
        <item sd="0" x="610"/>
        <item sd="0" x="615"/>
        <item sd="0" x="617"/>
        <item sd="0" x="618"/>
        <item sd="0" x="623"/>
        <item sd="0" x="624"/>
        <item sd="0" x="625"/>
        <item sd="0" x="721"/>
        <item sd="0" x="719"/>
        <item sd="0" x="722"/>
        <item sd="0" x="723"/>
        <item sd="0" x="724"/>
        <item sd="0" x="726"/>
        <item sd="0" x="779"/>
        <item sd="0" x="780"/>
        <item sd="0" x="782"/>
        <item sd="0" x="783"/>
        <item sd="0" x="784"/>
        <item sd="0" x="785"/>
        <item sd="0" x="8"/>
        <item sd="0" x="9"/>
        <item sd="0" x="30"/>
        <item sd="0" x="10"/>
        <item sd="0" x="15"/>
        <item sd="0" x="16"/>
        <item sd="0" x="17"/>
        <item sd="0" x="27"/>
        <item sd="0" x="14"/>
        <item sd="0" x="13"/>
        <item sd="0" x="21"/>
        <item sd="0" x="22"/>
        <item sd="0" x="23"/>
        <item sd="0" x="42"/>
        <item sd="0" x="56"/>
        <item sd="0" x="114"/>
        <item sd="0" x="34"/>
        <item sd="0" x="33"/>
        <item sd="0" x="26"/>
        <item sd="0" x="47"/>
        <item sd="0" x="31"/>
        <item sd="0" x="32"/>
        <item sd="0" x="51"/>
        <item sd="0" x="43"/>
        <item sd="0" x="101"/>
        <item sd="0" x="99"/>
        <item sd="0" x="49"/>
        <item sd="0" x="50"/>
        <item sd="0" x="92"/>
        <item sd="0" x="57"/>
        <item sd="0" x="54"/>
        <item sd="0" x="53"/>
        <item sd="0" x="91"/>
        <item sd="0" x="55"/>
        <item sd="0" x="82"/>
        <item sd="0" x="83"/>
        <item sd="0" x="52"/>
        <item sd="0" x="84"/>
        <item sd="0" x="86"/>
        <item sd="0" x="85"/>
        <item sd="0" x="89"/>
        <item sd="0" x="90"/>
        <item sd="0" x="97"/>
        <item sd="0" x="96"/>
        <item sd="0" x="100"/>
        <item sd="0" x="98"/>
        <item sd="0" x="106"/>
        <item sd="0" x="105"/>
        <item sd="0" x="116"/>
        <item sd="0" x="118"/>
        <item sd="0" x="115"/>
        <item sd="0" x="109"/>
        <item sd="0" x="119"/>
        <item sd="0" x="117"/>
        <item sd="0" x="121"/>
        <item sd="0" x="120"/>
        <item sd="0" x="125"/>
        <item sd="0" x="122"/>
        <item sd="0" x="124"/>
        <item sd="0" x="134"/>
        <item sd="0" x="127"/>
        <item sd="0" x="135"/>
        <item sd="0" x="174"/>
        <item sd="0" x="175"/>
        <item sd="0" x="185"/>
        <item sd="0" x="179"/>
        <item sd="0" x="180"/>
        <item sd="0" x="186"/>
        <item sd="0" x="192"/>
        <item sd="0" x="198"/>
        <item sd="0" x="199"/>
        <item sd="0" x="196"/>
        <item sd="0" x="197"/>
        <item sd="0" x="206"/>
        <item sd="0" x="205"/>
        <item sd="0" x="207"/>
        <item sd="0" x="211"/>
        <item sd="0" x="212"/>
        <item sd="0" x="214"/>
        <item sd="0" x="216"/>
        <item sd="0" x="213"/>
        <item sd="0" x="224"/>
        <item sd="0" x="225"/>
        <item sd="0" x="228"/>
        <item sd="0" x="227"/>
        <item sd="0" x="226"/>
        <item sd="0" x="302"/>
        <item sd="0" x="308"/>
        <item sd="0" x="311"/>
        <item sd="0" x="312"/>
        <item sd="0" x="313"/>
        <item sd="0" x="309"/>
        <item sd="0" x="315"/>
        <item sd="0" x="318"/>
        <item sd="0" x="319"/>
        <item sd="0" x="322"/>
        <item sd="0" x="321"/>
        <item sd="0" x="310"/>
        <item sd="0" x="317"/>
        <item sd="0" x="316"/>
        <item sd="0" x="328"/>
        <item sd="0" x="323"/>
        <item sd="0" x="329"/>
        <item sd="0" x="326"/>
        <item sd="0" x="324"/>
        <item sd="0" x="335"/>
        <item sd="0" x="325"/>
        <item sd="0" x="336"/>
        <item sd="0" x="333"/>
        <item sd="0" x="330"/>
        <item sd="0" x="332"/>
        <item sd="0" x="334"/>
        <item sd="0" x="345"/>
        <item sd="0" x="343"/>
        <item sd="0" x="340"/>
        <item sd="0" x="338"/>
        <item sd="0" x="331"/>
        <item sd="0" x="337"/>
        <item sd="0" x="341"/>
        <item sd="0" x="358"/>
        <item sd="0" x="344"/>
        <item sd="0" x="353"/>
        <item sd="0" x="347"/>
        <item sd="0" x="369"/>
        <item sd="0" x="359"/>
        <item sd="0" x="365"/>
        <item sd="0" x="360"/>
        <item sd="0" x="366"/>
        <item sd="0" x="367"/>
        <item sd="0" x="379"/>
        <item sd="0" x="378"/>
        <item sd="0" x="372"/>
        <item sd="0" x="373"/>
        <item sd="0" x="376"/>
        <item sd="0" x="374"/>
        <item sd="0" x="375"/>
        <item sd="0" x="417"/>
        <item sd="0" x="418"/>
        <item sd="0" x="377"/>
        <item sd="0" x="368"/>
        <item sd="0" x="415"/>
        <item sd="0" x="433"/>
        <item sd="0" x="432"/>
        <item sd="0" x="416"/>
        <item sd="0" x="421"/>
        <item sd="0" x="419"/>
        <item sd="0" x="420"/>
        <item sd="0" x="434"/>
        <item sd="0" x="425"/>
        <item sd="0" x="424"/>
        <item sd="0" x="422"/>
        <item sd="0" x="429"/>
        <item sd="0" x="426"/>
        <item sd="0" x="428"/>
        <item sd="0" x="439"/>
        <item sd="0" x="430"/>
        <item sd="0" x="427"/>
        <item sd="0" x="440"/>
        <item sd="0" x="431"/>
        <item sd="0" x="438"/>
        <item sd="0" x="441"/>
        <item sd="0" x="442"/>
        <item sd="0" x="443"/>
        <item sd="0" x="446"/>
        <item sd="0" x="445"/>
        <item sd="0" x="448"/>
        <item sd="0" x="449"/>
        <item sd="0" x="444"/>
        <item sd="0" x="447"/>
        <item sd="0" x="481"/>
        <item sd="0" x="454"/>
        <item sd="0" x="452"/>
        <item sd="0" x="453"/>
        <item sd="0" x="450"/>
        <item sd="0" x="451"/>
        <item sd="0" x="472"/>
        <item sd="0" x="456"/>
        <item sd="0" x="458"/>
        <item sd="0" x="455"/>
        <item sd="0" x="457"/>
        <item sd="0" x="476"/>
        <item sd="0" x="461"/>
        <item sd="0" x="459"/>
        <item sd="0" x="460"/>
        <item sd="0" x="462"/>
        <item sd="0" x="483"/>
        <item sd="0" x="463"/>
        <item sd="0" x="464"/>
        <item sd="0" x="485"/>
        <item sd="0" x="484"/>
        <item sd="0" x="486"/>
        <item sd="0" x="526"/>
        <item sd="0" x="516"/>
        <item sd="0" x="522"/>
        <item sd="0" x="531"/>
        <item sd="0" x="518"/>
        <item sd="0" x="517"/>
        <item sd="0" x="515"/>
        <item sd="0" x="519"/>
        <item sd="0" x="524"/>
        <item sd="0" x="525"/>
        <item sd="0" x="532"/>
        <item sd="0" x="520"/>
        <item sd="0" x="521"/>
        <item sd="0" x="535"/>
        <item sd="0" x="536"/>
        <item sd="0" x="528"/>
        <item sd="0" x="529"/>
        <item sd="0" x="541"/>
        <item sd="0" x="555"/>
        <item sd="0" x="543"/>
        <item sd="0" x="545"/>
        <item sd="0" x="544"/>
        <item sd="0" x="539"/>
        <item sd="0" x="540"/>
        <item sd="0" x="550"/>
        <item sd="0" x="548"/>
        <item sd="0" x="546"/>
        <item sd="0" x="542"/>
        <item sd="0" x="554"/>
        <item sd="0" x="551"/>
        <item sd="0" x="552"/>
        <item sd="0" x="553"/>
        <item sd="0" x="558"/>
        <item sd="0" x="549"/>
        <item sd="0" x="560"/>
        <item sd="0" x="567"/>
        <item sd="0" x="565"/>
        <item sd="0" x="561"/>
        <item sd="0" x="556"/>
        <item sd="0" x="557"/>
        <item sd="0" x="564"/>
        <item sd="0" x="566"/>
        <item sd="0" x="562"/>
        <item sd="0" x="569"/>
        <item sd="0" x="563"/>
        <item sd="0" x="573"/>
        <item sd="0" x="572"/>
        <item sd="0" x="577"/>
        <item sd="0" x="570"/>
        <item sd="0" x="568"/>
        <item sd="0" x="571"/>
        <item sd="0" x="589"/>
        <item sd="0" x="574"/>
        <item sd="0" x="575"/>
        <item sd="0" x="586"/>
        <item sd="0" x="576"/>
        <item sd="0" x="588"/>
        <item sd="0" x="591"/>
        <item sd="0" x="590"/>
        <item sd="0" x="595"/>
        <item sd="0" x="642"/>
        <item sd="0" x="593"/>
        <item sd="0" x="579"/>
        <item sd="0" x="592"/>
        <item sd="0" x="594"/>
        <item sd="0" x="597"/>
        <item sd="0" x="596"/>
        <item sd="0" x="598"/>
        <item sd="0" x="600"/>
        <item sd="0" x="641"/>
        <item sd="0" x="601"/>
        <item sd="0" x="602"/>
        <item sd="0" x="643"/>
        <item sd="0" x="644"/>
        <item sd="0" x="646"/>
        <item sd="0" x="656"/>
        <item sd="0" x="645"/>
        <item sd="0" x="603"/>
        <item sd="0" x="604"/>
        <item sd="0" x="657"/>
        <item sd="0" x="650"/>
        <item sd="0" x="652"/>
        <item sd="0" x="653"/>
        <item sd="0" x="647"/>
        <item sd="0" x="648"/>
        <item sd="0" x="649"/>
        <item sd="0" x="663"/>
        <item sd="0" x="658"/>
        <item sd="0" x="662"/>
        <item sd="0" x="654"/>
        <item sd="0" x="655"/>
        <item sd="0" x="661"/>
        <item sd="0" x="664"/>
        <item sd="0" x="665"/>
        <item sd="0" x="666"/>
        <item sd="0" x="667"/>
        <item sd="0" x="668"/>
        <item sd="0" x="669"/>
        <item sd="0" x="671"/>
        <item sd="0" x="670"/>
        <item sd="0" x="679"/>
        <item sd="0" x="677"/>
        <item sd="0" x="675"/>
        <item sd="0" x="672"/>
        <item sd="0" x="680"/>
        <item sd="0" x="691"/>
        <item sd="0" x="681"/>
        <item sd="0" x="682"/>
        <item sd="0" x="678"/>
        <item sd="0" x="689"/>
        <item sd="0" x="685"/>
        <item sd="0" x="687"/>
        <item sd="0" x="688"/>
        <item sd="0" x="690"/>
        <item sd="0" x="686"/>
        <item sd="0" x="692"/>
        <item sd="0" x="694"/>
        <item sd="0" x="696"/>
        <item sd="0" x="695"/>
        <item sd="0" x="693"/>
        <item sd="0" x="700"/>
        <item sd="0" x="697"/>
        <item sd="0" x="701"/>
        <item sd="0" x="703"/>
        <item sd="0" x="704"/>
        <item sd="0" x="707"/>
        <item sd="0" x="705"/>
        <item sd="0" x="706"/>
        <item sd="0" x="751"/>
        <item sd="0" x="745"/>
        <item sd="0" x="748"/>
        <item sd="0" x="749"/>
        <item sd="0" x="747"/>
        <item sd="0" x="758"/>
        <item sd="0" x="746"/>
        <item sd="0" x="764"/>
        <item sd="0" x="759"/>
        <item sd="0" x="755"/>
        <item sd="0" x="762"/>
        <item sd="0" x="754"/>
        <item sd="0" x="761"/>
        <item sd="0" x="756"/>
        <item sd="0" x="760"/>
        <item sd="0" x="765"/>
        <item sd="0" x="767"/>
        <item sd="0" x="757"/>
        <item sd="0" x="763"/>
        <item sd="0" x="766"/>
        <item sd="0" x="676"/>
        <item sd="0" x="287"/>
        <item sd="0" x="792"/>
        <item sd="0" x="403"/>
        <item sd="0" x="412"/>
        <item sd="0" x="630"/>
        <item sd="0" x="288"/>
        <item sd="0" x="254"/>
        <item sd="0" x="255"/>
        <item sd="0" x="59"/>
        <item sd="0" x="738"/>
        <item sd="0" x="256"/>
        <item sd="0" x="741"/>
        <item sd="0" x="258"/>
        <item sd="0" x="506"/>
        <item sd="0" x="637"/>
        <item sd="0" x="793"/>
        <item sd="0" x="257"/>
        <item sd="0" x="509"/>
        <item sd="0" x="145"/>
        <item sd="0" x="146"/>
        <item sd="0" x="411"/>
        <item sd="0" x="294"/>
        <item sd="0" x="640"/>
        <item sd="0" x="300"/>
        <item sd="0" x="77"/>
        <item sd="0" x="246"/>
        <item sd="0" x="79"/>
        <item sd="0" x="396"/>
        <item sd="0" x="78"/>
        <item sd="0" x="247"/>
        <item sd="0" x="503"/>
        <item sd="0" x="275"/>
        <item sd="0" x="627"/>
        <item sd="0" x="605"/>
        <item sd="0" x="712"/>
        <item sd="0" x="775"/>
        <item sd="0" x="68"/>
        <item sd="0" x="159"/>
        <item sd="0" x="236"/>
        <item sd="0" x="286"/>
        <item sd="0" x="500"/>
        <item sd="0" x="501"/>
        <item sd="0" x="502"/>
        <item sd="0" x="499"/>
        <item sd="0" x="285"/>
        <item sd="0" x="632"/>
        <item sd="0" x="731"/>
        <item sd="0" x="732"/>
        <item sd="0" x="283"/>
        <item sd="0" x="169"/>
        <item sd="0" x="142"/>
        <item sd="0" x="144"/>
        <item sd="0" x="147"/>
        <item sd="0" x="514"/>
        <item sd="0" x="281"/>
        <item sd="0" x="70"/>
        <item sd="0" x="69"/>
        <item sd="0" x="505"/>
        <item sd="0" x="162"/>
        <item sd="0" x="163"/>
        <item sd="0" x="164"/>
        <item sd="0" x="170"/>
        <item sd="0" x="60"/>
        <item sd="0" x="61"/>
        <item sd="0" x="62"/>
        <item sd="0" x="63"/>
        <item sd="0" x="64"/>
        <item sd="0" x="65"/>
        <item sd="0" x="149"/>
        <item sd="0" x="148"/>
        <item sd="0" x="150"/>
        <item sd="0" x="152"/>
        <item sd="0" x="154"/>
        <item sd="0" x="151"/>
        <item sd="0" x="155"/>
        <item sd="0" x="153"/>
        <item sd="0" x="233"/>
        <item sd="0" x="156"/>
        <item sd="0" x="234"/>
        <item sd="0" x="235"/>
        <item sd="0" x="404"/>
        <item sd="0" x="633"/>
        <item sd="0" x="282"/>
        <item sd="0" x="284"/>
        <item sd="0" x="238"/>
        <item sd="0" x="237"/>
        <item sd="0" x="239"/>
        <item sd="0" x="713"/>
        <item sd="0" x="414"/>
        <item sd="0" x="790"/>
        <item sd="0" x="266"/>
        <item sd="0" x="260"/>
        <item sd="0" x="259"/>
        <item sd="0" x="261"/>
        <item sd="0" x="380"/>
        <item sd="0" x="381"/>
        <item sd="0" x="383"/>
        <item sd="0" x="384"/>
        <item sd="0" x="382"/>
        <item sd="0" x="385"/>
        <item sd="0" x="607"/>
        <item sd="0" x="606"/>
        <item sd="0" x="608"/>
        <item sd="0" x="715"/>
        <item sd="0" x="609"/>
        <item sd="0" x="777"/>
        <item sd="0" x="714"/>
        <item sd="0" x="614"/>
        <item sd="0" x="611"/>
        <item sd="0" x="619"/>
        <item sd="0" x="616"/>
        <item sd="0" x="620"/>
        <item sd="0" x="621"/>
        <item sd="0" x="622"/>
        <item sd="0" x="716"/>
        <item sd="0" x="718"/>
        <item sd="0" x="717"/>
        <item sd="0" x="720"/>
        <item sd="0" x="725"/>
        <item sd="0" x="727"/>
        <item sd="0" x="173"/>
        <item sd="0" x="249"/>
        <item sd="0" x="251"/>
        <item sd="0" x="252"/>
        <item sd="0" x="263"/>
        <item sd="0" x="264"/>
        <item sd="0" x="265"/>
        <item sd="0" x="267"/>
        <item sd="0" x="271"/>
        <item sd="0" x="269"/>
        <item sd="0" x="270"/>
        <item sd="0" x="268"/>
        <item sd="0" x="273"/>
        <item sd="0" x="274"/>
        <item sd="0" x="386"/>
        <item sd="0" x="387"/>
        <item sd="0" x="390"/>
        <item sd="0" x="389"/>
        <item sd="0" x="392"/>
        <item sd="0" x="393"/>
        <item sd="0" x="491"/>
        <item sd="0" x="490"/>
        <item sd="0" x="492"/>
        <item sd="0" x="493"/>
        <item sd="0" x="495"/>
        <item sd="0" x="494"/>
        <item sd="0" x="496"/>
        <item sd="0" x="497"/>
        <item sd="0" x="498"/>
        <item sd="0" x="729"/>
        <item sd="0" x="71"/>
        <item sd="0" x="160"/>
        <item sd="0" x="276"/>
        <item sd="0" x="394"/>
        <item sd="0" x="626"/>
        <item sd="0" x="395"/>
        <item sd="0" x="80"/>
        <item sd="0" x="81"/>
        <item sd="0" x="171"/>
        <item sd="0" x="172"/>
        <item sd="0" x="248"/>
        <item sd="0" x="613"/>
        <item sd="0" x="728"/>
        <item sd="0" x="533"/>
        <item sd="0" x="786"/>
        <item sd="0" x="787"/>
        <item sd="0" x="821"/>
        <item sd="0" x="795"/>
        <item sd="0" x="788"/>
        <item sd="0" x="789"/>
        <item sd="0" x="822"/>
        <item sd="0" x="823"/>
        <item sd="0" x="796"/>
        <item sd="0" x="825"/>
        <item sd="0" x="826"/>
        <item sd="0" x="834"/>
        <item sd="0" x="836"/>
        <item sd="0" x="837"/>
        <item sd="0" x="583"/>
        <item sd="0" x="824"/>
        <item sd="0" x="827"/>
        <item sd="0" x="828"/>
        <item sd="0" x="829"/>
        <item sd="0" x="830"/>
        <item sd="0" x="831"/>
        <item sd="0" x="832"/>
        <item sd="0" x="835"/>
        <item sd="0" x="833"/>
        <item sd="0" x="838"/>
        <item sd="0" x="839"/>
        <item sd="0" x="840"/>
        <item sd="0" x="841"/>
        <item sd="0" x="842"/>
        <item sd="0" x="843"/>
        <item sd="0" x="844"/>
        <item sd="0" x="845"/>
        <item sd="0" x="846"/>
        <item sd="0" x="850"/>
        <item sd="0" x="847"/>
        <item sd="0" x="848"/>
        <item sd="0" x="849"/>
        <item sd="0" x="851"/>
        <item sd="0" x="852"/>
        <item sd="0" x="853"/>
        <item sd="0" x="854"/>
        <item sd="0" x="855"/>
        <item sd="0" x="866"/>
        <item sd="0" x="867"/>
        <item sd="0" x="880"/>
        <item sd="0" x="881"/>
        <item sd="0" x="885"/>
        <item sd="0" x="856"/>
        <item sd="0" x="857"/>
        <item sd="0" x="868"/>
        <item sd="0" x="882"/>
        <item sd="0" x="886"/>
        <item sd="0" x="887"/>
        <item sd="0" x="888"/>
        <item sd="0" x="858"/>
        <item sd="0" x="859"/>
        <item sd="0" x="860"/>
        <item sd="0" x="861"/>
        <item sd="0" x="862"/>
        <item sd="0" x="863"/>
        <item sd="0" x="869"/>
        <item sd="0" x="870"/>
        <item sd="0" x="871"/>
        <item sd="0" x="872"/>
        <item sd="0" x="873"/>
        <item sd="0" x="874"/>
        <item sd="0" x="875"/>
        <item sd="0" x="864"/>
        <item sd="0" x="865"/>
        <item sd="0" x="876"/>
        <item sd="0" x="877"/>
        <item sd="0" x="878"/>
        <item sd="0" x="879"/>
        <item sd="0" x="889"/>
        <item sd="0" x="883"/>
        <item sd="0" x="884"/>
        <item sd="0" x="890"/>
        <item sd="0" x="891"/>
        <item sd="0" x="892"/>
        <item sd="0" x="893"/>
        <item sd="0" x="894"/>
        <item sd="0" x="895"/>
        <item sd="0" x="896"/>
        <item sd="0" x="897"/>
        <item sd="0" x="898"/>
        <item sd="0" x="899"/>
        <item sd="0" x="902"/>
        <item sd="0" x="905"/>
        <item sd="0" x="907"/>
        <item sd="0" x="900"/>
        <item sd="0" x="906"/>
        <item sd="0" x="908"/>
        <item sd="0" x="909"/>
        <item sd="0" x="901"/>
        <item sd="0" x="903"/>
        <item sd="0" x="904"/>
        <item sd="0" x="910"/>
        <item sd="0" x="911"/>
        <item sd="0" x="912"/>
        <item sd="0" x="913"/>
        <item sd="0" x="914"/>
        <item sd="0" x="915"/>
        <item sd="0" x="917"/>
        <item sd="0" x="918"/>
        <item sd="0" x="919"/>
        <item sd="0" x="920"/>
        <item sd="0" x="921"/>
        <item sd="0" x="922"/>
        <item sd="0" x="916"/>
        <item sd="0" x="923"/>
        <item sd="0" x="925"/>
        <item sd="0" x="927"/>
        <item sd="0" x="924"/>
        <item sd="0" x="926"/>
        <item sd="0" x="928"/>
        <item sd="0" x="929"/>
        <item sd="0" x="930"/>
        <item sd="0" x="931"/>
        <item sd="0" x="932"/>
        <item sd="0" x="933"/>
        <item sd="0" x="934"/>
        <item sd="0" x="935"/>
        <item sd="0" x="937"/>
        <item sd="0" x="938"/>
        <item sd="0" x="939"/>
        <item sd="0" x="936"/>
        <item sd="0" x="940"/>
        <item sd="0" x="941"/>
        <item sd="0" x="942"/>
        <item sd="0" x="944"/>
        <item sd="0" x="945"/>
        <item sd="0" x="946"/>
        <item sd="0" x="947"/>
        <item sd="0" x="948"/>
        <item sd="0" x="949"/>
        <item sd="0" x="950"/>
        <item sd="0" x="951"/>
        <item sd="0" x="952"/>
        <item sd="0" x="943"/>
        <item sd="0" x="956"/>
        <item sd="0" x="1004"/>
        <item sd="0" x="1028"/>
        <item sd="0" x="953"/>
        <item sd="0" x="954"/>
        <item sd="0" x="955"/>
        <item sd="0" x="957"/>
        <item sd="0" x="958"/>
        <item sd="0" x="959"/>
        <item sd="0" x="960"/>
        <item sd="0" x="961"/>
        <item sd="0" x="962"/>
        <item sd="0" x="963"/>
        <item sd="0" x="964"/>
        <item sd="0" x="1003"/>
        <item sd="0" x="1005"/>
        <item sd="0" x="1029"/>
        <item sd="0" x="965"/>
        <item sd="0" x="966"/>
        <item sd="0" x="967"/>
        <item sd="0" x="968"/>
        <item sd="0" x="969"/>
        <item sd="0" x="970"/>
        <item sd="0" x="1006"/>
        <item sd="0" x="1007"/>
        <item sd="0" x="1008"/>
        <item sd="0" x="1009"/>
        <item sd="0" x="1010"/>
        <item sd="0" x="1027"/>
        <item sd="0" x="1030"/>
        <item sd="0" x="1031"/>
        <item sd="0" x="971"/>
        <item sd="0" x="972"/>
        <item sd="0" x="973"/>
        <item sd="0" x="974"/>
        <item sd="0" x="1011"/>
        <item sd="0" x="1012"/>
        <item sd="0" x="1013"/>
        <item sd="0" x="1014"/>
        <item sd="0" x="1015"/>
        <item sd="0" x="1032"/>
        <item sd="0" x="975"/>
        <item sd="0" x="976"/>
        <item sd="0" x="977"/>
        <item sd="0" x="978"/>
        <item sd="0" x="979"/>
        <item sd="0" x="980"/>
        <item sd="0" x="981"/>
        <item sd="0" x="982"/>
        <item sd="0" x="983"/>
        <item sd="0" x="984"/>
        <item sd="0" x="985"/>
        <item sd="0" x="986"/>
        <item sd="0" x="987"/>
        <item sd="0" x="988"/>
        <item sd="0" x="989"/>
        <item sd="0" x="990"/>
        <item sd="0" x="991"/>
        <item sd="0" x="992"/>
        <item sd="0" x="1016"/>
        <item sd="0" x="1017"/>
        <item sd="0" x="1018"/>
        <item sd="0" x="1019"/>
        <item sd="0" x="1020"/>
        <item sd="0" x="1021"/>
        <item sd="0" x="1022"/>
        <item sd="0" x="1033"/>
        <item sd="0" x="1034"/>
        <item sd="0" x="993"/>
        <item sd="0" x="994"/>
        <item sd="0" x="995"/>
        <item sd="0" x="996"/>
        <item sd="0" x="997"/>
        <item sd="0" x="998"/>
        <item sd="0" x="999"/>
        <item sd="0" x="1037"/>
        <item sd="0" x="1000"/>
        <item sd="0" x="1001"/>
        <item sd="0" x="1002"/>
        <item sd="0" x="1023"/>
        <item sd="0" x="1026"/>
        <item sd="0" x="1035"/>
        <item sd="0" x="1024"/>
        <item sd="0" x="1025"/>
        <item sd="0" x="1038"/>
        <item sd="0" x="1039"/>
        <item sd="0" x="1040"/>
        <item sd="0" x="1041"/>
        <item sd="0" x="1042"/>
        <item sd="0" x="1043"/>
        <item sd="0" x="1044"/>
        <item sd="0" x="1045"/>
        <item sd="0" x="1046"/>
        <item sd="0" x="1047"/>
        <item sd="0" x="1090"/>
        <item sd="0" x="1036"/>
        <item sd="0" x="1107"/>
        <item sd="0" x="1089"/>
        <item sd="0" x="1091"/>
        <item sd="0" x="1048"/>
        <item sd="0" x="1049"/>
        <item sd="0" x="1050"/>
        <item sd="0" x="1051"/>
        <item sd="0" x="1052"/>
        <item sd="0" x="1053"/>
        <item sd="0" x="1054"/>
        <item sd="0" x="1055"/>
        <item sd="0" x="1056"/>
        <item sd="0" x="1057"/>
        <item sd="0" x="1058"/>
        <item sd="0" x="1059"/>
        <item sd="0" x="1092"/>
        <item sd="0" x="1093"/>
        <item sd="0" x="1094"/>
        <item sd="0" x="1095"/>
        <item sd="0" x="1096"/>
        <item sd="0" x="1097"/>
        <item sd="0" x="1098"/>
        <item sd="0" x="1099"/>
        <item sd="0" x="1060"/>
        <item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100"/>
        <item sd="0" x="1101"/>
        <item sd="0" x="1102"/>
        <item sd="0" x="1103"/>
        <item sd="0" x="1104"/>
        <item sd="0" x="1105"/>
        <item sd="0" x="1106"/>
        <item sd="0" x="1108"/>
        <item sd="0"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83"/>
        <item x="1184"/>
        <item x="1185"/>
        <item x="1186"/>
        <item x="1187"/>
        <item x="1188"/>
        <item x="1189"/>
        <item x="1190"/>
        <item x="1191"/>
        <item x="1192"/>
        <item x="1193"/>
        <item x="1174"/>
        <item x="1175"/>
        <item x="1176"/>
        <item x="1177"/>
        <item x="1178"/>
        <item x="1179"/>
        <item x="1194"/>
        <item x="1195"/>
        <item x="1180"/>
        <item x="1181"/>
        <item x="1182"/>
        <item x="1196"/>
        <item x="1197"/>
        <item x="1198"/>
        <item x="1199"/>
        <item x="1200"/>
        <item x="1201"/>
        <item x="1202"/>
        <item x="1203"/>
        <item x="1204"/>
        <item x="1205"/>
        <item x="1206"/>
        <item x="1207"/>
        <item x="1208"/>
        <item x="1209"/>
        <item x="1210"/>
        <item x="1211"/>
        <item x="1212"/>
        <item x="1213"/>
        <item x="1214"/>
        <item x="1215"/>
        <item x="1216"/>
        <item x="1217"/>
        <item x="1224"/>
        <item x="1225"/>
        <item x="1226"/>
        <item x="1227"/>
        <item x="1218"/>
        <item x="1219"/>
        <item x="1228"/>
        <item x="1220"/>
        <item x="1221"/>
        <item x="1229"/>
        <item x="1230"/>
        <item x="1222"/>
        <item x="1223"/>
        <item x="1231"/>
        <item x="1232"/>
        <item x="1233"/>
        <item x="1234"/>
        <item x="1235"/>
        <item x="1236"/>
        <item x="1246"/>
        <item x="1247"/>
        <item x="1237"/>
        <item x="1238"/>
        <item x="1239"/>
        <item x="1240"/>
        <item x="1241"/>
        <item x="1242"/>
        <item x="1248"/>
        <item x="1249"/>
        <item x="1250"/>
        <item x="1257"/>
        <item x="1243"/>
        <item x="1244"/>
        <item x="1245"/>
        <item x="1251"/>
        <item x="1252"/>
        <item x="1253"/>
        <item x="1258"/>
        <item x="1259"/>
        <item x="1260"/>
        <item x="1254"/>
        <item x="1255"/>
        <item x="1256"/>
        <item x="1299"/>
        <item x="1261"/>
        <item x="1262"/>
        <item x="1263"/>
        <item x="1264"/>
        <item x="1265"/>
        <item x="1266"/>
        <item x="1267"/>
        <item x="1268"/>
        <item x="1269"/>
        <item x="1270"/>
        <item x="1271"/>
        <item x="1272"/>
        <item x="1274"/>
        <item x="1275"/>
        <item x="1276"/>
        <item x="1273"/>
        <item x="1277"/>
        <item x="1278"/>
        <item x="1285"/>
        <item x="1288"/>
        <item x="1300"/>
        <item x="1309"/>
        <item x="1308"/>
        <item x="1279"/>
        <item x="1280"/>
        <item x="1281"/>
        <item x="1282"/>
        <item x="1283"/>
        <item x="1286"/>
        <item x="1284"/>
        <item x="1287"/>
        <item x="1301"/>
        <item x="1302"/>
        <item x="1289"/>
        <item x="1290"/>
        <item x="1291"/>
        <item x="1292"/>
        <item x="1293"/>
        <item x="1294"/>
        <item x="1295"/>
        <item x="1296"/>
        <item x="1297"/>
        <item x="1298"/>
        <item x="1303"/>
        <item x="1304"/>
        <item x="1305"/>
        <item x="1306"/>
        <item x="1307"/>
        <item m="1" x="1310"/>
        <item t="default" sd="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171">
        <item x="107"/>
        <item x="106"/>
        <item x="113"/>
        <item x="26"/>
        <item x="114"/>
        <item x="112"/>
        <item x="111"/>
        <item x="130"/>
        <item x="115"/>
        <item x="40"/>
        <item x="101"/>
        <item x="89"/>
        <item x="51"/>
        <item x="83"/>
        <item x="91"/>
        <item x="31"/>
        <item x="25"/>
        <item x="108"/>
        <item x="68"/>
        <item x="22"/>
        <item x="38"/>
        <item x="53"/>
        <item x="88"/>
        <item x="70"/>
        <item x="72"/>
        <item x="71"/>
        <item x="69"/>
        <item x="39"/>
        <item x="37"/>
        <item x="20"/>
        <item x="42"/>
        <item x="85"/>
        <item x="48"/>
        <item x="90"/>
        <item x="59"/>
        <item x="67"/>
        <item x="84"/>
        <item x="35"/>
        <item x="102"/>
        <item x="18"/>
        <item x="34"/>
        <item x="87"/>
        <item x="21"/>
        <item x="50"/>
        <item x="10"/>
        <item x="52"/>
        <item x="17"/>
        <item x="49"/>
        <item x="74"/>
        <item x="77"/>
        <item x="64"/>
        <item x="86"/>
        <item x="33"/>
        <item x="19"/>
        <item x="46"/>
        <item x="75"/>
        <item x="2"/>
        <item x="44"/>
        <item x="63"/>
        <item x="11"/>
        <item x="15"/>
        <item x="9"/>
        <item x="14"/>
        <item x="62"/>
        <item x="32"/>
        <item x="23"/>
        <item x="47"/>
        <item x="30"/>
        <item x="13"/>
        <item x="43"/>
        <item x="12"/>
        <item x="45"/>
        <item x="0"/>
        <item x="5"/>
        <item x="7"/>
        <item x="8"/>
        <item x="6"/>
        <item x="92"/>
        <item x="95"/>
        <item x="16"/>
        <item x="110"/>
        <item x="82"/>
        <item x="100"/>
        <item x="3"/>
        <item x="36"/>
        <item x="93"/>
        <item x="81"/>
        <item x="29"/>
        <item x="4"/>
        <item x="105"/>
        <item x="97"/>
        <item x="128"/>
        <item x="119"/>
        <item x="96"/>
        <item x="66"/>
        <item x="94"/>
        <item x="1"/>
        <item x="28"/>
        <item x="120"/>
        <item x="134"/>
        <item x="118"/>
        <item x="54"/>
        <item x="125"/>
        <item x="126"/>
        <item x="27"/>
        <item x="73"/>
        <item x="121"/>
        <item x="117"/>
        <item x="109"/>
        <item x="78"/>
        <item x="133"/>
        <item x="98"/>
        <item x="124"/>
        <item x="55"/>
        <item x="122"/>
        <item x="127"/>
        <item x="129"/>
        <item x="24"/>
        <item x="41"/>
        <item x="123"/>
        <item x="104"/>
        <item x="131"/>
        <item x="80"/>
        <item x="61"/>
        <item x="99"/>
        <item x="116"/>
        <item x="60"/>
        <item x="103"/>
        <item x="79"/>
        <item x="58"/>
        <item x="57"/>
        <item x="65"/>
        <item x="56"/>
        <item x="135"/>
        <item x="132"/>
        <item x="76"/>
        <item x="136"/>
        <item x="137"/>
        <item x="139"/>
        <item x="138"/>
        <item x="140"/>
        <item x="141"/>
        <item x="142"/>
        <item x="144"/>
        <item x="143"/>
        <item x="145"/>
        <item x="146"/>
        <item x="147"/>
        <item x="148"/>
        <item x="149"/>
        <item x="150"/>
        <item x="153"/>
        <item x="151"/>
        <item x="155"/>
        <item x="152"/>
        <item x="154"/>
        <item x="156"/>
        <item x="157"/>
        <item x="158"/>
        <item m="1" x="169"/>
        <item m="1" x="167"/>
        <item m="1" x="168"/>
        <item x="159"/>
        <item x="160"/>
        <item x="161"/>
        <item x="162"/>
        <item x="163"/>
        <item m="1" x="166"/>
        <item x="165"/>
        <item x="16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4">
        <item sd="0" x="0"/>
        <item sd="0" x="1"/>
        <item sd="0" x="2"/>
        <item sd="0" x="10"/>
        <item sd="0" x="3"/>
        <item sd="0" x="4"/>
        <item sd="0" x="5"/>
        <item sd="0" x="6"/>
        <item sd="0" x="7"/>
        <item sd="0" x="8"/>
        <item sd="0" x="9"/>
        <item sd="0" x="11"/>
        <item sd="0" m="1" x="12"/>
        <item t="default"/>
      </items>
    </pivotField>
    <pivotField compact="0" outline="0" showAll="0"/>
  </pivotFields>
  <rowFields count="4">
    <field x="1"/>
    <field x="21"/>
    <field x="6"/>
    <field x="13"/>
  </rowFields>
  <rowItems count="216">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10"/>
    </i>
    <i r="1">
      <x v="11"/>
    </i>
    <i t="default">
      <x v="7"/>
    </i>
    <i>
      <x v="8"/>
      <x/>
    </i>
    <i r="1">
      <x v="1"/>
    </i>
    <i r="1">
      <x v="2"/>
    </i>
    <i r="1">
      <x v="3"/>
    </i>
    <i r="1">
      <x v="4"/>
    </i>
    <i r="1">
      <x v="5"/>
    </i>
    <i r="1">
      <x v="6"/>
    </i>
    <i r="1">
      <x v="7"/>
    </i>
    <i r="1">
      <x v="8"/>
    </i>
    <i r="1">
      <x v="9"/>
    </i>
    <i r="1">
      <x v="10"/>
    </i>
    <i r="1">
      <x v="11"/>
    </i>
    <i t="default">
      <x v="8"/>
    </i>
    <i>
      <x v="9"/>
      <x/>
    </i>
    <i r="1">
      <x v="1"/>
    </i>
    <i r="1">
      <x v="2"/>
    </i>
    <i r="1">
      <x v="4"/>
    </i>
    <i r="1">
      <x v="5"/>
    </i>
    <i r="1">
      <x v="6"/>
    </i>
    <i r="1">
      <x v="7"/>
    </i>
    <i r="1">
      <x v="8"/>
    </i>
    <i r="1">
      <x v="9"/>
    </i>
    <i r="1">
      <x v="10"/>
    </i>
    <i r="1">
      <x v="11"/>
    </i>
    <i t="default">
      <x v="9"/>
    </i>
    <i>
      <x v="10"/>
      <x/>
    </i>
    <i r="1">
      <x v="2"/>
    </i>
    <i r="1">
      <x v="3"/>
    </i>
    <i r="1">
      <x v="4"/>
    </i>
    <i r="1">
      <x v="5"/>
    </i>
    <i r="1">
      <x v="8"/>
    </i>
    <i r="1">
      <x v="9"/>
    </i>
    <i r="1">
      <x v="10"/>
    </i>
    <i r="1">
      <x v="11"/>
    </i>
    <i t="default">
      <x v="10"/>
    </i>
    <i>
      <x v="11"/>
      <x/>
    </i>
    <i r="1">
      <x v="1"/>
    </i>
    <i r="1">
      <x v="2"/>
    </i>
    <i r="1">
      <x v="3"/>
    </i>
    <i r="1">
      <x v="4"/>
    </i>
    <i r="1">
      <x v="5"/>
    </i>
    <i r="1">
      <x v="6"/>
    </i>
    <i r="1">
      <x v="7"/>
    </i>
    <i r="1">
      <x v="8"/>
    </i>
    <i r="1">
      <x v="9"/>
    </i>
    <i r="1">
      <x v="10"/>
    </i>
    <i r="1">
      <x v="11"/>
    </i>
    <i t="default">
      <x v="11"/>
    </i>
    <i>
      <x v="12"/>
      <x/>
    </i>
    <i r="1">
      <x v="1"/>
    </i>
    <i r="1">
      <x v="2"/>
    </i>
    <i r="1">
      <x v="3"/>
    </i>
    <i r="1">
      <x v="4"/>
    </i>
    <i r="1">
      <x v="5"/>
    </i>
    <i r="1">
      <x v="6"/>
    </i>
    <i r="1">
      <x v="7"/>
    </i>
    <i r="1">
      <x v="8"/>
    </i>
    <i r="1">
      <x v="9"/>
    </i>
    <i r="1">
      <x v="10"/>
    </i>
    <i r="1">
      <x v="11"/>
    </i>
    <i t="default">
      <x v="12"/>
    </i>
    <i>
      <x v="13"/>
      <x/>
    </i>
    <i r="1">
      <x v="1"/>
    </i>
    <i r="1">
      <x v="2"/>
    </i>
    <i r="1">
      <x v="3"/>
    </i>
    <i r="1">
      <x v="4"/>
    </i>
    <i r="1">
      <x v="5"/>
    </i>
    <i r="1">
      <x v="6"/>
    </i>
    <i r="1">
      <x v="7"/>
    </i>
    <i r="1">
      <x v="8"/>
    </i>
    <i r="1">
      <x v="9"/>
    </i>
    <i r="1">
      <x v="10"/>
    </i>
    <i r="1">
      <x v="11"/>
    </i>
    <i t="default">
      <x v="13"/>
    </i>
    <i>
      <x v="14"/>
      <x/>
    </i>
    <i r="1">
      <x v="1"/>
    </i>
    <i r="1">
      <x v="2"/>
    </i>
    <i r="1">
      <x v="3"/>
    </i>
    <i r="1">
      <x v="4"/>
    </i>
    <i r="1">
      <x v="5"/>
    </i>
    <i r="1">
      <x v="6"/>
    </i>
    <i r="1">
      <x v="7"/>
    </i>
    <i r="1">
      <x v="8"/>
    </i>
    <i r="1">
      <x v="9"/>
    </i>
    <i r="1">
      <x v="10"/>
    </i>
    <i r="1">
      <x v="11"/>
    </i>
    <i t="default">
      <x v="14"/>
    </i>
    <i>
      <x v="15"/>
      <x/>
    </i>
    <i r="1">
      <x v="1"/>
    </i>
    <i r="1">
      <x v="2"/>
    </i>
    <i r="1">
      <x v="3"/>
    </i>
    <i r="1">
      <x v="4"/>
    </i>
    <i r="1">
      <x v="5"/>
    </i>
    <i r="1">
      <x v="6"/>
    </i>
    <i r="1">
      <x v="7"/>
    </i>
    <i r="1">
      <x v="8"/>
    </i>
    <i r="1">
      <x v="9"/>
    </i>
    <i r="1">
      <x v="10"/>
    </i>
    <i r="1">
      <x v="11"/>
    </i>
    <i t="default">
      <x v="15"/>
    </i>
    <i>
      <x v="16"/>
      <x/>
    </i>
    <i r="1">
      <x v="1"/>
    </i>
    <i r="1">
      <x v="2"/>
    </i>
    <i r="1">
      <x v="3"/>
    </i>
    <i r="1">
      <x v="4"/>
    </i>
    <i r="1">
      <x v="5"/>
    </i>
    <i r="1">
      <x v="6"/>
    </i>
    <i r="1">
      <x v="7"/>
    </i>
    <i r="1">
      <x v="8"/>
    </i>
    <i r="1">
      <x v="9"/>
    </i>
    <i r="1">
      <x v="10"/>
    </i>
    <i r="1">
      <x v="11"/>
    </i>
    <i t="default">
      <x v="16"/>
    </i>
    <i t="grand">
      <x/>
    </i>
  </rowItems>
  <colItems count="1">
    <i/>
  </colItems>
  <pageFields count="2">
    <pageField fld="0" hier="0"/>
    <pageField fld="3" hier="0"/>
  </pageFields>
  <dataFields count="1">
    <dataField name="Promedio de Adelanto/Atraso" fld="13" subtotal="average" baseField="0" baseItem="0" numFmtId="1"/>
  </dataFields>
  <formats count="31">
    <format dxfId="54">
      <pivotArea type="topRight" dataOnly="0" labelOnly="1" outline="0" fieldPosition="0"/>
    </format>
    <format dxfId="53">
      <pivotArea outline="0" fieldPosition="0"/>
    </format>
    <format dxfId="52">
      <pivotArea type="topRight" dataOnly="0" labelOnly="1" outline="0" fieldPosition="0"/>
    </format>
    <format dxfId="51">
      <pivotArea type="origin" dataOnly="0" labelOnly="1" outline="0" fieldPosition="0"/>
    </format>
    <format dxfId="50">
      <pivotArea field="1" type="button" dataOnly="0" labelOnly="1" outline="0" axis="axisRow" fieldPosition="0"/>
    </format>
    <format dxfId="49">
      <pivotArea field="21" type="button" dataOnly="0" labelOnly="1" outline="0" axis="axisRow" fieldPosition="1"/>
    </format>
    <format dxfId="48">
      <pivotArea field="13" type="button" dataOnly="0" labelOnly="1" outline="0" axis="axisRow" fieldPosition="3"/>
    </format>
    <format dxfId="47">
      <pivotArea type="topRight" dataOnly="0" labelOnly="1" outline="0" fieldPosition="0"/>
    </format>
    <format dxfId="46">
      <pivotArea field="6" type="button" dataOnly="0" labelOnly="1" outline="0" axis="axisRow" fieldPosition="2"/>
    </format>
    <format dxfId="45">
      <pivotArea field="1" type="button" dataOnly="0" labelOnly="1" outline="0" axis="axisRow" fieldPosition="0"/>
    </format>
    <format dxfId="44">
      <pivotArea field="21" type="button" dataOnly="0" labelOnly="1" outline="0" axis="axisRow" fieldPosition="1"/>
    </format>
    <format dxfId="43">
      <pivotArea field="6" type="button" dataOnly="0" labelOnly="1" outline="0" axis="axisRow" fieldPosition="2"/>
    </format>
    <format dxfId="42">
      <pivotArea field="13" type="button" dataOnly="0" labelOnly="1" outline="0" axis="axisRow" fieldPosition="3"/>
    </format>
    <format dxfId="41">
      <pivotArea field="1" type="button" dataOnly="0" labelOnly="1" outline="0" axis="axisRow" fieldPosition="0"/>
    </format>
    <format dxfId="40">
      <pivotArea field="21" type="button" dataOnly="0" labelOnly="1" outline="0" axis="axisRow" fieldPosition="1"/>
    </format>
    <format dxfId="39">
      <pivotArea field="6" type="button" dataOnly="0" labelOnly="1" outline="0" axis="axisRow" fieldPosition="2"/>
    </format>
    <format dxfId="38">
      <pivotArea field="13" type="button" dataOnly="0" labelOnly="1" outline="0" axis="axisRow" fieldPosition="3"/>
    </format>
    <format dxfId="37">
      <pivotArea field="6" type="button" dataOnly="0" labelOnly="1" outline="0" axis="axisRow" fieldPosition="2"/>
    </format>
    <format dxfId="36">
      <pivotArea dataOnly="0" labelOnly="1" outline="0" fieldPosition="0">
        <references count="1">
          <reference field="6" count="0"/>
        </references>
      </pivotArea>
    </format>
    <format dxfId="35">
      <pivotArea outline="0" collapsedLevelsAreSubtotals="1" fieldPosition="0"/>
    </format>
    <format dxfId="34">
      <pivotArea type="topRight" dataOnly="0" labelOnly="1" outline="0" fieldPosition="0"/>
    </format>
    <format dxfId="33">
      <pivotArea type="topRight" dataOnly="0" labelOnly="1" outline="0" fieldPosition="0"/>
    </format>
    <format dxfId="32">
      <pivotArea outline="0" collapsedLevelsAreSubtotals="1" fieldPosition="0"/>
    </format>
    <format dxfId="31">
      <pivotArea type="topRight" dataOnly="0" labelOnly="1" outline="0" fieldPosition="0"/>
    </format>
    <format dxfId="30">
      <pivotArea type="topRight" dataOnly="0" labelOnly="1" outline="0" fieldPosition="0"/>
    </format>
    <format dxfId="29">
      <pivotArea outline="0" collapsedLevelsAreSubtotals="1" fieldPosition="0"/>
    </format>
    <format dxfId="28">
      <pivotArea type="topRight" dataOnly="0" labelOnly="1" outline="0" fieldPosition="0"/>
    </format>
    <format dxfId="27">
      <pivotArea type="topRight" dataOnly="0" labelOnly="1" outline="0" fieldPosition="0"/>
    </format>
    <format dxfId="26">
      <pivotArea outline="0" collapsedLevelsAreSubtotals="1" fieldPosition="0"/>
    </format>
    <format dxfId="25">
      <pivotArea type="topRight" dataOnly="0" labelOnly="1" outline="0" fieldPosition="0"/>
    </format>
    <format dxfId="24">
      <pivotArea type="topRight" dataOnly="0" labelOnly="1" outline="0" fieldPosition="0"/>
    </format>
  </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600275-61FF-4664-9C74-D115174BDE68}" name="Tabla dinámica2" cacheId="1" applyNumberFormats="0" applyBorderFormats="0" applyFontFormats="0" applyPatternFormats="0" applyAlignmentFormats="0" applyWidthHeightFormats="1" dataCaption="Datos" updatedVersion="8" minRefreshableVersion="3" showMemberPropertyTips="0" useAutoFormatting="1" itemPrintTitles="1" createdVersion="6" indent="0" compact="0" compactData="0" gridDropZones="1">
  <location ref="B4:E221" firstHeaderRow="2" firstDataRow="2" firstDataCol="3" rowPageCount="2" colPageCount="1"/>
  <pivotFields count="23">
    <pivotField axis="axisPage" compact="0" outline="0" subtotalTop="0" showAll="0" includeNewItemsInFilter="1">
      <items count="18">
        <item x="0"/>
        <item x="1"/>
        <item x="2"/>
        <item x="3"/>
        <item x="4"/>
        <item x="5"/>
        <item x="6"/>
        <item x="7"/>
        <item x="8"/>
        <item x="9"/>
        <item x="10"/>
        <item x="11"/>
        <item x="12"/>
        <item x="13"/>
        <item x="14"/>
        <item x="15"/>
        <item x="16"/>
        <item t="default"/>
      </items>
    </pivotField>
    <pivotField axis="axisRow" compact="0" outline="0" subtotalTop="0" showAll="0" includeNewItemsInFilter="1">
      <items count="18">
        <item x="0"/>
        <item x="1"/>
        <item x="2"/>
        <item x="3"/>
        <item x="4"/>
        <item x="5"/>
        <item x="6"/>
        <item x="7"/>
        <item x="8"/>
        <item x="9"/>
        <item x="10"/>
        <item x="11"/>
        <item x="12"/>
        <item x="13"/>
        <item x="14"/>
        <item x="15"/>
        <item x="16"/>
        <item t="default"/>
      </items>
    </pivotField>
    <pivotField compact="0" outline="0" subtotalTop="0" showAll="0" includeNewItemsInFilter="1"/>
    <pivotField axis="axisPage" compact="0" outline="0" subtotalTop="0" showAll="0" includeNewItemsInFilter="1">
      <items count="57">
        <item x="17"/>
        <item x="34"/>
        <item x="29"/>
        <item x="21"/>
        <item x="40"/>
        <item x="39"/>
        <item x="13"/>
        <item x="3"/>
        <item x="0"/>
        <item x="28"/>
        <item x="31"/>
        <item x="19"/>
        <item x="12"/>
        <item x="18"/>
        <item x="15"/>
        <item x="36"/>
        <item x="16"/>
        <item x="7"/>
        <item x="11"/>
        <item x="33"/>
        <item x="41"/>
        <item x="30"/>
        <item x="37"/>
        <item x="25"/>
        <item x="1"/>
        <item x="43"/>
        <item x="5"/>
        <item x="2"/>
        <item x="6"/>
        <item x="26"/>
        <item x="32"/>
        <item x="27"/>
        <item x="22"/>
        <item x="8"/>
        <item x="35"/>
        <item x="10"/>
        <item x="24"/>
        <item x="9"/>
        <item x="4"/>
        <item x="38"/>
        <item x="23"/>
        <item x="20"/>
        <item x="14"/>
        <item x="42"/>
        <item x="44"/>
        <item x="45"/>
        <item x="46"/>
        <item x="47"/>
        <item x="48"/>
        <item x="49"/>
        <item x="50"/>
        <item x="51"/>
        <item x="52"/>
        <item x="53"/>
        <item x="54"/>
        <item m="1" x="55"/>
        <item t="default"/>
      </items>
    </pivotField>
    <pivotField compact="0" outline="0" subtotalTop="0" showAll="0" includeNewItemsInFilter="1"/>
    <pivotField compact="0" outline="0" subtotalTop="0" showAll="0" includeNewItemsInFilter="1"/>
    <pivotField axis="axisRow" compact="0" outline="0" subtotalTop="0" showAll="0" includeNewItemsInFilter="1">
      <items count="1312">
        <item sd="0" x="161"/>
        <item sd="0" x="504"/>
        <item sd="0" x="72"/>
        <item sd="0" x="73"/>
        <item sd="0" x="74"/>
        <item sd="0" x="776"/>
        <item sd="0" x="75"/>
        <item sd="0" x="76"/>
        <item sd="0" x="165"/>
        <item sd="0" x="166"/>
        <item sd="0" x="167"/>
        <item sd="0" x="168"/>
        <item sd="0" x="240"/>
        <item sd="0" x="241"/>
        <item sd="0" x="242"/>
        <item sd="0" x="243"/>
        <item sd="0" x="245"/>
        <item sd="0" x="244"/>
        <item sd="0" x="277"/>
        <item sd="0" x="278"/>
        <item sd="0" x="279"/>
        <item sd="0" x="280"/>
        <item sd="0" x="397"/>
        <item sd="0" x="398"/>
        <item sd="0" x="399"/>
        <item sd="0" x="400"/>
        <item sd="0" x="401"/>
        <item sd="0" x="402"/>
        <item sd="0" x="810"/>
        <item sd="0" x="628"/>
        <item sd="0" x="629"/>
        <item sd="0" x="730"/>
        <item sd="0" x="778"/>
        <item sd="0" x="253"/>
        <item sd="0" x="143"/>
        <item sd="0" x="229"/>
        <item sd="0" x="230"/>
        <item sd="0" x="231"/>
        <item sd="0" x="232"/>
        <item sd="0" x="290"/>
        <item sd="0" x="289"/>
        <item sd="0" x="291"/>
        <item sd="0" x="292"/>
        <item sd="0" x="293"/>
        <item sd="0" x="295"/>
        <item sd="0" x="296"/>
        <item sd="0" x="297"/>
        <item sd="0" x="298"/>
        <item sd="0" x="299"/>
        <item sd="0" x="405"/>
        <item sd="0" x="406"/>
        <item sd="0" x="408"/>
        <item sd="0" x="407"/>
        <item sd="0" x="410"/>
        <item sd="0" x="409"/>
        <item sd="0" x="413"/>
        <item sd="0" x="507"/>
        <item sd="0" x="508"/>
        <item sd="0" x="510"/>
        <item sd="0" x="511"/>
        <item sd="0" x="512"/>
        <item sd="0" x="513"/>
        <item sd="0" x="634"/>
        <item sd="0" x="636"/>
        <item sd="0" x="635"/>
        <item sd="0" x="638"/>
        <item sd="0" x="639"/>
        <item sd="0" x="734"/>
        <item sd="0" x="736"/>
        <item sd="0" x="735"/>
        <item sd="0" x="737"/>
        <item sd="0" x="739"/>
        <item sd="0" x="740"/>
        <item sd="0" x="742"/>
        <item sd="0" x="791"/>
        <item sd="0" x="794"/>
        <item sd="0" x="301"/>
        <item sd="0" x="474"/>
        <item sd="0" x="3"/>
        <item sd="0" x="5"/>
        <item sd="0" x="0"/>
        <item sd="0" x="2"/>
        <item sd="0" x="6"/>
        <item sd="0" x="7"/>
        <item sd="0" x="11"/>
        <item sd="0" x="24"/>
        <item sd="0" x="12"/>
        <item sd="0" x="28"/>
        <item sd="0" x="19"/>
        <item sd="0" x="25"/>
        <item sd="0" x="18"/>
        <item sd="0" x="44"/>
        <item sd="0" x="40"/>
        <item sd="0" x="20"/>
        <item sd="0" x="29"/>
        <item sd="0" x="39"/>
        <item sd="0" x="45"/>
        <item sd="0" x="38"/>
        <item sd="0" x="35"/>
        <item sd="0" x="36"/>
        <item sd="0" x="48"/>
        <item sd="0" x="37"/>
        <item sd="0" x="46"/>
        <item sd="0" x="41"/>
        <item sd="0" x="87"/>
        <item sd="0" x="88"/>
        <item sd="0" x="58"/>
        <item sd="0" x="93"/>
        <item sd="0" x="94"/>
        <item sd="0" x="95"/>
        <item sd="0" x="157"/>
        <item sd="0" x="102"/>
        <item sd="0" x="103"/>
        <item sd="0" x="104"/>
        <item sd="0" x="107"/>
        <item sd="0" x="110"/>
        <item sd="0" x="108"/>
        <item sd="0" x="111"/>
        <item sd="0" x="112"/>
        <item sd="0" x="113"/>
        <item sd="0" x="126"/>
        <item sd="0" x="123"/>
        <item sd="0" x="137"/>
        <item sd="0" x="129"/>
        <item sd="0" x="128"/>
        <item sd="0" x="130"/>
        <item sd="0" x="132"/>
        <item sd="0" x="133"/>
        <item sd="0" x="138"/>
        <item sd="0" x="136"/>
        <item sd="0" x="140"/>
        <item sd="0" x="141"/>
        <item sd="0" x="139"/>
        <item sd="0" x="158"/>
        <item sd="0" x="176"/>
        <item sd="0" x="177"/>
        <item sd="0" x="178"/>
        <item sd="0" x="181"/>
        <item sd="0" x="182"/>
        <item sd="0" x="184"/>
        <item sd="0" x="187"/>
        <item sd="0" x="183"/>
        <item sd="0" x="188"/>
        <item sd="0" x="190"/>
        <item sd="0" x="189"/>
        <item sd="0" x="191"/>
        <item sd="0" x="193"/>
        <item sd="0" x="194"/>
        <item sd="0" x="195"/>
        <item sd="0" x="200"/>
        <item sd="0" x="201"/>
        <item sd="0" x="202"/>
        <item sd="0" x="203"/>
        <item sd="0" x="204"/>
        <item sd="0" x="208"/>
        <item sd="0" x="209"/>
        <item sd="0" x="210"/>
        <item sd="0" x="215"/>
        <item sd="0" x="217"/>
        <item sd="0" x="218"/>
        <item sd="0" x="219"/>
        <item sd="0" x="220"/>
        <item sd="0" x="221"/>
        <item sd="0" x="222"/>
        <item sd="0" x="223"/>
        <item sd="0" x="303"/>
        <item sd="0" x="304"/>
        <item sd="0" x="306"/>
        <item sd="0" x="305"/>
        <item sd="0" x="307"/>
        <item sd="0" x="314"/>
        <item sd="0" x="327"/>
        <item sd="0" x="320"/>
        <item sd="0" x="346"/>
        <item sd="0" x="342"/>
        <item sd="0" x="339"/>
        <item sd="0" x="348"/>
        <item sd="0" x="354"/>
        <item sd="0" x="355"/>
        <item sd="0" x="349"/>
        <item sd="0" x="350"/>
        <item sd="0" x="356"/>
        <item sd="0" x="351"/>
        <item sd="0" x="352"/>
        <item sd="0" x="361"/>
        <item sd="0" x="362"/>
        <item sd="0" x="363"/>
        <item sd="0" x="357"/>
        <item sd="0" x="364"/>
        <item sd="0" x="370"/>
        <item sd="0" x="371"/>
        <item sd="0" x="465"/>
        <item sd="0" x="466"/>
        <item sd="0" x="435"/>
        <item sd="0" x="467"/>
        <item sd="0" x="423"/>
        <item sd="0" x="437"/>
        <item sd="0" x="436"/>
        <item sd="0" x="468"/>
        <item sd="0" x="469"/>
        <item sd="0" x="470"/>
        <item sd="0" x="473"/>
        <item sd="0" x="471"/>
        <item sd="0" x="475"/>
        <item sd="0" x="478"/>
        <item sd="0" x="477"/>
        <item sd="0" x="479"/>
        <item sd="0" x="480"/>
        <item sd="0" x="482"/>
        <item sd="0" x="487"/>
        <item sd="0" x="523"/>
        <item sd="0" x="527"/>
        <item sd="0" x="537"/>
        <item sd="0" x="530"/>
        <item sd="0" x="534"/>
        <item sd="0" x="538"/>
        <item sd="0" x="547"/>
        <item sd="0" x="559"/>
        <item sd="0" x="584"/>
        <item sd="0" x="578"/>
        <item sd="0" x="585"/>
        <item sd="0" x="587"/>
        <item sd="0" x="580"/>
        <item sd="0" x="581"/>
        <item sd="0" x="582"/>
        <item sd="0" x="651"/>
        <item sd="0" x="659"/>
        <item sd="0" x="660"/>
        <item sd="0" x="683"/>
        <item sd="0" x="673"/>
        <item sd="0" x="674"/>
        <item sd="0" x="684"/>
        <item sd="0" x="698"/>
        <item sd="0" x="708"/>
        <item sd="0" x="699"/>
        <item sd="0" x="702"/>
        <item sd="0" x="709"/>
        <item sd="0" x="710"/>
        <item sd="0" x="711"/>
        <item sd="0" x="743"/>
        <item sd="0" x="752"/>
        <item sd="0" x="744"/>
        <item sd="0" x="750"/>
        <item sd="0" x="753"/>
        <item sd="0" x="768"/>
        <item sd="0" x="733"/>
        <item sd="0" x="769"/>
        <item sd="0" x="770"/>
        <item sd="0" x="771"/>
        <item sd="0" x="772"/>
        <item sd="0" x="773"/>
        <item sd="0" x="774"/>
        <item sd="0" x="799"/>
        <item sd="0" x="801"/>
        <item sd="0" x="800"/>
        <item sd="0" x="802"/>
        <item sd="0" x="803"/>
        <item sd="0" x="805"/>
        <item sd="0" x="804"/>
        <item sd="0" x="806"/>
        <item sd="0" x="807"/>
        <item sd="0" x="808"/>
        <item sd="0" x="809"/>
        <item sd="0" x="812"/>
        <item sd="0" x="811"/>
        <item sd="0" x="813"/>
        <item sd="0" x="814"/>
        <item sd="0" x="815"/>
        <item sd="0" x="817"/>
        <item sd="0" x="816"/>
        <item sd="0" x="818"/>
        <item sd="0" x="819"/>
        <item sd="0" x="820"/>
        <item sd="0" x="66"/>
        <item sd="0" x="67"/>
        <item sd="0" x="631"/>
        <item sd="0" x="131"/>
        <item sd="0" x="599"/>
        <item sd="0" x="489"/>
        <item sd="0" x="797"/>
        <item sd="0" x="798"/>
        <item sd="0" x="781"/>
        <item sd="0" x="1"/>
        <item sd="0" x="4"/>
        <item sd="0" x="250"/>
        <item sd="0" x="262"/>
        <item sd="0" x="272"/>
        <item sd="0" x="388"/>
        <item sd="0" x="391"/>
        <item sd="0" x="488"/>
        <item sd="0" x="612"/>
        <item sd="0" x="610"/>
        <item sd="0" x="615"/>
        <item sd="0" x="617"/>
        <item sd="0" x="618"/>
        <item sd="0" x="623"/>
        <item sd="0" x="624"/>
        <item sd="0" x="625"/>
        <item sd="0" x="721"/>
        <item sd="0" x="719"/>
        <item sd="0" x="722"/>
        <item sd="0" x="723"/>
        <item sd="0" x="724"/>
        <item sd="0" x="726"/>
        <item sd="0" x="779"/>
        <item sd="0" x="780"/>
        <item sd="0" x="782"/>
        <item sd="0" x="783"/>
        <item sd="0" x="784"/>
        <item sd="0" x="785"/>
        <item sd="0" x="8"/>
        <item sd="0" x="9"/>
        <item sd="0" x="30"/>
        <item sd="0" x="10"/>
        <item sd="0" x="15"/>
        <item sd="0" x="16"/>
        <item sd="0" x="17"/>
        <item sd="0" x="27"/>
        <item sd="0" x="14"/>
        <item sd="0" x="13"/>
        <item sd="0" x="21"/>
        <item sd="0" x="22"/>
        <item sd="0" x="23"/>
        <item sd="0" x="42"/>
        <item sd="0" x="56"/>
        <item sd="0" x="114"/>
        <item sd="0" x="34"/>
        <item sd="0" x="33"/>
        <item sd="0" x="26"/>
        <item sd="0" x="47"/>
        <item sd="0" x="31"/>
        <item sd="0" x="32"/>
        <item sd="0" x="51"/>
        <item sd="0" x="43"/>
        <item sd="0" x="101"/>
        <item sd="0" x="99"/>
        <item sd="0" x="49"/>
        <item sd="0" x="50"/>
        <item sd="0" x="92"/>
        <item sd="0" x="57"/>
        <item sd="0" x="54"/>
        <item sd="0" x="53"/>
        <item sd="0" x="91"/>
        <item sd="0" x="55"/>
        <item sd="0" x="82"/>
        <item sd="0" x="83"/>
        <item sd="0" x="52"/>
        <item sd="0" x="84"/>
        <item sd="0" x="86"/>
        <item sd="0" x="85"/>
        <item sd="0" x="89"/>
        <item sd="0" x="90"/>
        <item sd="0" x="97"/>
        <item sd="0" x="96"/>
        <item sd="0" x="100"/>
        <item sd="0" x="98"/>
        <item sd="0" x="106"/>
        <item sd="0" x="105"/>
        <item sd="0" x="116"/>
        <item sd="0" x="118"/>
        <item sd="0" x="115"/>
        <item sd="0" x="109"/>
        <item sd="0" x="119"/>
        <item sd="0" x="117"/>
        <item sd="0" x="121"/>
        <item sd="0" x="120"/>
        <item sd="0" x="125"/>
        <item sd="0" x="122"/>
        <item sd="0" x="124"/>
        <item sd="0" x="134"/>
        <item sd="0" x="127"/>
        <item sd="0" x="135"/>
        <item sd="0" x="174"/>
        <item sd="0" x="175"/>
        <item sd="0" x="185"/>
        <item sd="0" x="179"/>
        <item sd="0" x="180"/>
        <item sd="0" x="186"/>
        <item sd="0" x="192"/>
        <item sd="0" x="198"/>
        <item sd="0" x="199"/>
        <item sd="0" x="196"/>
        <item sd="0" x="197"/>
        <item sd="0" x="206"/>
        <item sd="0" x="205"/>
        <item sd="0" x="207"/>
        <item sd="0" x="211"/>
        <item sd="0" x="212"/>
        <item sd="0" x="214"/>
        <item sd="0" x="216"/>
        <item sd="0" x="213"/>
        <item sd="0" x="224"/>
        <item sd="0" x="225"/>
        <item sd="0" x="228"/>
        <item sd="0" x="227"/>
        <item sd="0" x="226"/>
        <item sd="0" x="302"/>
        <item sd="0" x="308"/>
        <item sd="0" x="311"/>
        <item sd="0" x="312"/>
        <item sd="0" x="313"/>
        <item sd="0" x="309"/>
        <item sd="0" x="315"/>
        <item sd="0" x="318"/>
        <item sd="0" x="319"/>
        <item sd="0" x="322"/>
        <item sd="0" x="321"/>
        <item sd="0" x="310"/>
        <item sd="0" x="317"/>
        <item sd="0" x="316"/>
        <item sd="0" x="328"/>
        <item sd="0" x="323"/>
        <item sd="0" x="329"/>
        <item sd="0" x="326"/>
        <item sd="0" x="324"/>
        <item sd="0" x="335"/>
        <item sd="0" x="325"/>
        <item sd="0" x="336"/>
        <item sd="0" x="333"/>
        <item sd="0" x="330"/>
        <item sd="0" x="332"/>
        <item sd="0" x="334"/>
        <item sd="0" x="345"/>
        <item sd="0" x="343"/>
        <item sd="0" x="340"/>
        <item sd="0" x="338"/>
        <item sd="0" x="331"/>
        <item sd="0" x="337"/>
        <item sd="0" x="341"/>
        <item sd="0" x="358"/>
        <item sd="0" x="344"/>
        <item sd="0" x="353"/>
        <item sd="0" x="347"/>
        <item sd="0" x="369"/>
        <item sd="0" x="359"/>
        <item sd="0" x="365"/>
        <item sd="0" x="360"/>
        <item sd="0" x="366"/>
        <item sd="0" x="367"/>
        <item sd="0" x="379"/>
        <item sd="0" x="378"/>
        <item sd="0" x="372"/>
        <item sd="0" x="373"/>
        <item sd="0" x="376"/>
        <item sd="0" x="374"/>
        <item sd="0" x="375"/>
        <item sd="0" x="417"/>
        <item sd="0" x="418"/>
        <item sd="0" x="377"/>
        <item sd="0" x="368"/>
        <item sd="0" x="415"/>
        <item sd="0" x="433"/>
        <item sd="0" x="432"/>
        <item sd="0" x="416"/>
        <item sd="0" x="421"/>
        <item sd="0" x="419"/>
        <item sd="0" x="420"/>
        <item sd="0" x="434"/>
        <item sd="0" x="425"/>
        <item sd="0" x="424"/>
        <item sd="0" x="422"/>
        <item sd="0" x="429"/>
        <item sd="0" x="426"/>
        <item sd="0" x="428"/>
        <item sd="0" x="439"/>
        <item sd="0" x="430"/>
        <item sd="0" x="427"/>
        <item sd="0" x="440"/>
        <item sd="0" x="431"/>
        <item sd="0" x="438"/>
        <item sd="0" x="441"/>
        <item sd="0" x="442"/>
        <item sd="0" x="443"/>
        <item sd="0" x="446"/>
        <item sd="0" x="445"/>
        <item sd="0" x="448"/>
        <item sd="0" x="449"/>
        <item sd="0" x="444"/>
        <item sd="0" x="447"/>
        <item sd="0" x="481"/>
        <item sd="0" x="454"/>
        <item sd="0" x="452"/>
        <item sd="0" x="453"/>
        <item sd="0" x="450"/>
        <item sd="0" x="451"/>
        <item sd="0" x="472"/>
        <item sd="0" x="456"/>
        <item sd="0" x="458"/>
        <item sd="0" x="455"/>
        <item sd="0" x="457"/>
        <item sd="0" x="476"/>
        <item sd="0" x="461"/>
        <item sd="0" x="459"/>
        <item sd="0" x="460"/>
        <item sd="0" x="462"/>
        <item sd="0" x="483"/>
        <item sd="0" x="463"/>
        <item sd="0" x="464"/>
        <item sd="0" x="485"/>
        <item sd="0" x="484"/>
        <item sd="0" x="486"/>
        <item sd="0" x="526"/>
        <item sd="0" x="516"/>
        <item sd="0" x="522"/>
        <item sd="0" x="531"/>
        <item sd="0" x="518"/>
        <item sd="0" x="517"/>
        <item sd="0" x="515"/>
        <item sd="0" x="519"/>
        <item sd="0" x="524"/>
        <item sd="0" x="525"/>
        <item sd="0" x="532"/>
        <item sd="0" x="520"/>
        <item sd="0" x="521"/>
        <item sd="0" x="535"/>
        <item sd="0" x="536"/>
        <item sd="0" x="528"/>
        <item sd="0" x="529"/>
        <item sd="0" x="541"/>
        <item sd="0" x="555"/>
        <item sd="0" x="543"/>
        <item sd="0" x="545"/>
        <item sd="0" x="544"/>
        <item sd="0" x="539"/>
        <item sd="0" x="540"/>
        <item sd="0" x="550"/>
        <item sd="0" x="548"/>
        <item sd="0" x="546"/>
        <item sd="0" x="542"/>
        <item sd="0" x="554"/>
        <item sd="0" x="551"/>
        <item sd="0" x="552"/>
        <item sd="0" x="553"/>
        <item sd="0" x="558"/>
        <item sd="0" x="549"/>
        <item sd="0" x="560"/>
        <item sd="0" x="567"/>
        <item sd="0" x="565"/>
        <item sd="0" x="561"/>
        <item sd="0" x="556"/>
        <item sd="0" x="557"/>
        <item sd="0" x="564"/>
        <item sd="0" x="566"/>
        <item sd="0" x="562"/>
        <item sd="0" x="569"/>
        <item sd="0" x="563"/>
        <item sd="0" x="573"/>
        <item sd="0" x="572"/>
        <item sd="0" x="577"/>
        <item sd="0" x="570"/>
        <item sd="0" x="568"/>
        <item sd="0" x="571"/>
        <item sd="0" x="589"/>
        <item sd="0" x="574"/>
        <item sd="0" x="575"/>
        <item sd="0" x="586"/>
        <item sd="0" x="576"/>
        <item sd="0" x="588"/>
        <item sd="0" x="591"/>
        <item sd="0" x="590"/>
        <item sd="0" x="595"/>
        <item sd="0" x="642"/>
        <item sd="0" x="593"/>
        <item sd="0" x="579"/>
        <item sd="0" x="592"/>
        <item sd="0" x="594"/>
        <item sd="0" x="597"/>
        <item sd="0" x="596"/>
        <item sd="0" x="598"/>
        <item sd="0" x="600"/>
        <item sd="0" x="641"/>
        <item sd="0" x="601"/>
        <item sd="0" x="602"/>
        <item sd="0" x="643"/>
        <item sd="0" x="644"/>
        <item sd="0" x="646"/>
        <item sd="0" x="656"/>
        <item sd="0" x="645"/>
        <item sd="0" x="603"/>
        <item sd="0" x="604"/>
        <item sd="0" x="657"/>
        <item sd="0" x="650"/>
        <item sd="0" x="652"/>
        <item sd="0" x="653"/>
        <item sd="0" x="647"/>
        <item sd="0" x="648"/>
        <item sd="0" x="649"/>
        <item sd="0" x="663"/>
        <item sd="0" x="658"/>
        <item sd="0" x="662"/>
        <item sd="0" x="654"/>
        <item sd="0" x="655"/>
        <item sd="0" x="661"/>
        <item sd="0" x="664"/>
        <item sd="0" x="665"/>
        <item sd="0" x="666"/>
        <item sd="0" x="667"/>
        <item sd="0" x="668"/>
        <item sd="0" x="669"/>
        <item sd="0" x="671"/>
        <item sd="0" x="670"/>
        <item sd="0" x="679"/>
        <item sd="0" x="677"/>
        <item sd="0" x="675"/>
        <item sd="0" x="672"/>
        <item sd="0" x="680"/>
        <item sd="0" x="691"/>
        <item sd="0" x="681"/>
        <item sd="0" x="682"/>
        <item sd="0" x="678"/>
        <item sd="0" x="689"/>
        <item sd="0" x="685"/>
        <item sd="0" x="687"/>
        <item sd="0" x="688"/>
        <item sd="0" x="690"/>
        <item sd="0" x="686"/>
        <item sd="0" x="692"/>
        <item sd="0" x="694"/>
        <item sd="0" x="696"/>
        <item sd="0" x="695"/>
        <item sd="0" x="693"/>
        <item sd="0" x="700"/>
        <item sd="0" x="697"/>
        <item sd="0" x="701"/>
        <item sd="0" x="703"/>
        <item sd="0" x="704"/>
        <item sd="0" x="707"/>
        <item sd="0" x="705"/>
        <item sd="0" x="706"/>
        <item sd="0" x="751"/>
        <item sd="0" x="745"/>
        <item sd="0" x="748"/>
        <item sd="0" x="749"/>
        <item sd="0" x="747"/>
        <item sd="0" x="758"/>
        <item sd="0" x="746"/>
        <item sd="0" x="764"/>
        <item sd="0" x="759"/>
        <item sd="0" x="755"/>
        <item sd="0" x="762"/>
        <item sd="0" x="754"/>
        <item sd="0" x="761"/>
        <item sd="0" x="756"/>
        <item sd="0" x="760"/>
        <item sd="0" x="765"/>
        <item sd="0" x="767"/>
        <item sd="0" x="757"/>
        <item sd="0" x="763"/>
        <item sd="0" x="766"/>
        <item sd="0" x="676"/>
        <item sd="0" x="287"/>
        <item sd="0" x="792"/>
        <item sd="0" x="403"/>
        <item sd="0" x="412"/>
        <item sd="0" x="630"/>
        <item sd="0" x="288"/>
        <item sd="0" x="254"/>
        <item sd="0" x="255"/>
        <item sd="0" x="59"/>
        <item sd="0" x="738"/>
        <item sd="0" x="256"/>
        <item sd="0" x="741"/>
        <item sd="0" x="258"/>
        <item sd="0" x="506"/>
        <item sd="0" x="637"/>
        <item sd="0" x="793"/>
        <item sd="0" x="257"/>
        <item sd="0" x="509"/>
        <item sd="0" x="145"/>
        <item sd="0" x="146"/>
        <item sd="0" x="411"/>
        <item sd="0" x="294"/>
        <item sd="0" x="640"/>
        <item sd="0" x="300"/>
        <item sd="0" x="77"/>
        <item sd="0" x="246"/>
        <item sd="0" x="79"/>
        <item sd="0" x="396"/>
        <item sd="0" x="78"/>
        <item sd="0" x="247"/>
        <item sd="0" x="503"/>
        <item sd="0" x="275"/>
        <item sd="0" x="627"/>
        <item sd="0" x="605"/>
        <item sd="0" x="712"/>
        <item sd="0" x="775"/>
        <item sd="0" x="68"/>
        <item sd="0" x="159"/>
        <item sd="0" x="236"/>
        <item sd="0" x="286"/>
        <item sd="0" x="500"/>
        <item sd="0" x="501"/>
        <item sd="0" x="502"/>
        <item sd="0" x="499"/>
        <item sd="0" x="285"/>
        <item sd="0" x="632"/>
        <item sd="0" x="731"/>
        <item sd="0" x="732"/>
        <item sd="0" x="283"/>
        <item sd="0" x="169"/>
        <item sd="0" x="142"/>
        <item sd="0" x="144"/>
        <item sd="0" x="147"/>
        <item sd="0" x="514"/>
        <item sd="0" x="281"/>
        <item sd="0" x="70"/>
        <item sd="0" x="69"/>
        <item sd="0" x="505"/>
        <item sd="0" x="162"/>
        <item sd="0" x="163"/>
        <item sd="0" x="164"/>
        <item sd="0" x="170"/>
        <item sd="0" x="60"/>
        <item sd="0" x="61"/>
        <item sd="0" x="62"/>
        <item sd="0" x="63"/>
        <item sd="0" x="64"/>
        <item sd="0" x="65"/>
        <item sd="0" x="149"/>
        <item sd="0" x="148"/>
        <item sd="0" x="150"/>
        <item sd="0" x="152"/>
        <item sd="0" x="154"/>
        <item sd="0" x="151"/>
        <item sd="0" x="155"/>
        <item sd="0" x="153"/>
        <item sd="0" x="233"/>
        <item sd="0" x="156"/>
        <item sd="0" x="234"/>
        <item sd="0" x="235"/>
        <item sd="0" x="404"/>
        <item sd="0" x="633"/>
        <item sd="0" x="282"/>
        <item sd="0" x="284"/>
        <item sd="0" x="238"/>
        <item sd="0" x="237"/>
        <item sd="0" x="239"/>
        <item sd="0" x="713"/>
        <item sd="0" x="414"/>
        <item sd="0" x="790"/>
        <item sd="0" x="266"/>
        <item sd="0" x="260"/>
        <item sd="0" x="259"/>
        <item sd="0" x="261"/>
        <item sd="0" x="380"/>
        <item sd="0" x="381"/>
        <item sd="0" x="383"/>
        <item sd="0" x="384"/>
        <item sd="0" x="382"/>
        <item sd="0" x="385"/>
        <item sd="0" x="607"/>
        <item sd="0" x="606"/>
        <item sd="0" x="608"/>
        <item sd="0" x="715"/>
        <item sd="0" x="609"/>
        <item sd="0" x="777"/>
        <item sd="0" x="714"/>
        <item sd="0" x="614"/>
        <item sd="0" x="611"/>
        <item sd="0" x="619"/>
        <item sd="0" x="616"/>
        <item sd="0" x="620"/>
        <item sd="0" x="621"/>
        <item sd="0" x="622"/>
        <item sd="0" x="716"/>
        <item sd="0" x="718"/>
        <item sd="0" x="717"/>
        <item sd="0" x="720"/>
        <item sd="0" x="725"/>
        <item sd="0" x="727"/>
        <item sd="0" x="173"/>
        <item sd="0" x="249"/>
        <item sd="0" x="251"/>
        <item sd="0" x="252"/>
        <item sd="0" x="263"/>
        <item sd="0" x="264"/>
        <item sd="0" x="265"/>
        <item sd="0" x="267"/>
        <item sd="0" x="271"/>
        <item sd="0" x="269"/>
        <item sd="0" x="270"/>
        <item sd="0" x="268"/>
        <item sd="0" x="273"/>
        <item sd="0" x="274"/>
        <item sd="0" x="386"/>
        <item sd="0" x="387"/>
        <item sd="0" x="390"/>
        <item sd="0" x="389"/>
        <item sd="0" x="392"/>
        <item sd="0" x="393"/>
        <item sd="0" x="491"/>
        <item sd="0" x="490"/>
        <item sd="0" x="492"/>
        <item sd="0" x="493"/>
        <item sd="0" x="495"/>
        <item sd="0" x="494"/>
        <item sd="0" x="496"/>
        <item sd="0" x="497"/>
        <item sd="0" x="498"/>
        <item sd="0" x="729"/>
        <item sd="0" x="71"/>
        <item sd="0" x="160"/>
        <item sd="0" x="276"/>
        <item sd="0" x="394"/>
        <item sd="0" x="626"/>
        <item sd="0" x="395"/>
        <item sd="0" x="80"/>
        <item sd="0" x="81"/>
        <item sd="0" x="171"/>
        <item sd="0" x="172"/>
        <item sd="0" x="248"/>
        <item sd="0" x="613"/>
        <item sd="0" x="728"/>
        <item sd="0" x="533"/>
        <item sd="0" x="786"/>
        <item sd="0" x="787"/>
        <item sd="0" x="821"/>
        <item sd="0" x="795"/>
        <item sd="0" x="788"/>
        <item sd="0" x="789"/>
        <item sd="0" x="822"/>
        <item sd="0" x="823"/>
        <item sd="0" x="796"/>
        <item sd="0" x="825"/>
        <item sd="0" x="826"/>
        <item sd="0" x="834"/>
        <item sd="0" x="836"/>
        <item sd="0" x="837"/>
        <item sd="0" x="583"/>
        <item sd="0" x="824"/>
        <item x="827"/>
        <item x="828"/>
        <item x="829"/>
        <item x="830"/>
        <item x="831"/>
        <item x="832"/>
        <item x="835"/>
        <item x="833"/>
        <item x="838"/>
        <item x="839"/>
        <item x="840"/>
        <item x="841"/>
        <item x="842"/>
        <item x="843"/>
        <item x="844"/>
        <item x="845"/>
        <item x="846"/>
        <item x="850"/>
        <item x="847"/>
        <item x="848"/>
        <item x="849"/>
        <item x="851"/>
        <item x="852"/>
        <item x="853"/>
        <item x="854"/>
        <item x="855"/>
        <item x="866"/>
        <item x="867"/>
        <item x="880"/>
        <item x="881"/>
        <item x="885"/>
        <item x="856"/>
        <item x="857"/>
        <item x="868"/>
        <item x="882"/>
        <item x="886"/>
        <item x="887"/>
        <item x="888"/>
        <item x="858"/>
        <item x="859"/>
        <item x="860"/>
        <item x="861"/>
        <item x="862"/>
        <item x="863"/>
        <item x="869"/>
        <item x="870"/>
        <item x="871"/>
        <item x="872"/>
        <item x="873"/>
        <item x="874"/>
        <item x="875"/>
        <item x="864"/>
        <item x="865"/>
        <item x="876"/>
        <item x="877"/>
        <item x="878"/>
        <item x="879"/>
        <item x="889"/>
        <item x="883"/>
        <item x="884"/>
        <item x="890"/>
        <item x="891"/>
        <item x="892"/>
        <item x="893"/>
        <item x="894"/>
        <item x="895"/>
        <item x="896"/>
        <item x="897"/>
        <item x="898"/>
        <item x="899"/>
        <item x="902"/>
        <item x="905"/>
        <item x="907"/>
        <item x="900"/>
        <item x="906"/>
        <item x="908"/>
        <item x="909"/>
        <item x="901"/>
        <item x="903"/>
        <item x="904"/>
        <item x="910"/>
        <item x="911"/>
        <item x="912"/>
        <item x="913"/>
        <item x="914"/>
        <item x="915"/>
        <item x="917"/>
        <item x="918"/>
        <item x="919"/>
        <item x="920"/>
        <item x="921"/>
        <item x="922"/>
        <item x="916"/>
        <item x="923"/>
        <item x="925"/>
        <item x="927"/>
        <item x="924"/>
        <item x="926"/>
        <item x="928"/>
        <item x="929"/>
        <item x="930"/>
        <item x="931"/>
        <item x="932"/>
        <item x="933"/>
        <item x="934"/>
        <item x="935"/>
        <item x="937"/>
        <item x="938"/>
        <item x="939"/>
        <item x="936"/>
        <item x="940"/>
        <item x="941"/>
        <item x="942"/>
        <item x="944"/>
        <item x="945"/>
        <item x="946"/>
        <item x="947"/>
        <item x="948"/>
        <item x="949"/>
        <item x="950"/>
        <item x="951"/>
        <item x="952"/>
        <item x="943"/>
        <item x="956"/>
        <item x="1004"/>
        <item x="1028"/>
        <item x="953"/>
        <item x="954"/>
        <item x="955"/>
        <item x="957"/>
        <item x="958"/>
        <item x="959"/>
        <item x="960"/>
        <item x="961"/>
        <item x="962"/>
        <item x="963"/>
        <item x="964"/>
        <item x="1003"/>
        <item x="1005"/>
        <item x="1029"/>
        <item x="965"/>
        <item x="966"/>
        <item x="967"/>
        <item x="968"/>
        <item x="969"/>
        <item x="970"/>
        <item x="1006"/>
        <item x="1007"/>
        <item x="1008"/>
        <item x="1009"/>
        <item x="1010"/>
        <item x="1027"/>
        <item x="1030"/>
        <item x="1031"/>
        <item x="971"/>
        <item x="972"/>
        <item x="973"/>
        <item x="974"/>
        <item x="1011"/>
        <item x="1012"/>
        <item x="1013"/>
        <item x="1014"/>
        <item x="1015"/>
        <item x="1032"/>
        <item x="975"/>
        <item x="976"/>
        <item x="977"/>
        <item x="978"/>
        <item x="979"/>
        <item x="980"/>
        <item x="981"/>
        <item x="982"/>
        <item x="983"/>
        <item x="984"/>
        <item x="985"/>
        <item x="986"/>
        <item x="987"/>
        <item x="988"/>
        <item x="989"/>
        <item x="990"/>
        <item x="991"/>
        <item x="992"/>
        <item x="1016"/>
        <item x="1017"/>
        <item x="1018"/>
        <item x="1019"/>
        <item x="1020"/>
        <item x="1021"/>
        <item x="1022"/>
        <item x="1033"/>
        <item x="1034"/>
        <item x="993"/>
        <item x="994"/>
        <item x="995"/>
        <item x="996"/>
        <item x="997"/>
        <item x="998"/>
        <item x="999"/>
        <item x="1037"/>
        <item x="1000"/>
        <item x="1001"/>
        <item x="1002"/>
        <item x="1023"/>
        <item x="1026"/>
        <item x="1035"/>
        <item x="1024"/>
        <item x="1025"/>
        <item x="1038"/>
        <item x="1039"/>
        <item x="1040"/>
        <item x="1041"/>
        <item x="1042"/>
        <item x="1043"/>
        <item x="1044"/>
        <item x="1045"/>
        <item x="1046"/>
        <item x="1047"/>
        <item x="1090"/>
        <item x="1036"/>
        <item x="1107"/>
        <item x="1089"/>
        <item x="1091"/>
        <item x="1048"/>
        <item x="1049"/>
        <item x="1050"/>
        <item x="1051"/>
        <item x="1052"/>
        <item x="1053"/>
        <item x="1054"/>
        <item x="1055"/>
        <item x="1056"/>
        <item x="1057"/>
        <item x="1058"/>
        <item x="1059"/>
        <item x="1092"/>
        <item x="1093"/>
        <item x="1094"/>
        <item x="1095"/>
        <item x="1096"/>
        <item x="1097"/>
        <item x="1098"/>
        <item x="109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100"/>
        <item x="1101"/>
        <item x="1102"/>
        <item x="1103"/>
        <item x="1104"/>
        <item x="1105"/>
        <item x="1106"/>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83"/>
        <item x="1184"/>
        <item x="1185"/>
        <item x="1186"/>
        <item x="1187"/>
        <item x="1188"/>
        <item x="1189"/>
        <item x="1190"/>
        <item x="1191"/>
        <item x="1192"/>
        <item x="1193"/>
        <item x="1174"/>
        <item x="1175"/>
        <item x="1176"/>
        <item x="1177"/>
        <item x="1178"/>
        <item x="1179"/>
        <item x="1194"/>
        <item x="1195"/>
        <item x="1180"/>
        <item x="1181"/>
        <item x="1182"/>
        <item x="1196"/>
        <item x="1197"/>
        <item x="1198"/>
        <item x="1199"/>
        <item x="1200"/>
        <item x="1201"/>
        <item x="1202"/>
        <item x="1203"/>
        <item x="1204"/>
        <item x="1205"/>
        <item x="1206"/>
        <item x="1207"/>
        <item x="1208"/>
        <item x="1209"/>
        <item x="1210"/>
        <item x="1211"/>
        <item x="1212"/>
        <item x="1213"/>
        <item x="1214"/>
        <item x="1215"/>
        <item x="1216"/>
        <item x="1217"/>
        <item x="1224"/>
        <item x="1225"/>
        <item x="1226"/>
        <item x="1227"/>
        <item x="1218"/>
        <item x="1219"/>
        <item x="1228"/>
        <item x="1220"/>
        <item x="1221"/>
        <item x="1229"/>
        <item x="1230"/>
        <item x="1222"/>
        <item x="1223"/>
        <item x="1231"/>
        <item x="1232"/>
        <item x="1233"/>
        <item x="1234"/>
        <item x="1235"/>
        <item x="1236"/>
        <item x="1246"/>
        <item x="1247"/>
        <item x="1237"/>
        <item x="1238"/>
        <item x="1239"/>
        <item x="1240"/>
        <item x="1241"/>
        <item x="1242"/>
        <item x="1248"/>
        <item x="1249"/>
        <item x="1250"/>
        <item x="1257"/>
        <item x="1243"/>
        <item x="1244"/>
        <item x="1245"/>
        <item x="1251"/>
        <item x="1252"/>
        <item x="1253"/>
        <item x="1258"/>
        <item x="1259"/>
        <item x="1260"/>
        <item x="1254"/>
        <item x="1255"/>
        <item x="1256"/>
        <item x="1299"/>
        <item x="1261"/>
        <item x="1262"/>
        <item x="1263"/>
        <item x="1264"/>
        <item x="1265"/>
        <item x="1266"/>
        <item x="1267"/>
        <item x="1268"/>
        <item x="1269"/>
        <item x="1270"/>
        <item x="1271"/>
        <item x="1272"/>
        <item x="1274"/>
        <item x="1275"/>
        <item x="1276"/>
        <item x="1273"/>
        <item x="1277"/>
        <item x="1278"/>
        <item x="1285"/>
        <item x="1288"/>
        <item x="1300"/>
        <item x="1309"/>
        <item x="1308"/>
        <item x="1279"/>
        <item x="1280"/>
        <item x="1281"/>
        <item x="1282"/>
        <item x="1283"/>
        <item x="1286"/>
        <item x="1284"/>
        <item x="1287"/>
        <item x="1301"/>
        <item x="1302"/>
        <item x="1289"/>
        <item x="1290"/>
        <item x="1291"/>
        <item x="1292"/>
        <item x="1293"/>
        <item x="1294"/>
        <item x="1295"/>
        <item x="1296"/>
        <item x="1297"/>
        <item x="1298"/>
        <item x="1303"/>
        <item x="1304"/>
        <item x="1305"/>
        <item x="1306"/>
        <item x="1307"/>
        <item m="1" x="1310"/>
        <item t="default" sd="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71">
        <item x="107"/>
        <item x="106"/>
        <item x="113"/>
        <item x="26"/>
        <item x="114"/>
        <item x="112"/>
        <item x="111"/>
        <item x="130"/>
        <item x="115"/>
        <item x="40"/>
        <item x="101"/>
        <item x="89"/>
        <item x="51"/>
        <item x="83"/>
        <item x="91"/>
        <item x="31"/>
        <item x="25"/>
        <item x="108"/>
        <item x="68"/>
        <item x="22"/>
        <item x="38"/>
        <item x="53"/>
        <item x="88"/>
        <item x="70"/>
        <item x="72"/>
        <item x="71"/>
        <item x="69"/>
        <item x="39"/>
        <item x="37"/>
        <item x="20"/>
        <item x="42"/>
        <item x="85"/>
        <item x="48"/>
        <item x="90"/>
        <item x="59"/>
        <item x="67"/>
        <item x="84"/>
        <item x="35"/>
        <item x="102"/>
        <item x="18"/>
        <item x="34"/>
        <item x="87"/>
        <item x="21"/>
        <item x="50"/>
        <item x="10"/>
        <item x="52"/>
        <item x="17"/>
        <item x="49"/>
        <item x="74"/>
        <item x="77"/>
        <item x="64"/>
        <item x="86"/>
        <item x="33"/>
        <item x="19"/>
        <item x="46"/>
        <item x="75"/>
        <item x="2"/>
        <item x="44"/>
        <item x="63"/>
        <item x="11"/>
        <item x="15"/>
        <item x="9"/>
        <item x="14"/>
        <item x="62"/>
        <item x="32"/>
        <item x="23"/>
        <item x="47"/>
        <item x="30"/>
        <item x="13"/>
        <item x="43"/>
        <item x="12"/>
        <item x="45"/>
        <item x="0"/>
        <item x="5"/>
        <item x="7"/>
        <item x="8"/>
        <item x="6"/>
        <item x="92"/>
        <item x="95"/>
        <item x="16"/>
        <item x="110"/>
        <item x="82"/>
        <item x="100"/>
        <item x="3"/>
        <item x="36"/>
        <item x="93"/>
        <item x="81"/>
        <item x="29"/>
        <item x="4"/>
        <item x="105"/>
        <item x="97"/>
        <item x="128"/>
        <item x="119"/>
        <item x="96"/>
        <item x="66"/>
        <item x="94"/>
        <item x="1"/>
        <item x="28"/>
        <item x="120"/>
        <item x="134"/>
        <item x="118"/>
        <item x="54"/>
        <item x="125"/>
        <item x="126"/>
        <item x="27"/>
        <item x="73"/>
        <item x="121"/>
        <item x="117"/>
        <item x="109"/>
        <item x="78"/>
        <item x="133"/>
        <item x="98"/>
        <item x="124"/>
        <item x="55"/>
        <item x="122"/>
        <item x="127"/>
        <item x="129"/>
        <item x="24"/>
        <item x="41"/>
        <item x="123"/>
        <item x="104"/>
        <item x="131"/>
        <item x="80"/>
        <item x="61"/>
        <item x="99"/>
        <item x="116"/>
        <item x="60"/>
        <item x="103"/>
        <item x="79"/>
        <item x="58"/>
        <item x="57"/>
        <item x="65"/>
        <item x="56"/>
        <item x="135"/>
        <item x="132"/>
        <item x="76"/>
        <item x="136"/>
        <item x="137"/>
        <item x="139"/>
        <item x="138"/>
        <item x="140"/>
        <item x="141"/>
        <item x="142"/>
        <item x="144"/>
        <item x="143"/>
        <item x="145"/>
        <item x="146"/>
        <item x="147"/>
        <item x="148"/>
        <item x="149"/>
        <item x="150"/>
        <item x="153"/>
        <item x="151"/>
        <item x="155"/>
        <item x="152"/>
        <item x="154"/>
        <item x="156"/>
        <item x="157"/>
        <item x="158"/>
        <item m="1" x="169"/>
        <item m="1" x="167"/>
        <item m="1" x="168"/>
        <item x="159"/>
        <item x="160"/>
        <item x="161"/>
        <item x="162"/>
        <item x="163"/>
        <item m="1" x="166"/>
        <item x="165"/>
        <item x="16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4">
        <item sd="0" x="0"/>
        <item sd="0" x="1"/>
        <item sd="0" x="2"/>
        <item sd="0" x="10"/>
        <item sd="0" x="3"/>
        <item sd="0" x="4"/>
        <item sd="0" x="5"/>
        <item sd="0" x="6"/>
        <item sd="0" x="7"/>
        <item sd="0" x="8"/>
        <item sd="0" x="9"/>
        <item sd="0" x="11"/>
        <item sd="0" m="1" x="12"/>
        <item t="default"/>
      </items>
    </pivotField>
    <pivotField dataField="1" compact="0" outline="0" subtotalTop="0" showAll="0" includeNewItemsInFilter="1" defaultSubtotal="0"/>
  </pivotFields>
  <rowFields count="3">
    <field x="1"/>
    <field x="21"/>
    <field x="6"/>
  </rowFields>
  <rowItems count="216">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10"/>
    </i>
    <i r="1">
      <x v="11"/>
    </i>
    <i t="default">
      <x v="7"/>
    </i>
    <i>
      <x v="8"/>
      <x/>
    </i>
    <i r="1">
      <x v="1"/>
    </i>
    <i r="1">
      <x v="2"/>
    </i>
    <i r="1">
      <x v="3"/>
    </i>
    <i r="1">
      <x v="4"/>
    </i>
    <i r="1">
      <x v="5"/>
    </i>
    <i r="1">
      <x v="6"/>
    </i>
    <i r="1">
      <x v="7"/>
    </i>
    <i r="1">
      <x v="8"/>
    </i>
    <i r="1">
      <x v="9"/>
    </i>
    <i r="1">
      <x v="10"/>
    </i>
    <i r="1">
      <x v="11"/>
    </i>
    <i t="default">
      <x v="8"/>
    </i>
    <i>
      <x v="9"/>
      <x/>
    </i>
    <i r="1">
      <x v="1"/>
    </i>
    <i r="1">
      <x v="2"/>
    </i>
    <i r="1">
      <x v="4"/>
    </i>
    <i r="1">
      <x v="5"/>
    </i>
    <i r="1">
      <x v="6"/>
    </i>
    <i r="1">
      <x v="7"/>
    </i>
    <i r="1">
      <x v="8"/>
    </i>
    <i r="1">
      <x v="9"/>
    </i>
    <i r="1">
      <x v="10"/>
    </i>
    <i r="1">
      <x v="11"/>
    </i>
    <i t="default">
      <x v="9"/>
    </i>
    <i>
      <x v="10"/>
      <x/>
    </i>
    <i r="1">
      <x v="2"/>
    </i>
    <i r="1">
      <x v="3"/>
    </i>
    <i r="1">
      <x v="4"/>
    </i>
    <i r="1">
      <x v="5"/>
    </i>
    <i r="1">
      <x v="8"/>
    </i>
    <i r="1">
      <x v="9"/>
    </i>
    <i r="1">
      <x v="10"/>
    </i>
    <i r="1">
      <x v="11"/>
    </i>
    <i t="default">
      <x v="10"/>
    </i>
    <i>
      <x v="11"/>
      <x/>
    </i>
    <i r="1">
      <x v="1"/>
    </i>
    <i r="1">
      <x v="2"/>
    </i>
    <i r="1">
      <x v="3"/>
    </i>
    <i r="1">
      <x v="4"/>
    </i>
    <i r="1">
      <x v="5"/>
    </i>
    <i r="1">
      <x v="6"/>
    </i>
    <i r="1">
      <x v="7"/>
    </i>
    <i r="1">
      <x v="8"/>
    </i>
    <i r="1">
      <x v="9"/>
    </i>
    <i r="1">
      <x v="10"/>
    </i>
    <i r="1">
      <x v="11"/>
    </i>
    <i t="default">
      <x v="11"/>
    </i>
    <i>
      <x v="12"/>
      <x/>
    </i>
    <i r="1">
      <x v="1"/>
    </i>
    <i r="1">
      <x v="2"/>
    </i>
    <i r="1">
      <x v="3"/>
    </i>
    <i r="1">
      <x v="4"/>
    </i>
    <i r="1">
      <x v="5"/>
    </i>
    <i r="1">
      <x v="6"/>
    </i>
    <i r="1">
      <x v="7"/>
    </i>
    <i r="1">
      <x v="8"/>
    </i>
    <i r="1">
      <x v="9"/>
    </i>
    <i r="1">
      <x v="10"/>
    </i>
    <i r="1">
      <x v="11"/>
    </i>
    <i t="default">
      <x v="12"/>
    </i>
    <i>
      <x v="13"/>
      <x/>
    </i>
    <i r="1">
      <x v="1"/>
    </i>
    <i r="1">
      <x v="2"/>
    </i>
    <i r="1">
      <x v="3"/>
    </i>
    <i r="1">
      <x v="4"/>
    </i>
    <i r="1">
      <x v="5"/>
    </i>
    <i r="1">
      <x v="6"/>
    </i>
    <i r="1">
      <x v="7"/>
    </i>
    <i r="1">
      <x v="8"/>
    </i>
    <i r="1">
      <x v="9"/>
    </i>
    <i r="1">
      <x v="10"/>
    </i>
    <i r="1">
      <x v="11"/>
    </i>
    <i t="default">
      <x v="13"/>
    </i>
    <i>
      <x v="14"/>
      <x/>
    </i>
    <i r="1">
      <x v="1"/>
    </i>
    <i r="1">
      <x v="2"/>
    </i>
    <i r="1">
      <x v="3"/>
    </i>
    <i r="1">
      <x v="4"/>
    </i>
    <i r="1">
      <x v="5"/>
    </i>
    <i r="1">
      <x v="6"/>
    </i>
    <i r="1">
      <x v="7"/>
    </i>
    <i r="1">
      <x v="8"/>
    </i>
    <i r="1">
      <x v="9"/>
    </i>
    <i r="1">
      <x v="10"/>
    </i>
    <i r="1">
      <x v="11"/>
    </i>
    <i t="default">
      <x v="14"/>
    </i>
    <i>
      <x v="15"/>
      <x/>
    </i>
    <i r="1">
      <x v="1"/>
    </i>
    <i r="1">
      <x v="2"/>
    </i>
    <i r="1">
      <x v="3"/>
    </i>
    <i r="1">
      <x v="4"/>
    </i>
    <i r="1">
      <x v="5"/>
    </i>
    <i r="1">
      <x v="6"/>
    </i>
    <i r="1">
      <x v="7"/>
    </i>
    <i r="1">
      <x v="8"/>
    </i>
    <i r="1">
      <x v="9"/>
    </i>
    <i r="1">
      <x v="10"/>
    </i>
    <i r="1">
      <x v="11"/>
    </i>
    <i t="default">
      <x v="15"/>
    </i>
    <i>
      <x v="16"/>
      <x/>
    </i>
    <i r="1">
      <x v="1"/>
    </i>
    <i r="1">
      <x v="2"/>
    </i>
    <i r="1">
      <x v="3"/>
    </i>
    <i r="1">
      <x v="4"/>
    </i>
    <i r="1">
      <x v="5"/>
    </i>
    <i r="1">
      <x v="6"/>
    </i>
    <i r="1">
      <x v="7"/>
    </i>
    <i r="1">
      <x v="8"/>
    </i>
    <i r="1">
      <x v="9"/>
    </i>
    <i r="1">
      <x v="10"/>
    </i>
    <i r="1">
      <x v="11"/>
    </i>
    <i t="default">
      <x v="16"/>
    </i>
    <i t="grand">
      <x/>
    </i>
  </rowItems>
  <colItems count="1">
    <i/>
  </colItems>
  <pageFields count="2">
    <pageField fld="0" hier="0"/>
    <pageField fld="3" hier="0"/>
  </pageFields>
  <dataFields count="1">
    <dataField name="Suma de PO en término" fld="22" baseField="0" baseItem="0" numFmtId="1"/>
  </dataFields>
  <formats count="24">
    <format dxfId="23">
      <pivotArea type="topRight" dataOnly="0" labelOnly="1" outline="0" fieldPosition="0"/>
    </format>
    <format dxfId="22">
      <pivotArea type="topRight" dataOnly="0" labelOnly="1" outline="0" fieldPosition="0"/>
    </format>
    <format dxfId="21">
      <pivotArea field="1" type="button" dataOnly="0" labelOnly="1" outline="0" axis="axisRow" fieldPosition="0"/>
    </format>
    <format dxfId="20">
      <pivotArea field="21" type="button" dataOnly="0" labelOnly="1" outline="0" axis="axisRow" fieldPosition="1"/>
    </format>
    <format dxfId="19">
      <pivotArea field="13" type="button" dataOnly="0" labelOnly="1" outline="0"/>
    </format>
    <format dxfId="18">
      <pivotArea field="6" type="button" dataOnly="0" labelOnly="1" outline="0" axis="axisRow" fieldPosition="2"/>
    </format>
    <format dxfId="17">
      <pivotArea field="1" type="button" dataOnly="0" labelOnly="1" outline="0" axis="axisRow" fieldPosition="0"/>
    </format>
    <format dxfId="16">
      <pivotArea field="21" type="button" dataOnly="0" labelOnly="1" outline="0" axis="axisRow" fieldPosition="1"/>
    </format>
    <format dxfId="15">
      <pivotArea field="6" type="button" dataOnly="0" labelOnly="1" outline="0" axis="axisRow" fieldPosition="2"/>
    </format>
    <format dxfId="14">
      <pivotArea field="13" type="button" dataOnly="0" labelOnly="1" outline="0"/>
    </format>
    <format dxfId="13">
      <pivotArea field="6" type="button" dataOnly="0" labelOnly="1" outline="0" axis="axisRow" fieldPosition="2"/>
    </format>
    <format dxfId="12">
      <pivotArea field="13" type="button" dataOnly="0" labelOnly="1" outline="0"/>
    </format>
    <format dxfId="11">
      <pivotArea field="6" type="button" dataOnly="0" labelOnly="1" outline="0" axis="axisRow" fieldPosition="2"/>
    </format>
    <format dxfId="10">
      <pivotArea dataOnly="0" labelOnly="1" outline="0" fieldPosition="0">
        <references count="1">
          <reference field="6" count="0"/>
        </references>
      </pivotArea>
    </format>
    <format dxfId="9">
      <pivotArea field="1" type="button" dataOnly="0" labelOnly="1" outline="0" axis="axisRow" fieldPosition="0"/>
    </format>
    <format dxfId="8">
      <pivotArea field="21" type="button" dataOnly="0" labelOnly="1" outline="0" axis="axisRow" fieldPosition="1"/>
    </format>
    <format dxfId="7">
      <pivotArea field="6" type="button" dataOnly="0" labelOnly="1" outline="0" axis="axisRow" fieldPosition="2"/>
    </format>
    <format dxfId="6">
      <pivotArea field="1" type="button" dataOnly="0" labelOnly="1" outline="0" axis="axisRow" fieldPosition="0"/>
    </format>
    <format dxfId="5">
      <pivotArea field="21" type="button" dataOnly="0" labelOnly="1" outline="0" axis="axisRow" fieldPosition="1"/>
    </format>
    <format dxfId="4">
      <pivotArea field="6" type="button" dataOnly="0" labelOnly="1" outline="0" axis="axisRow" fieldPosition="2"/>
    </format>
    <format dxfId="3">
      <pivotArea type="origin" dataOnly="0" labelOnly="1" outline="0" fieldPosition="0"/>
    </format>
    <format dxfId="2">
      <pivotArea type="origin" dataOnly="0" labelOnly="1" outline="0" fieldPosition="0"/>
    </format>
    <format dxfId="1">
      <pivotArea outline="0" fieldPosition="0">
        <references count="2">
          <reference field="1" count="1" selected="0">
            <x v="0"/>
          </reference>
          <reference field="21" count="2" selected="0" defaultSubtotal="1">
            <x v="0"/>
            <x v="1"/>
          </reference>
        </references>
      </pivotArea>
    </format>
    <format dxfId="0">
      <pivotArea outline="0" fieldPosition="0"/>
    </format>
  </formats>
  <pivotTableStyleInfo name="PivotStyleMedium7"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0000"/>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0000"/>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9.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30.bin"/><Relationship Id="rId4"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A1:AI65501"/>
  <sheetViews>
    <sheetView tabSelected="1" view="pageBreakPreview" zoomScale="80" zoomScaleNormal="90" zoomScaleSheetLayoutView="80" workbookViewId="0">
      <pane ySplit="3" topLeftCell="A4" activePane="bottomLeft" state="frozen"/>
      <selection activeCell="G1" sqref="G1"/>
      <selection pane="bottomLeft" activeCell="B1" sqref="B1"/>
    </sheetView>
  </sheetViews>
  <sheetFormatPr baseColWidth="10" defaultColWidth="11.42578125" defaultRowHeight="11.25" x14ac:dyDescent="0.2"/>
  <cols>
    <col min="1" max="1" width="1.140625" style="2" customWidth="1"/>
    <col min="2" max="2" width="12.140625" style="2" customWidth="1"/>
    <col min="3" max="3" width="21.42578125" style="2" customWidth="1"/>
    <col min="4" max="4" width="11.140625" style="3" customWidth="1"/>
    <col min="5" max="5" width="23.42578125" style="3" customWidth="1"/>
    <col min="6" max="6" width="26.5703125" style="2" customWidth="1"/>
    <col min="7" max="7" width="12.28515625" style="2" customWidth="1"/>
    <col min="8" max="8" width="10.7109375" style="2" customWidth="1"/>
    <col min="9" max="9" width="12.85546875" style="2" customWidth="1"/>
    <col min="10" max="10" width="12.7109375" style="2" customWidth="1"/>
    <col min="11" max="11" width="9.42578125" style="2" customWidth="1"/>
    <col min="12" max="12" width="14.5703125" style="44" customWidth="1"/>
    <col min="13" max="13" width="12.28515625" style="2" customWidth="1"/>
    <col min="14" max="14" width="15.5703125" style="2" customWidth="1"/>
    <col min="15" max="15" width="13.42578125" style="2" customWidth="1"/>
    <col min="16" max="16" width="11.5703125" style="2" customWidth="1"/>
    <col min="17" max="17" width="16.5703125" style="2" customWidth="1"/>
    <col min="18" max="18" width="17" style="2" customWidth="1"/>
    <col min="19" max="20" width="16.5703125" style="2" customWidth="1"/>
    <col min="21" max="21" width="12.28515625" style="2" customWidth="1"/>
    <col min="22" max="22" width="32.85546875" style="2" customWidth="1"/>
    <col min="23" max="23" width="11.140625" style="3" customWidth="1"/>
    <col min="24" max="24" width="13.140625" style="2" customWidth="1"/>
    <col min="25" max="25" width="10.42578125" style="2" customWidth="1"/>
    <col min="26" max="26" width="14.140625" style="2" customWidth="1"/>
    <col min="27" max="27" width="15.85546875" style="2" customWidth="1"/>
    <col min="28" max="28" width="12.28515625" style="2" customWidth="1"/>
    <col min="29" max="29" width="69.85546875" style="435" customWidth="1"/>
    <col min="30" max="30" width="2" style="2" customWidth="1"/>
    <col min="31" max="31" width="11.42578125" style="38"/>
    <col min="32" max="33" width="18.42578125" style="9" customWidth="1"/>
    <col min="34" max="16384" width="11.42578125" style="2"/>
  </cols>
  <sheetData>
    <row r="1" spans="1:33" ht="28.9" customHeight="1" x14ac:dyDescent="0.4">
      <c r="A1" s="429" t="s">
        <v>7010</v>
      </c>
      <c r="B1" s="801" t="s">
        <v>6998</v>
      </c>
      <c r="C1" s="429"/>
      <c r="D1" s="430"/>
      <c r="E1" s="430"/>
      <c r="F1" s="429"/>
      <c r="G1" s="429"/>
      <c r="H1" s="429"/>
      <c r="I1" s="431"/>
      <c r="J1" s="430"/>
      <c r="K1" s="430"/>
      <c r="L1" s="432"/>
      <c r="M1" s="430"/>
      <c r="N1" s="676"/>
      <c r="O1" s="433"/>
      <c r="P1" s="430"/>
      <c r="Q1" s="430"/>
      <c r="R1" s="430"/>
      <c r="S1" s="582"/>
      <c r="T1" s="1301" t="s">
        <v>0</v>
      </c>
      <c r="U1" s="429"/>
      <c r="V1" s="429"/>
      <c r="W1" s="548" t="s">
        <v>1</v>
      </c>
      <c r="X1" s="549"/>
      <c r="Y1" s="550"/>
      <c r="Z1" s="551">
        <f ca="1">NOW()</f>
        <v>45457.636840277781</v>
      </c>
      <c r="AA1" s="429"/>
      <c r="AB1" s="429"/>
      <c r="AC1" s="434"/>
      <c r="AD1" s="429"/>
      <c r="AF1" s="916"/>
      <c r="AG1" s="916"/>
    </row>
    <row r="2" spans="1:33" ht="13.5" customHeight="1" thickBot="1" x14ac:dyDescent="0.25">
      <c r="A2" s="304"/>
      <c r="B2" s="304"/>
      <c r="C2" s="304"/>
      <c r="D2" s="306"/>
      <c r="E2" s="306"/>
      <c r="F2" s="304"/>
      <c r="G2" s="304"/>
      <c r="H2" s="304"/>
      <c r="I2" s="304"/>
      <c r="J2" s="342">
        <v>1</v>
      </c>
      <c r="K2" s="342">
        <v>2</v>
      </c>
      <c r="L2" s="342">
        <v>3</v>
      </c>
      <c r="M2" s="342"/>
      <c r="N2" s="342"/>
      <c r="O2" s="342" t="s">
        <v>2</v>
      </c>
      <c r="P2" s="342">
        <v>4</v>
      </c>
      <c r="Q2" s="342"/>
      <c r="R2" s="306"/>
      <c r="S2" s="342">
        <v>5</v>
      </c>
      <c r="T2" s="342">
        <v>6</v>
      </c>
      <c r="U2" s="305"/>
      <c r="V2" s="304"/>
      <c r="W2" s="306"/>
      <c r="X2" s="304"/>
      <c r="Y2" s="304"/>
      <c r="Z2" s="304"/>
      <c r="AA2" s="304"/>
      <c r="AB2" s="304"/>
      <c r="AC2" s="427"/>
      <c r="AD2" s="304"/>
      <c r="AF2" s="28"/>
      <c r="AG2" s="28"/>
    </row>
    <row r="3" spans="1:33" s="441" customFormat="1" ht="55.15" customHeight="1" thickBot="1" x14ac:dyDescent="0.25">
      <c r="A3" s="799"/>
      <c r="B3" s="848" t="s">
        <v>3</v>
      </c>
      <c r="C3" s="849" t="s">
        <v>4</v>
      </c>
      <c r="D3" s="849" t="s">
        <v>5</v>
      </c>
      <c r="E3" s="849" t="s">
        <v>6</v>
      </c>
      <c r="F3" s="849" t="s">
        <v>7</v>
      </c>
      <c r="G3" s="849" t="s">
        <v>8</v>
      </c>
      <c r="H3" s="850" t="s">
        <v>9</v>
      </c>
      <c r="I3" s="850" t="s">
        <v>10</v>
      </c>
      <c r="J3" s="849" t="s">
        <v>11</v>
      </c>
      <c r="K3" s="849" t="s">
        <v>12</v>
      </c>
      <c r="L3" s="849" t="s">
        <v>13</v>
      </c>
      <c r="M3" s="849" t="s">
        <v>14</v>
      </c>
      <c r="N3" s="849" t="s">
        <v>15</v>
      </c>
      <c r="O3" s="851" t="s">
        <v>16</v>
      </c>
      <c r="P3" s="852" t="s">
        <v>17</v>
      </c>
      <c r="Q3" s="848" t="s">
        <v>18</v>
      </c>
      <c r="R3" s="853" t="s">
        <v>19</v>
      </c>
      <c r="S3" s="848" t="s">
        <v>20</v>
      </c>
      <c r="T3" s="848" t="s">
        <v>21</v>
      </c>
      <c r="U3" s="851" t="s">
        <v>22</v>
      </c>
      <c r="V3" s="849" t="s">
        <v>23</v>
      </c>
      <c r="W3" s="849" t="s">
        <v>24</v>
      </c>
      <c r="X3" s="849" t="s">
        <v>25</v>
      </c>
      <c r="Y3" s="849" t="s">
        <v>26</v>
      </c>
      <c r="Z3" s="849" t="s">
        <v>27</v>
      </c>
      <c r="AA3" s="849" t="s">
        <v>28</v>
      </c>
      <c r="AB3" s="849" t="s">
        <v>29</v>
      </c>
      <c r="AC3" s="849" t="s">
        <v>30</v>
      </c>
      <c r="AD3" s="802"/>
      <c r="AE3" s="647"/>
      <c r="AF3" s="846" t="s">
        <v>31</v>
      </c>
      <c r="AG3" s="846" t="s">
        <v>32</v>
      </c>
    </row>
    <row r="4" spans="1:33" s="45" customFormat="1" ht="15" customHeight="1" thickBot="1" x14ac:dyDescent="0.25">
      <c r="A4" s="800"/>
      <c r="B4" s="343"/>
      <c r="C4" s="343"/>
      <c r="D4" s="343"/>
      <c r="E4" s="343"/>
      <c r="F4" s="344"/>
      <c r="G4" s="344"/>
      <c r="H4" s="344"/>
      <c r="I4" s="344"/>
      <c r="J4" s="343"/>
      <c r="K4" s="343"/>
      <c r="L4" s="345" t="s">
        <v>33</v>
      </c>
      <c r="M4" s="343"/>
      <c r="N4" s="343"/>
      <c r="O4" s="346"/>
      <c r="P4" s="347" t="s">
        <v>34</v>
      </c>
      <c r="Q4" s="347"/>
      <c r="R4" s="408"/>
      <c r="S4" s="343"/>
      <c r="T4" s="343"/>
      <c r="U4" s="347" t="s">
        <v>35</v>
      </c>
      <c r="V4" s="343"/>
      <c r="W4" s="343"/>
      <c r="X4" s="343"/>
      <c r="Y4" s="343"/>
      <c r="Z4" s="343"/>
      <c r="AA4" s="343"/>
      <c r="AB4" s="343"/>
      <c r="AC4" s="428"/>
      <c r="AD4" s="304"/>
      <c r="AE4" s="38"/>
      <c r="AF4" s="917"/>
      <c r="AG4" s="917"/>
    </row>
    <row r="5" spans="1:33" s="638" customFormat="1" ht="54.95" customHeight="1" thickBot="1" x14ac:dyDescent="0.25">
      <c r="B5" s="854" t="s">
        <v>36</v>
      </c>
      <c r="C5" s="855" t="s">
        <v>7534</v>
      </c>
      <c r="D5" s="856" t="s">
        <v>7769</v>
      </c>
      <c r="E5" s="868" t="s">
        <v>7770</v>
      </c>
      <c r="F5" s="1026" t="s">
        <v>8029</v>
      </c>
      <c r="G5" s="857" t="s">
        <v>39</v>
      </c>
      <c r="H5" s="858">
        <v>185810</v>
      </c>
      <c r="I5" s="859" t="s">
        <v>40</v>
      </c>
      <c r="J5" s="860">
        <v>45152</v>
      </c>
      <c r="K5" s="861">
        <f t="shared" ref="K5:K12" si="0">+L5-J5</f>
        <v>202</v>
      </c>
      <c r="L5" s="860">
        <v>45354</v>
      </c>
      <c r="M5" s="860" t="s">
        <v>41</v>
      </c>
      <c r="N5" s="857" t="s">
        <v>42</v>
      </c>
      <c r="O5" s="1562">
        <v>45376</v>
      </c>
      <c r="P5" s="863">
        <f t="shared" ref="P5:P12" si="1">IF(R5="","",+R5-L5)</f>
        <v>34</v>
      </c>
      <c r="Q5" s="864" t="s">
        <v>8137</v>
      </c>
      <c r="R5" s="865">
        <v>45388</v>
      </c>
      <c r="S5" s="915">
        <v>45391</v>
      </c>
      <c r="T5" s="915">
        <v>45415</v>
      </c>
      <c r="U5" s="861">
        <f t="shared" ref="U5:U12" si="2">IF(T5="","",+T5-J5)</f>
        <v>263</v>
      </c>
      <c r="V5" s="868" t="s">
        <v>8121</v>
      </c>
      <c r="W5" s="1107" t="s">
        <v>8134</v>
      </c>
      <c r="X5" s="1076"/>
      <c r="Y5" s="1076"/>
      <c r="Z5" s="867"/>
      <c r="AA5" s="857"/>
      <c r="AB5" s="1024" t="str">
        <f t="shared" ref="AB5:AB12" ca="1" si="3">IF(S5="","",IF($Z$1&lt;(S5+60),(S5+60),"VENCIDA"))</f>
        <v>VENCIDA</v>
      </c>
      <c r="AC5" s="930" t="s">
        <v>8158</v>
      </c>
      <c r="AE5" s="646" t="str">
        <f t="shared" ref="AE5:AE12" si="4">IF(P5="","",IF(P5&lt;=0,"en término","atrasado"))</f>
        <v>atrasado</v>
      </c>
      <c r="AF5" s="468" t="s">
        <v>8133</v>
      </c>
      <c r="AG5" s="468" t="s">
        <v>3846</v>
      </c>
    </row>
    <row r="6" spans="1:33" s="638" customFormat="1" ht="54.95" customHeight="1" thickBot="1" x14ac:dyDescent="0.25">
      <c r="B6" s="854" t="s">
        <v>36</v>
      </c>
      <c r="C6" s="855" t="s">
        <v>7534</v>
      </c>
      <c r="D6" s="856" t="s">
        <v>7769</v>
      </c>
      <c r="E6" s="868" t="s">
        <v>7770</v>
      </c>
      <c r="F6" s="1026" t="s">
        <v>8029</v>
      </c>
      <c r="G6" s="857" t="s">
        <v>39</v>
      </c>
      <c r="H6" s="858">
        <v>49995</v>
      </c>
      <c r="I6" s="859" t="s">
        <v>40</v>
      </c>
      <c r="J6" s="860">
        <v>45152</v>
      </c>
      <c r="K6" s="861">
        <f t="shared" si="0"/>
        <v>202</v>
      </c>
      <c r="L6" s="860">
        <v>45354</v>
      </c>
      <c r="M6" s="860" t="s">
        <v>41</v>
      </c>
      <c r="N6" s="857" t="s">
        <v>42</v>
      </c>
      <c r="O6" s="1562">
        <v>45412</v>
      </c>
      <c r="P6" s="863">
        <f t="shared" si="1"/>
        <v>69</v>
      </c>
      <c r="Q6" s="864" t="s">
        <v>8184</v>
      </c>
      <c r="R6" s="865">
        <v>45423</v>
      </c>
      <c r="S6" s="915">
        <v>45431</v>
      </c>
      <c r="T6" s="915">
        <v>45448</v>
      </c>
      <c r="U6" s="861">
        <f t="shared" si="2"/>
        <v>296</v>
      </c>
      <c r="V6" s="868" t="s">
        <v>8120</v>
      </c>
      <c r="W6" s="1107" t="s">
        <v>8161</v>
      </c>
      <c r="X6" s="1076"/>
      <c r="Y6" s="1076"/>
      <c r="Z6" s="867"/>
      <c r="AA6" s="857"/>
      <c r="AB6" s="1024">
        <f t="shared" ca="1" si="3"/>
        <v>45491</v>
      </c>
      <c r="AC6" s="930" t="s">
        <v>8182</v>
      </c>
      <c r="AE6" s="646" t="str">
        <f t="shared" si="4"/>
        <v>atrasado</v>
      </c>
      <c r="AF6" s="468" t="s">
        <v>8160</v>
      </c>
      <c r="AG6" s="468" t="s">
        <v>2929</v>
      </c>
    </row>
    <row r="7" spans="1:33" s="638" customFormat="1" ht="54.95" customHeight="1" thickBot="1" x14ac:dyDescent="0.25">
      <c r="B7" s="854" t="s">
        <v>36</v>
      </c>
      <c r="C7" s="855" t="s">
        <v>7534</v>
      </c>
      <c r="D7" s="856" t="s">
        <v>7050</v>
      </c>
      <c r="E7" s="868">
        <v>4600611934</v>
      </c>
      <c r="F7" s="1026" t="s">
        <v>8041</v>
      </c>
      <c r="G7" s="857" t="s">
        <v>39</v>
      </c>
      <c r="H7" s="858">
        <v>1027.01</v>
      </c>
      <c r="I7" s="859" t="s">
        <v>62</v>
      </c>
      <c r="J7" s="860">
        <v>45175</v>
      </c>
      <c r="K7" s="861">
        <f t="shared" si="0"/>
        <v>209</v>
      </c>
      <c r="L7" s="860">
        <v>45384</v>
      </c>
      <c r="M7" s="860" t="s">
        <v>41</v>
      </c>
      <c r="N7" s="857" t="s">
        <v>42</v>
      </c>
      <c r="O7" s="862" t="s">
        <v>2957</v>
      </c>
      <c r="P7" s="863" t="str">
        <f t="shared" si="1"/>
        <v/>
      </c>
      <c r="Q7" s="864"/>
      <c r="R7" s="865"/>
      <c r="S7" s="915"/>
      <c r="T7" s="915"/>
      <c r="U7" s="861" t="str">
        <f t="shared" si="2"/>
        <v/>
      </c>
      <c r="V7" s="861" t="s">
        <v>7879</v>
      </c>
      <c r="W7" s="1107"/>
      <c r="X7" s="1076"/>
      <c r="Y7" s="1076"/>
      <c r="Z7" s="867"/>
      <c r="AA7" s="857"/>
      <c r="AB7" s="1024" t="str">
        <f t="shared" si="3"/>
        <v/>
      </c>
      <c r="AC7" s="930" t="s">
        <v>8045</v>
      </c>
      <c r="AE7" s="646" t="str">
        <f t="shared" si="4"/>
        <v/>
      </c>
      <c r="AF7" s="468"/>
      <c r="AG7" s="468"/>
    </row>
    <row r="8" spans="1:33" s="638" customFormat="1" ht="54.95" customHeight="1" thickBot="1" x14ac:dyDescent="0.25">
      <c r="B8" s="854" t="s">
        <v>36</v>
      </c>
      <c r="C8" s="855" t="s">
        <v>7534</v>
      </c>
      <c r="D8" s="856" t="s">
        <v>7050</v>
      </c>
      <c r="E8" s="868">
        <v>4600611934</v>
      </c>
      <c r="F8" s="1026" t="s">
        <v>8042</v>
      </c>
      <c r="G8" s="857" t="s">
        <v>39</v>
      </c>
      <c r="H8" s="858">
        <v>2054.02</v>
      </c>
      <c r="I8" s="859" t="s">
        <v>62</v>
      </c>
      <c r="J8" s="860">
        <v>45175</v>
      </c>
      <c r="K8" s="861">
        <f t="shared" si="0"/>
        <v>209</v>
      </c>
      <c r="L8" s="860">
        <v>45384</v>
      </c>
      <c r="M8" s="860" t="s">
        <v>41</v>
      </c>
      <c r="N8" s="857" t="s">
        <v>42</v>
      </c>
      <c r="O8" s="862" t="s">
        <v>2957</v>
      </c>
      <c r="P8" s="863" t="str">
        <f t="shared" si="1"/>
        <v/>
      </c>
      <c r="Q8" s="864"/>
      <c r="R8" s="865"/>
      <c r="S8" s="915"/>
      <c r="T8" s="915"/>
      <c r="U8" s="861" t="str">
        <f t="shared" si="2"/>
        <v/>
      </c>
      <c r="V8" s="861" t="s">
        <v>4277</v>
      </c>
      <c r="W8" s="1107"/>
      <c r="X8" s="1076"/>
      <c r="Y8" s="1076"/>
      <c r="Z8" s="867"/>
      <c r="AA8" s="857"/>
      <c r="AB8" s="1024" t="str">
        <f t="shared" si="3"/>
        <v/>
      </c>
      <c r="AC8" s="930" t="s">
        <v>8046</v>
      </c>
      <c r="AE8" s="646" t="str">
        <f t="shared" si="4"/>
        <v/>
      </c>
      <c r="AF8" s="468"/>
      <c r="AG8" s="468"/>
    </row>
    <row r="9" spans="1:33" s="638" customFormat="1" ht="54.95" customHeight="1" thickBot="1" x14ac:dyDescent="0.25">
      <c r="B9" s="854" t="s">
        <v>36</v>
      </c>
      <c r="C9" s="855" t="s">
        <v>7534</v>
      </c>
      <c r="D9" s="856" t="s">
        <v>7050</v>
      </c>
      <c r="E9" s="868">
        <v>4600611934</v>
      </c>
      <c r="F9" s="1026" t="s">
        <v>8043</v>
      </c>
      <c r="G9" s="857" t="s">
        <v>39</v>
      </c>
      <c r="H9" s="858">
        <v>46215.5</v>
      </c>
      <c r="I9" s="859" t="s">
        <v>62</v>
      </c>
      <c r="J9" s="860">
        <v>45175</v>
      </c>
      <c r="K9" s="861">
        <f t="shared" si="0"/>
        <v>209</v>
      </c>
      <c r="L9" s="860">
        <v>45384</v>
      </c>
      <c r="M9" s="860" t="s">
        <v>41</v>
      </c>
      <c r="N9" s="857" t="s">
        <v>42</v>
      </c>
      <c r="O9" s="862" t="s">
        <v>2957</v>
      </c>
      <c r="P9" s="863" t="str">
        <f t="shared" si="1"/>
        <v/>
      </c>
      <c r="Q9" s="864"/>
      <c r="R9" s="865"/>
      <c r="S9" s="915"/>
      <c r="T9" s="915"/>
      <c r="U9" s="861" t="str">
        <f t="shared" si="2"/>
        <v/>
      </c>
      <c r="V9" s="861" t="s">
        <v>8044</v>
      </c>
      <c r="W9" s="1107"/>
      <c r="X9" s="1076"/>
      <c r="Y9" s="1076"/>
      <c r="Z9" s="867"/>
      <c r="AA9" s="857"/>
      <c r="AB9" s="1024" t="str">
        <f t="shared" si="3"/>
        <v/>
      </c>
      <c r="AC9" s="930" t="s">
        <v>8047</v>
      </c>
      <c r="AE9" s="646" t="str">
        <f t="shared" si="4"/>
        <v/>
      </c>
      <c r="AF9" s="468"/>
      <c r="AG9" s="468"/>
    </row>
    <row r="10" spans="1:33" s="638" customFormat="1" ht="54.95" customHeight="1" thickBot="1" x14ac:dyDescent="0.25">
      <c r="B10" s="854" t="s">
        <v>36</v>
      </c>
      <c r="C10" s="855" t="s">
        <v>7534</v>
      </c>
      <c r="D10" s="856" t="s">
        <v>8095</v>
      </c>
      <c r="E10" s="868">
        <v>4500001144</v>
      </c>
      <c r="F10" s="1026" t="s">
        <v>8096</v>
      </c>
      <c r="G10" s="857" t="s">
        <v>39</v>
      </c>
      <c r="H10" s="858">
        <v>290804</v>
      </c>
      <c r="I10" s="859" t="s">
        <v>52</v>
      </c>
      <c r="J10" s="860">
        <v>45246</v>
      </c>
      <c r="K10" s="861">
        <f t="shared" si="0"/>
        <v>176</v>
      </c>
      <c r="L10" s="860">
        <v>45422</v>
      </c>
      <c r="M10" s="860" t="s">
        <v>41</v>
      </c>
      <c r="N10" s="857" t="s">
        <v>42</v>
      </c>
      <c r="O10" s="1562">
        <v>45376</v>
      </c>
      <c r="P10" s="863">
        <f t="shared" si="1"/>
        <v>-34</v>
      </c>
      <c r="Q10" s="864" t="s">
        <v>8137</v>
      </c>
      <c r="R10" s="865">
        <v>45388</v>
      </c>
      <c r="S10" s="915">
        <v>45391</v>
      </c>
      <c r="T10" s="915">
        <v>45415</v>
      </c>
      <c r="U10" s="861">
        <f t="shared" si="2"/>
        <v>169</v>
      </c>
      <c r="V10" s="868" t="s">
        <v>8119</v>
      </c>
      <c r="W10" s="1107" t="s">
        <v>8134</v>
      </c>
      <c r="X10" s="1076"/>
      <c r="Y10" s="1076"/>
      <c r="Z10" s="867"/>
      <c r="AA10" s="857"/>
      <c r="AB10" s="1024" t="str">
        <f t="shared" ca="1" si="3"/>
        <v>VENCIDA</v>
      </c>
      <c r="AC10" s="930" t="s">
        <v>8159</v>
      </c>
      <c r="AE10" s="646" t="str">
        <f t="shared" si="4"/>
        <v>en término</v>
      </c>
      <c r="AF10" s="468" t="s">
        <v>8133</v>
      </c>
      <c r="AG10" s="468" t="s">
        <v>3846</v>
      </c>
    </row>
    <row r="11" spans="1:33" s="638" customFormat="1" ht="54.95" customHeight="1" thickBot="1" x14ac:dyDescent="0.25">
      <c r="B11" s="854" t="s">
        <v>36</v>
      </c>
      <c r="C11" s="855" t="s">
        <v>7534</v>
      </c>
      <c r="D11" s="856" t="s">
        <v>8095</v>
      </c>
      <c r="E11" s="868">
        <v>4500001144</v>
      </c>
      <c r="F11" s="1026" t="s">
        <v>8096</v>
      </c>
      <c r="G11" s="857" t="s">
        <v>39</v>
      </c>
      <c r="H11" s="858">
        <v>204722</v>
      </c>
      <c r="I11" s="859" t="s">
        <v>52</v>
      </c>
      <c r="J11" s="860">
        <v>45246</v>
      </c>
      <c r="K11" s="861">
        <f t="shared" si="0"/>
        <v>176</v>
      </c>
      <c r="L11" s="860">
        <v>45422</v>
      </c>
      <c r="M11" s="860" t="s">
        <v>41</v>
      </c>
      <c r="N11" s="857" t="s">
        <v>42</v>
      </c>
      <c r="O11" s="1562">
        <v>45412</v>
      </c>
      <c r="P11" s="863">
        <f t="shared" si="1"/>
        <v>1</v>
      </c>
      <c r="Q11" s="864" t="s">
        <v>8184</v>
      </c>
      <c r="R11" s="865">
        <v>45423</v>
      </c>
      <c r="S11" s="915">
        <v>45431</v>
      </c>
      <c r="T11" s="915">
        <v>45448</v>
      </c>
      <c r="U11" s="861">
        <f t="shared" si="2"/>
        <v>202</v>
      </c>
      <c r="V11" s="868" t="s">
        <v>8150</v>
      </c>
      <c r="W11" s="1107" t="s">
        <v>8161</v>
      </c>
      <c r="X11" s="1076"/>
      <c r="Y11" s="1076"/>
      <c r="Z11" s="867"/>
      <c r="AA11" s="857"/>
      <c r="AB11" s="1024">
        <f t="shared" ca="1" si="3"/>
        <v>45491</v>
      </c>
      <c r="AC11" s="930" t="s">
        <v>8183</v>
      </c>
      <c r="AE11" s="646" t="str">
        <f t="shared" si="4"/>
        <v>atrasado</v>
      </c>
      <c r="AF11" s="468" t="s">
        <v>8160</v>
      </c>
      <c r="AG11" s="468" t="s">
        <v>2929</v>
      </c>
    </row>
    <row r="12" spans="1:33" s="638" customFormat="1" ht="54.95" customHeight="1" thickBot="1" x14ac:dyDescent="0.25">
      <c r="B12" s="854" t="s">
        <v>36</v>
      </c>
      <c r="C12" s="855" t="s">
        <v>7534</v>
      </c>
      <c r="D12" s="856" t="s">
        <v>8095</v>
      </c>
      <c r="E12" s="868">
        <v>4500001144</v>
      </c>
      <c r="F12" s="1026" t="s">
        <v>8096</v>
      </c>
      <c r="G12" s="857" t="s">
        <v>39</v>
      </c>
      <c r="H12" s="858">
        <v>536018</v>
      </c>
      <c r="I12" s="859" t="s">
        <v>52</v>
      </c>
      <c r="J12" s="860">
        <v>45246</v>
      </c>
      <c r="K12" s="861">
        <f t="shared" si="0"/>
        <v>176</v>
      </c>
      <c r="L12" s="860">
        <v>45422</v>
      </c>
      <c r="M12" s="860" t="s">
        <v>41</v>
      </c>
      <c r="N12" s="857" t="s">
        <v>42</v>
      </c>
      <c r="O12" s="1562">
        <v>45443</v>
      </c>
      <c r="P12" s="863">
        <f t="shared" si="1"/>
        <v>31</v>
      </c>
      <c r="Q12" s="864" t="s">
        <v>8219</v>
      </c>
      <c r="R12" s="865">
        <v>45453</v>
      </c>
      <c r="S12" s="915">
        <v>45455</v>
      </c>
      <c r="T12" s="915">
        <f>+S12+25</f>
        <v>45480</v>
      </c>
      <c r="U12" s="861">
        <f t="shared" si="2"/>
        <v>234</v>
      </c>
      <c r="V12" s="868" t="s">
        <v>8209</v>
      </c>
      <c r="W12" s="1107" t="s">
        <v>8216</v>
      </c>
      <c r="X12" s="1076"/>
      <c r="Y12" s="1076"/>
      <c r="Z12" s="867"/>
      <c r="AA12" s="857"/>
      <c r="AB12" s="1024">
        <f t="shared" ca="1" si="3"/>
        <v>45515</v>
      </c>
      <c r="AC12" s="930" t="s">
        <v>8218</v>
      </c>
      <c r="AE12" s="646" t="str">
        <f t="shared" si="4"/>
        <v>atrasado</v>
      </c>
      <c r="AF12" s="468" t="s">
        <v>8214</v>
      </c>
      <c r="AG12" s="468" t="s">
        <v>2937</v>
      </c>
    </row>
    <row r="13" spans="1:33" s="638" customFormat="1" ht="54.95" customHeight="1" thickBot="1" x14ac:dyDescent="0.25">
      <c r="B13" s="854" t="s">
        <v>36</v>
      </c>
      <c r="C13" s="855" t="s">
        <v>7534</v>
      </c>
      <c r="D13" s="856" t="s">
        <v>8095</v>
      </c>
      <c r="E13" s="868">
        <v>4500001144</v>
      </c>
      <c r="F13" s="1026" t="s">
        <v>8096</v>
      </c>
      <c r="G13" s="857" t="s">
        <v>39</v>
      </c>
      <c r="H13" s="858">
        <v>667575</v>
      </c>
      <c r="I13" s="859" t="s">
        <v>52</v>
      </c>
      <c r="J13" s="860">
        <v>45246</v>
      </c>
      <c r="K13" s="861">
        <f t="shared" ref="K13" si="5">+L13-J13</f>
        <v>176</v>
      </c>
      <c r="L13" s="860">
        <v>45422</v>
      </c>
      <c r="M13" s="860" t="s">
        <v>41</v>
      </c>
      <c r="N13" s="857" t="s">
        <v>42</v>
      </c>
      <c r="O13" s="1562">
        <v>45471</v>
      </c>
      <c r="P13" s="863">
        <f t="shared" ref="P13" si="6">IF(R13="","",+R13-L13)</f>
        <v>57</v>
      </c>
      <c r="Q13" s="864"/>
      <c r="R13" s="865">
        <v>45479</v>
      </c>
      <c r="S13" s="915">
        <v>45482</v>
      </c>
      <c r="T13" s="915">
        <f>+S13+25</f>
        <v>45507</v>
      </c>
      <c r="U13" s="861">
        <f t="shared" ref="U13" si="7">IF(T13="","",+T13-J13)</f>
        <v>261</v>
      </c>
      <c r="V13" s="868" t="s">
        <v>8210</v>
      </c>
      <c r="W13" s="1107"/>
      <c r="X13" s="1076"/>
      <c r="Y13" s="1076"/>
      <c r="Z13" s="867"/>
      <c r="AA13" s="857"/>
      <c r="AB13" s="1024">
        <f t="shared" ref="AB13" ca="1" si="8">IF(S13="","",IF($Z$1&lt;(S13+60),(S13+60),"VENCIDA"))</f>
        <v>45542</v>
      </c>
      <c r="AC13" s="930" t="s">
        <v>8202</v>
      </c>
      <c r="AE13" s="646" t="str">
        <f t="shared" ref="AE13" si="9">IF(P13="","",IF(P13&lt;=0,"en término","atrasado"))</f>
        <v>atrasado</v>
      </c>
      <c r="AF13" s="468"/>
      <c r="AG13" s="468"/>
    </row>
    <row r="14" spans="1:33" s="638" customFormat="1" ht="54.95" customHeight="1" thickBot="1" x14ac:dyDescent="0.25">
      <c r="B14" s="854" t="s">
        <v>36</v>
      </c>
      <c r="C14" s="855" t="s">
        <v>7534</v>
      </c>
      <c r="D14" s="856" t="s">
        <v>7769</v>
      </c>
      <c r="E14" s="868" t="s">
        <v>7770</v>
      </c>
      <c r="F14" s="1026" t="s">
        <v>8126</v>
      </c>
      <c r="G14" s="857" t="s">
        <v>39</v>
      </c>
      <c r="H14" s="858">
        <v>189380</v>
      </c>
      <c r="I14" s="859" t="s">
        <v>40</v>
      </c>
      <c r="J14" s="860">
        <v>45356</v>
      </c>
      <c r="K14" s="861">
        <f>+L14-J14</f>
        <v>209</v>
      </c>
      <c r="L14" s="860">
        <v>45565</v>
      </c>
      <c r="M14" s="860" t="s">
        <v>41</v>
      </c>
      <c r="N14" s="857" t="s">
        <v>42</v>
      </c>
      <c r="O14" s="1562">
        <v>45471</v>
      </c>
      <c r="P14" s="863">
        <f>IF(R14="","",+R14-L14)</f>
        <v>-86</v>
      </c>
      <c r="Q14" s="864"/>
      <c r="R14" s="865">
        <v>45479</v>
      </c>
      <c r="S14" s="915">
        <v>45482</v>
      </c>
      <c r="T14" s="915">
        <f>+S14+25</f>
        <v>45507</v>
      </c>
      <c r="U14" s="861">
        <f>IF(T14="","",+T14-J14)</f>
        <v>151</v>
      </c>
      <c r="V14" s="868" t="s">
        <v>8127</v>
      </c>
      <c r="W14" s="1107"/>
      <c r="X14" s="1076"/>
      <c r="Y14" s="1076"/>
      <c r="Z14" s="867"/>
      <c r="AA14" s="857"/>
      <c r="AB14" s="1024">
        <f ca="1">IF(S14="","",IF($Z$1&lt;(S14+60),(S14+60),"VENCIDA"))</f>
        <v>45542</v>
      </c>
      <c r="AC14" s="930" t="s">
        <v>8130</v>
      </c>
      <c r="AE14" s="646" t="str">
        <f>IF(P14="","",IF(P14&lt;=0,"en término","atrasado"))</f>
        <v>en término</v>
      </c>
      <c r="AF14" s="468"/>
      <c r="AG14" s="468"/>
    </row>
    <row r="15" spans="1:33" s="638" customFormat="1" ht="54.95" customHeight="1" thickBot="1" x14ac:dyDescent="0.25">
      <c r="B15" s="854" t="s">
        <v>36</v>
      </c>
      <c r="C15" s="855" t="s">
        <v>7534</v>
      </c>
      <c r="D15" s="856" t="s">
        <v>7769</v>
      </c>
      <c r="E15" s="868" t="s">
        <v>7770</v>
      </c>
      <c r="F15" s="1026" t="s">
        <v>8126</v>
      </c>
      <c r="G15" s="857" t="s">
        <v>39</v>
      </c>
      <c r="H15" s="858">
        <v>51780</v>
      </c>
      <c r="I15" s="859" t="s">
        <v>40</v>
      </c>
      <c r="J15" s="860">
        <v>45356</v>
      </c>
      <c r="K15" s="861">
        <f>+L15-J15</f>
        <v>209</v>
      </c>
      <c r="L15" s="860">
        <v>45565</v>
      </c>
      <c r="M15" s="860" t="s">
        <v>41</v>
      </c>
      <c r="N15" s="857" t="s">
        <v>42</v>
      </c>
      <c r="O15" s="1562">
        <v>45496</v>
      </c>
      <c r="P15" s="863" t="str">
        <f>IF(R15="","",+R15-L15)</f>
        <v/>
      </c>
      <c r="Q15" s="864"/>
      <c r="R15" s="865"/>
      <c r="S15" s="915"/>
      <c r="T15" s="915"/>
      <c r="U15" s="861" t="str">
        <f>IF(T15="","",+T15-J15)</f>
        <v/>
      </c>
      <c r="V15" s="868" t="s">
        <v>8128</v>
      </c>
      <c r="W15" s="1107"/>
      <c r="X15" s="1076"/>
      <c r="Y15" s="1076"/>
      <c r="Z15" s="867"/>
      <c r="AA15" s="857"/>
      <c r="AB15" s="1024" t="str">
        <f>IF(S15="","",IF($Z$1&lt;(S15+60),(S15+60),"VENCIDA"))</f>
        <v/>
      </c>
      <c r="AC15" s="930" t="s">
        <v>8131</v>
      </c>
      <c r="AE15" s="646" t="str">
        <f>IF(P15="","",IF(P15&lt;=0,"en término","atrasado"))</f>
        <v/>
      </c>
      <c r="AF15" s="468"/>
      <c r="AG15" s="468"/>
    </row>
    <row r="16" spans="1:33" s="638" customFormat="1" ht="54.95" customHeight="1" thickBot="1" x14ac:dyDescent="0.25">
      <c r="B16" s="854" t="s">
        <v>36</v>
      </c>
      <c r="C16" s="855" t="s">
        <v>7534</v>
      </c>
      <c r="D16" s="856" t="s">
        <v>7769</v>
      </c>
      <c r="E16" s="868" t="s">
        <v>7770</v>
      </c>
      <c r="F16" s="1026" t="s">
        <v>8126</v>
      </c>
      <c r="G16" s="857" t="s">
        <v>39</v>
      </c>
      <c r="H16" s="858">
        <v>116145</v>
      </c>
      <c r="I16" s="859" t="s">
        <v>40</v>
      </c>
      <c r="J16" s="860">
        <v>45356</v>
      </c>
      <c r="K16" s="861">
        <f>+L16-J16</f>
        <v>209</v>
      </c>
      <c r="L16" s="860">
        <v>45565</v>
      </c>
      <c r="M16" s="860" t="s">
        <v>41</v>
      </c>
      <c r="N16" s="857" t="s">
        <v>42</v>
      </c>
      <c r="O16" s="1562">
        <v>45527</v>
      </c>
      <c r="P16" s="863" t="str">
        <f>IF(R16="","",+R16-L16)</f>
        <v/>
      </c>
      <c r="Q16" s="864"/>
      <c r="R16" s="865"/>
      <c r="S16" s="915"/>
      <c r="T16" s="915"/>
      <c r="U16" s="861" t="str">
        <f>IF(T16="","",+T16-J16)</f>
        <v/>
      </c>
      <c r="V16" s="868" t="s">
        <v>8129</v>
      </c>
      <c r="W16" s="1107"/>
      <c r="X16" s="1076"/>
      <c r="Y16" s="1076"/>
      <c r="Z16" s="867"/>
      <c r="AA16" s="857"/>
      <c r="AB16" s="1024" t="str">
        <f>IF(S16="","",IF($Z$1&lt;(S16+60),(S16+60),"VENCIDA"))</f>
        <v/>
      </c>
      <c r="AC16" s="930" t="s">
        <v>8132</v>
      </c>
      <c r="AE16" s="646" t="str">
        <f>IF(P16="","",IF(P16&lt;=0,"en término","atrasado"))</f>
        <v/>
      </c>
      <c r="AF16" s="468"/>
      <c r="AG16" s="468"/>
    </row>
    <row r="17" spans="2:35" s="638" customFormat="1" ht="54.95" customHeight="1" thickBot="1" x14ac:dyDescent="0.25">
      <c r="B17" s="854" t="s">
        <v>36</v>
      </c>
      <c r="C17" s="855" t="s">
        <v>7534</v>
      </c>
      <c r="D17" s="856" t="s">
        <v>8143</v>
      </c>
      <c r="E17" s="868"/>
      <c r="F17" s="1026" t="s">
        <v>8144</v>
      </c>
      <c r="G17" s="857" t="s">
        <v>39</v>
      </c>
      <c r="H17" s="858">
        <v>89973</v>
      </c>
      <c r="I17" s="859" t="s">
        <v>52</v>
      </c>
      <c r="J17" s="860">
        <v>45396</v>
      </c>
      <c r="K17" s="861">
        <f t="shared" ref="K17" si="10">+L17-J17</f>
        <v>212</v>
      </c>
      <c r="L17" s="860">
        <v>45608</v>
      </c>
      <c r="M17" s="860" t="s">
        <v>41</v>
      </c>
      <c r="N17" s="857" t="s">
        <v>42</v>
      </c>
      <c r="O17" s="1562">
        <v>45491</v>
      </c>
      <c r="P17" s="863" t="str">
        <f t="shared" ref="P17" si="11">IF(R17="","",+R17-L17)</f>
        <v/>
      </c>
      <c r="Q17" s="864"/>
      <c r="R17" s="865"/>
      <c r="S17" s="915"/>
      <c r="T17" s="915"/>
      <c r="U17" s="861" t="str">
        <f t="shared" ref="U17" si="12">IF(T17="","",+T17-J17)</f>
        <v/>
      </c>
      <c r="V17" s="868" t="s">
        <v>8145</v>
      </c>
      <c r="W17" s="1107"/>
      <c r="X17" s="1076"/>
      <c r="Y17" s="1076"/>
      <c r="Z17" s="867"/>
      <c r="AA17" s="857"/>
      <c r="AB17" s="1024" t="str">
        <f t="shared" ref="AB17" si="13">IF(S17="","",IF($Z$1&lt;(S17+60),(S17+60),"VENCIDA"))</f>
        <v/>
      </c>
      <c r="AC17" s="930" t="s">
        <v>8147</v>
      </c>
      <c r="AE17" s="646" t="str">
        <f t="shared" ref="AE17" si="14">IF(P17="","",IF(P17&lt;=0,"en término","atrasado"))</f>
        <v/>
      </c>
      <c r="AF17" s="468"/>
      <c r="AG17" s="468"/>
    </row>
    <row r="18" spans="2:35" s="638" customFormat="1" ht="54.95" customHeight="1" thickBot="1" x14ac:dyDescent="0.25">
      <c r="B18" s="854" t="s">
        <v>36</v>
      </c>
      <c r="C18" s="855" t="s">
        <v>7534</v>
      </c>
      <c r="D18" s="856" t="s">
        <v>8143</v>
      </c>
      <c r="E18" s="868"/>
      <c r="F18" s="1026" t="s">
        <v>8144</v>
      </c>
      <c r="G18" s="857" t="s">
        <v>39</v>
      </c>
      <c r="H18" s="858">
        <v>94579</v>
      </c>
      <c r="I18" s="859" t="s">
        <v>52</v>
      </c>
      <c r="J18" s="860">
        <v>45396</v>
      </c>
      <c r="K18" s="861">
        <f t="shared" ref="K18" si="15">+L18-J18</f>
        <v>212</v>
      </c>
      <c r="L18" s="860">
        <v>45608</v>
      </c>
      <c r="M18" s="860" t="s">
        <v>41</v>
      </c>
      <c r="N18" s="857" t="s">
        <v>42</v>
      </c>
      <c r="O18" s="1562">
        <v>45519</v>
      </c>
      <c r="P18" s="863" t="str">
        <f t="shared" ref="P18" si="16">IF(R18="","",+R18-L18)</f>
        <v/>
      </c>
      <c r="Q18" s="864"/>
      <c r="R18" s="865"/>
      <c r="S18" s="915"/>
      <c r="T18" s="915"/>
      <c r="U18" s="861" t="str">
        <f t="shared" ref="U18" si="17">IF(T18="","",+T18-J18)</f>
        <v/>
      </c>
      <c r="V18" s="868" t="s">
        <v>8146</v>
      </c>
      <c r="W18" s="1107"/>
      <c r="X18" s="1076"/>
      <c r="Y18" s="1076"/>
      <c r="Z18" s="867"/>
      <c r="AA18" s="857"/>
      <c r="AB18" s="1024" t="str">
        <f t="shared" ref="AB18" si="18">IF(S18="","",IF($Z$1&lt;(S18+60),(S18+60),"VENCIDA"))</f>
        <v/>
      </c>
      <c r="AC18" s="930" t="s">
        <v>8148</v>
      </c>
      <c r="AE18" s="646" t="str">
        <f t="shared" ref="AE18" si="19">IF(P18="","",IF(P18&lt;=0,"en término","atrasado"))</f>
        <v/>
      </c>
      <c r="AF18" s="468"/>
      <c r="AG18" s="468"/>
    </row>
    <row r="19" spans="2:35" s="638" customFormat="1" ht="54.95" customHeight="1" thickBot="1" x14ac:dyDescent="0.25">
      <c r="B19" s="854" t="s">
        <v>36</v>
      </c>
      <c r="C19" s="855" t="s">
        <v>7534</v>
      </c>
      <c r="D19" s="856" t="s">
        <v>8152</v>
      </c>
      <c r="E19" s="868"/>
      <c r="F19" s="1026" t="s">
        <v>8153</v>
      </c>
      <c r="G19" s="857" t="s">
        <v>39</v>
      </c>
      <c r="H19" s="858">
        <v>261790</v>
      </c>
      <c r="I19" s="859" t="s">
        <v>142</v>
      </c>
      <c r="J19" s="860">
        <v>45405</v>
      </c>
      <c r="K19" s="861">
        <f t="shared" ref="K19" si="20">+L19-J19</f>
        <v>180</v>
      </c>
      <c r="L19" s="860">
        <v>45585</v>
      </c>
      <c r="M19" s="860" t="s">
        <v>41</v>
      </c>
      <c r="N19" s="857" t="s">
        <v>42</v>
      </c>
      <c r="O19" s="1562">
        <v>45478</v>
      </c>
      <c r="P19" s="863" t="str">
        <f t="shared" ref="P19" si="21">IF(R19="","",+R19-L19)</f>
        <v/>
      </c>
      <c r="Q19" s="864"/>
      <c r="R19" s="865"/>
      <c r="S19" s="915"/>
      <c r="T19" s="915"/>
      <c r="U19" s="861" t="str">
        <f t="shared" ref="U19" si="22">IF(T19="","",+T19-J19)</f>
        <v/>
      </c>
      <c r="V19" s="868" t="s">
        <v>8154</v>
      </c>
      <c r="W19" s="1107"/>
      <c r="X19" s="1076"/>
      <c r="Y19" s="1076"/>
      <c r="Z19" s="867"/>
      <c r="AA19" s="857"/>
      <c r="AB19" s="1024" t="str">
        <f t="shared" ref="AB19" si="23">IF(S19="","",IF($Z$1&lt;(S19+60),(S19+60),"VENCIDA"))</f>
        <v/>
      </c>
      <c r="AC19" s="930" t="s">
        <v>8156</v>
      </c>
      <c r="AE19" s="646" t="str">
        <f t="shared" ref="AE19" si="24">IF(P19="","",IF(P19&lt;=0,"en término","atrasado"))</f>
        <v/>
      </c>
      <c r="AF19" s="468"/>
      <c r="AG19" s="468"/>
    </row>
    <row r="20" spans="2:35" s="638" customFormat="1" ht="54.95" customHeight="1" thickBot="1" x14ac:dyDescent="0.25">
      <c r="B20" s="854" t="s">
        <v>36</v>
      </c>
      <c r="C20" s="855" t="s">
        <v>7534</v>
      </c>
      <c r="D20" s="856" t="s">
        <v>8152</v>
      </c>
      <c r="E20" s="868"/>
      <c r="F20" s="1026" t="s">
        <v>8153</v>
      </c>
      <c r="G20" s="857" t="s">
        <v>39</v>
      </c>
      <c r="H20" s="858">
        <v>335316</v>
      </c>
      <c r="I20" s="859" t="s">
        <v>142</v>
      </c>
      <c r="J20" s="860">
        <v>45405</v>
      </c>
      <c r="K20" s="861">
        <f t="shared" ref="K20:K21" si="25">+L20-J20</f>
        <v>180</v>
      </c>
      <c r="L20" s="860">
        <v>45585</v>
      </c>
      <c r="M20" s="860" t="s">
        <v>41</v>
      </c>
      <c r="N20" s="857" t="s">
        <v>42</v>
      </c>
      <c r="O20" s="1562">
        <v>45541</v>
      </c>
      <c r="P20" s="863" t="str">
        <f t="shared" ref="P20:P21" si="26">IF(R20="","",+R20-L20)</f>
        <v/>
      </c>
      <c r="Q20" s="864"/>
      <c r="R20" s="865"/>
      <c r="S20" s="915"/>
      <c r="T20" s="915"/>
      <c r="U20" s="861" t="str">
        <f t="shared" ref="U20:U21" si="27">IF(T20="","",+T20-J20)</f>
        <v/>
      </c>
      <c r="V20" s="868" t="s">
        <v>8155</v>
      </c>
      <c r="W20" s="1107"/>
      <c r="X20" s="1076"/>
      <c r="Y20" s="1076"/>
      <c r="Z20" s="867"/>
      <c r="AA20" s="857"/>
      <c r="AB20" s="1024" t="str">
        <f t="shared" ref="AB20:AB21" si="28">IF(S20="","",IF($Z$1&lt;(S20+60),(S20+60),"VENCIDA"))</f>
        <v/>
      </c>
      <c r="AC20" s="930" t="s">
        <v>8157</v>
      </c>
      <c r="AE20" s="646" t="str">
        <f t="shared" ref="AE20:AE21" si="29">IF(P20="","",IF(P20&lt;=0,"en término","atrasado"))</f>
        <v/>
      </c>
      <c r="AF20" s="468"/>
      <c r="AG20" s="468"/>
    </row>
    <row r="21" spans="2:35" s="638" customFormat="1" ht="54.95" customHeight="1" thickBot="1" x14ac:dyDescent="0.25">
      <c r="B21" s="854" t="s">
        <v>36</v>
      </c>
      <c r="C21" s="855" t="s">
        <v>7534</v>
      </c>
      <c r="D21" s="856" t="s">
        <v>7769</v>
      </c>
      <c r="E21" s="868" t="s">
        <v>7770</v>
      </c>
      <c r="F21" s="1026" t="s">
        <v>8164</v>
      </c>
      <c r="G21" s="857" t="s">
        <v>39</v>
      </c>
      <c r="H21" s="858">
        <v>160495</v>
      </c>
      <c r="I21" s="859" t="s">
        <v>40</v>
      </c>
      <c r="J21" s="860">
        <v>45407</v>
      </c>
      <c r="K21" s="861">
        <f t="shared" si="25"/>
        <v>250</v>
      </c>
      <c r="L21" s="860">
        <v>45657</v>
      </c>
      <c r="M21" s="860" t="s">
        <v>41</v>
      </c>
      <c r="N21" s="857" t="s">
        <v>42</v>
      </c>
      <c r="O21" s="1562">
        <v>45513</v>
      </c>
      <c r="P21" s="863" t="str">
        <f t="shared" si="26"/>
        <v/>
      </c>
      <c r="Q21" s="864"/>
      <c r="R21" s="865"/>
      <c r="S21" s="915"/>
      <c r="T21" s="915"/>
      <c r="U21" s="861" t="str">
        <f t="shared" si="27"/>
        <v/>
      </c>
      <c r="V21" s="1565" t="s">
        <v>8169</v>
      </c>
      <c r="W21" s="1107"/>
      <c r="X21" s="1076"/>
      <c r="Y21" s="1076"/>
      <c r="Z21" s="867"/>
      <c r="AA21" s="857"/>
      <c r="AB21" s="1024" t="str">
        <f t="shared" si="28"/>
        <v/>
      </c>
      <c r="AC21" s="930" t="s">
        <v>8165</v>
      </c>
      <c r="AE21" s="646" t="str">
        <f t="shared" si="29"/>
        <v/>
      </c>
      <c r="AF21" s="468"/>
      <c r="AG21" s="468"/>
    </row>
    <row r="22" spans="2:35" s="638" customFormat="1" ht="54.95" customHeight="1" thickBot="1" x14ac:dyDescent="0.25">
      <c r="B22" s="854" t="s">
        <v>36</v>
      </c>
      <c r="C22" s="855" t="s">
        <v>7534</v>
      </c>
      <c r="D22" s="856" t="s">
        <v>7769</v>
      </c>
      <c r="E22" s="868" t="s">
        <v>7770</v>
      </c>
      <c r="F22" s="1026" t="s">
        <v>8164</v>
      </c>
      <c r="G22" s="857" t="s">
        <v>39</v>
      </c>
      <c r="H22" s="858">
        <v>198005</v>
      </c>
      <c r="I22" s="859" t="s">
        <v>40</v>
      </c>
      <c r="J22" s="860">
        <v>45407</v>
      </c>
      <c r="K22" s="861">
        <f t="shared" ref="K22" si="30">+L22-J22</f>
        <v>250</v>
      </c>
      <c r="L22" s="860">
        <v>45657</v>
      </c>
      <c r="M22" s="860" t="s">
        <v>41</v>
      </c>
      <c r="N22" s="857" t="s">
        <v>42</v>
      </c>
      <c r="O22" s="1562">
        <v>45545</v>
      </c>
      <c r="P22" s="863" t="str">
        <f t="shared" ref="P22" si="31">IF(R22="","",+R22-L22)</f>
        <v/>
      </c>
      <c r="Q22" s="864"/>
      <c r="R22" s="865"/>
      <c r="S22" s="915"/>
      <c r="T22" s="915"/>
      <c r="U22" s="861" t="str">
        <f t="shared" ref="U22" si="32">IF(T22="","",+T22-J22)</f>
        <v/>
      </c>
      <c r="V22" s="1565" t="s">
        <v>8170</v>
      </c>
      <c r="W22" s="1107"/>
      <c r="X22" s="1076"/>
      <c r="Y22" s="1076"/>
      <c r="Z22" s="867"/>
      <c r="AA22" s="857"/>
      <c r="AB22" s="1024" t="str">
        <f t="shared" ref="AB22" si="33">IF(S22="","",IF($Z$1&lt;(S22+60),(S22+60),"VENCIDA"))</f>
        <v/>
      </c>
      <c r="AC22" s="930" t="s">
        <v>8166</v>
      </c>
      <c r="AE22" s="646" t="str">
        <f t="shared" ref="AE22" si="34">IF(P22="","",IF(P22&lt;=0,"en término","atrasado"))</f>
        <v/>
      </c>
      <c r="AF22" s="468"/>
      <c r="AG22" s="468"/>
    </row>
    <row r="23" spans="2:35" s="638" customFormat="1" ht="54.95" customHeight="1" thickBot="1" x14ac:dyDescent="0.25">
      <c r="B23" s="854" t="s">
        <v>36</v>
      </c>
      <c r="C23" s="855" t="s">
        <v>7534</v>
      </c>
      <c r="D23" s="856" t="s">
        <v>7769</v>
      </c>
      <c r="E23" s="868" t="s">
        <v>7770</v>
      </c>
      <c r="F23" s="1026" t="s">
        <v>8164</v>
      </c>
      <c r="G23" s="857" t="s">
        <v>39</v>
      </c>
      <c r="H23" s="858">
        <v>331063</v>
      </c>
      <c r="I23" s="859" t="s">
        <v>40</v>
      </c>
      <c r="J23" s="860">
        <v>45407</v>
      </c>
      <c r="K23" s="861">
        <f t="shared" ref="K23" si="35">+L23-J23</f>
        <v>250</v>
      </c>
      <c r="L23" s="860">
        <v>45657</v>
      </c>
      <c r="M23" s="860" t="s">
        <v>41</v>
      </c>
      <c r="N23" s="857" t="s">
        <v>42</v>
      </c>
      <c r="O23" s="1562">
        <v>45569</v>
      </c>
      <c r="P23" s="863" t="str">
        <f t="shared" ref="P23" si="36">IF(R23="","",+R23-L23)</f>
        <v/>
      </c>
      <c r="Q23" s="864"/>
      <c r="R23" s="865"/>
      <c r="S23" s="915"/>
      <c r="T23" s="915"/>
      <c r="U23" s="861" t="str">
        <f t="shared" ref="U23" si="37">IF(T23="","",+T23-J23)</f>
        <v/>
      </c>
      <c r="V23" s="1565" t="s">
        <v>8171</v>
      </c>
      <c r="W23" s="1107"/>
      <c r="X23" s="1076"/>
      <c r="Y23" s="1076"/>
      <c r="Z23" s="867"/>
      <c r="AA23" s="857"/>
      <c r="AB23" s="1024" t="str">
        <f t="shared" ref="AB23" si="38">IF(S23="","",IF($Z$1&lt;(S23+60),(S23+60),"VENCIDA"))</f>
        <v/>
      </c>
      <c r="AC23" s="930" t="s">
        <v>8167</v>
      </c>
      <c r="AE23" s="646" t="str">
        <f t="shared" ref="AE23" si="39">IF(P23="","",IF(P23&lt;=0,"en término","atrasado"))</f>
        <v/>
      </c>
      <c r="AF23" s="468"/>
      <c r="AG23" s="468"/>
    </row>
    <row r="24" spans="2:35" s="638" customFormat="1" ht="54.95" customHeight="1" thickBot="1" x14ac:dyDescent="0.25">
      <c r="B24" s="854" t="s">
        <v>36</v>
      </c>
      <c r="C24" s="855" t="s">
        <v>7534</v>
      </c>
      <c r="D24" s="856" t="s">
        <v>7769</v>
      </c>
      <c r="E24" s="868" t="s">
        <v>7770</v>
      </c>
      <c r="F24" s="1026" t="s">
        <v>8164</v>
      </c>
      <c r="G24" s="857" t="s">
        <v>39</v>
      </c>
      <c r="H24" s="858">
        <v>574790</v>
      </c>
      <c r="I24" s="859" t="s">
        <v>40</v>
      </c>
      <c r="J24" s="860">
        <v>45407</v>
      </c>
      <c r="K24" s="861">
        <f t="shared" ref="K24:K25" si="40">+L24-J24</f>
        <v>250</v>
      </c>
      <c r="L24" s="860">
        <v>45657</v>
      </c>
      <c r="M24" s="860" t="s">
        <v>41</v>
      </c>
      <c r="N24" s="857" t="s">
        <v>42</v>
      </c>
      <c r="O24" s="1562">
        <v>45639</v>
      </c>
      <c r="P24" s="863" t="str">
        <f t="shared" ref="P24:P25" si="41">IF(R24="","",+R24-L24)</f>
        <v/>
      </c>
      <c r="Q24" s="864"/>
      <c r="R24" s="865"/>
      <c r="S24" s="915"/>
      <c r="T24" s="915"/>
      <c r="U24" s="861" t="str">
        <f t="shared" ref="U24:U25" si="42">IF(T24="","",+T24-J24)</f>
        <v/>
      </c>
      <c r="V24" s="1565" t="s">
        <v>8172</v>
      </c>
      <c r="W24" s="1107"/>
      <c r="X24" s="1076"/>
      <c r="Y24" s="1076"/>
      <c r="Z24" s="867"/>
      <c r="AA24" s="857"/>
      <c r="AB24" s="1024" t="str">
        <f t="shared" ref="AB24:AB25" si="43">IF(S24="","",IF($Z$1&lt;(S24+60),(S24+60),"VENCIDA"))</f>
        <v/>
      </c>
      <c r="AC24" s="930" t="s">
        <v>8168</v>
      </c>
      <c r="AE24" s="646" t="str">
        <f t="shared" ref="AE24:AE25" si="44">IF(P24="","",IF(P24&lt;=0,"en término","atrasado"))</f>
        <v/>
      </c>
      <c r="AF24" s="468"/>
      <c r="AG24" s="468"/>
    </row>
    <row r="25" spans="2:35" s="638" customFormat="1" ht="54.95" customHeight="1" thickBot="1" x14ac:dyDescent="0.25">
      <c r="B25" s="854" t="s">
        <v>36</v>
      </c>
      <c r="C25" s="855" t="s">
        <v>7534</v>
      </c>
      <c r="D25" s="856" t="s">
        <v>8173</v>
      </c>
      <c r="E25" s="868"/>
      <c r="F25" s="1026" t="s">
        <v>8174</v>
      </c>
      <c r="G25" s="857" t="s">
        <v>39</v>
      </c>
      <c r="H25" s="858">
        <v>199534</v>
      </c>
      <c r="I25" s="859" t="s">
        <v>40</v>
      </c>
      <c r="J25" s="860">
        <v>45419</v>
      </c>
      <c r="K25" s="861">
        <f t="shared" si="40"/>
        <v>239</v>
      </c>
      <c r="L25" s="860">
        <v>45658</v>
      </c>
      <c r="M25" s="860" t="s">
        <v>41</v>
      </c>
      <c r="N25" s="857" t="s">
        <v>42</v>
      </c>
      <c r="O25" s="1562">
        <v>45513</v>
      </c>
      <c r="P25" s="863" t="str">
        <f t="shared" si="41"/>
        <v/>
      </c>
      <c r="Q25" s="864"/>
      <c r="R25" s="865"/>
      <c r="S25" s="915"/>
      <c r="T25" s="915"/>
      <c r="U25" s="861" t="str">
        <f t="shared" si="42"/>
        <v/>
      </c>
      <c r="V25" s="1565" t="s">
        <v>8220</v>
      </c>
      <c r="W25" s="1107"/>
      <c r="X25" s="1076"/>
      <c r="Y25" s="1076"/>
      <c r="Z25" s="867"/>
      <c r="AA25" s="857"/>
      <c r="AB25" s="1024" t="str">
        <f t="shared" si="43"/>
        <v/>
      </c>
      <c r="AC25" s="930" t="s">
        <v>8176</v>
      </c>
      <c r="AE25" s="646" t="str">
        <f t="shared" si="44"/>
        <v/>
      </c>
      <c r="AF25" s="468"/>
      <c r="AG25" s="468"/>
    </row>
    <row r="26" spans="2:35" s="638" customFormat="1" ht="54.95" customHeight="1" thickBot="1" x14ac:dyDescent="0.25">
      <c r="B26" s="854" t="s">
        <v>36</v>
      </c>
      <c r="C26" s="855" t="s">
        <v>7534</v>
      </c>
      <c r="D26" s="856" t="s">
        <v>8173</v>
      </c>
      <c r="E26" s="868"/>
      <c r="F26" s="1026" t="s">
        <v>8174</v>
      </c>
      <c r="G26" s="857" t="s">
        <v>39</v>
      </c>
      <c r="H26" s="858">
        <v>86670</v>
      </c>
      <c r="I26" s="859" t="s">
        <v>40</v>
      </c>
      <c r="J26" s="860">
        <v>45419</v>
      </c>
      <c r="K26" s="861">
        <f t="shared" ref="K26:K29" si="45">+L26-J26</f>
        <v>239</v>
      </c>
      <c r="L26" s="860">
        <v>45658</v>
      </c>
      <c r="M26" s="860" t="s">
        <v>41</v>
      </c>
      <c r="N26" s="857" t="s">
        <v>42</v>
      </c>
      <c r="O26" s="1562">
        <v>45545</v>
      </c>
      <c r="P26" s="863" t="str">
        <f t="shared" ref="P26:P29" si="46">IF(R26="","",+R26-L26)</f>
        <v/>
      </c>
      <c r="Q26" s="864"/>
      <c r="R26" s="865"/>
      <c r="S26" s="915"/>
      <c r="T26" s="915"/>
      <c r="U26" s="861" t="str">
        <f t="shared" ref="U26:U29" si="47">IF(T26="","",+T26-J26)</f>
        <v/>
      </c>
      <c r="V26" s="1565" t="s">
        <v>8221</v>
      </c>
      <c r="W26" s="1107"/>
      <c r="X26" s="1076"/>
      <c r="Y26" s="1076"/>
      <c r="Z26" s="867"/>
      <c r="AA26" s="857"/>
      <c r="AB26" s="1024" t="str">
        <f t="shared" ref="AB26:AB29" si="48">IF(S26="","",IF($Z$1&lt;(S26+60),(S26+60),"VENCIDA"))</f>
        <v/>
      </c>
      <c r="AC26" s="930" t="s">
        <v>8177</v>
      </c>
      <c r="AE26" s="646" t="str">
        <f t="shared" ref="AE26:AE29" si="49">IF(P26="","",IF(P26&lt;=0,"en término","atrasado"))</f>
        <v/>
      </c>
      <c r="AF26" s="468"/>
      <c r="AG26" s="468"/>
    </row>
    <row r="27" spans="2:35" s="638" customFormat="1" ht="54.95" customHeight="1" thickBot="1" x14ac:dyDescent="0.25">
      <c r="B27" s="854" t="s">
        <v>36</v>
      </c>
      <c r="C27" s="855" t="s">
        <v>7534</v>
      </c>
      <c r="D27" s="856" t="s">
        <v>8173</v>
      </c>
      <c r="E27" s="868"/>
      <c r="F27" s="1026" t="s">
        <v>8174</v>
      </c>
      <c r="G27" s="857" t="s">
        <v>39</v>
      </c>
      <c r="H27" s="858">
        <v>82450</v>
      </c>
      <c r="I27" s="859" t="s">
        <v>40</v>
      </c>
      <c r="J27" s="860">
        <v>45419</v>
      </c>
      <c r="K27" s="861">
        <f t="shared" si="45"/>
        <v>239</v>
      </c>
      <c r="L27" s="860">
        <v>45658</v>
      </c>
      <c r="M27" s="860" t="s">
        <v>41</v>
      </c>
      <c r="N27" s="857" t="s">
        <v>42</v>
      </c>
      <c r="O27" s="1562">
        <v>45569</v>
      </c>
      <c r="P27" s="863" t="str">
        <f t="shared" si="46"/>
        <v/>
      </c>
      <c r="Q27" s="864"/>
      <c r="R27" s="865"/>
      <c r="S27" s="915"/>
      <c r="T27" s="915"/>
      <c r="U27" s="861" t="str">
        <f t="shared" si="47"/>
        <v/>
      </c>
      <c r="V27" s="1565" t="s">
        <v>8175</v>
      </c>
      <c r="W27" s="1107"/>
      <c r="X27" s="1076"/>
      <c r="Y27" s="1076"/>
      <c r="Z27" s="867"/>
      <c r="AA27" s="857"/>
      <c r="AB27" s="1024" t="str">
        <f t="shared" si="48"/>
        <v/>
      </c>
      <c r="AC27" s="930" t="s">
        <v>8178</v>
      </c>
      <c r="AE27" s="646" t="str">
        <f t="shared" si="49"/>
        <v/>
      </c>
      <c r="AF27" s="468"/>
      <c r="AG27" s="468"/>
    </row>
    <row r="28" spans="2:35" s="638" customFormat="1" ht="54.95" customHeight="1" thickBot="1" x14ac:dyDescent="0.25">
      <c r="B28" s="854" t="s">
        <v>36</v>
      </c>
      <c r="C28" s="855" t="s">
        <v>7534</v>
      </c>
      <c r="D28" s="856" t="s">
        <v>8179</v>
      </c>
      <c r="E28" s="868"/>
      <c r="F28" s="1026" t="s">
        <v>8180</v>
      </c>
      <c r="G28" s="857" t="s">
        <v>39</v>
      </c>
      <c r="H28" s="858">
        <v>139363</v>
      </c>
      <c r="I28" s="859" t="s">
        <v>40</v>
      </c>
      <c r="J28" s="860">
        <v>45420</v>
      </c>
      <c r="K28" s="861">
        <f t="shared" si="45"/>
        <v>90</v>
      </c>
      <c r="L28" s="860">
        <v>45510</v>
      </c>
      <c r="M28" s="860" t="s">
        <v>41</v>
      </c>
      <c r="N28" s="857" t="s">
        <v>42</v>
      </c>
      <c r="O28" s="1562">
        <v>45491</v>
      </c>
      <c r="P28" s="863" t="str">
        <f t="shared" si="46"/>
        <v/>
      </c>
      <c r="Q28" s="864"/>
      <c r="R28" s="865"/>
      <c r="S28" s="915"/>
      <c r="T28" s="915"/>
      <c r="U28" s="861" t="str">
        <f t="shared" si="47"/>
        <v/>
      </c>
      <c r="V28" s="1565" t="s">
        <v>7766</v>
      </c>
      <c r="W28" s="1107"/>
      <c r="X28" s="1076"/>
      <c r="Y28" s="1076"/>
      <c r="Z28" s="867"/>
      <c r="AA28" s="857"/>
      <c r="AB28" s="1024" t="str">
        <f t="shared" si="48"/>
        <v/>
      </c>
      <c r="AC28" s="930" t="s">
        <v>8181</v>
      </c>
      <c r="AD28" s="638" t="str">
        <f t="shared" ref="AD28" si="50">IF(P28="","",IF(P28&lt;=0,"en término","atrasado"))</f>
        <v/>
      </c>
      <c r="AE28" s="646" t="str">
        <f t="shared" si="49"/>
        <v/>
      </c>
      <c r="AF28" s="468"/>
      <c r="AG28" s="468"/>
      <c r="AI28" s="638" t="str">
        <f t="shared" ref="AI28" si="51">IF(AH28="","",IF(AH28&lt;=0,"en término","atrasado"))</f>
        <v/>
      </c>
    </row>
    <row r="29" spans="2:35" s="638" customFormat="1" ht="54.95" customHeight="1" thickBot="1" x14ac:dyDescent="0.25">
      <c r="B29" s="854" t="s">
        <v>36</v>
      </c>
      <c r="C29" s="855" t="s">
        <v>7534</v>
      </c>
      <c r="D29" s="856" t="s">
        <v>7769</v>
      </c>
      <c r="E29" s="868" t="s">
        <v>7770</v>
      </c>
      <c r="F29" s="1026" t="s">
        <v>8185</v>
      </c>
      <c r="G29" s="857" t="s">
        <v>39</v>
      </c>
      <c r="H29" s="858">
        <v>169058</v>
      </c>
      <c r="I29" s="859" t="s">
        <v>40</v>
      </c>
      <c r="J29" s="860">
        <v>45419</v>
      </c>
      <c r="K29" s="861">
        <f t="shared" si="45"/>
        <v>297</v>
      </c>
      <c r="L29" s="860">
        <v>45716</v>
      </c>
      <c r="M29" s="860" t="s">
        <v>41</v>
      </c>
      <c r="N29" s="857" t="s">
        <v>42</v>
      </c>
      <c r="O29" s="1562" t="s">
        <v>2957</v>
      </c>
      <c r="P29" s="863" t="str">
        <f t="shared" si="46"/>
        <v/>
      </c>
      <c r="Q29" s="864"/>
      <c r="R29" s="865"/>
      <c r="S29" s="915"/>
      <c r="T29" s="915"/>
      <c r="U29" s="861" t="str">
        <f t="shared" si="47"/>
        <v/>
      </c>
      <c r="V29" s="1565" t="s">
        <v>8186</v>
      </c>
      <c r="W29" s="1107"/>
      <c r="X29" s="1076"/>
      <c r="Y29" s="1076"/>
      <c r="Z29" s="867"/>
      <c r="AA29" s="857"/>
      <c r="AB29" s="1024" t="str">
        <f t="shared" si="48"/>
        <v/>
      </c>
      <c r="AC29" s="930" t="s">
        <v>8193</v>
      </c>
      <c r="AE29" s="646" t="str">
        <f t="shared" si="49"/>
        <v/>
      </c>
      <c r="AF29" s="468"/>
      <c r="AG29" s="468"/>
    </row>
    <row r="30" spans="2:35" s="638" customFormat="1" ht="54.95" customHeight="1" thickBot="1" x14ac:dyDescent="0.25">
      <c r="B30" s="854" t="s">
        <v>36</v>
      </c>
      <c r="C30" s="855" t="s">
        <v>7534</v>
      </c>
      <c r="D30" s="856" t="s">
        <v>7769</v>
      </c>
      <c r="E30" s="868" t="s">
        <v>7770</v>
      </c>
      <c r="F30" s="1026" t="s">
        <v>8185</v>
      </c>
      <c r="G30" s="857" t="s">
        <v>39</v>
      </c>
      <c r="H30" s="858">
        <v>286537</v>
      </c>
      <c r="I30" s="859" t="s">
        <v>40</v>
      </c>
      <c r="J30" s="860">
        <v>45419</v>
      </c>
      <c r="K30" s="861">
        <f t="shared" ref="K30" si="52">+L30-J30</f>
        <v>297</v>
      </c>
      <c r="L30" s="860">
        <v>45716</v>
      </c>
      <c r="M30" s="860" t="s">
        <v>41</v>
      </c>
      <c r="N30" s="857" t="s">
        <v>42</v>
      </c>
      <c r="O30" s="1562" t="s">
        <v>3056</v>
      </c>
      <c r="P30" s="863" t="str">
        <f t="shared" ref="P30" si="53">IF(R30="","",+R30-L30)</f>
        <v/>
      </c>
      <c r="Q30" s="864"/>
      <c r="R30" s="865"/>
      <c r="S30" s="915"/>
      <c r="T30" s="915"/>
      <c r="U30" s="861" t="str">
        <f t="shared" ref="U30" si="54">IF(T30="","",+T30-J30)</f>
        <v/>
      </c>
      <c r="V30" s="1565" t="s">
        <v>8187</v>
      </c>
      <c r="W30" s="1107"/>
      <c r="X30" s="1076"/>
      <c r="Y30" s="1076"/>
      <c r="Z30" s="867"/>
      <c r="AA30" s="857"/>
      <c r="AB30" s="1024" t="str">
        <f t="shared" ref="AB30" si="55">IF(S30="","",IF($Z$1&lt;(S30+60),(S30+60),"VENCIDA"))</f>
        <v/>
      </c>
      <c r="AC30" s="930" t="s">
        <v>8194</v>
      </c>
      <c r="AE30" s="646" t="str">
        <f t="shared" ref="AE30" si="56">IF(P30="","",IF(P30&lt;=0,"en término","atrasado"))</f>
        <v/>
      </c>
      <c r="AF30" s="468"/>
      <c r="AG30" s="468"/>
    </row>
    <row r="31" spans="2:35" s="638" customFormat="1" ht="54.95" customHeight="1" thickBot="1" x14ac:dyDescent="0.25">
      <c r="B31" s="854" t="s">
        <v>36</v>
      </c>
      <c r="C31" s="855" t="s">
        <v>7534</v>
      </c>
      <c r="D31" s="856" t="s">
        <v>7769</v>
      </c>
      <c r="E31" s="868" t="s">
        <v>7770</v>
      </c>
      <c r="F31" s="1026" t="s">
        <v>8185</v>
      </c>
      <c r="G31" s="857" t="s">
        <v>39</v>
      </c>
      <c r="H31" s="858">
        <v>83678</v>
      </c>
      <c r="I31" s="859" t="s">
        <v>40</v>
      </c>
      <c r="J31" s="860">
        <v>45419</v>
      </c>
      <c r="K31" s="861">
        <f t="shared" ref="K31" si="57">+L31-J31</f>
        <v>297</v>
      </c>
      <c r="L31" s="860">
        <v>45716</v>
      </c>
      <c r="M31" s="860" t="s">
        <v>41</v>
      </c>
      <c r="N31" s="857" t="s">
        <v>42</v>
      </c>
      <c r="O31" s="1562" t="s">
        <v>3067</v>
      </c>
      <c r="P31" s="863" t="str">
        <f t="shared" ref="P31" si="58">IF(R31="","",+R31-L31)</f>
        <v/>
      </c>
      <c r="Q31" s="864"/>
      <c r="R31" s="865"/>
      <c r="S31" s="915"/>
      <c r="T31" s="915"/>
      <c r="U31" s="861" t="str">
        <f t="shared" ref="U31" si="59">IF(T31="","",+T31-J31)</f>
        <v/>
      </c>
      <c r="V31" s="1565" t="s">
        <v>8188</v>
      </c>
      <c r="W31" s="1107"/>
      <c r="X31" s="1076"/>
      <c r="Y31" s="1076"/>
      <c r="Z31" s="867"/>
      <c r="AA31" s="857"/>
      <c r="AB31" s="1024" t="str">
        <f t="shared" ref="AB31" si="60">IF(S31="","",IF($Z$1&lt;(S31+60),(S31+60),"VENCIDA"))</f>
        <v/>
      </c>
      <c r="AC31" s="930" t="s">
        <v>8195</v>
      </c>
      <c r="AE31" s="646" t="str">
        <f t="shared" ref="AE31" si="61">IF(P31="","",IF(P31&lt;=0,"en término","atrasado"))</f>
        <v/>
      </c>
      <c r="AF31" s="468"/>
      <c r="AG31" s="468"/>
    </row>
    <row r="32" spans="2:35" s="638" customFormat="1" ht="54.95" customHeight="1" thickBot="1" x14ac:dyDescent="0.25">
      <c r="B32" s="854" t="s">
        <v>36</v>
      </c>
      <c r="C32" s="855" t="s">
        <v>7534</v>
      </c>
      <c r="D32" s="856" t="s">
        <v>7769</v>
      </c>
      <c r="E32" s="868" t="s">
        <v>7770</v>
      </c>
      <c r="F32" s="1026" t="s">
        <v>8185</v>
      </c>
      <c r="G32" s="857" t="s">
        <v>39</v>
      </c>
      <c r="H32" s="858">
        <v>542621</v>
      </c>
      <c r="I32" s="859" t="s">
        <v>40</v>
      </c>
      <c r="J32" s="860">
        <v>45419</v>
      </c>
      <c r="K32" s="861">
        <f t="shared" ref="K32" si="62">+L32-J32</f>
        <v>297</v>
      </c>
      <c r="L32" s="860">
        <v>45716</v>
      </c>
      <c r="M32" s="860" t="s">
        <v>41</v>
      </c>
      <c r="N32" s="857" t="s">
        <v>42</v>
      </c>
      <c r="O32" s="1562" t="s">
        <v>3074</v>
      </c>
      <c r="P32" s="863" t="str">
        <f t="shared" ref="P32" si="63">IF(R32="","",+R32-L32)</f>
        <v/>
      </c>
      <c r="Q32" s="864"/>
      <c r="R32" s="865"/>
      <c r="S32" s="915"/>
      <c r="T32" s="915"/>
      <c r="U32" s="861" t="str">
        <f t="shared" ref="U32" si="64">IF(T32="","",+T32-J32)</f>
        <v/>
      </c>
      <c r="V32" s="1565" t="s">
        <v>8189</v>
      </c>
      <c r="W32" s="1107"/>
      <c r="X32" s="1076"/>
      <c r="Y32" s="1076"/>
      <c r="Z32" s="867"/>
      <c r="AA32" s="857"/>
      <c r="AB32" s="1024" t="str">
        <f t="shared" ref="AB32" si="65">IF(S32="","",IF($Z$1&lt;(S32+60),(S32+60),"VENCIDA"))</f>
        <v/>
      </c>
      <c r="AC32" s="930" t="s">
        <v>8196</v>
      </c>
      <c r="AE32" s="646" t="str">
        <f t="shared" ref="AE32" si="66">IF(P32="","",IF(P32&lt;=0,"en término","atrasado"))</f>
        <v/>
      </c>
      <c r="AF32" s="468"/>
      <c r="AG32" s="468"/>
    </row>
    <row r="33" spans="2:35" s="638" customFormat="1" ht="54.95" customHeight="1" thickBot="1" x14ac:dyDescent="0.25">
      <c r="B33" s="854" t="s">
        <v>36</v>
      </c>
      <c r="C33" s="855" t="s">
        <v>7534</v>
      </c>
      <c r="D33" s="856" t="s">
        <v>7769</v>
      </c>
      <c r="E33" s="868" t="s">
        <v>7770</v>
      </c>
      <c r="F33" s="1026" t="s">
        <v>8185</v>
      </c>
      <c r="G33" s="857" t="s">
        <v>39</v>
      </c>
      <c r="H33" s="858">
        <v>44576</v>
      </c>
      <c r="I33" s="859" t="s">
        <v>40</v>
      </c>
      <c r="J33" s="860">
        <v>45419</v>
      </c>
      <c r="K33" s="861">
        <f t="shared" ref="K33" si="67">+L33-J33</f>
        <v>297</v>
      </c>
      <c r="L33" s="860">
        <v>45716</v>
      </c>
      <c r="M33" s="860" t="s">
        <v>41</v>
      </c>
      <c r="N33" s="857" t="s">
        <v>42</v>
      </c>
      <c r="O33" s="1562" t="s">
        <v>3082</v>
      </c>
      <c r="P33" s="863" t="str">
        <f t="shared" ref="P33" si="68">IF(R33="","",+R33-L33)</f>
        <v/>
      </c>
      <c r="Q33" s="864"/>
      <c r="R33" s="865"/>
      <c r="S33" s="915"/>
      <c r="T33" s="915"/>
      <c r="U33" s="861" t="str">
        <f t="shared" ref="U33" si="69">IF(T33="","",+T33-J33)</f>
        <v/>
      </c>
      <c r="V33" s="1565" t="s">
        <v>8190</v>
      </c>
      <c r="W33" s="1107"/>
      <c r="X33" s="1076"/>
      <c r="Y33" s="1076"/>
      <c r="Z33" s="867"/>
      <c r="AA33" s="857"/>
      <c r="AB33" s="1024" t="str">
        <f t="shared" ref="AB33" si="70">IF(S33="","",IF($Z$1&lt;(S33+60),(S33+60),"VENCIDA"))</f>
        <v/>
      </c>
      <c r="AC33" s="930" t="s">
        <v>8197</v>
      </c>
      <c r="AE33" s="646" t="str">
        <f t="shared" ref="AE33" si="71">IF(P33="","",IF(P33&lt;=0,"en término","atrasado"))</f>
        <v/>
      </c>
      <c r="AF33" s="468"/>
      <c r="AG33" s="468"/>
    </row>
    <row r="34" spans="2:35" s="638" customFormat="1" ht="54.95" customHeight="1" thickBot="1" x14ac:dyDescent="0.25">
      <c r="B34" s="854" t="s">
        <v>36</v>
      </c>
      <c r="C34" s="855" t="s">
        <v>7534</v>
      </c>
      <c r="D34" s="856" t="s">
        <v>7769</v>
      </c>
      <c r="E34" s="868" t="s">
        <v>7770</v>
      </c>
      <c r="F34" s="1026" t="s">
        <v>8185</v>
      </c>
      <c r="G34" s="857" t="s">
        <v>39</v>
      </c>
      <c r="H34" s="858">
        <v>465910</v>
      </c>
      <c r="I34" s="859" t="s">
        <v>40</v>
      </c>
      <c r="J34" s="860">
        <v>45419</v>
      </c>
      <c r="K34" s="861">
        <f t="shared" ref="K34" si="72">+L34-J34</f>
        <v>297</v>
      </c>
      <c r="L34" s="860">
        <v>45716</v>
      </c>
      <c r="M34" s="860" t="s">
        <v>41</v>
      </c>
      <c r="N34" s="857" t="s">
        <v>42</v>
      </c>
      <c r="O34" s="1562" t="s">
        <v>8200</v>
      </c>
      <c r="P34" s="863" t="str">
        <f t="shared" ref="P34" si="73">IF(R34="","",+R34-L34)</f>
        <v/>
      </c>
      <c r="Q34" s="864"/>
      <c r="R34" s="865"/>
      <c r="S34" s="915"/>
      <c r="T34" s="915"/>
      <c r="U34" s="861" t="str">
        <f t="shared" ref="U34" si="74">IF(T34="","",+T34-J34)</f>
        <v/>
      </c>
      <c r="V34" s="1565" t="s">
        <v>8191</v>
      </c>
      <c r="W34" s="1107"/>
      <c r="X34" s="1076"/>
      <c r="Y34" s="1076"/>
      <c r="Z34" s="867"/>
      <c r="AA34" s="857"/>
      <c r="AB34" s="1024" t="str">
        <f t="shared" ref="AB34" si="75">IF(S34="","",IF($Z$1&lt;(S34+60),(S34+60),"VENCIDA"))</f>
        <v/>
      </c>
      <c r="AC34" s="930" t="s">
        <v>8198</v>
      </c>
      <c r="AE34" s="646" t="str">
        <f t="shared" ref="AE34" si="76">IF(P34="","",IF(P34&lt;=0,"en término","atrasado"))</f>
        <v/>
      </c>
      <c r="AF34" s="468"/>
      <c r="AG34" s="468"/>
    </row>
    <row r="35" spans="2:35" s="638" customFormat="1" ht="54.95" customHeight="1" thickBot="1" x14ac:dyDescent="0.25">
      <c r="B35" s="854" t="s">
        <v>36</v>
      </c>
      <c r="C35" s="855" t="s">
        <v>7534</v>
      </c>
      <c r="D35" s="856" t="s">
        <v>7769</v>
      </c>
      <c r="E35" s="868" t="s">
        <v>7770</v>
      </c>
      <c r="F35" s="1026" t="s">
        <v>8185</v>
      </c>
      <c r="G35" s="857" t="s">
        <v>39</v>
      </c>
      <c r="H35" s="858">
        <v>372030</v>
      </c>
      <c r="I35" s="859" t="s">
        <v>40</v>
      </c>
      <c r="J35" s="860">
        <v>45419</v>
      </c>
      <c r="K35" s="861">
        <f t="shared" ref="K35:K37" si="77">+L35-J35</f>
        <v>297</v>
      </c>
      <c r="L35" s="860">
        <v>45716</v>
      </c>
      <c r="M35" s="860" t="s">
        <v>41</v>
      </c>
      <c r="N35" s="857" t="s">
        <v>42</v>
      </c>
      <c r="O35" s="1562" t="s">
        <v>8201</v>
      </c>
      <c r="P35" s="863" t="str">
        <f t="shared" ref="P35:P37" si="78">IF(R35="","",+R35-L35)</f>
        <v/>
      </c>
      <c r="Q35" s="864"/>
      <c r="R35" s="865"/>
      <c r="S35" s="915"/>
      <c r="T35" s="915"/>
      <c r="U35" s="861" t="str">
        <f t="shared" ref="U35:U37" si="79">IF(T35="","",+T35-J35)</f>
        <v/>
      </c>
      <c r="V35" s="1565" t="s">
        <v>8192</v>
      </c>
      <c r="W35" s="1107"/>
      <c r="X35" s="1076"/>
      <c r="Y35" s="1076"/>
      <c r="Z35" s="867"/>
      <c r="AA35" s="857"/>
      <c r="AB35" s="1024" t="str">
        <f t="shared" ref="AB35:AB37" si="80">IF(S35="","",IF($Z$1&lt;(S35+60),(S35+60),"VENCIDA"))</f>
        <v/>
      </c>
      <c r="AC35" s="930" t="s">
        <v>8199</v>
      </c>
      <c r="AE35" s="646" t="str">
        <f t="shared" ref="AE35" si="81">IF(P35="","",IF(P35&lt;=0,"en término","atrasado"))</f>
        <v/>
      </c>
      <c r="AF35" s="468"/>
      <c r="AG35" s="468"/>
    </row>
    <row r="36" spans="2:35" s="638" customFormat="1" ht="54.95" customHeight="1" thickBot="1" x14ac:dyDescent="0.25">
      <c r="B36" s="854" t="s">
        <v>36</v>
      </c>
      <c r="C36" s="855" t="s">
        <v>7534</v>
      </c>
      <c r="D36" s="856" t="s">
        <v>7865</v>
      </c>
      <c r="E36" s="868" t="s">
        <v>7866</v>
      </c>
      <c r="F36" s="1026" t="s">
        <v>8204</v>
      </c>
      <c r="G36" s="857" t="s">
        <v>39</v>
      </c>
      <c r="H36" s="858">
        <v>588</v>
      </c>
      <c r="I36" s="859" t="s">
        <v>62</v>
      </c>
      <c r="J36" s="860">
        <v>45432</v>
      </c>
      <c r="K36" s="861">
        <f t="shared" si="77"/>
        <v>95</v>
      </c>
      <c r="L36" s="860">
        <v>45527</v>
      </c>
      <c r="M36" s="860" t="s">
        <v>41</v>
      </c>
      <c r="N36" s="857" t="s">
        <v>42</v>
      </c>
      <c r="O36" s="1562">
        <v>45491</v>
      </c>
      <c r="P36" s="863" t="str">
        <f t="shared" si="78"/>
        <v/>
      </c>
      <c r="Q36" s="864"/>
      <c r="R36" s="865"/>
      <c r="S36" s="915"/>
      <c r="T36" s="915"/>
      <c r="U36" s="861" t="str">
        <f t="shared" si="79"/>
        <v/>
      </c>
      <c r="V36" s="868" t="s">
        <v>8205</v>
      </c>
      <c r="W36" s="1107"/>
      <c r="X36" s="1076"/>
      <c r="Y36" s="1076"/>
      <c r="Z36" s="867"/>
      <c r="AA36" s="857"/>
      <c r="AB36" s="1024" t="str">
        <f t="shared" si="80"/>
        <v/>
      </c>
      <c r="AC36" s="930" t="s">
        <v>8206</v>
      </c>
      <c r="AD36" s="638" t="str">
        <f t="shared" ref="AD36:AD37" si="82">IF(P36="","",IF(P36&lt;=0,"en término","atrasado"))</f>
        <v/>
      </c>
      <c r="AE36" s="646" t="str">
        <f t="shared" ref="AE36:AE37" si="83">IF(P36="","",IF(P36&lt;=0,"en término","atrasado"))</f>
        <v/>
      </c>
      <c r="AF36" s="468"/>
      <c r="AG36" s="468"/>
    </row>
    <row r="37" spans="2:35" s="638" customFormat="1" ht="54.95" customHeight="1" thickBot="1" x14ac:dyDescent="0.25">
      <c r="B37" s="854" t="s">
        <v>36</v>
      </c>
      <c r="C37" s="855" t="s">
        <v>7534</v>
      </c>
      <c r="D37" s="856" t="s">
        <v>8223</v>
      </c>
      <c r="E37" s="868"/>
      <c r="F37" s="1026" t="s">
        <v>8224</v>
      </c>
      <c r="G37" s="857" t="s">
        <v>39</v>
      </c>
      <c r="H37" s="858">
        <v>850</v>
      </c>
      <c r="I37" s="859" t="s">
        <v>40</v>
      </c>
      <c r="J37" s="860">
        <v>45454</v>
      </c>
      <c r="K37" s="861">
        <f t="shared" si="77"/>
        <v>45</v>
      </c>
      <c r="L37" s="860">
        <v>45499</v>
      </c>
      <c r="M37" s="860" t="s">
        <v>41</v>
      </c>
      <c r="N37" s="857" t="s">
        <v>42</v>
      </c>
      <c r="O37" s="1562">
        <v>45491</v>
      </c>
      <c r="P37" s="863" t="str">
        <f t="shared" si="78"/>
        <v/>
      </c>
      <c r="Q37" s="864"/>
      <c r="R37" s="865"/>
      <c r="S37" s="915"/>
      <c r="T37" s="915"/>
      <c r="U37" s="861" t="str">
        <f t="shared" si="79"/>
        <v/>
      </c>
      <c r="V37" s="1565" t="s">
        <v>7766</v>
      </c>
      <c r="W37" s="1107"/>
      <c r="X37" s="1076"/>
      <c r="Y37" s="1076"/>
      <c r="Z37" s="867"/>
      <c r="AA37" s="857"/>
      <c r="AB37" s="1024" t="str">
        <f t="shared" si="80"/>
        <v/>
      </c>
      <c r="AC37" s="930" t="s">
        <v>8225</v>
      </c>
      <c r="AD37" s="638" t="str">
        <f t="shared" si="82"/>
        <v/>
      </c>
      <c r="AE37" s="646" t="str">
        <f t="shared" si="83"/>
        <v/>
      </c>
      <c r="AF37" s="468"/>
      <c r="AG37" s="468"/>
      <c r="AI37" s="638" t="str">
        <f t="shared" ref="AI37" si="84">IF(AH37="","",IF(AH37&lt;=0,"en término","atrasado"))</f>
        <v/>
      </c>
    </row>
    <row r="38" spans="2:35" s="638" customFormat="1" ht="54.95" customHeight="1" thickBot="1" x14ac:dyDescent="0.25">
      <c r="B38" s="869"/>
      <c r="C38" s="869"/>
      <c r="D38" s="870"/>
      <c r="E38" s="871"/>
      <c r="F38" s="872" t="s">
        <v>77</v>
      </c>
      <c r="G38" s="872"/>
      <c r="H38" s="886"/>
      <c r="I38" s="873"/>
      <c r="J38" s="874"/>
      <c r="K38" s="875"/>
      <c r="L38" s="876"/>
      <c r="M38" s="877"/>
      <c r="N38" s="872"/>
      <c r="O38" s="877"/>
      <c r="P38" s="875" t="str">
        <f>IF(R38="","",+R38-L38)</f>
        <v/>
      </c>
      <c r="Q38" s="878"/>
      <c r="R38" s="877"/>
      <c r="S38" s="879"/>
      <c r="T38" s="879"/>
      <c r="U38" s="875" t="str">
        <f>IF(T38="","",+T38-J38)</f>
        <v/>
      </c>
      <c r="V38" s="880" t="s">
        <v>6447</v>
      </c>
      <c r="W38" s="881"/>
      <c r="X38" s="872"/>
      <c r="Y38" s="882"/>
      <c r="Z38" s="883"/>
      <c r="AA38" s="882"/>
      <c r="AB38" s="884"/>
      <c r="AC38" s="885"/>
      <c r="AE38" s="639"/>
      <c r="AF38" s="918"/>
      <c r="AG38" s="918"/>
    </row>
    <row r="39" spans="2:35" s="638" customFormat="1" ht="54.95" customHeight="1" thickBot="1" x14ac:dyDescent="0.25">
      <c r="B39" s="965" t="s">
        <v>78</v>
      </c>
      <c r="C39" s="965" t="s">
        <v>6929</v>
      </c>
      <c r="D39" s="949" t="s">
        <v>8123</v>
      </c>
      <c r="E39" s="949" t="s">
        <v>81</v>
      </c>
      <c r="F39" s="1561" t="s">
        <v>8122</v>
      </c>
      <c r="G39" s="951" t="s">
        <v>39</v>
      </c>
      <c r="H39" s="1288">
        <v>192227.16</v>
      </c>
      <c r="I39" s="953"/>
      <c r="J39" s="954">
        <v>45348</v>
      </c>
      <c r="K39" s="955">
        <f>+L39-J39</f>
        <v>21</v>
      </c>
      <c r="L39" s="954">
        <v>45369</v>
      </c>
      <c r="M39" s="954" t="s">
        <v>83</v>
      </c>
      <c r="N39" s="951" t="s">
        <v>42</v>
      </c>
      <c r="O39" s="959">
        <v>45366</v>
      </c>
      <c r="P39" s="957">
        <f>IF(O39="","",+O39-L39)</f>
        <v>-3</v>
      </c>
      <c r="Q39" s="958" t="s">
        <v>8142</v>
      </c>
      <c r="R39" s="959">
        <v>45385</v>
      </c>
      <c r="S39" s="960">
        <v>45408</v>
      </c>
      <c r="T39" s="960">
        <v>45426</v>
      </c>
      <c r="U39" s="955">
        <f t="shared" ref="U39" si="85">IF(T39="","",+T39-J39)</f>
        <v>78</v>
      </c>
      <c r="V39" s="949" t="s">
        <v>7848</v>
      </c>
      <c r="W39" s="1105" t="s">
        <v>8139</v>
      </c>
      <c r="X39" s="963"/>
      <c r="Y39" s="963"/>
      <c r="Z39" s="951" t="s">
        <v>8140</v>
      </c>
      <c r="AA39" s="951"/>
      <c r="AB39" s="984">
        <f ca="1">IF(S39="","",IF($Z$1&lt;(S39+60),(S39+60),"VENCIDA"))</f>
        <v>45468</v>
      </c>
      <c r="AC39" s="964" t="s">
        <v>8141</v>
      </c>
      <c r="AE39" s="646" t="str">
        <f>IF(P39="","",IF(P39&lt;=0,"en término","atrasado"))</f>
        <v>en término</v>
      </c>
      <c r="AF39" s="468" t="s">
        <v>8138</v>
      </c>
      <c r="AG39" s="468" t="s">
        <v>3846</v>
      </c>
    </row>
    <row r="40" spans="2:35" s="638" customFormat="1" ht="54.95" customHeight="1" thickBot="1" x14ac:dyDescent="0.25">
      <c r="B40" s="965" t="s">
        <v>78</v>
      </c>
      <c r="C40" s="965" t="s">
        <v>6929</v>
      </c>
      <c r="D40" s="949" t="s">
        <v>8123</v>
      </c>
      <c r="E40" s="949" t="s">
        <v>81</v>
      </c>
      <c r="F40" s="1561" t="s">
        <v>8135</v>
      </c>
      <c r="G40" s="951" t="s">
        <v>39</v>
      </c>
      <c r="H40" s="1288">
        <v>130972.82</v>
      </c>
      <c r="I40" s="953"/>
      <c r="J40" s="954">
        <v>45391</v>
      </c>
      <c r="K40" s="955">
        <f>+L40-J40</f>
        <v>25</v>
      </c>
      <c r="L40" s="954">
        <v>45416</v>
      </c>
      <c r="M40" s="954" t="s">
        <v>83</v>
      </c>
      <c r="N40" s="951" t="s">
        <v>42</v>
      </c>
      <c r="O40" s="959">
        <v>45415</v>
      </c>
      <c r="P40" s="957">
        <f>IF(O40="","",+O40-L40)</f>
        <v>-1</v>
      </c>
      <c r="Q40" s="958" t="s">
        <v>8151</v>
      </c>
      <c r="R40" s="959">
        <v>45425</v>
      </c>
      <c r="S40" s="960">
        <v>45430</v>
      </c>
      <c r="T40" s="960">
        <v>45450</v>
      </c>
      <c r="U40" s="955">
        <f t="shared" ref="U40" si="86">IF(T40="","",+T40-J40)</f>
        <v>59</v>
      </c>
      <c r="V40" s="949" t="s">
        <v>8149</v>
      </c>
      <c r="W40" s="1105" t="s">
        <v>8163</v>
      </c>
      <c r="X40" s="963"/>
      <c r="Y40" s="963"/>
      <c r="Z40" s="951"/>
      <c r="AA40" s="951"/>
      <c r="AB40" s="984">
        <f ca="1">IF(S40="","",IF($Z$1&lt;(S40+60),(S40+60),"VENCIDA"))</f>
        <v>45490</v>
      </c>
      <c r="AC40" s="964" t="s">
        <v>8136</v>
      </c>
      <c r="AE40" s="646" t="str">
        <f>IF(P40="","",IF(P40&lt;=0,"en término","atrasado"))</f>
        <v>en término</v>
      </c>
      <c r="AF40" s="468" t="s">
        <v>8162</v>
      </c>
      <c r="AG40" s="468" t="s">
        <v>2929</v>
      </c>
    </row>
    <row r="41" spans="2:35" s="638" customFormat="1" ht="54.95" customHeight="1" thickBot="1" x14ac:dyDescent="0.25">
      <c r="B41" s="965" t="s">
        <v>78</v>
      </c>
      <c r="C41" s="965" t="s">
        <v>6929</v>
      </c>
      <c r="D41" s="949" t="s">
        <v>8203</v>
      </c>
      <c r="E41" s="949" t="s">
        <v>81</v>
      </c>
      <c r="F41" s="1561" t="s">
        <v>8208</v>
      </c>
      <c r="G41" s="951" t="s">
        <v>39</v>
      </c>
      <c r="H41" s="1288">
        <v>80935.5</v>
      </c>
      <c r="I41" s="953"/>
      <c r="J41" s="954">
        <v>45433</v>
      </c>
      <c r="K41" s="955">
        <f>+L41-J41</f>
        <v>9</v>
      </c>
      <c r="L41" s="954">
        <v>45442</v>
      </c>
      <c r="M41" s="954" t="s">
        <v>83</v>
      </c>
      <c r="N41" s="951" t="s">
        <v>42</v>
      </c>
      <c r="O41" s="959">
        <v>45440</v>
      </c>
      <c r="P41" s="957">
        <f>IF(O41="","",+O41-L41)</f>
        <v>-2</v>
      </c>
      <c r="Q41" s="958" t="s">
        <v>8142</v>
      </c>
      <c r="R41" s="959">
        <v>45453</v>
      </c>
      <c r="S41" s="960">
        <v>45465</v>
      </c>
      <c r="T41" s="960">
        <v>45483</v>
      </c>
      <c r="U41" s="955">
        <f t="shared" ref="U41" si="87">IF(T41="","",+T41-J41)</f>
        <v>50</v>
      </c>
      <c r="V41" s="949" t="s">
        <v>8207</v>
      </c>
      <c r="W41" s="1105" t="s">
        <v>8217</v>
      </c>
      <c r="X41" s="963"/>
      <c r="Y41" s="963"/>
      <c r="Z41" s="951"/>
      <c r="AA41" s="951"/>
      <c r="AB41" s="984">
        <f ca="1">IF(S41="","",IF($Z$1&lt;(S41+60),(S41+60),"VENCIDA"))</f>
        <v>45525</v>
      </c>
      <c r="AC41" s="964" t="s">
        <v>8222</v>
      </c>
      <c r="AE41" s="646" t="str">
        <f>IF(P41="","",IF(P41&lt;=0,"en término","atrasado"))</f>
        <v>en término</v>
      </c>
      <c r="AF41" s="468" t="s">
        <v>8215</v>
      </c>
      <c r="AG41" s="468" t="s">
        <v>2937</v>
      </c>
    </row>
    <row r="42" spans="2:35" s="638" customFormat="1" ht="54.95" customHeight="1" thickBot="1" x14ac:dyDescent="0.25">
      <c r="B42" s="1474"/>
      <c r="C42" s="1474"/>
      <c r="D42" s="1475"/>
      <c r="E42" s="1476"/>
      <c r="F42" s="1477" t="s">
        <v>77</v>
      </c>
      <c r="G42" s="1477"/>
      <c r="H42" s="1478"/>
      <c r="I42" s="1479"/>
      <c r="J42" s="1478"/>
      <c r="K42" s="1479"/>
      <c r="L42" s="1478"/>
      <c r="M42" s="1483"/>
      <c r="N42" s="1477"/>
      <c r="O42" s="1483"/>
      <c r="P42" s="1481"/>
      <c r="Q42" s="1484"/>
      <c r="R42" s="1483"/>
      <c r="S42" s="1485"/>
      <c r="T42" s="1485"/>
      <c r="U42" s="1481"/>
      <c r="V42" s="1486"/>
      <c r="W42" s="1487"/>
      <c r="X42" s="1477"/>
      <c r="Y42" s="1477"/>
      <c r="Z42" s="1486"/>
      <c r="AA42" s="1477"/>
      <c r="AB42" s="1488"/>
      <c r="AC42" s="1489" t="s">
        <v>77</v>
      </c>
      <c r="AE42" s="646"/>
      <c r="AF42" s="1564"/>
      <c r="AG42" s="1564"/>
    </row>
    <row r="43" spans="2:35" s="649" customFormat="1" ht="54.95" customHeight="1" thickBot="1" x14ac:dyDescent="0.25">
      <c r="B43" s="1595" t="s">
        <v>5697</v>
      </c>
      <c r="C43" s="1595" t="s">
        <v>5698</v>
      </c>
      <c r="D43" s="1596" t="s">
        <v>8211</v>
      </c>
      <c r="E43" s="1596"/>
      <c r="F43" s="1597" t="s">
        <v>8212</v>
      </c>
      <c r="G43" s="1597" t="s">
        <v>39</v>
      </c>
      <c r="H43" s="1598">
        <v>11477</v>
      </c>
      <c r="I43" s="1599"/>
      <c r="J43" s="1600">
        <v>45440</v>
      </c>
      <c r="K43" s="1601">
        <v>130</v>
      </c>
      <c r="L43" s="1600">
        <f>+J43+K43</f>
        <v>45570</v>
      </c>
      <c r="M43" s="1600" t="s">
        <v>124</v>
      </c>
      <c r="N43" s="1597" t="s">
        <v>42</v>
      </c>
      <c r="O43" s="1600">
        <v>45491</v>
      </c>
      <c r="P43" s="1601" t="str">
        <f>IF(S43="","",+S43-L43)</f>
        <v/>
      </c>
      <c r="Q43" s="1596"/>
      <c r="R43" s="1602"/>
      <c r="S43" s="1603"/>
      <c r="T43" s="1604"/>
      <c r="U43" s="1601" t="str">
        <f>IF(T43="","",+T43-J43)</f>
        <v/>
      </c>
      <c r="V43" s="1596" t="s">
        <v>53</v>
      </c>
      <c r="W43" s="1605"/>
      <c r="X43" s="1597"/>
      <c r="Y43" s="1606"/>
      <c r="Z43" s="1597"/>
      <c r="AA43" s="1597"/>
      <c r="AB43" s="1600"/>
      <c r="AC43" s="1607" t="s">
        <v>8213</v>
      </c>
      <c r="AE43" s="646" t="str">
        <f>IF(P43="","",IF(P43&lt;=0,"en término","atrasado"))</f>
        <v/>
      </c>
      <c r="AF43" s="468"/>
      <c r="AG43" s="468"/>
      <c r="AH43" s="638"/>
      <c r="AI43" s="638"/>
    </row>
    <row r="44" spans="2:35" s="638" customFormat="1" ht="54.95" customHeight="1" x14ac:dyDescent="0.2">
      <c r="B44" s="1474"/>
      <c r="C44" s="1474"/>
      <c r="D44" s="1475"/>
      <c r="E44" s="1476"/>
      <c r="F44" s="1477" t="s">
        <v>77</v>
      </c>
      <c r="G44" s="1477"/>
      <c r="H44" s="1478"/>
      <c r="I44" s="1479"/>
      <c r="J44" s="1478"/>
      <c r="K44" s="1479"/>
      <c r="L44" s="1478"/>
      <c r="M44" s="1483"/>
      <c r="N44" s="1477"/>
      <c r="O44" s="1483"/>
      <c r="P44" s="1481"/>
      <c r="Q44" s="1484"/>
      <c r="R44" s="1483"/>
      <c r="S44" s="1485"/>
      <c r="T44" s="1485"/>
      <c r="U44" s="1481"/>
      <c r="V44" s="1486"/>
      <c r="W44" s="1487"/>
      <c r="X44" s="1477"/>
      <c r="Y44" s="1477"/>
      <c r="Z44" s="1486"/>
      <c r="AA44" s="1477"/>
      <c r="AB44" s="1488"/>
      <c r="AC44" s="1489" t="s">
        <v>77</v>
      </c>
      <c r="AE44" s="646"/>
      <c r="AF44" s="1564"/>
      <c r="AG44" s="1564"/>
    </row>
    <row r="45" spans="2:35" s="985" customFormat="1" ht="54.95" customHeight="1" x14ac:dyDescent="0.2">
      <c r="B45" s="1543"/>
      <c r="C45" s="1543"/>
      <c r="D45" s="1544"/>
      <c r="E45" s="1544"/>
      <c r="F45" s="1545"/>
      <c r="G45" s="1545"/>
      <c r="H45" s="1546"/>
      <c r="I45" s="1547"/>
      <c r="J45" s="1548"/>
      <c r="K45" s="1549"/>
      <c r="L45" s="1548"/>
      <c r="M45" s="1548"/>
      <c r="N45" s="1545"/>
      <c r="O45" s="1548"/>
      <c r="P45" s="1549"/>
      <c r="Q45" s="1544"/>
      <c r="R45" s="1550"/>
      <c r="S45" s="1551"/>
      <c r="T45" s="1552"/>
      <c r="U45" s="1549"/>
      <c r="V45" s="1544"/>
      <c r="W45" s="1553"/>
      <c r="X45" s="1545"/>
      <c r="Y45" s="1545"/>
      <c r="Z45" s="1545"/>
      <c r="AA45" s="1545"/>
      <c r="AB45" s="1548"/>
      <c r="AC45" s="1554"/>
      <c r="AD45" s="1001"/>
      <c r="AE45" s="1555"/>
      <c r="AF45" s="1555"/>
      <c r="AG45" s="1556"/>
    </row>
    <row r="46" spans="2:35" s="638" customFormat="1" ht="54.95" customHeight="1" x14ac:dyDescent="0.2">
      <c r="B46" s="1474"/>
      <c r="C46" s="1474"/>
      <c r="D46" s="1475"/>
      <c r="E46" s="1476"/>
      <c r="F46" s="1477"/>
      <c r="G46" s="1477"/>
      <c r="H46" s="1478"/>
      <c r="I46" s="1479"/>
      <c r="J46" s="1480"/>
      <c r="K46" s="1481"/>
      <c r="L46" s="1482"/>
      <c r="M46" s="1483"/>
      <c r="N46" s="1477"/>
      <c r="O46" s="1483"/>
      <c r="P46" s="1481"/>
      <c r="Q46" s="1484"/>
      <c r="R46" s="1483"/>
      <c r="S46" s="1485"/>
      <c r="T46" s="1485"/>
      <c r="U46" s="1481"/>
      <c r="V46" s="1486"/>
      <c r="W46" s="1487"/>
      <c r="X46" s="1477"/>
      <c r="Y46" s="1477"/>
      <c r="Z46" s="1486"/>
      <c r="AA46" s="1477"/>
      <c r="AB46" s="1488"/>
      <c r="AC46" s="1489"/>
      <c r="AE46" s="646"/>
      <c r="AF46" s="656"/>
      <c r="AG46" s="656"/>
    </row>
    <row r="47" spans="2:35" x14ac:dyDescent="0.2">
      <c r="AB47" s="648"/>
    </row>
    <row r="49" spans="8:8" x14ac:dyDescent="0.2">
      <c r="H49" s="223"/>
    </row>
    <row r="50" spans="8:8" x14ac:dyDescent="0.2">
      <c r="H50" s="223"/>
    </row>
    <row r="54" spans="8:8" x14ac:dyDescent="0.2">
      <c r="H54" s="223"/>
    </row>
    <row r="116" spans="22:22" x14ac:dyDescent="0.2">
      <c r="V116" s="3"/>
    </row>
    <row r="117" spans="22:22" x14ac:dyDescent="0.2">
      <c r="V117" s="3"/>
    </row>
    <row r="224" spans="7:7" x14ac:dyDescent="0.2">
      <c r="G224" s="2">
        <f>16471+5294+61809</f>
        <v>83574</v>
      </c>
    </row>
    <row r="65159" spans="23:23" ht="12" thickBot="1" x14ac:dyDescent="0.25"/>
    <row r="65160" spans="23:23" ht="12.75" thickBot="1" x14ac:dyDescent="0.25">
      <c r="W65160" s="866"/>
    </row>
    <row r="65501" spans="23:23" ht="12" x14ac:dyDescent="0.2">
      <c r="W65501" s="946"/>
    </row>
  </sheetData>
  <autoFilter ref="B1:AC46" xr:uid="{00000000-0009-0000-0000-000000000000}"/>
  <customSheetViews>
    <customSheetView guid="{4C4B61E0-A90E-11D1-A823-006097B607DD}" scale="75" showPageBreaks="1" printArea="1" hiddenColumns="1" showRuler="0">
      <pane xSplit="2" ySplit="6" topLeftCell="M50" activePane="bottomRight" state="frozen"/>
      <selection pane="bottomRight" activeCell="N50" sqref="N50"/>
      <pageMargins left="0" right="0" top="0" bottom="0" header="0" footer="0"/>
      <printOptions horizontalCentered="1"/>
      <pageSetup paperSize="5" scale="63" orientation="landscape" horizontalDpi="300" verticalDpi="300" r:id="rId1"/>
      <headerFooter alignWithMargins="0">
        <oddFooter>&amp;CINFORME O/C PENDIENTES - Mariela Melamed
&amp;D</oddFooter>
      </headerFooter>
    </customSheetView>
  </customSheetViews>
  <phoneticPr fontId="0" type="noConversion"/>
  <printOptions horizontalCentered="1" verticalCentered="1"/>
  <pageMargins left="0.23622047244094491" right="0.23622047244094491" top="0.74803149606299213" bottom="0.74803149606299213" header="0.31496062992125984" footer="0.31496062992125984"/>
  <pageSetup paperSize="5" scale="36" fitToHeight="0" orientation="landscape" cellComments="asDisplayed" r:id="rId2"/>
  <headerFooter alignWithMargins="0">
    <oddHeader>&amp;R&amp;G</oddHeader>
    <oddFooter>&amp;LAR-4.ARLI.Pr.109_F-05_Rev.0 - 01/09/21&amp;CINFORME O/C PENDIENTES &amp;R&amp;P de &amp;N
&amp;D</oddFooter>
  </headerFooter>
  <rowBreaks count="1" manualBreakCount="1">
    <brk id="27" max="28" man="1"/>
  </rowBreaks>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0"/>
  <dimension ref="A1"/>
  <sheetViews>
    <sheetView zoomScaleNormal="100" zoomScalePageLayoutView="80" workbookViewId="0">
      <selection activeCell="L21" sqref="L21"/>
    </sheetView>
  </sheetViews>
  <sheetFormatPr baseColWidth="10" defaultColWidth="11.42578125" defaultRowHeight="12.75" x14ac:dyDescent="0.2"/>
  <cols>
    <col min="1" max="16384" width="11.42578125" style="1096"/>
  </cols>
  <sheetData/>
  <printOptions horizontalCentered="1" verticalCentered="1"/>
  <pageMargins left="0.75" right="0.75" top="1" bottom="1" header="0" footer="0"/>
  <pageSetup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D6BFA-FD69-444A-810A-23DAF3308556}">
  <sheetPr codeName="Hoja12">
    <tabColor theme="9" tint="0.59999389629810485"/>
  </sheetPr>
  <dimension ref="A1:AG28"/>
  <sheetViews>
    <sheetView zoomScale="80" zoomScaleNormal="80" workbookViewId="0">
      <selection activeCell="B8" sqref="B8:AC8"/>
    </sheetView>
  </sheetViews>
  <sheetFormatPr baseColWidth="10" defaultColWidth="10.7109375" defaultRowHeight="12.75" x14ac:dyDescent="0.2"/>
  <cols>
    <col min="1" max="1" width="2.140625" customWidth="1"/>
    <col min="3" max="3" width="18.5703125" bestFit="1" customWidth="1"/>
    <col min="4" max="4" width="10.7109375" bestFit="1" customWidth="1"/>
    <col min="5" max="5" width="14.85546875" customWidth="1"/>
    <col min="6" max="6" width="20.7109375" bestFit="1" customWidth="1"/>
    <col min="9" max="9" width="15.28515625" customWidth="1"/>
    <col min="13" max="13" width="12.7109375" customWidth="1"/>
    <col min="14" max="14" width="16.140625" customWidth="1"/>
    <col min="16" max="16" width="10.140625" customWidth="1"/>
    <col min="17" max="17" width="13.7109375" customWidth="1"/>
    <col min="18" max="18" width="18" customWidth="1"/>
    <col min="19" max="19" width="14.7109375" customWidth="1"/>
    <col min="20" max="20" width="12.85546875" customWidth="1"/>
    <col min="21" max="21" width="10.42578125" customWidth="1"/>
    <col min="22" max="22" width="38.5703125" bestFit="1" customWidth="1"/>
    <col min="24" max="24" width="12.140625" customWidth="1"/>
    <col min="25" max="25" width="13" customWidth="1"/>
    <col min="26" max="26" width="12.85546875" customWidth="1"/>
    <col min="27" max="27" width="18.5703125" customWidth="1"/>
    <col min="28" max="28" width="12.7109375" customWidth="1"/>
    <col min="29" max="29" width="58" bestFit="1" customWidth="1"/>
    <col min="30" max="30" width="2.7109375" customWidth="1"/>
    <col min="32" max="32" width="18" customWidth="1"/>
  </cols>
  <sheetData>
    <row r="1" spans="1:33" ht="13.5" thickBot="1" x14ac:dyDescent="0.25"/>
    <row r="2" spans="1:33" s="441" customFormat="1" ht="55.15" customHeight="1" thickBot="1" x14ac:dyDescent="0.25">
      <c r="A2" s="799"/>
      <c r="B2" s="848" t="s">
        <v>3</v>
      </c>
      <c r="C2" s="848" t="s">
        <v>4</v>
      </c>
      <c r="D2" s="848" t="s">
        <v>5</v>
      </c>
      <c r="E2" s="848" t="s">
        <v>6</v>
      </c>
      <c r="F2" s="848" t="s">
        <v>7</v>
      </c>
      <c r="G2" s="848" t="s">
        <v>8</v>
      </c>
      <c r="H2" s="1538" t="s">
        <v>9</v>
      </c>
      <c r="I2" s="1538" t="s">
        <v>10</v>
      </c>
      <c r="J2" s="848" t="s">
        <v>11</v>
      </c>
      <c r="K2" s="848" t="s">
        <v>12</v>
      </c>
      <c r="L2" s="848" t="s">
        <v>13</v>
      </c>
      <c r="M2" s="848" t="s">
        <v>14</v>
      </c>
      <c r="N2" s="848" t="s">
        <v>15</v>
      </c>
      <c r="O2" s="853" t="s">
        <v>16</v>
      </c>
      <c r="P2" s="1539" t="s">
        <v>17</v>
      </c>
      <c r="Q2" s="848" t="s">
        <v>18</v>
      </c>
      <c r="R2" s="853" t="s">
        <v>19</v>
      </c>
      <c r="S2" s="848" t="s">
        <v>20</v>
      </c>
      <c r="T2" s="848" t="s">
        <v>21</v>
      </c>
      <c r="U2" s="853" t="s">
        <v>22</v>
      </c>
      <c r="V2" s="848" t="s">
        <v>23</v>
      </c>
      <c r="W2" s="848" t="s">
        <v>24</v>
      </c>
      <c r="X2" s="848" t="s">
        <v>25</v>
      </c>
      <c r="Y2" s="848" t="s">
        <v>26</v>
      </c>
      <c r="Z2" s="848" t="s">
        <v>27</v>
      </c>
      <c r="AA2" s="848" t="s">
        <v>28</v>
      </c>
      <c r="AB2" s="848" t="s">
        <v>29</v>
      </c>
      <c r="AC2" s="848" t="s">
        <v>30</v>
      </c>
      <c r="AD2" s="802"/>
      <c r="AE2" s="647"/>
      <c r="AF2" s="846" t="s">
        <v>31</v>
      </c>
      <c r="AG2" s="846" t="s">
        <v>32</v>
      </c>
    </row>
    <row r="3" spans="1:33" ht="13.5" thickBot="1" x14ac:dyDescent="0.25"/>
    <row r="4" spans="1:33" s="638" customFormat="1" ht="54.95" customHeight="1" thickBot="1" x14ac:dyDescent="0.25">
      <c r="B4" s="854" t="s">
        <v>36</v>
      </c>
      <c r="C4" s="855" t="s">
        <v>37</v>
      </c>
      <c r="D4" s="856" t="s">
        <v>6429</v>
      </c>
      <c r="E4" s="868">
        <v>4600558097</v>
      </c>
      <c r="F4" s="866" t="s">
        <v>6626</v>
      </c>
      <c r="G4" s="857" t="s">
        <v>39</v>
      </c>
      <c r="H4" s="858">
        <v>195528</v>
      </c>
      <c r="I4" s="859" t="s">
        <v>62</v>
      </c>
      <c r="J4" s="860">
        <v>43508</v>
      </c>
      <c r="K4" s="861">
        <f t="shared" ref="K4:K12" si="0">+L4-J4</f>
        <v>184</v>
      </c>
      <c r="L4" s="860">
        <v>43692</v>
      </c>
      <c r="M4" s="860" t="s">
        <v>41</v>
      </c>
      <c r="N4" s="857" t="s">
        <v>42</v>
      </c>
      <c r="O4" s="862">
        <v>43685</v>
      </c>
      <c r="P4" s="863">
        <f t="shared" ref="P4:P12" si="1">IF(R4="","",+R4-L4)</f>
        <v>2</v>
      </c>
      <c r="Q4" s="864" t="s">
        <v>6703</v>
      </c>
      <c r="R4" s="865">
        <v>43694</v>
      </c>
      <c r="S4" s="915">
        <v>43697</v>
      </c>
      <c r="T4" s="915">
        <v>43714</v>
      </c>
      <c r="U4" s="861">
        <f t="shared" ref="U4:U12" si="2">IF(T4="","",+T4-J4)</f>
        <v>206</v>
      </c>
      <c r="V4" s="868" t="s">
        <v>6721</v>
      </c>
      <c r="W4" s="866" t="s">
        <v>2441</v>
      </c>
      <c r="X4" s="1076"/>
      <c r="Y4" s="1076"/>
      <c r="Z4" s="867" t="s">
        <v>6656</v>
      </c>
      <c r="AA4" s="857"/>
      <c r="AB4" s="1024" t="str">
        <f ca="1">IF(S4="","",IF('o.c.'!$Z$1&lt;(S4+90),(S4+90),"VENCIDA"))</f>
        <v>VENCIDA</v>
      </c>
      <c r="AC4" s="930" t="s">
        <v>7179</v>
      </c>
      <c r="AE4" s="646" t="str">
        <f t="shared" ref="AE4:AE12" si="3">IF(P4="","",IF(P4&lt;=0,"en término","atrasado"))</f>
        <v>atrasado</v>
      </c>
      <c r="AF4" s="468" t="s">
        <v>6752</v>
      </c>
      <c r="AG4" s="468" t="s">
        <v>2957</v>
      </c>
    </row>
    <row r="5" spans="1:33" s="638" customFormat="1" ht="54.95" customHeight="1" thickBot="1" x14ac:dyDescent="0.25">
      <c r="B5" s="854" t="s">
        <v>36</v>
      </c>
      <c r="C5" s="855" t="s">
        <v>37</v>
      </c>
      <c r="D5" s="856" t="s">
        <v>6441</v>
      </c>
      <c r="E5" s="868">
        <v>4600557062</v>
      </c>
      <c r="F5" s="1026" t="s">
        <v>6661</v>
      </c>
      <c r="G5" s="857" t="s">
        <v>39</v>
      </c>
      <c r="H5" s="858">
        <f>123309-34295.4</f>
        <v>89013.6</v>
      </c>
      <c r="I5" s="859" t="s">
        <v>52</v>
      </c>
      <c r="J5" s="860">
        <v>43587</v>
      </c>
      <c r="K5" s="861">
        <f t="shared" si="0"/>
        <v>92</v>
      </c>
      <c r="L5" s="860">
        <v>43679</v>
      </c>
      <c r="M5" s="860" t="s">
        <v>41</v>
      </c>
      <c r="N5" s="857" t="s">
        <v>42</v>
      </c>
      <c r="O5" s="862">
        <v>43685</v>
      </c>
      <c r="P5" s="863">
        <f t="shared" si="1"/>
        <v>15</v>
      </c>
      <c r="Q5" s="864" t="s">
        <v>6703</v>
      </c>
      <c r="R5" s="865">
        <v>43694</v>
      </c>
      <c r="S5" s="915">
        <v>43697</v>
      </c>
      <c r="T5" s="915">
        <v>43714</v>
      </c>
      <c r="U5" s="861">
        <f t="shared" si="2"/>
        <v>127</v>
      </c>
      <c r="V5" s="868" t="s">
        <v>6744</v>
      </c>
      <c r="W5" s="866" t="s">
        <v>2441</v>
      </c>
      <c r="X5" s="1076"/>
      <c r="Y5" s="1076"/>
      <c r="Z5" s="867" t="s">
        <v>6656</v>
      </c>
      <c r="AA5" s="857"/>
      <c r="AB5" s="1024" t="str">
        <f ca="1">IF(S5="","",IF('o.c.'!$Z$1&lt;(S5+90),(S5+90),"VENCIDA"))</f>
        <v>VENCIDA</v>
      </c>
      <c r="AC5" s="930" t="s">
        <v>7180</v>
      </c>
      <c r="AE5" s="646" t="str">
        <f t="shared" si="3"/>
        <v>atrasado</v>
      </c>
      <c r="AF5" s="468" t="s">
        <v>6752</v>
      </c>
      <c r="AG5" s="468" t="s">
        <v>2957</v>
      </c>
    </row>
    <row r="6" spans="1:33" s="638" customFormat="1" ht="54.95" customHeight="1" thickBot="1" x14ac:dyDescent="0.25">
      <c r="B6" s="854" t="s">
        <v>36</v>
      </c>
      <c r="C6" s="855" t="s">
        <v>37</v>
      </c>
      <c r="D6" s="856" t="s">
        <v>6441</v>
      </c>
      <c r="E6" s="868">
        <v>4600557062</v>
      </c>
      <c r="F6" s="1026" t="s">
        <v>6672</v>
      </c>
      <c r="G6" s="857" t="s">
        <v>39</v>
      </c>
      <c r="H6" s="858">
        <v>51425.99</v>
      </c>
      <c r="I6" s="859" t="s">
        <v>40</v>
      </c>
      <c r="J6" s="860">
        <v>43605</v>
      </c>
      <c r="K6" s="861">
        <f t="shared" si="0"/>
        <v>89</v>
      </c>
      <c r="L6" s="860">
        <v>43694</v>
      </c>
      <c r="M6" s="860" t="s">
        <v>41</v>
      </c>
      <c r="N6" s="857" t="s">
        <v>42</v>
      </c>
      <c r="O6" s="862">
        <v>43685</v>
      </c>
      <c r="P6" s="863">
        <f t="shared" si="1"/>
        <v>0</v>
      </c>
      <c r="Q6" s="864" t="s">
        <v>6703</v>
      </c>
      <c r="R6" s="865">
        <v>43694</v>
      </c>
      <c r="S6" s="915">
        <v>43697</v>
      </c>
      <c r="T6" s="915">
        <v>43714</v>
      </c>
      <c r="U6" s="861">
        <f t="shared" si="2"/>
        <v>109</v>
      </c>
      <c r="V6" s="868" t="s">
        <v>6745</v>
      </c>
      <c r="W6" s="866" t="s">
        <v>2441</v>
      </c>
      <c r="X6" s="1076"/>
      <c r="Y6" s="1076"/>
      <c r="Z6" s="867" t="s">
        <v>6656</v>
      </c>
      <c r="AA6" s="857"/>
      <c r="AB6" s="1024" t="str">
        <f ca="1">IF(S6="","",IF('o.c.'!$Z$1&lt;(S6+90),(S6+90),"VENCIDA"))</f>
        <v>VENCIDA</v>
      </c>
      <c r="AC6" s="930" t="s">
        <v>7181</v>
      </c>
      <c r="AE6" s="646" t="str">
        <f t="shared" si="3"/>
        <v>en término</v>
      </c>
      <c r="AF6" s="468" t="s">
        <v>6752</v>
      </c>
      <c r="AG6" s="468" t="s">
        <v>2957</v>
      </c>
    </row>
    <row r="7" spans="1:33" s="638" customFormat="1" ht="54.95" customHeight="1" thickBot="1" x14ac:dyDescent="0.25">
      <c r="B7" s="854" t="s">
        <v>36</v>
      </c>
      <c r="C7" s="855" t="s">
        <v>37</v>
      </c>
      <c r="D7" s="856" t="s">
        <v>6441</v>
      </c>
      <c r="E7" s="868">
        <v>4600557062</v>
      </c>
      <c r="F7" s="1026" t="s">
        <v>6673</v>
      </c>
      <c r="G7" s="857" t="s">
        <v>39</v>
      </c>
      <c r="H7" s="858">
        <v>278.3</v>
      </c>
      <c r="I7" s="859" t="s">
        <v>142</v>
      </c>
      <c r="J7" s="860">
        <v>43605</v>
      </c>
      <c r="K7" s="861">
        <f t="shared" si="0"/>
        <v>89</v>
      </c>
      <c r="L7" s="860">
        <v>43694</v>
      </c>
      <c r="M7" s="860" t="s">
        <v>41</v>
      </c>
      <c r="N7" s="857" t="s">
        <v>42</v>
      </c>
      <c r="O7" s="862">
        <v>43685</v>
      </c>
      <c r="P7" s="863">
        <f t="shared" si="1"/>
        <v>0</v>
      </c>
      <c r="Q7" s="864" t="s">
        <v>6703</v>
      </c>
      <c r="R7" s="865">
        <v>43694</v>
      </c>
      <c r="S7" s="915">
        <v>43697</v>
      </c>
      <c r="T7" s="915">
        <v>43714</v>
      </c>
      <c r="U7" s="861">
        <f t="shared" si="2"/>
        <v>109</v>
      </c>
      <c r="V7" s="861" t="s">
        <v>6746</v>
      </c>
      <c r="W7" s="866" t="s">
        <v>2441</v>
      </c>
      <c r="X7" s="1076"/>
      <c r="Y7" s="1076"/>
      <c r="Z7" s="867" t="s">
        <v>6656</v>
      </c>
      <c r="AA7" s="857"/>
      <c r="AB7" s="1024" t="str">
        <f ca="1">IF(S7="","",IF('o.c.'!$Z$1&lt;(S7+90),(S7+90),"VENCIDA"))</f>
        <v>VENCIDA</v>
      </c>
      <c r="AC7" s="930" t="s">
        <v>7181</v>
      </c>
      <c r="AE7" s="646" t="str">
        <f t="shared" si="3"/>
        <v>en término</v>
      </c>
      <c r="AF7" s="468" t="s">
        <v>6752</v>
      </c>
      <c r="AG7" s="468" t="s">
        <v>2957</v>
      </c>
    </row>
    <row r="8" spans="1:33" s="638" customFormat="1" ht="54.95" customHeight="1" thickBot="1" x14ac:dyDescent="0.25">
      <c r="B8" s="854" t="s">
        <v>36</v>
      </c>
      <c r="C8" s="855" t="s">
        <v>37</v>
      </c>
      <c r="D8" s="856" t="s">
        <v>6441</v>
      </c>
      <c r="E8" s="868">
        <v>4600557062</v>
      </c>
      <c r="F8" s="1026" t="s">
        <v>6670</v>
      </c>
      <c r="G8" s="857" t="s">
        <v>39</v>
      </c>
      <c r="H8" s="858">
        <f>79711.6-5570.36</f>
        <v>74141.240000000005</v>
      </c>
      <c r="I8" s="859" t="s">
        <v>62</v>
      </c>
      <c r="J8" s="860">
        <v>43614</v>
      </c>
      <c r="K8" s="861">
        <f t="shared" si="0"/>
        <v>89</v>
      </c>
      <c r="L8" s="860">
        <v>43703</v>
      </c>
      <c r="M8" s="860" t="s">
        <v>41</v>
      </c>
      <c r="N8" s="857" t="s">
        <v>42</v>
      </c>
      <c r="O8" s="862">
        <v>43700</v>
      </c>
      <c r="P8" s="863">
        <f t="shared" si="1"/>
        <v>5</v>
      </c>
      <c r="Q8" s="864" t="s">
        <v>6732</v>
      </c>
      <c r="R8" s="865">
        <v>43708</v>
      </c>
      <c r="S8" s="915">
        <v>43711</v>
      </c>
      <c r="T8" s="915">
        <v>43728</v>
      </c>
      <c r="U8" s="861">
        <f t="shared" si="2"/>
        <v>114</v>
      </c>
      <c r="V8" s="868" t="s">
        <v>6787</v>
      </c>
      <c r="W8" s="866">
        <v>709</v>
      </c>
      <c r="X8" s="1076"/>
      <c r="Y8" s="857" t="s">
        <v>6733</v>
      </c>
      <c r="Z8" s="867" t="s">
        <v>6656</v>
      </c>
      <c r="AA8" s="857"/>
      <c r="AB8" s="1024" t="str">
        <f ca="1">IF(S8="","",IF('o.c.'!$Z$1&lt;(S8+90),(S8+90),"VENCIDA"))</f>
        <v>VENCIDA</v>
      </c>
      <c r="AC8" s="930" t="s">
        <v>7182</v>
      </c>
      <c r="AE8" s="646" t="str">
        <f t="shared" si="3"/>
        <v>atrasado</v>
      </c>
      <c r="AF8" s="468" t="s">
        <v>6769</v>
      </c>
      <c r="AG8" s="468" t="s">
        <v>2957</v>
      </c>
    </row>
    <row r="9" spans="1:33" s="638" customFormat="1" ht="54.95" customHeight="1" thickBot="1" x14ac:dyDescent="0.25">
      <c r="B9" s="854" t="s">
        <v>36</v>
      </c>
      <c r="C9" s="855" t="s">
        <v>37</v>
      </c>
      <c r="D9" s="856" t="s">
        <v>6441</v>
      </c>
      <c r="E9" s="868">
        <v>4600557062</v>
      </c>
      <c r="F9" s="1026" t="s">
        <v>6671</v>
      </c>
      <c r="G9" s="857" t="s">
        <v>39</v>
      </c>
      <c r="H9" s="858">
        <v>323.45999999999998</v>
      </c>
      <c r="I9" s="859" t="s">
        <v>52</v>
      </c>
      <c r="J9" s="860">
        <v>43614</v>
      </c>
      <c r="K9" s="861">
        <f t="shared" si="0"/>
        <v>89</v>
      </c>
      <c r="L9" s="860">
        <v>43703</v>
      </c>
      <c r="M9" s="860" t="s">
        <v>41</v>
      </c>
      <c r="N9" s="857" t="s">
        <v>42</v>
      </c>
      <c r="O9" s="862">
        <v>43685</v>
      </c>
      <c r="P9" s="863">
        <f t="shared" si="1"/>
        <v>-9</v>
      </c>
      <c r="Q9" s="864" t="s">
        <v>6703</v>
      </c>
      <c r="R9" s="865">
        <v>43694</v>
      </c>
      <c r="S9" s="915">
        <v>43697</v>
      </c>
      <c r="T9" s="915">
        <v>43714</v>
      </c>
      <c r="U9" s="861">
        <f t="shared" si="2"/>
        <v>100</v>
      </c>
      <c r="V9" s="861" t="s">
        <v>53</v>
      </c>
      <c r="W9" s="866" t="s">
        <v>2441</v>
      </c>
      <c r="X9" s="1076"/>
      <c r="Y9" s="1076"/>
      <c r="Z9" s="867" t="s">
        <v>6656</v>
      </c>
      <c r="AA9" s="857"/>
      <c r="AB9" s="1024" t="str">
        <f ca="1">IF(S9="","",IF('o.c.'!$Z$1&lt;(S9+90),(S9+90),"VENCIDA"))</f>
        <v>VENCIDA</v>
      </c>
      <c r="AC9" s="930" t="s">
        <v>7181</v>
      </c>
      <c r="AE9" s="646" t="str">
        <f t="shared" si="3"/>
        <v>en término</v>
      </c>
      <c r="AF9" s="468" t="s">
        <v>6752</v>
      </c>
      <c r="AG9" s="468" t="s">
        <v>2957</v>
      </c>
    </row>
    <row r="10" spans="1:33" s="638" customFormat="1" ht="54.95" customHeight="1" thickBot="1" x14ac:dyDescent="0.25">
      <c r="B10" s="854" t="s">
        <v>36</v>
      </c>
      <c r="C10" s="855" t="s">
        <v>37</v>
      </c>
      <c r="D10" s="856" t="s">
        <v>6441</v>
      </c>
      <c r="E10" s="868">
        <v>4600557062</v>
      </c>
      <c r="F10" s="1026" t="s">
        <v>6685</v>
      </c>
      <c r="G10" s="857" t="s">
        <v>39</v>
      </c>
      <c r="H10" s="858">
        <v>56538.38</v>
      </c>
      <c r="I10" s="859" t="s">
        <v>40</v>
      </c>
      <c r="J10" s="860">
        <v>43614</v>
      </c>
      <c r="K10" s="861">
        <f t="shared" si="0"/>
        <v>89</v>
      </c>
      <c r="L10" s="860">
        <v>43703</v>
      </c>
      <c r="M10" s="860" t="s">
        <v>41</v>
      </c>
      <c r="N10" s="857" t="s">
        <v>42</v>
      </c>
      <c r="O10" s="862">
        <v>43700</v>
      </c>
      <c r="P10" s="863">
        <f t="shared" si="1"/>
        <v>5</v>
      </c>
      <c r="Q10" s="864" t="s">
        <v>6732</v>
      </c>
      <c r="R10" s="865">
        <v>43708</v>
      </c>
      <c r="S10" s="915">
        <v>43711</v>
      </c>
      <c r="T10" s="915">
        <v>43728</v>
      </c>
      <c r="U10" s="861">
        <f t="shared" si="2"/>
        <v>114</v>
      </c>
      <c r="V10" s="868" t="s">
        <v>6786</v>
      </c>
      <c r="W10" s="866">
        <v>709</v>
      </c>
      <c r="X10" s="1076"/>
      <c r="Y10" s="1076" t="s">
        <v>6733</v>
      </c>
      <c r="Z10" s="867" t="s">
        <v>6656</v>
      </c>
      <c r="AA10" s="857"/>
      <c r="AB10" s="1024" t="str">
        <f ca="1">IF(S10="","",IF('o.c.'!$Z$1&lt;(S10+90),(S10+90),"VENCIDA"))</f>
        <v>VENCIDA</v>
      </c>
      <c r="AC10" s="930" t="s">
        <v>7182</v>
      </c>
      <c r="AE10" s="646" t="str">
        <f t="shared" si="3"/>
        <v>atrasado</v>
      </c>
      <c r="AF10" s="468" t="s">
        <v>6769</v>
      </c>
      <c r="AG10" s="468" t="s">
        <v>2957</v>
      </c>
    </row>
    <row r="11" spans="1:33" s="638" customFormat="1" ht="54.95" customHeight="1" thickBot="1" x14ac:dyDescent="0.25">
      <c r="B11" s="854" t="s">
        <v>36</v>
      </c>
      <c r="C11" s="855" t="s">
        <v>37</v>
      </c>
      <c r="D11" s="856" t="s">
        <v>6441</v>
      </c>
      <c r="E11" s="868">
        <v>4600557062</v>
      </c>
      <c r="F11" s="1026" t="s">
        <v>6686</v>
      </c>
      <c r="G11" s="857" t="s">
        <v>39</v>
      </c>
      <c r="H11" s="858">
        <v>874</v>
      </c>
      <c r="I11" s="859" t="s">
        <v>142</v>
      </c>
      <c r="J11" s="860">
        <v>43619</v>
      </c>
      <c r="K11" s="861">
        <f t="shared" si="0"/>
        <v>90</v>
      </c>
      <c r="L11" s="860">
        <v>43709</v>
      </c>
      <c r="M11" s="860" t="s">
        <v>41</v>
      </c>
      <c r="N11" s="857" t="s">
        <v>42</v>
      </c>
      <c r="O11" s="862">
        <v>43700</v>
      </c>
      <c r="P11" s="863">
        <f t="shared" si="1"/>
        <v>-1</v>
      </c>
      <c r="Q11" s="864" t="s">
        <v>6732</v>
      </c>
      <c r="R11" s="865">
        <v>43708</v>
      </c>
      <c r="S11" s="915">
        <v>43711</v>
      </c>
      <c r="T11" s="915">
        <v>43728</v>
      </c>
      <c r="U11" s="861">
        <f t="shared" si="2"/>
        <v>109</v>
      </c>
      <c r="V11" s="861" t="s">
        <v>6702</v>
      </c>
      <c r="W11" s="866">
        <v>709</v>
      </c>
      <c r="X11" s="1076"/>
      <c r="Y11" s="1076"/>
      <c r="Z11" s="867" t="s">
        <v>6656</v>
      </c>
      <c r="AA11" s="857"/>
      <c r="AB11" s="1024" t="str">
        <f ca="1">IF(S11="","",IF('o.c.'!$Z$1&lt;(S11+90),(S11+90),"VENCIDA"))</f>
        <v>VENCIDA</v>
      </c>
      <c r="AC11" s="930" t="s">
        <v>7182</v>
      </c>
      <c r="AE11" s="646" t="str">
        <f t="shared" si="3"/>
        <v>en término</v>
      </c>
      <c r="AF11" s="468" t="s">
        <v>6769</v>
      </c>
      <c r="AG11" s="468" t="s">
        <v>2957</v>
      </c>
    </row>
    <row r="12" spans="1:33" s="638" customFormat="1" ht="54.95" customHeight="1" thickBot="1" x14ac:dyDescent="0.25">
      <c r="B12" s="854" t="s">
        <v>36</v>
      </c>
      <c r="C12" s="855" t="s">
        <v>37</v>
      </c>
      <c r="D12" s="856" t="s">
        <v>6441</v>
      </c>
      <c r="E12" s="868">
        <v>4600557062</v>
      </c>
      <c r="F12" s="1026" t="s">
        <v>6704</v>
      </c>
      <c r="G12" s="857" t="s">
        <v>39</v>
      </c>
      <c r="H12" s="858">
        <f>77021.57-3279.77</f>
        <v>73741.8</v>
      </c>
      <c r="I12" s="859" t="s">
        <v>40</v>
      </c>
      <c r="J12" s="860">
        <v>43627</v>
      </c>
      <c r="K12" s="861">
        <f t="shared" si="0"/>
        <v>90</v>
      </c>
      <c r="L12" s="860">
        <v>43717</v>
      </c>
      <c r="M12" s="860" t="s">
        <v>41</v>
      </c>
      <c r="N12" s="857" t="s">
        <v>42</v>
      </c>
      <c r="O12" s="862">
        <v>43700</v>
      </c>
      <c r="P12" s="863">
        <f t="shared" si="1"/>
        <v>-9</v>
      </c>
      <c r="Q12" s="864" t="s">
        <v>6732</v>
      </c>
      <c r="R12" s="865">
        <v>43708</v>
      </c>
      <c r="S12" s="915">
        <v>43711</v>
      </c>
      <c r="T12" s="915">
        <v>43728</v>
      </c>
      <c r="U12" s="861">
        <f t="shared" si="2"/>
        <v>101</v>
      </c>
      <c r="V12" s="868" t="s">
        <v>6789</v>
      </c>
      <c r="W12" s="866">
        <v>709</v>
      </c>
      <c r="X12" s="1076"/>
      <c r="Y12" s="857" t="s">
        <v>6733</v>
      </c>
      <c r="Z12" s="867" t="s">
        <v>6656</v>
      </c>
      <c r="AA12" s="857"/>
      <c r="AB12" s="1024" t="str">
        <f ca="1">IF(S12="","",IF('o.c.'!$Z$1&lt;(S12+90),(S12+90),"VENCIDA"))</f>
        <v>VENCIDA</v>
      </c>
      <c r="AC12" s="930" t="s">
        <v>7182</v>
      </c>
      <c r="AE12" s="646" t="str">
        <f t="shared" si="3"/>
        <v>en término</v>
      </c>
      <c r="AF12" s="468" t="s">
        <v>6769</v>
      </c>
      <c r="AG12" s="468" t="s">
        <v>2957</v>
      </c>
    </row>
    <row r="15" spans="1:33" ht="13.5" thickBot="1" x14ac:dyDescent="0.25"/>
    <row r="16" spans="1:33" s="638" customFormat="1" ht="54.95" customHeight="1" thickBot="1" x14ac:dyDescent="0.25">
      <c r="B16" s="965" t="s">
        <v>78</v>
      </c>
      <c r="C16" s="965" t="s">
        <v>6929</v>
      </c>
      <c r="D16" s="949" t="s">
        <v>6683</v>
      </c>
      <c r="E16" s="949" t="s">
        <v>81</v>
      </c>
      <c r="F16" s="951" t="s">
        <v>6684</v>
      </c>
      <c r="G16" s="951" t="s">
        <v>39</v>
      </c>
      <c r="H16" s="952">
        <v>109965.5</v>
      </c>
      <c r="I16" s="953"/>
      <c r="J16" s="954">
        <v>43600</v>
      </c>
      <c r="K16" s="955">
        <v>90</v>
      </c>
      <c r="L16" s="954">
        <f t="shared" ref="L16:L28" si="4">+J16+K16</f>
        <v>43690</v>
      </c>
      <c r="M16" s="954" t="s">
        <v>83</v>
      </c>
      <c r="N16" s="951" t="s">
        <v>42</v>
      </c>
      <c r="O16" s="956">
        <v>43602</v>
      </c>
      <c r="P16" s="957">
        <f t="shared" ref="P16:P28" si="5">IF(S16="","",+S16-L16)</f>
        <v>-69</v>
      </c>
      <c r="Q16" s="958" t="s">
        <v>6665</v>
      </c>
      <c r="R16" s="959">
        <v>43615</v>
      </c>
      <c r="S16" s="960">
        <v>43621</v>
      </c>
      <c r="T16" s="960">
        <v>43644</v>
      </c>
      <c r="U16" s="955">
        <f t="shared" ref="U16:U28" si="6">IF(T16="","",+T16-J16)</f>
        <v>44</v>
      </c>
      <c r="V16" s="949" t="s">
        <v>6631</v>
      </c>
      <c r="W16" s="962" t="s">
        <v>2208</v>
      </c>
      <c r="X16" s="963"/>
      <c r="Y16" s="963"/>
      <c r="Z16" s="951" t="s">
        <v>6692</v>
      </c>
      <c r="AA16" s="951"/>
      <c r="AB16" s="984" t="str">
        <f ca="1">IF(S16="","",IF('o.c.'!$Z$1&lt;(S16+60),(S16+60),"VENCIDA"))</f>
        <v>VENCIDA</v>
      </c>
      <c r="AC16" s="964"/>
      <c r="AE16" s="646" t="str">
        <f t="shared" ref="AE16:AE28" si="7">IF(P16="","",IF(P16&lt;=0,"en término","atrasado"))</f>
        <v>en término</v>
      </c>
      <c r="AF16" s="468" t="s">
        <v>6669</v>
      </c>
      <c r="AG16" s="468" t="s">
        <v>187</v>
      </c>
    </row>
    <row r="17" spans="2:33" s="638" customFormat="1" ht="54.95" customHeight="1" thickBot="1" x14ac:dyDescent="0.25">
      <c r="B17" s="965" t="s">
        <v>78</v>
      </c>
      <c r="C17" s="965" t="s">
        <v>6929</v>
      </c>
      <c r="D17" s="949" t="s">
        <v>6683</v>
      </c>
      <c r="E17" s="949" t="s">
        <v>81</v>
      </c>
      <c r="F17" s="950" t="s">
        <v>6694</v>
      </c>
      <c r="G17" s="951" t="s">
        <v>39</v>
      </c>
      <c r="H17" s="952">
        <v>203005.27</v>
      </c>
      <c r="I17" s="953"/>
      <c r="J17" s="954">
        <v>43623</v>
      </c>
      <c r="K17" s="955">
        <v>120</v>
      </c>
      <c r="L17" s="954">
        <f t="shared" si="4"/>
        <v>43743</v>
      </c>
      <c r="M17" s="954" t="s">
        <v>83</v>
      </c>
      <c r="N17" s="951" t="s">
        <v>42</v>
      </c>
      <c r="O17" s="956">
        <v>43630</v>
      </c>
      <c r="P17" s="957">
        <f t="shared" si="5"/>
        <v>-91</v>
      </c>
      <c r="Q17" s="958" t="s">
        <v>6705</v>
      </c>
      <c r="R17" s="959">
        <v>43648</v>
      </c>
      <c r="S17" s="960">
        <v>43652</v>
      </c>
      <c r="T17" s="960">
        <v>43673</v>
      </c>
      <c r="U17" s="955">
        <f t="shared" si="6"/>
        <v>50</v>
      </c>
      <c r="V17" s="949" t="s">
        <v>6630</v>
      </c>
      <c r="W17" s="962" t="s">
        <v>2445</v>
      </c>
      <c r="X17" s="963"/>
      <c r="Y17" s="963"/>
      <c r="Z17" s="951" t="s">
        <v>6729</v>
      </c>
      <c r="AA17" s="951"/>
      <c r="AB17" s="984" t="str">
        <f ca="1">IF(S17="","",IF('o.c.'!$Z$1&lt;(S17+60),(S17+60),"VENCIDA"))</f>
        <v>VENCIDA</v>
      </c>
      <c r="AC17" s="964"/>
      <c r="AE17" s="646" t="str">
        <f t="shared" si="7"/>
        <v>en término</v>
      </c>
      <c r="AF17" s="468" t="s">
        <v>6725</v>
      </c>
      <c r="AG17" s="468" t="s">
        <v>2949</v>
      </c>
    </row>
    <row r="18" spans="2:33" s="638" customFormat="1" ht="54.95" customHeight="1" thickBot="1" x14ac:dyDescent="0.25">
      <c r="B18" s="965" t="s">
        <v>78</v>
      </c>
      <c r="C18" s="965" t="s">
        <v>6929</v>
      </c>
      <c r="D18" s="949" t="s">
        <v>6683</v>
      </c>
      <c r="E18" s="949" t="s">
        <v>81</v>
      </c>
      <c r="F18" s="950" t="s">
        <v>6714</v>
      </c>
      <c r="G18" s="951" t="s">
        <v>39</v>
      </c>
      <c r="H18" s="952">
        <v>143331.25</v>
      </c>
      <c r="I18" s="953"/>
      <c r="J18" s="954">
        <v>43655</v>
      </c>
      <c r="K18" s="955">
        <v>150</v>
      </c>
      <c r="L18" s="954">
        <f t="shared" si="4"/>
        <v>43805</v>
      </c>
      <c r="M18" s="954" t="s">
        <v>83</v>
      </c>
      <c r="N18" s="951" t="s">
        <v>42</v>
      </c>
      <c r="O18" s="956">
        <v>43672</v>
      </c>
      <c r="P18" s="957">
        <f t="shared" si="5"/>
        <v>-111</v>
      </c>
      <c r="Q18" s="958" t="s">
        <v>6731</v>
      </c>
      <c r="R18" s="959">
        <v>43683</v>
      </c>
      <c r="S18" s="960">
        <v>43694</v>
      </c>
      <c r="T18" s="960">
        <v>43708</v>
      </c>
      <c r="U18" s="955">
        <f t="shared" si="6"/>
        <v>53</v>
      </c>
      <c r="V18" s="949" t="s">
        <v>6629</v>
      </c>
      <c r="W18" s="962" t="s">
        <v>2237</v>
      </c>
      <c r="X18" s="963"/>
      <c r="Y18" s="963"/>
      <c r="Z18" s="951" t="s">
        <v>6757</v>
      </c>
      <c r="AA18" s="951"/>
      <c r="AB18" s="984" t="str">
        <f ca="1">IF(S18="","",IF('o.c.'!$Z$1&lt;(S18+60),(S18+60),"VENCIDA"))</f>
        <v>VENCIDA</v>
      </c>
      <c r="AC18" s="964" t="s">
        <v>6755</v>
      </c>
      <c r="AE18" s="646" t="str">
        <f t="shared" si="7"/>
        <v>en término</v>
      </c>
      <c r="AF18" s="468" t="s">
        <v>6753</v>
      </c>
      <c r="AG18" s="468" t="s">
        <v>2957</v>
      </c>
    </row>
    <row r="19" spans="2:33" s="638" customFormat="1" ht="54.95" customHeight="1" thickBot="1" x14ac:dyDescent="0.25">
      <c r="B19" s="965" t="s">
        <v>78</v>
      </c>
      <c r="C19" s="965" t="s">
        <v>6929</v>
      </c>
      <c r="D19" s="949" t="s">
        <v>6681</v>
      </c>
      <c r="E19" s="949" t="s">
        <v>81</v>
      </c>
      <c r="F19" s="950" t="s">
        <v>6682</v>
      </c>
      <c r="G19" s="951" t="s">
        <v>39</v>
      </c>
      <c r="H19" s="952">
        <v>79723.44</v>
      </c>
      <c r="I19" s="953"/>
      <c r="J19" s="954">
        <v>43600</v>
      </c>
      <c r="K19" s="955">
        <v>90</v>
      </c>
      <c r="L19" s="954">
        <f t="shared" si="4"/>
        <v>43690</v>
      </c>
      <c r="M19" s="954" t="s">
        <v>83</v>
      </c>
      <c r="N19" s="951" t="s">
        <v>42</v>
      </c>
      <c r="O19" s="956">
        <v>43602</v>
      </c>
      <c r="P19" s="957">
        <f t="shared" si="5"/>
        <v>-69</v>
      </c>
      <c r="Q19" s="958" t="s">
        <v>6665</v>
      </c>
      <c r="R19" s="959">
        <v>43615</v>
      </c>
      <c r="S19" s="960">
        <v>43621</v>
      </c>
      <c r="T19" s="960">
        <v>43644</v>
      </c>
      <c r="U19" s="955">
        <f t="shared" si="6"/>
        <v>44</v>
      </c>
      <c r="V19" s="949" t="s">
        <v>6631</v>
      </c>
      <c r="W19" s="962" t="s">
        <v>2219</v>
      </c>
      <c r="X19" s="963"/>
      <c r="Y19" s="963"/>
      <c r="Z19" s="951" t="s">
        <v>6692</v>
      </c>
      <c r="AA19" s="951"/>
      <c r="AB19" s="984" t="str">
        <f ca="1">IF(S19="","",IF('o.c.'!$Z$1&lt;(S19+60),(S19+60),"VENCIDA"))</f>
        <v>VENCIDA</v>
      </c>
      <c r="AC19" s="964"/>
      <c r="AE19" s="646" t="str">
        <f t="shared" si="7"/>
        <v>en término</v>
      </c>
      <c r="AF19" s="468" t="s">
        <v>6669</v>
      </c>
      <c r="AG19" s="468" t="s">
        <v>187</v>
      </c>
    </row>
    <row r="20" spans="2:33" s="638" customFormat="1" ht="54.95" customHeight="1" thickBot="1" x14ac:dyDescent="0.25">
      <c r="B20" s="965" t="s">
        <v>78</v>
      </c>
      <c r="C20" s="965" t="s">
        <v>6929</v>
      </c>
      <c r="D20" s="949" t="s">
        <v>6681</v>
      </c>
      <c r="E20" s="949" t="s">
        <v>81</v>
      </c>
      <c r="F20" s="950" t="s">
        <v>6695</v>
      </c>
      <c r="G20" s="951" t="s">
        <v>39</v>
      </c>
      <c r="H20" s="952">
        <v>193650.23</v>
      </c>
      <c r="I20" s="953"/>
      <c r="J20" s="954">
        <v>43623</v>
      </c>
      <c r="K20" s="955">
        <v>120</v>
      </c>
      <c r="L20" s="954">
        <f t="shared" si="4"/>
        <v>43743</v>
      </c>
      <c r="M20" s="954" t="s">
        <v>83</v>
      </c>
      <c r="N20" s="951" t="s">
        <v>42</v>
      </c>
      <c r="O20" s="956">
        <v>43630</v>
      </c>
      <c r="P20" s="957">
        <f t="shared" si="5"/>
        <v>-91</v>
      </c>
      <c r="Q20" s="958" t="s">
        <v>6705</v>
      </c>
      <c r="R20" s="959">
        <v>43648</v>
      </c>
      <c r="S20" s="960">
        <v>43652</v>
      </c>
      <c r="T20" s="960">
        <v>43673</v>
      </c>
      <c r="U20" s="955">
        <f t="shared" si="6"/>
        <v>50</v>
      </c>
      <c r="V20" s="949" t="s">
        <v>6630</v>
      </c>
      <c r="W20" s="962" t="s">
        <v>2443</v>
      </c>
      <c r="X20" s="963"/>
      <c r="Y20" s="963"/>
      <c r="Z20" s="951" t="s">
        <v>6729</v>
      </c>
      <c r="AA20" s="951"/>
      <c r="AB20" s="984" t="str">
        <f ca="1">IF(S20="","",IF('o.c.'!$Z$1&lt;(S20+60),(S20+60),"VENCIDA"))</f>
        <v>VENCIDA</v>
      </c>
      <c r="AC20" s="964"/>
      <c r="AE20" s="646" t="str">
        <f t="shared" si="7"/>
        <v>en término</v>
      </c>
      <c r="AF20" s="468" t="s">
        <v>6725</v>
      </c>
      <c r="AG20" s="468" t="s">
        <v>2949</v>
      </c>
    </row>
    <row r="21" spans="2:33" s="638" customFormat="1" ht="54.95" customHeight="1" thickBot="1" x14ac:dyDescent="0.25">
      <c r="B21" s="965" t="s">
        <v>78</v>
      </c>
      <c r="C21" s="965" t="s">
        <v>6929</v>
      </c>
      <c r="D21" s="949" t="s">
        <v>6681</v>
      </c>
      <c r="E21" s="949" t="s">
        <v>81</v>
      </c>
      <c r="F21" s="950" t="s">
        <v>6715</v>
      </c>
      <c r="G21" s="951" t="s">
        <v>39</v>
      </c>
      <c r="H21" s="952">
        <v>95886.62</v>
      </c>
      <c r="I21" s="953"/>
      <c r="J21" s="954">
        <v>43655</v>
      </c>
      <c r="K21" s="955">
        <v>150</v>
      </c>
      <c r="L21" s="954">
        <f t="shared" si="4"/>
        <v>43805</v>
      </c>
      <c r="M21" s="954" t="s">
        <v>83</v>
      </c>
      <c r="N21" s="951" t="s">
        <v>42</v>
      </c>
      <c r="O21" s="956">
        <v>43672</v>
      </c>
      <c r="P21" s="957">
        <f t="shared" si="5"/>
        <v>-111</v>
      </c>
      <c r="Q21" s="958" t="s">
        <v>6731</v>
      </c>
      <c r="R21" s="959">
        <v>43683</v>
      </c>
      <c r="S21" s="960">
        <v>43694</v>
      </c>
      <c r="T21" s="960">
        <v>43708</v>
      </c>
      <c r="U21" s="955">
        <f t="shared" si="6"/>
        <v>53</v>
      </c>
      <c r="V21" s="949" t="s">
        <v>6629</v>
      </c>
      <c r="W21" s="962" t="s">
        <v>2240</v>
      </c>
      <c r="X21" s="963"/>
      <c r="Y21" s="963"/>
      <c r="Z21" s="951" t="s">
        <v>6757</v>
      </c>
      <c r="AA21" s="951"/>
      <c r="AB21" s="984" t="str">
        <f ca="1">IF(S21="","",IF('o.c.'!$Z$1&lt;(S21+60),(S21+60),"VENCIDA"))</f>
        <v>VENCIDA</v>
      </c>
      <c r="AC21" s="964" t="s">
        <v>6755</v>
      </c>
      <c r="AE21" s="646" t="str">
        <f t="shared" si="7"/>
        <v>en término</v>
      </c>
      <c r="AF21" s="468" t="s">
        <v>6753</v>
      </c>
      <c r="AG21" s="468" t="s">
        <v>2957</v>
      </c>
    </row>
    <row r="22" spans="2:33" s="638" customFormat="1" ht="54.95" customHeight="1" thickBot="1" x14ac:dyDescent="0.25">
      <c r="B22" s="965" t="s">
        <v>78</v>
      </c>
      <c r="C22" s="965" t="s">
        <v>6929</v>
      </c>
      <c r="D22" s="949" t="s">
        <v>6679</v>
      </c>
      <c r="E22" s="949" t="s">
        <v>81</v>
      </c>
      <c r="F22" s="950" t="s">
        <v>6680</v>
      </c>
      <c r="G22" s="951" t="s">
        <v>39</v>
      </c>
      <c r="H22" s="952">
        <v>2349.6</v>
      </c>
      <c r="I22" s="953"/>
      <c r="J22" s="954">
        <v>43600</v>
      </c>
      <c r="K22" s="955">
        <v>90</v>
      </c>
      <c r="L22" s="954">
        <f t="shared" si="4"/>
        <v>43690</v>
      </c>
      <c r="M22" s="954" t="s">
        <v>83</v>
      </c>
      <c r="N22" s="951" t="s">
        <v>42</v>
      </c>
      <c r="O22" s="956">
        <v>43602</v>
      </c>
      <c r="P22" s="957">
        <f t="shared" si="5"/>
        <v>-69</v>
      </c>
      <c r="Q22" s="958" t="s">
        <v>6665</v>
      </c>
      <c r="R22" s="959">
        <v>43615</v>
      </c>
      <c r="S22" s="960">
        <v>43621</v>
      </c>
      <c r="T22" s="960">
        <v>43644</v>
      </c>
      <c r="U22" s="955">
        <f t="shared" si="6"/>
        <v>44</v>
      </c>
      <c r="V22" s="949" t="s">
        <v>6631</v>
      </c>
      <c r="W22" s="962" t="s">
        <v>2217</v>
      </c>
      <c r="X22" s="963"/>
      <c r="Y22" s="963"/>
      <c r="Z22" s="951" t="s">
        <v>6692</v>
      </c>
      <c r="AA22" s="951"/>
      <c r="AB22" s="984" t="str">
        <f ca="1">IF(S22="","",IF('o.c.'!$Z$1&lt;(S22+60),(S22+60),"VENCIDA"))</f>
        <v>VENCIDA</v>
      </c>
      <c r="AC22" s="964"/>
      <c r="AE22" s="646" t="str">
        <f t="shared" si="7"/>
        <v>en término</v>
      </c>
      <c r="AF22" s="468" t="s">
        <v>6669</v>
      </c>
      <c r="AG22" s="468" t="s">
        <v>187</v>
      </c>
    </row>
    <row r="23" spans="2:33" s="638" customFormat="1" ht="54.95" customHeight="1" thickBot="1" x14ac:dyDescent="0.25">
      <c r="B23" s="965" t="s">
        <v>78</v>
      </c>
      <c r="C23" s="965" t="s">
        <v>6929</v>
      </c>
      <c r="D23" s="949" t="s">
        <v>6677</v>
      </c>
      <c r="E23" s="949" t="s">
        <v>81</v>
      </c>
      <c r="F23" s="950" t="s">
        <v>6678</v>
      </c>
      <c r="G23" s="951" t="s">
        <v>39</v>
      </c>
      <c r="H23" s="952">
        <v>35715.31</v>
      </c>
      <c r="I23" s="953"/>
      <c r="J23" s="954">
        <v>43600</v>
      </c>
      <c r="K23" s="955">
        <v>90</v>
      </c>
      <c r="L23" s="954">
        <f t="shared" si="4"/>
        <v>43690</v>
      </c>
      <c r="M23" s="954" t="s">
        <v>83</v>
      </c>
      <c r="N23" s="951" t="s">
        <v>42</v>
      </c>
      <c r="O23" s="956">
        <v>43602</v>
      </c>
      <c r="P23" s="957">
        <f t="shared" si="5"/>
        <v>-69</v>
      </c>
      <c r="Q23" s="958" t="s">
        <v>6665</v>
      </c>
      <c r="R23" s="959">
        <v>43615</v>
      </c>
      <c r="S23" s="960">
        <v>43621</v>
      </c>
      <c r="T23" s="960">
        <v>43644</v>
      </c>
      <c r="U23" s="955">
        <f t="shared" si="6"/>
        <v>44</v>
      </c>
      <c r="V23" s="949" t="s">
        <v>6631</v>
      </c>
      <c r="W23" s="962" t="s">
        <v>2213</v>
      </c>
      <c r="X23" s="963"/>
      <c r="Y23" s="963"/>
      <c r="Z23" s="951" t="s">
        <v>6692</v>
      </c>
      <c r="AA23" s="951"/>
      <c r="AB23" s="984" t="str">
        <f ca="1">IF(S23="","",IF('o.c.'!$Z$1&lt;(S23+60),(S23+60),"VENCIDA"))</f>
        <v>VENCIDA</v>
      </c>
      <c r="AC23" s="964"/>
      <c r="AE23" s="646" t="str">
        <f t="shared" si="7"/>
        <v>en término</v>
      </c>
      <c r="AF23" s="468" t="s">
        <v>6669</v>
      </c>
      <c r="AG23" s="468" t="s">
        <v>187</v>
      </c>
    </row>
    <row r="24" spans="2:33" s="638" customFormat="1" ht="54.95" customHeight="1" thickBot="1" x14ac:dyDescent="0.25">
      <c r="B24" s="965" t="s">
        <v>78</v>
      </c>
      <c r="C24" s="965" t="s">
        <v>6929</v>
      </c>
      <c r="D24" s="949" t="s">
        <v>6677</v>
      </c>
      <c r="E24" s="949" t="s">
        <v>81</v>
      </c>
      <c r="F24" s="950" t="s">
        <v>6696</v>
      </c>
      <c r="G24" s="951" t="s">
        <v>39</v>
      </c>
      <c r="H24" s="952">
        <v>49638.16</v>
      </c>
      <c r="I24" s="953"/>
      <c r="J24" s="954">
        <v>43623</v>
      </c>
      <c r="K24" s="955">
        <v>120</v>
      </c>
      <c r="L24" s="954">
        <f t="shared" si="4"/>
        <v>43743</v>
      </c>
      <c r="M24" s="954" t="s">
        <v>83</v>
      </c>
      <c r="N24" s="951" t="s">
        <v>42</v>
      </c>
      <c r="O24" s="956">
        <v>43630</v>
      </c>
      <c r="P24" s="957">
        <f t="shared" si="5"/>
        <v>-91</v>
      </c>
      <c r="Q24" s="958" t="s">
        <v>6705</v>
      </c>
      <c r="R24" s="959">
        <v>43648</v>
      </c>
      <c r="S24" s="960">
        <v>43652</v>
      </c>
      <c r="T24" s="960">
        <v>43673</v>
      </c>
      <c r="U24" s="955">
        <f t="shared" si="6"/>
        <v>50</v>
      </c>
      <c r="V24" s="949" t="s">
        <v>6630</v>
      </c>
      <c r="W24" s="962" t="s">
        <v>2447</v>
      </c>
      <c r="X24" s="963"/>
      <c r="Y24" s="963"/>
      <c r="Z24" s="951" t="s">
        <v>6729</v>
      </c>
      <c r="AA24" s="951"/>
      <c r="AB24" s="984" t="str">
        <f ca="1">IF(S24="","",IF('o.c.'!$Z$1&lt;(S24+60),(S24+60),"VENCIDA"))</f>
        <v>VENCIDA</v>
      </c>
      <c r="AC24" s="964"/>
      <c r="AE24" s="646" t="str">
        <f t="shared" si="7"/>
        <v>en término</v>
      </c>
      <c r="AF24" s="468" t="s">
        <v>6725</v>
      </c>
      <c r="AG24" s="468" t="s">
        <v>2949</v>
      </c>
    </row>
    <row r="25" spans="2:33" s="638" customFormat="1" ht="54.95" customHeight="1" thickBot="1" x14ac:dyDescent="0.25">
      <c r="B25" s="965" t="s">
        <v>78</v>
      </c>
      <c r="C25" s="965" t="s">
        <v>6929</v>
      </c>
      <c r="D25" s="949" t="s">
        <v>6677</v>
      </c>
      <c r="E25" s="949" t="s">
        <v>81</v>
      </c>
      <c r="F25" s="950" t="s">
        <v>6716</v>
      </c>
      <c r="G25" s="951" t="s">
        <v>39</v>
      </c>
      <c r="H25" s="952">
        <v>46886.12</v>
      </c>
      <c r="I25" s="953"/>
      <c r="J25" s="954">
        <v>43655</v>
      </c>
      <c r="K25" s="955">
        <v>150</v>
      </c>
      <c r="L25" s="954">
        <f t="shared" si="4"/>
        <v>43805</v>
      </c>
      <c r="M25" s="954" t="s">
        <v>83</v>
      </c>
      <c r="N25" s="951" t="s">
        <v>42</v>
      </c>
      <c r="O25" s="956">
        <v>43672</v>
      </c>
      <c r="P25" s="957">
        <f t="shared" si="5"/>
        <v>-111</v>
      </c>
      <c r="Q25" s="958" t="s">
        <v>6731</v>
      </c>
      <c r="R25" s="959">
        <v>43683</v>
      </c>
      <c r="S25" s="960">
        <v>43694</v>
      </c>
      <c r="T25" s="960">
        <v>43708</v>
      </c>
      <c r="U25" s="955">
        <f t="shared" si="6"/>
        <v>53</v>
      </c>
      <c r="V25" s="949" t="s">
        <v>6629</v>
      </c>
      <c r="W25" s="962" t="s">
        <v>2227</v>
      </c>
      <c r="X25" s="963"/>
      <c r="Y25" s="963"/>
      <c r="Z25" s="951" t="s">
        <v>6757</v>
      </c>
      <c r="AA25" s="951"/>
      <c r="AB25" s="984" t="str">
        <f ca="1">IF(S25="","",IF('o.c.'!$Z$1&lt;(S25+60),(S25+60),"VENCIDA"))</f>
        <v>VENCIDA</v>
      </c>
      <c r="AC25" s="964" t="s">
        <v>6755</v>
      </c>
      <c r="AE25" s="646" t="str">
        <f t="shared" si="7"/>
        <v>en término</v>
      </c>
      <c r="AF25" s="468" t="s">
        <v>6753</v>
      </c>
      <c r="AG25" s="468" t="s">
        <v>2957</v>
      </c>
    </row>
    <row r="26" spans="2:33" s="638" customFormat="1" ht="54.95" customHeight="1" thickBot="1" x14ac:dyDescent="0.25">
      <c r="B26" s="965" t="s">
        <v>78</v>
      </c>
      <c r="C26" s="965" t="s">
        <v>6929</v>
      </c>
      <c r="D26" s="949" t="s">
        <v>6688</v>
      </c>
      <c r="E26" s="949" t="s">
        <v>81</v>
      </c>
      <c r="F26" s="950" t="s">
        <v>6697</v>
      </c>
      <c r="G26" s="951" t="s">
        <v>39</v>
      </c>
      <c r="H26" s="952">
        <v>13745.02</v>
      </c>
      <c r="I26" s="953"/>
      <c r="J26" s="954">
        <v>43623</v>
      </c>
      <c r="K26" s="955">
        <v>90</v>
      </c>
      <c r="L26" s="954">
        <f t="shared" si="4"/>
        <v>43713</v>
      </c>
      <c r="M26" s="954" t="s">
        <v>83</v>
      </c>
      <c r="N26" s="951" t="s">
        <v>42</v>
      </c>
      <c r="O26" s="956">
        <v>43630</v>
      </c>
      <c r="P26" s="957">
        <f t="shared" si="5"/>
        <v>-61</v>
      </c>
      <c r="Q26" s="958" t="s">
        <v>6705</v>
      </c>
      <c r="R26" s="959">
        <v>43648</v>
      </c>
      <c r="S26" s="960">
        <v>43652</v>
      </c>
      <c r="T26" s="960">
        <v>43673</v>
      </c>
      <c r="U26" s="955">
        <f t="shared" si="6"/>
        <v>50</v>
      </c>
      <c r="V26" s="949" t="s">
        <v>6581</v>
      </c>
      <c r="W26" s="962" t="s">
        <v>2436</v>
      </c>
      <c r="X26" s="963"/>
      <c r="Y26" s="963"/>
      <c r="Z26" s="951" t="s">
        <v>6729</v>
      </c>
      <c r="AA26" s="951"/>
      <c r="AB26" s="984" t="str">
        <f ca="1">IF(S26="","",IF('o.c.'!$Z$1&lt;(S26+60),(S26+60),"VENCIDA"))</f>
        <v>VENCIDA</v>
      </c>
      <c r="AC26" s="964"/>
      <c r="AE26" s="646" t="str">
        <f t="shared" si="7"/>
        <v>en término</v>
      </c>
      <c r="AF26" s="468" t="s">
        <v>6725</v>
      </c>
      <c r="AG26" s="468" t="s">
        <v>2949</v>
      </c>
    </row>
    <row r="27" spans="2:33" s="638" customFormat="1" ht="54.95" customHeight="1" thickBot="1" x14ac:dyDescent="0.25">
      <c r="B27" s="965" t="s">
        <v>78</v>
      </c>
      <c r="C27" s="965" t="s">
        <v>6929</v>
      </c>
      <c r="D27" s="949" t="s">
        <v>6689</v>
      </c>
      <c r="E27" s="949" t="s">
        <v>81</v>
      </c>
      <c r="F27" s="950" t="s">
        <v>6698</v>
      </c>
      <c r="G27" s="951" t="s">
        <v>39</v>
      </c>
      <c r="H27" s="952">
        <v>4450.6099999999997</v>
      </c>
      <c r="I27" s="953"/>
      <c r="J27" s="954">
        <v>43623</v>
      </c>
      <c r="K27" s="955">
        <v>90</v>
      </c>
      <c r="L27" s="954">
        <f t="shared" si="4"/>
        <v>43713</v>
      </c>
      <c r="M27" s="954" t="s">
        <v>83</v>
      </c>
      <c r="N27" s="951" t="s">
        <v>42</v>
      </c>
      <c r="O27" s="956">
        <v>43630</v>
      </c>
      <c r="P27" s="957">
        <f t="shared" si="5"/>
        <v>-61</v>
      </c>
      <c r="Q27" s="958" t="s">
        <v>6705</v>
      </c>
      <c r="R27" s="959">
        <v>43648</v>
      </c>
      <c r="S27" s="960">
        <v>43652</v>
      </c>
      <c r="T27" s="960">
        <v>43673</v>
      </c>
      <c r="U27" s="955">
        <f t="shared" si="6"/>
        <v>50</v>
      </c>
      <c r="V27" s="949" t="s">
        <v>6581</v>
      </c>
      <c r="W27" s="962" t="s">
        <v>2434</v>
      </c>
      <c r="X27" s="963"/>
      <c r="Y27" s="963"/>
      <c r="Z27" s="951" t="s">
        <v>6729</v>
      </c>
      <c r="AA27" s="951"/>
      <c r="AB27" s="984" t="str">
        <f ca="1">IF(S27="","",IF('o.c.'!$Z$1&lt;(S27+60),(S27+60),"VENCIDA"))</f>
        <v>VENCIDA</v>
      </c>
      <c r="AC27" s="964"/>
      <c r="AE27" s="646" t="str">
        <f t="shared" si="7"/>
        <v>en término</v>
      </c>
      <c r="AF27" s="468" t="s">
        <v>6725</v>
      </c>
      <c r="AG27" s="468" t="s">
        <v>2949</v>
      </c>
    </row>
    <row r="28" spans="2:33" s="638" customFormat="1" ht="54.95" customHeight="1" thickBot="1" x14ac:dyDescent="0.25">
      <c r="B28" s="965" t="s">
        <v>78</v>
      </c>
      <c r="C28" s="965" t="s">
        <v>6929</v>
      </c>
      <c r="D28" s="949" t="s">
        <v>6676</v>
      </c>
      <c r="E28" s="949" t="s">
        <v>6538</v>
      </c>
      <c r="F28" s="950" t="s">
        <v>6674</v>
      </c>
      <c r="G28" s="951" t="s">
        <v>39</v>
      </c>
      <c r="H28" s="952">
        <v>873.5</v>
      </c>
      <c r="I28" s="953"/>
      <c r="J28" s="954">
        <v>43600</v>
      </c>
      <c r="K28" s="955">
        <v>90</v>
      </c>
      <c r="L28" s="954">
        <f t="shared" si="4"/>
        <v>43690</v>
      </c>
      <c r="M28" s="954" t="s">
        <v>83</v>
      </c>
      <c r="N28" s="951" t="s">
        <v>42</v>
      </c>
      <c r="O28" s="956">
        <v>43602</v>
      </c>
      <c r="P28" s="957">
        <f t="shared" si="5"/>
        <v>-69</v>
      </c>
      <c r="Q28" s="958" t="s">
        <v>6665</v>
      </c>
      <c r="R28" s="959">
        <v>43615</v>
      </c>
      <c r="S28" s="960">
        <v>43621</v>
      </c>
      <c r="T28" s="960">
        <v>43644</v>
      </c>
      <c r="U28" s="955">
        <f t="shared" si="6"/>
        <v>44</v>
      </c>
      <c r="V28" s="949" t="s">
        <v>6581</v>
      </c>
      <c r="W28" s="962" t="s">
        <v>2215</v>
      </c>
      <c r="X28" s="963"/>
      <c r="Y28" s="963"/>
      <c r="Z28" s="951" t="s">
        <v>6692</v>
      </c>
      <c r="AA28" s="951"/>
      <c r="AB28" s="984" t="str">
        <f ca="1">IF(S28="","",IF('o.c.'!$Z$1&lt;(S28+60),(S28+60),"VENCIDA"))</f>
        <v>VENCIDA</v>
      </c>
      <c r="AC28" s="964"/>
      <c r="AE28" s="646" t="str">
        <f t="shared" si="7"/>
        <v>en término</v>
      </c>
      <c r="AF28" s="468" t="s">
        <v>6669</v>
      </c>
      <c r="AG28" s="468" t="s">
        <v>187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IA2573"/>
  <sheetViews>
    <sheetView topLeftCell="I2562" zoomScale="80" zoomScaleNormal="80" workbookViewId="0">
      <selection activeCell="B8" sqref="B8:AC8"/>
    </sheetView>
  </sheetViews>
  <sheetFormatPr baseColWidth="10" defaultColWidth="11.42578125" defaultRowHeight="11.25" x14ac:dyDescent="0.2"/>
  <cols>
    <col min="1" max="1" width="3.5703125" style="28" customWidth="1"/>
    <col min="2" max="2" width="11" style="2" customWidth="1"/>
    <col min="3" max="3" width="22.28515625" style="2" customWidth="1"/>
    <col min="4" max="4" width="12.5703125" style="2" customWidth="1"/>
    <col min="5" max="5" width="25.42578125" style="2" customWidth="1"/>
    <col min="6" max="6" width="27.42578125" style="3" customWidth="1"/>
    <col min="7" max="7" width="11.5703125" style="3" customWidth="1"/>
    <col min="8" max="8" width="11.85546875" style="2" customWidth="1"/>
    <col min="9" max="9" width="12.1406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2"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30" width="14.140625" style="3" customWidth="1"/>
    <col min="31" max="31" width="19.7109375" style="2" customWidth="1"/>
    <col min="32" max="16384" width="11.42578125" style="2"/>
  </cols>
  <sheetData>
    <row r="1" spans="1:39" s="540" customFormat="1" ht="25.5" x14ac:dyDescent="0.35">
      <c r="A1" s="543"/>
      <c r="B1" s="545" t="s">
        <v>126</v>
      </c>
      <c r="F1" s="541"/>
      <c r="G1" s="541"/>
      <c r="I1" s="541"/>
      <c r="W1" s="541"/>
      <c r="X1" s="541"/>
      <c r="Y1" s="541"/>
      <c r="Z1" s="546" t="s">
        <v>127</v>
      </c>
      <c r="AA1" s="547">
        <f ca="1">TODAY()</f>
        <v>45457</v>
      </c>
      <c r="AC1" s="541"/>
      <c r="AD1" s="541"/>
    </row>
    <row r="2" spans="1:39" s="540" customFormat="1" ht="23.25" x14ac:dyDescent="0.35">
      <c r="A2" s="543"/>
      <c r="B2" s="552" t="s">
        <v>128</v>
      </c>
      <c r="F2" s="541"/>
      <c r="G2" s="541"/>
      <c r="I2" s="541"/>
      <c r="W2" s="541"/>
      <c r="X2" s="541"/>
      <c r="Y2" s="541"/>
      <c r="AC2" s="541"/>
      <c r="AD2" s="541"/>
    </row>
    <row r="3" spans="1:39" ht="10.5" customHeight="1" x14ac:dyDescent="0.2"/>
    <row r="4" spans="1:39" ht="12.75" customHeight="1" thickBot="1" x14ac:dyDescent="0.25"/>
    <row r="5" spans="1:39" s="553" customFormat="1" ht="39.950000000000003" customHeight="1" thickBot="1" x14ac:dyDescent="0.25">
      <c r="B5" s="1611" t="s">
        <v>129</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9"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c r="AK6" s="440"/>
      <c r="AL6" s="440"/>
      <c r="AM6" s="440"/>
    </row>
    <row r="7" spans="1:39" s="9" customFormat="1" x14ac:dyDescent="0.2">
      <c r="A7" s="28"/>
      <c r="B7" s="11"/>
      <c r="C7" s="11"/>
      <c r="D7" s="12"/>
      <c r="E7" s="12"/>
      <c r="F7" s="12"/>
      <c r="G7" s="12"/>
      <c r="H7" s="13"/>
      <c r="I7" s="14"/>
      <c r="J7" s="12"/>
      <c r="K7" s="12"/>
      <c r="L7" s="15"/>
      <c r="M7" s="12"/>
      <c r="N7" s="12"/>
      <c r="O7" s="12"/>
      <c r="P7" s="12"/>
      <c r="Q7" s="12"/>
      <c r="R7" s="12"/>
      <c r="S7" s="12"/>
      <c r="T7" s="11"/>
      <c r="U7" s="11"/>
      <c r="V7" s="12"/>
      <c r="W7" s="12"/>
      <c r="X7" s="57"/>
      <c r="Y7" s="57"/>
      <c r="Z7" s="58"/>
      <c r="AA7" s="12"/>
      <c r="AB7" s="12"/>
      <c r="AC7" s="12"/>
      <c r="AD7" s="10"/>
    </row>
    <row r="8" spans="1:39" s="9" customFormat="1" x14ac:dyDescent="0.2">
      <c r="A8" s="28"/>
      <c r="B8" s="16" t="s">
        <v>36</v>
      </c>
      <c r="C8" s="16" t="s">
        <v>133</v>
      </c>
      <c r="D8" s="6"/>
      <c r="E8" s="6"/>
      <c r="F8" s="6" t="s">
        <v>134</v>
      </c>
      <c r="G8" s="6"/>
      <c r="H8" s="17">
        <v>42701</v>
      </c>
      <c r="I8" s="6" t="s">
        <v>40</v>
      </c>
      <c r="J8" s="7">
        <v>36095</v>
      </c>
      <c r="K8" s="7"/>
      <c r="L8" s="23">
        <v>36155</v>
      </c>
      <c r="M8" s="18" t="s">
        <v>135</v>
      </c>
      <c r="N8" s="6" t="s">
        <v>42</v>
      </c>
      <c r="O8" s="6"/>
      <c r="P8" s="6"/>
      <c r="Q8" s="6"/>
      <c r="R8" s="6"/>
      <c r="S8" s="7">
        <v>36155</v>
      </c>
      <c r="T8" s="7">
        <v>35805</v>
      </c>
      <c r="U8" s="7"/>
      <c r="V8" s="6" t="s">
        <v>136</v>
      </c>
      <c r="W8" s="6">
        <v>378</v>
      </c>
      <c r="X8" s="59"/>
      <c r="Y8" s="59"/>
      <c r="Z8" s="59"/>
      <c r="AA8" s="7">
        <v>35820</v>
      </c>
      <c r="AB8" s="7"/>
      <c r="AC8" s="6"/>
      <c r="AD8" s="10"/>
    </row>
    <row r="9" spans="1:39" s="9" customFormat="1" ht="12" thickBot="1" x14ac:dyDescent="0.25">
      <c r="A9" s="28"/>
      <c r="B9" s="19"/>
      <c r="C9" s="19"/>
      <c r="D9" s="5"/>
      <c r="E9" s="5"/>
      <c r="F9" s="5" t="s">
        <v>137</v>
      </c>
      <c r="G9" s="5"/>
      <c r="H9" s="20"/>
      <c r="I9" s="21" t="s">
        <v>138</v>
      </c>
      <c r="J9" s="5"/>
      <c r="K9" s="5"/>
      <c r="L9" s="22"/>
      <c r="M9" s="5"/>
      <c r="N9" s="5"/>
      <c r="O9" s="5"/>
      <c r="P9" s="5"/>
      <c r="Q9" s="5"/>
      <c r="R9" s="5"/>
      <c r="S9" s="5"/>
      <c r="T9" s="19"/>
      <c r="U9" s="19"/>
      <c r="V9" s="5"/>
      <c r="W9" s="5"/>
      <c r="X9" s="61"/>
      <c r="Y9" s="61"/>
      <c r="Z9" s="62"/>
      <c r="AA9" s="5"/>
      <c r="AB9" s="5"/>
      <c r="AC9" s="5"/>
      <c r="AD9" s="10"/>
    </row>
    <row r="10" spans="1:39" s="9" customFormat="1" x14ac:dyDescent="0.2">
      <c r="A10" s="28"/>
      <c r="B10" s="11"/>
      <c r="C10" s="11"/>
      <c r="D10" s="12"/>
      <c r="E10" s="12"/>
      <c r="F10" s="12"/>
      <c r="G10" s="12"/>
      <c r="H10" s="13"/>
      <c r="I10" s="14"/>
      <c r="J10" s="12"/>
      <c r="K10" s="12"/>
      <c r="L10" s="15"/>
      <c r="M10" s="12"/>
      <c r="N10" s="12"/>
      <c r="O10" s="12"/>
      <c r="P10" s="12"/>
      <c r="Q10" s="12"/>
      <c r="R10" s="12"/>
      <c r="S10" s="12"/>
      <c r="T10" s="11"/>
      <c r="U10" s="11"/>
      <c r="V10" s="12"/>
      <c r="W10" s="10"/>
      <c r="X10" s="59"/>
      <c r="Y10" s="59"/>
      <c r="Z10" s="60"/>
      <c r="AA10" s="12"/>
      <c r="AB10" s="12"/>
      <c r="AC10" s="12"/>
      <c r="AD10" s="10"/>
    </row>
    <row r="11" spans="1:39" s="9" customFormat="1" x14ac:dyDescent="0.2">
      <c r="A11" s="28"/>
      <c r="B11" s="16" t="s">
        <v>36</v>
      </c>
      <c r="C11" s="16" t="s">
        <v>133</v>
      </c>
      <c r="D11" s="6"/>
      <c r="E11" s="6"/>
      <c r="F11" s="6" t="s">
        <v>134</v>
      </c>
      <c r="G11" s="6"/>
      <c r="H11" s="17">
        <v>3632</v>
      </c>
      <c r="I11" s="6" t="s">
        <v>139</v>
      </c>
      <c r="J11" s="7">
        <v>36095</v>
      </c>
      <c r="K11" s="7"/>
      <c r="L11" s="23">
        <v>36155</v>
      </c>
      <c r="M11" s="18" t="s">
        <v>135</v>
      </c>
      <c r="N11" s="6" t="s">
        <v>42</v>
      </c>
      <c r="O11" s="6"/>
      <c r="P11" s="6"/>
      <c r="Q11" s="6"/>
      <c r="R11" s="6"/>
      <c r="S11" s="7">
        <v>36155</v>
      </c>
      <c r="T11" s="7">
        <v>35805</v>
      </c>
      <c r="U11" s="7"/>
      <c r="V11" s="6" t="s">
        <v>140</v>
      </c>
      <c r="W11" s="10">
        <v>376</v>
      </c>
      <c r="X11" s="59"/>
      <c r="Y11" s="59"/>
      <c r="Z11" s="60"/>
      <c r="AA11" s="7">
        <v>35820</v>
      </c>
      <c r="AB11" s="7"/>
      <c r="AC11" s="6"/>
      <c r="AD11" s="10"/>
    </row>
    <row r="12" spans="1:39" s="9" customFormat="1" ht="12" thickBot="1" x14ac:dyDescent="0.25">
      <c r="A12" s="28"/>
      <c r="B12" s="19"/>
      <c r="C12" s="19"/>
      <c r="D12" s="5"/>
      <c r="E12" s="5"/>
      <c r="F12" s="5" t="s">
        <v>141</v>
      </c>
      <c r="G12" s="5"/>
      <c r="H12" s="20"/>
      <c r="I12" s="21"/>
      <c r="J12" s="5"/>
      <c r="K12" s="5"/>
      <c r="L12" s="22"/>
      <c r="M12" s="5"/>
      <c r="N12" s="5"/>
      <c r="O12" s="5"/>
      <c r="P12" s="5"/>
      <c r="Q12" s="5"/>
      <c r="R12" s="5"/>
      <c r="S12" s="5"/>
      <c r="T12" s="19"/>
      <c r="U12" s="19"/>
      <c r="V12" s="5"/>
      <c r="W12" s="5"/>
      <c r="X12" s="61"/>
      <c r="Y12" s="61"/>
      <c r="Z12" s="62"/>
      <c r="AA12" s="5"/>
      <c r="AB12" s="5"/>
      <c r="AC12" s="5"/>
      <c r="AD12" s="10"/>
    </row>
    <row r="13" spans="1:39" s="9" customFormat="1" x14ac:dyDescent="0.2">
      <c r="A13" s="28"/>
      <c r="B13" s="11"/>
      <c r="C13" s="11"/>
      <c r="D13" s="12"/>
      <c r="E13" s="12"/>
      <c r="F13" s="12"/>
      <c r="G13" s="12"/>
      <c r="H13" s="13"/>
      <c r="I13" s="14"/>
      <c r="J13" s="12"/>
      <c r="K13" s="12"/>
      <c r="L13" s="15"/>
      <c r="M13" s="12"/>
      <c r="N13" s="12"/>
      <c r="O13" s="12"/>
      <c r="P13" s="12"/>
      <c r="Q13" s="12"/>
      <c r="R13" s="12"/>
      <c r="S13" s="12"/>
      <c r="T13" s="11"/>
      <c r="U13" s="11"/>
      <c r="V13" s="12"/>
      <c r="W13" s="10"/>
      <c r="X13" s="59"/>
      <c r="Y13" s="59"/>
      <c r="Z13" s="60"/>
      <c r="AA13" s="12"/>
      <c r="AB13" s="6"/>
      <c r="AC13" s="6"/>
      <c r="AD13" s="10"/>
    </row>
    <row r="14" spans="1:39" s="9" customFormat="1" x14ac:dyDescent="0.2">
      <c r="A14" s="28"/>
      <c r="B14" s="16" t="s">
        <v>36</v>
      </c>
      <c r="C14" s="16" t="s">
        <v>133</v>
      </c>
      <c r="D14" s="6"/>
      <c r="E14" s="6"/>
      <c r="F14" s="6" t="s">
        <v>134</v>
      </c>
      <c r="G14" s="6"/>
      <c r="H14" s="17">
        <v>3324</v>
      </c>
      <c r="I14" s="6" t="s">
        <v>142</v>
      </c>
      <c r="J14" s="7">
        <v>35774</v>
      </c>
      <c r="K14" s="7"/>
      <c r="L14" s="23">
        <v>35836</v>
      </c>
      <c r="M14" s="18" t="s">
        <v>135</v>
      </c>
      <c r="N14" s="6" t="s">
        <v>42</v>
      </c>
      <c r="O14" s="6"/>
      <c r="P14" s="6"/>
      <c r="Q14" s="6"/>
      <c r="R14" s="6"/>
      <c r="S14" s="7" t="s">
        <v>143</v>
      </c>
      <c r="T14" s="7">
        <v>35805</v>
      </c>
      <c r="U14" s="7"/>
      <c r="V14" s="6" t="s">
        <v>144</v>
      </c>
      <c r="W14" s="10">
        <v>377</v>
      </c>
      <c r="X14" s="59"/>
      <c r="Y14" s="59"/>
      <c r="Z14" s="60"/>
      <c r="AA14" s="7">
        <v>35820</v>
      </c>
      <c r="AB14" s="7"/>
      <c r="AC14" s="6"/>
      <c r="AD14" s="10"/>
    </row>
    <row r="15" spans="1:39" s="9" customFormat="1" ht="12" thickBot="1" x14ac:dyDescent="0.25">
      <c r="A15" s="28"/>
      <c r="B15" s="19"/>
      <c r="C15" s="19"/>
      <c r="D15" s="5"/>
      <c r="E15" s="5"/>
      <c r="F15" s="5" t="s">
        <v>145</v>
      </c>
      <c r="G15" s="5"/>
      <c r="H15" s="20"/>
      <c r="I15" s="21" t="s">
        <v>138</v>
      </c>
      <c r="J15" s="5"/>
      <c r="K15" s="5"/>
      <c r="L15" s="22"/>
      <c r="M15" s="5"/>
      <c r="N15" s="5"/>
      <c r="O15" s="5"/>
      <c r="P15" s="5"/>
      <c r="Q15" s="5"/>
      <c r="R15" s="5"/>
      <c r="S15" s="5"/>
      <c r="T15" s="19"/>
      <c r="U15" s="19"/>
      <c r="V15" s="5" t="s">
        <v>146</v>
      </c>
      <c r="W15" s="36"/>
      <c r="X15" s="61"/>
      <c r="Y15" s="61"/>
      <c r="Z15" s="62"/>
      <c r="AA15" s="5"/>
      <c r="AB15" s="5"/>
      <c r="AC15" s="5"/>
      <c r="AD15" s="10"/>
    </row>
    <row r="16" spans="1:39" s="9" customFormat="1" x14ac:dyDescent="0.2">
      <c r="A16" s="28"/>
      <c r="B16" s="11"/>
      <c r="C16" s="11"/>
      <c r="D16" s="12"/>
      <c r="E16" s="12"/>
      <c r="F16" s="12"/>
      <c r="G16" s="12"/>
      <c r="H16" s="13"/>
      <c r="I16" s="14"/>
      <c r="J16" s="12"/>
      <c r="K16" s="12"/>
      <c r="L16" s="15"/>
      <c r="M16" s="12"/>
      <c r="N16" s="12"/>
      <c r="O16" s="12"/>
      <c r="P16" s="12"/>
      <c r="Q16" s="12"/>
      <c r="R16" s="12"/>
      <c r="S16" s="12"/>
      <c r="T16" s="11"/>
      <c r="U16" s="11"/>
      <c r="V16" s="12" t="s">
        <v>77</v>
      </c>
      <c r="W16" s="10"/>
      <c r="X16" s="59"/>
      <c r="Y16" s="59"/>
      <c r="Z16" s="60"/>
      <c r="AA16" s="12" t="s">
        <v>77</v>
      </c>
      <c r="AB16" s="6"/>
      <c r="AC16" s="6"/>
      <c r="AD16" s="10"/>
    </row>
    <row r="17" spans="1:30" s="9" customFormat="1" x14ac:dyDescent="0.2">
      <c r="A17" s="28"/>
      <c r="B17" s="16" t="s">
        <v>36</v>
      </c>
      <c r="C17" s="16" t="s">
        <v>133</v>
      </c>
      <c r="D17" s="6"/>
      <c r="E17" s="6"/>
      <c r="F17" s="6" t="s">
        <v>134</v>
      </c>
      <c r="G17" s="6"/>
      <c r="H17" s="17">
        <v>39276</v>
      </c>
      <c r="I17" s="6" t="s">
        <v>40</v>
      </c>
      <c r="J17" s="7">
        <v>35774</v>
      </c>
      <c r="K17" s="7"/>
      <c r="L17" s="23">
        <v>35834</v>
      </c>
      <c r="M17" s="18" t="s">
        <v>135</v>
      </c>
      <c r="N17" s="6" t="s">
        <v>42</v>
      </c>
      <c r="O17" s="6"/>
      <c r="P17" s="6"/>
      <c r="Q17" s="6"/>
      <c r="R17" s="6"/>
      <c r="S17" s="7">
        <v>35834</v>
      </c>
      <c r="T17" s="7">
        <v>35834</v>
      </c>
      <c r="U17" s="7"/>
      <c r="V17" s="6" t="s">
        <v>147</v>
      </c>
      <c r="W17" s="10">
        <v>379</v>
      </c>
      <c r="X17" s="59"/>
      <c r="Y17" s="59"/>
      <c r="Z17" s="60"/>
      <c r="AA17" s="7">
        <v>35866</v>
      </c>
      <c r="AB17" s="7"/>
      <c r="AC17" s="6"/>
      <c r="AD17" s="10"/>
    </row>
    <row r="18" spans="1:30" s="9" customFormat="1" ht="12" thickBot="1" x14ac:dyDescent="0.25">
      <c r="A18" s="28"/>
      <c r="B18" s="19"/>
      <c r="C18" s="19"/>
      <c r="D18" s="5"/>
      <c r="E18" s="5"/>
      <c r="F18" s="5" t="s">
        <v>148</v>
      </c>
      <c r="G18" s="5"/>
      <c r="H18" s="20" t="s">
        <v>77</v>
      </c>
      <c r="I18" s="21" t="s">
        <v>138</v>
      </c>
      <c r="J18" s="5"/>
      <c r="K18" s="5"/>
      <c r="L18" s="22"/>
      <c r="M18" s="5"/>
      <c r="N18" s="5"/>
      <c r="O18" s="6"/>
      <c r="P18" s="6"/>
      <c r="Q18" s="6"/>
      <c r="R18" s="6"/>
      <c r="S18" s="7">
        <v>35857</v>
      </c>
      <c r="T18" s="7">
        <v>35857</v>
      </c>
      <c r="U18" s="7"/>
      <c r="V18" s="5" t="s">
        <v>149</v>
      </c>
      <c r="W18" s="36"/>
      <c r="X18" s="61"/>
      <c r="Y18" s="61"/>
      <c r="Z18" s="62"/>
      <c r="AA18" s="5" t="s">
        <v>77</v>
      </c>
      <c r="AB18" s="5"/>
      <c r="AC18" s="5"/>
      <c r="AD18" s="10"/>
    </row>
    <row r="19" spans="1:30" s="9" customFormat="1" x14ac:dyDescent="0.2">
      <c r="A19" s="28"/>
      <c r="B19" s="11"/>
      <c r="C19" s="11"/>
      <c r="D19" s="12"/>
      <c r="E19" s="12"/>
      <c r="F19" s="12"/>
      <c r="G19" s="12"/>
      <c r="H19" s="13"/>
      <c r="I19" s="14"/>
      <c r="J19" s="12"/>
      <c r="K19" s="12"/>
      <c r="L19" s="15"/>
      <c r="M19" s="12"/>
      <c r="N19" s="12"/>
      <c r="O19" s="12"/>
      <c r="P19" s="12"/>
      <c r="Q19" s="12"/>
      <c r="R19" s="12"/>
      <c r="S19" s="12"/>
      <c r="T19" s="11"/>
      <c r="U19" s="11"/>
      <c r="V19" s="12" t="s">
        <v>77</v>
      </c>
      <c r="W19" s="10"/>
      <c r="X19" s="59"/>
      <c r="Y19" s="59"/>
      <c r="Z19" s="60"/>
      <c r="AA19" s="12" t="s">
        <v>77</v>
      </c>
      <c r="AB19" s="6"/>
      <c r="AC19" s="6"/>
      <c r="AD19" s="10"/>
    </row>
    <row r="20" spans="1:30" s="9" customFormat="1" x14ac:dyDescent="0.2">
      <c r="A20" s="28"/>
      <c r="B20" s="16" t="s">
        <v>36</v>
      </c>
      <c r="C20" s="16" t="s">
        <v>133</v>
      </c>
      <c r="D20" s="6"/>
      <c r="E20" s="6"/>
      <c r="F20" s="6" t="s">
        <v>134</v>
      </c>
      <c r="G20" s="6"/>
      <c r="H20" s="17">
        <v>4155</v>
      </c>
      <c r="I20" s="6" t="s">
        <v>142</v>
      </c>
      <c r="J20" s="7">
        <v>35774</v>
      </c>
      <c r="K20" s="7"/>
      <c r="L20" s="23">
        <v>35836</v>
      </c>
      <c r="M20" s="18" t="s">
        <v>135</v>
      </c>
      <c r="N20" s="6" t="s">
        <v>42</v>
      </c>
      <c r="O20" s="6"/>
      <c r="P20" s="6"/>
      <c r="Q20" s="6"/>
      <c r="R20" s="6"/>
      <c r="S20" s="7">
        <v>35834</v>
      </c>
      <c r="T20" s="7">
        <v>35834</v>
      </c>
      <c r="U20" s="7"/>
      <c r="V20" s="6" t="s">
        <v>150</v>
      </c>
      <c r="W20" s="10">
        <v>381</v>
      </c>
      <c r="X20" s="59"/>
      <c r="Y20" s="59"/>
      <c r="Z20" s="60"/>
      <c r="AA20" s="7">
        <v>35866</v>
      </c>
      <c r="AB20" s="7"/>
      <c r="AC20" s="6"/>
      <c r="AD20" s="10"/>
    </row>
    <row r="21" spans="1:30" s="9" customFormat="1" ht="12" thickBot="1" x14ac:dyDescent="0.25">
      <c r="A21" s="28"/>
      <c r="B21" s="19"/>
      <c r="C21" s="19"/>
      <c r="D21" s="5"/>
      <c r="E21" s="5"/>
      <c r="F21" s="5" t="s">
        <v>145</v>
      </c>
      <c r="G21" s="5"/>
      <c r="H21" s="20" t="s">
        <v>77</v>
      </c>
      <c r="I21" s="21" t="s">
        <v>138</v>
      </c>
      <c r="J21" s="5"/>
      <c r="K21" s="5"/>
      <c r="L21" s="22"/>
      <c r="M21" s="5"/>
      <c r="N21" s="5"/>
      <c r="O21" s="6"/>
      <c r="P21" s="6"/>
      <c r="Q21" s="6"/>
      <c r="R21" s="6"/>
      <c r="S21" s="7">
        <v>35857</v>
      </c>
      <c r="T21" s="7">
        <v>35857</v>
      </c>
      <c r="U21" s="7"/>
      <c r="V21" s="5" t="s">
        <v>151</v>
      </c>
      <c r="W21" s="36"/>
      <c r="X21" s="61"/>
      <c r="Y21" s="61"/>
      <c r="Z21" s="62"/>
      <c r="AA21" s="5" t="s">
        <v>77</v>
      </c>
      <c r="AB21" s="5"/>
      <c r="AC21" s="5"/>
      <c r="AD21" s="10"/>
    </row>
    <row r="22" spans="1:30" s="9" customFormat="1" x14ac:dyDescent="0.2">
      <c r="A22" s="28"/>
      <c r="B22" s="11"/>
      <c r="C22" s="11"/>
      <c r="D22" s="12"/>
      <c r="E22" s="12"/>
      <c r="F22" s="12"/>
      <c r="G22" s="12"/>
      <c r="H22" s="13"/>
      <c r="I22" s="14"/>
      <c r="J22" s="12"/>
      <c r="K22" s="12"/>
      <c r="L22" s="15"/>
      <c r="M22" s="12"/>
      <c r="N22" s="12"/>
      <c r="O22" s="12"/>
      <c r="P22" s="12"/>
      <c r="Q22" s="12"/>
      <c r="R22" s="12"/>
      <c r="S22" s="80" t="s">
        <v>152</v>
      </c>
      <c r="T22" s="11"/>
      <c r="U22" s="11"/>
      <c r="V22" s="12" t="s">
        <v>153</v>
      </c>
      <c r="W22" s="10"/>
      <c r="X22" s="59"/>
      <c r="Y22" s="59"/>
      <c r="Z22" s="60"/>
      <c r="AA22" s="12"/>
      <c r="AB22" s="6"/>
      <c r="AC22" s="6"/>
      <c r="AD22" s="10"/>
    </row>
    <row r="23" spans="1:30" s="9" customFormat="1" x14ac:dyDescent="0.2">
      <c r="A23" s="28"/>
      <c r="B23" s="16" t="s">
        <v>36</v>
      </c>
      <c r="C23" s="16" t="s">
        <v>133</v>
      </c>
      <c r="D23" s="6"/>
      <c r="E23" s="6"/>
      <c r="F23" s="6" t="s">
        <v>134</v>
      </c>
      <c r="G23" s="6"/>
      <c r="H23" s="17">
        <v>19352</v>
      </c>
      <c r="I23" s="6" t="s">
        <v>154</v>
      </c>
      <c r="J23" s="7">
        <v>35814</v>
      </c>
      <c r="K23" s="7"/>
      <c r="L23" s="23">
        <v>35874</v>
      </c>
      <c r="M23" s="18" t="s">
        <v>135</v>
      </c>
      <c r="N23" s="6" t="s">
        <v>42</v>
      </c>
      <c r="O23" s="6"/>
      <c r="P23" s="6"/>
      <c r="Q23" s="6"/>
      <c r="R23" s="6"/>
      <c r="S23" s="74">
        <v>35834</v>
      </c>
      <c r="T23" s="7">
        <v>35834</v>
      </c>
      <c r="U23" s="7"/>
      <c r="V23" s="6" t="s">
        <v>149</v>
      </c>
      <c r="W23" s="10">
        <v>382</v>
      </c>
      <c r="X23" s="59"/>
      <c r="Y23" s="59"/>
      <c r="Z23" s="60"/>
      <c r="AA23" s="7">
        <v>35866</v>
      </c>
      <c r="AB23" s="7"/>
      <c r="AC23" s="6"/>
      <c r="AD23" s="10"/>
    </row>
    <row r="24" spans="1:30" s="9" customFormat="1" ht="12" thickBot="1" x14ac:dyDescent="0.25">
      <c r="A24" s="28"/>
      <c r="B24" s="19"/>
      <c r="C24" s="19"/>
      <c r="D24" s="5"/>
      <c r="E24" s="5"/>
      <c r="F24" s="5" t="s">
        <v>155</v>
      </c>
      <c r="G24" s="5"/>
      <c r="H24" s="20"/>
      <c r="I24" s="21" t="s">
        <v>138</v>
      </c>
      <c r="J24" s="5"/>
      <c r="K24" s="5"/>
      <c r="L24" s="22"/>
      <c r="M24" s="5"/>
      <c r="N24" s="5"/>
      <c r="O24" s="6"/>
      <c r="P24" s="6"/>
      <c r="Q24" s="6"/>
      <c r="R24" s="6"/>
      <c r="S24" s="7">
        <v>35857</v>
      </c>
      <c r="T24" s="7">
        <v>35857</v>
      </c>
      <c r="U24" s="7"/>
      <c r="V24" s="5" t="s">
        <v>156</v>
      </c>
      <c r="W24" s="36"/>
      <c r="X24" s="61"/>
      <c r="Y24" s="61"/>
      <c r="Z24" s="62"/>
      <c r="AA24" s="5"/>
      <c r="AB24" s="5"/>
      <c r="AC24" s="5"/>
      <c r="AD24" s="10"/>
    </row>
    <row r="25" spans="1:30" s="9" customFormat="1" x14ac:dyDescent="0.2">
      <c r="A25" s="28"/>
      <c r="B25" s="11"/>
      <c r="C25" s="11"/>
      <c r="D25" s="12"/>
      <c r="E25" s="12"/>
      <c r="F25" s="12"/>
      <c r="G25" s="12"/>
      <c r="H25" s="13"/>
      <c r="I25" s="14"/>
      <c r="J25" s="12"/>
      <c r="K25" s="12"/>
      <c r="L25" s="15"/>
      <c r="M25" s="12"/>
      <c r="N25" s="12"/>
      <c r="O25" s="12"/>
      <c r="P25" s="12"/>
      <c r="Q25" s="12"/>
      <c r="R25" s="12"/>
      <c r="S25" s="12"/>
      <c r="T25" s="11"/>
      <c r="U25" s="11"/>
      <c r="V25" s="12"/>
      <c r="W25" s="10"/>
      <c r="X25" s="59"/>
      <c r="Y25" s="59"/>
      <c r="Z25" s="60"/>
      <c r="AA25" s="12"/>
      <c r="AB25" s="6"/>
      <c r="AC25" s="6"/>
      <c r="AD25" s="10"/>
    </row>
    <row r="26" spans="1:30" s="9" customFormat="1" x14ac:dyDescent="0.2">
      <c r="A26" s="28"/>
      <c r="B26" s="16" t="s">
        <v>36</v>
      </c>
      <c r="C26" s="16" t="s">
        <v>157</v>
      </c>
      <c r="D26" s="6" t="s">
        <v>158</v>
      </c>
      <c r="E26" s="6"/>
      <c r="F26" s="6" t="s">
        <v>159</v>
      </c>
      <c r="G26" s="6"/>
      <c r="H26" s="17">
        <v>10419</v>
      </c>
      <c r="I26" s="6" t="s">
        <v>52</v>
      </c>
      <c r="J26" s="7">
        <v>35837</v>
      </c>
      <c r="K26" s="7"/>
      <c r="L26" s="23">
        <v>35854</v>
      </c>
      <c r="M26" s="18" t="s">
        <v>138</v>
      </c>
      <c r="N26" s="6" t="s">
        <v>110</v>
      </c>
      <c r="O26" s="6"/>
      <c r="P26" s="6"/>
      <c r="Q26" s="6"/>
      <c r="R26" s="6"/>
      <c r="S26" s="7">
        <v>35857</v>
      </c>
      <c r="T26" s="7">
        <v>35860</v>
      </c>
      <c r="U26" s="7"/>
      <c r="V26" s="6" t="s">
        <v>160</v>
      </c>
      <c r="W26" s="10">
        <v>383</v>
      </c>
      <c r="X26" s="59"/>
      <c r="Y26" s="59"/>
      <c r="Z26" s="60"/>
      <c r="AA26" s="7">
        <v>35873</v>
      </c>
      <c r="AB26" s="7"/>
      <c r="AC26" s="6"/>
      <c r="AD26" s="10"/>
    </row>
    <row r="27" spans="1:30" s="9" customFormat="1" ht="12" thickBot="1" x14ac:dyDescent="0.25">
      <c r="A27" s="28"/>
      <c r="B27" s="19"/>
      <c r="C27" s="19"/>
      <c r="D27" s="5"/>
      <c r="E27" s="5"/>
      <c r="F27" s="5"/>
      <c r="G27" s="5"/>
      <c r="H27" s="20"/>
      <c r="I27" s="21" t="s">
        <v>138</v>
      </c>
      <c r="J27" s="5" t="s">
        <v>161</v>
      </c>
      <c r="K27" s="5"/>
      <c r="L27" s="22"/>
      <c r="M27" s="5"/>
      <c r="N27" s="5"/>
      <c r="O27" s="5"/>
      <c r="P27" s="5"/>
      <c r="Q27" s="5"/>
      <c r="R27" s="5"/>
      <c r="S27" s="5"/>
      <c r="T27" s="19"/>
      <c r="U27" s="19"/>
      <c r="V27" s="5"/>
      <c r="W27" s="36"/>
      <c r="X27" s="61"/>
      <c r="Y27" s="61"/>
      <c r="Z27" s="62"/>
      <c r="AA27" s="5"/>
      <c r="AB27" s="5"/>
      <c r="AC27" s="5"/>
      <c r="AD27" s="10"/>
    </row>
    <row r="28" spans="1:30" s="9" customFormat="1" x14ac:dyDescent="0.2">
      <c r="A28" s="28"/>
      <c r="B28" s="11"/>
      <c r="C28" s="11"/>
      <c r="D28" s="12"/>
      <c r="E28" s="12"/>
      <c r="F28" s="12"/>
      <c r="G28" s="12"/>
      <c r="H28" s="13"/>
      <c r="I28" s="14"/>
      <c r="J28" s="12"/>
      <c r="K28" s="12"/>
      <c r="L28" s="15"/>
      <c r="M28" s="12"/>
      <c r="N28" s="12"/>
      <c r="O28" s="12"/>
      <c r="P28" s="12"/>
      <c r="Q28" s="12"/>
      <c r="R28" s="12"/>
      <c r="S28" s="80" t="s">
        <v>152</v>
      </c>
      <c r="T28" s="11"/>
      <c r="U28" s="11"/>
      <c r="V28" s="12"/>
      <c r="W28" s="10"/>
      <c r="X28" s="59"/>
      <c r="Y28" s="59"/>
      <c r="Z28" s="60"/>
      <c r="AA28" s="12"/>
      <c r="AB28" s="6"/>
      <c r="AC28" s="6"/>
      <c r="AD28" s="10"/>
    </row>
    <row r="29" spans="1:30" s="9" customFormat="1" x14ac:dyDescent="0.2">
      <c r="A29" s="28"/>
      <c r="B29" s="16" t="s">
        <v>36</v>
      </c>
      <c r="C29" s="16" t="s">
        <v>157</v>
      </c>
      <c r="D29" s="6"/>
      <c r="E29" s="6"/>
      <c r="F29" s="6" t="s">
        <v>162</v>
      </c>
      <c r="G29" s="6"/>
      <c r="H29" s="17">
        <v>562</v>
      </c>
      <c r="I29" s="6" t="s">
        <v>52</v>
      </c>
      <c r="J29" s="7">
        <v>35837</v>
      </c>
      <c r="K29" s="7"/>
      <c r="L29" s="23">
        <v>35865</v>
      </c>
      <c r="M29" s="18" t="s">
        <v>138</v>
      </c>
      <c r="N29" s="6" t="s">
        <v>110</v>
      </c>
      <c r="O29" s="6"/>
      <c r="P29" s="6"/>
      <c r="Q29" s="6"/>
      <c r="R29" s="6"/>
      <c r="S29" s="74">
        <v>36219</v>
      </c>
      <c r="T29" s="7">
        <v>35860</v>
      </c>
      <c r="U29" s="7"/>
      <c r="V29" s="6" t="s">
        <v>163</v>
      </c>
      <c r="W29" s="10">
        <v>383</v>
      </c>
      <c r="X29" s="59"/>
      <c r="Y29" s="59"/>
      <c r="Z29" s="60"/>
      <c r="AA29" s="7">
        <v>35873</v>
      </c>
      <c r="AB29" s="7"/>
      <c r="AC29" s="6"/>
      <c r="AD29" s="10"/>
    </row>
    <row r="30" spans="1:30" s="9" customFormat="1" ht="12" thickBot="1" x14ac:dyDescent="0.25">
      <c r="A30" s="28"/>
      <c r="B30" s="19"/>
      <c r="C30" s="19"/>
      <c r="D30" s="5"/>
      <c r="E30" s="5"/>
      <c r="F30" s="5"/>
      <c r="G30" s="5"/>
      <c r="H30" s="20"/>
      <c r="I30" s="21" t="s">
        <v>138</v>
      </c>
      <c r="J30" s="5"/>
      <c r="K30" s="5"/>
      <c r="L30" s="22"/>
      <c r="M30" s="5"/>
      <c r="N30" s="5"/>
      <c r="O30" s="5"/>
      <c r="P30" s="5"/>
      <c r="Q30" s="5"/>
      <c r="R30" s="5"/>
      <c r="S30" s="27">
        <v>36222</v>
      </c>
      <c r="T30" s="19"/>
      <c r="U30" s="19"/>
      <c r="V30" s="5" t="s">
        <v>164</v>
      </c>
      <c r="W30" s="36"/>
      <c r="X30" s="61"/>
      <c r="Y30" s="61"/>
      <c r="Z30" s="62"/>
      <c r="AA30" s="5"/>
      <c r="AB30" s="5"/>
      <c r="AC30" s="5"/>
      <c r="AD30" s="10"/>
    </row>
    <row r="31" spans="1:30" s="9" customFormat="1" x14ac:dyDescent="0.2">
      <c r="A31" s="28"/>
      <c r="B31" s="11"/>
      <c r="C31" s="11"/>
      <c r="D31" s="12"/>
      <c r="E31" s="12"/>
      <c r="F31" s="12"/>
      <c r="G31" s="12"/>
      <c r="H31" s="13"/>
      <c r="I31" s="14"/>
      <c r="J31" s="12"/>
      <c r="K31" s="12"/>
      <c r="L31" s="15"/>
      <c r="M31" s="12"/>
      <c r="N31" s="12"/>
      <c r="O31" s="12"/>
      <c r="P31" s="12"/>
      <c r="Q31" s="12"/>
      <c r="R31" s="12"/>
      <c r="S31" s="80" t="s">
        <v>152</v>
      </c>
      <c r="T31" s="11"/>
      <c r="U31" s="11"/>
      <c r="V31" s="12"/>
      <c r="W31" s="10"/>
      <c r="X31" s="59"/>
      <c r="Y31" s="59"/>
      <c r="Z31" s="60"/>
      <c r="AA31" s="12"/>
      <c r="AB31" s="6"/>
      <c r="AC31" s="6"/>
      <c r="AD31" s="10"/>
    </row>
    <row r="32" spans="1:30" s="9" customFormat="1" x14ac:dyDescent="0.2">
      <c r="A32" s="28"/>
      <c r="B32" s="16" t="s">
        <v>36</v>
      </c>
      <c r="C32" s="16" t="s">
        <v>157</v>
      </c>
      <c r="D32" s="6" t="s">
        <v>165</v>
      </c>
      <c r="E32" s="6"/>
      <c r="F32" s="6" t="s">
        <v>166</v>
      </c>
      <c r="G32" s="6"/>
      <c r="H32" s="17">
        <v>665</v>
      </c>
      <c r="I32" s="6" t="s">
        <v>142</v>
      </c>
      <c r="J32" s="7">
        <v>35851</v>
      </c>
      <c r="K32" s="7"/>
      <c r="L32" s="23"/>
      <c r="M32" s="18" t="s">
        <v>138</v>
      </c>
      <c r="N32" s="6" t="s">
        <v>110</v>
      </c>
      <c r="O32" s="6"/>
      <c r="P32" s="6"/>
      <c r="Q32" s="6"/>
      <c r="R32" s="6"/>
      <c r="S32" s="74">
        <v>36219</v>
      </c>
      <c r="T32" s="7">
        <v>35860</v>
      </c>
      <c r="U32" s="7"/>
      <c r="V32" s="6" t="s">
        <v>163</v>
      </c>
      <c r="W32" s="10">
        <v>383</v>
      </c>
      <c r="X32" s="59"/>
      <c r="Y32" s="59"/>
      <c r="Z32" s="60"/>
      <c r="AA32" s="7">
        <v>35873</v>
      </c>
      <c r="AB32" s="7"/>
      <c r="AC32" s="6"/>
      <c r="AD32" s="10"/>
    </row>
    <row r="33" spans="1:30" s="9" customFormat="1" ht="12" thickBot="1" x14ac:dyDescent="0.25">
      <c r="A33" s="28"/>
      <c r="B33" s="19"/>
      <c r="C33" s="19"/>
      <c r="D33" s="5" t="s">
        <v>167</v>
      </c>
      <c r="E33" s="5"/>
      <c r="F33" s="5"/>
      <c r="G33" s="5"/>
      <c r="H33" s="20"/>
      <c r="I33" s="21" t="s">
        <v>138</v>
      </c>
      <c r="J33" s="5"/>
      <c r="K33" s="5"/>
      <c r="L33" s="22"/>
      <c r="M33" s="5"/>
      <c r="N33" s="5"/>
      <c r="O33" s="5"/>
      <c r="P33" s="5"/>
      <c r="Q33" s="5"/>
      <c r="R33" s="5"/>
      <c r="S33" s="27">
        <v>36222</v>
      </c>
      <c r="T33" s="19"/>
      <c r="U33" s="19"/>
      <c r="V33" s="5" t="s">
        <v>168</v>
      </c>
      <c r="W33" s="36"/>
      <c r="X33" s="61"/>
      <c r="Y33" s="61"/>
      <c r="Z33" s="62"/>
      <c r="AA33" s="5"/>
      <c r="AB33" s="5"/>
      <c r="AC33" s="5"/>
      <c r="AD33" s="10"/>
    </row>
    <row r="34" spans="1:30" s="9" customFormat="1" x14ac:dyDescent="0.2">
      <c r="A34" s="28"/>
      <c r="B34" s="11"/>
      <c r="C34" s="11"/>
      <c r="D34" s="12"/>
      <c r="E34" s="12"/>
      <c r="F34" s="12"/>
      <c r="G34" s="12"/>
      <c r="H34" s="13"/>
      <c r="I34" s="14" t="s">
        <v>169</v>
      </c>
      <c r="J34" s="12"/>
      <c r="K34" s="12"/>
      <c r="L34" s="15"/>
      <c r="M34" s="12"/>
      <c r="N34" s="12"/>
      <c r="O34" s="12"/>
      <c r="P34" s="12"/>
      <c r="Q34" s="12"/>
      <c r="R34" s="12"/>
      <c r="S34" s="12"/>
      <c r="T34" s="11"/>
      <c r="U34" s="11"/>
      <c r="V34" s="12"/>
      <c r="W34" s="10"/>
      <c r="X34" s="59"/>
      <c r="Y34" s="59"/>
      <c r="Z34" s="60"/>
      <c r="AA34" s="12"/>
      <c r="AB34" s="6"/>
      <c r="AC34" s="6"/>
      <c r="AD34" s="10"/>
    </row>
    <row r="35" spans="1:30" s="9" customFormat="1" x14ac:dyDescent="0.2">
      <c r="A35" s="28"/>
      <c r="B35" s="16" t="s">
        <v>36</v>
      </c>
      <c r="C35" s="16" t="s">
        <v>157</v>
      </c>
      <c r="D35" s="6"/>
      <c r="E35" s="6"/>
      <c r="F35" s="6" t="s">
        <v>170</v>
      </c>
      <c r="G35" s="6"/>
      <c r="H35" s="17">
        <v>1787.7</v>
      </c>
      <c r="I35" s="6" t="s">
        <v>142</v>
      </c>
      <c r="J35" s="7">
        <v>35801</v>
      </c>
      <c r="K35" s="7"/>
      <c r="L35" s="23"/>
      <c r="M35" s="18" t="s">
        <v>171</v>
      </c>
      <c r="N35" s="6" t="s">
        <v>110</v>
      </c>
      <c r="O35" s="6"/>
      <c r="P35" s="6"/>
      <c r="Q35" s="6"/>
      <c r="R35" s="6"/>
      <c r="S35" s="7">
        <v>35811</v>
      </c>
      <c r="T35" s="7">
        <v>35811</v>
      </c>
      <c r="U35" s="7"/>
      <c r="V35" s="6"/>
      <c r="W35" s="10">
        <v>370</v>
      </c>
      <c r="X35" s="59"/>
      <c r="Y35" s="59"/>
      <c r="Z35" s="60"/>
      <c r="AA35" s="7">
        <v>35821</v>
      </c>
      <c r="AB35" s="7"/>
      <c r="AC35" s="6"/>
      <c r="AD35" s="10"/>
    </row>
    <row r="36" spans="1:30" s="9" customFormat="1" ht="12" thickBot="1" x14ac:dyDescent="0.25">
      <c r="A36" s="28"/>
      <c r="B36" s="19"/>
      <c r="C36" s="19"/>
      <c r="D36" s="5"/>
      <c r="E36" s="5"/>
      <c r="F36" s="5"/>
      <c r="G36" s="5"/>
      <c r="H36" s="20"/>
      <c r="I36" s="21" t="s">
        <v>138</v>
      </c>
      <c r="J36" s="5"/>
      <c r="K36" s="5"/>
      <c r="L36" s="22"/>
      <c r="M36" s="5"/>
      <c r="N36" s="5"/>
      <c r="O36" s="5"/>
      <c r="P36" s="5"/>
      <c r="Q36" s="5"/>
      <c r="R36" s="5"/>
      <c r="S36" s="5"/>
      <c r="T36" s="19"/>
      <c r="U36" s="19"/>
      <c r="V36" s="5"/>
      <c r="W36" s="36"/>
      <c r="X36" s="61"/>
      <c r="Y36" s="61"/>
      <c r="Z36" s="62"/>
      <c r="AA36" s="5"/>
      <c r="AB36" s="5"/>
      <c r="AC36" s="5"/>
      <c r="AD36" s="10"/>
    </row>
    <row r="37" spans="1:30" s="9" customFormat="1" x14ac:dyDescent="0.2">
      <c r="A37" s="28"/>
      <c r="B37" s="11"/>
      <c r="C37" s="11"/>
      <c r="D37" s="12"/>
      <c r="E37" s="12"/>
      <c r="F37" s="12"/>
      <c r="G37" s="12"/>
      <c r="H37" s="13"/>
      <c r="I37" s="14"/>
      <c r="J37" s="12"/>
      <c r="K37" s="12"/>
      <c r="L37" s="15"/>
      <c r="M37" s="12"/>
      <c r="N37" s="12"/>
      <c r="O37" s="12"/>
      <c r="P37" s="12"/>
      <c r="Q37" s="12"/>
      <c r="R37" s="12"/>
      <c r="S37" s="12"/>
      <c r="T37" s="11"/>
      <c r="U37" s="11"/>
      <c r="V37" s="12"/>
      <c r="W37" s="10"/>
      <c r="X37" s="59"/>
      <c r="Y37" s="59"/>
      <c r="Z37" s="60"/>
      <c r="AA37" s="12" t="s">
        <v>172</v>
      </c>
      <c r="AB37" s="6"/>
      <c r="AC37" s="6"/>
      <c r="AD37" s="10"/>
    </row>
    <row r="38" spans="1:30" s="9" customFormat="1" x14ac:dyDescent="0.2">
      <c r="A38" s="28"/>
      <c r="B38" s="16" t="s">
        <v>36</v>
      </c>
      <c r="C38" s="16" t="s">
        <v>133</v>
      </c>
      <c r="D38" s="6"/>
      <c r="E38" s="6"/>
      <c r="F38" s="6" t="s">
        <v>134</v>
      </c>
      <c r="G38" s="6"/>
      <c r="H38" s="17">
        <v>45412</v>
      </c>
      <c r="I38" s="6" t="s">
        <v>154</v>
      </c>
      <c r="J38" s="7">
        <v>35814</v>
      </c>
      <c r="K38" s="7"/>
      <c r="L38" s="23">
        <v>35874</v>
      </c>
      <c r="M38" s="18" t="s">
        <v>135</v>
      </c>
      <c r="N38" s="6" t="s">
        <v>42</v>
      </c>
      <c r="O38" s="6"/>
      <c r="P38" s="6"/>
      <c r="Q38" s="6"/>
      <c r="R38" s="6"/>
      <c r="S38" s="7">
        <v>35874</v>
      </c>
      <c r="T38" s="7">
        <v>35874</v>
      </c>
      <c r="U38" s="7"/>
      <c r="V38" s="6" t="s">
        <v>173</v>
      </c>
      <c r="W38" s="10">
        <v>385</v>
      </c>
      <c r="X38" s="59"/>
      <c r="Y38" s="59"/>
      <c r="Z38" s="60"/>
      <c r="AA38" s="7" t="s">
        <v>174</v>
      </c>
      <c r="AB38" s="7"/>
      <c r="AC38" s="6"/>
      <c r="AD38" s="10"/>
    </row>
    <row r="39" spans="1:30" s="9" customFormat="1" ht="12" thickBot="1" x14ac:dyDescent="0.25">
      <c r="A39" s="28"/>
      <c r="B39" s="19"/>
      <c r="C39" s="19"/>
      <c r="D39" s="5"/>
      <c r="E39" s="5"/>
      <c r="F39" s="5" t="s">
        <v>155</v>
      </c>
      <c r="G39" s="5"/>
      <c r="H39" s="20"/>
      <c r="I39" s="21" t="s">
        <v>138</v>
      </c>
      <c r="J39" s="5"/>
      <c r="K39" s="5"/>
      <c r="L39" s="22"/>
      <c r="M39" s="5"/>
      <c r="N39" s="5"/>
      <c r="O39" s="5"/>
      <c r="P39" s="5"/>
      <c r="Q39" s="5"/>
      <c r="R39" s="5"/>
      <c r="S39" s="5"/>
      <c r="T39" s="19"/>
      <c r="U39" s="19"/>
      <c r="V39" s="5" t="s">
        <v>175</v>
      </c>
      <c r="W39" s="36"/>
      <c r="X39" s="61"/>
      <c r="Y39" s="61"/>
      <c r="Z39" s="62"/>
      <c r="AA39" s="5" t="s">
        <v>176</v>
      </c>
      <c r="AB39" s="5"/>
      <c r="AC39" s="5"/>
      <c r="AD39" s="10"/>
    </row>
    <row r="40" spans="1:30" s="9" customFormat="1" x14ac:dyDescent="0.2">
      <c r="A40" s="28"/>
      <c r="B40" s="11"/>
      <c r="C40" s="11"/>
      <c r="D40" s="12"/>
      <c r="E40" s="12"/>
      <c r="F40" s="12"/>
      <c r="G40" s="12"/>
      <c r="H40" s="13"/>
      <c r="I40" s="14"/>
      <c r="J40" s="12"/>
      <c r="K40" s="12"/>
      <c r="L40" s="15"/>
      <c r="M40" s="12"/>
      <c r="N40" s="12"/>
      <c r="O40" s="12"/>
      <c r="P40" s="12"/>
      <c r="Q40" s="12"/>
      <c r="R40" s="12"/>
      <c r="S40" s="12"/>
      <c r="T40" s="11"/>
      <c r="U40" s="11"/>
      <c r="V40" s="12"/>
      <c r="W40" s="10"/>
      <c r="X40" s="59"/>
      <c r="Y40" s="59"/>
      <c r="Z40" s="60"/>
      <c r="AA40" s="12" t="s">
        <v>172</v>
      </c>
      <c r="AB40" s="6"/>
      <c r="AC40" s="6"/>
      <c r="AD40" s="10"/>
    </row>
    <row r="41" spans="1:30" s="9" customFormat="1" x14ac:dyDescent="0.2">
      <c r="A41" s="28"/>
      <c r="B41" s="16" t="s">
        <v>36</v>
      </c>
      <c r="C41" s="16" t="s">
        <v>133</v>
      </c>
      <c r="D41" s="6"/>
      <c r="E41" s="6"/>
      <c r="F41" s="6" t="s">
        <v>134</v>
      </c>
      <c r="G41" s="6"/>
      <c r="H41" s="17">
        <v>54571</v>
      </c>
      <c r="I41" s="6" t="s">
        <v>40</v>
      </c>
      <c r="J41" s="7">
        <v>35814</v>
      </c>
      <c r="K41" s="7"/>
      <c r="L41" s="23">
        <v>35874</v>
      </c>
      <c r="M41" s="18" t="s">
        <v>135</v>
      </c>
      <c r="N41" s="6" t="s">
        <v>42</v>
      </c>
      <c r="O41" s="6"/>
      <c r="P41" s="6"/>
      <c r="Q41" s="6"/>
      <c r="R41" s="6"/>
      <c r="S41" s="7">
        <v>35874</v>
      </c>
      <c r="T41" s="7">
        <v>35874</v>
      </c>
      <c r="U41" s="7"/>
      <c r="V41" s="6" t="s">
        <v>177</v>
      </c>
      <c r="W41" s="10">
        <v>386</v>
      </c>
      <c r="X41" s="59"/>
      <c r="Y41" s="59"/>
      <c r="Z41" s="60"/>
      <c r="AA41" s="7" t="s">
        <v>174</v>
      </c>
      <c r="AB41" s="7"/>
      <c r="AC41" s="6"/>
      <c r="AD41" s="10"/>
    </row>
    <row r="42" spans="1:30" s="9" customFormat="1" ht="12" thickBot="1" x14ac:dyDescent="0.25">
      <c r="A42" s="28"/>
      <c r="B42" s="19"/>
      <c r="C42" s="19"/>
      <c r="D42" s="5"/>
      <c r="E42" s="5"/>
      <c r="F42" s="5" t="s">
        <v>178</v>
      </c>
      <c r="G42" s="5"/>
      <c r="H42" s="20"/>
      <c r="I42" s="21" t="s">
        <v>138</v>
      </c>
      <c r="J42" s="5"/>
      <c r="K42" s="5"/>
      <c r="L42" s="22"/>
      <c r="M42" s="5"/>
      <c r="N42" s="5"/>
      <c r="O42" s="5"/>
      <c r="P42" s="5"/>
      <c r="Q42" s="5"/>
      <c r="R42" s="5"/>
      <c r="S42" s="5"/>
      <c r="T42" s="19"/>
      <c r="U42" s="19"/>
      <c r="V42" s="5" t="s">
        <v>175</v>
      </c>
      <c r="W42" s="36"/>
      <c r="X42" s="61"/>
      <c r="Y42" s="61"/>
      <c r="Z42" s="62"/>
      <c r="AA42" s="5" t="s">
        <v>176</v>
      </c>
      <c r="AB42" s="5"/>
      <c r="AC42" s="5"/>
      <c r="AD42" s="10"/>
    </row>
    <row r="43" spans="1:30" s="9" customFormat="1" x14ac:dyDescent="0.2">
      <c r="A43" s="28"/>
      <c r="B43" s="11"/>
      <c r="C43" s="11"/>
      <c r="D43" s="12"/>
      <c r="E43" s="12"/>
      <c r="F43" s="12"/>
      <c r="G43" s="12"/>
      <c r="H43" s="13"/>
      <c r="I43" s="14"/>
      <c r="J43" s="12"/>
      <c r="K43" s="12"/>
      <c r="L43" s="15"/>
      <c r="M43" s="12"/>
      <c r="N43" s="12"/>
      <c r="O43" s="12"/>
      <c r="P43" s="12"/>
      <c r="Q43" s="12"/>
      <c r="R43" s="12"/>
      <c r="S43" s="12"/>
      <c r="T43" s="11"/>
      <c r="U43" s="11"/>
      <c r="V43" s="12"/>
      <c r="W43" s="10"/>
      <c r="X43" s="59"/>
      <c r="Y43" s="59"/>
      <c r="Z43" s="60"/>
      <c r="AA43" s="12" t="s">
        <v>172</v>
      </c>
      <c r="AB43" s="6"/>
      <c r="AC43" s="6"/>
      <c r="AD43" s="10"/>
    </row>
    <row r="44" spans="1:30" s="9" customFormat="1" x14ac:dyDescent="0.2">
      <c r="A44" s="28"/>
      <c r="B44" s="16" t="s">
        <v>36</v>
      </c>
      <c r="C44" s="16" t="s">
        <v>133</v>
      </c>
      <c r="D44" s="6" t="s">
        <v>179</v>
      </c>
      <c r="E44" s="6"/>
      <c r="F44" s="6" t="s">
        <v>180</v>
      </c>
      <c r="G44" s="6"/>
      <c r="H44" s="17">
        <v>65960</v>
      </c>
      <c r="I44" s="6" t="s">
        <v>181</v>
      </c>
      <c r="J44" s="7">
        <v>35802</v>
      </c>
      <c r="K44" s="7"/>
      <c r="L44" s="23">
        <v>35899</v>
      </c>
      <c r="M44" s="18" t="s">
        <v>135</v>
      </c>
      <c r="N44" s="6" t="s">
        <v>42</v>
      </c>
      <c r="O44" s="6"/>
      <c r="P44" s="6"/>
      <c r="Q44" s="6"/>
      <c r="R44" s="6"/>
      <c r="S44" s="7">
        <v>35901</v>
      </c>
      <c r="T44" s="7">
        <v>35903</v>
      </c>
      <c r="U44" s="7"/>
      <c r="V44" s="6" t="s">
        <v>182</v>
      </c>
      <c r="W44" s="10">
        <v>397</v>
      </c>
      <c r="X44" s="59"/>
      <c r="Y44" s="59"/>
      <c r="Z44" s="60"/>
      <c r="AA44" s="7" t="s">
        <v>174</v>
      </c>
      <c r="AB44" s="7"/>
      <c r="AC44" s="6"/>
      <c r="AD44" s="10"/>
    </row>
    <row r="45" spans="1:30" s="9" customFormat="1" ht="12" thickBot="1" x14ac:dyDescent="0.25">
      <c r="A45" s="28"/>
      <c r="B45" s="19"/>
      <c r="C45" s="19"/>
      <c r="D45" s="5" t="s">
        <v>183</v>
      </c>
      <c r="E45" s="5"/>
      <c r="F45" s="5"/>
      <c r="G45" s="5"/>
      <c r="H45" s="20"/>
      <c r="I45" s="21" t="s">
        <v>184</v>
      </c>
      <c r="J45" s="5"/>
      <c r="K45" s="5"/>
      <c r="L45" s="22"/>
      <c r="M45" s="5"/>
      <c r="N45" s="5"/>
      <c r="O45" s="5"/>
      <c r="P45" s="5"/>
      <c r="Q45" s="5"/>
      <c r="R45" s="5"/>
      <c r="S45" s="5" t="s">
        <v>185</v>
      </c>
      <c r="T45" s="19"/>
      <c r="U45" s="19"/>
      <c r="V45" s="5" t="s">
        <v>186</v>
      </c>
      <c r="W45" s="36"/>
      <c r="X45" s="61"/>
      <c r="Y45" s="61"/>
      <c r="Z45" s="62"/>
      <c r="AA45" s="5" t="s">
        <v>187</v>
      </c>
      <c r="AB45" s="5"/>
      <c r="AC45" s="5"/>
      <c r="AD45" s="10"/>
    </row>
    <row r="46" spans="1:30" s="9" customFormat="1" x14ac:dyDescent="0.2">
      <c r="A46" s="28"/>
      <c r="B46" s="11"/>
      <c r="C46" s="11"/>
      <c r="D46" s="12" t="s">
        <v>165</v>
      </c>
      <c r="E46" s="12"/>
      <c r="F46" s="12"/>
      <c r="G46" s="12"/>
      <c r="H46" s="13"/>
      <c r="I46" s="14"/>
      <c r="J46" s="12"/>
      <c r="K46" s="12"/>
      <c r="L46" s="15"/>
      <c r="M46" s="12"/>
      <c r="N46" s="12"/>
      <c r="O46" s="12"/>
      <c r="P46" s="12"/>
      <c r="Q46" s="12"/>
      <c r="R46" s="12"/>
      <c r="S46" s="12"/>
      <c r="T46" s="11"/>
      <c r="U46" s="11"/>
      <c r="V46" s="12"/>
      <c r="W46" s="10"/>
      <c r="X46" s="59"/>
      <c r="Y46" s="59"/>
      <c r="Z46" s="60"/>
      <c r="AA46" s="12"/>
      <c r="AB46" s="6"/>
      <c r="AC46" s="6"/>
      <c r="AD46" s="10"/>
    </row>
    <row r="47" spans="1:30" s="9" customFormat="1" x14ac:dyDescent="0.2">
      <c r="A47" s="28"/>
      <c r="B47" s="16" t="s">
        <v>36</v>
      </c>
      <c r="C47" s="16" t="s">
        <v>157</v>
      </c>
      <c r="D47" s="6" t="s">
        <v>188</v>
      </c>
      <c r="E47" s="6"/>
      <c r="F47" s="6" t="s">
        <v>189</v>
      </c>
      <c r="G47" s="6"/>
      <c r="H47" s="17">
        <v>5382</v>
      </c>
      <c r="I47" s="6" t="s">
        <v>142</v>
      </c>
      <c r="J47" s="7">
        <v>35900</v>
      </c>
      <c r="K47" s="7"/>
      <c r="L47" s="23"/>
      <c r="M47" s="18" t="s">
        <v>184</v>
      </c>
      <c r="N47" s="6" t="s">
        <v>110</v>
      </c>
      <c r="O47" s="6"/>
      <c r="P47" s="6"/>
      <c r="Q47" s="6"/>
      <c r="R47" s="6"/>
      <c r="S47" s="7" t="s">
        <v>190</v>
      </c>
      <c r="T47" s="7">
        <v>35916</v>
      </c>
      <c r="U47" s="7"/>
      <c r="V47" s="6" t="s">
        <v>191</v>
      </c>
      <c r="W47" s="10">
        <v>400</v>
      </c>
      <c r="X47" s="59"/>
      <c r="Y47" s="59"/>
      <c r="Z47" s="60"/>
      <c r="AA47" s="7">
        <v>35941</v>
      </c>
      <c r="AB47" s="7"/>
      <c r="AC47" s="6"/>
      <c r="AD47" s="10"/>
    </row>
    <row r="48" spans="1:30" s="9" customFormat="1" ht="12" thickBot="1" x14ac:dyDescent="0.25">
      <c r="A48" s="28"/>
      <c r="B48" s="19"/>
      <c r="C48" s="19"/>
      <c r="D48" s="5" t="s">
        <v>192</v>
      </c>
      <c r="E48" s="5"/>
      <c r="F48" s="5"/>
      <c r="G48" s="5"/>
      <c r="H48" s="20"/>
      <c r="I48" s="21" t="s">
        <v>184</v>
      </c>
      <c r="J48" s="5"/>
      <c r="K48" s="5"/>
      <c r="L48" s="22"/>
      <c r="M48" s="5"/>
      <c r="N48" s="5"/>
      <c r="O48" s="5"/>
      <c r="P48" s="5"/>
      <c r="Q48" s="5"/>
      <c r="R48" s="5"/>
      <c r="S48" s="5"/>
      <c r="T48" s="19"/>
      <c r="U48" s="19"/>
      <c r="V48" s="5" t="s">
        <v>193</v>
      </c>
      <c r="W48" s="36"/>
      <c r="X48" s="61"/>
      <c r="Y48" s="61"/>
      <c r="Z48" s="62"/>
      <c r="AA48" s="5"/>
      <c r="AB48" s="5"/>
      <c r="AC48" s="5"/>
      <c r="AD48" s="10"/>
    </row>
    <row r="49" spans="1:30" s="9" customFormat="1" x14ac:dyDescent="0.2">
      <c r="A49" s="28"/>
      <c r="B49" s="11"/>
      <c r="C49" s="11"/>
      <c r="D49" s="12"/>
      <c r="E49" s="12"/>
      <c r="F49" s="12"/>
      <c r="G49" s="12"/>
      <c r="H49" s="13"/>
      <c r="I49" s="14"/>
      <c r="J49" s="12"/>
      <c r="K49" s="12"/>
      <c r="L49" s="15"/>
      <c r="M49" s="12"/>
      <c r="N49" s="12"/>
      <c r="O49" s="12"/>
      <c r="P49" s="12"/>
      <c r="Q49" s="12"/>
      <c r="R49" s="12"/>
      <c r="S49" s="12"/>
      <c r="T49" s="11"/>
      <c r="U49" s="11"/>
      <c r="V49" s="12"/>
      <c r="W49" s="10"/>
      <c r="X49" s="59"/>
      <c r="Y49" s="59"/>
      <c r="Z49" s="60"/>
      <c r="AA49" s="12"/>
      <c r="AB49" s="6"/>
      <c r="AC49" s="6"/>
      <c r="AD49" s="10"/>
    </row>
    <row r="50" spans="1:30" s="9" customFormat="1" x14ac:dyDescent="0.2">
      <c r="A50" s="28"/>
      <c r="B50" s="16" t="s">
        <v>36</v>
      </c>
      <c r="C50" s="16" t="s">
        <v>133</v>
      </c>
      <c r="D50" s="6"/>
      <c r="E50" s="6"/>
      <c r="F50" s="6" t="s">
        <v>134</v>
      </c>
      <c r="G50" s="6"/>
      <c r="H50" s="17">
        <v>22773</v>
      </c>
      <c r="I50" s="6" t="s">
        <v>40</v>
      </c>
      <c r="J50" s="7">
        <v>35885</v>
      </c>
      <c r="K50" s="7"/>
      <c r="L50" s="23">
        <v>35945</v>
      </c>
      <c r="M50" s="18" t="s">
        <v>135</v>
      </c>
      <c r="N50" s="6" t="s">
        <v>42</v>
      </c>
      <c r="O50" s="6"/>
      <c r="P50" s="6"/>
      <c r="Q50" s="6"/>
      <c r="R50" s="6"/>
      <c r="S50" s="7">
        <v>35942</v>
      </c>
      <c r="T50" s="7">
        <v>35943</v>
      </c>
      <c r="U50" s="7"/>
      <c r="V50" s="6" t="s">
        <v>194</v>
      </c>
      <c r="W50" s="10">
        <v>401</v>
      </c>
      <c r="X50" s="59"/>
      <c r="Y50" s="59"/>
      <c r="Z50" s="60"/>
      <c r="AA50" s="7" t="s">
        <v>195</v>
      </c>
      <c r="AB50" s="7"/>
      <c r="AC50" s="6"/>
      <c r="AD50" s="10"/>
    </row>
    <row r="51" spans="1:30" s="9" customFormat="1" ht="12" thickBot="1" x14ac:dyDescent="0.25">
      <c r="A51" s="28"/>
      <c r="B51" s="19"/>
      <c r="C51" s="19"/>
      <c r="D51" s="5"/>
      <c r="E51" s="5"/>
      <c r="F51" s="5" t="s">
        <v>196</v>
      </c>
      <c r="G51" s="5"/>
      <c r="H51" s="20"/>
      <c r="I51" s="21" t="s">
        <v>138</v>
      </c>
      <c r="J51" s="5"/>
      <c r="K51" s="5"/>
      <c r="L51" s="22"/>
      <c r="M51" s="5"/>
      <c r="N51" s="5"/>
      <c r="O51" s="5"/>
      <c r="P51" s="5"/>
      <c r="Q51" s="5"/>
      <c r="R51" s="5"/>
      <c r="S51" s="5" t="s">
        <v>197</v>
      </c>
      <c r="T51" s="19"/>
      <c r="U51" s="19"/>
      <c r="V51" s="5" t="s">
        <v>198</v>
      </c>
      <c r="W51" s="36"/>
      <c r="X51" s="61"/>
      <c r="Y51" s="61"/>
      <c r="Z51" s="62"/>
      <c r="AA51" s="5" t="s">
        <v>199</v>
      </c>
      <c r="AB51" s="5"/>
      <c r="AC51" s="5"/>
      <c r="AD51" s="10"/>
    </row>
    <row r="52" spans="1:30" s="9" customFormat="1" x14ac:dyDescent="0.2">
      <c r="A52" s="28"/>
      <c r="B52" s="11"/>
      <c r="C52" s="11"/>
      <c r="D52" s="12"/>
      <c r="E52" s="12"/>
      <c r="F52" s="12"/>
      <c r="G52" s="12"/>
      <c r="H52" s="13"/>
      <c r="I52" s="14"/>
      <c r="J52" s="12"/>
      <c r="K52" s="12"/>
      <c r="L52" s="15"/>
      <c r="M52" s="12"/>
      <c r="N52" s="12"/>
      <c r="O52" s="12"/>
      <c r="P52" s="12"/>
      <c r="Q52" s="12"/>
      <c r="R52" s="12"/>
      <c r="S52" s="12"/>
      <c r="T52" s="11"/>
      <c r="U52" s="11"/>
      <c r="V52" s="12"/>
      <c r="W52" s="10"/>
      <c r="X52" s="59"/>
      <c r="Y52" s="59"/>
      <c r="Z52" s="60"/>
      <c r="AA52" s="12"/>
      <c r="AB52" s="6"/>
      <c r="AC52" s="6"/>
      <c r="AD52" s="10"/>
    </row>
    <row r="53" spans="1:30" s="9" customFormat="1" x14ac:dyDescent="0.2">
      <c r="A53" s="28"/>
      <c r="B53" s="16" t="s">
        <v>36</v>
      </c>
      <c r="C53" s="16" t="s">
        <v>133</v>
      </c>
      <c r="D53" s="6"/>
      <c r="E53" s="6"/>
      <c r="F53" s="6" t="s">
        <v>134</v>
      </c>
      <c r="G53" s="6"/>
      <c r="H53" s="17">
        <v>14949</v>
      </c>
      <c r="I53" s="6" t="s">
        <v>154</v>
      </c>
      <c r="J53" s="7">
        <v>35888</v>
      </c>
      <c r="K53" s="7"/>
      <c r="L53" s="23">
        <v>35953</v>
      </c>
      <c r="M53" s="18" t="s">
        <v>135</v>
      </c>
      <c r="N53" s="6" t="s">
        <v>42</v>
      </c>
      <c r="O53" s="6"/>
      <c r="P53" s="6"/>
      <c r="Q53" s="6"/>
      <c r="R53" s="6"/>
      <c r="S53" s="7">
        <v>35942</v>
      </c>
      <c r="T53" s="7">
        <v>35943</v>
      </c>
      <c r="U53" s="7"/>
      <c r="V53" s="6" t="s">
        <v>200</v>
      </c>
      <c r="W53" s="10">
        <v>402</v>
      </c>
      <c r="X53" s="59"/>
      <c r="Y53" s="59"/>
      <c r="Z53" s="60"/>
      <c r="AA53" s="7" t="s">
        <v>195</v>
      </c>
      <c r="AB53" s="7"/>
      <c r="AC53" s="6"/>
      <c r="AD53" s="10"/>
    </row>
    <row r="54" spans="1:30" s="9" customFormat="1" ht="12" thickBot="1" x14ac:dyDescent="0.25">
      <c r="A54" s="28"/>
      <c r="B54" s="19"/>
      <c r="C54" s="19"/>
      <c r="D54" s="5"/>
      <c r="E54" s="5"/>
      <c r="F54" s="5" t="s">
        <v>201</v>
      </c>
      <c r="G54" s="5"/>
      <c r="H54" s="20"/>
      <c r="I54" s="21" t="s">
        <v>138</v>
      </c>
      <c r="J54" s="5"/>
      <c r="K54" s="5"/>
      <c r="L54" s="22"/>
      <c r="M54" s="5"/>
      <c r="N54" s="5"/>
      <c r="O54" s="5"/>
      <c r="P54" s="5"/>
      <c r="Q54" s="5"/>
      <c r="R54" s="5"/>
      <c r="S54" s="5" t="s">
        <v>197</v>
      </c>
      <c r="T54" s="19"/>
      <c r="U54" s="19"/>
      <c r="V54" s="5" t="s">
        <v>198</v>
      </c>
      <c r="W54" s="36"/>
      <c r="X54" s="61"/>
      <c r="Y54" s="61"/>
      <c r="Z54" s="62"/>
      <c r="AA54" s="5" t="s">
        <v>199</v>
      </c>
      <c r="AB54" s="5"/>
      <c r="AC54" s="5"/>
      <c r="AD54" s="10"/>
    </row>
    <row r="55" spans="1:30" s="9" customFormat="1" x14ac:dyDescent="0.2">
      <c r="A55" s="28"/>
      <c r="B55" s="11"/>
      <c r="C55" s="11"/>
      <c r="D55" s="12"/>
      <c r="E55" s="12"/>
      <c r="F55" s="12"/>
      <c r="G55" s="12"/>
      <c r="H55" s="13"/>
      <c r="I55" s="14"/>
      <c r="J55" s="12"/>
      <c r="K55" s="12"/>
      <c r="L55" s="15"/>
      <c r="M55" s="12"/>
      <c r="N55" s="12"/>
      <c r="O55" s="12"/>
      <c r="P55" s="12"/>
      <c r="Q55" s="12"/>
      <c r="R55" s="12"/>
      <c r="S55" s="12"/>
      <c r="T55" s="11"/>
      <c r="U55" s="11"/>
      <c r="V55" s="12"/>
      <c r="W55" s="10"/>
      <c r="X55" s="59"/>
      <c r="Y55" s="59"/>
      <c r="Z55" s="60"/>
      <c r="AA55" s="12"/>
      <c r="AB55" s="6"/>
      <c r="AC55" s="6"/>
      <c r="AD55" s="10"/>
    </row>
    <row r="56" spans="1:30" s="9" customFormat="1" x14ac:dyDescent="0.2">
      <c r="A56" s="28"/>
      <c r="B56" s="16" t="s">
        <v>36</v>
      </c>
      <c r="C56" s="16" t="s">
        <v>133</v>
      </c>
      <c r="D56" s="6"/>
      <c r="E56" s="6"/>
      <c r="F56" s="6" t="s">
        <v>134</v>
      </c>
      <c r="G56" s="6"/>
      <c r="H56" s="17">
        <v>19226</v>
      </c>
      <c r="I56" s="6" t="s">
        <v>202</v>
      </c>
      <c r="J56" s="7">
        <v>35891</v>
      </c>
      <c r="K56" s="7"/>
      <c r="L56" s="23">
        <v>35954</v>
      </c>
      <c r="M56" s="18" t="s">
        <v>135</v>
      </c>
      <c r="N56" s="6" t="s">
        <v>42</v>
      </c>
      <c r="O56" s="6"/>
      <c r="P56" s="6"/>
      <c r="Q56" s="6"/>
      <c r="R56" s="6"/>
      <c r="S56" s="7">
        <v>35942</v>
      </c>
      <c r="T56" s="7">
        <v>35943</v>
      </c>
      <c r="U56" s="7"/>
      <c r="V56" s="6" t="s">
        <v>203</v>
      </c>
      <c r="W56" s="10">
        <v>403</v>
      </c>
      <c r="X56" s="59"/>
      <c r="Y56" s="59"/>
      <c r="Z56" s="60"/>
      <c r="AA56" s="7" t="s">
        <v>195</v>
      </c>
      <c r="AB56" s="7"/>
      <c r="AC56" s="6"/>
      <c r="AD56" s="10"/>
    </row>
    <row r="57" spans="1:30" s="9" customFormat="1" ht="12" thickBot="1" x14ac:dyDescent="0.25">
      <c r="A57" s="28"/>
      <c r="B57" s="19"/>
      <c r="C57" s="19"/>
      <c r="D57" s="5"/>
      <c r="E57" s="5"/>
      <c r="F57" s="5" t="s">
        <v>204</v>
      </c>
      <c r="G57" s="5"/>
      <c r="H57" s="20"/>
      <c r="I57" s="21" t="s">
        <v>138</v>
      </c>
      <c r="J57" s="5"/>
      <c r="K57" s="5"/>
      <c r="L57" s="22"/>
      <c r="M57" s="5"/>
      <c r="N57" s="5"/>
      <c r="O57" s="5"/>
      <c r="P57" s="5"/>
      <c r="Q57" s="5"/>
      <c r="R57" s="5"/>
      <c r="S57" s="5" t="s">
        <v>197</v>
      </c>
      <c r="T57" s="19"/>
      <c r="U57" s="19"/>
      <c r="V57" s="5" t="s">
        <v>198</v>
      </c>
      <c r="W57" s="36"/>
      <c r="X57" s="61"/>
      <c r="Y57" s="61"/>
      <c r="Z57" s="62"/>
      <c r="AA57" s="5" t="s">
        <v>199</v>
      </c>
      <c r="AB57" s="5"/>
      <c r="AC57" s="5"/>
      <c r="AD57" s="10"/>
    </row>
    <row r="58" spans="1:30" s="9" customFormat="1" x14ac:dyDescent="0.2">
      <c r="A58" s="28"/>
      <c r="B58" s="11"/>
      <c r="C58" s="11"/>
      <c r="D58" s="12"/>
      <c r="E58" s="12"/>
      <c r="F58" s="12"/>
      <c r="G58" s="12"/>
      <c r="H58" s="13"/>
      <c r="I58" s="14"/>
      <c r="J58" s="12"/>
      <c r="K58" s="12"/>
      <c r="L58" s="15"/>
      <c r="M58" s="12"/>
      <c r="N58" s="12"/>
      <c r="O58" s="12"/>
      <c r="P58" s="12"/>
      <c r="Q58" s="12"/>
      <c r="R58" s="12"/>
      <c r="S58" s="12"/>
      <c r="T58" s="11"/>
      <c r="U58" s="11"/>
      <c r="V58" s="12" t="s">
        <v>205</v>
      </c>
      <c r="W58" s="10"/>
      <c r="X58" s="59"/>
      <c r="Y58" s="59"/>
      <c r="Z58" s="60"/>
      <c r="AA58" s="12"/>
      <c r="AB58" s="6"/>
      <c r="AC58" s="6"/>
      <c r="AD58" s="10"/>
    </row>
    <row r="59" spans="1:30" s="9" customFormat="1" x14ac:dyDescent="0.2">
      <c r="A59" s="28"/>
      <c r="B59" s="16" t="s">
        <v>36</v>
      </c>
      <c r="C59" s="16" t="s">
        <v>133</v>
      </c>
      <c r="D59" s="6"/>
      <c r="E59" s="6"/>
      <c r="F59" s="6" t="s">
        <v>134</v>
      </c>
      <c r="G59" s="6"/>
      <c r="H59" s="17">
        <v>33908</v>
      </c>
      <c r="I59" s="6" t="s">
        <v>142</v>
      </c>
      <c r="J59" s="7">
        <v>35891</v>
      </c>
      <c r="K59" s="7"/>
      <c r="L59" s="23">
        <v>35954</v>
      </c>
      <c r="M59" s="18" t="s">
        <v>135</v>
      </c>
      <c r="N59" s="6" t="s">
        <v>42</v>
      </c>
      <c r="O59" s="6"/>
      <c r="P59" s="6"/>
      <c r="Q59" s="6"/>
      <c r="R59" s="6"/>
      <c r="S59" s="7">
        <v>35942</v>
      </c>
      <c r="T59" s="7">
        <v>35943</v>
      </c>
      <c r="U59" s="7"/>
      <c r="V59" s="6" t="s">
        <v>206</v>
      </c>
      <c r="W59" s="10">
        <v>404</v>
      </c>
      <c r="X59" s="59"/>
      <c r="Y59" s="59"/>
      <c r="Z59" s="60"/>
      <c r="AA59" s="7" t="s">
        <v>195</v>
      </c>
      <c r="AB59" s="7"/>
      <c r="AC59" s="6"/>
      <c r="AD59" s="10"/>
    </row>
    <row r="60" spans="1:30" s="9" customFormat="1" ht="12" thickBot="1" x14ac:dyDescent="0.25">
      <c r="A60" s="28"/>
      <c r="B60" s="19"/>
      <c r="C60" s="19"/>
      <c r="D60" s="5"/>
      <c r="E60" s="5"/>
      <c r="F60" s="5" t="s">
        <v>207</v>
      </c>
      <c r="G60" s="5"/>
      <c r="H60" s="20"/>
      <c r="I60" s="21" t="s">
        <v>208</v>
      </c>
      <c r="J60" s="5"/>
      <c r="K60" s="5"/>
      <c r="L60" s="22"/>
      <c r="M60" s="5"/>
      <c r="N60" s="5"/>
      <c r="O60" s="5"/>
      <c r="P60" s="5"/>
      <c r="Q60" s="5"/>
      <c r="R60" s="5"/>
      <c r="S60" s="5" t="s">
        <v>197</v>
      </c>
      <c r="T60" s="19"/>
      <c r="U60" s="19"/>
      <c r="V60" s="5" t="s">
        <v>198</v>
      </c>
      <c r="W60" s="36"/>
      <c r="X60" s="61"/>
      <c r="Y60" s="61"/>
      <c r="Z60" s="62"/>
      <c r="AA60" s="5" t="s">
        <v>199</v>
      </c>
      <c r="AB60" s="5"/>
      <c r="AC60" s="5"/>
      <c r="AD60" s="10"/>
    </row>
    <row r="61" spans="1:30" s="9" customFormat="1" x14ac:dyDescent="0.2">
      <c r="A61" s="28"/>
      <c r="B61" s="11"/>
      <c r="C61" s="11"/>
      <c r="D61" s="12"/>
      <c r="E61" s="12"/>
      <c r="F61" s="12"/>
      <c r="G61" s="12"/>
      <c r="H61" s="13"/>
      <c r="I61" s="14"/>
      <c r="J61" s="12"/>
      <c r="K61" s="12"/>
      <c r="L61" s="15"/>
      <c r="M61" s="12"/>
      <c r="N61" s="12"/>
      <c r="O61" s="12"/>
      <c r="P61" s="12"/>
      <c r="Q61" s="12"/>
      <c r="R61" s="12"/>
      <c r="S61" s="12"/>
      <c r="T61" s="11"/>
      <c r="U61" s="11"/>
      <c r="V61" s="12"/>
      <c r="W61" s="10"/>
      <c r="X61" s="59"/>
      <c r="Y61" s="59"/>
      <c r="Z61" s="60"/>
      <c r="AA61" s="12"/>
      <c r="AB61" s="6"/>
      <c r="AC61" s="6"/>
      <c r="AD61" s="10"/>
    </row>
    <row r="62" spans="1:30" s="9" customFormat="1" x14ac:dyDescent="0.2">
      <c r="A62" s="28"/>
      <c r="B62" s="16" t="s">
        <v>36</v>
      </c>
      <c r="C62" s="16" t="s">
        <v>157</v>
      </c>
      <c r="D62" s="7">
        <v>36000</v>
      </c>
      <c r="E62" s="7"/>
      <c r="F62" s="6" t="s">
        <v>209</v>
      </c>
      <c r="G62" s="6"/>
      <c r="H62" s="17">
        <v>12756</v>
      </c>
      <c r="I62" s="6" t="s">
        <v>138</v>
      </c>
      <c r="J62" s="7"/>
      <c r="K62" s="7"/>
      <c r="L62" s="23"/>
      <c r="M62" s="18"/>
      <c r="N62" s="6" t="s">
        <v>110</v>
      </c>
      <c r="O62" s="6"/>
      <c r="P62" s="6"/>
      <c r="Q62" s="6"/>
      <c r="R62" s="6"/>
      <c r="S62" s="7">
        <v>36042</v>
      </c>
      <c r="T62" s="7">
        <v>36042</v>
      </c>
      <c r="U62" s="7"/>
      <c r="V62" s="6" t="s">
        <v>210</v>
      </c>
      <c r="W62" s="10">
        <v>437</v>
      </c>
      <c r="X62" s="59"/>
      <c r="Y62" s="59"/>
      <c r="Z62" s="60"/>
      <c r="AA62" s="7" t="s">
        <v>195</v>
      </c>
      <c r="AB62" s="7" t="s">
        <v>211</v>
      </c>
      <c r="AC62" s="6"/>
      <c r="AD62" s="10"/>
    </row>
    <row r="63" spans="1:30" s="9" customFormat="1" ht="12" thickBot="1" x14ac:dyDescent="0.25">
      <c r="A63" s="28"/>
      <c r="B63" s="19"/>
      <c r="C63" s="19"/>
      <c r="D63" s="5"/>
      <c r="E63" s="5"/>
      <c r="F63" s="5"/>
      <c r="G63" s="5"/>
      <c r="H63" s="20"/>
      <c r="I63" s="21"/>
      <c r="J63" s="5"/>
      <c r="K63" s="5"/>
      <c r="L63" s="22"/>
      <c r="M63" s="5"/>
      <c r="N63" s="5"/>
      <c r="O63" s="5"/>
      <c r="P63" s="5"/>
      <c r="Q63" s="5"/>
      <c r="R63" s="5"/>
      <c r="S63" s="5"/>
      <c r="T63" s="19"/>
      <c r="U63" s="19"/>
      <c r="V63" s="5" t="s">
        <v>212</v>
      </c>
      <c r="W63" s="36"/>
      <c r="X63" s="61"/>
      <c r="Y63" s="61"/>
      <c r="Z63" s="62"/>
      <c r="AA63" s="5" t="s">
        <v>199</v>
      </c>
      <c r="AB63" s="5"/>
      <c r="AC63" s="5"/>
      <c r="AD63" s="10"/>
    </row>
    <row r="64" spans="1:30" s="9" customFormat="1" x14ac:dyDescent="0.2">
      <c r="A64" s="28"/>
      <c r="B64" s="11"/>
      <c r="C64" s="11"/>
      <c r="D64" s="12"/>
      <c r="E64" s="12"/>
      <c r="F64" s="12"/>
      <c r="G64" s="12"/>
      <c r="H64" s="13"/>
      <c r="I64" s="14"/>
      <c r="J64" s="12"/>
      <c r="K64" s="12"/>
      <c r="L64" s="15"/>
      <c r="M64" s="12"/>
      <c r="N64" s="12"/>
      <c r="O64" s="12"/>
      <c r="P64" s="12"/>
      <c r="Q64" s="12"/>
      <c r="R64" s="12"/>
      <c r="S64" s="12"/>
      <c r="T64" s="11"/>
      <c r="U64" s="11"/>
      <c r="V64" s="12"/>
      <c r="W64" s="10"/>
      <c r="X64" s="59"/>
      <c r="Y64" s="59"/>
      <c r="Z64" s="60"/>
      <c r="AA64" s="12"/>
      <c r="AB64" s="6"/>
      <c r="AC64" s="6"/>
      <c r="AD64" s="10"/>
    </row>
    <row r="65" spans="1:30" s="9" customFormat="1" x14ac:dyDescent="0.2">
      <c r="A65" s="28"/>
      <c r="B65" s="16" t="s">
        <v>36</v>
      </c>
      <c r="C65" s="16" t="s">
        <v>213</v>
      </c>
      <c r="D65" s="6" t="s">
        <v>214</v>
      </c>
      <c r="E65" s="6"/>
      <c r="F65" s="6"/>
      <c r="G65" s="6"/>
      <c r="H65" s="17">
        <v>6500</v>
      </c>
      <c r="I65" s="6" t="s">
        <v>215</v>
      </c>
      <c r="J65" s="7">
        <v>35964</v>
      </c>
      <c r="K65" s="7"/>
      <c r="L65" s="23">
        <v>35994</v>
      </c>
      <c r="M65" s="18" t="s">
        <v>135</v>
      </c>
      <c r="N65" s="6" t="s">
        <v>42</v>
      </c>
      <c r="O65" s="6"/>
      <c r="P65" s="6"/>
      <c r="Q65" s="6"/>
      <c r="R65" s="6"/>
      <c r="S65" s="7">
        <v>36002</v>
      </c>
      <c r="T65" s="7">
        <v>36003</v>
      </c>
      <c r="U65" s="7"/>
      <c r="V65" s="6" t="s">
        <v>216</v>
      </c>
      <c r="W65" s="10">
        <v>421</v>
      </c>
      <c r="X65" s="59"/>
      <c r="Y65" s="59"/>
      <c r="Z65" s="60"/>
      <c r="AA65" s="7" t="s">
        <v>195</v>
      </c>
      <c r="AB65" s="7" t="s">
        <v>211</v>
      </c>
      <c r="AC65" s="6"/>
      <c r="AD65" s="10"/>
    </row>
    <row r="66" spans="1:30" s="9" customFormat="1" ht="12" thickBot="1" x14ac:dyDescent="0.25">
      <c r="A66" s="28"/>
      <c r="B66" s="19"/>
      <c r="C66" s="19" t="s">
        <v>217</v>
      </c>
      <c r="D66" s="5"/>
      <c r="E66" s="5"/>
      <c r="F66" s="5"/>
      <c r="G66" s="5"/>
      <c r="H66" s="20"/>
      <c r="I66" s="21"/>
      <c r="J66" s="5"/>
      <c r="K66" s="5"/>
      <c r="L66" s="22"/>
      <c r="M66" s="5"/>
      <c r="N66" s="5"/>
      <c r="O66" s="5"/>
      <c r="P66" s="5"/>
      <c r="Q66" s="5"/>
      <c r="R66" s="5"/>
      <c r="S66" s="5" t="s">
        <v>218</v>
      </c>
      <c r="T66" s="19"/>
      <c r="U66" s="19"/>
      <c r="V66" s="5" t="s">
        <v>219</v>
      </c>
      <c r="W66" s="36"/>
      <c r="X66" s="61"/>
      <c r="Y66" s="61"/>
      <c r="Z66" s="62"/>
      <c r="AA66" s="27">
        <v>36042</v>
      </c>
      <c r="AB66" s="27"/>
      <c r="AC66" s="5"/>
      <c r="AD66" s="10"/>
    </row>
    <row r="67" spans="1:30" s="9" customFormat="1" x14ac:dyDescent="0.2">
      <c r="A67" s="28"/>
      <c r="B67" s="11"/>
      <c r="C67" s="11"/>
      <c r="D67" s="12"/>
      <c r="E67" s="12"/>
      <c r="F67" s="12"/>
      <c r="G67" s="12"/>
      <c r="H67" s="13"/>
      <c r="I67" s="14"/>
      <c r="J67" s="12"/>
      <c r="K67" s="12"/>
      <c r="L67" s="15"/>
      <c r="M67" s="12"/>
      <c r="N67" s="12"/>
      <c r="O67" s="12"/>
      <c r="P67" s="12"/>
      <c r="Q67" s="12"/>
      <c r="R67" s="12"/>
      <c r="S67" s="12"/>
      <c r="T67" s="11"/>
      <c r="U67" s="11"/>
      <c r="V67" s="12"/>
      <c r="W67" s="66"/>
      <c r="X67" s="57"/>
      <c r="Y67" s="57"/>
      <c r="Z67" s="58"/>
      <c r="AA67" s="12"/>
      <c r="AB67" s="12"/>
      <c r="AC67" s="12"/>
      <c r="AD67" s="10"/>
    </row>
    <row r="68" spans="1:30" s="9" customFormat="1" x14ac:dyDescent="0.2">
      <c r="A68" s="28"/>
      <c r="B68" s="16" t="s">
        <v>36</v>
      </c>
      <c r="C68" s="16" t="s">
        <v>133</v>
      </c>
      <c r="D68" s="6"/>
      <c r="E68" s="6"/>
      <c r="F68" s="6" t="s">
        <v>134</v>
      </c>
      <c r="G68" s="6"/>
      <c r="H68" s="17">
        <v>1342</v>
      </c>
      <c r="I68" s="6" t="s">
        <v>202</v>
      </c>
      <c r="J68" s="7">
        <v>35958</v>
      </c>
      <c r="K68" s="7"/>
      <c r="L68" s="23">
        <v>36021</v>
      </c>
      <c r="M68" s="18" t="s">
        <v>135</v>
      </c>
      <c r="N68" s="6" t="s">
        <v>42</v>
      </c>
      <c r="O68" s="6"/>
      <c r="P68" s="6"/>
      <c r="Q68" s="6"/>
      <c r="R68" s="6"/>
      <c r="S68" s="7">
        <v>36021</v>
      </c>
      <c r="T68" s="7">
        <v>36022</v>
      </c>
      <c r="U68" s="7"/>
      <c r="V68" s="6" t="s">
        <v>220</v>
      </c>
      <c r="W68" s="30">
        <v>425</v>
      </c>
      <c r="X68" s="59"/>
      <c r="Y68" s="59"/>
      <c r="Z68" s="60"/>
      <c r="AA68" s="7">
        <v>36060</v>
      </c>
      <c r="AB68" s="7"/>
      <c r="AC68" s="6"/>
      <c r="AD68" s="10"/>
    </row>
    <row r="69" spans="1:30" s="9" customFormat="1" ht="12" thickBot="1" x14ac:dyDescent="0.25">
      <c r="A69" s="28"/>
      <c r="B69" s="19"/>
      <c r="C69" s="19"/>
      <c r="D69" s="5"/>
      <c r="E69" s="5"/>
      <c r="F69" s="5" t="s">
        <v>221</v>
      </c>
      <c r="G69" s="5"/>
      <c r="H69" s="20"/>
      <c r="I69" s="21" t="s">
        <v>138</v>
      </c>
      <c r="J69" s="5"/>
      <c r="K69" s="5"/>
      <c r="L69" s="22"/>
      <c r="M69" s="5"/>
      <c r="N69" s="5"/>
      <c r="O69" s="5"/>
      <c r="P69" s="5"/>
      <c r="Q69" s="5"/>
      <c r="R69" s="5"/>
      <c r="S69" s="5" t="s">
        <v>222</v>
      </c>
      <c r="T69" s="19"/>
      <c r="U69" s="19"/>
      <c r="V69" s="5" t="s">
        <v>223</v>
      </c>
      <c r="W69" s="36"/>
      <c r="X69" s="61"/>
      <c r="Y69" s="61"/>
      <c r="Z69" s="62"/>
      <c r="AA69" s="27"/>
      <c r="AB69" s="27"/>
      <c r="AC69" s="5"/>
      <c r="AD69" s="10"/>
    </row>
    <row r="70" spans="1:30" s="28" customFormat="1" ht="12" thickBot="1" x14ac:dyDescent="0.25">
      <c r="D70" s="30"/>
      <c r="E70" s="30"/>
      <c r="F70" s="30"/>
      <c r="G70" s="30"/>
      <c r="H70" s="33"/>
      <c r="I70" s="31"/>
      <c r="J70" s="30"/>
      <c r="K70" s="30"/>
      <c r="L70" s="32"/>
      <c r="M70" s="30"/>
      <c r="N70" s="30"/>
      <c r="O70" s="30"/>
      <c r="P70" s="30"/>
      <c r="Q70" s="30"/>
      <c r="R70" s="30"/>
      <c r="S70" s="30"/>
      <c r="V70" s="30"/>
      <c r="W70" s="30"/>
      <c r="X70" s="30"/>
      <c r="Y70" s="30"/>
      <c r="AA70" s="48"/>
      <c r="AB70" s="48"/>
      <c r="AC70" s="30"/>
      <c r="AD70" s="30"/>
    </row>
    <row r="71" spans="1:30" s="9" customFormat="1" x14ac:dyDescent="0.2">
      <c r="A71" s="28"/>
      <c r="B71" s="11"/>
      <c r="C71" s="11"/>
      <c r="D71" s="12"/>
      <c r="E71" s="12"/>
      <c r="F71" s="12"/>
      <c r="G71" s="12"/>
      <c r="H71" s="13"/>
      <c r="I71" s="14"/>
      <c r="J71" s="12"/>
      <c r="K71" s="12"/>
      <c r="L71" s="15"/>
      <c r="M71" s="12"/>
      <c r="N71" s="12"/>
      <c r="O71" s="12"/>
      <c r="P71" s="12"/>
      <c r="Q71" s="12"/>
      <c r="R71" s="12"/>
      <c r="S71" s="12"/>
      <c r="T71" s="11"/>
      <c r="U71" s="11"/>
      <c r="V71" s="12"/>
      <c r="W71" s="12"/>
      <c r="X71" s="57"/>
      <c r="Y71" s="57"/>
      <c r="Z71" s="58"/>
      <c r="AA71" s="12"/>
      <c r="AB71" s="12"/>
      <c r="AC71" s="12"/>
      <c r="AD71" s="10"/>
    </row>
    <row r="72" spans="1:30" s="9" customFormat="1" x14ac:dyDescent="0.2">
      <c r="A72" s="28"/>
      <c r="B72" s="16" t="s">
        <v>36</v>
      </c>
      <c r="C72" s="16" t="s">
        <v>133</v>
      </c>
      <c r="D72" s="6"/>
      <c r="E72" s="6"/>
      <c r="F72" s="6" t="s">
        <v>134</v>
      </c>
      <c r="G72" s="6"/>
      <c r="H72" s="17">
        <v>12126.77</v>
      </c>
      <c r="I72" s="6" t="s">
        <v>202</v>
      </c>
      <c r="J72" s="7">
        <v>35958</v>
      </c>
      <c r="K72" s="7"/>
      <c r="L72" s="23">
        <v>36021</v>
      </c>
      <c r="M72" s="18" t="s">
        <v>135</v>
      </c>
      <c r="N72" s="6" t="s">
        <v>42</v>
      </c>
      <c r="O72" s="6"/>
      <c r="P72" s="6"/>
      <c r="Q72" s="6"/>
      <c r="R72" s="6"/>
      <c r="S72" s="7">
        <v>36021</v>
      </c>
      <c r="T72" s="7">
        <v>36022</v>
      </c>
      <c r="U72" s="7"/>
      <c r="V72" s="6" t="s">
        <v>224</v>
      </c>
      <c r="W72" s="6">
        <v>425</v>
      </c>
      <c r="X72" s="59"/>
      <c r="Y72" s="59"/>
      <c r="Z72" s="60"/>
      <c r="AA72" s="7">
        <v>36060</v>
      </c>
      <c r="AB72" s="7"/>
      <c r="AC72" s="6"/>
      <c r="AD72" s="10"/>
    </row>
    <row r="73" spans="1:30" s="9" customFormat="1" ht="12" thickBot="1" x14ac:dyDescent="0.25">
      <c r="A73" s="28"/>
      <c r="B73" s="19"/>
      <c r="C73" s="19"/>
      <c r="D73" s="5"/>
      <c r="E73" s="5"/>
      <c r="F73" s="5" t="s">
        <v>225</v>
      </c>
      <c r="G73" s="5"/>
      <c r="H73" s="20"/>
      <c r="I73" s="21" t="s">
        <v>138</v>
      </c>
      <c r="J73" s="5"/>
      <c r="K73" s="5"/>
      <c r="L73" s="22"/>
      <c r="M73" s="5"/>
      <c r="N73" s="5"/>
      <c r="O73" s="5"/>
      <c r="P73" s="5"/>
      <c r="Q73" s="5"/>
      <c r="R73" s="5"/>
      <c r="S73" s="5" t="s">
        <v>222</v>
      </c>
      <c r="T73" s="19"/>
      <c r="U73" s="19"/>
      <c r="V73" s="5" t="s">
        <v>223</v>
      </c>
      <c r="W73" s="5"/>
      <c r="X73" s="61"/>
      <c r="Y73" s="61"/>
      <c r="Z73" s="62"/>
      <c r="AA73" s="27"/>
      <c r="AB73" s="27"/>
      <c r="AC73" s="5"/>
      <c r="AD73" s="10"/>
    </row>
    <row r="74" spans="1:30" s="9" customFormat="1" x14ac:dyDescent="0.2">
      <c r="A74" s="28"/>
      <c r="B74" s="11"/>
      <c r="C74" s="11"/>
      <c r="D74" s="12"/>
      <c r="E74" s="12"/>
      <c r="F74" s="12"/>
      <c r="G74" s="12"/>
      <c r="H74" s="13"/>
      <c r="I74" s="14"/>
      <c r="J74" s="12"/>
      <c r="K74" s="12"/>
      <c r="L74" s="15"/>
      <c r="M74" s="12"/>
      <c r="N74" s="12"/>
      <c r="O74" s="12"/>
      <c r="P74" s="12"/>
      <c r="Q74" s="12"/>
      <c r="R74" s="12"/>
      <c r="S74" s="12"/>
      <c r="T74" s="11"/>
      <c r="U74" s="11"/>
      <c r="V74" s="12"/>
      <c r="W74" s="10"/>
      <c r="X74" s="59"/>
      <c r="Y74" s="59"/>
      <c r="Z74" s="60"/>
      <c r="AA74" s="12"/>
      <c r="AB74" s="6"/>
      <c r="AC74" s="6"/>
      <c r="AD74" s="10"/>
    </row>
    <row r="75" spans="1:30" s="9" customFormat="1" x14ac:dyDescent="0.2">
      <c r="A75" s="28"/>
      <c r="B75" s="16" t="s">
        <v>36</v>
      </c>
      <c r="C75" s="16" t="s">
        <v>133</v>
      </c>
      <c r="D75" s="6"/>
      <c r="E75" s="6"/>
      <c r="F75" s="6" t="s">
        <v>134</v>
      </c>
      <c r="G75" s="6"/>
      <c r="H75" s="17">
        <v>1514</v>
      </c>
      <c r="I75" s="6" t="s">
        <v>142</v>
      </c>
      <c r="J75" s="7">
        <v>35961</v>
      </c>
      <c r="K75" s="7"/>
      <c r="L75" s="23">
        <v>36023</v>
      </c>
      <c r="M75" s="18" t="s">
        <v>135</v>
      </c>
      <c r="N75" s="6" t="s">
        <v>42</v>
      </c>
      <c r="O75" s="6"/>
      <c r="P75" s="6"/>
      <c r="Q75" s="6"/>
      <c r="R75" s="6"/>
      <c r="S75" s="7">
        <v>36021</v>
      </c>
      <c r="T75" s="7">
        <v>36022</v>
      </c>
      <c r="U75" s="7"/>
      <c r="V75" s="6" t="s">
        <v>226</v>
      </c>
      <c r="W75" s="10">
        <v>426</v>
      </c>
      <c r="X75" s="59"/>
      <c r="Y75" s="59"/>
      <c r="Z75" s="60"/>
      <c r="AA75" s="7">
        <v>36060</v>
      </c>
      <c r="AB75" s="7"/>
      <c r="AC75" s="6"/>
      <c r="AD75" s="10"/>
    </row>
    <row r="76" spans="1:30" s="9" customFormat="1" ht="12" thickBot="1" x14ac:dyDescent="0.25">
      <c r="A76" s="28"/>
      <c r="B76" s="19"/>
      <c r="C76" s="19"/>
      <c r="D76" s="5"/>
      <c r="E76" s="5"/>
      <c r="F76" s="5" t="s">
        <v>227</v>
      </c>
      <c r="G76" s="5"/>
      <c r="H76" s="20"/>
      <c r="I76" s="21" t="s">
        <v>208</v>
      </c>
      <c r="J76" s="5"/>
      <c r="K76" s="5"/>
      <c r="L76" s="22"/>
      <c r="M76" s="5"/>
      <c r="N76" s="5"/>
      <c r="O76" s="5"/>
      <c r="P76" s="5"/>
      <c r="Q76" s="5"/>
      <c r="R76" s="5"/>
      <c r="S76" s="5" t="s">
        <v>222</v>
      </c>
      <c r="T76" s="19"/>
      <c r="U76" s="19"/>
      <c r="V76" s="5" t="s">
        <v>223</v>
      </c>
      <c r="W76" s="36"/>
      <c r="X76" s="61"/>
      <c r="Y76" s="61"/>
      <c r="Z76" s="62"/>
      <c r="AA76" s="27"/>
      <c r="AB76" s="27"/>
      <c r="AC76" s="5"/>
      <c r="AD76" s="10"/>
    </row>
    <row r="77" spans="1:30" s="9" customFormat="1" x14ac:dyDescent="0.2">
      <c r="A77" s="28"/>
      <c r="B77" s="11"/>
      <c r="C77" s="11"/>
      <c r="D77" s="12"/>
      <c r="E77" s="12"/>
      <c r="F77" s="12"/>
      <c r="G77" s="12"/>
      <c r="H77" s="13"/>
      <c r="I77" s="14"/>
      <c r="J77" s="12"/>
      <c r="K77" s="12"/>
      <c r="L77" s="15"/>
      <c r="M77" s="12"/>
      <c r="N77" s="12"/>
      <c r="O77" s="12"/>
      <c r="P77" s="12"/>
      <c r="Q77" s="12"/>
      <c r="R77" s="12"/>
      <c r="S77" s="12"/>
      <c r="T77" s="11"/>
      <c r="U77" s="11"/>
      <c r="V77" s="12"/>
      <c r="W77" s="10"/>
      <c r="X77" s="59"/>
      <c r="Y77" s="59"/>
      <c r="Z77" s="60"/>
      <c r="AA77" s="12"/>
      <c r="AB77" s="6"/>
      <c r="AC77" s="6"/>
      <c r="AD77" s="10"/>
    </row>
    <row r="78" spans="1:30" s="9" customFormat="1" x14ac:dyDescent="0.2">
      <c r="A78" s="28"/>
      <c r="B78" s="16" t="s">
        <v>36</v>
      </c>
      <c r="C78" s="16" t="s">
        <v>133</v>
      </c>
      <c r="D78" s="6"/>
      <c r="E78" s="6"/>
      <c r="F78" s="6" t="s">
        <v>134</v>
      </c>
      <c r="G78" s="6"/>
      <c r="H78" s="17">
        <v>17441</v>
      </c>
      <c r="I78" s="6" t="s">
        <v>154</v>
      </c>
      <c r="J78" s="7">
        <v>35961</v>
      </c>
      <c r="K78" s="7"/>
      <c r="L78" s="23">
        <v>36023</v>
      </c>
      <c r="M78" s="18" t="s">
        <v>135</v>
      </c>
      <c r="N78" s="6" t="s">
        <v>42</v>
      </c>
      <c r="O78" s="6"/>
      <c r="P78" s="6"/>
      <c r="Q78" s="6"/>
      <c r="R78" s="6"/>
      <c r="S78" s="7">
        <v>36021</v>
      </c>
      <c r="T78" s="7">
        <v>36022</v>
      </c>
      <c r="U78" s="7"/>
      <c r="V78" s="6" t="s">
        <v>228</v>
      </c>
      <c r="W78" s="10">
        <v>427</v>
      </c>
      <c r="X78" s="59"/>
      <c r="Y78" s="59"/>
      <c r="Z78" s="60"/>
      <c r="AA78" s="7">
        <v>36060</v>
      </c>
      <c r="AB78" s="7"/>
      <c r="AC78" s="6"/>
      <c r="AD78" s="10"/>
    </row>
    <row r="79" spans="1:30" s="9" customFormat="1" ht="12" thickBot="1" x14ac:dyDescent="0.25">
      <c r="A79" s="28"/>
      <c r="B79" s="19"/>
      <c r="C79" s="19"/>
      <c r="D79" s="5"/>
      <c r="E79" s="5"/>
      <c r="F79" s="5" t="s">
        <v>229</v>
      </c>
      <c r="G79" s="5"/>
      <c r="H79" s="20"/>
      <c r="I79" s="21" t="s">
        <v>230</v>
      </c>
      <c r="J79" s="5"/>
      <c r="K79" s="5"/>
      <c r="L79" s="22"/>
      <c r="M79" s="5"/>
      <c r="N79" s="5"/>
      <c r="O79" s="5"/>
      <c r="P79" s="5"/>
      <c r="Q79" s="5"/>
      <c r="R79" s="5"/>
      <c r="S79" s="5" t="s">
        <v>222</v>
      </c>
      <c r="T79" s="19"/>
      <c r="U79" s="19"/>
      <c r="V79" s="5" t="s">
        <v>223</v>
      </c>
      <c r="W79" s="36"/>
      <c r="X79" s="61"/>
      <c r="Y79" s="61"/>
      <c r="Z79" s="62"/>
      <c r="AA79" s="27"/>
      <c r="AB79" s="27"/>
      <c r="AC79" s="5"/>
      <c r="AD79" s="10"/>
    </row>
    <row r="80" spans="1:30" s="9" customFormat="1" x14ac:dyDescent="0.2">
      <c r="A80" s="28"/>
      <c r="B80" s="11"/>
      <c r="C80" s="11"/>
      <c r="D80" s="12"/>
      <c r="E80" s="12"/>
      <c r="F80" s="12"/>
      <c r="G80" s="12"/>
      <c r="H80" s="13"/>
      <c r="I80" s="14"/>
      <c r="J80" s="12"/>
      <c r="K80" s="12"/>
      <c r="L80" s="15"/>
      <c r="M80" s="12"/>
      <c r="N80" s="12"/>
      <c r="O80" s="12"/>
      <c r="P80" s="12"/>
      <c r="Q80" s="12"/>
      <c r="R80" s="12"/>
      <c r="S80" s="12"/>
      <c r="T80" s="11"/>
      <c r="U80" s="11"/>
      <c r="V80" s="12"/>
      <c r="W80" s="10"/>
      <c r="X80" s="59"/>
      <c r="Y80" s="59"/>
      <c r="Z80" s="60"/>
      <c r="AA80" s="12"/>
      <c r="AB80" s="6"/>
      <c r="AC80" s="6"/>
      <c r="AD80" s="10"/>
    </row>
    <row r="81" spans="1:30" s="9" customFormat="1" x14ac:dyDescent="0.2">
      <c r="A81" s="28"/>
      <c r="B81" s="16" t="s">
        <v>36</v>
      </c>
      <c r="C81" s="16" t="s">
        <v>133</v>
      </c>
      <c r="D81" s="6"/>
      <c r="E81" s="6"/>
      <c r="F81" s="6" t="s">
        <v>134</v>
      </c>
      <c r="G81" s="6"/>
      <c r="H81" s="17">
        <v>39865</v>
      </c>
      <c r="I81" s="6" t="s">
        <v>154</v>
      </c>
      <c r="J81" s="7">
        <v>35961</v>
      </c>
      <c r="K81" s="7"/>
      <c r="L81" s="23">
        <v>36023</v>
      </c>
      <c r="M81" s="18" t="s">
        <v>135</v>
      </c>
      <c r="N81" s="6" t="s">
        <v>42</v>
      </c>
      <c r="O81" s="6"/>
      <c r="P81" s="6"/>
      <c r="Q81" s="6"/>
      <c r="R81" s="6"/>
      <c r="S81" s="7">
        <v>36021</v>
      </c>
      <c r="T81" s="7">
        <v>36022</v>
      </c>
      <c r="U81" s="7"/>
      <c r="V81" s="6" t="s">
        <v>231</v>
      </c>
      <c r="W81" s="10">
        <v>427</v>
      </c>
      <c r="X81" s="59"/>
      <c r="Y81" s="59"/>
      <c r="Z81" s="60"/>
      <c r="AA81" s="7">
        <v>36060</v>
      </c>
      <c r="AB81" s="7"/>
      <c r="AC81" s="6"/>
      <c r="AD81" s="10"/>
    </row>
    <row r="82" spans="1:30" s="9" customFormat="1" ht="12" thickBot="1" x14ac:dyDescent="0.25">
      <c r="A82" s="28"/>
      <c r="B82" s="19"/>
      <c r="C82" s="19"/>
      <c r="D82" s="5"/>
      <c r="E82" s="5"/>
      <c r="F82" s="5" t="s">
        <v>232</v>
      </c>
      <c r="G82" s="5"/>
      <c r="H82" s="20"/>
      <c r="I82" s="21" t="s">
        <v>230</v>
      </c>
      <c r="J82" s="5"/>
      <c r="K82" s="5"/>
      <c r="L82" s="22"/>
      <c r="M82" s="5"/>
      <c r="N82" s="5"/>
      <c r="O82" s="5"/>
      <c r="P82" s="5"/>
      <c r="Q82" s="5"/>
      <c r="R82" s="5"/>
      <c r="S82" s="5" t="s">
        <v>222</v>
      </c>
      <c r="T82" s="19"/>
      <c r="U82" s="19"/>
      <c r="V82" s="5" t="s">
        <v>223</v>
      </c>
      <c r="W82" s="36"/>
      <c r="X82" s="61"/>
      <c r="Y82" s="61"/>
      <c r="Z82" s="62"/>
      <c r="AA82" s="27"/>
      <c r="AB82" s="27"/>
      <c r="AC82" s="5"/>
      <c r="AD82" s="10"/>
    </row>
    <row r="83" spans="1:30" s="9" customFormat="1" x14ac:dyDescent="0.2">
      <c r="A83" s="28"/>
      <c r="B83" s="11"/>
      <c r="C83" s="11"/>
      <c r="D83" s="12"/>
      <c r="E83" s="12"/>
      <c r="F83" s="12"/>
      <c r="G83" s="12"/>
      <c r="H83" s="13"/>
      <c r="I83" s="14"/>
      <c r="J83" s="12"/>
      <c r="K83" s="12"/>
      <c r="L83" s="15"/>
      <c r="M83" s="12"/>
      <c r="N83" s="12"/>
      <c r="O83" s="12"/>
      <c r="P83" s="12"/>
      <c r="Q83" s="12"/>
      <c r="R83" s="12"/>
      <c r="S83" s="12"/>
      <c r="T83" s="11"/>
      <c r="U83" s="11"/>
      <c r="V83" s="12"/>
      <c r="W83" s="10"/>
      <c r="X83" s="59"/>
      <c r="Y83" s="59"/>
      <c r="Z83" s="60"/>
      <c r="AA83" s="12"/>
      <c r="AB83" s="6"/>
      <c r="AC83" s="6"/>
      <c r="AD83" s="10"/>
    </row>
    <row r="84" spans="1:30" s="9" customFormat="1" x14ac:dyDescent="0.2">
      <c r="A84" s="28"/>
      <c r="B84" s="16" t="s">
        <v>36</v>
      </c>
      <c r="C84" s="16" t="s">
        <v>133</v>
      </c>
      <c r="D84" s="6"/>
      <c r="E84" s="6"/>
      <c r="F84" s="6" t="s">
        <v>134</v>
      </c>
      <c r="G84" s="6"/>
      <c r="H84" s="17">
        <v>3726</v>
      </c>
      <c r="I84" s="6" t="s">
        <v>202</v>
      </c>
      <c r="J84" s="7">
        <v>35986</v>
      </c>
      <c r="K84" s="7"/>
      <c r="L84" s="23">
        <v>36049</v>
      </c>
      <c r="M84" s="18" t="s">
        <v>135</v>
      </c>
      <c r="N84" s="6" t="s">
        <v>42</v>
      </c>
      <c r="O84" s="6"/>
      <c r="P84" s="6"/>
      <c r="Q84" s="6"/>
      <c r="R84" s="6"/>
      <c r="S84" s="7">
        <v>36021</v>
      </c>
      <c r="T84" s="7">
        <v>36022</v>
      </c>
      <c r="U84" s="7"/>
      <c r="V84" s="6" t="s">
        <v>233</v>
      </c>
      <c r="W84" s="10">
        <v>425</v>
      </c>
      <c r="X84" s="59"/>
      <c r="Y84" s="59"/>
      <c r="Z84" s="60"/>
      <c r="AA84" s="7">
        <v>36060</v>
      </c>
      <c r="AB84" s="7"/>
      <c r="AC84" s="6"/>
      <c r="AD84" s="10"/>
    </row>
    <row r="85" spans="1:30" s="9" customFormat="1" ht="12" thickBot="1" x14ac:dyDescent="0.25">
      <c r="A85" s="28"/>
      <c r="B85" s="19"/>
      <c r="C85" s="19"/>
      <c r="D85" s="5"/>
      <c r="E85" s="5"/>
      <c r="F85" s="5" t="s">
        <v>234</v>
      </c>
      <c r="G85" s="5"/>
      <c r="H85" s="20"/>
      <c r="I85" s="21" t="s">
        <v>138</v>
      </c>
      <c r="J85" s="5"/>
      <c r="K85" s="5"/>
      <c r="L85" s="22"/>
      <c r="M85" s="5"/>
      <c r="N85" s="5"/>
      <c r="O85" s="5"/>
      <c r="P85" s="5"/>
      <c r="Q85" s="5"/>
      <c r="R85" s="5"/>
      <c r="S85" s="5" t="s">
        <v>222</v>
      </c>
      <c r="T85" s="19"/>
      <c r="U85" s="19"/>
      <c r="V85" s="5" t="s">
        <v>223</v>
      </c>
      <c r="W85" s="36"/>
      <c r="X85" s="61"/>
      <c r="Y85" s="61"/>
      <c r="Z85" s="62"/>
      <c r="AA85" s="27"/>
      <c r="AB85" s="27"/>
      <c r="AC85" s="5"/>
      <c r="AD85" s="10"/>
    </row>
    <row r="86" spans="1:30" s="9" customFormat="1" x14ac:dyDescent="0.2">
      <c r="A86" s="28"/>
      <c r="B86" s="11"/>
      <c r="C86" s="11"/>
      <c r="D86" s="12"/>
      <c r="E86" s="12"/>
      <c r="F86" s="12"/>
      <c r="G86" s="12"/>
      <c r="H86" s="13"/>
      <c r="I86" s="14"/>
      <c r="J86" s="12"/>
      <c r="K86" s="12"/>
      <c r="L86" s="15"/>
      <c r="M86" s="12"/>
      <c r="N86" s="12"/>
      <c r="O86" s="12"/>
      <c r="P86" s="12"/>
      <c r="Q86" s="12"/>
      <c r="R86" s="12"/>
      <c r="S86" s="12"/>
      <c r="T86" s="11"/>
      <c r="U86" s="11"/>
      <c r="V86" s="12"/>
      <c r="W86" s="10"/>
      <c r="X86" s="59"/>
      <c r="Y86" s="59"/>
      <c r="Z86" s="58"/>
      <c r="AA86" s="12"/>
      <c r="AB86" s="6"/>
      <c r="AC86" s="6"/>
      <c r="AD86" s="10"/>
    </row>
    <row r="87" spans="1:30" s="9" customFormat="1" x14ac:dyDescent="0.2">
      <c r="A87" s="28"/>
      <c r="B87" s="16" t="s">
        <v>36</v>
      </c>
      <c r="C87" s="16" t="s">
        <v>133</v>
      </c>
      <c r="D87" s="6"/>
      <c r="E87" s="6"/>
      <c r="F87" s="6" t="s">
        <v>134</v>
      </c>
      <c r="G87" s="6"/>
      <c r="H87" s="17">
        <v>3457</v>
      </c>
      <c r="I87" s="6" t="s">
        <v>142</v>
      </c>
      <c r="J87" s="7">
        <v>35986</v>
      </c>
      <c r="K87" s="7"/>
      <c r="L87" s="23">
        <v>36049</v>
      </c>
      <c r="M87" s="18" t="s">
        <v>135</v>
      </c>
      <c r="N87" s="6" t="s">
        <v>42</v>
      </c>
      <c r="O87" s="6"/>
      <c r="P87" s="6"/>
      <c r="Q87" s="6"/>
      <c r="R87" s="6"/>
      <c r="S87" s="7">
        <v>36021</v>
      </c>
      <c r="T87" s="7">
        <v>36022</v>
      </c>
      <c r="U87" s="7"/>
      <c r="V87" s="6" t="s">
        <v>235</v>
      </c>
      <c r="W87" s="10">
        <v>426</v>
      </c>
      <c r="X87" s="59"/>
      <c r="Y87" s="59"/>
      <c r="Z87" s="60"/>
      <c r="AA87" s="7">
        <v>36060</v>
      </c>
      <c r="AB87" s="7"/>
      <c r="AC87" s="6"/>
      <c r="AD87" s="10"/>
    </row>
    <row r="88" spans="1:30" s="9" customFormat="1" ht="12" thickBot="1" x14ac:dyDescent="0.25">
      <c r="A88" s="28"/>
      <c r="B88" s="19"/>
      <c r="C88" s="19"/>
      <c r="D88" s="5"/>
      <c r="E88" s="5"/>
      <c r="F88" s="5" t="s">
        <v>236</v>
      </c>
      <c r="G88" s="5"/>
      <c r="H88" s="20"/>
      <c r="I88" s="21" t="s">
        <v>208</v>
      </c>
      <c r="J88" s="5"/>
      <c r="K88" s="5"/>
      <c r="L88" s="22"/>
      <c r="M88" s="5"/>
      <c r="N88" s="5"/>
      <c r="O88" s="5"/>
      <c r="P88" s="5"/>
      <c r="Q88" s="5"/>
      <c r="R88" s="5"/>
      <c r="S88" s="5" t="s">
        <v>222</v>
      </c>
      <c r="T88" s="19"/>
      <c r="U88" s="19"/>
      <c r="V88" s="5" t="s">
        <v>223</v>
      </c>
      <c r="W88" s="36"/>
      <c r="X88" s="61"/>
      <c r="Y88" s="61"/>
      <c r="Z88" s="62"/>
      <c r="AA88" s="27"/>
      <c r="AB88" s="27"/>
      <c r="AC88" s="5"/>
      <c r="AD88" s="10"/>
    </row>
    <row r="89" spans="1:30" s="9" customFormat="1" x14ac:dyDescent="0.2">
      <c r="A89" s="28"/>
      <c r="B89" s="11"/>
      <c r="C89" s="11"/>
      <c r="D89" s="12"/>
      <c r="E89" s="12"/>
      <c r="F89" s="12"/>
      <c r="G89" s="12"/>
      <c r="H89" s="13"/>
      <c r="I89" s="14"/>
      <c r="J89" s="12"/>
      <c r="K89" s="12"/>
      <c r="L89" s="15"/>
      <c r="M89" s="12"/>
      <c r="N89" s="12"/>
      <c r="O89" s="12"/>
      <c r="P89" s="12"/>
      <c r="Q89" s="12"/>
      <c r="R89" s="12"/>
      <c r="S89" s="12"/>
      <c r="T89" s="11"/>
      <c r="U89" s="11"/>
      <c r="V89" s="12"/>
      <c r="W89" s="10"/>
      <c r="X89" s="59"/>
      <c r="Y89" s="59"/>
      <c r="Z89" s="60"/>
      <c r="AA89" s="12"/>
      <c r="AB89" s="6"/>
      <c r="AC89" s="6"/>
      <c r="AD89" s="10"/>
    </row>
    <row r="90" spans="1:30" s="9" customFormat="1" x14ac:dyDescent="0.2">
      <c r="A90" s="28"/>
      <c r="B90" s="16" t="s">
        <v>36</v>
      </c>
      <c r="C90" s="16" t="s">
        <v>133</v>
      </c>
      <c r="D90" s="6"/>
      <c r="E90" s="6"/>
      <c r="F90" s="6" t="s">
        <v>134</v>
      </c>
      <c r="G90" s="6"/>
      <c r="H90" s="17">
        <v>4585</v>
      </c>
      <c r="I90" s="6" t="s">
        <v>202</v>
      </c>
      <c r="J90" s="7">
        <v>35986</v>
      </c>
      <c r="K90" s="7"/>
      <c r="L90" s="23">
        <v>36049</v>
      </c>
      <c r="M90" s="18" t="s">
        <v>135</v>
      </c>
      <c r="N90" s="6" t="s">
        <v>42</v>
      </c>
      <c r="O90" s="6"/>
      <c r="P90" s="6"/>
      <c r="Q90" s="6"/>
      <c r="R90" s="6"/>
      <c r="S90" s="7">
        <v>36021</v>
      </c>
      <c r="T90" s="7">
        <v>36022</v>
      </c>
      <c r="U90" s="7"/>
      <c r="V90" s="6" t="s">
        <v>237</v>
      </c>
      <c r="W90" s="10">
        <v>425</v>
      </c>
      <c r="X90" s="59"/>
      <c r="Y90" s="59"/>
      <c r="Z90" s="60"/>
      <c r="AA90" s="7">
        <v>36060</v>
      </c>
      <c r="AB90" s="7"/>
      <c r="AC90" s="6"/>
      <c r="AD90" s="10"/>
    </row>
    <row r="91" spans="1:30" s="9" customFormat="1" ht="12" thickBot="1" x14ac:dyDescent="0.25">
      <c r="A91" s="28"/>
      <c r="B91" s="19"/>
      <c r="C91" s="19"/>
      <c r="D91" s="5"/>
      <c r="E91" s="5"/>
      <c r="F91" s="5" t="s">
        <v>238</v>
      </c>
      <c r="G91" s="5"/>
      <c r="H91" s="20"/>
      <c r="I91" s="21" t="s">
        <v>138</v>
      </c>
      <c r="J91" s="5"/>
      <c r="K91" s="5"/>
      <c r="L91" s="22"/>
      <c r="M91" s="5"/>
      <c r="N91" s="5"/>
      <c r="O91" s="5"/>
      <c r="P91" s="5"/>
      <c r="Q91" s="5"/>
      <c r="R91" s="5"/>
      <c r="S91" s="5" t="s">
        <v>222</v>
      </c>
      <c r="T91" s="19"/>
      <c r="U91" s="19"/>
      <c r="V91" s="5" t="s">
        <v>223</v>
      </c>
      <c r="W91" s="36"/>
      <c r="X91" s="61"/>
      <c r="Y91" s="61"/>
      <c r="Z91" s="62"/>
      <c r="AA91" s="27"/>
      <c r="AB91" s="27"/>
      <c r="AC91" s="5"/>
      <c r="AD91" s="10"/>
    </row>
    <row r="92" spans="1:30" s="9" customFormat="1" x14ac:dyDescent="0.2">
      <c r="A92" s="28"/>
      <c r="B92" s="11"/>
      <c r="C92" s="11"/>
      <c r="D92" s="12"/>
      <c r="E92" s="12"/>
      <c r="F92" s="12"/>
      <c r="G92" s="12"/>
      <c r="H92" s="13"/>
      <c r="I92" s="14"/>
      <c r="J92" s="12"/>
      <c r="K92" s="12"/>
      <c r="L92" s="15"/>
      <c r="M92" s="12"/>
      <c r="N92" s="12"/>
      <c r="O92" s="12"/>
      <c r="P92" s="12"/>
      <c r="Q92" s="12"/>
      <c r="R92" s="12"/>
      <c r="S92" s="12"/>
      <c r="T92" s="11"/>
      <c r="U92" s="11"/>
      <c r="V92" s="12"/>
      <c r="W92" s="10"/>
      <c r="X92" s="59"/>
      <c r="Y92" s="59"/>
      <c r="Z92" s="60"/>
      <c r="AA92" s="12"/>
      <c r="AB92" s="6"/>
      <c r="AC92" s="6"/>
      <c r="AD92" s="10"/>
    </row>
    <row r="93" spans="1:30" s="9" customFormat="1" x14ac:dyDescent="0.2">
      <c r="A93" s="28"/>
      <c r="B93" s="16" t="s">
        <v>36</v>
      </c>
      <c r="C93" s="16" t="s">
        <v>133</v>
      </c>
      <c r="D93" s="6"/>
      <c r="E93" s="6"/>
      <c r="F93" s="6" t="s">
        <v>134</v>
      </c>
      <c r="G93" s="6"/>
      <c r="H93" s="17">
        <v>168964.23</v>
      </c>
      <c r="I93" s="6" t="s">
        <v>40</v>
      </c>
      <c r="J93" s="7">
        <v>35992</v>
      </c>
      <c r="K93" s="7"/>
      <c r="L93" s="23">
        <v>36052</v>
      </c>
      <c r="M93" s="18" t="s">
        <v>135</v>
      </c>
      <c r="N93" s="6" t="s">
        <v>42</v>
      </c>
      <c r="O93" s="6"/>
      <c r="P93" s="6"/>
      <c r="Q93" s="6"/>
      <c r="R93" s="6"/>
      <c r="S93" s="7">
        <v>36053</v>
      </c>
      <c r="T93" s="7">
        <v>36053</v>
      </c>
      <c r="U93" s="7"/>
      <c r="V93" s="6" t="s">
        <v>239</v>
      </c>
      <c r="W93" s="10">
        <v>416</v>
      </c>
      <c r="X93" s="59"/>
      <c r="Y93" s="59"/>
      <c r="Z93" s="60"/>
      <c r="AA93" s="7">
        <v>36060</v>
      </c>
      <c r="AB93" s="7" t="s">
        <v>211</v>
      </c>
      <c r="AC93" s="6"/>
      <c r="AD93" s="10"/>
    </row>
    <row r="94" spans="1:30" s="9" customFormat="1" ht="12" thickBot="1" x14ac:dyDescent="0.25">
      <c r="A94" s="28"/>
      <c r="B94" s="19"/>
      <c r="C94" s="19"/>
      <c r="D94" s="5"/>
      <c r="E94" s="5"/>
      <c r="F94" s="5" t="s">
        <v>240</v>
      </c>
      <c r="G94" s="5"/>
      <c r="H94" s="20"/>
      <c r="I94" s="21" t="s">
        <v>241</v>
      </c>
      <c r="J94" s="5"/>
      <c r="K94" s="5"/>
      <c r="L94" s="22"/>
      <c r="M94" s="5"/>
      <c r="N94" s="5"/>
      <c r="O94" s="5"/>
      <c r="P94" s="5"/>
      <c r="Q94" s="5"/>
      <c r="R94" s="5"/>
      <c r="S94" s="5" t="s">
        <v>222</v>
      </c>
      <c r="T94" s="19"/>
      <c r="U94" s="19"/>
      <c r="V94" s="5" t="s">
        <v>242</v>
      </c>
      <c r="W94" s="36"/>
      <c r="X94" s="61"/>
      <c r="Y94" s="61"/>
      <c r="Z94" s="62"/>
      <c r="AA94" s="27"/>
      <c r="AB94" s="27"/>
      <c r="AC94" s="5"/>
      <c r="AD94" s="10"/>
    </row>
    <row r="95" spans="1:30" s="9" customFormat="1" x14ac:dyDescent="0.2">
      <c r="A95" s="28"/>
      <c r="B95" s="11"/>
      <c r="C95" s="11"/>
      <c r="D95" s="12"/>
      <c r="E95" s="12"/>
      <c r="F95" s="12"/>
      <c r="G95" s="12"/>
      <c r="H95" s="13"/>
      <c r="I95" s="14"/>
      <c r="J95" s="12"/>
      <c r="K95" s="12"/>
      <c r="L95" s="15"/>
      <c r="M95" s="12"/>
      <c r="N95" s="12"/>
      <c r="O95" s="12"/>
      <c r="P95" s="12"/>
      <c r="Q95" s="12"/>
      <c r="R95" s="12"/>
      <c r="S95" s="12"/>
      <c r="T95" s="11"/>
      <c r="U95" s="11"/>
      <c r="V95" s="12"/>
      <c r="W95" s="10"/>
      <c r="X95" s="59"/>
      <c r="Y95" s="59"/>
      <c r="Z95" s="60"/>
      <c r="AA95" s="12"/>
      <c r="AB95" s="6"/>
      <c r="AC95" s="6"/>
      <c r="AD95" s="10"/>
    </row>
    <row r="96" spans="1:30" s="9" customFormat="1" x14ac:dyDescent="0.2">
      <c r="A96" s="28"/>
      <c r="B96" s="16" t="s">
        <v>36</v>
      </c>
      <c r="C96" s="16" t="s">
        <v>133</v>
      </c>
      <c r="D96" s="6"/>
      <c r="E96" s="6"/>
      <c r="F96" s="6" t="s">
        <v>243</v>
      </c>
      <c r="G96" s="6"/>
      <c r="H96" s="17">
        <v>9920</v>
      </c>
      <c r="I96" s="6" t="s">
        <v>154</v>
      </c>
      <c r="J96" s="7">
        <v>35993</v>
      </c>
      <c r="K96" s="7"/>
      <c r="L96" s="23">
        <v>36059</v>
      </c>
      <c r="M96" s="18" t="s">
        <v>135</v>
      </c>
      <c r="N96" s="6" t="s">
        <v>42</v>
      </c>
      <c r="O96" s="6"/>
      <c r="P96" s="6"/>
      <c r="Q96" s="6"/>
      <c r="R96" s="6"/>
      <c r="S96" s="7">
        <v>36053</v>
      </c>
      <c r="T96" s="7">
        <v>36053</v>
      </c>
      <c r="U96" s="7"/>
      <c r="V96" s="6" t="s">
        <v>244</v>
      </c>
      <c r="W96" s="10">
        <v>420</v>
      </c>
      <c r="X96" s="59"/>
      <c r="Y96" s="59"/>
      <c r="Z96" s="60"/>
      <c r="AA96" s="7">
        <v>36060</v>
      </c>
      <c r="AB96" s="7" t="s">
        <v>211</v>
      </c>
      <c r="AC96" s="6"/>
      <c r="AD96" s="10"/>
    </row>
    <row r="97" spans="1:30" s="9" customFormat="1" ht="12" thickBot="1" x14ac:dyDescent="0.25">
      <c r="A97" s="28"/>
      <c r="B97" s="19"/>
      <c r="C97" s="19"/>
      <c r="D97" s="5"/>
      <c r="E97" s="5"/>
      <c r="F97" s="5"/>
      <c r="G97" s="5"/>
      <c r="H97" s="20"/>
      <c r="I97" s="21" t="s">
        <v>230</v>
      </c>
      <c r="J97" s="5"/>
      <c r="K97" s="5"/>
      <c r="L97" s="22"/>
      <c r="M97" s="5"/>
      <c r="N97" s="5"/>
      <c r="O97" s="5"/>
      <c r="P97" s="5"/>
      <c r="Q97" s="5"/>
      <c r="R97" s="5"/>
      <c r="S97" s="5" t="s">
        <v>222</v>
      </c>
      <c r="T97" s="19"/>
      <c r="U97" s="19"/>
      <c r="V97" s="5" t="s">
        <v>242</v>
      </c>
      <c r="W97" s="36"/>
      <c r="X97" s="61"/>
      <c r="Y97" s="61"/>
      <c r="Z97" s="62"/>
      <c r="AA97" s="27"/>
      <c r="AB97" s="27"/>
      <c r="AC97" s="5"/>
      <c r="AD97" s="10"/>
    </row>
    <row r="98" spans="1:30" s="9" customFormat="1" x14ac:dyDescent="0.2">
      <c r="A98" s="28"/>
      <c r="B98" s="11"/>
      <c r="C98" s="11"/>
      <c r="D98" s="12"/>
      <c r="E98" s="12"/>
      <c r="F98" s="12"/>
      <c r="G98" s="12"/>
      <c r="H98" s="13"/>
      <c r="I98" s="14"/>
      <c r="J98" s="12"/>
      <c r="K98" s="12"/>
      <c r="L98" s="15"/>
      <c r="M98" s="12" t="s">
        <v>245</v>
      </c>
      <c r="N98" s="12" t="s">
        <v>42</v>
      </c>
      <c r="O98" s="12"/>
      <c r="P98" s="12"/>
      <c r="Q98" s="12"/>
      <c r="R98" s="12"/>
      <c r="S98" s="12"/>
      <c r="T98" s="11"/>
      <c r="U98" s="11"/>
      <c r="V98" s="12"/>
      <c r="W98" s="10">
        <v>444</v>
      </c>
      <c r="X98" s="59"/>
      <c r="Y98" s="59"/>
      <c r="Z98" s="60"/>
      <c r="AA98" s="12" t="s">
        <v>246</v>
      </c>
      <c r="AB98" s="6" t="s">
        <v>211</v>
      </c>
      <c r="AC98" s="6"/>
      <c r="AD98" s="10"/>
    </row>
    <row r="99" spans="1:30" s="9" customFormat="1" x14ac:dyDescent="0.2">
      <c r="A99" s="28"/>
      <c r="B99" s="16" t="s">
        <v>36</v>
      </c>
      <c r="C99" s="16" t="s">
        <v>133</v>
      </c>
      <c r="D99" s="7">
        <v>36021</v>
      </c>
      <c r="E99" s="7"/>
      <c r="F99" s="6" t="s">
        <v>247</v>
      </c>
      <c r="G99" s="6"/>
      <c r="H99" s="17">
        <v>147400</v>
      </c>
      <c r="I99" s="6" t="s">
        <v>40</v>
      </c>
      <c r="J99" s="7">
        <v>36052</v>
      </c>
      <c r="K99" s="7"/>
      <c r="L99" s="23">
        <v>36083</v>
      </c>
      <c r="M99" s="18" t="s">
        <v>248</v>
      </c>
      <c r="N99" s="6" t="s">
        <v>249</v>
      </c>
      <c r="O99" s="6"/>
      <c r="P99" s="6"/>
      <c r="Q99" s="6"/>
      <c r="R99" s="6"/>
      <c r="S99" s="7">
        <v>36078</v>
      </c>
      <c r="T99" s="7">
        <v>36079</v>
      </c>
      <c r="U99" s="7"/>
      <c r="V99" s="6" t="s">
        <v>250</v>
      </c>
      <c r="W99" s="10"/>
      <c r="X99" s="59"/>
      <c r="Y99" s="59"/>
      <c r="Z99" s="60"/>
      <c r="AA99" s="7">
        <v>36095</v>
      </c>
      <c r="AB99" s="7"/>
      <c r="AC99" s="6"/>
      <c r="AD99" s="10"/>
    </row>
    <row r="100" spans="1:30" s="9" customFormat="1" ht="12" thickBot="1" x14ac:dyDescent="0.25">
      <c r="A100" s="28"/>
      <c r="B100" s="19"/>
      <c r="C100" s="19"/>
      <c r="D100" s="5"/>
      <c r="E100" s="5"/>
      <c r="F100" s="5"/>
      <c r="G100" s="5"/>
      <c r="H100" s="20"/>
      <c r="I100" s="21" t="s">
        <v>241</v>
      </c>
      <c r="J100" s="5"/>
      <c r="K100" s="5"/>
      <c r="L100" s="22"/>
      <c r="M100" s="5" t="s">
        <v>251</v>
      </c>
      <c r="N100" s="5" t="s">
        <v>110</v>
      </c>
      <c r="O100" s="5"/>
      <c r="P100" s="5"/>
      <c r="Q100" s="5"/>
      <c r="R100" s="5"/>
      <c r="S100" s="5" t="s">
        <v>252</v>
      </c>
      <c r="T100" s="27">
        <v>36076</v>
      </c>
      <c r="U100" s="27"/>
      <c r="V100" s="5" t="s">
        <v>253</v>
      </c>
      <c r="W100" s="36">
        <v>440</v>
      </c>
      <c r="X100" s="61"/>
      <c r="Y100" s="61"/>
      <c r="Z100" s="62"/>
      <c r="AA100" s="27" t="s">
        <v>254</v>
      </c>
      <c r="AB100" s="27" t="s">
        <v>211</v>
      </c>
      <c r="AC100" s="5"/>
      <c r="AD100" s="10"/>
    </row>
    <row r="101" spans="1:30" s="9" customFormat="1" x14ac:dyDescent="0.2">
      <c r="A101" s="28"/>
      <c r="B101" s="11"/>
      <c r="C101" s="11"/>
      <c r="D101" s="12"/>
      <c r="E101" s="12"/>
      <c r="F101" s="12"/>
      <c r="G101" s="12"/>
      <c r="H101" s="13"/>
      <c r="I101" s="14"/>
      <c r="J101" s="12"/>
      <c r="K101" s="12"/>
      <c r="L101" s="15"/>
      <c r="M101" s="12"/>
      <c r="N101" s="12"/>
      <c r="O101" s="12"/>
      <c r="P101" s="12"/>
      <c r="Q101" s="12"/>
      <c r="R101" s="12"/>
      <c r="S101" s="12"/>
      <c r="T101" s="11"/>
      <c r="U101" s="11"/>
      <c r="V101" s="12"/>
      <c r="W101" s="10"/>
      <c r="X101" s="57"/>
      <c r="Y101" s="57"/>
      <c r="Z101" s="16"/>
      <c r="AA101" s="12"/>
      <c r="AB101" s="6"/>
      <c r="AC101" s="6"/>
      <c r="AD101" s="10"/>
    </row>
    <row r="102" spans="1:30" s="9" customFormat="1" x14ac:dyDescent="0.2">
      <c r="A102" s="28"/>
      <c r="B102" s="16" t="s">
        <v>36</v>
      </c>
      <c r="C102" s="16" t="s">
        <v>133</v>
      </c>
      <c r="D102" s="7"/>
      <c r="E102" s="7"/>
      <c r="F102" s="6" t="s">
        <v>134</v>
      </c>
      <c r="G102" s="6"/>
      <c r="H102" s="17">
        <v>32389</v>
      </c>
      <c r="I102" s="6" t="s">
        <v>202</v>
      </c>
      <c r="J102" s="7">
        <v>36027</v>
      </c>
      <c r="K102" s="7"/>
      <c r="L102" s="23">
        <v>36094</v>
      </c>
      <c r="M102" s="18" t="s">
        <v>135</v>
      </c>
      <c r="N102" s="6" t="s">
        <v>42</v>
      </c>
      <c r="O102" s="6"/>
      <c r="P102" s="6"/>
      <c r="Q102" s="6"/>
      <c r="R102" s="6"/>
      <c r="S102" s="7">
        <v>36090</v>
      </c>
      <c r="T102" s="7">
        <v>36093</v>
      </c>
      <c r="U102" s="7"/>
      <c r="V102" s="6" t="s">
        <v>255</v>
      </c>
      <c r="W102" s="10">
        <v>454</v>
      </c>
      <c r="X102" s="59"/>
      <c r="Y102" s="59"/>
      <c r="Z102" s="16">
        <v>6519763946</v>
      </c>
      <c r="AA102" s="7">
        <v>36103</v>
      </c>
      <c r="AB102" s="7" t="s">
        <v>211</v>
      </c>
      <c r="AC102" s="6"/>
      <c r="AD102" s="10"/>
    </row>
    <row r="103" spans="1:30" s="9" customFormat="1" ht="12" thickBot="1" x14ac:dyDescent="0.25">
      <c r="A103" s="28"/>
      <c r="B103" s="19"/>
      <c r="C103" s="19"/>
      <c r="D103" s="5"/>
      <c r="E103" s="5"/>
      <c r="F103" s="5" t="s">
        <v>256</v>
      </c>
      <c r="G103" s="5"/>
      <c r="H103" s="20"/>
      <c r="I103" s="21" t="s">
        <v>138</v>
      </c>
      <c r="J103" s="5"/>
      <c r="K103" s="5"/>
      <c r="L103" s="22"/>
      <c r="M103" s="5"/>
      <c r="N103" s="5"/>
      <c r="O103" s="5"/>
      <c r="P103" s="5"/>
      <c r="Q103" s="5"/>
      <c r="R103" s="5"/>
      <c r="S103" s="5" t="s">
        <v>257</v>
      </c>
      <c r="T103" s="19"/>
      <c r="U103" s="19"/>
      <c r="V103" s="5" t="s">
        <v>258</v>
      </c>
      <c r="W103" s="36"/>
      <c r="X103" s="61"/>
      <c r="Y103" s="61"/>
      <c r="Z103" s="19"/>
      <c r="AA103" s="27"/>
      <c r="AB103" s="27"/>
      <c r="AC103" s="5"/>
      <c r="AD103" s="10"/>
    </row>
    <row r="104" spans="1:30" s="9" customFormat="1" x14ac:dyDescent="0.2">
      <c r="A104" s="28"/>
      <c r="B104" s="11"/>
      <c r="C104" s="11"/>
      <c r="D104" s="12"/>
      <c r="E104" s="12"/>
      <c r="F104" s="12"/>
      <c r="G104" s="12"/>
      <c r="H104" s="13"/>
      <c r="I104" s="14"/>
      <c r="J104" s="12"/>
      <c r="K104" s="12"/>
      <c r="L104" s="15"/>
      <c r="M104" s="12"/>
      <c r="N104" s="12"/>
      <c r="O104" s="12"/>
      <c r="P104" s="12"/>
      <c r="Q104" s="12"/>
      <c r="R104" s="12"/>
      <c r="S104" s="12"/>
      <c r="T104" s="11"/>
      <c r="U104" s="11"/>
      <c r="V104" s="12"/>
      <c r="W104" s="10"/>
      <c r="X104" s="59"/>
      <c r="Y104" s="59"/>
      <c r="Z104" s="16"/>
      <c r="AA104" s="12"/>
      <c r="AB104" s="6"/>
      <c r="AC104" s="6"/>
      <c r="AD104" s="10"/>
    </row>
    <row r="105" spans="1:30" s="9" customFormat="1" x14ac:dyDescent="0.2">
      <c r="A105" s="28"/>
      <c r="B105" s="16" t="s">
        <v>36</v>
      </c>
      <c r="C105" s="16" t="s">
        <v>133</v>
      </c>
      <c r="D105" s="7"/>
      <c r="E105" s="7"/>
      <c r="F105" s="6" t="s">
        <v>134</v>
      </c>
      <c r="G105" s="6"/>
      <c r="H105" s="17">
        <v>55457</v>
      </c>
      <c r="I105" s="6" t="s">
        <v>154</v>
      </c>
      <c r="J105" s="7">
        <v>36031</v>
      </c>
      <c r="K105" s="7"/>
      <c r="L105" s="23">
        <v>36098</v>
      </c>
      <c r="M105" s="18" t="s">
        <v>135</v>
      </c>
      <c r="N105" s="6" t="s">
        <v>42</v>
      </c>
      <c r="O105" s="6"/>
      <c r="P105" s="6"/>
      <c r="Q105" s="6"/>
      <c r="R105" s="6"/>
      <c r="S105" s="7">
        <v>36090</v>
      </c>
      <c r="T105" s="7">
        <v>36093</v>
      </c>
      <c r="U105" s="7"/>
      <c r="V105" s="6" t="s">
        <v>259</v>
      </c>
      <c r="W105" s="10">
        <v>453</v>
      </c>
      <c r="X105" s="59"/>
      <c r="Y105" s="59"/>
      <c r="Z105" s="16">
        <v>6519763946</v>
      </c>
      <c r="AA105" s="7">
        <v>36103</v>
      </c>
      <c r="AB105" s="7" t="s">
        <v>211</v>
      </c>
      <c r="AC105" s="6"/>
      <c r="AD105" s="10"/>
    </row>
    <row r="106" spans="1:30" s="9" customFormat="1" ht="12" thickBot="1" x14ac:dyDescent="0.25">
      <c r="A106" s="28"/>
      <c r="B106" s="19"/>
      <c r="C106" s="19"/>
      <c r="D106" s="5"/>
      <c r="E106" s="5"/>
      <c r="F106" s="5" t="s">
        <v>260</v>
      </c>
      <c r="G106" s="5"/>
      <c r="H106" s="20"/>
      <c r="I106" s="21" t="s">
        <v>230</v>
      </c>
      <c r="J106" s="5"/>
      <c r="K106" s="5"/>
      <c r="L106" s="22"/>
      <c r="M106" s="5"/>
      <c r="N106" s="5"/>
      <c r="O106" s="5"/>
      <c r="P106" s="5"/>
      <c r="Q106" s="5"/>
      <c r="R106" s="5"/>
      <c r="S106" s="5" t="s">
        <v>257</v>
      </c>
      <c r="T106" s="19"/>
      <c r="U106" s="19"/>
      <c r="V106" s="5"/>
      <c r="W106" s="36"/>
      <c r="X106" s="61"/>
      <c r="Y106" s="61"/>
      <c r="Z106" s="19"/>
      <c r="AA106" s="27"/>
      <c r="AB106" s="27"/>
      <c r="AC106" s="5"/>
      <c r="AD106" s="10"/>
    </row>
    <row r="107" spans="1:30" s="9" customFormat="1" x14ac:dyDescent="0.2">
      <c r="A107" s="28"/>
      <c r="B107" s="11"/>
      <c r="C107" s="11"/>
      <c r="D107" s="12"/>
      <c r="E107" s="12"/>
      <c r="F107" s="12"/>
      <c r="G107" s="12"/>
      <c r="H107" s="13"/>
      <c r="I107" s="14"/>
      <c r="J107" s="12"/>
      <c r="K107" s="12"/>
      <c r="L107" s="15"/>
      <c r="M107" s="12"/>
      <c r="N107" s="12"/>
      <c r="O107" s="12"/>
      <c r="P107" s="12"/>
      <c r="Q107" s="12"/>
      <c r="R107" s="12"/>
      <c r="S107" s="12"/>
      <c r="T107" s="11"/>
      <c r="U107" s="11"/>
      <c r="V107" s="12"/>
      <c r="W107" s="10"/>
      <c r="X107" s="59"/>
      <c r="Y107" s="59"/>
      <c r="Z107" s="16"/>
      <c r="AA107" s="12"/>
      <c r="AB107" s="6"/>
      <c r="AC107" s="6"/>
      <c r="AD107" s="10"/>
    </row>
    <row r="108" spans="1:30" s="9" customFormat="1" x14ac:dyDescent="0.2">
      <c r="A108" s="28"/>
      <c r="B108" s="16" t="s">
        <v>36</v>
      </c>
      <c r="C108" s="16" t="s">
        <v>133</v>
      </c>
      <c r="D108" s="7"/>
      <c r="E108" s="7"/>
      <c r="F108" s="6" t="s">
        <v>134</v>
      </c>
      <c r="G108" s="6"/>
      <c r="H108" s="17">
        <v>5401.12</v>
      </c>
      <c r="I108" s="6" t="s">
        <v>261</v>
      </c>
      <c r="J108" s="7">
        <v>36047</v>
      </c>
      <c r="K108" s="7"/>
      <c r="L108" s="23">
        <v>36114</v>
      </c>
      <c r="M108" s="18" t="s">
        <v>135</v>
      </c>
      <c r="N108" s="6" t="s">
        <v>42</v>
      </c>
      <c r="O108" s="6"/>
      <c r="P108" s="6"/>
      <c r="Q108" s="6"/>
      <c r="R108" s="6"/>
      <c r="S108" s="7">
        <v>36090</v>
      </c>
      <c r="T108" s="7">
        <v>36093</v>
      </c>
      <c r="U108" s="7"/>
      <c r="V108" s="6" t="s">
        <v>262</v>
      </c>
      <c r="W108" s="10">
        <v>455</v>
      </c>
      <c r="X108" s="59"/>
      <c r="Y108" s="59"/>
      <c r="Z108" s="16">
        <v>6519763946</v>
      </c>
      <c r="AA108" s="7">
        <v>36103</v>
      </c>
      <c r="AB108" s="7" t="s">
        <v>211</v>
      </c>
      <c r="AC108" s="6"/>
      <c r="AD108" s="10"/>
    </row>
    <row r="109" spans="1:30" s="9" customFormat="1" ht="12" thickBot="1" x14ac:dyDescent="0.25">
      <c r="A109" s="28"/>
      <c r="B109" s="19"/>
      <c r="C109" s="19"/>
      <c r="D109" s="5"/>
      <c r="E109" s="5"/>
      <c r="F109" s="5" t="s">
        <v>263</v>
      </c>
      <c r="G109" s="5"/>
      <c r="H109" s="20"/>
      <c r="I109" s="21" t="s">
        <v>264</v>
      </c>
      <c r="J109" s="5"/>
      <c r="K109" s="5"/>
      <c r="L109" s="22"/>
      <c r="M109" s="5"/>
      <c r="N109" s="5"/>
      <c r="O109" s="5"/>
      <c r="P109" s="5"/>
      <c r="Q109" s="5"/>
      <c r="R109" s="5"/>
      <c r="S109" s="5" t="s">
        <v>257</v>
      </c>
      <c r="T109" s="19"/>
      <c r="U109" s="19"/>
      <c r="V109" s="5" t="s">
        <v>265</v>
      </c>
      <c r="W109" s="36"/>
      <c r="X109" s="61"/>
      <c r="Y109" s="61"/>
      <c r="Z109" s="19"/>
      <c r="AA109" s="27"/>
      <c r="AB109" s="27"/>
      <c r="AC109" s="5"/>
      <c r="AD109" s="10"/>
    </row>
    <row r="110" spans="1:30" s="9" customFormat="1" x14ac:dyDescent="0.2">
      <c r="A110" s="28"/>
      <c r="B110" s="11"/>
      <c r="C110" s="11"/>
      <c r="D110" s="12" t="s">
        <v>179</v>
      </c>
      <c r="E110" s="12"/>
      <c r="F110" s="12"/>
      <c r="G110" s="12"/>
      <c r="H110" s="13"/>
      <c r="I110" s="14"/>
      <c r="J110" s="12"/>
      <c r="K110" s="12"/>
      <c r="L110" s="15"/>
      <c r="M110" s="12"/>
      <c r="N110" s="12"/>
      <c r="O110" s="12"/>
      <c r="P110" s="12"/>
      <c r="Q110" s="12"/>
      <c r="R110" s="12"/>
      <c r="S110" s="12"/>
      <c r="T110" s="11"/>
      <c r="U110" s="11"/>
      <c r="V110" s="12"/>
      <c r="W110" s="10"/>
      <c r="X110" s="59"/>
      <c r="Y110" s="59"/>
      <c r="Z110" s="16"/>
      <c r="AA110" s="12"/>
      <c r="AB110" s="6"/>
      <c r="AC110" s="56"/>
      <c r="AD110" s="10"/>
    </row>
    <row r="111" spans="1:30" s="9" customFormat="1" x14ac:dyDescent="0.2">
      <c r="A111" s="28"/>
      <c r="B111" s="16" t="s">
        <v>36</v>
      </c>
      <c r="C111" s="16" t="s">
        <v>157</v>
      </c>
      <c r="D111" s="7" t="s">
        <v>266</v>
      </c>
      <c r="E111" s="7"/>
      <c r="F111" s="6" t="s">
        <v>267</v>
      </c>
      <c r="G111" s="6"/>
      <c r="H111" s="17">
        <v>18175</v>
      </c>
      <c r="I111" s="6" t="s">
        <v>268</v>
      </c>
      <c r="J111" s="7">
        <v>36055</v>
      </c>
      <c r="K111" s="7"/>
      <c r="L111" s="23">
        <v>36099</v>
      </c>
      <c r="M111" s="18" t="s">
        <v>135</v>
      </c>
      <c r="N111" s="6" t="s">
        <v>42</v>
      </c>
      <c r="O111" s="6"/>
      <c r="P111" s="6"/>
      <c r="Q111" s="6"/>
      <c r="R111" s="6"/>
      <c r="S111" s="7">
        <v>36088</v>
      </c>
      <c r="T111" s="7">
        <v>36103</v>
      </c>
      <c r="U111" s="7"/>
      <c r="V111" s="6" t="s">
        <v>269</v>
      </c>
      <c r="W111" s="10">
        <v>452</v>
      </c>
      <c r="X111" s="59"/>
      <c r="Y111" s="59"/>
      <c r="Z111" s="16">
        <v>6519763913</v>
      </c>
      <c r="AA111" s="7">
        <v>36117</v>
      </c>
      <c r="AB111" s="7" t="s">
        <v>211</v>
      </c>
      <c r="AC111" s="6"/>
      <c r="AD111" s="10"/>
    </row>
    <row r="112" spans="1:30" s="9" customFormat="1" ht="12" thickBot="1" x14ac:dyDescent="0.25">
      <c r="A112" s="28"/>
      <c r="B112" s="19"/>
      <c r="C112" s="19"/>
      <c r="D112" s="5"/>
      <c r="E112" s="5"/>
      <c r="F112" s="5"/>
      <c r="G112" s="5"/>
      <c r="H112" s="20"/>
      <c r="I112" s="21" t="s">
        <v>138</v>
      </c>
      <c r="J112" s="5"/>
      <c r="K112" s="5"/>
      <c r="L112" s="22"/>
      <c r="M112" s="5"/>
      <c r="N112" s="5"/>
      <c r="O112" s="5"/>
      <c r="P112" s="5"/>
      <c r="Q112" s="5"/>
      <c r="R112" s="5"/>
      <c r="S112" s="5" t="s">
        <v>270</v>
      </c>
      <c r="T112" s="19"/>
      <c r="U112" s="19"/>
      <c r="V112" s="5" t="s">
        <v>271</v>
      </c>
      <c r="W112" s="36"/>
      <c r="X112" s="61"/>
      <c r="Y112" s="61"/>
      <c r="Z112" s="19"/>
      <c r="AA112" s="27"/>
      <c r="AB112" s="27"/>
      <c r="AC112" s="65"/>
      <c r="AD112" s="10"/>
    </row>
    <row r="113" spans="1:30" s="9" customFormat="1" x14ac:dyDescent="0.2">
      <c r="A113" s="28"/>
      <c r="B113" s="11"/>
      <c r="C113" s="11"/>
      <c r="D113" s="12"/>
      <c r="E113" s="12"/>
      <c r="F113" s="12"/>
      <c r="G113" s="12"/>
      <c r="H113" s="13"/>
      <c r="I113" s="14"/>
      <c r="J113" s="12"/>
      <c r="K113" s="12"/>
      <c r="L113" s="15"/>
      <c r="M113" s="12"/>
      <c r="N113" s="12"/>
      <c r="O113" s="12"/>
      <c r="P113" s="12"/>
      <c r="Q113" s="12"/>
      <c r="R113" s="12"/>
      <c r="S113" s="12"/>
      <c r="T113" s="11"/>
      <c r="U113" s="11"/>
      <c r="V113" s="12"/>
      <c r="W113" s="10"/>
      <c r="X113" s="59"/>
      <c r="Y113" s="59"/>
      <c r="Z113" s="16"/>
      <c r="AA113" s="12"/>
      <c r="AB113" s="6"/>
      <c r="AC113" s="56"/>
      <c r="AD113" s="10"/>
    </row>
    <row r="114" spans="1:30" s="9" customFormat="1" x14ac:dyDescent="0.2">
      <c r="A114" s="28"/>
      <c r="B114" s="16" t="s">
        <v>36</v>
      </c>
      <c r="C114" s="16" t="s">
        <v>157</v>
      </c>
      <c r="D114" s="7" t="s">
        <v>272</v>
      </c>
      <c r="E114" s="7"/>
      <c r="F114" s="6" t="s">
        <v>273</v>
      </c>
      <c r="G114" s="6"/>
      <c r="H114" s="17">
        <v>5100</v>
      </c>
      <c r="I114" s="6" t="s">
        <v>52</v>
      </c>
      <c r="J114" s="7">
        <v>36088</v>
      </c>
      <c r="K114" s="7"/>
      <c r="L114" s="23">
        <v>36119</v>
      </c>
      <c r="M114" s="18" t="s">
        <v>274</v>
      </c>
      <c r="N114" s="6" t="s">
        <v>110</v>
      </c>
      <c r="O114" s="6"/>
      <c r="P114" s="6"/>
      <c r="Q114" s="6"/>
      <c r="R114" s="6"/>
      <c r="S114" s="7">
        <v>36109</v>
      </c>
      <c r="T114" s="7">
        <v>36113</v>
      </c>
      <c r="U114" s="7"/>
      <c r="V114" s="6" t="s">
        <v>275</v>
      </c>
      <c r="W114" s="10">
        <v>456</v>
      </c>
      <c r="X114" s="59"/>
      <c r="Y114" s="59"/>
      <c r="Z114" s="16">
        <v>6519768126</v>
      </c>
      <c r="AA114" s="7">
        <v>36117</v>
      </c>
      <c r="AB114" s="7" t="s">
        <v>211</v>
      </c>
      <c r="AC114" s="6"/>
      <c r="AD114" s="10"/>
    </row>
    <row r="115" spans="1:30" s="9" customFormat="1" ht="12" thickBot="1" x14ac:dyDescent="0.25">
      <c r="A115" s="28"/>
      <c r="B115" s="19"/>
      <c r="C115" s="19"/>
      <c r="D115" s="5"/>
      <c r="E115" s="5"/>
      <c r="F115" s="5"/>
      <c r="G115" s="5"/>
      <c r="H115" s="20"/>
      <c r="I115" s="21" t="s">
        <v>230</v>
      </c>
      <c r="J115" s="5"/>
      <c r="K115" s="5"/>
      <c r="L115" s="22"/>
      <c r="M115" s="5"/>
      <c r="N115" s="5"/>
      <c r="O115" s="6"/>
      <c r="P115" s="6"/>
      <c r="Q115" s="6"/>
      <c r="R115" s="6"/>
      <c r="S115" s="6" t="s">
        <v>276</v>
      </c>
      <c r="T115" s="16"/>
      <c r="U115" s="16"/>
      <c r="V115" s="5" t="s">
        <v>277</v>
      </c>
      <c r="W115" s="36"/>
      <c r="X115" s="61"/>
      <c r="Y115" s="61"/>
      <c r="Z115" s="19"/>
      <c r="AA115" s="27"/>
      <c r="AB115" s="27"/>
      <c r="AC115" s="65"/>
      <c r="AD115" s="10"/>
    </row>
    <row r="116" spans="1:30" s="9" customFormat="1" x14ac:dyDescent="0.2">
      <c r="A116" s="28"/>
      <c r="B116" s="11"/>
      <c r="C116" s="11"/>
      <c r="D116" s="12"/>
      <c r="E116" s="12"/>
      <c r="F116" s="12"/>
      <c r="G116" s="12"/>
      <c r="H116" s="13"/>
      <c r="I116" s="14"/>
      <c r="J116" s="12"/>
      <c r="K116" s="12"/>
      <c r="L116" s="15"/>
      <c r="M116" s="12"/>
      <c r="N116" s="34"/>
      <c r="O116" s="34"/>
      <c r="P116" s="34"/>
      <c r="Q116" s="34"/>
      <c r="R116" s="34"/>
      <c r="S116" s="34"/>
      <c r="T116" s="97"/>
      <c r="U116" s="97"/>
      <c r="V116" s="94"/>
      <c r="W116" s="10"/>
      <c r="X116" s="57"/>
      <c r="Y116" s="57"/>
      <c r="Z116" s="58"/>
      <c r="AA116" s="12"/>
      <c r="AB116" s="6"/>
      <c r="AC116" s="6"/>
      <c r="AD116" s="10"/>
    </row>
    <row r="117" spans="1:30" s="9" customFormat="1" x14ac:dyDescent="0.2">
      <c r="A117" s="28"/>
      <c r="B117" s="16" t="s">
        <v>36</v>
      </c>
      <c r="C117" s="16" t="s">
        <v>157</v>
      </c>
      <c r="D117" s="7">
        <v>36066</v>
      </c>
      <c r="E117" s="7"/>
      <c r="F117" s="6" t="s">
        <v>278</v>
      </c>
      <c r="G117" s="6"/>
      <c r="H117" s="17">
        <v>13240</v>
      </c>
      <c r="I117" s="6" t="s">
        <v>52</v>
      </c>
      <c r="J117" s="7">
        <v>36074</v>
      </c>
      <c r="K117" s="7"/>
      <c r="L117" s="23" t="s">
        <v>279</v>
      </c>
      <c r="M117" s="18" t="s">
        <v>280</v>
      </c>
      <c r="N117" s="47" t="s">
        <v>110</v>
      </c>
      <c r="O117" s="47"/>
      <c r="P117" s="47"/>
      <c r="Q117" s="47"/>
      <c r="R117" s="47"/>
      <c r="S117" s="307" t="s">
        <v>281</v>
      </c>
      <c r="T117" s="308"/>
      <c r="U117" s="308"/>
      <c r="V117" s="67" t="s">
        <v>282</v>
      </c>
      <c r="W117" s="10" t="s">
        <v>283</v>
      </c>
      <c r="X117" s="59"/>
      <c r="Y117" s="59"/>
      <c r="Z117" s="60"/>
      <c r="AA117" s="7" t="s">
        <v>195</v>
      </c>
      <c r="AB117" s="7" t="s">
        <v>283</v>
      </c>
      <c r="AC117" s="6"/>
      <c r="AD117" s="10"/>
    </row>
    <row r="118" spans="1:30" s="9" customFormat="1" ht="12" thickBot="1" x14ac:dyDescent="0.25">
      <c r="A118" s="28"/>
      <c r="B118" s="19"/>
      <c r="C118" s="19"/>
      <c r="D118" s="5"/>
      <c r="E118" s="5"/>
      <c r="F118" s="5"/>
      <c r="G118" s="5"/>
      <c r="H118" s="20"/>
      <c r="I118" s="21" t="s">
        <v>230</v>
      </c>
      <c r="J118" s="5"/>
      <c r="K118" s="5"/>
      <c r="L118" s="22" t="s">
        <v>284</v>
      </c>
      <c r="M118" s="5"/>
      <c r="N118" s="36" t="s">
        <v>41</v>
      </c>
      <c r="O118" s="36"/>
      <c r="P118" s="36"/>
      <c r="Q118" s="36"/>
      <c r="R118" s="36"/>
      <c r="S118" s="95">
        <v>36117</v>
      </c>
      <c r="T118" s="96">
        <v>36487</v>
      </c>
      <c r="U118" s="96"/>
      <c r="V118" s="68" t="s">
        <v>285</v>
      </c>
      <c r="W118" s="36"/>
      <c r="X118" s="61"/>
      <c r="Y118" s="61"/>
      <c r="Z118" s="62"/>
      <c r="AA118" s="27"/>
      <c r="AB118" s="27"/>
      <c r="AC118" s="5"/>
      <c r="AD118" s="10"/>
    </row>
    <row r="119" spans="1:30" s="9" customFormat="1" x14ac:dyDescent="0.2">
      <c r="A119" s="28"/>
      <c r="B119" s="16"/>
      <c r="C119" s="16"/>
      <c r="D119" s="6"/>
      <c r="E119" s="6"/>
      <c r="F119" s="6"/>
      <c r="G119" s="6"/>
      <c r="H119" s="17"/>
      <c r="I119" s="39"/>
      <c r="J119" s="6"/>
      <c r="K119" s="6"/>
      <c r="L119" s="40"/>
      <c r="M119" s="6"/>
      <c r="N119" s="47"/>
      <c r="O119" s="47"/>
      <c r="P119" s="47"/>
      <c r="Q119" s="47"/>
      <c r="R119" s="47"/>
      <c r="S119" s="47"/>
      <c r="T119" s="67"/>
      <c r="U119" s="67"/>
      <c r="V119" s="67"/>
      <c r="W119" s="10"/>
      <c r="X119" s="59"/>
      <c r="Y119" s="59"/>
      <c r="Z119" s="60"/>
      <c r="AA119" s="6"/>
      <c r="AB119" s="6"/>
      <c r="AC119" s="6"/>
      <c r="AD119" s="10"/>
    </row>
    <row r="120" spans="1:30" s="9" customFormat="1" x14ac:dyDescent="0.2">
      <c r="A120" s="28"/>
      <c r="B120" s="16" t="s">
        <v>36</v>
      </c>
      <c r="C120" s="16" t="s">
        <v>157</v>
      </c>
      <c r="D120" s="7" t="s">
        <v>165</v>
      </c>
      <c r="E120" s="7"/>
      <c r="F120" s="6" t="s">
        <v>286</v>
      </c>
      <c r="G120" s="6"/>
      <c r="H120" s="17">
        <v>6990</v>
      </c>
      <c r="I120" s="6" t="s">
        <v>40</v>
      </c>
      <c r="J120" s="7">
        <v>36102</v>
      </c>
      <c r="K120" s="7"/>
      <c r="L120" s="23">
        <v>36116</v>
      </c>
      <c r="M120" s="18" t="s">
        <v>287</v>
      </c>
      <c r="N120" s="47" t="s">
        <v>288</v>
      </c>
      <c r="O120" s="47"/>
      <c r="P120" s="47"/>
      <c r="Q120" s="47"/>
      <c r="R120" s="47"/>
      <c r="S120" s="307" t="s">
        <v>289</v>
      </c>
      <c r="T120" s="308"/>
      <c r="U120" s="308"/>
      <c r="V120" s="67" t="s">
        <v>290</v>
      </c>
      <c r="W120" s="10" t="s">
        <v>283</v>
      </c>
      <c r="X120" s="59"/>
      <c r="Y120" s="59"/>
      <c r="Z120" s="60"/>
      <c r="AA120" s="7" t="s">
        <v>195</v>
      </c>
      <c r="AB120" s="7" t="s">
        <v>283</v>
      </c>
      <c r="AC120" s="6"/>
      <c r="AD120" s="10"/>
    </row>
    <row r="121" spans="1:30" s="9" customFormat="1" ht="12" thickBot="1" x14ac:dyDescent="0.25">
      <c r="A121" s="28"/>
      <c r="B121" s="19"/>
      <c r="C121" s="19"/>
      <c r="D121" s="5" t="s">
        <v>291</v>
      </c>
      <c r="E121" s="5"/>
      <c r="F121" s="5"/>
      <c r="G121" s="5"/>
      <c r="H121" s="20"/>
      <c r="I121" s="21"/>
      <c r="J121" s="5"/>
      <c r="K121" s="5"/>
      <c r="L121" s="22"/>
      <c r="M121" s="5"/>
      <c r="N121" s="36"/>
      <c r="O121" s="36"/>
      <c r="P121" s="36"/>
      <c r="Q121" s="36"/>
      <c r="R121" s="36"/>
      <c r="S121" s="95">
        <v>36117</v>
      </c>
      <c r="T121" s="96">
        <v>36487</v>
      </c>
      <c r="U121" s="96"/>
      <c r="V121" s="68" t="s">
        <v>292</v>
      </c>
      <c r="W121" s="36"/>
      <c r="X121" s="61"/>
      <c r="Y121" s="61"/>
      <c r="Z121" s="62"/>
      <c r="AA121" s="27"/>
      <c r="AB121" s="27"/>
      <c r="AC121" s="5"/>
      <c r="AD121" s="10"/>
    </row>
    <row r="122" spans="1:30" s="9" customFormat="1" x14ac:dyDescent="0.2">
      <c r="A122" s="28"/>
      <c r="B122" s="16"/>
      <c r="C122" s="16"/>
      <c r="D122" s="6"/>
      <c r="E122" s="6"/>
      <c r="F122" s="6"/>
      <c r="G122" s="6"/>
      <c r="H122" s="17"/>
      <c r="I122" s="39"/>
      <c r="J122" s="6"/>
      <c r="K122" s="6"/>
      <c r="L122" s="40"/>
      <c r="M122" s="6"/>
      <c r="N122" s="6"/>
      <c r="O122" s="6"/>
      <c r="P122" s="6"/>
      <c r="Q122" s="6"/>
      <c r="R122" s="6"/>
      <c r="S122" s="6"/>
      <c r="T122" s="16"/>
      <c r="U122" s="16"/>
      <c r="V122" s="6"/>
      <c r="W122" s="10"/>
      <c r="X122" s="12"/>
      <c r="Y122" s="57"/>
      <c r="Z122" s="11"/>
      <c r="AA122" s="6"/>
      <c r="AB122" s="6"/>
      <c r="AC122" s="6"/>
      <c r="AD122" s="10"/>
    </row>
    <row r="123" spans="1:30" s="9" customFormat="1" x14ac:dyDescent="0.2">
      <c r="A123" s="28"/>
      <c r="B123" s="16" t="s">
        <v>36</v>
      </c>
      <c r="C123" s="16" t="s">
        <v>133</v>
      </c>
      <c r="D123" s="7"/>
      <c r="E123" s="7"/>
      <c r="F123" s="6" t="s">
        <v>134</v>
      </c>
      <c r="G123" s="6"/>
      <c r="H123" s="17">
        <v>27338</v>
      </c>
      <c r="I123" s="6" t="s">
        <v>202</v>
      </c>
      <c r="J123" s="7">
        <v>36060</v>
      </c>
      <c r="K123" s="7"/>
      <c r="L123" s="23">
        <v>36127</v>
      </c>
      <c r="M123" s="18" t="s">
        <v>135</v>
      </c>
      <c r="N123" s="6" t="s">
        <v>42</v>
      </c>
      <c r="O123" s="6"/>
      <c r="P123" s="6"/>
      <c r="Q123" s="6"/>
      <c r="R123" s="6"/>
      <c r="S123" s="7">
        <v>36124</v>
      </c>
      <c r="T123" s="7">
        <v>36125</v>
      </c>
      <c r="U123" s="7"/>
      <c r="V123" s="6" t="s">
        <v>293</v>
      </c>
      <c r="W123" s="10">
        <v>449</v>
      </c>
      <c r="X123" s="6" t="s">
        <v>211</v>
      </c>
      <c r="Y123" s="59"/>
      <c r="Z123" s="16">
        <v>6519678115</v>
      </c>
      <c r="AA123" s="7">
        <v>36166</v>
      </c>
      <c r="AB123" s="7" t="s">
        <v>211</v>
      </c>
      <c r="AC123" s="6"/>
      <c r="AD123" s="10"/>
    </row>
    <row r="124" spans="1:30" s="9" customFormat="1" ht="12" thickBot="1" x14ac:dyDescent="0.25">
      <c r="A124" s="28"/>
      <c r="B124" s="19"/>
      <c r="C124" s="19"/>
      <c r="D124" s="5"/>
      <c r="E124" s="5"/>
      <c r="F124" s="5" t="s">
        <v>294</v>
      </c>
      <c r="G124" s="5"/>
      <c r="H124" s="20"/>
      <c r="I124" s="21" t="s">
        <v>295</v>
      </c>
      <c r="J124" s="5"/>
      <c r="K124" s="5"/>
      <c r="L124" s="22"/>
      <c r="M124" s="5"/>
      <c r="N124" s="5"/>
      <c r="O124" s="5"/>
      <c r="P124" s="5"/>
      <c r="Q124" s="5"/>
      <c r="R124" s="5"/>
      <c r="S124" s="27" t="s">
        <v>296</v>
      </c>
      <c r="T124" s="19"/>
      <c r="U124" s="19"/>
      <c r="V124" s="5" t="s">
        <v>297</v>
      </c>
      <c r="W124" s="36"/>
      <c r="X124" s="5"/>
      <c r="Y124" s="61"/>
      <c r="Z124" s="19"/>
      <c r="AA124" s="27"/>
      <c r="AB124" s="27"/>
      <c r="AC124" s="5"/>
      <c r="AD124" s="10"/>
    </row>
    <row r="125" spans="1:30" s="9" customFormat="1" x14ac:dyDescent="0.2">
      <c r="A125" s="28"/>
      <c r="B125" s="16"/>
      <c r="C125" s="16"/>
      <c r="D125" s="6"/>
      <c r="E125" s="6"/>
      <c r="F125" s="6"/>
      <c r="G125" s="6"/>
      <c r="H125" s="17"/>
      <c r="I125" s="39"/>
      <c r="J125" s="6"/>
      <c r="K125" s="6"/>
      <c r="L125" s="40"/>
      <c r="M125" s="6"/>
      <c r="N125" s="6"/>
      <c r="O125" s="6"/>
      <c r="P125" s="6"/>
      <c r="Q125" s="6"/>
      <c r="R125" s="6"/>
      <c r="S125" s="6"/>
      <c r="T125" s="16"/>
      <c r="U125" s="16"/>
      <c r="V125" s="6"/>
      <c r="W125" s="10"/>
      <c r="X125" s="6"/>
      <c r="Y125" s="59"/>
      <c r="Z125" s="16"/>
      <c r="AA125" s="6"/>
      <c r="AB125" s="6"/>
      <c r="AC125" s="6"/>
      <c r="AD125" s="10"/>
    </row>
    <row r="126" spans="1:30" s="9" customFormat="1" x14ac:dyDescent="0.2">
      <c r="A126" s="28"/>
      <c r="B126" s="16" t="s">
        <v>36</v>
      </c>
      <c r="C126" s="16" t="s">
        <v>133</v>
      </c>
      <c r="D126" s="7"/>
      <c r="E126" s="7"/>
      <c r="F126" s="6" t="s">
        <v>134</v>
      </c>
      <c r="G126" s="6"/>
      <c r="H126" s="17">
        <v>13502</v>
      </c>
      <c r="I126" s="6" t="s">
        <v>261</v>
      </c>
      <c r="J126" s="7">
        <v>36060</v>
      </c>
      <c r="K126" s="7"/>
      <c r="L126" s="23">
        <v>36127</v>
      </c>
      <c r="M126" s="18" t="s">
        <v>135</v>
      </c>
      <c r="N126" s="6" t="s">
        <v>42</v>
      </c>
      <c r="O126" s="6"/>
      <c r="P126" s="6"/>
      <c r="Q126" s="6"/>
      <c r="R126" s="6"/>
      <c r="S126" s="7">
        <v>36124</v>
      </c>
      <c r="T126" s="7">
        <v>36125</v>
      </c>
      <c r="U126" s="7"/>
      <c r="V126" s="6" t="s">
        <v>298</v>
      </c>
      <c r="W126" s="10">
        <v>450</v>
      </c>
      <c r="X126" s="6" t="s">
        <v>211</v>
      </c>
      <c r="Y126" s="59"/>
      <c r="Z126" s="16">
        <v>6519678115</v>
      </c>
      <c r="AA126" s="7">
        <v>36166</v>
      </c>
      <c r="AB126" s="7" t="s">
        <v>211</v>
      </c>
      <c r="AC126" s="6"/>
      <c r="AD126" s="10"/>
    </row>
    <row r="127" spans="1:30" s="9" customFormat="1" ht="12" thickBot="1" x14ac:dyDescent="0.25">
      <c r="A127" s="28"/>
      <c r="B127" s="19"/>
      <c r="C127" s="19"/>
      <c r="D127" s="5"/>
      <c r="E127" s="5"/>
      <c r="F127" s="5" t="s">
        <v>299</v>
      </c>
      <c r="G127" s="5"/>
      <c r="H127" s="20"/>
      <c r="I127" s="21" t="s">
        <v>264</v>
      </c>
      <c r="J127" s="5"/>
      <c r="K127" s="5"/>
      <c r="L127" s="22"/>
      <c r="M127" s="5"/>
      <c r="N127" s="5"/>
      <c r="O127" s="5"/>
      <c r="P127" s="5"/>
      <c r="Q127" s="5"/>
      <c r="R127" s="5"/>
      <c r="S127" s="27" t="s">
        <v>296</v>
      </c>
      <c r="T127" s="19"/>
      <c r="U127" s="19"/>
      <c r="V127" s="5"/>
      <c r="W127" s="36"/>
      <c r="X127" s="5"/>
      <c r="Y127" s="61"/>
      <c r="Z127" s="19"/>
      <c r="AA127" s="27"/>
      <c r="AB127" s="27"/>
      <c r="AC127" s="5"/>
      <c r="AD127" s="10"/>
    </row>
    <row r="128" spans="1:30" s="9" customFormat="1" x14ac:dyDescent="0.2">
      <c r="A128" s="28"/>
      <c r="B128" s="16"/>
      <c r="C128" s="16"/>
      <c r="D128" s="6"/>
      <c r="E128" s="6"/>
      <c r="F128" s="6"/>
      <c r="G128" s="6"/>
      <c r="H128" s="17"/>
      <c r="I128" s="39"/>
      <c r="J128" s="6"/>
      <c r="K128" s="6"/>
      <c r="L128" s="40"/>
      <c r="M128" s="6"/>
      <c r="N128" s="6"/>
      <c r="O128" s="6"/>
      <c r="P128" s="6"/>
      <c r="Q128" s="6"/>
      <c r="R128" s="6"/>
      <c r="S128" s="6"/>
      <c r="T128" s="16"/>
      <c r="U128" s="16"/>
      <c r="V128" s="6"/>
      <c r="W128" s="10"/>
      <c r="X128" s="6"/>
      <c r="Y128" s="59"/>
      <c r="Z128" s="16"/>
      <c r="AA128" s="6"/>
      <c r="AB128" s="6"/>
      <c r="AC128" s="6"/>
      <c r="AD128" s="10"/>
    </row>
    <row r="129" spans="1:30" s="9" customFormat="1" x14ac:dyDescent="0.2">
      <c r="A129" s="28"/>
      <c r="B129" s="16" t="s">
        <v>36</v>
      </c>
      <c r="C129" s="16" t="s">
        <v>133</v>
      </c>
      <c r="D129" s="7"/>
      <c r="E129" s="7"/>
      <c r="F129" s="6" t="s">
        <v>134</v>
      </c>
      <c r="G129" s="6"/>
      <c r="H129" s="17">
        <v>16834</v>
      </c>
      <c r="I129" s="6" t="s">
        <v>52</v>
      </c>
      <c r="J129" s="7">
        <v>36063</v>
      </c>
      <c r="K129" s="7"/>
      <c r="L129" s="23">
        <v>36130</v>
      </c>
      <c r="M129" s="18" t="s">
        <v>135</v>
      </c>
      <c r="N129" s="6" t="s">
        <v>42</v>
      </c>
      <c r="O129" s="6"/>
      <c r="P129" s="6"/>
      <c r="Q129" s="6"/>
      <c r="R129" s="6"/>
      <c r="S129" s="7">
        <v>36124</v>
      </c>
      <c r="T129" s="7">
        <v>36125</v>
      </c>
      <c r="U129" s="7"/>
      <c r="V129" s="6" t="s">
        <v>300</v>
      </c>
      <c r="W129" s="10">
        <v>445</v>
      </c>
      <c r="X129" s="6" t="s">
        <v>211</v>
      </c>
      <c r="Y129" s="59"/>
      <c r="Z129" s="16">
        <v>6519678115</v>
      </c>
      <c r="AA129" s="7">
        <v>36166</v>
      </c>
      <c r="AB129" s="7" t="s">
        <v>211</v>
      </c>
      <c r="AC129" s="6"/>
      <c r="AD129" s="10"/>
    </row>
    <row r="130" spans="1:30" s="9" customFormat="1" ht="12" thickBot="1" x14ac:dyDescent="0.25">
      <c r="A130" s="28"/>
      <c r="B130" s="19"/>
      <c r="C130" s="19"/>
      <c r="D130" s="5"/>
      <c r="E130" s="5"/>
      <c r="F130" s="5" t="s">
        <v>301</v>
      </c>
      <c r="G130" s="5"/>
      <c r="H130" s="20"/>
      <c r="I130" s="21" t="s">
        <v>230</v>
      </c>
      <c r="J130" s="5"/>
      <c r="K130" s="5"/>
      <c r="L130" s="22"/>
      <c r="M130" s="5"/>
      <c r="N130" s="5"/>
      <c r="O130" s="5"/>
      <c r="P130" s="5"/>
      <c r="Q130" s="5"/>
      <c r="R130" s="5"/>
      <c r="S130" s="27" t="s">
        <v>296</v>
      </c>
      <c r="T130" s="19"/>
      <c r="U130" s="19"/>
      <c r="V130" s="5"/>
      <c r="W130" s="36"/>
      <c r="X130" s="5"/>
      <c r="Y130" s="61"/>
      <c r="Z130" s="19"/>
      <c r="AA130" s="27"/>
      <c r="AB130" s="27"/>
      <c r="AC130" s="5"/>
      <c r="AD130" s="10"/>
    </row>
    <row r="131" spans="1:30" s="9" customFormat="1" x14ac:dyDescent="0.2">
      <c r="A131" s="28"/>
      <c r="B131" s="11"/>
      <c r="C131" s="11"/>
      <c r="D131" s="12"/>
      <c r="E131" s="12"/>
      <c r="F131" s="12"/>
      <c r="G131" s="12"/>
      <c r="H131" s="13"/>
      <c r="I131" s="14"/>
      <c r="J131" s="12"/>
      <c r="K131" s="12"/>
      <c r="L131" s="15"/>
      <c r="M131" s="12"/>
      <c r="N131" s="12"/>
      <c r="O131" s="12"/>
      <c r="P131" s="12"/>
      <c r="Q131" s="12"/>
      <c r="R131" s="12"/>
      <c r="S131" s="12"/>
      <c r="T131" s="11"/>
      <c r="U131" s="11"/>
      <c r="V131" s="12"/>
      <c r="W131" s="66"/>
      <c r="X131" s="12"/>
      <c r="Y131" s="57"/>
      <c r="Z131" s="11"/>
      <c r="AA131" s="12"/>
      <c r="AB131" s="12"/>
      <c r="AC131" s="12"/>
      <c r="AD131" s="10"/>
    </row>
    <row r="132" spans="1:30" s="9" customFormat="1" x14ac:dyDescent="0.2">
      <c r="A132" s="28"/>
      <c r="B132" s="16" t="s">
        <v>36</v>
      </c>
      <c r="C132" s="16" t="s">
        <v>133</v>
      </c>
      <c r="D132" s="7"/>
      <c r="E132" s="7"/>
      <c r="F132" s="6" t="s">
        <v>134</v>
      </c>
      <c r="G132" s="6"/>
      <c r="H132" s="17">
        <v>139565</v>
      </c>
      <c r="I132" s="6" t="s">
        <v>40</v>
      </c>
      <c r="J132" s="7">
        <v>36066</v>
      </c>
      <c r="K132" s="7"/>
      <c r="L132" s="23">
        <v>36133</v>
      </c>
      <c r="M132" s="18" t="s">
        <v>135</v>
      </c>
      <c r="N132" s="6" t="s">
        <v>42</v>
      </c>
      <c r="O132" s="6"/>
      <c r="P132" s="6"/>
      <c r="Q132" s="6"/>
      <c r="R132" s="6"/>
      <c r="S132" s="7">
        <v>36124</v>
      </c>
      <c r="T132" s="7">
        <v>36125</v>
      </c>
      <c r="U132" s="7"/>
      <c r="V132" s="6" t="s">
        <v>302</v>
      </c>
      <c r="W132" s="30">
        <v>446</v>
      </c>
      <c r="X132" s="6" t="s">
        <v>211</v>
      </c>
      <c r="Y132" s="59"/>
      <c r="Z132" s="16">
        <v>6519678115</v>
      </c>
      <c r="AA132" s="7">
        <v>36166</v>
      </c>
      <c r="AB132" s="7" t="s">
        <v>211</v>
      </c>
      <c r="AC132" s="6"/>
      <c r="AD132" s="10"/>
    </row>
    <row r="133" spans="1:30" s="9" customFormat="1" ht="12" thickBot="1" x14ac:dyDescent="0.25">
      <c r="A133" s="28"/>
      <c r="B133" s="19"/>
      <c r="C133" s="19"/>
      <c r="D133" s="5"/>
      <c r="E133" s="5"/>
      <c r="F133" s="5" t="s">
        <v>303</v>
      </c>
      <c r="G133" s="5"/>
      <c r="H133" s="20"/>
      <c r="I133" s="21" t="s">
        <v>241</v>
      </c>
      <c r="J133" s="5"/>
      <c r="K133" s="5"/>
      <c r="L133" s="22"/>
      <c r="M133" s="5"/>
      <c r="N133" s="5"/>
      <c r="O133" s="5"/>
      <c r="P133" s="5"/>
      <c r="Q133" s="5"/>
      <c r="R133" s="5"/>
      <c r="S133" s="27" t="s">
        <v>296</v>
      </c>
      <c r="T133" s="19"/>
      <c r="U133" s="19"/>
      <c r="V133" s="5" t="s">
        <v>304</v>
      </c>
      <c r="W133" s="36"/>
      <c r="X133" s="5"/>
      <c r="Y133" s="61"/>
      <c r="Z133" s="19"/>
      <c r="AA133" s="27"/>
      <c r="AB133" s="27"/>
      <c r="AC133" s="5"/>
      <c r="AD133" s="10"/>
    </row>
    <row r="134" spans="1:30" s="28" customFormat="1" ht="12" thickBot="1" x14ac:dyDescent="0.25">
      <c r="D134" s="48"/>
      <c r="E134" s="48"/>
      <c r="F134" s="30"/>
      <c r="G134" s="30"/>
      <c r="H134" s="33"/>
      <c r="I134" s="33"/>
      <c r="J134" s="48"/>
      <c r="K134" s="48"/>
      <c r="L134" s="140"/>
      <c r="M134" s="30"/>
      <c r="N134" s="30"/>
      <c r="O134" s="30"/>
      <c r="P134" s="30"/>
      <c r="Q134" s="30"/>
      <c r="R134" s="30"/>
      <c r="S134" s="30"/>
      <c r="T134" s="30"/>
      <c r="U134" s="30"/>
      <c r="V134" s="30"/>
      <c r="W134" s="30"/>
      <c r="X134" s="30"/>
      <c r="Y134" s="30"/>
      <c r="Z134" s="30"/>
      <c r="AA134" s="30"/>
      <c r="AB134" s="30"/>
      <c r="AC134" s="30"/>
      <c r="AD134" s="30"/>
    </row>
    <row r="135" spans="1:30" s="9" customFormat="1" x14ac:dyDescent="0.2">
      <c r="A135" s="28"/>
      <c r="B135" s="11"/>
      <c r="C135" s="11"/>
      <c r="D135" s="12"/>
      <c r="E135" s="12"/>
      <c r="F135" s="12"/>
      <c r="G135" s="12"/>
      <c r="H135" s="13"/>
      <c r="I135" s="14"/>
      <c r="J135" s="12"/>
      <c r="K135" s="12"/>
      <c r="L135" s="15"/>
      <c r="M135" s="12"/>
      <c r="N135" s="12"/>
      <c r="O135" s="12"/>
      <c r="P135" s="12"/>
      <c r="Q135" s="12"/>
      <c r="R135" s="12"/>
      <c r="S135" s="12"/>
      <c r="T135" s="11"/>
      <c r="U135" s="11"/>
      <c r="V135" s="12"/>
      <c r="W135" s="66"/>
      <c r="X135" s="12"/>
      <c r="Y135" s="57"/>
      <c r="Z135" s="11"/>
      <c r="AA135" s="12"/>
      <c r="AB135" s="12"/>
      <c r="AC135" s="12"/>
      <c r="AD135" s="10"/>
    </row>
    <row r="136" spans="1:30" s="9" customFormat="1" x14ac:dyDescent="0.2">
      <c r="A136" s="28"/>
      <c r="B136" s="16" t="s">
        <v>36</v>
      </c>
      <c r="C136" s="16" t="s">
        <v>133</v>
      </c>
      <c r="D136" s="7"/>
      <c r="E136" s="7"/>
      <c r="F136" s="6" t="s">
        <v>134</v>
      </c>
      <c r="G136" s="6"/>
      <c r="H136" s="17">
        <v>3755</v>
      </c>
      <c r="I136" s="6" t="s">
        <v>202</v>
      </c>
      <c r="J136" s="7">
        <v>36066</v>
      </c>
      <c r="K136" s="7"/>
      <c r="L136" s="23">
        <v>36133</v>
      </c>
      <c r="M136" s="18" t="s">
        <v>135</v>
      </c>
      <c r="N136" s="6" t="s">
        <v>42</v>
      </c>
      <c r="O136" s="6"/>
      <c r="P136" s="6"/>
      <c r="Q136" s="6"/>
      <c r="R136" s="6"/>
      <c r="S136" s="7">
        <v>36124</v>
      </c>
      <c r="T136" s="7">
        <v>36125</v>
      </c>
      <c r="U136" s="7"/>
      <c r="V136" s="6" t="s">
        <v>305</v>
      </c>
      <c r="W136" s="30">
        <v>447</v>
      </c>
      <c r="X136" s="6" t="s">
        <v>211</v>
      </c>
      <c r="Y136" s="59"/>
      <c r="Z136" s="16">
        <v>6519678115</v>
      </c>
      <c r="AA136" s="7">
        <v>36166</v>
      </c>
      <c r="AB136" s="7" t="s">
        <v>211</v>
      </c>
      <c r="AC136" s="6"/>
      <c r="AD136" s="10"/>
    </row>
    <row r="137" spans="1:30" s="9" customFormat="1" ht="12" thickBot="1" x14ac:dyDescent="0.25">
      <c r="A137" s="28"/>
      <c r="B137" s="19"/>
      <c r="C137" s="19"/>
      <c r="D137" s="5"/>
      <c r="E137" s="5"/>
      <c r="F137" s="5" t="s">
        <v>306</v>
      </c>
      <c r="G137" s="5"/>
      <c r="H137" s="20"/>
      <c r="I137" s="21" t="s">
        <v>295</v>
      </c>
      <c r="J137" s="5"/>
      <c r="K137" s="5"/>
      <c r="L137" s="22"/>
      <c r="M137" s="5"/>
      <c r="N137" s="5"/>
      <c r="O137" s="5"/>
      <c r="P137" s="5"/>
      <c r="Q137" s="5"/>
      <c r="R137" s="5"/>
      <c r="S137" s="27" t="s">
        <v>296</v>
      </c>
      <c r="T137" s="19"/>
      <c r="U137" s="19"/>
      <c r="V137" s="5"/>
      <c r="W137" s="36"/>
      <c r="X137" s="5"/>
      <c r="Y137" s="61"/>
      <c r="Z137" s="19"/>
      <c r="AA137" s="27"/>
      <c r="AB137" s="27"/>
      <c r="AC137" s="5"/>
      <c r="AD137" s="10"/>
    </row>
    <row r="138" spans="1:30" s="9" customFormat="1" x14ac:dyDescent="0.2">
      <c r="A138" s="28"/>
      <c r="B138" s="16"/>
      <c r="C138" s="16"/>
      <c r="D138" s="6"/>
      <c r="E138" s="6"/>
      <c r="F138" s="6"/>
      <c r="G138" s="6"/>
      <c r="H138" s="17"/>
      <c r="I138" s="39"/>
      <c r="J138" s="6"/>
      <c r="K138" s="6"/>
      <c r="L138" s="40"/>
      <c r="M138" s="6"/>
      <c r="N138" s="6"/>
      <c r="O138" s="6"/>
      <c r="P138" s="6"/>
      <c r="Q138" s="6"/>
      <c r="R138" s="6"/>
      <c r="S138" s="6"/>
      <c r="T138" s="16"/>
      <c r="U138" s="16"/>
      <c r="V138" s="6"/>
      <c r="W138" s="10"/>
      <c r="X138" s="6"/>
      <c r="Y138" s="59"/>
      <c r="Z138" s="16"/>
      <c r="AA138" s="6"/>
      <c r="AB138" s="6"/>
      <c r="AC138" s="6"/>
      <c r="AD138" s="10"/>
    </row>
    <row r="139" spans="1:30" s="9" customFormat="1" x14ac:dyDescent="0.2">
      <c r="A139" s="28"/>
      <c r="B139" s="16" t="s">
        <v>36</v>
      </c>
      <c r="C139" s="16" t="s">
        <v>133</v>
      </c>
      <c r="D139" s="7"/>
      <c r="E139" s="7"/>
      <c r="F139" s="6" t="s">
        <v>134</v>
      </c>
      <c r="G139" s="6"/>
      <c r="H139" s="17">
        <v>2533</v>
      </c>
      <c r="I139" s="6" t="s">
        <v>40</v>
      </c>
      <c r="J139" s="7">
        <v>36098</v>
      </c>
      <c r="K139" s="7"/>
      <c r="L139" s="23">
        <v>36165</v>
      </c>
      <c r="M139" s="18" t="s">
        <v>135</v>
      </c>
      <c r="N139" s="6" t="s">
        <v>42</v>
      </c>
      <c r="O139" s="6"/>
      <c r="P139" s="6"/>
      <c r="Q139" s="6"/>
      <c r="R139" s="6"/>
      <c r="S139" s="7">
        <v>36152</v>
      </c>
      <c r="T139" s="7">
        <v>36518</v>
      </c>
      <c r="U139" s="7"/>
      <c r="V139" s="6" t="s">
        <v>307</v>
      </c>
      <c r="W139" s="10">
        <v>457</v>
      </c>
      <c r="X139" s="6" t="s">
        <v>211</v>
      </c>
      <c r="Y139" s="59"/>
      <c r="Z139" s="16">
        <v>6519677953</v>
      </c>
      <c r="AA139" s="7">
        <v>36186</v>
      </c>
      <c r="AB139" s="7" t="s">
        <v>211</v>
      </c>
      <c r="AC139" s="6"/>
      <c r="AD139" s="10"/>
    </row>
    <row r="140" spans="1:30" s="9" customFormat="1" ht="12" thickBot="1" x14ac:dyDescent="0.25">
      <c r="A140" s="28"/>
      <c r="B140" s="19"/>
      <c r="C140" s="19"/>
      <c r="D140" s="5"/>
      <c r="E140" s="5"/>
      <c r="F140" s="5" t="s">
        <v>308</v>
      </c>
      <c r="G140" s="5"/>
      <c r="H140" s="20"/>
      <c r="I140" s="21" t="s">
        <v>241</v>
      </c>
      <c r="J140" s="5"/>
      <c r="K140" s="5"/>
      <c r="L140" s="22"/>
      <c r="M140" s="5"/>
      <c r="N140" s="5"/>
      <c r="O140" s="5"/>
      <c r="P140" s="5"/>
      <c r="Q140" s="5"/>
      <c r="R140" s="5"/>
      <c r="S140" s="27" t="s">
        <v>309</v>
      </c>
      <c r="T140" s="19"/>
      <c r="U140" s="19"/>
      <c r="V140" s="5"/>
      <c r="W140" s="36"/>
      <c r="X140" s="5"/>
      <c r="Y140" s="61"/>
      <c r="Z140" s="19"/>
      <c r="AA140" s="27"/>
      <c r="AB140" s="27"/>
      <c r="AC140" s="5"/>
      <c r="AD140" s="10"/>
    </row>
    <row r="141" spans="1:30" s="9" customFormat="1" x14ac:dyDescent="0.2">
      <c r="A141" s="28"/>
      <c r="B141" s="16"/>
      <c r="C141" s="16"/>
      <c r="D141" s="6"/>
      <c r="E141" s="6"/>
      <c r="F141" s="6"/>
      <c r="G141" s="6"/>
      <c r="H141" s="17"/>
      <c r="I141" s="39"/>
      <c r="J141" s="6"/>
      <c r="K141" s="6"/>
      <c r="L141" s="40"/>
      <c r="M141" s="6"/>
      <c r="N141" s="6"/>
      <c r="O141" s="6"/>
      <c r="P141" s="6"/>
      <c r="Q141" s="6"/>
      <c r="R141" s="6"/>
      <c r="S141" s="6"/>
      <c r="T141" s="16"/>
      <c r="U141" s="16"/>
      <c r="V141" s="6"/>
      <c r="W141" s="10"/>
      <c r="X141" s="6"/>
      <c r="Y141" s="59"/>
      <c r="Z141" s="16"/>
      <c r="AA141" s="6"/>
      <c r="AB141" s="6"/>
      <c r="AC141" s="6"/>
      <c r="AD141" s="10"/>
    </row>
    <row r="142" spans="1:30" s="9" customFormat="1" x14ac:dyDescent="0.2">
      <c r="A142" s="28"/>
      <c r="B142" s="16" t="s">
        <v>36</v>
      </c>
      <c r="C142" s="16" t="s">
        <v>133</v>
      </c>
      <c r="D142" s="7"/>
      <c r="E142" s="7"/>
      <c r="F142" s="6" t="s">
        <v>134</v>
      </c>
      <c r="G142" s="6"/>
      <c r="H142" s="17">
        <v>48589</v>
      </c>
      <c r="I142" s="6" t="s">
        <v>52</v>
      </c>
      <c r="J142" s="7">
        <v>36103</v>
      </c>
      <c r="K142" s="7"/>
      <c r="L142" s="23">
        <v>36170</v>
      </c>
      <c r="M142" s="18" t="s">
        <v>135</v>
      </c>
      <c r="N142" s="6" t="s">
        <v>42</v>
      </c>
      <c r="O142" s="6"/>
      <c r="P142" s="6"/>
      <c r="Q142" s="6"/>
      <c r="R142" s="6"/>
      <c r="S142" s="7">
        <v>36152</v>
      </c>
      <c r="T142" s="7">
        <v>36518</v>
      </c>
      <c r="U142" s="7"/>
      <c r="V142" s="6" t="s">
        <v>310</v>
      </c>
      <c r="W142" s="10">
        <v>461</v>
      </c>
      <c r="X142" s="6" t="s">
        <v>211</v>
      </c>
      <c r="Y142" s="59"/>
      <c r="Z142" s="16">
        <v>6519677953</v>
      </c>
      <c r="AA142" s="7">
        <v>36186</v>
      </c>
      <c r="AB142" s="7" t="s">
        <v>211</v>
      </c>
      <c r="AC142" s="6"/>
      <c r="AD142" s="10"/>
    </row>
    <row r="143" spans="1:30" s="9" customFormat="1" ht="12" thickBot="1" x14ac:dyDescent="0.25">
      <c r="A143" s="28"/>
      <c r="B143" s="19"/>
      <c r="C143" s="19"/>
      <c r="D143" s="5"/>
      <c r="E143" s="5"/>
      <c r="F143" s="5" t="s">
        <v>311</v>
      </c>
      <c r="G143" s="5"/>
      <c r="H143" s="20"/>
      <c r="I143" s="21" t="s">
        <v>230</v>
      </c>
      <c r="J143" s="5"/>
      <c r="K143" s="5"/>
      <c r="L143" s="22"/>
      <c r="M143" s="5"/>
      <c r="N143" s="5"/>
      <c r="O143" s="5"/>
      <c r="P143" s="5"/>
      <c r="Q143" s="5"/>
      <c r="R143" s="5"/>
      <c r="S143" s="27" t="s">
        <v>309</v>
      </c>
      <c r="T143" s="19"/>
      <c r="U143" s="19"/>
      <c r="V143" s="5"/>
      <c r="W143" s="36"/>
      <c r="X143" s="5"/>
      <c r="Y143" s="61"/>
      <c r="Z143" s="19"/>
      <c r="AA143" s="27"/>
      <c r="AB143" s="27"/>
      <c r="AC143" s="5"/>
      <c r="AD143" s="10"/>
    </row>
    <row r="144" spans="1:30" s="9" customFormat="1" x14ac:dyDescent="0.2">
      <c r="A144" s="28"/>
      <c r="B144" s="16"/>
      <c r="C144" s="16"/>
      <c r="D144" s="6"/>
      <c r="E144" s="6"/>
      <c r="F144" s="6"/>
      <c r="G144" s="6"/>
      <c r="H144" s="17"/>
      <c r="I144" s="39"/>
      <c r="J144" s="6"/>
      <c r="K144" s="6"/>
      <c r="L144" s="40"/>
      <c r="M144" s="6"/>
      <c r="N144" s="6"/>
      <c r="O144" s="6"/>
      <c r="P144" s="6"/>
      <c r="Q144" s="6"/>
      <c r="R144" s="6"/>
      <c r="S144" s="6"/>
      <c r="T144" s="16"/>
      <c r="U144" s="16"/>
      <c r="V144" s="6"/>
      <c r="W144" s="10"/>
      <c r="X144" s="6"/>
      <c r="Y144" s="59"/>
      <c r="Z144" s="16"/>
      <c r="AA144" s="6"/>
      <c r="AB144" s="6"/>
      <c r="AC144" s="6"/>
      <c r="AD144" s="10"/>
    </row>
    <row r="145" spans="1:39" s="9" customFormat="1" x14ac:dyDescent="0.2">
      <c r="A145" s="28"/>
      <c r="B145" s="16" t="s">
        <v>36</v>
      </c>
      <c r="C145" s="16" t="s">
        <v>133</v>
      </c>
      <c r="D145" s="7"/>
      <c r="E145" s="7"/>
      <c r="F145" s="6" t="s">
        <v>134</v>
      </c>
      <c r="G145" s="6"/>
      <c r="H145" s="17">
        <v>17438</v>
      </c>
      <c r="I145" s="6" t="s">
        <v>202</v>
      </c>
      <c r="J145" s="7">
        <v>36103</v>
      </c>
      <c r="K145" s="7"/>
      <c r="L145" s="23">
        <v>36170</v>
      </c>
      <c r="M145" s="18" t="s">
        <v>135</v>
      </c>
      <c r="N145" s="6" t="s">
        <v>42</v>
      </c>
      <c r="O145" s="6"/>
      <c r="P145" s="6"/>
      <c r="Q145" s="6"/>
      <c r="R145" s="6"/>
      <c r="S145" s="7">
        <v>36152</v>
      </c>
      <c r="T145" s="7">
        <v>36518</v>
      </c>
      <c r="U145" s="7"/>
      <c r="V145" s="6" t="s">
        <v>312</v>
      </c>
      <c r="W145" s="10">
        <v>460</v>
      </c>
      <c r="X145" s="6" t="s">
        <v>211</v>
      </c>
      <c r="Y145" s="59"/>
      <c r="Z145" s="16">
        <v>6519677953</v>
      </c>
      <c r="AA145" s="7">
        <v>36186</v>
      </c>
      <c r="AB145" s="7" t="s">
        <v>211</v>
      </c>
      <c r="AC145" s="6"/>
      <c r="AD145" s="10"/>
    </row>
    <row r="146" spans="1:39" s="9" customFormat="1" ht="12" thickBot="1" x14ac:dyDescent="0.25">
      <c r="A146" s="28"/>
      <c r="B146" s="19"/>
      <c r="C146" s="19"/>
      <c r="D146" s="5"/>
      <c r="E146" s="5"/>
      <c r="F146" s="5" t="s">
        <v>313</v>
      </c>
      <c r="G146" s="5"/>
      <c r="H146" s="20"/>
      <c r="I146" s="21" t="s">
        <v>138</v>
      </c>
      <c r="J146" s="5"/>
      <c r="K146" s="5"/>
      <c r="L146" s="22"/>
      <c r="M146" s="5"/>
      <c r="N146" s="5"/>
      <c r="O146" s="5"/>
      <c r="P146" s="5"/>
      <c r="Q146" s="5"/>
      <c r="R146" s="5"/>
      <c r="S146" s="27" t="s">
        <v>309</v>
      </c>
      <c r="T146" s="19"/>
      <c r="U146" s="19"/>
      <c r="V146" s="5" t="s">
        <v>314</v>
      </c>
      <c r="W146" s="36"/>
      <c r="X146" s="5"/>
      <c r="Y146" s="61"/>
      <c r="Z146" s="19"/>
      <c r="AA146" s="27"/>
      <c r="AB146" s="27"/>
      <c r="AC146" s="5"/>
      <c r="AD146" s="10"/>
    </row>
    <row r="147" spans="1:39" s="9" customFormat="1" x14ac:dyDescent="0.2">
      <c r="A147" s="28"/>
      <c r="B147" s="16"/>
      <c r="C147" s="16"/>
      <c r="D147" s="6"/>
      <c r="E147" s="6"/>
      <c r="F147" s="6"/>
      <c r="G147" s="6"/>
      <c r="H147" s="17"/>
      <c r="I147" s="39"/>
      <c r="J147" s="6"/>
      <c r="K147" s="6"/>
      <c r="L147" s="40"/>
      <c r="M147" s="6"/>
      <c r="N147" s="6"/>
      <c r="O147" s="6"/>
      <c r="P147" s="6"/>
      <c r="Q147" s="6"/>
      <c r="R147" s="6"/>
      <c r="S147" s="6"/>
      <c r="T147" s="16"/>
      <c r="U147" s="16"/>
      <c r="V147" s="6"/>
      <c r="W147" s="10"/>
      <c r="X147" s="6"/>
      <c r="Y147" s="59"/>
      <c r="Z147" s="16"/>
      <c r="AA147" s="6"/>
      <c r="AB147" s="6"/>
      <c r="AC147" s="6"/>
      <c r="AD147" s="10"/>
    </row>
    <row r="148" spans="1:39" s="9" customFormat="1" x14ac:dyDescent="0.2">
      <c r="A148" s="28"/>
      <c r="B148" s="16" t="s">
        <v>36</v>
      </c>
      <c r="C148" s="16" t="s">
        <v>157</v>
      </c>
      <c r="D148" s="7">
        <v>36097</v>
      </c>
      <c r="E148" s="7"/>
      <c r="F148" s="6" t="s">
        <v>315</v>
      </c>
      <c r="G148" s="6"/>
      <c r="H148" s="17">
        <v>375</v>
      </c>
      <c r="I148" s="6" t="s">
        <v>142</v>
      </c>
      <c r="J148" s="7">
        <v>36112</v>
      </c>
      <c r="K148" s="7"/>
      <c r="L148" s="23" t="s">
        <v>316</v>
      </c>
      <c r="M148" s="18" t="s">
        <v>135</v>
      </c>
      <c r="N148" s="6" t="s">
        <v>110</v>
      </c>
      <c r="O148" s="6"/>
      <c r="P148" s="6"/>
      <c r="Q148" s="6"/>
      <c r="R148" s="6"/>
      <c r="S148" s="7">
        <v>36158</v>
      </c>
      <c r="T148" s="7">
        <v>36158</v>
      </c>
      <c r="U148" s="7"/>
      <c r="V148" s="6" t="s">
        <v>317</v>
      </c>
      <c r="W148" s="10">
        <v>468</v>
      </c>
      <c r="X148" s="6" t="s">
        <v>318</v>
      </c>
      <c r="Y148" s="59"/>
      <c r="Z148" s="16" t="s">
        <v>319</v>
      </c>
      <c r="AA148" s="7">
        <v>36177</v>
      </c>
      <c r="AB148" s="7" t="s">
        <v>211</v>
      </c>
      <c r="AC148" s="6"/>
      <c r="AD148" s="10"/>
    </row>
    <row r="149" spans="1:39" s="9" customFormat="1" ht="12" thickBot="1" x14ac:dyDescent="0.25">
      <c r="A149" s="28"/>
      <c r="B149" s="19"/>
      <c r="C149" s="19"/>
      <c r="D149" s="5"/>
      <c r="E149" s="5"/>
      <c r="F149" s="5"/>
      <c r="G149" s="5"/>
      <c r="H149" s="20"/>
      <c r="I149" s="21" t="s">
        <v>320</v>
      </c>
      <c r="J149" s="5"/>
      <c r="K149" s="5"/>
      <c r="L149" s="22"/>
      <c r="M149" s="5"/>
      <c r="N149" s="5" t="s">
        <v>321</v>
      </c>
      <c r="O149" s="5"/>
      <c r="P149" s="5"/>
      <c r="Q149" s="5"/>
      <c r="R149" s="5"/>
      <c r="S149" s="27"/>
      <c r="T149" s="19"/>
      <c r="U149" s="19"/>
      <c r="V149" s="5" t="s">
        <v>322</v>
      </c>
      <c r="W149" s="36"/>
      <c r="X149" s="5"/>
      <c r="Y149" s="61"/>
      <c r="Z149" s="19"/>
      <c r="AA149" s="27"/>
      <c r="AB149" s="27"/>
      <c r="AC149" s="5"/>
      <c r="AD149" s="10"/>
    </row>
    <row r="150" spans="1:39" s="9" customFormat="1" x14ac:dyDescent="0.2">
      <c r="A150" s="28"/>
      <c r="B150" s="16"/>
      <c r="C150" s="16"/>
      <c r="D150" s="6">
        <v>36097</v>
      </c>
      <c r="E150" s="6"/>
      <c r="F150" s="6"/>
      <c r="G150" s="6"/>
      <c r="H150" s="17"/>
      <c r="I150" s="39"/>
      <c r="J150" s="6"/>
      <c r="K150" s="6"/>
      <c r="L150" s="40"/>
      <c r="M150" s="6"/>
      <c r="N150" s="6"/>
      <c r="O150" s="6"/>
      <c r="P150" s="6"/>
      <c r="Q150" s="6"/>
      <c r="R150" s="6"/>
      <c r="S150" s="6"/>
      <c r="T150" s="16"/>
      <c r="U150" s="16"/>
      <c r="V150" s="6"/>
      <c r="W150" s="10"/>
      <c r="X150" s="6"/>
      <c r="Y150" s="59"/>
      <c r="Z150" s="16"/>
      <c r="AA150" s="6"/>
      <c r="AB150" s="6"/>
      <c r="AC150" s="6"/>
      <c r="AD150" s="10"/>
    </row>
    <row r="151" spans="1:39" s="9" customFormat="1" x14ac:dyDescent="0.2">
      <c r="A151" s="28"/>
      <c r="B151" s="16" t="s">
        <v>36</v>
      </c>
      <c r="C151" s="16" t="s">
        <v>157</v>
      </c>
      <c r="D151" s="7" t="s">
        <v>165</v>
      </c>
      <c r="E151" s="7"/>
      <c r="F151" s="6" t="s">
        <v>323</v>
      </c>
      <c r="G151" s="6"/>
      <c r="H151" s="17">
        <v>1056</v>
      </c>
      <c r="I151" s="6" t="s">
        <v>142</v>
      </c>
      <c r="J151" s="7">
        <v>36115</v>
      </c>
      <c r="K151" s="7"/>
      <c r="L151" s="23"/>
      <c r="M151" s="18" t="s">
        <v>135</v>
      </c>
      <c r="N151" s="6" t="s">
        <v>110</v>
      </c>
      <c r="O151" s="6"/>
      <c r="P151" s="6"/>
      <c r="Q151" s="6"/>
      <c r="R151" s="6"/>
      <c r="S151" s="7">
        <v>36158</v>
      </c>
      <c r="T151" s="7">
        <v>36158</v>
      </c>
      <c r="U151" s="7"/>
      <c r="V151" s="6" t="s">
        <v>324</v>
      </c>
      <c r="W151" s="10">
        <v>468</v>
      </c>
      <c r="X151" s="6" t="s">
        <v>318</v>
      </c>
      <c r="Y151" s="59"/>
      <c r="Z151" s="16" t="s">
        <v>319</v>
      </c>
      <c r="AA151" s="7">
        <v>36177</v>
      </c>
      <c r="AB151" s="7" t="s">
        <v>211</v>
      </c>
      <c r="AC151" s="6"/>
      <c r="AD151" s="10"/>
    </row>
    <row r="152" spans="1:39" s="9" customFormat="1" ht="12" thickBot="1" x14ac:dyDescent="0.25">
      <c r="A152" s="28"/>
      <c r="B152" s="19"/>
      <c r="C152" s="19"/>
      <c r="D152" s="5" t="s">
        <v>325</v>
      </c>
      <c r="E152" s="5"/>
      <c r="F152" s="5"/>
      <c r="G152" s="5"/>
      <c r="H152" s="20"/>
      <c r="I152" s="21" t="s">
        <v>320</v>
      </c>
      <c r="J152" s="5"/>
      <c r="K152" s="5"/>
      <c r="L152" s="22"/>
      <c r="M152" s="5"/>
      <c r="N152" s="5" t="s">
        <v>321</v>
      </c>
      <c r="O152" s="5"/>
      <c r="P152" s="5"/>
      <c r="Q152" s="5"/>
      <c r="R152" s="5"/>
      <c r="S152" s="27"/>
      <c r="T152" s="19"/>
      <c r="U152" s="19"/>
      <c r="V152" s="5" t="s">
        <v>326</v>
      </c>
      <c r="W152" s="36"/>
      <c r="X152" s="5"/>
      <c r="Y152" s="61"/>
      <c r="Z152" s="19"/>
      <c r="AA152" s="27"/>
      <c r="AB152" s="27"/>
      <c r="AC152" s="5"/>
      <c r="AD152" s="10"/>
    </row>
    <row r="153" spans="1:39" ht="12" thickBot="1" x14ac:dyDescent="0.25">
      <c r="C153" s="37"/>
      <c r="W153" s="38"/>
      <c r="X153" s="38"/>
      <c r="Y153" s="38"/>
      <c r="Z153" s="37"/>
      <c r="AC153" s="38"/>
    </row>
    <row r="154" spans="1:39" s="544" customFormat="1" ht="39.950000000000003" customHeight="1" thickBot="1" x14ac:dyDescent="0.25">
      <c r="B154" s="1611">
        <v>1999</v>
      </c>
      <c r="C154" s="1612"/>
      <c r="D154" s="1612"/>
      <c r="E154" s="1612"/>
      <c r="F154" s="1612"/>
      <c r="G154" s="1612"/>
      <c r="H154" s="1612"/>
      <c r="I154" s="1612"/>
      <c r="J154" s="1612"/>
      <c r="K154" s="1612"/>
      <c r="L154" s="1612"/>
      <c r="M154" s="1612"/>
      <c r="N154" s="1612"/>
      <c r="O154" s="1612"/>
      <c r="P154" s="1612"/>
      <c r="Q154" s="1612"/>
      <c r="R154" s="1612"/>
      <c r="S154" s="1612"/>
      <c r="T154" s="1612"/>
      <c r="U154" s="1612"/>
      <c r="V154" s="1612"/>
      <c r="W154" s="1612"/>
      <c r="X154" s="1612"/>
      <c r="Y154" s="1612"/>
      <c r="Z154" s="1612"/>
      <c r="AA154" s="1612"/>
      <c r="AB154" s="1612"/>
      <c r="AC154" s="1613"/>
    </row>
    <row r="155" spans="1:39" s="441" customFormat="1" ht="60" customHeight="1" thickBot="1" x14ac:dyDescent="0.25">
      <c r="A155" s="438"/>
      <c r="B155" s="451" t="s">
        <v>130</v>
      </c>
      <c r="C155" s="451" t="s">
        <v>4</v>
      </c>
      <c r="D155" s="451" t="s">
        <v>5</v>
      </c>
      <c r="E155" s="451" t="s">
        <v>6</v>
      </c>
      <c r="F155" s="451" t="s">
        <v>7</v>
      </c>
      <c r="G155" s="451" t="s">
        <v>8</v>
      </c>
      <c r="H155" s="453" t="s">
        <v>9</v>
      </c>
      <c r="I155" s="453" t="s">
        <v>10</v>
      </c>
      <c r="J155" s="451" t="s">
        <v>11</v>
      </c>
      <c r="K155" s="451" t="s">
        <v>12</v>
      </c>
      <c r="L155" s="451" t="s">
        <v>13</v>
      </c>
      <c r="M155" s="451" t="s">
        <v>14</v>
      </c>
      <c r="N155" s="451" t="s">
        <v>15</v>
      </c>
      <c r="O155" s="452" t="s">
        <v>16</v>
      </c>
      <c r="P155" s="454" t="s">
        <v>17</v>
      </c>
      <c r="Q155" s="451" t="s">
        <v>18</v>
      </c>
      <c r="R155" s="452" t="s">
        <v>19</v>
      </c>
      <c r="S155" s="451" t="s">
        <v>20</v>
      </c>
      <c r="T155" s="451" t="s">
        <v>21</v>
      </c>
      <c r="U155" s="452" t="s">
        <v>22</v>
      </c>
      <c r="V155" s="451" t="s">
        <v>131</v>
      </c>
      <c r="W155" s="451" t="s">
        <v>24</v>
      </c>
      <c r="X155" s="451" t="s">
        <v>132</v>
      </c>
      <c r="Y155" s="451" t="s">
        <v>26</v>
      </c>
      <c r="Z155" s="451" t="s">
        <v>27</v>
      </c>
      <c r="AA155" s="451" t="s">
        <v>28</v>
      </c>
      <c r="AB155" s="451" t="s">
        <v>29</v>
      </c>
      <c r="AC155" s="451" t="s">
        <v>30</v>
      </c>
      <c r="AD155" s="439"/>
      <c r="AE155" s="440"/>
      <c r="AF155" s="440"/>
      <c r="AG155" s="440"/>
      <c r="AH155" s="440"/>
      <c r="AI155" s="440"/>
      <c r="AJ155" s="440"/>
      <c r="AK155" s="440"/>
      <c r="AL155" s="440"/>
      <c r="AM155" s="440"/>
    </row>
    <row r="156" spans="1:39" s="9" customFormat="1" x14ac:dyDescent="0.2">
      <c r="A156" s="28"/>
      <c r="B156" s="16"/>
      <c r="C156" s="16"/>
      <c r="D156" s="6"/>
      <c r="E156" s="6"/>
      <c r="F156" s="6"/>
      <c r="G156" s="6"/>
      <c r="H156" s="17"/>
      <c r="I156" s="39"/>
      <c r="J156" s="6"/>
      <c r="K156" s="6"/>
      <c r="L156" s="40"/>
      <c r="M156" s="6"/>
      <c r="N156" s="6"/>
      <c r="O156" s="6"/>
      <c r="P156" s="6"/>
      <c r="Q156" s="6"/>
      <c r="R156" s="6"/>
      <c r="S156" s="6"/>
      <c r="T156" s="16"/>
      <c r="U156" s="16"/>
      <c r="V156" s="6"/>
      <c r="W156" s="10"/>
      <c r="X156" s="6"/>
      <c r="Y156" s="57"/>
      <c r="Z156" s="16"/>
      <c r="AA156" s="6"/>
      <c r="AB156" s="6"/>
      <c r="AC156" s="6"/>
      <c r="AD156" s="10"/>
    </row>
    <row r="157" spans="1:39" s="9" customFormat="1" x14ac:dyDescent="0.2">
      <c r="A157" s="28"/>
      <c r="B157" s="16" t="s">
        <v>36</v>
      </c>
      <c r="C157" s="16" t="s">
        <v>133</v>
      </c>
      <c r="D157" s="7"/>
      <c r="E157" s="7"/>
      <c r="F157" s="6" t="s">
        <v>134</v>
      </c>
      <c r="G157" s="6"/>
      <c r="H157" s="17">
        <v>4202</v>
      </c>
      <c r="I157" s="6" t="s">
        <v>142</v>
      </c>
      <c r="J157" s="7">
        <v>36125</v>
      </c>
      <c r="K157" s="7"/>
      <c r="L157" s="23">
        <v>36190</v>
      </c>
      <c r="M157" s="18" t="s">
        <v>135</v>
      </c>
      <c r="N157" s="6" t="s">
        <v>42</v>
      </c>
      <c r="O157" s="6"/>
      <c r="P157" s="6"/>
      <c r="Q157" s="6"/>
      <c r="R157" s="6"/>
      <c r="S157" s="7">
        <v>36187</v>
      </c>
      <c r="T157" s="7">
        <v>36188</v>
      </c>
      <c r="U157" s="7"/>
      <c r="V157" s="6" t="s">
        <v>327</v>
      </c>
      <c r="W157" s="10">
        <v>462</v>
      </c>
      <c r="X157" s="6" t="s">
        <v>211</v>
      </c>
      <c r="Y157" s="59"/>
      <c r="Z157" s="16">
        <v>6519678071</v>
      </c>
      <c r="AA157" s="7">
        <v>36216</v>
      </c>
      <c r="AB157" s="7" t="s">
        <v>211</v>
      </c>
      <c r="AC157" s="7"/>
      <c r="AD157" s="10"/>
    </row>
    <row r="158" spans="1:39" s="9" customFormat="1" ht="12" thickBot="1" x14ac:dyDescent="0.25">
      <c r="A158" s="28"/>
      <c r="B158" s="19"/>
      <c r="C158" s="19"/>
      <c r="D158" s="5"/>
      <c r="E158" s="5"/>
      <c r="F158" s="5" t="s">
        <v>328</v>
      </c>
      <c r="G158" s="5"/>
      <c r="H158" s="20"/>
      <c r="I158" s="21" t="s">
        <v>320</v>
      </c>
      <c r="J158" s="5"/>
      <c r="K158" s="5"/>
      <c r="L158" s="22"/>
      <c r="M158" s="5"/>
      <c r="N158" s="5"/>
      <c r="O158" s="5"/>
      <c r="P158" s="5"/>
      <c r="Q158" s="5"/>
      <c r="R158" s="5"/>
      <c r="S158" s="27" t="s">
        <v>329</v>
      </c>
      <c r="T158" s="19"/>
      <c r="U158" s="19"/>
      <c r="V158" s="5"/>
      <c r="W158" s="36"/>
      <c r="X158" s="5"/>
      <c r="Y158" s="61"/>
      <c r="Z158" s="19"/>
      <c r="AA158" s="27"/>
      <c r="AB158" s="27"/>
      <c r="AC158" s="5"/>
      <c r="AD158" s="10"/>
    </row>
    <row r="159" spans="1:39" s="9" customFormat="1" x14ac:dyDescent="0.2">
      <c r="A159" s="28"/>
      <c r="B159" s="16"/>
      <c r="C159" s="16"/>
      <c r="D159" s="6"/>
      <c r="E159" s="6"/>
      <c r="F159" s="6"/>
      <c r="G159" s="6"/>
      <c r="H159" s="17"/>
      <c r="I159" s="39"/>
      <c r="J159" s="6"/>
      <c r="K159" s="6"/>
      <c r="L159" s="40"/>
      <c r="M159" s="6"/>
      <c r="N159" s="6"/>
      <c r="O159" s="6"/>
      <c r="P159" s="6"/>
      <c r="Q159" s="6"/>
      <c r="R159" s="6"/>
      <c r="S159" s="6"/>
      <c r="T159" s="16"/>
      <c r="U159" s="16"/>
      <c r="V159" s="6"/>
      <c r="W159" s="10"/>
      <c r="X159" s="6"/>
      <c r="Y159" s="59"/>
      <c r="Z159" s="16"/>
      <c r="AA159" s="6"/>
      <c r="AB159" s="6"/>
      <c r="AC159" s="6"/>
      <c r="AD159" s="10"/>
    </row>
    <row r="160" spans="1:39" s="9" customFormat="1" x14ac:dyDescent="0.2">
      <c r="A160" s="28"/>
      <c r="B160" s="16" t="s">
        <v>36</v>
      </c>
      <c r="C160" s="16" t="s">
        <v>133</v>
      </c>
      <c r="D160" s="7"/>
      <c r="E160" s="7"/>
      <c r="F160" s="6" t="s">
        <v>134</v>
      </c>
      <c r="G160" s="6"/>
      <c r="H160" s="17">
        <v>8979</v>
      </c>
      <c r="I160" s="6" t="s">
        <v>202</v>
      </c>
      <c r="J160" s="7">
        <v>36126</v>
      </c>
      <c r="K160" s="7"/>
      <c r="L160" s="23">
        <v>36193</v>
      </c>
      <c r="M160" s="18" t="s">
        <v>135</v>
      </c>
      <c r="N160" s="6" t="s">
        <v>42</v>
      </c>
      <c r="O160" s="6"/>
      <c r="P160" s="6"/>
      <c r="Q160" s="6"/>
      <c r="R160" s="6"/>
      <c r="S160" s="7">
        <v>36187</v>
      </c>
      <c r="T160" s="7">
        <v>36188</v>
      </c>
      <c r="U160" s="7"/>
      <c r="V160" s="6" t="s">
        <v>330</v>
      </c>
      <c r="W160" s="10">
        <v>463</v>
      </c>
      <c r="X160" s="6" t="s">
        <v>211</v>
      </c>
      <c r="Y160" s="59"/>
      <c r="Z160" s="16">
        <v>6519678071</v>
      </c>
      <c r="AA160" s="7">
        <v>36216</v>
      </c>
      <c r="AB160" s="7" t="s">
        <v>211</v>
      </c>
      <c r="AC160" s="7"/>
      <c r="AD160" s="10"/>
    </row>
    <row r="161" spans="1:30" s="9" customFormat="1" ht="12" thickBot="1" x14ac:dyDescent="0.25">
      <c r="A161" s="28"/>
      <c r="B161" s="19"/>
      <c r="C161" s="19"/>
      <c r="D161" s="5"/>
      <c r="E161" s="5"/>
      <c r="F161" s="5" t="s">
        <v>331</v>
      </c>
      <c r="G161" s="5"/>
      <c r="H161" s="20"/>
      <c r="I161" s="21" t="s">
        <v>138</v>
      </c>
      <c r="J161" s="5"/>
      <c r="K161" s="5"/>
      <c r="L161" s="22"/>
      <c r="M161" s="5"/>
      <c r="N161" s="5"/>
      <c r="O161" s="5"/>
      <c r="P161" s="5"/>
      <c r="Q161" s="5"/>
      <c r="R161" s="5"/>
      <c r="S161" s="27" t="s">
        <v>329</v>
      </c>
      <c r="T161" s="19"/>
      <c r="U161" s="19"/>
      <c r="V161" s="5" t="s">
        <v>332</v>
      </c>
      <c r="W161" s="36"/>
      <c r="X161" s="5"/>
      <c r="Y161" s="61"/>
      <c r="Z161" s="19"/>
      <c r="AA161" s="27"/>
      <c r="AB161" s="27"/>
      <c r="AC161" s="5"/>
      <c r="AD161" s="10"/>
    </row>
    <row r="162" spans="1:30" s="9" customFormat="1" x14ac:dyDescent="0.2">
      <c r="A162" s="28"/>
      <c r="B162" s="16"/>
      <c r="C162" s="16"/>
      <c r="D162" s="6"/>
      <c r="E162" s="6"/>
      <c r="F162" s="6"/>
      <c r="G162" s="6"/>
      <c r="H162" s="17"/>
      <c r="I162" s="39"/>
      <c r="J162" s="6"/>
      <c r="K162" s="6"/>
      <c r="L162" s="40"/>
      <c r="M162" s="6"/>
      <c r="N162" s="6"/>
      <c r="O162" s="6"/>
      <c r="P162" s="6"/>
      <c r="Q162" s="6"/>
      <c r="R162" s="6"/>
      <c r="S162" s="6"/>
      <c r="T162" s="16"/>
      <c r="U162" s="16"/>
      <c r="V162" s="6"/>
      <c r="W162" s="10"/>
      <c r="X162" s="6"/>
      <c r="Y162" s="59"/>
      <c r="Z162" s="16"/>
      <c r="AA162" s="6"/>
      <c r="AB162" s="6"/>
      <c r="AC162" s="6"/>
      <c r="AD162" s="10"/>
    </row>
    <row r="163" spans="1:30" s="9" customFormat="1" x14ac:dyDescent="0.2">
      <c r="A163" s="28"/>
      <c r="B163" s="16" t="s">
        <v>36</v>
      </c>
      <c r="C163" s="16" t="s">
        <v>133</v>
      </c>
      <c r="D163" s="7"/>
      <c r="E163" s="7"/>
      <c r="F163" s="6" t="s">
        <v>134</v>
      </c>
      <c r="G163" s="6"/>
      <c r="H163" s="17">
        <v>3741</v>
      </c>
      <c r="I163" s="6" t="s">
        <v>52</v>
      </c>
      <c r="J163" s="7">
        <v>36126</v>
      </c>
      <c r="K163" s="7"/>
      <c r="L163" s="23">
        <v>36193</v>
      </c>
      <c r="M163" s="18" t="s">
        <v>135</v>
      </c>
      <c r="N163" s="6" t="s">
        <v>42</v>
      </c>
      <c r="O163" s="6"/>
      <c r="P163" s="6"/>
      <c r="Q163" s="6"/>
      <c r="R163" s="6"/>
      <c r="S163" s="7">
        <v>36187</v>
      </c>
      <c r="T163" s="7">
        <v>36188</v>
      </c>
      <c r="U163" s="7"/>
      <c r="V163" s="6" t="s">
        <v>333</v>
      </c>
      <c r="W163" s="10">
        <v>464</v>
      </c>
      <c r="X163" s="6" t="s">
        <v>211</v>
      </c>
      <c r="Y163" s="59"/>
      <c r="Z163" s="16">
        <v>6519678071</v>
      </c>
      <c r="AA163" s="7">
        <v>36216</v>
      </c>
      <c r="AB163" s="7" t="s">
        <v>211</v>
      </c>
      <c r="AC163" s="7"/>
      <c r="AD163" s="10"/>
    </row>
    <row r="164" spans="1:30" s="9" customFormat="1" ht="12" thickBot="1" x14ac:dyDescent="0.25">
      <c r="A164" s="28"/>
      <c r="B164" s="19"/>
      <c r="C164" s="19"/>
      <c r="D164" s="5"/>
      <c r="E164" s="5"/>
      <c r="F164" s="5" t="s">
        <v>334</v>
      </c>
      <c r="G164" s="5"/>
      <c r="H164" s="20"/>
      <c r="I164" s="21" t="s">
        <v>335</v>
      </c>
      <c r="J164" s="5"/>
      <c r="K164" s="5"/>
      <c r="L164" s="22"/>
      <c r="M164" s="5"/>
      <c r="N164" s="5"/>
      <c r="O164" s="5"/>
      <c r="P164" s="5"/>
      <c r="Q164" s="5"/>
      <c r="R164" s="5"/>
      <c r="S164" s="27" t="s">
        <v>329</v>
      </c>
      <c r="T164" s="19"/>
      <c r="U164" s="19"/>
      <c r="V164" s="5"/>
      <c r="W164" s="36"/>
      <c r="X164" s="5"/>
      <c r="Y164" s="61"/>
      <c r="Z164" s="19"/>
      <c r="AA164" s="27"/>
      <c r="AB164" s="27"/>
      <c r="AC164" s="5"/>
      <c r="AD164" s="10"/>
    </row>
    <row r="165" spans="1:30" s="9" customFormat="1" x14ac:dyDescent="0.2">
      <c r="A165" s="28"/>
      <c r="B165" s="16"/>
      <c r="C165" s="16"/>
      <c r="D165" s="6"/>
      <c r="E165" s="6"/>
      <c r="F165" s="6"/>
      <c r="G165" s="6"/>
      <c r="H165" s="17"/>
      <c r="I165" s="39"/>
      <c r="J165" s="6"/>
      <c r="K165" s="6"/>
      <c r="L165" s="40"/>
      <c r="M165" s="6"/>
      <c r="N165" s="6"/>
      <c r="O165" s="6"/>
      <c r="P165" s="6"/>
      <c r="Q165" s="6"/>
      <c r="R165" s="6"/>
      <c r="S165" s="6"/>
      <c r="T165" s="16"/>
      <c r="U165" s="16"/>
      <c r="V165" s="6"/>
      <c r="W165" s="10"/>
      <c r="X165" s="6"/>
      <c r="Y165" s="59"/>
      <c r="Z165" s="16"/>
      <c r="AA165" s="6"/>
      <c r="AB165" s="6"/>
      <c r="AC165" s="6"/>
      <c r="AD165" s="10"/>
    </row>
    <row r="166" spans="1:30" s="9" customFormat="1" x14ac:dyDescent="0.2">
      <c r="A166" s="28"/>
      <c r="B166" s="16" t="s">
        <v>36</v>
      </c>
      <c r="C166" s="16" t="s">
        <v>133</v>
      </c>
      <c r="D166" s="7"/>
      <c r="E166" s="7"/>
      <c r="F166" s="6" t="s">
        <v>134</v>
      </c>
      <c r="G166" s="6"/>
      <c r="H166" s="17">
        <v>84713</v>
      </c>
      <c r="I166" s="6" t="s">
        <v>52</v>
      </c>
      <c r="J166" s="7">
        <v>36147</v>
      </c>
      <c r="K166" s="7"/>
      <c r="L166" s="23">
        <v>36207</v>
      </c>
      <c r="M166" s="18" t="s">
        <v>135</v>
      </c>
      <c r="N166" s="6" t="s">
        <v>42</v>
      </c>
      <c r="O166" s="6"/>
      <c r="P166" s="6"/>
      <c r="Q166" s="6"/>
      <c r="R166" s="6"/>
      <c r="S166" s="7">
        <v>36187</v>
      </c>
      <c r="T166" s="7">
        <v>36188</v>
      </c>
      <c r="U166" s="7"/>
      <c r="V166" s="6" t="s">
        <v>336</v>
      </c>
      <c r="W166" s="10">
        <v>470</v>
      </c>
      <c r="X166" s="6" t="s">
        <v>211</v>
      </c>
      <c r="Y166" s="59"/>
      <c r="Z166" s="16">
        <v>6519678071</v>
      </c>
      <c r="AA166" s="7">
        <v>36216</v>
      </c>
      <c r="AB166" s="7" t="s">
        <v>211</v>
      </c>
      <c r="AC166" s="7"/>
      <c r="AD166" s="10"/>
    </row>
    <row r="167" spans="1:30" s="9" customFormat="1" ht="12" thickBot="1" x14ac:dyDescent="0.25">
      <c r="A167" s="28"/>
      <c r="B167" s="19"/>
      <c r="C167" s="19"/>
      <c r="D167" s="5"/>
      <c r="E167" s="5"/>
      <c r="F167" s="5" t="s">
        <v>337</v>
      </c>
      <c r="G167" s="5"/>
      <c r="H167" s="20"/>
      <c r="I167" s="21" t="s">
        <v>335</v>
      </c>
      <c r="J167" s="5"/>
      <c r="K167" s="5"/>
      <c r="L167" s="22"/>
      <c r="M167" s="5"/>
      <c r="N167" s="5"/>
      <c r="O167" s="5"/>
      <c r="P167" s="5"/>
      <c r="Q167" s="5"/>
      <c r="R167" s="5"/>
      <c r="S167" s="27" t="s">
        <v>329</v>
      </c>
      <c r="T167" s="19"/>
      <c r="U167" s="19"/>
      <c r="V167" s="5"/>
      <c r="W167" s="36"/>
      <c r="X167" s="5"/>
      <c r="Y167" s="61"/>
      <c r="Z167" s="19"/>
      <c r="AA167" s="27"/>
      <c r="AB167" s="27"/>
      <c r="AC167" s="5"/>
      <c r="AD167" s="10"/>
    </row>
    <row r="168" spans="1:30" s="9" customFormat="1" x14ac:dyDescent="0.2">
      <c r="A168" s="28"/>
      <c r="B168" s="16"/>
      <c r="C168" s="16"/>
      <c r="D168" s="6"/>
      <c r="E168" s="6"/>
      <c r="F168" s="6"/>
      <c r="G168" s="6"/>
      <c r="H168" s="17"/>
      <c r="I168" s="39"/>
      <c r="J168" s="6"/>
      <c r="K168" s="6"/>
      <c r="L168" s="40"/>
      <c r="M168" s="6"/>
      <c r="N168" s="6"/>
      <c r="O168" s="6"/>
      <c r="P168" s="6"/>
      <c r="Q168" s="6"/>
      <c r="R168" s="6"/>
      <c r="S168" s="6"/>
      <c r="T168" s="16"/>
      <c r="U168" s="16"/>
      <c r="V168" s="6"/>
      <c r="W168" s="10"/>
      <c r="X168" s="6"/>
      <c r="Y168" s="59"/>
      <c r="Z168" s="16"/>
      <c r="AA168" s="6"/>
      <c r="AB168" s="6"/>
      <c r="AC168" s="6"/>
      <c r="AD168" s="10"/>
    </row>
    <row r="169" spans="1:30" s="9" customFormat="1" x14ac:dyDescent="0.2">
      <c r="A169" s="28"/>
      <c r="B169" s="16" t="s">
        <v>36</v>
      </c>
      <c r="C169" s="16" t="s">
        <v>133</v>
      </c>
      <c r="D169" s="7"/>
      <c r="E169" s="7"/>
      <c r="F169" s="6" t="s">
        <v>134</v>
      </c>
      <c r="G169" s="6"/>
      <c r="H169" s="17">
        <v>24536</v>
      </c>
      <c r="I169" s="6" t="s">
        <v>202</v>
      </c>
      <c r="J169" s="7">
        <v>36147</v>
      </c>
      <c r="K169" s="7"/>
      <c r="L169" s="23">
        <v>36207</v>
      </c>
      <c r="M169" s="18" t="s">
        <v>135</v>
      </c>
      <c r="N169" s="6" t="s">
        <v>42</v>
      </c>
      <c r="O169" s="6"/>
      <c r="P169" s="6"/>
      <c r="Q169" s="6"/>
      <c r="R169" s="6"/>
      <c r="S169" s="7">
        <v>36187</v>
      </c>
      <c r="T169" s="7">
        <v>36188</v>
      </c>
      <c r="U169" s="7"/>
      <c r="V169" s="6" t="s">
        <v>338</v>
      </c>
      <c r="W169" s="10">
        <v>471</v>
      </c>
      <c r="X169" s="6" t="s">
        <v>211</v>
      </c>
      <c r="Y169" s="59"/>
      <c r="Z169" s="16">
        <v>6519678071</v>
      </c>
      <c r="AA169" s="7">
        <v>36216</v>
      </c>
      <c r="AB169" s="7" t="s">
        <v>211</v>
      </c>
      <c r="AC169" s="7"/>
      <c r="AD169" s="10"/>
    </row>
    <row r="170" spans="1:30" s="9" customFormat="1" ht="12" thickBot="1" x14ac:dyDescent="0.25">
      <c r="A170" s="28"/>
      <c r="B170" s="19"/>
      <c r="C170" s="19"/>
      <c r="D170" s="5"/>
      <c r="E170" s="5"/>
      <c r="F170" s="5" t="s">
        <v>339</v>
      </c>
      <c r="G170" s="5"/>
      <c r="H170" s="20"/>
      <c r="I170" s="21" t="s">
        <v>138</v>
      </c>
      <c r="J170" s="5"/>
      <c r="K170" s="5"/>
      <c r="L170" s="22"/>
      <c r="M170" s="5"/>
      <c r="N170" s="5"/>
      <c r="O170" s="5"/>
      <c r="P170" s="5"/>
      <c r="Q170" s="5"/>
      <c r="R170" s="5"/>
      <c r="S170" s="27" t="s">
        <v>329</v>
      </c>
      <c r="T170" s="19"/>
      <c r="U170" s="19"/>
      <c r="V170" s="5" t="s">
        <v>340</v>
      </c>
      <c r="W170" s="36"/>
      <c r="X170" s="5"/>
      <c r="Y170" s="61"/>
      <c r="Z170" s="19"/>
      <c r="AA170" s="27"/>
      <c r="AB170" s="27"/>
      <c r="AC170" s="5"/>
      <c r="AD170" s="10"/>
    </row>
    <row r="171" spans="1:30" s="9" customFormat="1" x14ac:dyDescent="0.2">
      <c r="A171" s="28"/>
      <c r="B171" s="16"/>
      <c r="C171" s="16"/>
      <c r="D171" s="6"/>
      <c r="E171" s="6"/>
      <c r="F171" s="6"/>
      <c r="G171" s="6"/>
      <c r="H171" s="17"/>
      <c r="I171" s="39"/>
      <c r="J171" s="6"/>
      <c r="K171" s="6"/>
      <c r="L171" s="40"/>
      <c r="M171" s="6"/>
      <c r="N171" s="6"/>
      <c r="O171" s="6"/>
      <c r="P171" s="6"/>
      <c r="Q171" s="6"/>
      <c r="R171" s="6"/>
      <c r="S171" s="6"/>
      <c r="T171" s="16"/>
      <c r="U171" s="16"/>
      <c r="V171" s="6"/>
      <c r="W171" s="10"/>
      <c r="X171" s="6"/>
      <c r="Y171" s="59"/>
      <c r="Z171" s="16"/>
      <c r="AA171" s="6"/>
      <c r="AB171" s="6"/>
      <c r="AC171" s="6"/>
      <c r="AD171" s="10"/>
    </row>
    <row r="172" spans="1:30" s="9" customFormat="1" x14ac:dyDescent="0.2">
      <c r="A172" s="28"/>
      <c r="B172" s="16" t="s">
        <v>36</v>
      </c>
      <c r="C172" s="16" t="s">
        <v>133</v>
      </c>
      <c r="D172" s="7"/>
      <c r="E172" s="7"/>
      <c r="F172" s="6" t="s">
        <v>134</v>
      </c>
      <c r="G172" s="6"/>
      <c r="H172" s="17">
        <v>13359</v>
      </c>
      <c r="I172" s="6" t="s">
        <v>142</v>
      </c>
      <c r="J172" s="7">
        <v>36150</v>
      </c>
      <c r="K172" s="7"/>
      <c r="L172" s="23">
        <v>36210</v>
      </c>
      <c r="M172" s="18" t="s">
        <v>135</v>
      </c>
      <c r="N172" s="6" t="s">
        <v>42</v>
      </c>
      <c r="O172" s="6"/>
      <c r="P172" s="6"/>
      <c r="Q172" s="6"/>
      <c r="R172" s="6"/>
      <c r="S172" s="7">
        <v>36187</v>
      </c>
      <c r="T172" s="7">
        <v>36188</v>
      </c>
      <c r="U172" s="7"/>
      <c r="V172" s="6" t="s">
        <v>341</v>
      </c>
      <c r="W172" s="10">
        <v>472</v>
      </c>
      <c r="X172" s="6" t="s">
        <v>211</v>
      </c>
      <c r="Y172" s="59"/>
      <c r="Z172" s="16">
        <v>6519678071</v>
      </c>
      <c r="AA172" s="7">
        <v>36216</v>
      </c>
      <c r="AB172" s="7" t="s">
        <v>211</v>
      </c>
      <c r="AC172" s="7"/>
      <c r="AD172" s="10"/>
    </row>
    <row r="173" spans="1:30" s="9" customFormat="1" ht="12" thickBot="1" x14ac:dyDescent="0.25">
      <c r="A173" s="28"/>
      <c r="B173" s="19"/>
      <c r="C173" s="19"/>
      <c r="D173" s="5"/>
      <c r="E173" s="5"/>
      <c r="F173" s="5" t="s">
        <v>342</v>
      </c>
      <c r="G173" s="5"/>
      <c r="H173" s="20"/>
      <c r="I173" s="21" t="s">
        <v>320</v>
      </c>
      <c r="J173" s="5"/>
      <c r="K173" s="5"/>
      <c r="L173" s="22"/>
      <c r="M173" s="5"/>
      <c r="N173" s="5"/>
      <c r="O173" s="5"/>
      <c r="P173" s="5"/>
      <c r="Q173" s="5"/>
      <c r="R173" s="5"/>
      <c r="S173" s="27" t="s">
        <v>329</v>
      </c>
      <c r="T173" s="19"/>
      <c r="U173" s="19"/>
      <c r="V173" s="5" t="s">
        <v>343</v>
      </c>
      <c r="W173" s="36"/>
      <c r="X173" s="5"/>
      <c r="Y173" s="61"/>
      <c r="Z173" s="19"/>
      <c r="AA173" s="27"/>
      <c r="AB173" s="27"/>
      <c r="AC173" s="5"/>
      <c r="AD173" s="10"/>
    </row>
    <row r="174" spans="1:30" s="9" customFormat="1" x14ac:dyDescent="0.2">
      <c r="A174" s="28"/>
      <c r="B174" s="16"/>
      <c r="C174" s="16"/>
      <c r="D174" s="6"/>
      <c r="E174" s="6"/>
      <c r="F174" s="6"/>
      <c r="G174" s="6"/>
      <c r="H174" s="17"/>
      <c r="I174" s="39"/>
      <c r="J174" s="6"/>
      <c r="K174" s="6"/>
      <c r="L174" s="40"/>
      <c r="M174" s="6"/>
      <c r="N174" s="6"/>
      <c r="O174" s="6"/>
      <c r="P174" s="6"/>
      <c r="Q174" s="6"/>
      <c r="R174" s="6"/>
      <c r="S174" s="6"/>
      <c r="T174" s="16"/>
      <c r="U174" s="16"/>
      <c r="V174" s="6"/>
      <c r="W174" s="10"/>
      <c r="X174" s="6"/>
      <c r="Y174" s="59"/>
      <c r="Z174" s="16"/>
      <c r="AA174" s="6"/>
      <c r="AB174" s="6"/>
      <c r="AC174" s="6"/>
      <c r="AD174" s="10"/>
    </row>
    <row r="175" spans="1:30" s="9" customFormat="1" x14ac:dyDescent="0.2">
      <c r="A175" s="28"/>
      <c r="B175" s="16" t="s">
        <v>36</v>
      </c>
      <c r="C175" s="16" t="s">
        <v>133</v>
      </c>
      <c r="D175" s="7"/>
      <c r="E175" s="7"/>
      <c r="F175" s="6" t="s">
        <v>134</v>
      </c>
      <c r="G175" s="6"/>
      <c r="H175" s="17">
        <v>34731</v>
      </c>
      <c r="I175" s="6" t="s">
        <v>40</v>
      </c>
      <c r="J175" s="7">
        <v>36151</v>
      </c>
      <c r="K175" s="7"/>
      <c r="L175" s="23">
        <v>36211</v>
      </c>
      <c r="M175" s="18" t="s">
        <v>135</v>
      </c>
      <c r="N175" s="6" t="s">
        <v>42</v>
      </c>
      <c r="O175" s="6"/>
      <c r="P175" s="6"/>
      <c r="Q175" s="6"/>
      <c r="R175" s="6"/>
      <c r="S175" s="7">
        <v>36187</v>
      </c>
      <c r="T175" s="7">
        <v>36188</v>
      </c>
      <c r="U175" s="7"/>
      <c r="V175" s="6" t="s">
        <v>344</v>
      </c>
      <c r="W175" s="10">
        <v>473</v>
      </c>
      <c r="X175" s="6" t="s">
        <v>211</v>
      </c>
      <c r="Y175" s="59"/>
      <c r="Z175" s="16">
        <v>6519678071</v>
      </c>
      <c r="AA175" s="7">
        <v>36216</v>
      </c>
      <c r="AB175" s="7" t="s">
        <v>211</v>
      </c>
      <c r="AC175" s="7"/>
      <c r="AD175" s="10"/>
    </row>
    <row r="176" spans="1:30" s="9" customFormat="1" ht="12" thickBot="1" x14ac:dyDescent="0.25">
      <c r="A176" s="28"/>
      <c r="B176" s="19"/>
      <c r="C176" s="19"/>
      <c r="D176" s="5"/>
      <c r="E176" s="5"/>
      <c r="F176" s="5" t="s">
        <v>345</v>
      </c>
      <c r="G176" s="5"/>
      <c r="H176" s="20"/>
      <c r="I176" s="21" t="s">
        <v>241</v>
      </c>
      <c r="J176" s="5"/>
      <c r="K176" s="5"/>
      <c r="L176" s="22"/>
      <c r="M176" s="5"/>
      <c r="N176" s="5"/>
      <c r="O176" s="5"/>
      <c r="P176" s="5"/>
      <c r="Q176" s="5"/>
      <c r="R176" s="5"/>
      <c r="S176" s="27" t="s">
        <v>329</v>
      </c>
      <c r="T176" s="19"/>
      <c r="U176" s="19"/>
      <c r="V176" s="5" t="s">
        <v>346</v>
      </c>
      <c r="W176" s="36"/>
      <c r="X176" s="5"/>
      <c r="Y176" s="61"/>
      <c r="Z176" s="19"/>
      <c r="AA176" s="27"/>
      <c r="AB176" s="27"/>
      <c r="AC176" s="5"/>
      <c r="AD176" s="10"/>
    </row>
    <row r="177" spans="1:30" s="9" customFormat="1" ht="12.75" customHeight="1" x14ac:dyDescent="0.2">
      <c r="A177" s="28"/>
      <c r="B177" s="16"/>
      <c r="C177" s="16"/>
      <c r="D177" s="6"/>
      <c r="E177" s="6"/>
      <c r="F177" s="6"/>
      <c r="G177" s="6"/>
      <c r="H177" s="17"/>
      <c r="I177" s="39"/>
      <c r="J177" s="6"/>
      <c r="K177" s="6"/>
      <c r="L177" s="40"/>
      <c r="M177" s="6"/>
      <c r="N177" s="6"/>
      <c r="O177" s="47"/>
      <c r="P177" s="47"/>
      <c r="Q177" s="47"/>
      <c r="R177" s="47"/>
      <c r="S177" s="442" t="s">
        <v>347</v>
      </c>
      <c r="T177" s="443"/>
      <c r="U177" s="309"/>
      <c r="V177" s="6"/>
      <c r="W177" s="10"/>
      <c r="X177" s="57"/>
      <c r="Y177" s="57"/>
      <c r="Z177" s="58"/>
      <c r="AA177" s="6"/>
      <c r="AB177" s="6"/>
      <c r="AC177" s="314"/>
      <c r="AD177" s="10"/>
    </row>
    <row r="178" spans="1:30" s="9" customFormat="1" ht="12.75" customHeight="1" x14ac:dyDescent="0.2">
      <c r="A178" s="28"/>
      <c r="B178" s="16" t="s">
        <v>36</v>
      </c>
      <c r="C178" s="16" t="s">
        <v>157</v>
      </c>
      <c r="D178" s="7" t="s">
        <v>348</v>
      </c>
      <c r="E178" s="7"/>
      <c r="F178" s="6"/>
      <c r="G178" s="6"/>
      <c r="H178" s="17">
        <v>7200</v>
      </c>
      <c r="I178" s="6" t="s">
        <v>181</v>
      </c>
      <c r="J178" s="7">
        <v>36172</v>
      </c>
      <c r="K178" s="7"/>
      <c r="L178" s="23" t="s">
        <v>349</v>
      </c>
      <c r="M178" s="18" t="s">
        <v>280</v>
      </c>
      <c r="N178" s="6" t="s">
        <v>110</v>
      </c>
      <c r="O178" s="47"/>
      <c r="P178" s="47"/>
      <c r="Q178" s="47"/>
      <c r="R178" s="47"/>
      <c r="S178" s="444"/>
      <c r="T178" s="309"/>
      <c r="U178" s="309"/>
      <c r="V178" s="6" t="s">
        <v>350</v>
      </c>
      <c r="W178" s="10" t="s">
        <v>283</v>
      </c>
      <c r="X178" s="59"/>
      <c r="Y178" s="59"/>
      <c r="Z178" s="60"/>
      <c r="AA178" s="7">
        <v>36216</v>
      </c>
      <c r="AB178" s="7"/>
      <c r="AC178" s="312"/>
      <c r="AD178" s="10"/>
    </row>
    <row r="179" spans="1:30" s="9" customFormat="1" ht="13.5" customHeight="1" thickBot="1" x14ac:dyDescent="0.25">
      <c r="A179" s="28"/>
      <c r="B179" s="19"/>
      <c r="C179" s="19"/>
      <c r="D179" s="5"/>
      <c r="E179" s="5"/>
      <c r="F179" s="5"/>
      <c r="G179" s="5"/>
      <c r="H179" s="20"/>
      <c r="I179" s="21" t="s">
        <v>241</v>
      </c>
      <c r="J179" s="5"/>
      <c r="K179" s="5"/>
      <c r="L179" s="22"/>
      <c r="M179" s="5"/>
      <c r="N179" s="5"/>
      <c r="O179" s="36"/>
      <c r="P179" s="36"/>
      <c r="Q179" s="36"/>
      <c r="R179" s="36"/>
      <c r="S179" s="445"/>
      <c r="T179" s="303"/>
      <c r="U179" s="303"/>
      <c r="V179" s="5" t="s">
        <v>351</v>
      </c>
      <c r="W179" s="36"/>
      <c r="X179" s="61"/>
      <c r="Y179" s="61"/>
      <c r="Z179" s="62"/>
      <c r="AA179" s="27"/>
      <c r="AB179" s="27"/>
      <c r="AC179" s="313"/>
      <c r="AD179" s="10"/>
    </row>
    <row r="180" spans="1:30" s="9" customFormat="1" x14ac:dyDescent="0.2">
      <c r="A180" s="28"/>
      <c r="B180" s="16"/>
      <c r="C180" s="16"/>
      <c r="D180" s="6"/>
      <c r="E180" s="6"/>
      <c r="F180" s="6"/>
      <c r="G180" s="6"/>
      <c r="H180" s="17"/>
      <c r="I180" s="39"/>
      <c r="J180" s="6"/>
      <c r="K180" s="6"/>
      <c r="L180" s="40"/>
      <c r="M180" s="6"/>
      <c r="N180" s="6"/>
      <c r="O180" s="6"/>
      <c r="P180" s="6"/>
      <c r="Q180" s="6"/>
      <c r="R180" s="6"/>
      <c r="S180" s="6"/>
      <c r="T180" s="16"/>
      <c r="U180" s="16"/>
      <c r="V180" s="6"/>
      <c r="W180" s="10"/>
      <c r="X180" s="6"/>
      <c r="Y180" s="59"/>
      <c r="Z180" s="16"/>
      <c r="AA180" s="6"/>
      <c r="AB180" s="114"/>
      <c r="AC180" s="449"/>
      <c r="AD180" s="10"/>
    </row>
    <row r="181" spans="1:30" s="9" customFormat="1" x14ac:dyDescent="0.2">
      <c r="A181" s="28"/>
      <c r="B181" s="16" t="s">
        <v>36</v>
      </c>
      <c r="C181" s="16" t="s">
        <v>133</v>
      </c>
      <c r="D181" s="7" t="s">
        <v>352</v>
      </c>
      <c r="E181" s="7"/>
      <c r="F181" s="6" t="s">
        <v>353</v>
      </c>
      <c r="G181" s="6"/>
      <c r="H181" s="17">
        <v>146960</v>
      </c>
      <c r="I181" s="6" t="s">
        <v>52</v>
      </c>
      <c r="J181" s="7">
        <v>36137</v>
      </c>
      <c r="K181" s="7"/>
      <c r="L181" s="23">
        <v>36227</v>
      </c>
      <c r="M181" s="18" t="s">
        <v>135</v>
      </c>
      <c r="N181" s="6" t="s">
        <v>42</v>
      </c>
      <c r="O181" s="6"/>
      <c r="P181" s="6"/>
      <c r="Q181" s="6"/>
      <c r="R181" s="6"/>
      <c r="S181" s="7">
        <v>36223</v>
      </c>
      <c r="T181" s="7">
        <v>36224</v>
      </c>
      <c r="U181" s="7"/>
      <c r="V181" s="6" t="s">
        <v>354</v>
      </c>
      <c r="W181" s="10">
        <v>484</v>
      </c>
      <c r="X181" s="6" t="s">
        <v>211</v>
      </c>
      <c r="Y181" s="59"/>
      <c r="Z181" s="16">
        <v>6519677990</v>
      </c>
      <c r="AA181" s="7">
        <v>36245</v>
      </c>
      <c r="AB181" s="513" t="s">
        <v>355</v>
      </c>
      <c r="AC181" s="514"/>
      <c r="AD181" s="10"/>
    </row>
    <row r="182" spans="1:30" s="9" customFormat="1" ht="12" thickBot="1" x14ac:dyDescent="0.25">
      <c r="A182" s="28"/>
      <c r="B182" s="19"/>
      <c r="C182" s="19"/>
      <c r="D182" s="5"/>
      <c r="E182" s="5"/>
      <c r="F182" s="5"/>
      <c r="G182" s="5"/>
      <c r="H182" s="20"/>
      <c r="I182" s="21"/>
      <c r="J182" s="5"/>
      <c r="K182" s="5"/>
      <c r="L182" s="22"/>
      <c r="M182" s="5"/>
      <c r="N182" s="5"/>
      <c r="O182" s="5"/>
      <c r="P182" s="5"/>
      <c r="Q182" s="5"/>
      <c r="R182" s="5"/>
      <c r="S182" s="27" t="s">
        <v>296</v>
      </c>
      <c r="T182" s="19"/>
      <c r="U182" s="19"/>
      <c r="V182" s="5" t="s">
        <v>356</v>
      </c>
      <c r="W182" s="36"/>
      <c r="X182" s="5"/>
      <c r="Y182" s="61"/>
      <c r="Z182" s="19"/>
      <c r="AA182" s="27"/>
      <c r="AB182" s="115" t="s">
        <v>357</v>
      </c>
      <c r="AC182" s="450"/>
      <c r="AD182" s="10"/>
    </row>
    <row r="183" spans="1:30" s="9" customFormat="1" x14ac:dyDescent="0.2">
      <c r="A183" s="28"/>
      <c r="B183" s="16"/>
      <c r="C183" s="16"/>
      <c r="D183" s="6" t="s">
        <v>165</v>
      </c>
      <c r="E183" s="6"/>
      <c r="F183" s="6"/>
      <c r="G183" s="6"/>
      <c r="H183" s="17"/>
      <c r="I183" s="39"/>
      <c r="J183" s="6"/>
      <c r="K183" s="6"/>
      <c r="L183" s="40"/>
      <c r="M183" s="6"/>
      <c r="N183" s="6"/>
      <c r="O183" s="6"/>
      <c r="P183" s="6"/>
      <c r="Q183" s="6"/>
      <c r="R183" s="6"/>
      <c r="S183" s="6"/>
      <c r="T183" s="16"/>
      <c r="U183" s="16"/>
      <c r="V183" s="6" t="s">
        <v>358</v>
      </c>
      <c r="W183" s="10"/>
      <c r="X183" s="6"/>
      <c r="Y183" s="59"/>
      <c r="Z183" s="16"/>
      <c r="AA183" s="6"/>
      <c r="AB183" s="6"/>
      <c r="AC183" s="6"/>
      <c r="AD183" s="10"/>
    </row>
    <row r="184" spans="1:30" s="9" customFormat="1" x14ac:dyDescent="0.2">
      <c r="A184" s="28"/>
      <c r="B184" s="16" t="s">
        <v>36</v>
      </c>
      <c r="C184" s="16" t="s">
        <v>133</v>
      </c>
      <c r="D184" s="7" t="s">
        <v>359</v>
      </c>
      <c r="E184" s="7"/>
      <c r="F184" s="6" t="s">
        <v>360</v>
      </c>
      <c r="G184" s="6"/>
      <c r="H184" s="17">
        <v>149568</v>
      </c>
      <c r="I184" s="6" t="s">
        <v>52</v>
      </c>
      <c r="J184" s="7">
        <v>36111</v>
      </c>
      <c r="K184" s="7"/>
      <c r="L184" s="23">
        <v>36231</v>
      </c>
      <c r="M184" s="18" t="s">
        <v>135</v>
      </c>
      <c r="N184" s="6" t="s">
        <v>42</v>
      </c>
      <c r="O184" s="6"/>
      <c r="P184" s="6"/>
      <c r="Q184" s="6"/>
      <c r="R184" s="6"/>
      <c r="S184" s="7">
        <v>36223</v>
      </c>
      <c r="T184" s="7">
        <v>36224</v>
      </c>
      <c r="U184" s="7"/>
      <c r="V184" s="6" t="s">
        <v>361</v>
      </c>
      <c r="W184" s="10">
        <v>474</v>
      </c>
      <c r="X184" s="6" t="s">
        <v>211</v>
      </c>
      <c r="Y184" s="59"/>
      <c r="Z184" s="16">
        <v>6519677990</v>
      </c>
      <c r="AA184" s="7">
        <v>36245</v>
      </c>
      <c r="AB184" s="7" t="s">
        <v>211</v>
      </c>
      <c r="AC184" s="7"/>
      <c r="AD184" s="10"/>
    </row>
    <row r="185" spans="1:30" s="9" customFormat="1" ht="12" thickBot="1" x14ac:dyDescent="0.25">
      <c r="A185" s="28"/>
      <c r="B185" s="19"/>
      <c r="C185" s="19"/>
      <c r="D185" s="5"/>
      <c r="E185" s="5"/>
      <c r="F185" s="5"/>
      <c r="G185" s="5"/>
      <c r="H185" s="20"/>
      <c r="I185" s="21" t="s">
        <v>230</v>
      </c>
      <c r="J185" s="5"/>
      <c r="K185" s="5"/>
      <c r="L185" s="22"/>
      <c r="M185" s="5"/>
      <c r="N185" s="5"/>
      <c r="O185" s="5"/>
      <c r="P185" s="5"/>
      <c r="Q185" s="5"/>
      <c r="R185" s="5"/>
      <c r="S185" s="27" t="s">
        <v>296</v>
      </c>
      <c r="T185" s="19"/>
      <c r="U185" s="19"/>
      <c r="V185" s="5" t="s">
        <v>362</v>
      </c>
      <c r="W185" s="36"/>
      <c r="X185" s="5"/>
      <c r="Y185" s="61"/>
      <c r="Z185" s="19"/>
      <c r="AA185" s="27"/>
      <c r="AB185" s="27"/>
      <c r="AC185" s="5"/>
      <c r="AD185" s="10"/>
    </row>
    <row r="186" spans="1:30" s="9" customFormat="1" x14ac:dyDescent="0.2">
      <c r="A186" s="28"/>
      <c r="B186" s="16"/>
      <c r="C186" s="16"/>
      <c r="D186" s="6" t="s">
        <v>165</v>
      </c>
      <c r="E186" s="6"/>
      <c r="F186" s="6"/>
      <c r="G186" s="6"/>
      <c r="H186" s="17"/>
      <c r="I186" s="39"/>
      <c r="J186" s="6"/>
      <c r="K186" s="6"/>
      <c r="L186" s="40"/>
      <c r="M186" s="6"/>
      <c r="N186" s="6"/>
      <c r="O186" s="6"/>
      <c r="P186" s="6"/>
      <c r="Q186" s="6"/>
      <c r="R186" s="6"/>
      <c r="S186" s="6"/>
      <c r="T186" s="16"/>
      <c r="U186" s="16"/>
      <c r="V186" s="6" t="s">
        <v>363</v>
      </c>
      <c r="W186" s="10"/>
      <c r="X186" s="6"/>
      <c r="Y186" s="59"/>
      <c r="Z186" s="16"/>
      <c r="AA186" s="6"/>
      <c r="AB186" s="6"/>
      <c r="AC186" s="6"/>
      <c r="AD186" s="10"/>
    </row>
    <row r="187" spans="1:30" s="9" customFormat="1" x14ac:dyDescent="0.2">
      <c r="A187" s="28"/>
      <c r="B187" s="16" t="s">
        <v>36</v>
      </c>
      <c r="C187" s="16" t="s">
        <v>133</v>
      </c>
      <c r="D187" s="7" t="s">
        <v>364</v>
      </c>
      <c r="E187" s="7"/>
      <c r="F187" s="6" t="s">
        <v>365</v>
      </c>
      <c r="G187" s="6"/>
      <c r="H187" s="17">
        <v>19775</v>
      </c>
      <c r="I187" s="6" t="s">
        <v>154</v>
      </c>
      <c r="J187" s="7">
        <v>36111</v>
      </c>
      <c r="K187" s="7"/>
      <c r="L187" s="23">
        <v>36231</v>
      </c>
      <c r="M187" s="18" t="s">
        <v>135</v>
      </c>
      <c r="N187" s="6" t="s">
        <v>42</v>
      </c>
      <c r="O187" s="6"/>
      <c r="P187" s="6"/>
      <c r="Q187" s="6"/>
      <c r="R187" s="6"/>
      <c r="S187" s="7">
        <v>36223</v>
      </c>
      <c r="T187" s="7">
        <v>36224</v>
      </c>
      <c r="U187" s="7"/>
      <c r="V187" s="6" t="s">
        <v>366</v>
      </c>
      <c r="W187" s="10">
        <v>475</v>
      </c>
      <c r="X187" s="6" t="s">
        <v>211</v>
      </c>
      <c r="Y187" s="59"/>
      <c r="Z187" s="16">
        <v>6519677990</v>
      </c>
      <c r="AA187" s="7">
        <v>36245</v>
      </c>
      <c r="AB187" s="7" t="s">
        <v>211</v>
      </c>
      <c r="AC187" s="7"/>
      <c r="AD187" s="10"/>
    </row>
    <row r="188" spans="1:30" s="9" customFormat="1" ht="12" thickBot="1" x14ac:dyDescent="0.25">
      <c r="A188" s="28"/>
      <c r="B188" s="19"/>
      <c r="C188" s="19"/>
      <c r="D188" s="5"/>
      <c r="E188" s="5"/>
      <c r="F188" s="5"/>
      <c r="G188" s="5"/>
      <c r="H188" s="20"/>
      <c r="I188" s="21"/>
      <c r="J188" s="5"/>
      <c r="K188" s="5"/>
      <c r="L188" s="22"/>
      <c r="M188" s="5"/>
      <c r="N188" s="5"/>
      <c r="O188" s="5"/>
      <c r="P188" s="5"/>
      <c r="Q188" s="5"/>
      <c r="R188" s="5"/>
      <c r="S188" s="27" t="s">
        <v>296</v>
      </c>
      <c r="T188" s="19"/>
      <c r="U188" s="19"/>
      <c r="V188" s="5" t="s">
        <v>362</v>
      </c>
      <c r="W188" s="36"/>
      <c r="X188" s="5"/>
      <c r="Y188" s="61"/>
      <c r="Z188" s="19"/>
      <c r="AA188" s="27"/>
      <c r="AB188" s="27"/>
      <c r="AC188" s="5"/>
      <c r="AD188" s="10"/>
    </row>
    <row r="189" spans="1:30" s="9" customFormat="1" x14ac:dyDescent="0.2">
      <c r="A189" s="28"/>
      <c r="B189" s="16"/>
      <c r="C189" s="16"/>
      <c r="D189" s="6"/>
      <c r="E189" s="6"/>
      <c r="F189" s="6"/>
      <c r="G189" s="6"/>
      <c r="H189" s="17"/>
      <c r="I189" s="39"/>
      <c r="J189" s="6"/>
      <c r="K189" s="6"/>
      <c r="L189" s="40"/>
      <c r="M189" s="6"/>
      <c r="N189" s="6"/>
      <c r="O189" s="6"/>
      <c r="P189" s="6"/>
      <c r="Q189" s="6"/>
      <c r="R189" s="6"/>
      <c r="S189" s="6"/>
      <c r="T189" s="16"/>
      <c r="U189" s="16"/>
      <c r="V189" s="6" t="s">
        <v>367</v>
      </c>
      <c r="W189" s="10"/>
      <c r="X189" s="6"/>
      <c r="Y189" s="59"/>
      <c r="Z189" s="16"/>
      <c r="AA189" s="6"/>
      <c r="AB189" s="6"/>
      <c r="AC189" s="6"/>
      <c r="AD189" s="10"/>
    </row>
    <row r="190" spans="1:30" s="9" customFormat="1" x14ac:dyDescent="0.2">
      <c r="A190" s="28"/>
      <c r="B190" s="16" t="s">
        <v>36</v>
      </c>
      <c r="C190" s="16" t="s">
        <v>133</v>
      </c>
      <c r="D190" s="7"/>
      <c r="E190" s="7"/>
      <c r="F190" s="6" t="s">
        <v>134</v>
      </c>
      <c r="G190" s="6"/>
      <c r="H190" s="17">
        <v>54569</v>
      </c>
      <c r="I190" s="6" t="s">
        <v>202</v>
      </c>
      <c r="J190" s="7">
        <v>36168</v>
      </c>
      <c r="K190" s="7"/>
      <c r="L190" s="23">
        <v>36261</v>
      </c>
      <c r="M190" s="18" t="s">
        <v>135</v>
      </c>
      <c r="N190" s="6" t="s">
        <v>42</v>
      </c>
      <c r="O190" s="6"/>
      <c r="P190" s="6"/>
      <c r="Q190" s="6"/>
      <c r="R190" s="6"/>
      <c r="S190" s="7">
        <v>36249</v>
      </c>
      <c r="T190" s="7">
        <v>36251</v>
      </c>
      <c r="U190" s="7"/>
      <c r="V190" s="6" t="s">
        <v>368</v>
      </c>
      <c r="W190" s="10">
        <v>476</v>
      </c>
      <c r="X190" s="6" t="s">
        <v>211</v>
      </c>
      <c r="Y190" s="59"/>
      <c r="Z190" s="16">
        <v>6519678060</v>
      </c>
      <c r="AA190" s="7">
        <v>36300</v>
      </c>
      <c r="AB190" s="7" t="s">
        <v>211</v>
      </c>
      <c r="AC190" s="7"/>
      <c r="AD190" s="10"/>
    </row>
    <row r="191" spans="1:30" s="9" customFormat="1" ht="12" thickBot="1" x14ac:dyDescent="0.25">
      <c r="A191" s="28"/>
      <c r="B191" s="19"/>
      <c r="C191" s="19"/>
      <c r="D191" s="5"/>
      <c r="E191" s="5"/>
      <c r="F191" s="5" t="s">
        <v>369</v>
      </c>
      <c r="G191" s="5"/>
      <c r="H191" s="20"/>
      <c r="I191" s="21" t="s">
        <v>138</v>
      </c>
      <c r="J191" s="5"/>
      <c r="K191" s="5"/>
      <c r="L191" s="22"/>
      <c r="M191" s="5"/>
      <c r="N191" s="5"/>
      <c r="O191" s="5"/>
      <c r="P191" s="5"/>
      <c r="Q191" s="5"/>
      <c r="R191" s="5"/>
      <c r="S191" s="27" t="s">
        <v>370</v>
      </c>
      <c r="T191" s="5" t="s">
        <v>296</v>
      </c>
      <c r="U191" s="5"/>
      <c r="V191" s="5" t="s">
        <v>371</v>
      </c>
      <c r="W191" s="36"/>
      <c r="X191" s="5"/>
      <c r="Y191" s="61"/>
      <c r="Z191" s="19"/>
      <c r="AA191" s="27"/>
      <c r="AB191" s="27"/>
      <c r="AC191" s="5"/>
      <c r="AD191" s="10"/>
    </row>
    <row r="192" spans="1:30" s="9" customFormat="1" x14ac:dyDescent="0.2">
      <c r="A192" s="28"/>
      <c r="B192" s="11"/>
      <c r="C192" s="11"/>
      <c r="D192" s="12"/>
      <c r="E192" s="12"/>
      <c r="F192" s="12"/>
      <c r="G192" s="12"/>
      <c r="H192" s="13"/>
      <c r="I192" s="14"/>
      <c r="J192" s="12"/>
      <c r="K192" s="12"/>
      <c r="L192" s="15"/>
      <c r="M192" s="12"/>
      <c r="N192" s="12"/>
      <c r="O192" s="12"/>
      <c r="P192" s="12"/>
      <c r="Q192" s="12"/>
      <c r="R192" s="12"/>
      <c r="S192" s="12"/>
      <c r="T192" s="11"/>
      <c r="U192" s="11"/>
      <c r="V192" s="12"/>
      <c r="W192" s="66"/>
      <c r="X192" s="12"/>
      <c r="Y192" s="57"/>
      <c r="Z192" s="11"/>
      <c r="AA192" s="12"/>
      <c r="AB192" s="12"/>
      <c r="AC192" s="12"/>
      <c r="AD192" s="10"/>
    </row>
    <row r="193" spans="1:31" s="9" customFormat="1" x14ac:dyDescent="0.2">
      <c r="A193" s="28"/>
      <c r="B193" s="16" t="s">
        <v>36</v>
      </c>
      <c r="C193" s="16" t="s">
        <v>133</v>
      </c>
      <c r="D193" s="7"/>
      <c r="E193" s="7"/>
      <c r="F193" s="6" t="s">
        <v>134</v>
      </c>
      <c r="G193" s="6"/>
      <c r="H193" s="17">
        <v>82221</v>
      </c>
      <c r="I193" s="6" t="s">
        <v>52</v>
      </c>
      <c r="J193" s="7">
        <v>36168</v>
      </c>
      <c r="K193" s="7"/>
      <c r="L193" s="23">
        <v>36261</v>
      </c>
      <c r="M193" s="18" t="s">
        <v>135</v>
      </c>
      <c r="N193" s="6" t="s">
        <v>42</v>
      </c>
      <c r="O193" s="6"/>
      <c r="P193" s="6"/>
      <c r="Q193" s="6"/>
      <c r="R193" s="6"/>
      <c r="S193" s="7">
        <v>36249</v>
      </c>
      <c r="T193" s="7">
        <v>36251</v>
      </c>
      <c r="U193" s="7"/>
      <c r="V193" s="6" t="s">
        <v>372</v>
      </c>
      <c r="W193" s="30">
        <v>477</v>
      </c>
      <c r="X193" s="6" t="s">
        <v>211</v>
      </c>
      <c r="Y193" s="59"/>
      <c r="Z193" s="16">
        <v>6519678060</v>
      </c>
      <c r="AA193" s="7">
        <v>36300</v>
      </c>
      <c r="AB193" s="7" t="s">
        <v>211</v>
      </c>
      <c r="AC193" s="7"/>
      <c r="AD193" s="10"/>
    </row>
    <row r="194" spans="1:31" s="9" customFormat="1" ht="12" thickBot="1" x14ac:dyDescent="0.25">
      <c r="A194" s="28"/>
      <c r="B194" s="19"/>
      <c r="C194" s="19"/>
      <c r="D194" s="5"/>
      <c r="E194" s="5"/>
      <c r="F194" s="5" t="s">
        <v>373</v>
      </c>
      <c r="G194" s="5"/>
      <c r="H194" s="20"/>
      <c r="I194" s="21" t="s">
        <v>230</v>
      </c>
      <c r="J194" s="5"/>
      <c r="K194" s="5"/>
      <c r="L194" s="22"/>
      <c r="M194" s="5"/>
      <c r="N194" s="5"/>
      <c r="O194" s="5"/>
      <c r="P194" s="5"/>
      <c r="Q194" s="5"/>
      <c r="R194" s="5"/>
      <c r="S194" s="27" t="s">
        <v>370</v>
      </c>
      <c r="T194" s="5" t="s">
        <v>296</v>
      </c>
      <c r="U194" s="5"/>
      <c r="V194" s="5"/>
      <c r="W194" s="36"/>
      <c r="X194" s="5"/>
      <c r="Y194" s="61"/>
      <c r="Z194" s="19"/>
      <c r="AA194" s="27"/>
      <c r="AB194" s="27"/>
      <c r="AC194" s="5"/>
      <c r="AD194" s="10"/>
    </row>
    <row r="195" spans="1:31" s="28" customFormat="1" x14ac:dyDescent="0.2">
      <c r="D195" s="30"/>
      <c r="E195" s="30"/>
      <c r="F195" s="30"/>
      <c r="G195" s="30"/>
      <c r="H195" s="33"/>
      <c r="I195" s="31"/>
      <c r="J195" s="30"/>
      <c r="K195" s="30"/>
      <c r="L195" s="32"/>
      <c r="M195" s="30"/>
      <c r="N195" s="30"/>
      <c r="O195" s="30"/>
      <c r="P195" s="30"/>
      <c r="Q195" s="30"/>
      <c r="R195" s="30"/>
      <c r="S195" s="48"/>
      <c r="T195" s="30"/>
      <c r="U195" s="30"/>
      <c r="V195" s="30"/>
      <c r="W195" s="30"/>
      <c r="X195" s="30"/>
      <c r="Y195" s="30"/>
      <c r="AA195" s="48"/>
      <c r="AB195" s="48"/>
      <c r="AC195" s="30"/>
      <c r="AD195" s="30"/>
    </row>
    <row r="196" spans="1:31" s="28" customFormat="1" ht="12" thickBot="1" x14ac:dyDescent="0.25">
      <c r="D196" s="30"/>
      <c r="E196" s="30"/>
      <c r="F196" s="30"/>
      <c r="G196" s="30"/>
      <c r="H196" s="33"/>
      <c r="I196" s="31"/>
      <c r="J196" s="30"/>
      <c r="K196" s="30"/>
      <c r="L196" s="32"/>
      <c r="M196" s="30"/>
      <c r="N196" s="30"/>
      <c r="O196" s="30"/>
      <c r="P196" s="30"/>
      <c r="Q196" s="30"/>
      <c r="R196" s="30"/>
      <c r="S196" s="48"/>
      <c r="T196" s="30"/>
      <c r="U196" s="30"/>
      <c r="V196" s="30"/>
      <c r="W196" s="30"/>
      <c r="X196" s="30"/>
      <c r="Y196" s="30"/>
      <c r="AA196" s="48"/>
      <c r="AB196" s="48"/>
      <c r="AC196" s="30"/>
      <c r="AD196" s="30"/>
    </row>
    <row r="197" spans="1:31" s="9" customFormat="1" x14ac:dyDescent="0.2">
      <c r="A197" s="28"/>
      <c r="B197" s="11"/>
      <c r="C197" s="11"/>
      <c r="D197" s="12"/>
      <c r="E197" s="12"/>
      <c r="F197" s="12"/>
      <c r="G197" s="12"/>
      <c r="H197" s="13"/>
      <c r="I197" s="14"/>
      <c r="J197" s="12"/>
      <c r="K197" s="12"/>
      <c r="L197" s="15"/>
      <c r="M197" s="12"/>
      <c r="N197" s="12"/>
      <c r="O197" s="12"/>
      <c r="P197" s="12"/>
      <c r="Q197" s="12"/>
      <c r="R197" s="12"/>
      <c r="S197" s="12"/>
      <c r="T197" s="12"/>
      <c r="U197" s="12"/>
      <c r="V197" s="12"/>
      <c r="W197" s="66"/>
      <c r="X197" s="12"/>
      <c r="Y197" s="57"/>
      <c r="Z197" s="11"/>
      <c r="AA197" s="12"/>
      <c r="AB197" s="12"/>
      <c r="AC197" s="12"/>
      <c r="AD197" s="10"/>
    </row>
    <row r="198" spans="1:31" s="9" customFormat="1" x14ac:dyDescent="0.2">
      <c r="A198" s="28"/>
      <c r="B198" s="16" t="s">
        <v>36</v>
      </c>
      <c r="C198" s="16" t="s">
        <v>133</v>
      </c>
      <c r="D198" s="7"/>
      <c r="E198" s="7"/>
      <c r="F198" s="6" t="s">
        <v>134</v>
      </c>
      <c r="G198" s="6"/>
      <c r="H198" s="17">
        <v>29565</v>
      </c>
      <c r="I198" s="6" t="s">
        <v>40</v>
      </c>
      <c r="J198" s="7">
        <v>36168</v>
      </c>
      <c r="K198" s="7"/>
      <c r="L198" s="23">
        <v>36261</v>
      </c>
      <c r="M198" s="18" t="s">
        <v>135</v>
      </c>
      <c r="N198" s="6" t="s">
        <v>42</v>
      </c>
      <c r="O198" s="6"/>
      <c r="P198" s="6"/>
      <c r="Q198" s="6"/>
      <c r="R198" s="6"/>
      <c r="S198" s="7">
        <v>36249</v>
      </c>
      <c r="T198" s="7">
        <v>36251</v>
      </c>
      <c r="U198" s="7"/>
      <c r="V198" s="6" t="s">
        <v>374</v>
      </c>
      <c r="W198" s="30">
        <v>478</v>
      </c>
      <c r="X198" s="6" t="s">
        <v>211</v>
      </c>
      <c r="Y198" s="59"/>
      <c r="Z198" s="16">
        <v>6519678060</v>
      </c>
      <c r="AA198" s="7">
        <v>36300</v>
      </c>
      <c r="AB198" s="7" t="s">
        <v>211</v>
      </c>
      <c r="AC198" s="7"/>
      <c r="AD198" s="10"/>
    </row>
    <row r="199" spans="1:31" s="9" customFormat="1" ht="12" thickBot="1" x14ac:dyDescent="0.25">
      <c r="A199" s="28"/>
      <c r="B199" s="19"/>
      <c r="C199" s="19"/>
      <c r="D199" s="5"/>
      <c r="E199" s="5"/>
      <c r="F199" s="5" t="s">
        <v>375</v>
      </c>
      <c r="G199" s="5"/>
      <c r="H199" s="20"/>
      <c r="I199" s="21" t="s">
        <v>241</v>
      </c>
      <c r="J199" s="5"/>
      <c r="K199" s="5"/>
      <c r="L199" s="22"/>
      <c r="M199" s="5"/>
      <c r="N199" s="5"/>
      <c r="O199" s="5"/>
      <c r="P199" s="5"/>
      <c r="Q199" s="5"/>
      <c r="R199" s="5"/>
      <c r="S199" s="27" t="s">
        <v>370</v>
      </c>
      <c r="T199" s="5" t="s">
        <v>296</v>
      </c>
      <c r="U199" s="5"/>
      <c r="V199" s="5"/>
      <c r="W199" s="36"/>
      <c r="X199" s="5"/>
      <c r="Y199" s="61"/>
      <c r="Z199" s="19"/>
      <c r="AA199" s="27"/>
      <c r="AB199" s="27"/>
      <c r="AC199" s="5"/>
      <c r="AD199" s="10"/>
    </row>
    <row r="200" spans="1:31" s="9" customFormat="1" x14ac:dyDescent="0.2">
      <c r="A200" s="28"/>
      <c r="B200" s="16"/>
      <c r="C200" s="16"/>
      <c r="D200" s="6"/>
      <c r="E200" s="6"/>
      <c r="F200" s="6"/>
      <c r="G200" s="6"/>
      <c r="H200" s="17"/>
      <c r="I200" s="39"/>
      <c r="J200" s="6"/>
      <c r="K200" s="6"/>
      <c r="L200" s="40"/>
      <c r="M200" s="6"/>
      <c r="N200" s="6"/>
      <c r="O200" s="6"/>
      <c r="P200" s="6"/>
      <c r="Q200" s="6"/>
      <c r="R200" s="6"/>
      <c r="S200" s="6"/>
      <c r="T200" s="6"/>
      <c r="U200" s="6"/>
      <c r="V200" s="6"/>
      <c r="W200" s="10"/>
      <c r="X200" s="6"/>
      <c r="Y200" s="59"/>
      <c r="Z200" s="16"/>
      <c r="AA200" s="6"/>
      <c r="AB200" s="6"/>
      <c r="AC200" s="6"/>
      <c r="AD200" s="10"/>
    </row>
    <row r="201" spans="1:31" s="9" customFormat="1" x14ac:dyDescent="0.2">
      <c r="A201" s="28"/>
      <c r="B201" s="16" t="s">
        <v>36</v>
      </c>
      <c r="C201" s="16" t="s">
        <v>133</v>
      </c>
      <c r="D201" s="7"/>
      <c r="E201" s="7"/>
      <c r="F201" s="6" t="s">
        <v>134</v>
      </c>
      <c r="G201" s="6"/>
      <c r="H201" s="17">
        <v>8930</v>
      </c>
      <c r="I201" s="6" t="s">
        <v>142</v>
      </c>
      <c r="J201" s="7">
        <v>36168</v>
      </c>
      <c r="K201" s="7"/>
      <c r="L201" s="23">
        <v>36261</v>
      </c>
      <c r="M201" s="18" t="s">
        <v>135</v>
      </c>
      <c r="N201" s="6" t="s">
        <v>42</v>
      </c>
      <c r="O201" s="6"/>
      <c r="P201" s="6"/>
      <c r="Q201" s="6"/>
      <c r="R201" s="6"/>
      <c r="S201" s="7">
        <v>36249</v>
      </c>
      <c r="T201" s="7">
        <v>36251</v>
      </c>
      <c r="U201" s="7"/>
      <c r="V201" s="6" t="s">
        <v>376</v>
      </c>
      <c r="W201" s="10">
        <v>479</v>
      </c>
      <c r="X201" s="6" t="s">
        <v>211</v>
      </c>
      <c r="Y201" s="59"/>
      <c r="Z201" s="16">
        <v>6519678060</v>
      </c>
      <c r="AA201" s="7">
        <v>36300</v>
      </c>
      <c r="AB201" s="7" t="s">
        <v>211</v>
      </c>
      <c r="AC201" s="7"/>
      <c r="AD201" s="10"/>
    </row>
    <row r="202" spans="1:31" s="9" customFormat="1" ht="12" thickBot="1" x14ac:dyDescent="0.25">
      <c r="A202" s="28"/>
      <c r="B202" s="19"/>
      <c r="C202" s="19"/>
      <c r="D202" s="5"/>
      <c r="E202" s="5"/>
      <c r="F202" s="5" t="s">
        <v>377</v>
      </c>
      <c r="G202" s="5"/>
      <c r="H202" s="20"/>
      <c r="I202" s="21" t="s">
        <v>320</v>
      </c>
      <c r="J202" s="5"/>
      <c r="K202" s="5"/>
      <c r="L202" s="22"/>
      <c r="M202" s="5"/>
      <c r="N202" s="5"/>
      <c r="O202" s="5"/>
      <c r="P202" s="5"/>
      <c r="Q202" s="5"/>
      <c r="R202" s="5"/>
      <c r="S202" s="27" t="s">
        <v>370</v>
      </c>
      <c r="T202" s="5" t="s">
        <v>296</v>
      </c>
      <c r="U202" s="5"/>
      <c r="V202" s="5"/>
      <c r="W202" s="36"/>
      <c r="X202" s="5"/>
      <c r="Y202" s="61"/>
      <c r="Z202" s="19"/>
      <c r="AA202" s="27"/>
      <c r="AB202" s="27"/>
      <c r="AC202" s="5"/>
      <c r="AD202" s="10"/>
    </row>
    <row r="203" spans="1:31" s="9" customFormat="1" x14ac:dyDescent="0.2">
      <c r="A203" s="28"/>
      <c r="B203" s="16"/>
      <c r="C203" s="16"/>
      <c r="D203" s="6"/>
      <c r="E203" s="6"/>
      <c r="F203" s="6"/>
      <c r="G203" s="6"/>
      <c r="H203" s="17"/>
      <c r="I203" s="39"/>
      <c r="J203" s="6"/>
      <c r="K203" s="6"/>
      <c r="L203" s="40"/>
      <c r="M203" s="6"/>
      <c r="N203" s="6"/>
      <c r="O203" s="6"/>
      <c r="P203" s="6"/>
      <c r="Q203" s="6"/>
      <c r="R203" s="6"/>
      <c r="S203" s="6"/>
      <c r="T203" s="6"/>
      <c r="U203" s="6"/>
      <c r="V203" s="6" t="s">
        <v>378</v>
      </c>
      <c r="W203" s="10"/>
      <c r="X203" s="57"/>
      <c r="Y203" s="59"/>
      <c r="Z203" s="16"/>
      <c r="AA203" s="6"/>
      <c r="AB203" s="6"/>
      <c r="AC203" s="56"/>
      <c r="AD203" s="10"/>
    </row>
    <row r="204" spans="1:31" s="9" customFormat="1" x14ac:dyDescent="0.2">
      <c r="A204" s="28"/>
      <c r="B204" s="16" t="s">
        <v>36</v>
      </c>
      <c r="C204" s="16" t="s">
        <v>379</v>
      </c>
      <c r="D204" s="7" t="s">
        <v>380</v>
      </c>
      <c r="E204" s="7"/>
      <c r="F204" s="6" t="s">
        <v>380</v>
      </c>
      <c r="G204" s="6"/>
      <c r="H204" s="17">
        <v>6070</v>
      </c>
      <c r="I204" s="6" t="s">
        <v>381</v>
      </c>
      <c r="J204" s="7">
        <v>36291</v>
      </c>
      <c r="K204" s="7"/>
      <c r="L204" s="23">
        <f>J204+45</f>
        <v>36336</v>
      </c>
      <c r="M204" s="18" t="s">
        <v>382</v>
      </c>
      <c r="N204" s="6" t="s">
        <v>42</v>
      </c>
      <c r="O204" s="6"/>
      <c r="P204" s="6"/>
      <c r="Q204" s="6"/>
      <c r="R204" s="6"/>
      <c r="S204" s="7">
        <v>36326</v>
      </c>
      <c r="T204" s="7">
        <v>36328</v>
      </c>
      <c r="U204" s="7"/>
      <c r="V204" s="6" t="s">
        <v>383</v>
      </c>
      <c r="W204" s="10">
        <v>500</v>
      </c>
      <c r="X204" s="59"/>
      <c r="Y204" s="59"/>
      <c r="Z204" s="6">
        <v>65811330975</v>
      </c>
      <c r="AA204" s="7">
        <v>36348</v>
      </c>
      <c r="AB204" s="7" t="s">
        <v>211</v>
      </c>
      <c r="AC204" s="7"/>
      <c r="AD204" s="10"/>
    </row>
    <row r="205" spans="1:31" s="9" customFormat="1" ht="12" thickBot="1" x14ac:dyDescent="0.25">
      <c r="A205" s="28"/>
      <c r="B205" s="19"/>
      <c r="C205" s="19"/>
      <c r="D205" s="5"/>
      <c r="E205" s="5"/>
      <c r="F205" s="5"/>
      <c r="G205" s="5"/>
      <c r="H205" s="20"/>
      <c r="I205" s="21"/>
      <c r="J205" s="5"/>
      <c r="K205" s="5"/>
      <c r="L205" s="22"/>
      <c r="M205" s="5"/>
      <c r="N205" s="5"/>
      <c r="O205" s="5"/>
      <c r="P205" s="5"/>
      <c r="Q205" s="5"/>
      <c r="R205" s="5"/>
      <c r="S205" s="27" t="s">
        <v>384</v>
      </c>
      <c r="T205" s="5"/>
      <c r="U205" s="5"/>
      <c r="V205" s="5" t="s">
        <v>385</v>
      </c>
      <c r="W205" s="36"/>
      <c r="X205" s="61"/>
      <c r="Y205" s="61"/>
      <c r="Z205" s="19"/>
      <c r="AA205" s="27" t="s">
        <v>318</v>
      </c>
      <c r="AB205" s="27"/>
      <c r="AC205" s="65"/>
      <c r="AD205" s="10"/>
    </row>
    <row r="206" spans="1:31" s="46" customFormat="1" x14ac:dyDescent="0.2">
      <c r="A206" s="28"/>
      <c r="B206" s="16"/>
      <c r="C206" s="16"/>
      <c r="D206" s="7"/>
      <c r="E206" s="7"/>
      <c r="F206" s="6"/>
      <c r="G206" s="6"/>
      <c r="H206" s="17"/>
      <c r="I206" s="17"/>
      <c r="J206" s="6"/>
      <c r="K206" s="6"/>
      <c r="L206" s="40"/>
      <c r="M206" s="6"/>
      <c r="N206" s="6"/>
      <c r="O206" s="6"/>
      <c r="P206" s="6"/>
      <c r="Q206" s="6"/>
      <c r="R206" s="6"/>
      <c r="S206" s="6"/>
      <c r="T206" s="6"/>
      <c r="U206" s="6"/>
      <c r="V206" s="6" t="s">
        <v>386</v>
      </c>
      <c r="W206" s="6"/>
      <c r="X206" s="6"/>
      <c r="Y206" s="59"/>
      <c r="Z206" s="6"/>
      <c r="AA206" s="6"/>
      <c r="AB206" s="6"/>
      <c r="AC206" s="12"/>
      <c r="AD206" s="3"/>
      <c r="AE206" s="2"/>
    </row>
    <row r="207" spans="1:31" s="46" customFormat="1" x14ac:dyDescent="0.2">
      <c r="A207" s="28"/>
      <c r="B207" s="16" t="s">
        <v>36</v>
      </c>
      <c r="C207" s="16" t="s">
        <v>133</v>
      </c>
      <c r="D207" s="7" t="s">
        <v>387</v>
      </c>
      <c r="E207" s="7"/>
      <c r="F207" s="6" t="s">
        <v>134</v>
      </c>
      <c r="G207" s="6"/>
      <c r="H207" s="17">
        <v>12869.35</v>
      </c>
      <c r="I207" s="39" t="s">
        <v>202</v>
      </c>
      <c r="J207" s="7">
        <v>36283</v>
      </c>
      <c r="K207" s="7"/>
      <c r="L207" s="23">
        <v>36373</v>
      </c>
      <c r="M207" s="18" t="s">
        <v>135</v>
      </c>
      <c r="N207" s="6" t="s">
        <v>42</v>
      </c>
      <c r="O207" s="6"/>
      <c r="P207" s="6"/>
      <c r="Q207" s="6"/>
      <c r="R207" s="6"/>
      <c r="S207" s="7">
        <v>36322</v>
      </c>
      <c r="T207" s="7">
        <v>36322</v>
      </c>
      <c r="U207" s="7"/>
      <c r="V207" s="6" t="s">
        <v>388</v>
      </c>
      <c r="W207" s="6">
        <v>491</v>
      </c>
      <c r="X207" s="6" t="s">
        <v>47</v>
      </c>
      <c r="Y207" s="59"/>
      <c r="Z207" s="6">
        <v>6581130953</v>
      </c>
      <c r="AA207" s="7">
        <v>36349</v>
      </c>
      <c r="AB207" s="7" t="s">
        <v>211</v>
      </c>
      <c r="AC207" s="515"/>
      <c r="AD207" s="3"/>
      <c r="AE207" s="2"/>
    </row>
    <row r="208" spans="1:31" s="46" customFormat="1" ht="12" thickBot="1" x14ac:dyDescent="0.25">
      <c r="A208" s="28"/>
      <c r="B208" s="19"/>
      <c r="C208" s="19"/>
      <c r="D208" s="5"/>
      <c r="E208" s="5"/>
      <c r="F208" s="5" t="s">
        <v>389</v>
      </c>
      <c r="G208" s="5"/>
      <c r="H208" s="20"/>
      <c r="I208" s="21" t="s">
        <v>295</v>
      </c>
      <c r="J208" s="5"/>
      <c r="K208" s="5"/>
      <c r="L208" s="22"/>
      <c r="M208" s="5"/>
      <c r="N208" s="5"/>
      <c r="O208" s="5"/>
      <c r="P208" s="5"/>
      <c r="Q208" s="5"/>
      <c r="R208" s="5"/>
      <c r="S208" s="27" t="s">
        <v>185</v>
      </c>
      <c r="T208" s="5" t="s">
        <v>309</v>
      </c>
      <c r="U208" s="5"/>
      <c r="V208" s="5" t="s">
        <v>390</v>
      </c>
      <c r="W208" s="5"/>
      <c r="X208" s="5"/>
      <c r="Y208" s="61"/>
      <c r="Z208" s="5"/>
      <c r="AA208" s="5"/>
      <c r="AB208" s="6"/>
      <c r="AC208" s="515"/>
      <c r="AD208" s="3"/>
      <c r="AE208" s="2"/>
    </row>
    <row r="209" spans="1:31" s="46" customFormat="1" x14ac:dyDescent="0.2">
      <c r="A209" s="28"/>
      <c r="B209" s="16"/>
      <c r="C209" s="16"/>
      <c r="D209" s="7"/>
      <c r="E209" s="7"/>
      <c r="F209" s="6"/>
      <c r="G209" s="6"/>
      <c r="H209" s="17"/>
      <c r="I209" s="17"/>
      <c r="J209" s="6"/>
      <c r="K209" s="6"/>
      <c r="L209" s="40"/>
      <c r="M209" s="6"/>
      <c r="N209" s="6"/>
      <c r="O209" s="6"/>
      <c r="P209" s="6"/>
      <c r="Q209" s="6"/>
      <c r="R209" s="6"/>
      <c r="S209" s="6"/>
      <c r="T209" s="6"/>
      <c r="U209" s="6"/>
      <c r="V209" s="6" t="s">
        <v>391</v>
      </c>
      <c r="W209" s="6"/>
      <c r="X209" s="6"/>
      <c r="Y209" s="59"/>
      <c r="Z209" s="6"/>
      <c r="AA209" s="47"/>
      <c r="AB209" s="47"/>
      <c r="AC209" s="516"/>
      <c r="AD209" s="3"/>
      <c r="AE209" s="2"/>
    </row>
    <row r="210" spans="1:31" s="46" customFormat="1" x14ac:dyDescent="0.2">
      <c r="A210" s="28"/>
      <c r="B210" s="16" t="s">
        <v>36</v>
      </c>
      <c r="C210" s="16" t="s">
        <v>133</v>
      </c>
      <c r="D210" s="7" t="s">
        <v>392</v>
      </c>
      <c r="E210" s="7"/>
      <c r="F210" s="6" t="s">
        <v>134</v>
      </c>
      <c r="G210" s="6"/>
      <c r="H210" s="17">
        <v>115788.79</v>
      </c>
      <c r="I210" s="39" t="s">
        <v>52</v>
      </c>
      <c r="J210" s="7">
        <v>36283</v>
      </c>
      <c r="K210" s="7"/>
      <c r="L210" s="23">
        <v>36373</v>
      </c>
      <c r="M210" s="18" t="s">
        <v>135</v>
      </c>
      <c r="N210" s="6" t="s">
        <v>42</v>
      </c>
      <c r="O210" s="6"/>
      <c r="P210" s="6"/>
      <c r="Q210" s="6"/>
      <c r="R210" s="6"/>
      <c r="S210" s="7">
        <v>36322</v>
      </c>
      <c r="T210" s="7">
        <v>36322</v>
      </c>
      <c r="U210" s="7"/>
      <c r="V210" s="6" t="s">
        <v>393</v>
      </c>
      <c r="W210" s="6">
        <v>492</v>
      </c>
      <c r="X210" s="6" t="s">
        <v>47</v>
      </c>
      <c r="Y210" s="59"/>
      <c r="Z210" s="6">
        <v>6581130953</v>
      </c>
      <c r="AA210" s="35">
        <v>36349</v>
      </c>
      <c r="AB210" s="35" t="s">
        <v>211</v>
      </c>
      <c r="AC210" s="515"/>
      <c r="AD210" s="3"/>
      <c r="AE210" s="2"/>
    </row>
    <row r="211" spans="1:31" s="46" customFormat="1" ht="12" thickBot="1" x14ac:dyDescent="0.25">
      <c r="A211" s="28"/>
      <c r="B211" s="19"/>
      <c r="C211" s="19"/>
      <c r="D211" s="5"/>
      <c r="E211" s="5"/>
      <c r="F211" s="5" t="s">
        <v>394</v>
      </c>
      <c r="G211" s="5"/>
      <c r="H211" s="20"/>
      <c r="I211" s="21" t="s">
        <v>230</v>
      </c>
      <c r="J211" s="5"/>
      <c r="K211" s="5"/>
      <c r="L211" s="22"/>
      <c r="M211" s="5"/>
      <c r="N211" s="5"/>
      <c r="O211" s="5"/>
      <c r="P211" s="5"/>
      <c r="Q211" s="5"/>
      <c r="R211" s="5"/>
      <c r="S211" s="27" t="s">
        <v>185</v>
      </c>
      <c r="T211" s="5" t="s">
        <v>309</v>
      </c>
      <c r="U211" s="5"/>
      <c r="V211" s="5" t="s">
        <v>390</v>
      </c>
      <c r="W211" s="5"/>
      <c r="X211" s="5"/>
      <c r="Y211" s="61"/>
      <c r="Z211" s="5"/>
      <c r="AA211" s="36"/>
      <c r="AB211" s="36"/>
      <c r="AC211" s="517"/>
      <c r="AD211" s="3"/>
      <c r="AE211" s="2"/>
    </row>
    <row r="212" spans="1:31" s="46" customFormat="1" x14ac:dyDescent="0.2">
      <c r="A212" s="28"/>
      <c r="B212" s="16"/>
      <c r="C212" s="16"/>
      <c r="D212" s="7"/>
      <c r="E212" s="7"/>
      <c r="F212" s="6"/>
      <c r="G212" s="6"/>
      <c r="H212" s="17"/>
      <c r="I212" s="17"/>
      <c r="J212" s="6"/>
      <c r="K212" s="6"/>
      <c r="L212" s="40"/>
      <c r="M212" s="6"/>
      <c r="N212" s="6"/>
      <c r="O212" s="6"/>
      <c r="P212" s="6"/>
      <c r="Q212" s="6"/>
      <c r="R212" s="6"/>
      <c r="S212" s="6"/>
      <c r="T212" s="6"/>
      <c r="U212" s="6"/>
      <c r="V212" s="6"/>
      <c r="W212" s="6"/>
      <c r="X212" s="6"/>
      <c r="Y212" s="59"/>
      <c r="Z212" s="6"/>
      <c r="AA212" s="6"/>
      <c r="AB212" s="6"/>
      <c r="AC212" s="518"/>
      <c r="AD212" s="3"/>
      <c r="AE212" s="2"/>
    </row>
    <row r="213" spans="1:31" s="46" customFormat="1" x14ac:dyDescent="0.2">
      <c r="A213" s="28"/>
      <c r="B213" s="16" t="s">
        <v>36</v>
      </c>
      <c r="C213" s="16" t="s">
        <v>133</v>
      </c>
      <c r="D213" s="7" t="s">
        <v>395</v>
      </c>
      <c r="E213" s="7"/>
      <c r="F213" s="6" t="s">
        <v>134</v>
      </c>
      <c r="G213" s="6"/>
      <c r="H213" s="17">
        <v>10399.549999999999</v>
      </c>
      <c r="I213" s="39" t="s">
        <v>142</v>
      </c>
      <c r="J213" s="7">
        <v>36283</v>
      </c>
      <c r="K213" s="7"/>
      <c r="L213" s="23">
        <v>36373</v>
      </c>
      <c r="M213" s="18" t="s">
        <v>135</v>
      </c>
      <c r="N213" s="6" t="s">
        <v>42</v>
      </c>
      <c r="O213" s="6"/>
      <c r="P213" s="6"/>
      <c r="Q213" s="6"/>
      <c r="R213" s="6"/>
      <c r="S213" s="7">
        <v>36322</v>
      </c>
      <c r="T213" s="7">
        <v>36322</v>
      </c>
      <c r="U213" s="7"/>
      <c r="V213" s="6" t="s">
        <v>396</v>
      </c>
      <c r="W213" s="6">
        <v>494</v>
      </c>
      <c r="X213" s="6" t="s">
        <v>47</v>
      </c>
      <c r="Y213" s="59"/>
      <c r="Z213" s="6">
        <v>6581130953</v>
      </c>
      <c r="AA213" s="7">
        <v>36349</v>
      </c>
      <c r="AB213" s="7" t="s">
        <v>47</v>
      </c>
      <c r="AC213" s="507"/>
      <c r="AD213" s="3"/>
      <c r="AE213" s="2"/>
    </row>
    <row r="214" spans="1:31" s="46" customFormat="1" ht="12" thickBot="1" x14ac:dyDescent="0.25">
      <c r="A214" s="28"/>
      <c r="B214" s="19"/>
      <c r="C214" s="19"/>
      <c r="D214" s="5"/>
      <c r="E214" s="5"/>
      <c r="F214" s="5" t="s">
        <v>397</v>
      </c>
      <c r="G214" s="5"/>
      <c r="H214" s="20"/>
      <c r="I214" s="21" t="s">
        <v>208</v>
      </c>
      <c r="J214" s="5"/>
      <c r="K214" s="5"/>
      <c r="L214" s="22"/>
      <c r="M214" s="5"/>
      <c r="N214" s="5"/>
      <c r="O214" s="5"/>
      <c r="P214" s="5"/>
      <c r="Q214" s="5"/>
      <c r="R214" s="5"/>
      <c r="S214" s="27" t="s">
        <v>185</v>
      </c>
      <c r="T214" s="5" t="s">
        <v>309</v>
      </c>
      <c r="U214" s="5"/>
      <c r="V214" s="5" t="s">
        <v>390</v>
      </c>
      <c r="W214" s="5"/>
      <c r="X214" s="5"/>
      <c r="Y214" s="61"/>
      <c r="Z214" s="5"/>
      <c r="AA214" s="5"/>
      <c r="AB214" s="5"/>
      <c r="AC214" s="65"/>
      <c r="AD214" s="3"/>
      <c r="AE214" s="2"/>
    </row>
    <row r="215" spans="1:31" s="46" customFormat="1" x14ac:dyDescent="0.2">
      <c r="A215" s="28"/>
      <c r="B215" s="16"/>
      <c r="C215" s="16"/>
      <c r="D215" s="7"/>
      <c r="E215" s="7"/>
      <c r="F215" s="6"/>
      <c r="G215" s="6"/>
      <c r="H215" s="17"/>
      <c r="I215" s="17"/>
      <c r="J215" s="6"/>
      <c r="K215" s="6"/>
      <c r="L215" s="40"/>
      <c r="M215" s="6"/>
      <c r="N215" s="6" t="s">
        <v>110</v>
      </c>
      <c r="O215" s="6"/>
      <c r="P215" s="6"/>
      <c r="Q215" s="6"/>
      <c r="R215" s="6"/>
      <c r="S215" s="7">
        <v>36301</v>
      </c>
      <c r="T215" s="7">
        <v>36302</v>
      </c>
      <c r="U215" s="7"/>
      <c r="V215" s="6" t="s">
        <v>398</v>
      </c>
      <c r="W215" s="57"/>
      <c r="X215" s="57"/>
      <c r="Y215" s="59"/>
      <c r="Z215" s="6" t="s">
        <v>399</v>
      </c>
      <c r="AA215" s="7">
        <v>36309</v>
      </c>
      <c r="AB215" s="7"/>
      <c r="AC215" s="57"/>
      <c r="AD215" s="3"/>
      <c r="AE215" s="2"/>
    </row>
    <row r="216" spans="1:31" s="46" customFormat="1" x14ac:dyDescent="0.2">
      <c r="A216" s="28"/>
      <c r="B216" s="16" t="s">
        <v>36</v>
      </c>
      <c r="C216" s="16" t="s">
        <v>133</v>
      </c>
      <c r="D216" s="7"/>
      <c r="E216" s="7"/>
      <c r="F216" s="40" t="s">
        <v>400</v>
      </c>
      <c r="G216" s="40"/>
      <c r="H216" s="17"/>
      <c r="I216" s="39" t="s">
        <v>52</v>
      </c>
      <c r="J216" s="7"/>
      <c r="K216" s="7"/>
      <c r="L216" s="23"/>
      <c r="M216" s="18"/>
      <c r="N216" s="6"/>
      <c r="O216" s="6"/>
      <c r="P216" s="6"/>
      <c r="Q216" s="6"/>
      <c r="R216" s="6"/>
      <c r="S216" s="7"/>
      <c r="T216" s="7"/>
      <c r="U216" s="7"/>
      <c r="V216" s="6" t="s">
        <v>401</v>
      </c>
      <c r="W216" s="59"/>
      <c r="X216" s="59"/>
      <c r="Y216" s="59"/>
      <c r="Z216" s="6"/>
      <c r="AA216" s="7" t="s">
        <v>402</v>
      </c>
      <c r="AB216" s="7"/>
      <c r="AC216" s="59"/>
      <c r="AD216" s="3"/>
      <c r="AE216" s="2"/>
    </row>
    <row r="217" spans="1:31" s="46" customFormat="1" ht="12" thickBot="1" x14ac:dyDescent="0.25">
      <c r="A217" s="28"/>
      <c r="B217" s="19"/>
      <c r="C217" s="19"/>
      <c r="D217" s="5"/>
      <c r="E217" s="5"/>
      <c r="F217" s="5"/>
      <c r="G217" s="5"/>
      <c r="H217" s="20"/>
      <c r="I217" s="21" t="s">
        <v>230</v>
      </c>
      <c r="J217" s="5"/>
      <c r="K217" s="5"/>
      <c r="L217" s="22"/>
      <c r="M217" s="5"/>
      <c r="N217" s="5" t="s">
        <v>42</v>
      </c>
      <c r="O217" s="5"/>
      <c r="P217" s="5"/>
      <c r="Q217" s="5"/>
      <c r="R217" s="5"/>
      <c r="S217" s="27">
        <v>36315</v>
      </c>
      <c r="T217" s="27">
        <v>36322</v>
      </c>
      <c r="U217" s="27"/>
      <c r="V217" s="5" t="s">
        <v>403</v>
      </c>
      <c r="W217" s="61"/>
      <c r="X217" s="61"/>
      <c r="Y217" s="61"/>
      <c r="Z217" s="5">
        <v>6581130953</v>
      </c>
      <c r="AA217" s="27">
        <v>36349</v>
      </c>
      <c r="AB217" s="27"/>
      <c r="AC217" s="61"/>
      <c r="AD217" s="3"/>
      <c r="AE217" s="2"/>
    </row>
    <row r="218" spans="1:31" s="9" customFormat="1" x14ac:dyDescent="0.2">
      <c r="A218" s="28"/>
      <c r="B218" s="16"/>
      <c r="C218" s="16"/>
      <c r="D218" s="7"/>
      <c r="E218" s="7"/>
      <c r="F218" s="6"/>
      <c r="G218" s="6"/>
      <c r="H218" s="17"/>
      <c r="I218" s="17"/>
      <c r="J218" s="6"/>
      <c r="K218" s="6"/>
      <c r="L218" s="40"/>
      <c r="M218" s="6"/>
      <c r="N218" s="6"/>
      <c r="O218" s="6"/>
      <c r="P218" s="6"/>
      <c r="Q218" s="6"/>
      <c r="R218" s="6"/>
      <c r="S218" s="6"/>
      <c r="T218" s="6"/>
      <c r="U218" s="6"/>
      <c r="V218" s="6"/>
      <c r="W218" s="6"/>
      <c r="X218" s="57"/>
      <c r="Y218" s="57"/>
      <c r="Z218" s="57"/>
      <c r="AA218" s="6"/>
      <c r="AB218" s="6"/>
      <c r="AC218" s="6"/>
      <c r="AD218" s="10"/>
    </row>
    <row r="219" spans="1:31" s="9" customFormat="1" x14ac:dyDescent="0.2">
      <c r="A219" s="28"/>
      <c r="B219" s="16" t="s">
        <v>36</v>
      </c>
      <c r="C219" s="16" t="s">
        <v>157</v>
      </c>
      <c r="D219" s="7" t="s">
        <v>404</v>
      </c>
      <c r="E219" s="7"/>
      <c r="F219" s="6" t="s">
        <v>405</v>
      </c>
      <c r="G219" s="6"/>
      <c r="H219" s="17">
        <v>9726</v>
      </c>
      <c r="I219" s="39" t="s">
        <v>181</v>
      </c>
      <c r="J219" s="7">
        <v>36311</v>
      </c>
      <c r="K219" s="7"/>
      <c r="L219" s="23">
        <f>J219+45</f>
        <v>36356</v>
      </c>
      <c r="M219" s="18" t="s">
        <v>135</v>
      </c>
      <c r="N219" s="6" t="s">
        <v>110</v>
      </c>
      <c r="O219" s="6"/>
      <c r="P219" s="6"/>
      <c r="Q219" s="6"/>
      <c r="R219" s="6"/>
      <c r="S219" s="7" t="s">
        <v>406</v>
      </c>
      <c r="T219" s="7">
        <v>36359</v>
      </c>
      <c r="U219" s="7"/>
      <c r="V219" s="6" t="s">
        <v>407</v>
      </c>
      <c r="W219" s="6">
        <v>506</v>
      </c>
      <c r="X219" s="59"/>
      <c r="Y219" s="59"/>
      <c r="Z219" s="59"/>
      <c r="AA219" s="7">
        <v>36361</v>
      </c>
      <c r="AB219" s="7" t="s">
        <v>47</v>
      </c>
      <c r="AC219" s="515"/>
      <c r="AD219" s="10"/>
    </row>
    <row r="220" spans="1:31" s="9" customFormat="1" ht="12" thickBot="1" x14ac:dyDescent="0.25">
      <c r="A220" s="28"/>
      <c r="B220" s="19"/>
      <c r="C220" s="19"/>
      <c r="D220" s="5"/>
      <c r="E220" s="5"/>
      <c r="F220" s="5"/>
      <c r="G220" s="5"/>
      <c r="H220" s="20"/>
      <c r="I220" s="21"/>
      <c r="J220" s="5"/>
      <c r="K220" s="5"/>
      <c r="L220" s="22"/>
      <c r="M220" s="5"/>
      <c r="N220" s="5"/>
      <c r="O220" s="5"/>
      <c r="P220" s="5"/>
      <c r="Q220" s="5"/>
      <c r="R220" s="5"/>
      <c r="S220" s="27"/>
      <c r="T220" s="19"/>
      <c r="U220" s="19"/>
      <c r="V220" s="5"/>
      <c r="W220" s="5"/>
      <c r="X220" s="61"/>
      <c r="Y220" s="61"/>
      <c r="Z220" s="61"/>
      <c r="AA220" s="5"/>
      <c r="AB220" s="5"/>
      <c r="AC220" s="5"/>
      <c r="AD220" s="10"/>
    </row>
    <row r="221" spans="1:31" s="9" customFormat="1" x14ac:dyDescent="0.2">
      <c r="A221" s="28"/>
      <c r="B221" s="16"/>
      <c r="C221" s="16"/>
      <c r="D221" s="7"/>
      <c r="E221" s="7"/>
      <c r="F221" s="6"/>
      <c r="G221" s="6"/>
      <c r="H221" s="17"/>
      <c r="I221" s="17"/>
      <c r="J221" s="6"/>
      <c r="K221" s="6"/>
      <c r="L221" s="40"/>
      <c r="M221" s="6"/>
      <c r="N221" s="6"/>
      <c r="O221" s="6"/>
      <c r="P221" s="6"/>
      <c r="Q221" s="6"/>
      <c r="R221" s="6"/>
      <c r="S221" s="6"/>
      <c r="T221" s="6"/>
      <c r="U221" s="6"/>
      <c r="V221" s="6" t="s">
        <v>408</v>
      </c>
      <c r="W221" s="6"/>
      <c r="X221" s="6"/>
      <c r="Y221" s="57"/>
      <c r="Z221" s="6"/>
      <c r="AA221" s="6"/>
      <c r="AB221" s="6"/>
      <c r="AC221" s="6"/>
      <c r="AD221" s="10"/>
    </row>
    <row r="222" spans="1:31" s="9" customFormat="1" x14ac:dyDescent="0.2">
      <c r="A222" s="28"/>
      <c r="B222" s="16" t="s">
        <v>36</v>
      </c>
      <c r="C222" s="16" t="s">
        <v>133</v>
      </c>
      <c r="D222" s="7" t="s">
        <v>409</v>
      </c>
      <c r="E222" s="7"/>
      <c r="F222" s="6" t="s">
        <v>134</v>
      </c>
      <c r="G222" s="6"/>
      <c r="H222" s="17">
        <v>128174.8</v>
      </c>
      <c r="I222" s="39" t="s">
        <v>52</v>
      </c>
      <c r="J222" s="7">
        <v>36283</v>
      </c>
      <c r="K222" s="7"/>
      <c r="L222" s="23">
        <v>36373</v>
      </c>
      <c r="M222" s="18" t="s">
        <v>135</v>
      </c>
      <c r="N222" s="6" t="s">
        <v>42</v>
      </c>
      <c r="O222" s="6"/>
      <c r="P222" s="6"/>
      <c r="Q222" s="6"/>
      <c r="R222" s="6"/>
      <c r="S222" s="7">
        <v>36356</v>
      </c>
      <c r="T222" s="7">
        <v>36360</v>
      </c>
      <c r="U222" s="7"/>
      <c r="V222" s="6" t="s">
        <v>391</v>
      </c>
      <c r="W222" s="6">
        <v>493</v>
      </c>
      <c r="X222" s="6" t="s">
        <v>47</v>
      </c>
      <c r="Y222" s="59"/>
      <c r="Z222" s="6">
        <v>6576795201</v>
      </c>
      <c r="AA222" s="7">
        <v>36393</v>
      </c>
      <c r="AB222" s="7" t="s">
        <v>47</v>
      </c>
      <c r="AC222" s="515"/>
      <c r="AD222" s="10"/>
    </row>
    <row r="223" spans="1:31" s="9" customFormat="1" ht="12" thickBot="1" x14ac:dyDescent="0.25">
      <c r="A223" s="28"/>
      <c r="B223" s="19"/>
      <c r="C223" s="19"/>
      <c r="D223" s="5"/>
      <c r="E223" s="5"/>
      <c r="F223" s="5" t="s">
        <v>410</v>
      </c>
      <c r="G223" s="5"/>
      <c r="H223" s="20"/>
      <c r="I223" s="21" t="s">
        <v>230</v>
      </c>
      <c r="J223" s="5"/>
      <c r="K223" s="5"/>
      <c r="L223" s="22"/>
      <c r="M223" s="5"/>
      <c r="N223" s="5"/>
      <c r="O223" s="5"/>
      <c r="P223" s="5"/>
      <c r="Q223" s="5"/>
      <c r="R223" s="5"/>
      <c r="S223" s="27" t="s">
        <v>185</v>
      </c>
      <c r="T223" s="19"/>
      <c r="U223" s="16"/>
      <c r="V223" s="6" t="s">
        <v>411</v>
      </c>
      <c r="W223" s="5"/>
      <c r="X223" s="5"/>
      <c r="Y223" s="61"/>
      <c r="Z223" s="5"/>
      <c r="AA223" s="5"/>
      <c r="AB223" s="5"/>
      <c r="AC223" s="5"/>
      <c r="AD223" s="10"/>
    </row>
    <row r="224" spans="1:31" s="9" customFormat="1" x14ac:dyDescent="0.2">
      <c r="A224" s="28"/>
      <c r="B224" s="16"/>
      <c r="C224" s="16"/>
      <c r="D224" s="7"/>
      <c r="E224" s="7"/>
      <c r="F224" s="6"/>
      <c r="G224" s="6"/>
      <c r="H224" s="17"/>
      <c r="I224" s="17"/>
      <c r="J224" s="6"/>
      <c r="K224" s="6"/>
      <c r="L224" s="40"/>
      <c r="M224" s="6"/>
      <c r="N224" s="6"/>
      <c r="O224" s="6"/>
      <c r="P224" s="6"/>
      <c r="Q224" s="6"/>
      <c r="R224" s="6"/>
      <c r="S224" s="6"/>
      <c r="T224" s="47"/>
      <c r="U224" s="47"/>
      <c r="V224" s="12" t="s">
        <v>412</v>
      </c>
      <c r="W224" s="67"/>
      <c r="X224" s="6"/>
      <c r="Y224" s="59"/>
      <c r="Z224" s="6"/>
      <c r="AA224" s="6"/>
      <c r="AB224" s="6"/>
      <c r="AC224" s="6"/>
      <c r="AD224" s="10"/>
    </row>
    <row r="225" spans="1:30" s="9" customFormat="1" x14ac:dyDescent="0.2">
      <c r="A225" s="28"/>
      <c r="B225" s="16" t="s">
        <v>36</v>
      </c>
      <c r="C225" s="16" t="s">
        <v>133</v>
      </c>
      <c r="D225" s="7"/>
      <c r="E225" s="7"/>
      <c r="F225" s="6" t="s">
        <v>134</v>
      </c>
      <c r="G225" s="6"/>
      <c r="H225" s="17">
        <v>42899.49</v>
      </c>
      <c r="I225" s="39" t="s">
        <v>202</v>
      </c>
      <c r="J225" s="7">
        <v>36304</v>
      </c>
      <c r="K225" s="7"/>
      <c r="L225" s="23">
        <v>36364</v>
      </c>
      <c r="M225" s="18" t="s">
        <v>135</v>
      </c>
      <c r="N225" s="6" t="s">
        <v>42</v>
      </c>
      <c r="O225" s="6"/>
      <c r="P225" s="6"/>
      <c r="Q225" s="6"/>
      <c r="R225" s="6"/>
      <c r="S225" s="7">
        <v>36356</v>
      </c>
      <c r="T225" s="35">
        <v>36360</v>
      </c>
      <c r="U225" s="35"/>
      <c r="V225" s="6" t="s">
        <v>413</v>
      </c>
      <c r="W225" s="67">
        <v>496</v>
      </c>
      <c r="X225" s="6" t="s">
        <v>47</v>
      </c>
      <c r="Y225" s="59"/>
      <c r="Z225" s="6">
        <v>6576795201</v>
      </c>
      <c r="AA225" s="7">
        <v>36393</v>
      </c>
      <c r="AB225" s="7" t="s">
        <v>47</v>
      </c>
      <c r="AC225" s="515"/>
      <c r="AD225" s="10"/>
    </row>
    <row r="226" spans="1:30" s="9" customFormat="1" ht="12" thickBot="1" x14ac:dyDescent="0.25">
      <c r="A226" s="28"/>
      <c r="B226" s="19"/>
      <c r="C226" s="19"/>
      <c r="D226" s="5"/>
      <c r="E226" s="5"/>
      <c r="F226" s="5" t="s">
        <v>414</v>
      </c>
      <c r="G226" s="5"/>
      <c r="H226" s="20"/>
      <c r="I226" s="21" t="s">
        <v>295</v>
      </c>
      <c r="J226" s="5"/>
      <c r="K226" s="5"/>
      <c r="L226" s="22"/>
      <c r="M226" s="5"/>
      <c r="N226" s="5"/>
      <c r="O226" s="5"/>
      <c r="P226" s="5"/>
      <c r="Q226" s="5"/>
      <c r="R226" s="5"/>
      <c r="S226" s="27" t="s">
        <v>185</v>
      </c>
      <c r="T226" s="55"/>
      <c r="U226" s="55"/>
      <c r="V226" s="5" t="s">
        <v>411</v>
      </c>
      <c r="W226" s="68"/>
      <c r="X226" s="5"/>
      <c r="Y226" s="61"/>
      <c r="Z226" s="5"/>
      <c r="AA226" s="5"/>
      <c r="AB226" s="5"/>
      <c r="AC226" s="5"/>
      <c r="AD226" s="10"/>
    </row>
    <row r="227" spans="1:30" s="9" customFormat="1" x14ac:dyDescent="0.2">
      <c r="A227" s="28"/>
      <c r="B227" s="16"/>
      <c r="C227" s="16"/>
      <c r="D227" s="7"/>
      <c r="E227" s="7"/>
      <c r="F227" s="6"/>
      <c r="G227" s="6"/>
      <c r="H227" s="17"/>
      <c r="I227" s="17"/>
      <c r="J227" s="6"/>
      <c r="K227" s="6"/>
      <c r="L227" s="40"/>
      <c r="M227" s="6"/>
      <c r="N227" s="6"/>
      <c r="O227" s="6"/>
      <c r="P227" s="6"/>
      <c r="Q227" s="6"/>
      <c r="R227" s="6"/>
      <c r="S227" s="6"/>
      <c r="T227" s="6"/>
      <c r="U227" s="6"/>
      <c r="V227" s="6"/>
      <c r="W227" s="6"/>
      <c r="X227" s="6"/>
      <c r="Y227" s="59"/>
      <c r="Z227" s="6"/>
      <c r="AA227" s="6"/>
      <c r="AB227" s="6"/>
      <c r="AC227" s="6"/>
      <c r="AD227" s="10"/>
    </row>
    <row r="228" spans="1:30" s="9" customFormat="1" x14ac:dyDescent="0.2">
      <c r="A228" s="28"/>
      <c r="B228" s="16" t="s">
        <v>36</v>
      </c>
      <c r="C228" s="16" t="s">
        <v>133</v>
      </c>
      <c r="D228" s="7"/>
      <c r="E228" s="7"/>
      <c r="F228" s="6" t="s">
        <v>134</v>
      </c>
      <c r="G228" s="6"/>
      <c r="H228" s="17">
        <v>8914.5</v>
      </c>
      <c r="I228" s="39" t="s">
        <v>142</v>
      </c>
      <c r="J228" s="7">
        <v>36304</v>
      </c>
      <c r="K228" s="7"/>
      <c r="L228" s="23">
        <v>36364</v>
      </c>
      <c r="M228" s="18" t="s">
        <v>135</v>
      </c>
      <c r="N228" s="6" t="s">
        <v>42</v>
      </c>
      <c r="O228" s="6"/>
      <c r="P228" s="6"/>
      <c r="Q228" s="6"/>
      <c r="R228" s="6"/>
      <c r="S228" s="7">
        <v>36356</v>
      </c>
      <c r="T228" s="7">
        <v>36360</v>
      </c>
      <c r="U228" s="7"/>
      <c r="V228" s="6" t="s">
        <v>415</v>
      </c>
      <c r="W228" s="6">
        <v>497</v>
      </c>
      <c r="X228" s="6" t="s">
        <v>47</v>
      </c>
      <c r="Y228" s="59"/>
      <c r="Z228" s="6">
        <v>6576795201</v>
      </c>
      <c r="AA228" s="7">
        <v>36393</v>
      </c>
      <c r="AB228" s="7" t="s">
        <v>47</v>
      </c>
      <c r="AC228" s="515"/>
      <c r="AD228" s="10"/>
    </row>
    <row r="229" spans="1:30" s="9" customFormat="1" ht="12" thickBot="1" x14ac:dyDescent="0.25">
      <c r="A229" s="28"/>
      <c r="B229" s="19"/>
      <c r="C229" s="19"/>
      <c r="D229" s="5"/>
      <c r="E229" s="5"/>
      <c r="F229" s="5" t="s">
        <v>416</v>
      </c>
      <c r="G229" s="5"/>
      <c r="H229" s="20"/>
      <c r="I229" s="21" t="s">
        <v>208</v>
      </c>
      <c r="J229" s="5"/>
      <c r="K229" s="5"/>
      <c r="L229" s="22"/>
      <c r="M229" s="5"/>
      <c r="N229" s="5"/>
      <c r="O229" s="5"/>
      <c r="P229" s="5"/>
      <c r="Q229" s="5"/>
      <c r="R229" s="5"/>
      <c r="S229" s="27" t="s">
        <v>185</v>
      </c>
      <c r="T229" s="19"/>
      <c r="U229" s="19"/>
      <c r="V229" s="5" t="s">
        <v>411</v>
      </c>
      <c r="W229" s="5"/>
      <c r="X229" s="5"/>
      <c r="Y229" s="61"/>
      <c r="Z229" s="5"/>
      <c r="AA229" s="5"/>
      <c r="AB229" s="5"/>
      <c r="AC229" s="5"/>
      <c r="AD229" s="10"/>
    </row>
    <row r="230" spans="1:30" s="9" customFormat="1" x14ac:dyDescent="0.2">
      <c r="A230" s="28"/>
      <c r="B230" s="16"/>
      <c r="C230" s="16"/>
      <c r="D230" s="7"/>
      <c r="E230" s="7"/>
      <c r="F230" s="6"/>
      <c r="G230" s="6"/>
      <c r="H230" s="17"/>
      <c r="I230" s="17"/>
      <c r="J230" s="6"/>
      <c r="K230" s="6"/>
      <c r="L230" s="40"/>
      <c r="M230" s="6"/>
      <c r="N230" s="6"/>
      <c r="O230" s="6"/>
      <c r="P230" s="6"/>
      <c r="Q230" s="6"/>
      <c r="R230" s="6"/>
      <c r="S230" s="6"/>
      <c r="T230" s="6"/>
      <c r="U230" s="6"/>
      <c r="V230" s="6"/>
      <c r="W230" s="6"/>
      <c r="X230" s="6"/>
      <c r="Y230" s="59"/>
      <c r="Z230" s="6"/>
      <c r="AA230" s="6"/>
      <c r="AB230" s="6"/>
      <c r="AC230" s="6"/>
      <c r="AD230" s="10"/>
    </row>
    <row r="231" spans="1:30" s="9" customFormat="1" x14ac:dyDescent="0.2">
      <c r="A231" s="28"/>
      <c r="B231" s="16" t="s">
        <v>36</v>
      </c>
      <c r="C231" s="16" t="s">
        <v>133</v>
      </c>
      <c r="D231" s="7" t="s">
        <v>417</v>
      </c>
      <c r="E231" s="7"/>
      <c r="F231" s="6" t="s">
        <v>418</v>
      </c>
      <c r="G231" s="6"/>
      <c r="H231" s="17">
        <v>8988.65</v>
      </c>
      <c r="I231" s="39" t="s">
        <v>154</v>
      </c>
      <c r="J231" s="7">
        <v>36308</v>
      </c>
      <c r="K231" s="7"/>
      <c r="L231" s="23">
        <v>36403</v>
      </c>
      <c r="M231" s="18" t="s">
        <v>135</v>
      </c>
      <c r="N231" s="6" t="s">
        <v>42</v>
      </c>
      <c r="O231" s="6"/>
      <c r="P231" s="6"/>
      <c r="Q231" s="6"/>
      <c r="R231" s="6"/>
      <c r="S231" s="7">
        <v>36356</v>
      </c>
      <c r="T231" s="7">
        <v>36360</v>
      </c>
      <c r="U231" s="7"/>
      <c r="V231" s="6" t="s">
        <v>419</v>
      </c>
      <c r="W231" s="6">
        <v>499</v>
      </c>
      <c r="X231" s="6" t="s">
        <v>47</v>
      </c>
      <c r="Y231" s="59"/>
      <c r="Z231" s="6">
        <v>6576795201</v>
      </c>
      <c r="AA231" s="7">
        <v>36393</v>
      </c>
      <c r="AB231" s="7" t="s">
        <v>47</v>
      </c>
      <c r="AC231" s="515"/>
      <c r="AD231" s="10"/>
    </row>
    <row r="232" spans="1:30" s="9" customFormat="1" ht="12" thickBot="1" x14ac:dyDescent="0.25">
      <c r="A232" s="28"/>
      <c r="B232" s="19"/>
      <c r="C232" s="19"/>
      <c r="D232" s="5"/>
      <c r="E232" s="5"/>
      <c r="F232" s="5"/>
      <c r="G232" s="5"/>
      <c r="H232" s="20"/>
      <c r="I232" s="21" t="s">
        <v>230</v>
      </c>
      <c r="J232" s="5"/>
      <c r="K232" s="5"/>
      <c r="L232" s="22"/>
      <c r="M232" s="5"/>
      <c r="N232" s="5"/>
      <c r="O232" s="5"/>
      <c r="P232" s="5"/>
      <c r="Q232" s="5"/>
      <c r="R232" s="5"/>
      <c r="S232" s="27" t="s">
        <v>185</v>
      </c>
      <c r="T232" s="19"/>
      <c r="U232" s="19"/>
      <c r="V232" s="5" t="s">
        <v>411</v>
      </c>
      <c r="W232" s="5"/>
      <c r="X232" s="5"/>
      <c r="Y232" s="61"/>
      <c r="Z232" s="5"/>
      <c r="AA232" s="5"/>
      <c r="AB232" s="5"/>
      <c r="AC232" s="5"/>
      <c r="AD232" s="10"/>
    </row>
    <row r="233" spans="1:30" s="9" customFormat="1" x14ac:dyDescent="0.2">
      <c r="A233" s="28"/>
      <c r="B233" s="16"/>
      <c r="C233" s="16"/>
      <c r="D233" s="7"/>
      <c r="E233" s="7"/>
      <c r="F233" s="6"/>
      <c r="G233" s="6"/>
      <c r="H233" s="17"/>
      <c r="I233" s="17"/>
      <c r="J233" s="6"/>
      <c r="K233" s="6"/>
      <c r="L233" s="40"/>
      <c r="M233" s="6"/>
      <c r="N233" s="6"/>
      <c r="O233" s="6"/>
      <c r="P233" s="6"/>
      <c r="Q233" s="6"/>
      <c r="R233" s="6"/>
      <c r="S233" s="6"/>
      <c r="T233" s="6"/>
      <c r="U233" s="6"/>
      <c r="V233" s="6"/>
      <c r="W233" s="6"/>
      <c r="X233" s="6"/>
      <c r="Y233" s="57"/>
      <c r="Z233" s="6"/>
      <c r="AA233" s="6"/>
      <c r="AB233" s="6"/>
      <c r="AC233" s="6"/>
      <c r="AD233" s="10"/>
    </row>
    <row r="234" spans="1:30" s="9" customFormat="1" x14ac:dyDescent="0.2">
      <c r="A234" s="28"/>
      <c r="B234" s="16" t="s">
        <v>36</v>
      </c>
      <c r="C234" s="16" t="s">
        <v>133</v>
      </c>
      <c r="D234" s="7"/>
      <c r="E234" s="7"/>
      <c r="F234" s="6" t="s">
        <v>134</v>
      </c>
      <c r="G234" s="6"/>
      <c r="H234" s="17">
        <v>41114</v>
      </c>
      <c r="I234" s="39" t="s">
        <v>52</v>
      </c>
      <c r="J234" s="7">
        <v>36322</v>
      </c>
      <c r="K234" s="7"/>
      <c r="L234" s="23">
        <v>36382</v>
      </c>
      <c r="M234" s="18" t="s">
        <v>135</v>
      </c>
      <c r="N234" s="6" t="s">
        <v>42</v>
      </c>
      <c r="O234" s="6"/>
      <c r="P234" s="6"/>
      <c r="Q234" s="6"/>
      <c r="R234" s="6"/>
      <c r="S234" s="7">
        <v>36372</v>
      </c>
      <c r="T234" s="7">
        <v>36374</v>
      </c>
      <c r="U234" s="7"/>
      <c r="V234" s="6" t="s">
        <v>420</v>
      </c>
      <c r="W234" s="6">
        <v>504</v>
      </c>
      <c r="X234" s="6" t="s">
        <v>211</v>
      </c>
      <c r="Y234" s="59"/>
      <c r="Z234" s="6">
        <v>6576795094</v>
      </c>
      <c r="AA234" s="6" t="s">
        <v>318</v>
      </c>
      <c r="AB234" s="6" t="s">
        <v>211</v>
      </c>
      <c r="AC234" s="6"/>
      <c r="AD234" s="10"/>
    </row>
    <row r="235" spans="1:30" s="9" customFormat="1" ht="12" thickBot="1" x14ac:dyDescent="0.25">
      <c r="A235" s="28"/>
      <c r="B235" s="19"/>
      <c r="C235" s="19"/>
      <c r="D235" s="5"/>
      <c r="E235" s="5"/>
      <c r="F235" s="5" t="s">
        <v>421</v>
      </c>
      <c r="G235" s="5"/>
      <c r="H235" s="20"/>
      <c r="I235" s="21" t="s">
        <v>230</v>
      </c>
      <c r="J235" s="5"/>
      <c r="K235" s="5"/>
      <c r="L235" s="22"/>
      <c r="M235" s="5"/>
      <c r="N235" s="5"/>
      <c r="O235" s="5"/>
      <c r="P235" s="5"/>
      <c r="Q235" s="5"/>
      <c r="R235" s="5"/>
      <c r="S235" s="27"/>
      <c r="T235" s="19"/>
      <c r="U235" s="19"/>
      <c r="V235" s="5"/>
      <c r="W235" s="5"/>
      <c r="X235" s="5"/>
      <c r="Y235" s="61"/>
      <c r="Z235" s="5"/>
      <c r="AA235" s="5"/>
      <c r="AB235" s="5"/>
      <c r="AC235" s="5"/>
      <c r="AD235" s="10"/>
    </row>
    <row r="236" spans="1:30" s="9" customFormat="1" x14ac:dyDescent="0.2">
      <c r="A236" s="28"/>
      <c r="B236" s="16"/>
      <c r="C236" s="16"/>
      <c r="D236" s="7"/>
      <c r="E236" s="7"/>
      <c r="F236" s="6"/>
      <c r="G236" s="6"/>
      <c r="H236" s="17"/>
      <c r="I236" s="17"/>
      <c r="J236" s="6"/>
      <c r="K236" s="6"/>
      <c r="L236" s="40"/>
      <c r="M236" s="6"/>
      <c r="N236" s="6"/>
      <c r="O236" s="6"/>
      <c r="P236" s="6"/>
      <c r="Q236" s="6"/>
      <c r="R236" s="6"/>
      <c r="S236" s="6"/>
      <c r="T236" s="6"/>
      <c r="U236" s="6"/>
      <c r="V236" s="6"/>
      <c r="W236" s="6"/>
      <c r="X236" s="6"/>
      <c r="Y236" s="59"/>
      <c r="Z236" s="6"/>
      <c r="AA236" s="6"/>
      <c r="AB236" s="6"/>
      <c r="AC236" s="6"/>
      <c r="AD236" s="10"/>
    </row>
    <row r="237" spans="1:30" s="9" customFormat="1" x14ac:dyDescent="0.2">
      <c r="A237" s="28"/>
      <c r="B237" s="16" t="s">
        <v>36</v>
      </c>
      <c r="C237" s="16" t="s">
        <v>133</v>
      </c>
      <c r="D237" s="7"/>
      <c r="E237" s="7"/>
      <c r="F237" s="6" t="s">
        <v>134</v>
      </c>
      <c r="G237" s="6"/>
      <c r="H237" s="17">
        <v>5242</v>
      </c>
      <c r="I237" s="39" t="s">
        <v>142</v>
      </c>
      <c r="J237" s="7">
        <v>36322</v>
      </c>
      <c r="K237" s="7"/>
      <c r="L237" s="23">
        <v>36382</v>
      </c>
      <c r="M237" s="18" t="s">
        <v>135</v>
      </c>
      <c r="N237" s="6" t="s">
        <v>42</v>
      </c>
      <c r="O237" s="6"/>
      <c r="P237" s="6"/>
      <c r="Q237" s="6"/>
      <c r="R237" s="6"/>
      <c r="S237" s="7">
        <v>36372</v>
      </c>
      <c r="T237" s="7">
        <v>36374</v>
      </c>
      <c r="U237" s="7"/>
      <c r="V237" s="6" t="s">
        <v>422</v>
      </c>
      <c r="W237" s="6">
        <v>505</v>
      </c>
      <c r="X237" s="6" t="s">
        <v>211</v>
      </c>
      <c r="Y237" s="59"/>
      <c r="Z237" s="6">
        <v>6576795095</v>
      </c>
      <c r="AA237" s="6" t="s">
        <v>318</v>
      </c>
      <c r="AB237" s="6" t="s">
        <v>211</v>
      </c>
      <c r="AC237" s="6"/>
      <c r="AD237" s="10"/>
    </row>
    <row r="238" spans="1:30" s="9" customFormat="1" ht="12" thickBot="1" x14ac:dyDescent="0.25">
      <c r="A238" s="28"/>
      <c r="B238" s="19"/>
      <c r="C238" s="19"/>
      <c r="D238" s="5"/>
      <c r="E238" s="5"/>
      <c r="F238" s="5" t="s">
        <v>423</v>
      </c>
      <c r="G238" s="5"/>
      <c r="H238" s="20"/>
      <c r="I238" s="21" t="s">
        <v>208</v>
      </c>
      <c r="J238" s="5"/>
      <c r="K238" s="5"/>
      <c r="L238" s="22"/>
      <c r="M238" s="5"/>
      <c r="N238" s="5"/>
      <c r="O238" s="5"/>
      <c r="P238" s="5"/>
      <c r="Q238" s="5"/>
      <c r="R238" s="5"/>
      <c r="S238" s="27"/>
      <c r="T238" s="19"/>
      <c r="U238" s="19"/>
      <c r="V238" s="5"/>
      <c r="W238" s="5"/>
      <c r="X238" s="5"/>
      <c r="Y238" s="61"/>
      <c r="Z238" s="5"/>
      <c r="AA238" s="5"/>
      <c r="AB238" s="5"/>
      <c r="AC238" s="5"/>
      <c r="AD238" s="10"/>
    </row>
    <row r="239" spans="1:30" s="9" customFormat="1" x14ac:dyDescent="0.2">
      <c r="A239" s="28"/>
      <c r="B239" s="16"/>
      <c r="C239" s="16"/>
      <c r="D239" s="7"/>
      <c r="E239" s="7"/>
      <c r="F239" s="6"/>
      <c r="G239" s="6"/>
      <c r="H239" s="17"/>
      <c r="I239" s="17"/>
      <c r="J239" s="6"/>
      <c r="K239" s="6"/>
      <c r="L239" s="40"/>
      <c r="M239" s="6"/>
      <c r="N239" s="6"/>
      <c r="O239" s="6"/>
      <c r="P239" s="6"/>
      <c r="Q239" s="6"/>
      <c r="R239" s="6"/>
      <c r="S239" s="6"/>
      <c r="T239" s="6"/>
      <c r="U239" s="6"/>
      <c r="V239" s="6"/>
      <c r="W239" s="6"/>
      <c r="X239" s="6"/>
      <c r="Y239" s="59"/>
      <c r="Z239" s="6"/>
      <c r="AA239" s="6"/>
      <c r="AB239" s="6"/>
      <c r="AC239" s="6"/>
      <c r="AD239" s="10"/>
    </row>
    <row r="240" spans="1:30" s="9" customFormat="1" x14ac:dyDescent="0.2">
      <c r="A240" s="28"/>
      <c r="B240" s="16" t="s">
        <v>36</v>
      </c>
      <c r="C240" s="16" t="s">
        <v>133</v>
      </c>
      <c r="D240" s="7"/>
      <c r="E240" s="7"/>
      <c r="F240" s="6" t="s">
        <v>134</v>
      </c>
      <c r="G240" s="6"/>
      <c r="H240" s="17">
        <v>7269</v>
      </c>
      <c r="I240" s="39" t="s">
        <v>202</v>
      </c>
      <c r="J240" s="7">
        <v>36322</v>
      </c>
      <c r="K240" s="7"/>
      <c r="L240" s="23">
        <v>36382</v>
      </c>
      <c r="M240" s="18" t="s">
        <v>135</v>
      </c>
      <c r="N240" s="6" t="s">
        <v>42</v>
      </c>
      <c r="O240" s="6"/>
      <c r="P240" s="6"/>
      <c r="Q240" s="6"/>
      <c r="R240" s="6"/>
      <c r="S240" s="7">
        <v>36372</v>
      </c>
      <c r="T240" s="7">
        <v>36374</v>
      </c>
      <c r="U240" s="7"/>
      <c r="V240" s="6" t="s">
        <v>424</v>
      </c>
      <c r="W240" s="6">
        <v>503</v>
      </c>
      <c r="X240" s="6" t="s">
        <v>211</v>
      </c>
      <c r="Y240" s="59"/>
      <c r="Z240" s="6">
        <v>6576795094</v>
      </c>
      <c r="AA240" s="6" t="s">
        <v>318</v>
      </c>
      <c r="AB240" s="6" t="s">
        <v>211</v>
      </c>
      <c r="AC240" s="6"/>
      <c r="AD240" s="10"/>
    </row>
    <row r="241" spans="1:30" s="9" customFormat="1" ht="12" thickBot="1" x14ac:dyDescent="0.25">
      <c r="A241" s="28"/>
      <c r="B241" s="19"/>
      <c r="C241" s="19"/>
      <c r="D241" s="5"/>
      <c r="E241" s="5"/>
      <c r="F241" s="5" t="s">
        <v>425</v>
      </c>
      <c r="G241" s="5"/>
      <c r="H241" s="20"/>
      <c r="I241" s="21" t="s">
        <v>295</v>
      </c>
      <c r="J241" s="5"/>
      <c r="K241" s="5"/>
      <c r="L241" s="22"/>
      <c r="M241" s="5"/>
      <c r="N241" s="5"/>
      <c r="O241" s="5"/>
      <c r="P241" s="5"/>
      <c r="Q241" s="5"/>
      <c r="R241" s="5"/>
      <c r="S241" s="27"/>
      <c r="T241" s="19"/>
      <c r="U241" s="19"/>
      <c r="V241" s="5"/>
      <c r="W241" s="5"/>
      <c r="X241" s="5"/>
      <c r="Y241" s="61"/>
      <c r="Z241" s="5"/>
      <c r="AA241" s="5"/>
      <c r="AB241" s="5"/>
      <c r="AC241" s="5"/>
      <c r="AD241" s="10"/>
    </row>
    <row r="242" spans="1:30" s="9" customFormat="1" x14ac:dyDescent="0.2">
      <c r="A242" s="28"/>
      <c r="B242" s="16"/>
      <c r="C242" s="16"/>
      <c r="D242" s="7"/>
      <c r="E242" s="7"/>
      <c r="F242" s="6"/>
      <c r="G242" s="6"/>
      <c r="H242" s="17"/>
      <c r="I242" s="17"/>
      <c r="J242" s="6"/>
      <c r="K242" s="6"/>
      <c r="L242" s="40"/>
      <c r="M242" s="6"/>
      <c r="N242" s="6"/>
      <c r="O242" s="6"/>
      <c r="P242" s="6"/>
      <c r="Q242" s="6"/>
      <c r="R242" s="6"/>
      <c r="S242" s="6"/>
      <c r="T242" s="6"/>
      <c r="U242" s="6"/>
      <c r="V242" s="6"/>
      <c r="W242" s="6"/>
      <c r="X242" s="57"/>
      <c r="Y242" s="57"/>
      <c r="Z242" s="6"/>
      <c r="AA242" s="6"/>
      <c r="AB242" s="6"/>
      <c r="AC242" s="12"/>
      <c r="AD242" s="10"/>
    </row>
    <row r="243" spans="1:30" s="9" customFormat="1" x14ac:dyDescent="0.2">
      <c r="A243" s="28"/>
      <c r="B243" s="16" t="s">
        <v>36</v>
      </c>
      <c r="C243" s="16" t="s">
        <v>157</v>
      </c>
      <c r="D243" s="7" t="s">
        <v>426</v>
      </c>
      <c r="E243" s="7"/>
      <c r="F243" s="6" t="s">
        <v>426</v>
      </c>
      <c r="G243" s="6"/>
      <c r="H243" s="17">
        <v>1550</v>
      </c>
      <c r="I243" s="39" t="s">
        <v>52</v>
      </c>
      <c r="J243" s="7">
        <v>36396</v>
      </c>
      <c r="K243" s="7"/>
      <c r="L243" s="23">
        <v>36427</v>
      </c>
      <c r="M243" s="18" t="s">
        <v>427</v>
      </c>
      <c r="N243" s="6" t="s">
        <v>110</v>
      </c>
      <c r="O243" s="6"/>
      <c r="P243" s="6"/>
      <c r="Q243" s="6"/>
      <c r="R243" s="6"/>
      <c r="S243" s="7">
        <v>36428</v>
      </c>
      <c r="T243" s="7">
        <v>36428</v>
      </c>
      <c r="U243" s="7"/>
      <c r="V243" s="6" t="s">
        <v>428</v>
      </c>
      <c r="W243" s="6">
        <v>528</v>
      </c>
      <c r="X243" s="59"/>
      <c r="Y243" s="59"/>
      <c r="Z243" s="6" t="s">
        <v>399</v>
      </c>
      <c r="AA243" s="6" t="s">
        <v>318</v>
      </c>
      <c r="AB243" s="6" t="s">
        <v>47</v>
      </c>
      <c r="AC243" s="507"/>
      <c r="AD243" s="10"/>
    </row>
    <row r="244" spans="1:30" s="9" customFormat="1" ht="12" thickBot="1" x14ac:dyDescent="0.25">
      <c r="A244" s="28"/>
      <c r="B244" s="19"/>
      <c r="C244" s="19"/>
      <c r="D244" s="5"/>
      <c r="E244" s="5"/>
      <c r="F244" s="5"/>
      <c r="G244" s="5"/>
      <c r="H244" s="105" t="s">
        <v>429</v>
      </c>
      <c r="I244" s="21"/>
      <c r="J244" s="5"/>
      <c r="K244" s="5"/>
      <c r="L244" s="22"/>
      <c r="M244" s="5"/>
      <c r="N244" s="5"/>
      <c r="O244" s="5"/>
      <c r="P244" s="5"/>
      <c r="Q244" s="5"/>
      <c r="R244" s="5"/>
      <c r="S244" s="27"/>
      <c r="T244" s="19"/>
      <c r="U244" s="19"/>
      <c r="V244" s="5" t="s">
        <v>430</v>
      </c>
      <c r="W244" s="5"/>
      <c r="X244" s="61"/>
      <c r="Y244" s="61"/>
      <c r="Z244" s="5"/>
      <c r="AA244" s="5"/>
      <c r="AB244" s="5"/>
      <c r="AC244" s="519"/>
      <c r="AD244" s="10"/>
    </row>
    <row r="245" spans="1:30" s="9" customFormat="1" x14ac:dyDescent="0.2">
      <c r="A245" s="28"/>
      <c r="B245" s="16"/>
      <c r="C245" s="16"/>
      <c r="D245" s="7"/>
      <c r="E245" s="7"/>
      <c r="F245" s="6"/>
      <c r="G245" s="6"/>
      <c r="H245" s="17"/>
      <c r="I245" s="17"/>
      <c r="J245" s="6"/>
      <c r="K245" s="6"/>
      <c r="L245" s="40"/>
      <c r="M245" s="6"/>
      <c r="N245" s="6"/>
      <c r="O245" s="6"/>
      <c r="P245" s="6"/>
      <c r="Q245" s="6"/>
      <c r="R245" s="6"/>
      <c r="S245" s="6"/>
      <c r="T245" s="6"/>
      <c r="U245" s="6"/>
      <c r="V245" s="6"/>
      <c r="W245" s="6"/>
      <c r="X245" s="59"/>
      <c r="Y245" s="59"/>
      <c r="Z245" s="6"/>
      <c r="AA245" s="6"/>
      <c r="AB245" s="6"/>
      <c r="AC245" s="520"/>
      <c r="AD245" s="10"/>
    </row>
    <row r="246" spans="1:30" s="9" customFormat="1" x14ac:dyDescent="0.2">
      <c r="A246" s="28"/>
      <c r="B246" s="16" t="s">
        <v>36</v>
      </c>
      <c r="C246" s="16" t="s">
        <v>157</v>
      </c>
      <c r="D246" s="7" t="s">
        <v>431</v>
      </c>
      <c r="E246" s="7"/>
      <c r="F246" s="6" t="s">
        <v>432</v>
      </c>
      <c r="G246" s="6"/>
      <c r="H246" s="17">
        <f>255*15</f>
        <v>3825</v>
      </c>
      <c r="I246" s="39" t="s">
        <v>40</v>
      </c>
      <c r="J246" s="7">
        <v>36402</v>
      </c>
      <c r="K246" s="7"/>
      <c r="L246" s="23"/>
      <c r="M246" s="18" t="s">
        <v>427</v>
      </c>
      <c r="N246" s="6" t="s">
        <v>110</v>
      </c>
      <c r="O246" s="6"/>
      <c r="P246" s="6"/>
      <c r="Q246" s="6"/>
      <c r="R246" s="6"/>
      <c r="S246" s="7">
        <v>36428</v>
      </c>
      <c r="T246" s="7">
        <v>36428</v>
      </c>
      <c r="U246" s="7"/>
      <c r="V246" s="6" t="s">
        <v>433</v>
      </c>
      <c r="W246" s="6">
        <v>528</v>
      </c>
      <c r="X246" s="59"/>
      <c r="Y246" s="59"/>
      <c r="Z246" s="6" t="s">
        <v>399</v>
      </c>
      <c r="AA246" s="6" t="s">
        <v>318</v>
      </c>
      <c r="AB246" s="6" t="s">
        <v>47</v>
      </c>
      <c r="AC246" s="507"/>
      <c r="AD246" s="10"/>
    </row>
    <row r="247" spans="1:30" s="9" customFormat="1" ht="12" thickBot="1" x14ac:dyDescent="0.25">
      <c r="A247" s="28"/>
      <c r="B247" s="19"/>
      <c r="C247" s="19"/>
      <c r="D247" s="5"/>
      <c r="E247" s="5"/>
      <c r="F247" s="5"/>
      <c r="G247" s="5"/>
      <c r="H247" s="105" t="s">
        <v>434</v>
      </c>
      <c r="I247" s="21"/>
      <c r="J247" s="5"/>
      <c r="K247" s="5"/>
      <c r="L247" s="22"/>
      <c r="M247" s="5"/>
      <c r="N247" s="5"/>
      <c r="O247" s="5"/>
      <c r="P247" s="5"/>
      <c r="Q247" s="5"/>
      <c r="R247" s="5"/>
      <c r="S247" s="27"/>
      <c r="T247" s="19"/>
      <c r="U247" s="19"/>
      <c r="V247" s="5" t="s">
        <v>435</v>
      </c>
      <c r="W247" s="5"/>
      <c r="X247" s="61"/>
      <c r="Y247" s="61"/>
      <c r="Z247" s="5"/>
      <c r="AA247" s="5"/>
      <c r="AB247" s="5"/>
      <c r="AC247" s="521"/>
      <c r="AD247" s="10"/>
    </row>
    <row r="248" spans="1:30" s="9" customFormat="1" x14ac:dyDescent="0.2">
      <c r="A248" s="28"/>
      <c r="B248" s="16"/>
      <c r="C248" s="16"/>
      <c r="D248" s="7"/>
      <c r="E248" s="7"/>
      <c r="F248" s="6"/>
      <c r="G248" s="6"/>
      <c r="H248" s="17"/>
      <c r="I248" s="17"/>
      <c r="J248" s="6"/>
      <c r="K248" s="6"/>
      <c r="L248" s="40"/>
      <c r="M248" s="6"/>
      <c r="N248" s="6"/>
      <c r="O248" s="6"/>
      <c r="P248" s="6"/>
      <c r="Q248" s="6"/>
      <c r="R248" s="6"/>
      <c r="S248" s="6"/>
      <c r="T248" s="6"/>
      <c r="U248" s="6"/>
      <c r="V248" s="6" t="s">
        <v>436</v>
      </c>
      <c r="W248" s="6"/>
      <c r="X248" s="6"/>
      <c r="Y248" s="6"/>
      <c r="Z248" s="6"/>
      <c r="AA248" s="6"/>
      <c r="AB248" s="6"/>
      <c r="AC248" s="522"/>
      <c r="AD248" s="10"/>
    </row>
    <row r="249" spans="1:30" s="9" customFormat="1" x14ac:dyDescent="0.2">
      <c r="A249" s="28"/>
      <c r="B249" s="16" t="s">
        <v>36</v>
      </c>
      <c r="C249" s="16" t="s">
        <v>133</v>
      </c>
      <c r="D249" s="7" t="s">
        <v>437</v>
      </c>
      <c r="E249" s="7"/>
      <c r="F249" s="6" t="s">
        <v>438</v>
      </c>
      <c r="G249" s="6"/>
      <c r="H249" s="17">
        <v>41070.97</v>
      </c>
      <c r="I249" s="39" t="s">
        <v>202</v>
      </c>
      <c r="J249" s="7">
        <v>36363</v>
      </c>
      <c r="K249" s="7"/>
      <c r="L249" s="23">
        <v>36453</v>
      </c>
      <c r="M249" s="18" t="s">
        <v>135</v>
      </c>
      <c r="N249" s="6" t="s">
        <v>42</v>
      </c>
      <c r="O249" s="6"/>
      <c r="P249" s="6"/>
      <c r="Q249" s="6"/>
      <c r="R249" s="6"/>
      <c r="S249" s="7">
        <v>36438</v>
      </c>
      <c r="T249" s="7">
        <v>36439</v>
      </c>
      <c r="U249" s="7"/>
      <c r="V249" s="6" t="s">
        <v>439</v>
      </c>
      <c r="W249" s="6">
        <v>512</v>
      </c>
      <c r="X249" s="6" t="s">
        <v>47</v>
      </c>
      <c r="Y249" s="6" t="s">
        <v>440</v>
      </c>
      <c r="Z249" s="6">
        <v>6576795142</v>
      </c>
      <c r="AA249" s="6" t="s">
        <v>195</v>
      </c>
      <c r="AB249" s="6" t="s">
        <v>211</v>
      </c>
      <c r="AC249" s="507"/>
      <c r="AD249" s="10"/>
    </row>
    <row r="250" spans="1:30" s="9" customFormat="1" ht="12" thickBot="1" x14ac:dyDescent="0.25">
      <c r="A250" s="28"/>
      <c r="B250" s="19"/>
      <c r="C250" s="19"/>
      <c r="D250" s="5"/>
      <c r="E250" s="5"/>
      <c r="F250" s="5" t="s">
        <v>441</v>
      </c>
      <c r="G250" s="5"/>
      <c r="H250" s="20"/>
      <c r="I250" s="21" t="s">
        <v>138</v>
      </c>
      <c r="J250" s="5"/>
      <c r="K250" s="5"/>
      <c r="L250" s="22"/>
      <c r="M250" s="5"/>
      <c r="N250" s="5"/>
      <c r="O250" s="5"/>
      <c r="P250" s="5"/>
      <c r="Q250" s="5"/>
      <c r="R250" s="5"/>
      <c r="S250" s="27" t="s">
        <v>296</v>
      </c>
      <c r="T250" s="5" t="s">
        <v>442</v>
      </c>
      <c r="U250" s="5"/>
      <c r="V250" s="5" t="s">
        <v>443</v>
      </c>
      <c r="W250" s="5"/>
      <c r="X250" s="5"/>
      <c r="Y250" s="5"/>
      <c r="Z250" s="5"/>
      <c r="AA250" s="5"/>
      <c r="AB250" s="5"/>
      <c r="AC250" s="521"/>
      <c r="AD250" s="10"/>
    </row>
    <row r="251" spans="1:30" s="9" customFormat="1" x14ac:dyDescent="0.2">
      <c r="A251" s="28"/>
      <c r="B251" s="16"/>
      <c r="C251" s="16"/>
      <c r="D251" s="7"/>
      <c r="E251" s="7"/>
      <c r="F251" s="6"/>
      <c r="G251" s="6"/>
      <c r="H251" s="17"/>
      <c r="I251" s="17"/>
      <c r="J251" s="6"/>
      <c r="K251" s="6"/>
      <c r="L251" s="40"/>
      <c r="M251" s="6"/>
      <c r="N251" s="6"/>
      <c r="O251" s="6"/>
      <c r="P251" s="6"/>
      <c r="Q251" s="6"/>
      <c r="R251" s="6"/>
      <c r="S251" s="6"/>
      <c r="T251" s="6"/>
      <c r="U251" s="6"/>
      <c r="V251" s="6"/>
      <c r="W251" s="6"/>
      <c r="X251" s="6"/>
      <c r="Y251" s="6"/>
      <c r="Z251" s="6"/>
      <c r="AA251" s="6"/>
      <c r="AB251" s="6"/>
      <c r="AC251" s="520"/>
      <c r="AD251" s="10"/>
    </row>
    <row r="252" spans="1:30" s="9" customFormat="1" x14ac:dyDescent="0.2">
      <c r="A252" s="28"/>
      <c r="B252" s="16" t="s">
        <v>36</v>
      </c>
      <c r="C252" s="16" t="s">
        <v>133</v>
      </c>
      <c r="D252" s="7" t="s">
        <v>437</v>
      </c>
      <c r="E252" s="7"/>
      <c r="F252" s="6" t="s">
        <v>438</v>
      </c>
      <c r="G252" s="6"/>
      <c r="H252" s="17">
        <v>35937.22</v>
      </c>
      <c r="I252" s="39" t="s">
        <v>181</v>
      </c>
      <c r="J252" s="7">
        <v>36363</v>
      </c>
      <c r="K252" s="7"/>
      <c r="L252" s="23">
        <v>36453</v>
      </c>
      <c r="M252" s="18" t="s">
        <v>135</v>
      </c>
      <c r="N252" s="6" t="s">
        <v>42</v>
      </c>
      <c r="O252" s="6"/>
      <c r="P252" s="6"/>
      <c r="Q252" s="6"/>
      <c r="R252" s="6"/>
      <c r="S252" s="7">
        <v>36438</v>
      </c>
      <c r="T252" s="7">
        <v>36439</v>
      </c>
      <c r="U252" s="7"/>
      <c r="V252" s="6" t="s">
        <v>444</v>
      </c>
      <c r="W252" s="6">
        <v>513</v>
      </c>
      <c r="X252" s="6" t="s">
        <v>47</v>
      </c>
      <c r="Y252" s="6" t="s">
        <v>440</v>
      </c>
      <c r="Z252" s="6">
        <v>6576795142</v>
      </c>
      <c r="AA252" s="6" t="s">
        <v>195</v>
      </c>
      <c r="AB252" s="6" t="s">
        <v>47</v>
      </c>
      <c r="AC252" s="507"/>
      <c r="AD252" s="10"/>
    </row>
    <row r="253" spans="1:30" s="9" customFormat="1" ht="12" thickBot="1" x14ac:dyDescent="0.25">
      <c r="A253" s="28"/>
      <c r="B253" s="19"/>
      <c r="C253" s="19"/>
      <c r="D253" s="5"/>
      <c r="E253" s="5"/>
      <c r="F253" s="5" t="s">
        <v>445</v>
      </c>
      <c r="G253" s="5"/>
      <c r="H253" s="20"/>
      <c r="I253" s="21" t="s">
        <v>446</v>
      </c>
      <c r="J253" s="5"/>
      <c r="K253" s="5"/>
      <c r="L253" s="22"/>
      <c r="M253" s="5"/>
      <c r="N253" s="5"/>
      <c r="O253" s="5"/>
      <c r="P253" s="5"/>
      <c r="Q253" s="5"/>
      <c r="R253" s="5"/>
      <c r="S253" s="27" t="s">
        <v>296</v>
      </c>
      <c r="T253" s="5" t="s">
        <v>442</v>
      </c>
      <c r="U253" s="5"/>
      <c r="V253" s="5" t="s">
        <v>447</v>
      </c>
      <c r="W253" s="5"/>
      <c r="X253" s="5"/>
      <c r="Y253" s="5"/>
      <c r="Z253" s="5"/>
      <c r="AA253" s="5"/>
      <c r="AB253" s="5"/>
      <c r="AC253" s="519"/>
      <c r="AD253" s="10"/>
    </row>
    <row r="254" spans="1:30" s="9" customFormat="1" x14ac:dyDescent="0.2">
      <c r="A254" s="28"/>
      <c r="B254" s="16"/>
      <c r="C254" s="16"/>
      <c r="D254" s="7"/>
      <c r="E254" s="7"/>
      <c r="F254" s="6"/>
      <c r="G254" s="6"/>
      <c r="H254" s="17"/>
      <c r="I254" s="17"/>
      <c r="J254" s="6"/>
      <c r="K254" s="6"/>
      <c r="L254" s="40"/>
      <c r="M254" s="6"/>
      <c r="N254" s="6"/>
      <c r="O254" s="6"/>
      <c r="P254" s="6"/>
      <c r="Q254" s="6"/>
      <c r="R254" s="6"/>
      <c r="S254" s="6"/>
      <c r="T254" s="47"/>
      <c r="U254" s="47"/>
      <c r="V254" s="12" t="s">
        <v>448</v>
      </c>
      <c r="W254" s="67"/>
      <c r="X254" s="6"/>
      <c r="Y254" s="6"/>
      <c r="Z254" s="12"/>
      <c r="AA254" s="6"/>
      <c r="AB254" s="6"/>
      <c r="AC254" s="520"/>
      <c r="AD254" s="10"/>
    </row>
    <row r="255" spans="1:30" s="9" customFormat="1" x14ac:dyDescent="0.2">
      <c r="A255" s="28"/>
      <c r="B255" s="16" t="s">
        <v>36</v>
      </c>
      <c r="C255" s="16" t="s">
        <v>133</v>
      </c>
      <c r="D255" s="7" t="s">
        <v>437</v>
      </c>
      <c r="E255" s="7"/>
      <c r="F255" s="6" t="s">
        <v>438</v>
      </c>
      <c r="G255" s="6"/>
      <c r="H255" s="17">
        <v>13220.53</v>
      </c>
      <c r="I255" s="39" t="s">
        <v>142</v>
      </c>
      <c r="J255" s="7">
        <v>36363</v>
      </c>
      <c r="K255" s="7"/>
      <c r="L255" s="23">
        <v>36454</v>
      </c>
      <c r="M255" s="18" t="s">
        <v>135</v>
      </c>
      <c r="N255" s="6" t="s">
        <v>42</v>
      </c>
      <c r="O255" s="6"/>
      <c r="P255" s="6"/>
      <c r="Q255" s="6"/>
      <c r="R255" s="6"/>
      <c r="S255" s="7">
        <v>36438</v>
      </c>
      <c r="T255" s="35">
        <v>36439</v>
      </c>
      <c r="U255" s="35"/>
      <c r="V255" s="6" t="s">
        <v>449</v>
      </c>
      <c r="W255" s="67">
        <v>514</v>
      </c>
      <c r="X255" s="6" t="s">
        <v>47</v>
      </c>
      <c r="Y255" s="6" t="s">
        <v>440</v>
      </c>
      <c r="Z255" s="6">
        <v>6576795142</v>
      </c>
      <c r="AA255" s="6" t="s">
        <v>195</v>
      </c>
      <c r="AB255" s="6" t="s">
        <v>211</v>
      </c>
      <c r="AC255" s="507"/>
      <c r="AD255" s="10"/>
    </row>
    <row r="256" spans="1:30" s="9" customFormat="1" ht="12" thickBot="1" x14ac:dyDescent="0.25"/>
    <row r="257" spans="1:30" s="9" customFormat="1" x14ac:dyDescent="0.2">
      <c r="A257" s="28"/>
      <c r="B257" s="11"/>
      <c r="C257" s="11"/>
      <c r="D257" s="91"/>
      <c r="E257" s="91"/>
      <c r="F257" s="12"/>
      <c r="G257" s="12"/>
      <c r="H257" s="13"/>
      <c r="I257" s="13"/>
      <c r="J257" s="12"/>
      <c r="K257" s="12"/>
      <c r="L257" s="15"/>
      <c r="M257" s="12"/>
      <c r="N257" s="12"/>
      <c r="O257" s="12"/>
      <c r="P257" s="12"/>
      <c r="Q257" s="12"/>
      <c r="R257" s="12"/>
      <c r="S257" s="12"/>
      <c r="T257" s="12"/>
      <c r="U257" s="12"/>
      <c r="V257" s="12"/>
      <c r="W257" s="12"/>
      <c r="X257" s="12"/>
      <c r="Y257" s="34"/>
      <c r="Z257" s="12"/>
      <c r="AA257" s="94"/>
      <c r="AB257" s="94"/>
      <c r="AC257" s="520"/>
      <c r="AD257" s="10"/>
    </row>
    <row r="258" spans="1:30" s="9" customFormat="1" x14ac:dyDescent="0.2">
      <c r="A258" s="28"/>
      <c r="B258" s="16" t="s">
        <v>36</v>
      </c>
      <c r="C258" s="16" t="s">
        <v>133</v>
      </c>
      <c r="D258" s="7" t="s">
        <v>437</v>
      </c>
      <c r="E258" s="7"/>
      <c r="F258" s="6" t="s">
        <v>438</v>
      </c>
      <c r="G258" s="6"/>
      <c r="H258" s="17">
        <v>6233.76</v>
      </c>
      <c r="I258" s="39" t="s">
        <v>202</v>
      </c>
      <c r="J258" s="7">
        <v>36378</v>
      </c>
      <c r="K258" s="7"/>
      <c r="L258" s="23">
        <v>36471</v>
      </c>
      <c r="M258" s="18" t="s">
        <v>135</v>
      </c>
      <c r="N258" s="6" t="s">
        <v>42</v>
      </c>
      <c r="O258" s="6"/>
      <c r="P258" s="6"/>
      <c r="Q258" s="6"/>
      <c r="R258" s="6"/>
      <c r="S258" s="7">
        <v>36456</v>
      </c>
      <c r="T258" s="7">
        <v>36458</v>
      </c>
      <c r="U258" s="7"/>
      <c r="V258" s="6" t="s">
        <v>450</v>
      </c>
      <c r="W258" s="6">
        <v>517</v>
      </c>
      <c r="X258" s="6" t="s">
        <v>47</v>
      </c>
      <c r="Y258" s="47" t="s">
        <v>440</v>
      </c>
      <c r="Z258" s="6">
        <v>6576795190</v>
      </c>
      <c r="AA258" s="67" t="s">
        <v>195</v>
      </c>
      <c r="AB258" s="67" t="s">
        <v>47</v>
      </c>
      <c r="AC258" s="507"/>
      <c r="AD258" s="10"/>
    </row>
    <row r="259" spans="1:30" s="9" customFormat="1" ht="12" thickBot="1" x14ac:dyDescent="0.25">
      <c r="A259" s="28"/>
      <c r="B259" s="19"/>
      <c r="C259" s="19"/>
      <c r="D259" s="5"/>
      <c r="E259" s="5"/>
      <c r="F259" s="5" t="s">
        <v>451</v>
      </c>
      <c r="G259" s="5"/>
      <c r="H259" s="20"/>
      <c r="I259" s="21" t="s">
        <v>138</v>
      </c>
      <c r="J259" s="5"/>
      <c r="K259" s="5"/>
      <c r="L259" s="22"/>
      <c r="M259" s="5"/>
      <c r="N259" s="5"/>
      <c r="O259" s="5"/>
      <c r="P259" s="5"/>
      <c r="Q259" s="5"/>
      <c r="R259" s="5"/>
      <c r="S259" s="27" t="s">
        <v>296</v>
      </c>
      <c r="T259" s="19"/>
      <c r="U259" s="19"/>
      <c r="V259" s="5"/>
      <c r="W259" s="5"/>
      <c r="X259" s="5"/>
      <c r="Y259" s="36"/>
      <c r="Z259" s="5"/>
      <c r="AA259" s="68"/>
      <c r="AB259" s="68"/>
      <c r="AC259" s="519"/>
      <c r="AD259" s="10"/>
    </row>
    <row r="260" spans="1:30" s="9" customFormat="1" ht="12" thickBot="1" x14ac:dyDescent="0.25">
      <c r="A260" s="28"/>
      <c r="B260" s="28"/>
      <c r="C260" s="28"/>
      <c r="D260" s="30"/>
      <c r="E260" s="30"/>
      <c r="F260" s="30"/>
      <c r="G260" s="30"/>
      <c r="H260" s="33"/>
      <c r="I260" s="31"/>
      <c r="J260" s="30"/>
      <c r="K260" s="30"/>
      <c r="L260" s="32"/>
      <c r="M260" s="30"/>
      <c r="N260" s="30"/>
      <c r="O260" s="30"/>
      <c r="P260" s="30"/>
      <c r="Q260" s="30"/>
      <c r="R260" s="30"/>
      <c r="S260" s="48"/>
      <c r="T260" s="28"/>
      <c r="U260" s="28"/>
      <c r="V260" s="30"/>
      <c r="W260" s="30"/>
      <c r="X260" s="30"/>
      <c r="Y260" s="30"/>
      <c r="Z260" s="30"/>
      <c r="AA260" s="30"/>
      <c r="AB260" s="30"/>
      <c r="AC260" s="523"/>
      <c r="AD260" s="10"/>
    </row>
    <row r="261" spans="1:30" s="9" customFormat="1" x14ac:dyDescent="0.2">
      <c r="A261" s="28"/>
      <c r="B261" s="11"/>
      <c r="C261" s="11"/>
      <c r="D261" s="91"/>
      <c r="E261" s="91"/>
      <c r="F261" s="12"/>
      <c r="G261" s="12"/>
      <c r="H261" s="13"/>
      <c r="I261" s="13"/>
      <c r="J261" s="12"/>
      <c r="K261" s="12"/>
      <c r="L261" s="15"/>
      <c r="M261" s="12"/>
      <c r="N261" s="12"/>
      <c r="O261" s="12"/>
      <c r="P261" s="12"/>
      <c r="Q261" s="12"/>
      <c r="R261" s="12"/>
      <c r="S261" s="12"/>
      <c r="T261" s="12"/>
      <c r="U261" s="12"/>
      <c r="V261" s="12"/>
      <c r="W261" s="12"/>
      <c r="X261" s="12"/>
      <c r="Y261" s="34"/>
      <c r="Z261" s="12"/>
      <c r="AA261" s="94"/>
      <c r="AB261" s="94"/>
      <c r="AC261" s="520"/>
      <c r="AD261" s="10"/>
    </row>
    <row r="262" spans="1:30" s="9" customFormat="1" x14ac:dyDescent="0.2">
      <c r="A262" s="28"/>
      <c r="B262" s="16" t="s">
        <v>36</v>
      </c>
      <c r="C262" s="16" t="s">
        <v>133</v>
      </c>
      <c r="D262" s="7" t="s">
        <v>437</v>
      </c>
      <c r="E262" s="7"/>
      <c r="F262" s="6" t="s">
        <v>438</v>
      </c>
      <c r="G262" s="6"/>
      <c r="H262" s="17">
        <v>84976.22</v>
      </c>
      <c r="I262" s="39" t="s">
        <v>181</v>
      </c>
      <c r="J262" s="7">
        <v>36378</v>
      </c>
      <c r="K262" s="7"/>
      <c r="L262" s="23">
        <v>36471</v>
      </c>
      <c r="M262" s="18" t="s">
        <v>135</v>
      </c>
      <c r="N262" s="6" t="s">
        <v>42</v>
      </c>
      <c r="O262" s="6"/>
      <c r="P262" s="6"/>
      <c r="Q262" s="6"/>
      <c r="R262" s="6"/>
      <c r="S262" s="7">
        <v>36456</v>
      </c>
      <c r="T262" s="7">
        <v>36458</v>
      </c>
      <c r="U262" s="7"/>
      <c r="V262" s="6" t="s">
        <v>452</v>
      </c>
      <c r="W262" s="6">
        <v>518</v>
      </c>
      <c r="X262" s="6" t="s">
        <v>47</v>
      </c>
      <c r="Y262" s="47" t="s">
        <v>440</v>
      </c>
      <c r="Z262" s="6">
        <v>6576795190</v>
      </c>
      <c r="AA262" s="67" t="s">
        <v>195</v>
      </c>
      <c r="AB262" s="67" t="s">
        <v>47</v>
      </c>
      <c r="AC262" s="507"/>
      <c r="AD262" s="10"/>
    </row>
    <row r="263" spans="1:30" s="9" customFormat="1" ht="12" thickBot="1" x14ac:dyDescent="0.25">
      <c r="A263" s="28"/>
      <c r="B263" s="19"/>
      <c r="C263" s="19"/>
      <c r="D263" s="5"/>
      <c r="E263" s="5"/>
      <c r="F263" s="5" t="s">
        <v>453</v>
      </c>
      <c r="G263" s="5"/>
      <c r="H263" s="20"/>
      <c r="I263" s="21" t="s">
        <v>446</v>
      </c>
      <c r="J263" s="5"/>
      <c r="K263" s="5"/>
      <c r="L263" s="22"/>
      <c r="M263" s="5"/>
      <c r="N263" s="5"/>
      <c r="O263" s="5"/>
      <c r="P263" s="5"/>
      <c r="Q263" s="5"/>
      <c r="R263" s="5"/>
      <c r="S263" s="27" t="s">
        <v>296</v>
      </c>
      <c r="T263" s="19"/>
      <c r="U263" s="19"/>
      <c r="V263" s="5"/>
      <c r="W263" s="5"/>
      <c r="X263" s="5"/>
      <c r="Y263" s="36"/>
      <c r="Z263" s="5"/>
      <c r="AA263" s="68"/>
      <c r="AB263" s="68"/>
      <c r="AC263" s="519"/>
      <c r="AD263" s="10"/>
    </row>
    <row r="264" spans="1:30" s="9" customFormat="1" x14ac:dyDescent="0.2">
      <c r="A264" s="28"/>
      <c r="B264" s="16"/>
      <c r="C264" s="16"/>
      <c r="D264" s="7"/>
      <c r="E264" s="7"/>
      <c r="F264" s="6"/>
      <c r="G264" s="6"/>
      <c r="H264" s="17"/>
      <c r="I264" s="17"/>
      <c r="J264" s="6"/>
      <c r="K264" s="6"/>
      <c r="L264" s="40"/>
      <c r="M264" s="6"/>
      <c r="N264" s="6"/>
      <c r="O264" s="6"/>
      <c r="P264" s="6"/>
      <c r="Q264" s="6"/>
      <c r="R264" s="6"/>
      <c r="S264" s="6"/>
      <c r="T264" s="6"/>
      <c r="U264" s="6"/>
      <c r="V264" s="6"/>
      <c r="W264" s="6"/>
      <c r="X264" s="6"/>
      <c r="Y264" s="47"/>
      <c r="Z264" s="6"/>
      <c r="AA264" s="67"/>
      <c r="AB264" s="67"/>
      <c r="AC264" s="520"/>
      <c r="AD264" s="10"/>
    </row>
    <row r="265" spans="1:30" s="9" customFormat="1" x14ac:dyDescent="0.2">
      <c r="A265" s="28"/>
      <c r="B265" s="16" t="s">
        <v>36</v>
      </c>
      <c r="C265" s="16" t="s">
        <v>133</v>
      </c>
      <c r="D265" s="7" t="s">
        <v>437</v>
      </c>
      <c r="E265" s="7"/>
      <c r="F265" s="6" t="s">
        <v>438</v>
      </c>
      <c r="G265" s="6"/>
      <c r="H265" s="17">
        <v>13220.53</v>
      </c>
      <c r="I265" s="39" t="s">
        <v>142</v>
      </c>
      <c r="J265" s="7">
        <v>36378</v>
      </c>
      <c r="K265" s="7"/>
      <c r="L265" s="23">
        <v>36471</v>
      </c>
      <c r="M265" s="18" t="s">
        <v>135</v>
      </c>
      <c r="N265" s="6" t="s">
        <v>42</v>
      </c>
      <c r="O265" s="6"/>
      <c r="P265" s="6"/>
      <c r="Q265" s="6"/>
      <c r="R265" s="6"/>
      <c r="S265" s="7">
        <v>36456</v>
      </c>
      <c r="T265" s="7">
        <v>36458</v>
      </c>
      <c r="U265" s="7"/>
      <c r="V265" s="6" t="s">
        <v>448</v>
      </c>
      <c r="W265" s="6">
        <v>519</v>
      </c>
      <c r="X265" s="6" t="s">
        <v>47</v>
      </c>
      <c r="Y265" s="47" t="s">
        <v>440</v>
      </c>
      <c r="Z265" s="6">
        <v>6576795190</v>
      </c>
      <c r="AA265" s="67" t="s">
        <v>195</v>
      </c>
      <c r="AB265" s="67" t="s">
        <v>47</v>
      </c>
      <c r="AC265" s="507"/>
      <c r="AD265" s="10"/>
    </row>
    <row r="266" spans="1:30" s="9" customFormat="1" ht="12" thickBot="1" x14ac:dyDescent="0.25">
      <c r="A266" s="28"/>
      <c r="B266" s="19"/>
      <c r="C266" s="19"/>
      <c r="D266" s="5"/>
      <c r="E266" s="5"/>
      <c r="F266" s="5" t="s">
        <v>454</v>
      </c>
      <c r="G266" s="5"/>
      <c r="H266" s="20"/>
      <c r="I266" s="21" t="s">
        <v>208</v>
      </c>
      <c r="J266" s="5"/>
      <c r="K266" s="5"/>
      <c r="L266" s="22"/>
      <c r="M266" s="5"/>
      <c r="N266" s="5"/>
      <c r="O266" s="5"/>
      <c r="P266" s="5"/>
      <c r="Q266" s="5"/>
      <c r="R266" s="5"/>
      <c r="S266" s="27" t="s">
        <v>296</v>
      </c>
      <c r="T266" s="19"/>
      <c r="U266" s="19"/>
      <c r="V266" s="5" t="s">
        <v>449</v>
      </c>
      <c r="W266" s="5"/>
      <c r="X266" s="5"/>
      <c r="Y266" s="36"/>
      <c r="Z266" s="5"/>
      <c r="AA266" s="68"/>
      <c r="AB266" s="68"/>
      <c r="AC266" s="519"/>
      <c r="AD266" s="10"/>
    </row>
    <row r="267" spans="1:30" s="9" customFormat="1" x14ac:dyDescent="0.2">
      <c r="A267" s="28"/>
      <c r="B267" s="16"/>
      <c r="C267" s="16"/>
      <c r="D267" s="7"/>
      <c r="E267" s="7"/>
      <c r="F267" s="6"/>
      <c r="G267" s="6"/>
      <c r="H267" s="17"/>
      <c r="I267" s="17"/>
      <c r="J267" s="6"/>
      <c r="K267" s="6"/>
      <c r="L267" s="40"/>
      <c r="M267" s="6"/>
      <c r="N267" s="6"/>
      <c r="O267" s="6"/>
      <c r="P267" s="6"/>
      <c r="Q267" s="6"/>
      <c r="R267" s="6"/>
      <c r="S267" s="6"/>
      <c r="T267" s="6"/>
      <c r="U267" s="6"/>
      <c r="V267" s="6"/>
      <c r="W267" s="6"/>
      <c r="X267" s="6"/>
      <c r="Y267" s="6"/>
      <c r="Z267" s="6"/>
      <c r="AA267" s="6"/>
      <c r="AB267" s="6"/>
      <c r="AC267" s="520"/>
      <c r="AD267" s="10"/>
    </row>
    <row r="268" spans="1:30" s="9" customFormat="1" x14ac:dyDescent="0.2">
      <c r="A268" s="28"/>
      <c r="B268" s="16" t="s">
        <v>36</v>
      </c>
      <c r="C268" s="16" t="s">
        <v>133</v>
      </c>
      <c r="D268" s="7" t="s">
        <v>437</v>
      </c>
      <c r="E268" s="7"/>
      <c r="F268" s="6" t="s">
        <v>438</v>
      </c>
      <c r="G268" s="6"/>
      <c r="H268" s="17">
        <v>11698.65</v>
      </c>
      <c r="I268" s="39" t="s">
        <v>202</v>
      </c>
      <c r="J268" s="7">
        <v>36391</v>
      </c>
      <c r="K268" s="7"/>
      <c r="L268" s="23">
        <v>36485</v>
      </c>
      <c r="M268" s="18" t="s">
        <v>135</v>
      </c>
      <c r="N268" s="6" t="s">
        <v>42</v>
      </c>
      <c r="O268" s="6"/>
      <c r="P268" s="6"/>
      <c r="Q268" s="6"/>
      <c r="R268" s="6"/>
      <c r="S268" s="7">
        <v>36471</v>
      </c>
      <c r="T268" s="7">
        <v>36470</v>
      </c>
      <c r="U268" s="7"/>
      <c r="V268" s="6" t="s">
        <v>455</v>
      </c>
      <c r="W268" s="6">
        <v>522</v>
      </c>
      <c r="X268" s="6" t="s">
        <v>47</v>
      </c>
      <c r="Y268" s="6" t="s">
        <v>440</v>
      </c>
      <c r="Z268" s="6">
        <v>6576795186</v>
      </c>
      <c r="AA268" s="6" t="s">
        <v>195</v>
      </c>
      <c r="AB268" s="6" t="s">
        <v>47</v>
      </c>
      <c r="AC268" s="507"/>
      <c r="AD268" s="10"/>
    </row>
    <row r="269" spans="1:30" s="9" customFormat="1" ht="12" thickBot="1" x14ac:dyDescent="0.25">
      <c r="A269" s="28"/>
      <c r="B269" s="19"/>
      <c r="C269" s="19"/>
      <c r="D269" s="5"/>
      <c r="E269" s="5"/>
      <c r="F269" s="5" t="s">
        <v>456</v>
      </c>
      <c r="G269" s="5"/>
      <c r="H269" s="20"/>
      <c r="I269" s="21" t="s">
        <v>138</v>
      </c>
      <c r="J269" s="5"/>
      <c r="K269" s="5"/>
      <c r="L269" s="22"/>
      <c r="M269" s="5"/>
      <c r="N269" s="5"/>
      <c r="O269" s="5"/>
      <c r="P269" s="5"/>
      <c r="Q269" s="5"/>
      <c r="R269" s="5"/>
      <c r="S269" s="27" t="s">
        <v>296</v>
      </c>
      <c r="T269" s="19"/>
      <c r="U269" s="19"/>
      <c r="V269" s="5"/>
      <c r="W269" s="5"/>
      <c r="X269" s="5"/>
      <c r="Y269" s="5"/>
      <c r="Z269" s="5"/>
      <c r="AA269" s="5"/>
      <c r="AB269" s="5"/>
      <c r="AC269" s="519"/>
      <c r="AD269" s="10"/>
    </row>
    <row r="270" spans="1:30" s="9" customFormat="1" x14ac:dyDescent="0.2">
      <c r="A270" s="28"/>
      <c r="B270" s="16"/>
      <c r="C270" s="16"/>
      <c r="D270" s="7"/>
      <c r="E270" s="7"/>
      <c r="F270" s="6"/>
      <c r="G270" s="6"/>
      <c r="H270" s="17"/>
      <c r="I270" s="17"/>
      <c r="J270" s="6"/>
      <c r="K270" s="6"/>
      <c r="L270" s="40"/>
      <c r="M270" s="6"/>
      <c r="N270" s="6"/>
      <c r="O270" s="6"/>
      <c r="P270" s="6"/>
      <c r="Q270" s="6"/>
      <c r="R270" s="6"/>
      <c r="S270" s="6"/>
      <c r="T270" s="6"/>
      <c r="U270" s="6"/>
      <c r="V270" s="6"/>
      <c r="W270" s="6"/>
      <c r="X270" s="6"/>
      <c r="Y270" s="6"/>
      <c r="Z270" s="6"/>
      <c r="AA270" s="6"/>
      <c r="AB270" s="6"/>
      <c r="AC270" s="520"/>
      <c r="AD270" s="10"/>
    </row>
    <row r="271" spans="1:30" s="9" customFormat="1" x14ac:dyDescent="0.2">
      <c r="A271" s="28"/>
      <c r="B271" s="16" t="s">
        <v>36</v>
      </c>
      <c r="C271" s="16" t="s">
        <v>133</v>
      </c>
      <c r="D271" s="7" t="s">
        <v>437</v>
      </c>
      <c r="E271" s="7"/>
      <c r="F271" s="6" t="s">
        <v>438</v>
      </c>
      <c r="G271" s="6"/>
      <c r="H271" s="17">
        <v>82969.84</v>
      </c>
      <c r="I271" s="39" t="s">
        <v>181</v>
      </c>
      <c r="J271" s="7">
        <v>36391</v>
      </c>
      <c r="K271" s="7"/>
      <c r="L271" s="23">
        <v>36485</v>
      </c>
      <c r="M271" s="18" t="s">
        <v>135</v>
      </c>
      <c r="N271" s="6" t="s">
        <v>42</v>
      </c>
      <c r="O271" s="6"/>
      <c r="P271" s="6"/>
      <c r="Q271" s="6"/>
      <c r="R271" s="6"/>
      <c r="S271" s="7">
        <v>36471</v>
      </c>
      <c r="T271" s="7">
        <v>36470</v>
      </c>
      <c r="U271" s="7"/>
      <c r="V271" s="6" t="s">
        <v>457</v>
      </c>
      <c r="W271" s="6">
        <v>523</v>
      </c>
      <c r="X271" s="6" t="s">
        <v>47</v>
      </c>
      <c r="Y271" s="6" t="s">
        <v>440</v>
      </c>
      <c r="Z271" s="6">
        <v>6576795186</v>
      </c>
      <c r="AA271" s="6" t="s">
        <v>195</v>
      </c>
      <c r="AB271" s="6" t="s">
        <v>47</v>
      </c>
      <c r="AC271" s="507"/>
      <c r="AD271" s="10"/>
    </row>
    <row r="272" spans="1:30" s="9" customFormat="1" ht="12" thickBot="1" x14ac:dyDescent="0.25">
      <c r="A272" s="28"/>
      <c r="B272" s="19"/>
      <c r="C272" s="19"/>
      <c r="D272" s="5"/>
      <c r="E272" s="5"/>
      <c r="F272" s="5" t="s">
        <v>458</v>
      </c>
      <c r="G272" s="5"/>
      <c r="H272" s="20"/>
      <c r="I272" s="21" t="s">
        <v>446</v>
      </c>
      <c r="J272" s="5"/>
      <c r="K272" s="5"/>
      <c r="L272" s="22"/>
      <c r="M272" s="5"/>
      <c r="N272" s="5"/>
      <c r="O272" s="5"/>
      <c r="P272" s="5"/>
      <c r="Q272" s="5"/>
      <c r="R272" s="5"/>
      <c r="S272" s="27" t="s">
        <v>296</v>
      </c>
      <c r="T272" s="19"/>
      <c r="U272" s="19"/>
      <c r="V272" s="5"/>
      <c r="W272" s="5"/>
      <c r="X272" s="5"/>
      <c r="Y272" s="5"/>
      <c r="Z272" s="5"/>
      <c r="AA272" s="5"/>
      <c r="AB272" s="5"/>
      <c r="AC272" s="519"/>
      <c r="AD272" s="10"/>
    </row>
    <row r="273" spans="1:39" s="9" customFormat="1" x14ac:dyDescent="0.2">
      <c r="A273" s="28"/>
      <c r="B273" s="16"/>
      <c r="C273" s="16"/>
      <c r="D273" s="7"/>
      <c r="E273" s="7"/>
      <c r="F273" s="6"/>
      <c r="G273" s="6"/>
      <c r="H273" s="17"/>
      <c r="I273" s="17"/>
      <c r="J273" s="6"/>
      <c r="K273" s="6"/>
      <c r="L273" s="40"/>
      <c r="M273" s="6"/>
      <c r="N273" s="6"/>
      <c r="O273" s="6"/>
      <c r="P273" s="6"/>
      <c r="Q273" s="6"/>
      <c r="R273" s="6"/>
      <c r="S273" s="6"/>
      <c r="T273" s="6"/>
      <c r="U273" s="6"/>
      <c r="V273" s="6"/>
      <c r="W273" s="6"/>
      <c r="X273" s="6"/>
      <c r="Y273" s="6"/>
      <c r="Z273" s="6"/>
      <c r="AA273" s="6"/>
      <c r="AB273" s="6"/>
      <c r="AC273" s="520"/>
      <c r="AD273" s="10"/>
    </row>
    <row r="274" spans="1:39" s="9" customFormat="1" x14ac:dyDescent="0.2">
      <c r="A274" s="28"/>
      <c r="B274" s="16" t="s">
        <v>36</v>
      </c>
      <c r="C274" s="16" t="s">
        <v>133</v>
      </c>
      <c r="D274" s="7" t="s">
        <v>437</v>
      </c>
      <c r="E274" s="7"/>
      <c r="F274" s="6" t="s">
        <v>438</v>
      </c>
      <c r="G274" s="6"/>
      <c r="H274" s="17">
        <v>13220.53</v>
      </c>
      <c r="I274" s="39" t="s">
        <v>142</v>
      </c>
      <c r="J274" s="7">
        <v>36391</v>
      </c>
      <c r="K274" s="7"/>
      <c r="L274" s="23">
        <v>36485</v>
      </c>
      <c r="M274" s="18" t="s">
        <v>135</v>
      </c>
      <c r="N274" s="6" t="s">
        <v>42</v>
      </c>
      <c r="O274" s="6"/>
      <c r="P274" s="6"/>
      <c r="Q274" s="6"/>
      <c r="R274" s="6"/>
      <c r="S274" s="7">
        <v>36471</v>
      </c>
      <c r="T274" s="7">
        <v>36470</v>
      </c>
      <c r="U274" s="7"/>
      <c r="V274" s="6" t="s">
        <v>448</v>
      </c>
      <c r="W274" s="6">
        <v>524</v>
      </c>
      <c r="X274" s="6" t="s">
        <v>47</v>
      </c>
      <c r="Y274" s="6" t="s">
        <v>440</v>
      </c>
      <c r="Z274" s="6">
        <v>6576795186</v>
      </c>
      <c r="AA274" s="6" t="s">
        <v>195</v>
      </c>
      <c r="AB274" s="6" t="s">
        <v>47</v>
      </c>
      <c r="AC274" s="507"/>
      <c r="AD274" s="10"/>
    </row>
    <row r="275" spans="1:39" s="9" customFormat="1" ht="12" thickBot="1" x14ac:dyDescent="0.25">
      <c r="A275" s="28"/>
      <c r="B275" s="19"/>
      <c r="C275" s="19"/>
      <c r="D275" s="5"/>
      <c r="E275" s="5"/>
      <c r="F275" s="5" t="s">
        <v>459</v>
      </c>
      <c r="G275" s="5"/>
      <c r="H275" s="20"/>
      <c r="I275" s="21" t="s">
        <v>208</v>
      </c>
      <c r="J275" s="5"/>
      <c r="K275" s="5"/>
      <c r="L275" s="22"/>
      <c r="M275" s="5"/>
      <c r="N275" s="5"/>
      <c r="O275" s="5"/>
      <c r="P275" s="5"/>
      <c r="Q275" s="5"/>
      <c r="R275" s="5"/>
      <c r="S275" s="27" t="s">
        <v>296</v>
      </c>
      <c r="T275" s="19"/>
      <c r="U275" s="19"/>
      <c r="V275" s="5" t="s">
        <v>460</v>
      </c>
      <c r="W275" s="5"/>
      <c r="X275" s="5"/>
      <c r="Y275" s="5"/>
      <c r="Z275" s="5"/>
      <c r="AA275" s="5"/>
      <c r="AB275" s="5"/>
      <c r="AC275" s="519"/>
      <c r="AD275" s="10"/>
    </row>
    <row r="276" spans="1:39" s="9" customFormat="1" x14ac:dyDescent="0.2">
      <c r="A276" s="28"/>
      <c r="B276" s="16"/>
      <c r="C276" s="16"/>
      <c r="D276" s="7"/>
      <c r="E276" s="7"/>
      <c r="F276" s="6"/>
      <c r="G276" s="6"/>
      <c r="H276" s="17"/>
      <c r="I276" s="17"/>
      <c r="J276" s="6"/>
      <c r="K276" s="6"/>
      <c r="L276" s="40"/>
      <c r="M276" s="6"/>
      <c r="N276" s="6"/>
      <c r="O276" s="6"/>
      <c r="P276" s="6"/>
      <c r="Q276" s="6"/>
      <c r="R276" s="6"/>
      <c r="S276" s="6"/>
      <c r="T276" s="6"/>
      <c r="U276" s="6"/>
      <c r="V276" s="6"/>
      <c r="W276" s="6"/>
      <c r="X276" s="57"/>
      <c r="Y276" s="57"/>
      <c r="Z276" s="57"/>
      <c r="AA276" s="6"/>
      <c r="AB276" s="6"/>
      <c r="AC276" s="520"/>
      <c r="AD276" s="10"/>
    </row>
    <row r="277" spans="1:39" s="9" customFormat="1" x14ac:dyDescent="0.2">
      <c r="A277" s="28"/>
      <c r="B277" s="16" t="s">
        <v>36</v>
      </c>
      <c r="C277" s="16" t="s">
        <v>157</v>
      </c>
      <c r="D277" s="7" t="s">
        <v>461</v>
      </c>
      <c r="E277" s="7"/>
      <c r="F277" s="6" t="s">
        <v>462</v>
      </c>
      <c r="G277" s="6"/>
      <c r="H277" s="17">
        <f>14.5*10</f>
        <v>145</v>
      </c>
      <c r="I277" s="39" t="s">
        <v>52</v>
      </c>
      <c r="J277" s="7">
        <v>36452</v>
      </c>
      <c r="K277" s="7"/>
      <c r="L277" s="23" t="s">
        <v>463</v>
      </c>
      <c r="M277" s="18" t="s">
        <v>464</v>
      </c>
      <c r="N277" s="6" t="s">
        <v>465</v>
      </c>
      <c r="O277" s="6"/>
      <c r="P277" s="6"/>
      <c r="Q277" s="6"/>
      <c r="R277" s="6"/>
      <c r="S277" s="7">
        <v>36479</v>
      </c>
      <c r="T277" s="7">
        <v>36483</v>
      </c>
      <c r="U277" s="7"/>
      <c r="V277" s="6" t="s">
        <v>466</v>
      </c>
      <c r="W277" s="112">
        <v>546</v>
      </c>
      <c r="X277" s="59"/>
      <c r="Y277" s="59"/>
      <c r="Z277" s="59"/>
      <c r="AA277" s="6" t="s">
        <v>195</v>
      </c>
      <c r="AB277" s="6" t="s">
        <v>47</v>
      </c>
      <c r="AC277" s="507"/>
      <c r="AD277" s="10"/>
    </row>
    <row r="278" spans="1:39" s="9" customFormat="1" ht="12" thickBot="1" x14ac:dyDescent="0.25">
      <c r="A278" s="28"/>
      <c r="B278" s="19"/>
      <c r="C278" s="19"/>
      <c r="D278" s="5"/>
      <c r="E278" s="5"/>
      <c r="F278" s="5"/>
      <c r="G278" s="5"/>
      <c r="H278" s="20"/>
      <c r="I278" s="21"/>
      <c r="J278" s="5"/>
      <c r="K278" s="5"/>
      <c r="L278" s="22"/>
      <c r="M278" s="5"/>
      <c r="N278" s="5"/>
      <c r="O278" s="5"/>
      <c r="P278" s="5"/>
      <c r="Q278" s="5"/>
      <c r="R278" s="5"/>
      <c r="S278" s="27"/>
      <c r="T278" s="19"/>
      <c r="U278" s="19"/>
      <c r="V278" s="5" t="s">
        <v>467</v>
      </c>
      <c r="W278" s="113"/>
      <c r="X278" s="61"/>
      <c r="Y278" s="61"/>
      <c r="Z278" s="61"/>
      <c r="AA278" s="5"/>
      <c r="AB278" s="5"/>
      <c r="AC278" s="519"/>
      <c r="AD278" s="10"/>
    </row>
    <row r="279" spans="1:39" s="9" customFormat="1" x14ac:dyDescent="0.2">
      <c r="A279" s="28"/>
      <c r="B279" s="16"/>
      <c r="C279" s="16"/>
      <c r="D279" s="7"/>
      <c r="E279" s="7"/>
      <c r="F279" s="6"/>
      <c r="G279" s="6"/>
      <c r="H279" s="17"/>
      <c r="I279" s="17"/>
      <c r="J279" s="6"/>
      <c r="K279" s="6"/>
      <c r="L279" s="40"/>
      <c r="M279" s="6"/>
      <c r="N279" s="6"/>
      <c r="O279" s="6"/>
      <c r="P279" s="6"/>
      <c r="Q279" s="6"/>
      <c r="R279" s="6"/>
      <c r="S279" s="6"/>
      <c r="T279" s="6"/>
      <c r="U279" s="6"/>
      <c r="V279" s="6"/>
      <c r="W279" s="112"/>
      <c r="X279" s="57"/>
      <c r="Y279" s="57"/>
      <c r="Z279" s="57"/>
      <c r="AA279" s="6"/>
      <c r="AB279" s="6"/>
      <c r="AC279" s="520"/>
      <c r="AD279" s="10"/>
    </row>
    <row r="280" spans="1:39" s="9" customFormat="1" x14ac:dyDescent="0.2">
      <c r="A280" s="28"/>
      <c r="B280" s="16" t="s">
        <v>36</v>
      </c>
      <c r="C280" s="16" t="s">
        <v>157</v>
      </c>
      <c r="D280" s="7" t="s">
        <v>468</v>
      </c>
      <c r="E280" s="7"/>
      <c r="F280" s="6" t="s">
        <v>469</v>
      </c>
      <c r="G280" s="6"/>
      <c r="H280" s="17">
        <v>470</v>
      </c>
      <c r="I280" s="39" t="s">
        <v>52</v>
      </c>
      <c r="J280" s="7">
        <v>36476</v>
      </c>
      <c r="K280" s="7"/>
      <c r="L280" s="23" t="s">
        <v>470</v>
      </c>
      <c r="M280" s="18" t="s">
        <v>464</v>
      </c>
      <c r="N280" s="6" t="s">
        <v>465</v>
      </c>
      <c r="O280" s="6"/>
      <c r="P280" s="6"/>
      <c r="Q280" s="6"/>
      <c r="R280" s="6"/>
      <c r="S280" s="7">
        <v>36479</v>
      </c>
      <c r="T280" s="7">
        <v>36483</v>
      </c>
      <c r="U280" s="7"/>
      <c r="V280" s="6" t="s">
        <v>466</v>
      </c>
      <c r="W280" s="112">
        <v>546</v>
      </c>
      <c r="X280" s="59"/>
      <c r="Y280" s="59"/>
      <c r="Z280" s="59"/>
      <c r="AA280" s="6" t="s">
        <v>195</v>
      </c>
      <c r="AB280" s="6" t="s">
        <v>47</v>
      </c>
      <c r="AC280" s="507"/>
      <c r="AD280" s="10"/>
    </row>
    <row r="281" spans="1:39" s="9" customFormat="1" ht="12" thickBot="1" x14ac:dyDescent="0.25">
      <c r="A281" s="28"/>
      <c r="B281" s="19"/>
      <c r="C281" s="19"/>
      <c r="D281" s="5"/>
      <c r="E281" s="5"/>
      <c r="F281" s="5"/>
      <c r="G281" s="5"/>
      <c r="H281" s="105" t="s">
        <v>471</v>
      </c>
      <c r="I281" s="21"/>
      <c r="J281" s="5"/>
      <c r="K281" s="5"/>
      <c r="L281" s="22"/>
      <c r="M281" s="5"/>
      <c r="N281" s="5"/>
      <c r="O281" s="5"/>
      <c r="P281" s="5"/>
      <c r="Q281" s="5"/>
      <c r="R281" s="5"/>
      <c r="S281" s="27"/>
      <c r="T281" s="19"/>
      <c r="U281" s="19"/>
      <c r="V281" s="5" t="s">
        <v>472</v>
      </c>
      <c r="W281" s="111"/>
      <c r="X281" s="61"/>
      <c r="Y281" s="61"/>
      <c r="Z281" s="61"/>
      <c r="AA281" s="5"/>
      <c r="AB281" s="5"/>
      <c r="AC281" s="519"/>
      <c r="AD281" s="10"/>
    </row>
    <row r="282" spans="1:39" s="46" customFormat="1" x14ac:dyDescent="0.2">
      <c r="A282" s="28"/>
      <c r="B282" s="16"/>
      <c r="C282" s="16"/>
      <c r="D282" s="7"/>
      <c r="E282" s="7"/>
      <c r="F282" s="6"/>
      <c r="G282" s="6"/>
      <c r="H282" s="17"/>
      <c r="I282" s="17"/>
      <c r="J282" s="6"/>
      <c r="K282" s="6"/>
      <c r="L282" s="40"/>
      <c r="M282" s="6"/>
      <c r="N282" s="6"/>
      <c r="O282" s="6"/>
      <c r="P282" s="6"/>
      <c r="Q282" s="6"/>
      <c r="R282" s="6"/>
      <c r="S282" s="6"/>
      <c r="T282" s="6"/>
      <c r="U282" s="6"/>
      <c r="V282" s="6"/>
      <c r="W282" s="6"/>
      <c r="X282" s="6"/>
      <c r="Y282" s="6"/>
      <c r="Z282" s="6"/>
      <c r="AA282" s="6"/>
      <c r="AB282" s="6"/>
      <c r="AC282" s="520"/>
      <c r="AD282" s="3"/>
      <c r="AE282" s="2"/>
      <c r="AF282" s="2"/>
      <c r="AG282" s="2"/>
      <c r="AH282" s="2"/>
      <c r="AI282" s="2"/>
      <c r="AJ282" s="2"/>
      <c r="AK282" s="2"/>
      <c r="AL282" s="2"/>
      <c r="AM282" s="2"/>
    </row>
    <row r="283" spans="1:39" s="46" customFormat="1" x14ac:dyDescent="0.2">
      <c r="A283" s="28"/>
      <c r="B283" s="16" t="s">
        <v>36</v>
      </c>
      <c r="C283" s="16" t="s">
        <v>133</v>
      </c>
      <c r="D283" s="7" t="s">
        <v>437</v>
      </c>
      <c r="E283" s="7"/>
      <c r="F283" s="6" t="s">
        <v>438</v>
      </c>
      <c r="G283" s="6"/>
      <c r="H283" s="17">
        <v>11107.35</v>
      </c>
      <c r="I283" s="39" t="s">
        <v>202</v>
      </c>
      <c r="J283" s="7">
        <v>36427</v>
      </c>
      <c r="K283" s="7"/>
      <c r="L283" s="23">
        <v>36517</v>
      </c>
      <c r="M283" s="18" t="s">
        <v>135</v>
      </c>
      <c r="N283" s="6" t="s">
        <v>42</v>
      </c>
      <c r="O283" s="6"/>
      <c r="P283" s="6"/>
      <c r="Q283" s="6"/>
      <c r="R283" s="6"/>
      <c r="S283" s="7">
        <v>36505</v>
      </c>
      <c r="T283" s="7">
        <v>36506</v>
      </c>
      <c r="U283" s="7"/>
      <c r="V283" s="6" t="s">
        <v>473</v>
      </c>
      <c r="W283" s="6">
        <v>531</v>
      </c>
      <c r="X283" s="6" t="s">
        <v>47</v>
      </c>
      <c r="Y283" s="6" t="s">
        <v>440</v>
      </c>
      <c r="Z283" s="6">
        <v>6582985124</v>
      </c>
      <c r="AA283" s="6" t="s">
        <v>318</v>
      </c>
      <c r="AB283" s="6" t="s">
        <v>47</v>
      </c>
      <c r="AC283" s="507"/>
      <c r="AD283" s="3"/>
      <c r="AE283" s="2"/>
      <c r="AF283" s="2"/>
      <c r="AG283" s="2"/>
      <c r="AH283" s="2"/>
      <c r="AI283" s="2"/>
      <c r="AJ283" s="2"/>
      <c r="AK283" s="2"/>
      <c r="AL283" s="2"/>
      <c r="AM283" s="2"/>
    </row>
    <row r="284" spans="1:39" s="46" customFormat="1" ht="12" thickBot="1" x14ac:dyDescent="0.25">
      <c r="A284" s="28"/>
      <c r="B284" s="19"/>
      <c r="C284" s="19"/>
      <c r="D284" s="5"/>
      <c r="E284" s="5"/>
      <c r="F284" s="5" t="s">
        <v>474</v>
      </c>
      <c r="G284" s="5"/>
      <c r="H284" s="20"/>
      <c r="I284" s="21" t="s">
        <v>138</v>
      </c>
      <c r="J284" s="5"/>
      <c r="K284" s="5"/>
      <c r="L284" s="22"/>
      <c r="M284" s="5"/>
      <c r="N284" s="5"/>
      <c r="O284" s="5"/>
      <c r="P284" s="5"/>
      <c r="Q284" s="5"/>
      <c r="R284" s="5"/>
      <c r="S284" s="27" t="s">
        <v>296</v>
      </c>
      <c r="T284" s="19"/>
      <c r="U284" s="19"/>
      <c r="V284" s="5"/>
      <c r="W284" s="5"/>
      <c r="X284" s="5"/>
      <c r="Y284" s="5"/>
      <c r="Z284" s="5"/>
      <c r="AA284" s="5"/>
      <c r="AB284" s="5"/>
      <c r="AC284" s="519"/>
      <c r="AD284" s="3"/>
      <c r="AE284" s="2"/>
      <c r="AF284" s="2"/>
      <c r="AG284" s="2"/>
      <c r="AH284" s="2"/>
      <c r="AI284" s="2"/>
      <c r="AJ284" s="2"/>
      <c r="AK284" s="2"/>
      <c r="AL284" s="2"/>
      <c r="AM284" s="2"/>
    </row>
    <row r="285" spans="1:39" s="46" customFormat="1" x14ac:dyDescent="0.2">
      <c r="A285" s="28"/>
      <c r="B285" s="16"/>
      <c r="C285" s="16"/>
      <c r="D285" s="7"/>
      <c r="E285" s="7"/>
      <c r="F285" s="6"/>
      <c r="G285" s="6"/>
      <c r="H285" s="17"/>
      <c r="I285" s="17"/>
      <c r="J285" s="6"/>
      <c r="K285" s="6"/>
      <c r="L285" s="40"/>
      <c r="M285" s="6"/>
      <c r="N285" s="6"/>
      <c r="O285" s="6"/>
      <c r="P285" s="6"/>
      <c r="Q285" s="6"/>
      <c r="R285" s="6"/>
      <c r="S285" s="6"/>
      <c r="T285" s="6"/>
      <c r="U285" s="6"/>
      <c r="V285" s="6"/>
      <c r="W285" s="6"/>
      <c r="X285" s="6"/>
      <c r="Y285" s="6"/>
      <c r="Z285" s="6"/>
      <c r="AA285" s="6"/>
      <c r="AB285" s="6"/>
      <c r="AC285" s="520"/>
      <c r="AD285" s="3"/>
      <c r="AE285" s="2"/>
      <c r="AF285" s="2"/>
      <c r="AG285" s="2"/>
      <c r="AH285" s="2"/>
      <c r="AI285" s="2"/>
      <c r="AJ285" s="2"/>
      <c r="AK285" s="2"/>
      <c r="AL285" s="2"/>
      <c r="AM285" s="2"/>
    </row>
    <row r="286" spans="1:39" s="46" customFormat="1" x14ac:dyDescent="0.2">
      <c r="A286" s="28"/>
      <c r="B286" s="16" t="s">
        <v>36</v>
      </c>
      <c r="C286" s="16" t="s">
        <v>133</v>
      </c>
      <c r="D286" s="7" t="s">
        <v>437</v>
      </c>
      <c r="E286" s="7"/>
      <c r="F286" s="6" t="s">
        <v>438</v>
      </c>
      <c r="G286" s="6"/>
      <c r="H286" s="17">
        <v>28618.32</v>
      </c>
      <c r="I286" s="39" t="s">
        <v>154</v>
      </c>
      <c r="J286" s="7">
        <v>36427</v>
      </c>
      <c r="K286" s="7"/>
      <c r="L286" s="23">
        <v>36517</v>
      </c>
      <c r="M286" s="18" t="s">
        <v>135</v>
      </c>
      <c r="N286" s="6" t="s">
        <v>42</v>
      </c>
      <c r="O286" s="6"/>
      <c r="P286" s="6"/>
      <c r="Q286" s="6"/>
      <c r="R286" s="6"/>
      <c r="S286" s="7">
        <v>36505</v>
      </c>
      <c r="T286" s="7">
        <v>36506</v>
      </c>
      <c r="U286" s="7"/>
      <c r="V286" s="6" t="s">
        <v>475</v>
      </c>
      <c r="W286" s="6">
        <v>532</v>
      </c>
      <c r="X286" s="6" t="s">
        <v>47</v>
      </c>
      <c r="Y286" s="6" t="s">
        <v>440</v>
      </c>
      <c r="Z286" s="6">
        <v>6582985124</v>
      </c>
      <c r="AA286" s="6" t="s">
        <v>318</v>
      </c>
      <c r="AB286" s="6" t="s">
        <v>47</v>
      </c>
      <c r="AC286" s="507"/>
      <c r="AD286" s="3"/>
      <c r="AE286" s="2"/>
      <c r="AF286" s="2"/>
      <c r="AG286" s="2"/>
      <c r="AH286" s="2"/>
      <c r="AI286" s="2"/>
      <c r="AJ286" s="2"/>
      <c r="AK286" s="2"/>
      <c r="AL286" s="2"/>
      <c r="AM286" s="2"/>
    </row>
    <row r="287" spans="1:39" s="46" customFormat="1" ht="12" thickBot="1" x14ac:dyDescent="0.25">
      <c r="A287" s="28"/>
      <c r="B287" s="19"/>
      <c r="C287" s="19"/>
      <c r="D287" s="5"/>
      <c r="E287" s="5"/>
      <c r="F287" s="5" t="s">
        <v>476</v>
      </c>
      <c r="G287" s="5"/>
      <c r="H287" s="20"/>
      <c r="I287" s="21" t="s">
        <v>230</v>
      </c>
      <c r="J287" s="5"/>
      <c r="K287" s="5"/>
      <c r="L287" s="22"/>
      <c r="M287" s="5"/>
      <c r="N287" s="5"/>
      <c r="O287" s="5"/>
      <c r="P287" s="5"/>
      <c r="Q287" s="5"/>
      <c r="R287" s="5"/>
      <c r="S287" s="27" t="s">
        <v>296</v>
      </c>
      <c r="T287" s="19"/>
      <c r="U287" s="19"/>
      <c r="V287" s="5"/>
      <c r="W287" s="5"/>
      <c r="X287" s="5"/>
      <c r="Y287" s="5"/>
      <c r="Z287" s="5"/>
      <c r="AA287" s="5"/>
      <c r="AB287" s="5"/>
      <c r="AC287" s="519"/>
      <c r="AD287" s="3"/>
      <c r="AE287" s="2"/>
      <c r="AF287" s="2"/>
      <c r="AG287" s="2"/>
      <c r="AH287" s="2"/>
      <c r="AI287" s="2"/>
      <c r="AJ287" s="2"/>
      <c r="AK287" s="2"/>
      <c r="AL287" s="2"/>
      <c r="AM287" s="2"/>
    </row>
    <row r="288" spans="1:39" s="46" customFormat="1" x14ac:dyDescent="0.2">
      <c r="A288" s="28"/>
      <c r="B288" s="16"/>
      <c r="C288" s="16"/>
      <c r="D288" s="7"/>
      <c r="E288" s="7"/>
      <c r="F288" s="6"/>
      <c r="G288" s="6"/>
      <c r="H288" s="17"/>
      <c r="I288" s="17"/>
      <c r="J288" s="6"/>
      <c r="K288" s="6"/>
      <c r="L288" s="40"/>
      <c r="M288" s="6"/>
      <c r="N288" s="6"/>
      <c r="O288" s="6"/>
      <c r="P288" s="6"/>
      <c r="Q288" s="6"/>
      <c r="R288" s="6"/>
      <c r="S288" s="6"/>
      <c r="T288" s="6"/>
      <c r="U288" s="6"/>
      <c r="V288" s="6"/>
      <c r="W288" s="6"/>
      <c r="X288" s="6"/>
      <c r="Y288" s="6"/>
      <c r="Z288" s="6"/>
      <c r="AA288" s="6"/>
      <c r="AB288" s="6"/>
      <c r="AC288" s="524"/>
      <c r="AD288" s="3"/>
      <c r="AE288" s="2"/>
      <c r="AF288" s="2"/>
      <c r="AG288" s="2"/>
      <c r="AH288" s="2"/>
      <c r="AI288" s="2"/>
      <c r="AJ288" s="2"/>
      <c r="AK288" s="2"/>
      <c r="AL288" s="2"/>
      <c r="AM288" s="2"/>
    </row>
    <row r="289" spans="1:39" s="46" customFormat="1" x14ac:dyDescent="0.2">
      <c r="A289" s="28"/>
      <c r="B289" s="16" t="s">
        <v>36</v>
      </c>
      <c r="C289" s="16" t="s">
        <v>133</v>
      </c>
      <c r="D289" s="7" t="s">
        <v>437</v>
      </c>
      <c r="E289" s="7"/>
      <c r="F289" s="6" t="s">
        <v>438</v>
      </c>
      <c r="G289" s="6"/>
      <c r="H289" s="17">
        <v>12116.71</v>
      </c>
      <c r="I289" s="39" t="s">
        <v>40</v>
      </c>
      <c r="J289" s="7">
        <v>36427</v>
      </c>
      <c r="K289" s="7"/>
      <c r="L289" s="23">
        <v>36517</v>
      </c>
      <c r="M289" s="18" t="s">
        <v>135</v>
      </c>
      <c r="N289" s="6" t="s">
        <v>42</v>
      </c>
      <c r="O289" s="6"/>
      <c r="P289" s="6"/>
      <c r="Q289" s="6"/>
      <c r="R289" s="6"/>
      <c r="S289" s="7">
        <v>36505</v>
      </c>
      <c r="T289" s="7">
        <v>36506</v>
      </c>
      <c r="U289" s="7"/>
      <c r="V289" s="6" t="s">
        <v>477</v>
      </c>
      <c r="W289" s="6">
        <v>533</v>
      </c>
      <c r="X289" s="6" t="s">
        <v>47</v>
      </c>
      <c r="Y289" s="6" t="s">
        <v>440</v>
      </c>
      <c r="Z289" s="6">
        <v>6582985124</v>
      </c>
      <c r="AA289" s="6" t="s">
        <v>318</v>
      </c>
      <c r="AB289" s="6" t="s">
        <v>211</v>
      </c>
      <c r="AC289" s="507"/>
      <c r="AD289" s="3"/>
      <c r="AE289" s="2"/>
      <c r="AF289" s="2"/>
      <c r="AG289" s="2"/>
      <c r="AH289" s="2"/>
      <c r="AI289" s="2"/>
      <c r="AJ289" s="2"/>
      <c r="AK289" s="2"/>
      <c r="AL289" s="2"/>
      <c r="AM289" s="2"/>
    </row>
    <row r="290" spans="1:39" s="46" customFormat="1" ht="12" thickBot="1" x14ac:dyDescent="0.25">
      <c r="A290" s="28"/>
      <c r="B290" s="19"/>
      <c r="C290" s="19"/>
      <c r="D290" s="5"/>
      <c r="E290" s="5"/>
      <c r="F290" s="5" t="s">
        <v>478</v>
      </c>
      <c r="G290" s="5"/>
      <c r="H290" s="20"/>
      <c r="I290" s="21" t="s">
        <v>446</v>
      </c>
      <c r="J290" s="5"/>
      <c r="K290" s="5"/>
      <c r="L290" s="22"/>
      <c r="M290" s="5"/>
      <c r="N290" s="5"/>
      <c r="O290" s="5"/>
      <c r="P290" s="5"/>
      <c r="Q290" s="5"/>
      <c r="R290" s="5"/>
      <c r="S290" s="27" t="s">
        <v>296</v>
      </c>
      <c r="T290" s="19"/>
      <c r="U290" s="19"/>
      <c r="V290" s="5"/>
      <c r="W290" s="5"/>
      <c r="X290" s="5"/>
      <c r="Y290" s="5"/>
      <c r="Z290" s="5"/>
      <c r="AA290" s="5"/>
      <c r="AB290" s="5"/>
      <c r="AC290" s="525"/>
      <c r="AD290" s="3"/>
      <c r="AE290" s="2"/>
      <c r="AF290" s="2"/>
      <c r="AG290" s="2"/>
      <c r="AH290" s="2"/>
      <c r="AI290" s="2"/>
      <c r="AJ290" s="2"/>
      <c r="AK290" s="2"/>
      <c r="AL290" s="2"/>
      <c r="AM290" s="2"/>
    </row>
    <row r="291" spans="1:39" s="46" customFormat="1" x14ac:dyDescent="0.2">
      <c r="A291" s="28"/>
      <c r="B291" s="11"/>
      <c r="C291" s="16"/>
      <c r="D291" s="7"/>
      <c r="E291" s="7"/>
      <c r="F291" s="6"/>
      <c r="G291" s="6"/>
      <c r="H291" s="17"/>
      <c r="I291" s="17"/>
      <c r="J291" s="6"/>
      <c r="K291" s="6"/>
      <c r="L291" s="40"/>
      <c r="M291" s="6"/>
      <c r="N291" s="6"/>
      <c r="O291" s="6"/>
      <c r="P291" s="6"/>
      <c r="Q291" s="6"/>
      <c r="R291" s="6"/>
      <c r="S291" s="6"/>
      <c r="T291" s="6"/>
      <c r="U291" s="6"/>
      <c r="V291" s="6"/>
      <c r="W291" s="6"/>
      <c r="X291" s="6"/>
      <c r="Y291" s="6"/>
      <c r="Z291" s="6"/>
      <c r="AA291" s="6"/>
      <c r="AB291" s="6"/>
      <c r="AC291" s="524"/>
      <c r="AD291" s="3"/>
      <c r="AE291" s="2"/>
      <c r="AF291" s="2"/>
      <c r="AG291" s="2"/>
      <c r="AH291" s="2"/>
      <c r="AI291" s="2"/>
      <c r="AJ291" s="2"/>
      <c r="AK291" s="2"/>
      <c r="AL291" s="2"/>
      <c r="AM291" s="2"/>
    </row>
    <row r="292" spans="1:39" s="46" customFormat="1" x14ac:dyDescent="0.2">
      <c r="A292" s="28"/>
      <c r="B292" s="16" t="s">
        <v>36</v>
      </c>
      <c r="C292" s="16" t="s">
        <v>133</v>
      </c>
      <c r="D292" s="7" t="s">
        <v>437</v>
      </c>
      <c r="E292" s="7"/>
      <c r="F292" s="6" t="s">
        <v>438</v>
      </c>
      <c r="G292" s="6"/>
      <c r="H292" s="17">
        <v>11654.33</v>
      </c>
      <c r="I292" s="39" t="s">
        <v>40</v>
      </c>
      <c r="J292" s="7">
        <v>36427</v>
      </c>
      <c r="K292" s="7"/>
      <c r="L292" s="23">
        <v>36517</v>
      </c>
      <c r="M292" s="18" t="s">
        <v>135</v>
      </c>
      <c r="N292" s="6" t="s">
        <v>42</v>
      </c>
      <c r="O292" s="6"/>
      <c r="P292" s="6"/>
      <c r="Q292" s="6"/>
      <c r="R292" s="6"/>
      <c r="S292" s="7">
        <v>36505</v>
      </c>
      <c r="T292" s="7">
        <v>36506</v>
      </c>
      <c r="U292" s="7"/>
      <c r="V292" s="6" t="s">
        <v>479</v>
      </c>
      <c r="W292" s="6">
        <v>534</v>
      </c>
      <c r="X292" s="6" t="s">
        <v>47</v>
      </c>
      <c r="Y292" s="6" t="s">
        <v>440</v>
      </c>
      <c r="Z292" s="6">
        <v>6582985124</v>
      </c>
      <c r="AA292" s="6" t="s">
        <v>318</v>
      </c>
      <c r="AB292" s="6" t="s">
        <v>47</v>
      </c>
      <c r="AC292" s="507"/>
      <c r="AD292" s="3"/>
      <c r="AE292" s="2"/>
      <c r="AF292" s="2"/>
      <c r="AG292" s="2"/>
      <c r="AH292" s="2"/>
      <c r="AI292" s="2"/>
      <c r="AJ292" s="2"/>
      <c r="AK292" s="2"/>
      <c r="AL292" s="2"/>
      <c r="AM292" s="2"/>
    </row>
    <row r="293" spans="1:39" s="46" customFormat="1" ht="12" thickBot="1" x14ac:dyDescent="0.25">
      <c r="A293" s="28"/>
      <c r="B293" s="19"/>
      <c r="C293" s="19"/>
      <c r="D293" s="5"/>
      <c r="E293" s="5"/>
      <c r="F293" s="5" t="s">
        <v>480</v>
      </c>
      <c r="G293" s="5"/>
      <c r="H293" s="20"/>
      <c r="I293" s="21" t="s">
        <v>446</v>
      </c>
      <c r="J293" s="5"/>
      <c r="K293" s="5"/>
      <c r="L293" s="22"/>
      <c r="M293" s="5"/>
      <c r="N293" s="5"/>
      <c r="O293" s="5"/>
      <c r="P293" s="5"/>
      <c r="Q293" s="5"/>
      <c r="R293" s="5"/>
      <c r="S293" s="27" t="s">
        <v>296</v>
      </c>
      <c r="T293" s="19"/>
      <c r="U293" s="19"/>
      <c r="V293" s="5"/>
      <c r="W293" s="5"/>
      <c r="X293" s="5"/>
      <c r="Y293" s="5"/>
      <c r="Z293" s="5"/>
      <c r="AA293" s="5"/>
      <c r="AB293" s="5"/>
      <c r="AC293" s="525"/>
      <c r="AD293" s="3"/>
      <c r="AE293" s="2"/>
      <c r="AF293" s="2"/>
      <c r="AG293" s="2"/>
      <c r="AH293" s="2"/>
      <c r="AI293" s="2"/>
      <c r="AJ293" s="2"/>
      <c r="AK293" s="2"/>
      <c r="AL293" s="2"/>
      <c r="AM293" s="2"/>
    </row>
    <row r="294" spans="1:39" s="46" customFormat="1" ht="12" thickBot="1" x14ac:dyDescent="0.25">
      <c r="A294" s="28"/>
      <c r="B294" s="125"/>
      <c r="C294" s="49"/>
      <c r="D294" s="50"/>
      <c r="E294" s="50"/>
      <c r="F294" s="50"/>
      <c r="G294" s="50"/>
      <c r="H294" s="51"/>
      <c r="I294" s="52"/>
      <c r="J294" s="50"/>
      <c r="K294" s="50"/>
      <c r="L294" s="53"/>
      <c r="M294" s="50"/>
      <c r="N294" s="50"/>
      <c r="O294" s="50"/>
      <c r="P294" s="50"/>
      <c r="Q294" s="50"/>
      <c r="R294" s="50"/>
      <c r="S294" s="54"/>
      <c r="T294" s="49"/>
      <c r="U294" s="49"/>
      <c r="V294" s="50"/>
      <c r="W294" s="50"/>
      <c r="X294" s="50"/>
      <c r="Y294" s="50"/>
      <c r="Z294" s="50"/>
      <c r="AA294" s="50"/>
      <c r="AB294" s="50"/>
      <c r="AC294" s="526"/>
      <c r="AD294" s="3"/>
      <c r="AE294" s="2"/>
      <c r="AF294" s="2"/>
      <c r="AG294" s="2"/>
      <c r="AH294" s="2"/>
      <c r="AI294" s="2"/>
      <c r="AJ294" s="2"/>
      <c r="AK294" s="2"/>
      <c r="AL294" s="2"/>
      <c r="AM294" s="2"/>
    </row>
    <row r="295" spans="1:39" s="544" customFormat="1" ht="39.950000000000003" customHeight="1" thickBot="1" x14ac:dyDescent="0.25">
      <c r="B295" s="1611">
        <v>2000</v>
      </c>
      <c r="C295" s="1612"/>
      <c r="D295" s="1612"/>
      <c r="E295" s="1612"/>
      <c r="F295" s="1612"/>
      <c r="G295" s="1612"/>
      <c r="H295" s="1612"/>
      <c r="I295" s="1612"/>
      <c r="J295" s="1612"/>
      <c r="K295" s="1612"/>
      <c r="L295" s="1612"/>
      <c r="M295" s="1612"/>
      <c r="N295" s="1612"/>
      <c r="O295" s="1612"/>
      <c r="P295" s="1612"/>
      <c r="Q295" s="1612"/>
      <c r="R295" s="1612"/>
      <c r="S295" s="1612"/>
      <c r="T295" s="1612"/>
      <c r="U295" s="1612"/>
      <c r="V295" s="1612"/>
      <c r="W295" s="1612"/>
      <c r="X295" s="1612"/>
      <c r="Y295" s="1612"/>
      <c r="Z295" s="1612"/>
      <c r="AA295" s="1612"/>
      <c r="AB295" s="1612"/>
      <c r="AC295" s="1613"/>
    </row>
    <row r="296" spans="1:39" s="441" customFormat="1" ht="60" customHeight="1" thickBot="1" x14ac:dyDescent="0.25">
      <c r="A296" s="438"/>
      <c r="B296" s="451" t="s">
        <v>130</v>
      </c>
      <c r="C296" s="451" t="s">
        <v>4</v>
      </c>
      <c r="D296" s="451" t="s">
        <v>5</v>
      </c>
      <c r="E296" s="451" t="s">
        <v>6</v>
      </c>
      <c r="F296" s="451" t="s">
        <v>7</v>
      </c>
      <c r="G296" s="451" t="s">
        <v>8</v>
      </c>
      <c r="H296" s="453" t="s">
        <v>9</v>
      </c>
      <c r="I296" s="453" t="s">
        <v>10</v>
      </c>
      <c r="J296" s="451" t="s">
        <v>11</v>
      </c>
      <c r="K296" s="451" t="s">
        <v>12</v>
      </c>
      <c r="L296" s="451" t="s">
        <v>13</v>
      </c>
      <c r="M296" s="451" t="s">
        <v>14</v>
      </c>
      <c r="N296" s="451" t="s">
        <v>15</v>
      </c>
      <c r="O296" s="452" t="s">
        <v>16</v>
      </c>
      <c r="P296" s="454" t="s">
        <v>17</v>
      </c>
      <c r="Q296" s="451" t="s">
        <v>18</v>
      </c>
      <c r="R296" s="452" t="s">
        <v>19</v>
      </c>
      <c r="S296" s="451" t="s">
        <v>20</v>
      </c>
      <c r="T296" s="451" t="s">
        <v>21</v>
      </c>
      <c r="U296" s="452" t="s">
        <v>22</v>
      </c>
      <c r="V296" s="451" t="s">
        <v>131</v>
      </c>
      <c r="W296" s="451" t="s">
        <v>24</v>
      </c>
      <c r="X296" s="451" t="s">
        <v>132</v>
      </c>
      <c r="Y296" s="451" t="s">
        <v>26</v>
      </c>
      <c r="Z296" s="451" t="s">
        <v>27</v>
      </c>
      <c r="AA296" s="451" t="s">
        <v>28</v>
      </c>
      <c r="AB296" s="451" t="s">
        <v>29</v>
      </c>
      <c r="AC296" s="451" t="s">
        <v>30</v>
      </c>
      <c r="AD296" s="439"/>
      <c r="AE296" s="440"/>
      <c r="AF296" s="440"/>
      <c r="AG296" s="440"/>
      <c r="AH296" s="440"/>
      <c r="AI296" s="440"/>
      <c r="AJ296" s="440"/>
      <c r="AK296" s="440"/>
      <c r="AL296" s="440"/>
      <c r="AM296" s="440"/>
    </row>
    <row r="297" spans="1:39" s="9" customFormat="1" x14ac:dyDescent="0.2">
      <c r="A297" s="28"/>
      <c r="B297" s="11"/>
      <c r="C297" s="16"/>
      <c r="D297" s="7"/>
      <c r="E297" s="7"/>
      <c r="F297" s="6"/>
      <c r="G297" s="6"/>
      <c r="H297" s="17"/>
      <c r="I297" s="17"/>
      <c r="J297" s="6"/>
      <c r="K297" s="6"/>
      <c r="L297" s="40"/>
      <c r="M297" s="6"/>
      <c r="N297" s="6"/>
      <c r="O297" s="6"/>
      <c r="P297" s="6"/>
      <c r="Q297" s="6"/>
      <c r="R297" s="6"/>
      <c r="S297" s="6"/>
      <c r="T297" s="6"/>
      <c r="U297" s="6"/>
      <c r="V297" s="6"/>
      <c r="W297" s="6"/>
      <c r="X297" s="6"/>
      <c r="Y297" s="6"/>
      <c r="Z297" s="6"/>
      <c r="AA297" s="6"/>
      <c r="AB297" s="6"/>
      <c r="AC297" s="12"/>
      <c r="AD297" s="10"/>
    </row>
    <row r="298" spans="1:39" s="9" customFormat="1" x14ac:dyDescent="0.2">
      <c r="A298" s="28"/>
      <c r="B298" s="16" t="s">
        <v>36</v>
      </c>
      <c r="C298" s="16" t="s">
        <v>133</v>
      </c>
      <c r="D298" s="7" t="s">
        <v>437</v>
      </c>
      <c r="E298" s="7"/>
      <c r="F298" s="6" t="s">
        <v>438</v>
      </c>
      <c r="G298" s="6"/>
      <c r="H298" s="17">
        <v>17285.060000000001</v>
      </c>
      <c r="I298" s="39" t="s">
        <v>202</v>
      </c>
      <c r="J298" s="7">
        <v>36451</v>
      </c>
      <c r="K298" s="7"/>
      <c r="L298" s="23">
        <v>36543</v>
      </c>
      <c r="M298" s="18" t="s">
        <v>135</v>
      </c>
      <c r="N298" s="6" t="s">
        <v>42</v>
      </c>
      <c r="O298" s="6"/>
      <c r="P298" s="6"/>
      <c r="Q298" s="6"/>
      <c r="R298" s="6"/>
      <c r="S298" s="7">
        <v>36537</v>
      </c>
      <c r="T298" s="7">
        <v>36538</v>
      </c>
      <c r="U298" s="7"/>
      <c r="V298" s="6" t="s">
        <v>481</v>
      </c>
      <c r="W298" s="6">
        <v>539</v>
      </c>
      <c r="X298" s="6" t="s">
        <v>47</v>
      </c>
      <c r="Y298" s="6" t="s">
        <v>440</v>
      </c>
      <c r="Z298" s="6" t="s">
        <v>318</v>
      </c>
      <c r="AA298" s="6" t="s">
        <v>318</v>
      </c>
      <c r="AB298" s="6" t="s">
        <v>211</v>
      </c>
      <c r="AC298" s="507"/>
      <c r="AD298" s="10"/>
    </row>
    <row r="299" spans="1:39" s="9" customFormat="1" ht="12" thickBot="1" x14ac:dyDescent="0.25">
      <c r="A299" s="28"/>
      <c r="B299" s="19"/>
      <c r="C299" s="19"/>
      <c r="D299" s="5"/>
      <c r="E299" s="5"/>
      <c r="F299" s="5" t="s">
        <v>482</v>
      </c>
      <c r="G299" s="5"/>
      <c r="H299" s="20"/>
      <c r="I299" s="21" t="s">
        <v>138</v>
      </c>
      <c r="J299" s="5"/>
      <c r="K299" s="5"/>
      <c r="L299" s="22"/>
      <c r="M299" s="5"/>
      <c r="N299" s="5"/>
      <c r="O299" s="5"/>
      <c r="P299" s="5"/>
      <c r="Q299" s="5"/>
      <c r="R299" s="5"/>
      <c r="S299" s="27" t="s">
        <v>296</v>
      </c>
      <c r="T299" s="19"/>
      <c r="U299" s="19"/>
      <c r="V299" s="5" t="s">
        <v>483</v>
      </c>
      <c r="W299" s="5"/>
      <c r="X299" s="5"/>
      <c r="Y299" s="5"/>
      <c r="Z299" s="5"/>
      <c r="AA299" s="5" t="s">
        <v>484</v>
      </c>
      <c r="AB299" s="5"/>
      <c r="AC299" s="5"/>
      <c r="AD299" s="10"/>
    </row>
    <row r="300" spans="1:39" s="9" customFormat="1" x14ac:dyDescent="0.2">
      <c r="A300" s="28"/>
      <c r="B300" s="16"/>
      <c r="C300" s="16"/>
      <c r="D300" s="7"/>
      <c r="E300" s="7"/>
      <c r="F300" s="6"/>
      <c r="G300" s="6"/>
      <c r="H300" s="17"/>
      <c r="I300" s="17"/>
      <c r="J300" s="6"/>
      <c r="K300" s="6"/>
      <c r="L300" s="40"/>
      <c r="M300" s="6"/>
      <c r="N300" s="6"/>
      <c r="O300" s="6"/>
      <c r="P300" s="6"/>
      <c r="Q300" s="6"/>
      <c r="R300" s="6"/>
      <c r="S300" s="6"/>
      <c r="T300" s="6"/>
      <c r="U300" s="6"/>
      <c r="V300" s="6"/>
      <c r="W300" s="6"/>
      <c r="X300" s="6"/>
      <c r="Y300" s="6"/>
      <c r="Z300" s="6"/>
      <c r="AA300" s="6"/>
      <c r="AB300" s="6"/>
      <c r="AC300" s="6"/>
      <c r="AD300" s="10"/>
    </row>
    <row r="301" spans="1:39" s="9" customFormat="1" x14ac:dyDescent="0.2">
      <c r="A301" s="28"/>
      <c r="B301" s="16" t="s">
        <v>36</v>
      </c>
      <c r="C301" s="16" t="s">
        <v>133</v>
      </c>
      <c r="D301" s="7" t="s">
        <v>437</v>
      </c>
      <c r="E301" s="7"/>
      <c r="F301" s="6" t="s">
        <v>438</v>
      </c>
      <c r="G301" s="6"/>
      <c r="H301" s="17">
        <v>21781.4</v>
      </c>
      <c r="I301" s="39" t="s">
        <v>154</v>
      </c>
      <c r="J301" s="7">
        <v>36451</v>
      </c>
      <c r="K301" s="7"/>
      <c r="L301" s="23">
        <v>36543</v>
      </c>
      <c r="M301" s="18" t="s">
        <v>135</v>
      </c>
      <c r="N301" s="6" t="s">
        <v>42</v>
      </c>
      <c r="O301" s="6"/>
      <c r="P301" s="6"/>
      <c r="Q301" s="6"/>
      <c r="R301" s="6"/>
      <c r="S301" s="7">
        <v>36537</v>
      </c>
      <c r="T301" s="7">
        <v>36538</v>
      </c>
      <c r="U301" s="7"/>
      <c r="V301" s="6" t="s">
        <v>485</v>
      </c>
      <c r="W301" s="6">
        <v>540</v>
      </c>
      <c r="X301" s="6" t="s">
        <v>47</v>
      </c>
      <c r="Y301" s="6" t="s">
        <v>440</v>
      </c>
      <c r="Z301" s="6" t="s">
        <v>318</v>
      </c>
      <c r="AA301" s="6" t="s">
        <v>318</v>
      </c>
      <c r="AB301" s="6" t="s">
        <v>47</v>
      </c>
      <c r="AC301" s="507"/>
      <c r="AD301" s="10"/>
    </row>
    <row r="302" spans="1:39" s="9" customFormat="1" ht="12" thickBot="1" x14ac:dyDescent="0.25">
      <c r="A302" s="28"/>
      <c r="B302" s="19"/>
      <c r="C302" s="19"/>
      <c r="D302" s="5"/>
      <c r="E302" s="5"/>
      <c r="F302" s="5" t="s">
        <v>486</v>
      </c>
      <c r="G302" s="5"/>
      <c r="H302" s="20"/>
      <c r="I302" s="21" t="s">
        <v>230</v>
      </c>
      <c r="J302" s="5"/>
      <c r="K302" s="5"/>
      <c r="L302" s="22"/>
      <c r="M302" s="5"/>
      <c r="N302" s="5"/>
      <c r="O302" s="5"/>
      <c r="P302" s="5"/>
      <c r="Q302" s="5"/>
      <c r="R302" s="5"/>
      <c r="S302" s="27" t="s">
        <v>296</v>
      </c>
      <c r="T302" s="19"/>
      <c r="U302" s="19"/>
      <c r="V302" s="5"/>
      <c r="W302" s="5"/>
      <c r="X302" s="5"/>
      <c r="Y302" s="5"/>
      <c r="Z302" s="5"/>
      <c r="AA302" s="5" t="s">
        <v>484</v>
      </c>
      <c r="AB302" s="5"/>
      <c r="AC302" s="5"/>
      <c r="AD302" s="10"/>
    </row>
    <row r="303" spans="1:39" s="9" customFormat="1" x14ac:dyDescent="0.2">
      <c r="A303" s="28"/>
      <c r="B303" s="16"/>
      <c r="C303" s="16"/>
      <c r="D303" s="7"/>
      <c r="E303" s="7"/>
      <c r="F303" s="6"/>
      <c r="G303" s="6"/>
      <c r="H303" s="17"/>
      <c r="I303" s="17"/>
      <c r="J303" s="6"/>
      <c r="K303" s="6"/>
      <c r="L303" s="40"/>
      <c r="M303" s="6"/>
      <c r="N303" s="6"/>
      <c r="O303" s="6"/>
      <c r="P303" s="6"/>
      <c r="Q303" s="6"/>
      <c r="R303" s="6"/>
      <c r="S303" s="6"/>
      <c r="T303" s="6"/>
      <c r="U303" s="6"/>
      <c r="V303" s="6"/>
      <c r="W303" s="6"/>
      <c r="X303" s="6"/>
      <c r="Y303" s="6"/>
      <c r="Z303" s="6"/>
      <c r="AA303" s="6"/>
      <c r="AB303" s="6"/>
      <c r="AC303" s="6"/>
      <c r="AD303" s="10"/>
    </row>
    <row r="304" spans="1:39" s="9" customFormat="1" x14ac:dyDescent="0.2">
      <c r="A304" s="28"/>
      <c r="B304" s="16" t="s">
        <v>36</v>
      </c>
      <c r="C304" s="16" t="s">
        <v>133</v>
      </c>
      <c r="D304" s="7" t="s">
        <v>437</v>
      </c>
      <c r="E304" s="7"/>
      <c r="F304" s="6" t="s">
        <v>438</v>
      </c>
      <c r="G304" s="6"/>
      <c r="H304" s="17">
        <v>100310.61</v>
      </c>
      <c r="I304" s="39" t="s">
        <v>40</v>
      </c>
      <c r="J304" s="7">
        <v>36451</v>
      </c>
      <c r="K304" s="7"/>
      <c r="L304" s="23">
        <v>36543</v>
      </c>
      <c r="M304" s="18" t="s">
        <v>135</v>
      </c>
      <c r="N304" s="6" t="s">
        <v>42</v>
      </c>
      <c r="O304" s="6"/>
      <c r="P304" s="6"/>
      <c r="Q304" s="6"/>
      <c r="R304" s="6"/>
      <c r="S304" s="7">
        <v>36537</v>
      </c>
      <c r="T304" s="7">
        <v>36538</v>
      </c>
      <c r="U304" s="7"/>
      <c r="V304" s="6" t="s">
        <v>487</v>
      </c>
      <c r="W304" s="6">
        <v>541</v>
      </c>
      <c r="X304" s="6" t="s">
        <v>47</v>
      </c>
      <c r="Y304" s="6" t="s">
        <v>440</v>
      </c>
      <c r="Z304" s="6" t="s">
        <v>318</v>
      </c>
      <c r="AA304" s="6" t="s">
        <v>318</v>
      </c>
      <c r="AB304" s="6" t="s">
        <v>47</v>
      </c>
      <c r="AC304" s="507"/>
      <c r="AD304" s="10"/>
    </row>
    <row r="305" spans="1:30" s="9" customFormat="1" ht="12" thickBot="1" x14ac:dyDescent="0.25">
      <c r="A305" s="28"/>
      <c r="B305" s="19"/>
      <c r="C305" s="19"/>
      <c r="D305" s="5"/>
      <c r="E305" s="5"/>
      <c r="F305" s="5" t="s">
        <v>488</v>
      </c>
      <c r="G305" s="5"/>
      <c r="H305" s="20"/>
      <c r="I305" s="21" t="s">
        <v>446</v>
      </c>
      <c r="J305" s="5"/>
      <c r="K305" s="5"/>
      <c r="L305" s="22"/>
      <c r="M305" s="5"/>
      <c r="N305" s="5"/>
      <c r="O305" s="5"/>
      <c r="P305" s="5"/>
      <c r="Q305" s="5"/>
      <c r="R305" s="5"/>
      <c r="S305" s="27" t="s">
        <v>296</v>
      </c>
      <c r="T305" s="19"/>
      <c r="U305" s="19"/>
      <c r="V305" s="5"/>
      <c r="W305" s="5"/>
      <c r="X305" s="5"/>
      <c r="Y305" s="5"/>
      <c r="Z305" s="5"/>
      <c r="AA305" s="5" t="s">
        <v>484</v>
      </c>
      <c r="AB305" s="5"/>
      <c r="AC305" s="5"/>
      <c r="AD305" s="10"/>
    </row>
    <row r="306" spans="1:30" s="9" customFormat="1" x14ac:dyDescent="0.2">
      <c r="A306" s="28"/>
      <c r="B306" s="16"/>
      <c r="C306" s="16"/>
      <c r="D306" s="7"/>
      <c r="E306" s="7"/>
      <c r="F306" s="6"/>
      <c r="G306" s="6"/>
      <c r="H306" s="17"/>
      <c r="I306" s="17"/>
      <c r="J306" s="6"/>
      <c r="K306" s="6"/>
      <c r="L306" s="40"/>
      <c r="M306" s="6"/>
      <c r="N306" s="6"/>
      <c r="O306" s="6"/>
      <c r="P306" s="6"/>
      <c r="Q306" s="6"/>
      <c r="R306" s="6"/>
      <c r="S306" s="6"/>
      <c r="T306" s="6"/>
      <c r="U306" s="6"/>
      <c r="V306" s="6"/>
      <c r="W306" s="6"/>
      <c r="X306" s="6"/>
      <c r="Y306" s="6"/>
      <c r="Z306" s="6"/>
      <c r="AA306" s="6"/>
      <c r="AB306" s="6"/>
      <c r="AC306" s="6"/>
      <c r="AD306" s="10"/>
    </row>
    <row r="307" spans="1:30" s="9" customFormat="1" x14ac:dyDescent="0.2">
      <c r="A307" s="28"/>
      <c r="B307" s="16" t="s">
        <v>36</v>
      </c>
      <c r="C307" s="16" t="s">
        <v>133</v>
      </c>
      <c r="D307" s="7" t="s">
        <v>437</v>
      </c>
      <c r="E307" s="7"/>
      <c r="F307" s="6" t="s">
        <v>438</v>
      </c>
      <c r="G307" s="6"/>
      <c r="H307" s="17">
        <v>23101.99</v>
      </c>
      <c r="I307" s="39" t="s">
        <v>40</v>
      </c>
      <c r="J307" s="7">
        <v>36451</v>
      </c>
      <c r="K307" s="7"/>
      <c r="L307" s="23">
        <v>36543</v>
      </c>
      <c r="M307" s="18" t="s">
        <v>135</v>
      </c>
      <c r="N307" s="6" t="s">
        <v>42</v>
      </c>
      <c r="O307" s="6"/>
      <c r="P307" s="6"/>
      <c r="Q307" s="6"/>
      <c r="R307" s="6"/>
      <c r="S307" s="7">
        <v>36537</v>
      </c>
      <c r="T307" s="7">
        <v>36538</v>
      </c>
      <c r="U307" s="7"/>
      <c r="V307" s="6" t="s">
        <v>489</v>
      </c>
      <c r="W307" s="6">
        <v>542</v>
      </c>
      <c r="X307" s="6" t="s">
        <v>47</v>
      </c>
      <c r="Y307" s="6" t="s">
        <v>440</v>
      </c>
      <c r="Z307" s="6" t="s">
        <v>318</v>
      </c>
      <c r="AA307" s="6" t="s">
        <v>318</v>
      </c>
      <c r="AB307" s="6" t="s">
        <v>47</v>
      </c>
      <c r="AC307" s="507"/>
      <c r="AD307" s="10"/>
    </row>
    <row r="308" spans="1:30" s="9" customFormat="1" ht="12" thickBot="1" x14ac:dyDescent="0.25">
      <c r="A308" s="28"/>
      <c r="B308" s="19"/>
      <c r="C308" s="19"/>
      <c r="D308" s="5"/>
      <c r="E308" s="5"/>
      <c r="F308" s="5" t="s">
        <v>490</v>
      </c>
      <c r="G308" s="5"/>
      <c r="H308" s="20"/>
      <c r="I308" s="21" t="s">
        <v>446</v>
      </c>
      <c r="J308" s="5"/>
      <c r="K308" s="5"/>
      <c r="L308" s="22"/>
      <c r="M308" s="5"/>
      <c r="N308" s="5"/>
      <c r="O308" s="5"/>
      <c r="P308" s="5"/>
      <c r="Q308" s="5"/>
      <c r="R308" s="5"/>
      <c r="S308" s="27" t="s">
        <v>296</v>
      </c>
      <c r="T308" s="19"/>
      <c r="U308" s="19"/>
      <c r="V308" s="5"/>
      <c r="W308" s="5"/>
      <c r="X308" s="5"/>
      <c r="Y308" s="5"/>
      <c r="Z308" s="5"/>
      <c r="AA308" s="5" t="s">
        <v>484</v>
      </c>
      <c r="AB308" s="5"/>
      <c r="AC308" s="5"/>
      <c r="AD308" s="10"/>
    </row>
    <row r="309" spans="1:30" s="9" customFormat="1" x14ac:dyDescent="0.2">
      <c r="A309" s="28"/>
      <c r="B309" s="16"/>
      <c r="C309" s="16"/>
      <c r="D309" s="7"/>
      <c r="E309" s="7"/>
      <c r="F309" s="6"/>
      <c r="G309" s="6"/>
      <c r="H309" s="17"/>
      <c r="I309" s="17"/>
      <c r="J309" s="6"/>
      <c r="K309" s="6"/>
      <c r="L309" s="40"/>
      <c r="M309" s="6"/>
      <c r="N309" s="6"/>
      <c r="O309" s="6"/>
      <c r="P309" s="6"/>
      <c r="Q309" s="6"/>
      <c r="R309" s="6"/>
      <c r="S309" s="6"/>
      <c r="T309" s="6"/>
      <c r="U309" s="6"/>
      <c r="V309" s="6"/>
      <c r="W309" s="6"/>
      <c r="X309" s="57"/>
      <c r="Y309" s="57"/>
      <c r="Z309" s="6"/>
      <c r="AA309" s="6"/>
      <c r="AB309" s="6"/>
      <c r="AC309" s="6"/>
      <c r="AD309" s="10"/>
    </row>
    <row r="310" spans="1:30" s="9" customFormat="1" x14ac:dyDescent="0.2">
      <c r="A310" s="28"/>
      <c r="B310" s="16" t="s">
        <v>36</v>
      </c>
      <c r="C310" s="16" t="s">
        <v>157</v>
      </c>
      <c r="D310" s="7" t="s">
        <v>491</v>
      </c>
      <c r="E310" s="7"/>
      <c r="F310" s="6" t="s">
        <v>492</v>
      </c>
      <c r="G310" s="6"/>
      <c r="H310" s="17">
        <f>596+350</f>
        <v>946</v>
      </c>
      <c r="I310" s="39" t="s">
        <v>52</v>
      </c>
      <c r="J310" s="7">
        <v>36474</v>
      </c>
      <c r="K310" s="7"/>
      <c r="L310" s="23" t="s">
        <v>470</v>
      </c>
      <c r="M310" s="18" t="s">
        <v>135</v>
      </c>
      <c r="N310" s="6" t="s">
        <v>42</v>
      </c>
      <c r="O310" s="6"/>
      <c r="P310" s="6"/>
      <c r="Q310" s="6"/>
      <c r="R310" s="6"/>
      <c r="S310" s="7">
        <v>36537</v>
      </c>
      <c r="T310" s="7">
        <v>36538</v>
      </c>
      <c r="U310" s="7"/>
      <c r="V310" s="6" t="s">
        <v>493</v>
      </c>
      <c r="W310" s="6">
        <v>547</v>
      </c>
      <c r="X310" s="59"/>
      <c r="Y310" s="59"/>
      <c r="Z310" s="6" t="s">
        <v>318</v>
      </c>
      <c r="AA310" s="6" t="s">
        <v>318</v>
      </c>
      <c r="AB310" s="6" t="s">
        <v>211</v>
      </c>
      <c r="AC310" s="507"/>
      <c r="AD310" s="10"/>
    </row>
    <row r="311" spans="1:30" s="9" customFormat="1" ht="12" thickBot="1" x14ac:dyDescent="0.25">
      <c r="A311" s="28"/>
      <c r="B311" s="19"/>
      <c r="C311" s="19"/>
      <c r="D311" s="5"/>
      <c r="E311" s="5"/>
      <c r="F311" s="5"/>
      <c r="G311" s="5"/>
      <c r="H311" s="20"/>
      <c r="I311" s="21"/>
      <c r="J311" s="5"/>
      <c r="K311" s="5"/>
      <c r="L311" s="22"/>
      <c r="M311" s="5"/>
      <c r="N311" s="5"/>
      <c r="O311" s="5"/>
      <c r="P311" s="5"/>
      <c r="Q311" s="5"/>
      <c r="R311" s="5"/>
      <c r="S311" s="27" t="s">
        <v>296</v>
      </c>
      <c r="T311" s="19"/>
      <c r="U311" s="19"/>
      <c r="V311" s="5" t="s">
        <v>494</v>
      </c>
      <c r="W311" s="5"/>
      <c r="X311" s="61"/>
      <c r="Y311" s="61"/>
      <c r="Z311" s="5"/>
      <c r="AA311" s="5" t="s">
        <v>484</v>
      </c>
      <c r="AB311" s="5"/>
      <c r="AC311" s="5"/>
      <c r="AD311" s="10"/>
    </row>
    <row r="312" spans="1:30" s="9" customFormat="1" x14ac:dyDescent="0.2">
      <c r="A312" s="28"/>
      <c r="B312" s="16"/>
      <c r="C312" s="16"/>
      <c r="D312" s="7"/>
      <c r="E312" s="7"/>
      <c r="F312" s="6"/>
      <c r="G312" s="6"/>
      <c r="H312" s="17"/>
      <c r="I312" s="17"/>
      <c r="J312" s="6"/>
      <c r="K312" s="6"/>
      <c r="L312" s="40"/>
      <c r="M312" s="6"/>
      <c r="N312" s="6"/>
      <c r="O312" s="6"/>
      <c r="P312" s="6"/>
      <c r="Q312" s="6"/>
      <c r="R312" s="6"/>
      <c r="S312" s="6"/>
      <c r="T312" s="6"/>
      <c r="U312" s="6"/>
      <c r="V312" s="6"/>
      <c r="W312" s="6"/>
      <c r="X312" s="57"/>
      <c r="Y312" s="57"/>
      <c r="Z312" s="6"/>
      <c r="AA312" s="6"/>
      <c r="AB312" s="6"/>
      <c r="AC312" s="6"/>
      <c r="AD312" s="10"/>
    </row>
    <row r="313" spans="1:30" s="9" customFormat="1" x14ac:dyDescent="0.2">
      <c r="A313" s="28"/>
      <c r="B313" s="16" t="s">
        <v>36</v>
      </c>
      <c r="C313" s="16" t="s">
        <v>157</v>
      </c>
      <c r="D313" s="7" t="s">
        <v>495</v>
      </c>
      <c r="E313" s="7"/>
      <c r="F313" s="6" t="s">
        <v>496</v>
      </c>
      <c r="G313" s="6"/>
      <c r="H313" s="17">
        <v>8363</v>
      </c>
      <c r="I313" s="39" t="s">
        <v>52</v>
      </c>
      <c r="J313" s="7">
        <v>36531</v>
      </c>
      <c r="K313" s="7"/>
      <c r="L313" s="23" t="s">
        <v>497</v>
      </c>
      <c r="M313" s="18" t="s">
        <v>135</v>
      </c>
      <c r="N313" s="92" t="s">
        <v>42</v>
      </c>
      <c r="O313" s="92"/>
      <c r="P313" s="92"/>
      <c r="Q313" s="92"/>
      <c r="R313" s="92"/>
      <c r="S313" s="7" t="s">
        <v>498</v>
      </c>
      <c r="T313" s="7">
        <v>36567</v>
      </c>
      <c r="U313" s="7"/>
      <c r="V313" s="6" t="s">
        <v>499</v>
      </c>
      <c r="W313" s="6">
        <v>565</v>
      </c>
      <c r="X313" s="59"/>
      <c r="Y313" s="59"/>
      <c r="Z313" s="6"/>
      <c r="AA313" s="6" t="s">
        <v>318</v>
      </c>
      <c r="AB313" s="6" t="s">
        <v>211</v>
      </c>
      <c r="AC313" s="507"/>
      <c r="AD313" s="10"/>
    </row>
    <row r="314" spans="1:30" s="9" customFormat="1" ht="12" thickBot="1" x14ac:dyDescent="0.25">
      <c r="A314" s="28"/>
      <c r="B314" s="19"/>
      <c r="C314" s="19"/>
      <c r="D314" s="5"/>
      <c r="E314" s="5"/>
      <c r="F314" s="5"/>
      <c r="G314" s="5"/>
      <c r="H314" s="20"/>
      <c r="I314" s="21"/>
      <c r="J314" s="5"/>
      <c r="K314" s="5"/>
      <c r="L314" s="22"/>
      <c r="M314" s="5"/>
      <c r="N314" s="5" t="s">
        <v>110</v>
      </c>
      <c r="O314" s="5"/>
      <c r="P314" s="5"/>
      <c r="Q314" s="5"/>
      <c r="R314" s="5"/>
      <c r="S314" s="27">
        <v>36553</v>
      </c>
      <c r="T314" s="19"/>
      <c r="U314" s="19"/>
      <c r="V314" s="5" t="s">
        <v>500</v>
      </c>
      <c r="W314" s="5"/>
      <c r="X314" s="61"/>
      <c r="Y314" s="61"/>
      <c r="Z314" s="5"/>
      <c r="AA314" s="5" t="s">
        <v>484</v>
      </c>
      <c r="AB314" s="5"/>
      <c r="AC314" s="5"/>
      <c r="AD314" s="10"/>
    </row>
    <row r="315" spans="1:30" s="9" customFormat="1" x14ac:dyDescent="0.2">
      <c r="A315" s="28"/>
      <c r="B315" s="16"/>
      <c r="C315" s="16"/>
      <c r="D315" s="7"/>
      <c r="E315" s="7"/>
      <c r="F315" s="6"/>
      <c r="G315" s="6"/>
      <c r="H315" s="17"/>
      <c r="I315" s="17"/>
      <c r="J315" s="6"/>
      <c r="K315" s="6"/>
      <c r="L315" s="40"/>
      <c r="M315" s="6"/>
      <c r="N315" s="6"/>
      <c r="O315" s="6"/>
      <c r="P315" s="6"/>
      <c r="Q315" s="6"/>
      <c r="R315" s="6"/>
      <c r="S315" s="6"/>
      <c r="T315" s="6"/>
      <c r="U315" s="6"/>
      <c r="V315" s="6"/>
      <c r="W315" s="6"/>
      <c r="X315" s="12"/>
      <c r="Y315" s="57"/>
      <c r="Z315" s="6"/>
      <c r="AA315" s="6"/>
      <c r="AB315" s="6"/>
      <c r="AC315" s="6"/>
      <c r="AD315" s="10"/>
    </row>
    <row r="316" spans="1:30" s="9" customFormat="1" x14ac:dyDescent="0.2">
      <c r="A316" s="28"/>
      <c r="B316" s="16" t="s">
        <v>36</v>
      </c>
      <c r="C316" s="16" t="s">
        <v>133</v>
      </c>
      <c r="D316" s="7" t="s">
        <v>437</v>
      </c>
      <c r="E316" s="7"/>
      <c r="F316" s="6" t="s">
        <v>438</v>
      </c>
      <c r="G316" s="6"/>
      <c r="H316" s="17">
        <v>6425.31</v>
      </c>
      <c r="I316" s="39" t="s">
        <v>142</v>
      </c>
      <c r="J316" s="7">
        <v>36490</v>
      </c>
      <c r="K316" s="7"/>
      <c r="L316" s="23">
        <v>36582</v>
      </c>
      <c r="M316" s="18" t="s">
        <v>135</v>
      </c>
      <c r="N316" s="6" t="s">
        <v>42</v>
      </c>
      <c r="O316" s="6"/>
      <c r="P316" s="6"/>
      <c r="Q316" s="6"/>
      <c r="R316" s="6"/>
      <c r="S316" s="7">
        <v>36581</v>
      </c>
      <c r="T316" s="7">
        <v>36581</v>
      </c>
      <c r="U316" s="7"/>
      <c r="V316" s="6" t="s">
        <v>501</v>
      </c>
      <c r="W316" s="6">
        <v>548</v>
      </c>
      <c r="X316" s="6" t="s">
        <v>211</v>
      </c>
      <c r="Y316" s="59"/>
      <c r="Z316" s="6"/>
      <c r="AA316" s="6" t="s">
        <v>318</v>
      </c>
      <c r="AB316" s="6" t="s">
        <v>211</v>
      </c>
      <c r="AC316" s="507"/>
      <c r="AD316" s="10"/>
    </row>
    <row r="317" spans="1:30" s="9" customFormat="1" ht="12" thickBot="1" x14ac:dyDescent="0.25">
      <c r="A317" s="28"/>
      <c r="B317" s="19"/>
      <c r="C317" s="19"/>
      <c r="D317" s="5"/>
      <c r="E317" s="5"/>
      <c r="F317" s="5" t="s">
        <v>502</v>
      </c>
      <c r="G317" s="5"/>
      <c r="H317" s="20"/>
      <c r="I317" s="21" t="s">
        <v>208</v>
      </c>
      <c r="J317" s="5"/>
      <c r="K317" s="5"/>
      <c r="L317" s="22"/>
      <c r="M317" s="5"/>
      <c r="N317" s="5"/>
      <c r="O317" s="5"/>
      <c r="P317" s="5"/>
      <c r="Q317" s="5"/>
      <c r="R317" s="5"/>
      <c r="S317" s="27"/>
      <c r="T317" s="19"/>
      <c r="U317" s="19"/>
      <c r="V317" s="5"/>
      <c r="W317" s="5"/>
      <c r="X317" s="5"/>
      <c r="Y317" s="61"/>
      <c r="Z317" s="5"/>
      <c r="AA317" s="5" t="s">
        <v>484</v>
      </c>
      <c r="AB317" s="5"/>
      <c r="AC317" s="5"/>
      <c r="AD317" s="10"/>
    </row>
    <row r="318" spans="1:30" s="9" customFormat="1" x14ac:dyDescent="0.2">
      <c r="A318" s="28"/>
      <c r="B318" s="11"/>
      <c r="C318" s="11"/>
      <c r="D318" s="91"/>
      <c r="E318" s="91"/>
      <c r="F318" s="12"/>
      <c r="G318" s="12"/>
      <c r="H318" s="13"/>
      <c r="I318" s="13"/>
      <c r="J318" s="12"/>
      <c r="K318" s="12"/>
      <c r="L318" s="15"/>
      <c r="M318" s="12"/>
      <c r="N318" s="12"/>
      <c r="O318" s="12"/>
      <c r="P318" s="12"/>
      <c r="Q318" s="12"/>
      <c r="R318" s="12"/>
      <c r="S318" s="12"/>
      <c r="T318" s="12"/>
      <c r="U318" s="12"/>
      <c r="V318" s="12"/>
      <c r="W318" s="12"/>
      <c r="X318" s="12"/>
      <c r="Y318" s="57"/>
      <c r="Z318" s="12"/>
      <c r="AA318" s="12"/>
      <c r="AB318" s="12"/>
      <c r="AC318" s="12"/>
      <c r="AD318" s="10"/>
    </row>
    <row r="319" spans="1:30" s="9" customFormat="1" x14ac:dyDescent="0.2">
      <c r="A319" s="28"/>
      <c r="B319" s="16" t="s">
        <v>36</v>
      </c>
      <c r="C319" s="16" t="s">
        <v>133</v>
      </c>
      <c r="D319" s="7" t="s">
        <v>437</v>
      </c>
      <c r="E319" s="7"/>
      <c r="F319" s="6" t="s">
        <v>438</v>
      </c>
      <c r="G319" s="6"/>
      <c r="H319" s="17">
        <v>9093.25</v>
      </c>
      <c r="I319" s="39" t="s">
        <v>202</v>
      </c>
      <c r="J319" s="7">
        <v>36490</v>
      </c>
      <c r="K319" s="7"/>
      <c r="L319" s="23">
        <v>36582</v>
      </c>
      <c r="M319" s="18" t="s">
        <v>135</v>
      </c>
      <c r="N319" s="6" t="s">
        <v>42</v>
      </c>
      <c r="O319" s="6"/>
      <c r="P319" s="6"/>
      <c r="Q319" s="6"/>
      <c r="R319" s="6"/>
      <c r="S319" s="7">
        <v>36581</v>
      </c>
      <c r="T319" s="7">
        <v>36581</v>
      </c>
      <c r="U319" s="7"/>
      <c r="V319" s="6" t="s">
        <v>503</v>
      </c>
      <c r="W319" s="6">
        <v>549</v>
      </c>
      <c r="X319" s="6" t="s">
        <v>211</v>
      </c>
      <c r="Y319" s="59"/>
      <c r="Z319" s="6"/>
      <c r="AA319" s="6" t="s">
        <v>318</v>
      </c>
      <c r="AB319" s="6" t="s">
        <v>211</v>
      </c>
      <c r="AC319" s="507"/>
      <c r="AD319" s="10"/>
    </row>
    <row r="320" spans="1:30" s="9" customFormat="1" ht="12" thickBot="1" x14ac:dyDescent="0.25">
      <c r="A320" s="28"/>
      <c r="B320" s="19"/>
      <c r="C320" s="19"/>
      <c r="D320" s="5"/>
      <c r="E320" s="5"/>
      <c r="F320" s="5" t="s">
        <v>504</v>
      </c>
      <c r="G320" s="5"/>
      <c r="H320" s="20"/>
      <c r="I320" s="21" t="s">
        <v>138</v>
      </c>
      <c r="J320" s="5"/>
      <c r="K320" s="5"/>
      <c r="L320" s="22"/>
      <c r="M320" s="5"/>
      <c r="N320" s="5"/>
      <c r="O320" s="5"/>
      <c r="P320" s="5"/>
      <c r="Q320" s="5"/>
      <c r="R320" s="5"/>
      <c r="S320" s="27"/>
      <c r="T320" s="19"/>
      <c r="U320" s="19"/>
      <c r="V320" s="5"/>
      <c r="W320" s="5"/>
      <c r="X320" s="5"/>
      <c r="Y320" s="61"/>
      <c r="Z320" s="5"/>
      <c r="AA320" s="5" t="s">
        <v>484</v>
      </c>
      <c r="AB320" s="5"/>
      <c r="AC320" s="5"/>
      <c r="AD320" s="10"/>
    </row>
    <row r="323" spans="1:30" ht="12" thickBot="1" x14ac:dyDescent="0.25"/>
    <row r="324" spans="1:30" s="9" customFormat="1" x14ac:dyDescent="0.2">
      <c r="A324" s="28"/>
      <c r="B324" s="11"/>
      <c r="C324" s="11"/>
      <c r="D324" s="91"/>
      <c r="E324" s="91"/>
      <c r="F324" s="12"/>
      <c r="G324" s="12"/>
      <c r="H324" s="13"/>
      <c r="I324" s="13"/>
      <c r="J324" s="12"/>
      <c r="K324" s="12"/>
      <c r="L324" s="15"/>
      <c r="M324" s="12"/>
      <c r="N324" s="12"/>
      <c r="O324" s="12"/>
      <c r="P324" s="12"/>
      <c r="Q324" s="12"/>
      <c r="R324" s="12"/>
      <c r="S324" s="12"/>
      <c r="T324" s="12"/>
      <c r="U324" s="12"/>
      <c r="V324" s="12"/>
      <c r="W324" s="12"/>
      <c r="X324" s="12"/>
      <c r="Y324" s="57"/>
      <c r="Z324" s="12"/>
      <c r="AA324" s="12"/>
      <c r="AB324" s="12"/>
      <c r="AC324" s="12"/>
      <c r="AD324" s="10"/>
    </row>
    <row r="325" spans="1:30" s="9" customFormat="1" x14ac:dyDescent="0.2">
      <c r="A325" s="28"/>
      <c r="B325" s="16" t="s">
        <v>36</v>
      </c>
      <c r="C325" s="16" t="s">
        <v>133</v>
      </c>
      <c r="D325" s="7" t="s">
        <v>437</v>
      </c>
      <c r="E325" s="7"/>
      <c r="F325" s="6" t="s">
        <v>438</v>
      </c>
      <c r="G325" s="6"/>
      <c r="H325" s="17">
        <v>79640.100000000006</v>
      </c>
      <c r="I325" s="39" t="s">
        <v>52</v>
      </c>
      <c r="J325" s="7">
        <v>36521</v>
      </c>
      <c r="K325" s="7"/>
      <c r="L325" s="23">
        <f>J325+90</f>
        <v>36611</v>
      </c>
      <c r="M325" s="18" t="s">
        <v>135</v>
      </c>
      <c r="N325" s="6" t="s">
        <v>42</v>
      </c>
      <c r="O325" s="6"/>
      <c r="P325" s="6"/>
      <c r="Q325" s="6"/>
      <c r="R325" s="6"/>
      <c r="S325" s="7">
        <v>36605</v>
      </c>
      <c r="T325" s="7">
        <v>36609</v>
      </c>
      <c r="U325" s="7"/>
      <c r="V325" s="6" t="s">
        <v>505</v>
      </c>
      <c r="W325" s="6">
        <v>553</v>
      </c>
      <c r="X325" s="6" t="s">
        <v>211</v>
      </c>
      <c r="Y325" s="59"/>
      <c r="Z325" s="6">
        <v>6582985150</v>
      </c>
      <c r="AA325" s="7">
        <v>36627</v>
      </c>
      <c r="AB325" s="7" t="s">
        <v>211</v>
      </c>
      <c r="AC325" s="507"/>
      <c r="AD325" s="10"/>
    </row>
    <row r="326" spans="1:30" s="9" customFormat="1" ht="12" thickBot="1" x14ac:dyDescent="0.25">
      <c r="A326" s="28"/>
      <c r="B326" s="19"/>
      <c r="C326" s="19"/>
      <c r="D326" s="5"/>
      <c r="E326" s="5"/>
      <c r="F326" s="5" t="s">
        <v>506</v>
      </c>
      <c r="G326" s="5"/>
      <c r="H326" s="20"/>
      <c r="I326" s="21" t="s">
        <v>230</v>
      </c>
      <c r="J326" s="5"/>
      <c r="K326" s="5"/>
      <c r="L326" s="22"/>
      <c r="M326" s="5"/>
      <c r="N326" s="5"/>
      <c r="O326" s="5"/>
      <c r="P326" s="5"/>
      <c r="Q326" s="5"/>
      <c r="R326" s="5"/>
      <c r="S326" s="27"/>
      <c r="T326" s="5" t="s">
        <v>507</v>
      </c>
      <c r="U326" s="5"/>
      <c r="V326" s="5" t="s">
        <v>508</v>
      </c>
      <c r="W326" s="5"/>
      <c r="X326" s="5"/>
      <c r="Y326" s="61"/>
      <c r="Z326" s="5"/>
      <c r="AA326" s="5"/>
      <c r="AB326" s="5"/>
      <c r="AC326" s="5"/>
      <c r="AD326" s="10"/>
    </row>
    <row r="327" spans="1:30" s="9" customFormat="1" x14ac:dyDescent="0.2">
      <c r="A327" s="28"/>
      <c r="B327" s="11"/>
      <c r="C327" s="11"/>
      <c r="D327" s="91"/>
      <c r="E327" s="91"/>
      <c r="F327" s="12"/>
      <c r="G327" s="12"/>
      <c r="H327" s="13"/>
      <c r="I327" s="13"/>
      <c r="J327" s="12"/>
      <c r="K327" s="12"/>
      <c r="L327" s="15"/>
      <c r="M327" s="12"/>
      <c r="N327" s="12"/>
      <c r="O327" s="12"/>
      <c r="P327" s="12"/>
      <c r="Q327" s="12"/>
      <c r="R327" s="12"/>
      <c r="S327" s="12"/>
      <c r="T327" s="12"/>
      <c r="U327" s="12"/>
      <c r="V327" s="12"/>
      <c r="W327" s="12"/>
      <c r="X327" s="12"/>
      <c r="Y327" s="57"/>
      <c r="Z327" s="12"/>
      <c r="AA327" s="12"/>
      <c r="AB327" s="12"/>
      <c r="AC327" s="12"/>
      <c r="AD327" s="10"/>
    </row>
    <row r="328" spans="1:30" s="9" customFormat="1" x14ac:dyDescent="0.2">
      <c r="A328" s="28"/>
      <c r="B328" s="16" t="s">
        <v>36</v>
      </c>
      <c r="C328" s="16" t="s">
        <v>133</v>
      </c>
      <c r="D328" s="7" t="s">
        <v>437</v>
      </c>
      <c r="E328" s="7"/>
      <c r="F328" s="6" t="s">
        <v>438</v>
      </c>
      <c r="G328" s="6"/>
      <c r="H328" s="17">
        <v>7306.35</v>
      </c>
      <c r="I328" s="39" t="s">
        <v>202</v>
      </c>
      <c r="J328" s="7">
        <v>36521</v>
      </c>
      <c r="K328" s="7"/>
      <c r="L328" s="23">
        <v>36611</v>
      </c>
      <c r="M328" s="18" t="s">
        <v>135</v>
      </c>
      <c r="N328" s="6" t="s">
        <v>42</v>
      </c>
      <c r="O328" s="6"/>
      <c r="P328" s="6"/>
      <c r="Q328" s="6"/>
      <c r="R328" s="6"/>
      <c r="S328" s="7">
        <v>36605</v>
      </c>
      <c r="T328" s="7">
        <v>36609</v>
      </c>
      <c r="U328" s="7"/>
      <c r="V328" s="6" t="s">
        <v>509</v>
      </c>
      <c r="W328" s="6">
        <v>554</v>
      </c>
      <c r="X328" s="6" t="s">
        <v>211</v>
      </c>
      <c r="Y328" s="59"/>
      <c r="Z328" s="6">
        <v>6582985150</v>
      </c>
      <c r="AA328" s="7">
        <v>36627</v>
      </c>
      <c r="AB328" s="7" t="s">
        <v>211</v>
      </c>
      <c r="AC328" s="507"/>
      <c r="AD328" s="10"/>
    </row>
    <row r="329" spans="1:30" s="9" customFormat="1" ht="12" thickBot="1" x14ac:dyDescent="0.25">
      <c r="A329" s="28"/>
      <c r="B329" s="19"/>
      <c r="C329" s="19"/>
      <c r="D329" s="5"/>
      <c r="E329" s="5"/>
      <c r="F329" s="5" t="s">
        <v>510</v>
      </c>
      <c r="G329" s="5"/>
      <c r="H329" s="20"/>
      <c r="I329" s="21" t="s">
        <v>138</v>
      </c>
      <c r="J329" s="5"/>
      <c r="K329" s="5"/>
      <c r="L329" s="22"/>
      <c r="M329" s="5"/>
      <c r="N329" s="5"/>
      <c r="O329" s="5"/>
      <c r="P329" s="5"/>
      <c r="Q329" s="5"/>
      <c r="R329" s="5"/>
      <c r="S329" s="27"/>
      <c r="T329" s="5" t="s">
        <v>507</v>
      </c>
      <c r="U329" s="5"/>
      <c r="V329" s="5" t="s">
        <v>511</v>
      </c>
      <c r="W329" s="5"/>
      <c r="X329" s="5"/>
      <c r="Y329" s="61"/>
      <c r="Z329" s="5"/>
      <c r="AA329" s="5"/>
      <c r="AB329" s="5"/>
      <c r="AC329" s="5"/>
      <c r="AD329" s="10"/>
    </row>
    <row r="330" spans="1:30" s="9" customFormat="1" x14ac:dyDescent="0.2">
      <c r="A330" s="28"/>
      <c r="B330" s="16"/>
      <c r="C330" s="16"/>
      <c r="D330" s="7"/>
      <c r="E330" s="7"/>
      <c r="F330" s="6"/>
      <c r="G330" s="6"/>
      <c r="H330" s="17"/>
      <c r="I330" s="17"/>
      <c r="J330" s="6"/>
      <c r="K330" s="6"/>
      <c r="L330" s="40"/>
      <c r="M330" s="6"/>
      <c r="N330" s="6"/>
      <c r="O330" s="6"/>
      <c r="P330" s="6"/>
      <c r="Q330" s="6"/>
      <c r="R330" s="6"/>
      <c r="S330" s="6"/>
      <c r="T330" s="6"/>
      <c r="U330" s="6"/>
      <c r="V330" s="6"/>
      <c r="W330" s="6"/>
      <c r="X330" s="12"/>
      <c r="Y330" s="57"/>
      <c r="Z330" s="6"/>
      <c r="AA330" s="6"/>
      <c r="AB330" s="6"/>
      <c r="AC330" s="6"/>
      <c r="AD330" s="10"/>
    </row>
    <row r="331" spans="1:30" s="9" customFormat="1" x14ac:dyDescent="0.2">
      <c r="A331" s="28"/>
      <c r="B331" s="16" t="s">
        <v>36</v>
      </c>
      <c r="C331" s="16" t="s">
        <v>133</v>
      </c>
      <c r="D331" s="7" t="s">
        <v>437</v>
      </c>
      <c r="E331" s="7"/>
      <c r="F331" s="6" t="s">
        <v>438</v>
      </c>
      <c r="G331" s="6"/>
      <c r="H331" s="17">
        <v>9163.44</v>
      </c>
      <c r="I331" s="39" t="s">
        <v>142</v>
      </c>
      <c r="J331" s="7">
        <v>36521</v>
      </c>
      <c r="K331" s="7"/>
      <c r="L331" s="23">
        <v>36611</v>
      </c>
      <c r="M331" s="18" t="s">
        <v>135</v>
      </c>
      <c r="N331" s="6" t="s">
        <v>42</v>
      </c>
      <c r="O331" s="6"/>
      <c r="P331" s="6"/>
      <c r="Q331" s="6"/>
      <c r="R331" s="6"/>
      <c r="S331" s="7">
        <v>36605</v>
      </c>
      <c r="T331" s="7">
        <v>36609</v>
      </c>
      <c r="U331" s="7"/>
      <c r="V331" s="6" t="s">
        <v>512</v>
      </c>
      <c r="W331" s="6">
        <v>555</v>
      </c>
      <c r="X331" s="6" t="s">
        <v>211</v>
      </c>
      <c r="Y331" s="59"/>
      <c r="Z331" s="6">
        <v>6582985150</v>
      </c>
      <c r="AA331" s="7">
        <v>36627</v>
      </c>
      <c r="AB331" s="7" t="s">
        <v>211</v>
      </c>
      <c r="AC331" s="507"/>
      <c r="AD331" s="10"/>
    </row>
    <row r="332" spans="1:30" s="9" customFormat="1" ht="12" thickBot="1" x14ac:dyDescent="0.25">
      <c r="A332" s="28"/>
      <c r="B332" s="19"/>
      <c r="C332" s="19"/>
      <c r="D332" s="5"/>
      <c r="E332" s="5"/>
      <c r="F332" s="5" t="s">
        <v>513</v>
      </c>
      <c r="G332" s="5"/>
      <c r="H332" s="20"/>
      <c r="I332" s="21" t="s">
        <v>208</v>
      </c>
      <c r="J332" s="27"/>
      <c r="K332" s="27"/>
      <c r="L332" s="127"/>
      <c r="M332" s="5"/>
      <c r="N332" s="5"/>
      <c r="O332" s="5"/>
      <c r="P332" s="5"/>
      <c r="Q332" s="5"/>
      <c r="R332" s="5"/>
      <c r="S332" s="27"/>
      <c r="T332" s="5" t="s">
        <v>507</v>
      </c>
      <c r="U332" s="5"/>
      <c r="V332" s="5" t="s">
        <v>511</v>
      </c>
      <c r="W332" s="5"/>
      <c r="X332" s="5"/>
      <c r="Y332" s="61"/>
      <c r="Z332" s="5"/>
      <c r="AA332" s="5"/>
      <c r="AB332" s="5"/>
      <c r="AC332" s="5"/>
      <c r="AD332" s="10"/>
    </row>
    <row r="333" spans="1:30" s="9" customFormat="1" x14ac:dyDescent="0.2">
      <c r="A333" s="28"/>
      <c r="B333" s="16"/>
      <c r="C333" s="16"/>
      <c r="D333" s="7"/>
      <c r="E333" s="7"/>
      <c r="F333" s="6"/>
      <c r="G333" s="6"/>
      <c r="H333" s="17"/>
      <c r="I333" s="17"/>
      <c r="J333" s="7"/>
      <c r="K333" s="7"/>
      <c r="L333" s="23"/>
      <c r="M333" s="6"/>
      <c r="N333" s="6"/>
      <c r="O333" s="6"/>
      <c r="P333" s="6"/>
      <c r="Q333" s="6"/>
      <c r="R333" s="6"/>
      <c r="S333" s="6"/>
      <c r="T333" s="6"/>
      <c r="U333" s="6"/>
      <c r="V333" s="6"/>
      <c r="W333" s="6"/>
      <c r="X333" s="12"/>
      <c r="Y333" s="57"/>
      <c r="Z333" s="6"/>
      <c r="AA333" s="6"/>
      <c r="AB333" s="6"/>
      <c r="AC333" s="6"/>
      <c r="AD333" s="10"/>
    </row>
    <row r="334" spans="1:30" s="9" customFormat="1" x14ac:dyDescent="0.2">
      <c r="A334" s="28"/>
      <c r="B334" s="16" t="s">
        <v>36</v>
      </c>
      <c r="C334" s="16" t="s">
        <v>133</v>
      </c>
      <c r="D334" s="7" t="s">
        <v>437</v>
      </c>
      <c r="E334" s="7"/>
      <c r="F334" s="6" t="s">
        <v>438</v>
      </c>
      <c r="G334" s="6"/>
      <c r="H334" s="17">
        <v>26220.2</v>
      </c>
      <c r="I334" s="39" t="s">
        <v>52</v>
      </c>
      <c r="J334" s="7">
        <v>36889</v>
      </c>
      <c r="K334" s="7"/>
      <c r="L334" s="23">
        <v>36618</v>
      </c>
      <c r="M334" s="18" t="s">
        <v>135</v>
      </c>
      <c r="N334" s="6" t="s">
        <v>42</v>
      </c>
      <c r="O334" s="6"/>
      <c r="P334" s="6"/>
      <c r="Q334" s="6"/>
      <c r="R334" s="6"/>
      <c r="S334" s="7">
        <v>36605</v>
      </c>
      <c r="T334" s="7">
        <v>36609</v>
      </c>
      <c r="U334" s="7"/>
      <c r="V334" s="6" t="s">
        <v>514</v>
      </c>
      <c r="W334" s="6">
        <v>556</v>
      </c>
      <c r="X334" s="6" t="s">
        <v>211</v>
      </c>
      <c r="Y334" s="59"/>
      <c r="Z334" s="6">
        <v>6582985150</v>
      </c>
      <c r="AA334" s="7">
        <v>36627</v>
      </c>
      <c r="AB334" s="7" t="s">
        <v>211</v>
      </c>
      <c r="AC334" s="507"/>
      <c r="AD334" s="10"/>
    </row>
    <row r="335" spans="1:30" s="9" customFormat="1" ht="12" thickBot="1" x14ac:dyDescent="0.25">
      <c r="A335" s="28"/>
      <c r="B335" s="19"/>
      <c r="C335" s="19"/>
      <c r="D335" s="5"/>
      <c r="E335" s="5"/>
      <c r="F335" s="5" t="s">
        <v>515</v>
      </c>
      <c r="G335" s="5"/>
      <c r="H335" s="20"/>
      <c r="I335" s="21" t="s">
        <v>230</v>
      </c>
      <c r="J335" s="5"/>
      <c r="K335" s="5"/>
      <c r="L335" s="127"/>
      <c r="M335" s="5"/>
      <c r="N335" s="5"/>
      <c r="O335" s="5"/>
      <c r="P335" s="5"/>
      <c r="Q335" s="5"/>
      <c r="R335" s="5"/>
      <c r="S335" s="27"/>
      <c r="T335" s="5" t="s">
        <v>507</v>
      </c>
      <c r="U335" s="5"/>
      <c r="V335" s="5" t="s">
        <v>516</v>
      </c>
      <c r="W335" s="5"/>
      <c r="X335" s="5"/>
      <c r="Y335" s="61"/>
      <c r="Z335" s="5"/>
      <c r="AA335" s="5"/>
      <c r="AB335" s="5"/>
      <c r="AC335" s="5"/>
      <c r="AD335" s="10"/>
    </row>
    <row r="336" spans="1:30" s="9" customFormat="1" x14ac:dyDescent="0.2">
      <c r="A336" s="28"/>
      <c r="B336" s="11"/>
      <c r="C336" s="11"/>
      <c r="D336" s="91"/>
      <c r="E336" s="91"/>
      <c r="F336" s="12"/>
      <c r="G336" s="12"/>
      <c r="H336" s="13"/>
      <c r="I336" s="13"/>
      <c r="J336" s="91"/>
      <c r="K336" s="91"/>
      <c r="L336" s="134"/>
      <c r="M336" s="12"/>
      <c r="N336" s="12"/>
      <c r="O336" s="12"/>
      <c r="P336" s="12"/>
      <c r="Q336" s="12"/>
      <c r="R336" s="12"/>
      <c r="S336" s="12"/>
      <c r="T336" s="12"/>
      <c r="U336" s="12"/>
      <c r="V336" s="12"/>
      <c r="W336" s="12"/>
      <c r="X336" s="12"/>
      <c r="Y336" s="57"/>
      <c r="Z336" s="12"/>
      <c r="AA336" s="12"/>
      <c r="AB336" s="12"/>
      <c r="AC336" s="12"/>
      <c r="AD336" s="10"/>
    </row>
    <row r="337" spans="1:30" s="9" customFormat="1" x14ac:dyDescent="0.2">
      <c r="A337" s="28"/>
      <c r="B337" s="16" t="s">
        <v>36</v>
      </c>
      <c r="C337" s="16" t="s">
        <v>133</v>
      </c>
      <c r="D337" s="7" t="s">
        <v>437</v>
      </c>
      <c r="E337" s="7"/>
      <c r="F337" s="6" t="s">
        <v>438</v>
      </c>
      <c r="G337" s="6"/>
      <c r="H337" s="17">
        <v>19634.240000000002</v>
      </c>
      <c r="I337" s="39" t="s">
        <v>40</v>
      </c>
      <c r="J337" s="7">
        <v>36539</v>
      </c>
      <c r="K337" s="7"/>
      <c r="L337" s="23">
        <f>J337+90</f>
        <v>36629</v>
      </c>
      <c r="M337" s="18" t="s">
        <v>135</v>
      </c>
      <c r="N337" s="6" t="s">
        <v>42</v>
      </c>
      <c r="O337" s="6"/>
      <c r="P337" s="6"/>
      <c r="Q337" s="6"/>
      <c r="R337" s="6"/>
      <c r="S337" s="7">
        <v>36632</v>
      </c>
      <c r="T337" s="7">
        <v>36636</v>
      </c>
      <c r="U337" s="7"/>
      <c r="V337" s="6" t="s">
        <v>517</v>
      </c>
      <c r="W337" s="6">
        <v>562</v>
      </c>
      <c r="X337" s="6" t="s">
        <v>211</v>
      </c>
      <c r="Y337" s="59"/>
      <c r="Z337" s="6">
        <v>6640171915</v>
      </c>
      <c r="AA337" s="6" t="s">
        <v>318</v>
      </c>
      <c r="AB337" s="6" t="s">
        <v>211</v>
      </c>
      <c r="AC337" s="507"/>
      <c r="AD337" s="10"/>
    </row>
    <row r="338" spans="1:30" s="9" customFormat="1" ht="12" thickBot="1" x14ac:dyDescent="0.25">
      <c r="A338" s="28"/>
      <c r="B338" s="19"/>
      <c r="C338" s="19"/>
      <c r="D338" s="5"/>
      <c r="E338" s="5"/>
      <c r="F338" s="5" t="s">
        <v>518</v>
      </c>
      <c r="G338" s="5"/>
      <c r="H338" s="20"/>
      <c r="I338" s="21" t="s">
        <v>446</v>
      </c>
      <c r="J338" s="5"/>
      <c r="K338" s="5"/>
      <c r="L338" s="127"/>
      <c r="M338" s="5"/>
      <c r="N338" s="5"/>
      <c r="O338" s="5"/>
      <c r="P338" s="5"/>
      <c r="Q338" s="5"/>
      <c r="R338" s="5"/>
      <c r="S338" s="27" t="s">
        <v>296</v>
      </c>
      <c r="T338" s="19"/>
      <c r="U338" s="19"/>
      <c r="V338" s="5"/>
      <c r="W338" s="5"/>
      <c r="X338" s="5"/>
      <c r="Y338" s="61"/>
      <c r="Z338" s="5"/>
      <c r="AA338" s="5"/>
      <c r="AB338" s="5"/>
      <c r="AC338" s="5"/>
      <c r="AD338" s="10"/>
    </row>
    <row r="339" spans="1:30" s="9" customFormat="1" x14ac:dyDescent="0.2">
      <c r="A339" s="28"/>
      <c r="B339" s="16"/>
      <c r="C339" s="16"/>
      <c r="D339" s="7"/>
      <c r="E339" s="7"/>
      <c r="F339" s="6"/>
      <c r="G339" s="6"/>
      <c r="H339" s="17"/>
      <c r="I339" s="17"/>
      <c r="J339" s="7"/>
      <c r="K339" s="7"/>
      <c r="L339" s="23"/>
      <c r="M339" s="6"/>
      <c r="N339" s="6"/>
      <c r="O339" s="6"/>
      <c r="P339" s="6"/>
      <c r="Q339" s="6"/>
      <c r="R339" s="6"/>
      <c r="S339" s="6"/>
      <c r="T339" s="6"/>
      <c r="U339" s="6"/>
      <c r="V339" s="6"/>
      <c r="W339" s="6"/>
      <c r="X339" s="12"/>
      <c r="Y339" s="57"/>
      <c r="Z339" s="6"/>
      <c r="AA339" s="6"/>
      <c r="AB339" s="6"/>
      <c r="AC339" s="6"/>
      <c r="AD339" s="10"/>
    </row>
    <row r="340" spans="1:30" s="9" customFormat="1" x14ac:dyDescent="0.2">
      <c r="A340" s="28"/>
      <c r="B340" s="16" t="s">
        <v>36</v>
      </c>
      <c r="C340" s="16" t="s">
        <v>133</v>
      </c>
      <c r="D340" s="7" t="s">
        <v>437</v>
      </c>
      <c r="E340" s="7"/>
      <c r="F340" s="6" t="s">
        <v>438</v>
      </c>
      <c r="G340" s="6"/>
      <c r="H340" s="17">
        <v>7215.46</v>
      </c>
      <c r="I340" s="39" t="s">
        <v>52</v>
      </c>
      <c r="J340" s="7">
        <v>36539</v>
      </c>
      <c r="K340" s="7"/>
      <c r="L340" s="23">
        <v>36629</v>
      </c>
      <c r="M340" s="18" t="s">
        <v>135</v>
      </c>
      <c r="N340" s="6" t="s">
        <v>42</v>
      </c>
      <c r="O340" s="6"/>
      <c r="P340" s="6"/>
      <c r="Q340" s="6"/>
      <c r="R340" s="6"/>
      <c r="S340" s="7">
        <v>36632</v>
      </c>
      <c r="T340" s="7">
        <v>36636</v>
      </c>
      <c r="U340" s="7"/>
      <c r="V340" s="6" t="s">
        <v>519</v>
      </c>
      <c r="W340" s="6">
        <v>563</v>
      </c>
      <c r="X340" s="6" t="s">
        <v>211</v>
      </c>
      <c r="Y340" s="59"/>
      <c r="Z340" s="6">
        <v>6640171915</v>
      </c>
      <c r="AA340" s="6" t="s">
        <v>318</v>
      </c>
      <c r="AB340" s="6" t="s">
        <v>211</v>
      </c>
      <c r="AC340" s="507"/>
      <c r="AD340" s="10"/>
    </row>
    <row r="341" spans="1:30" s="9" customFormat="1" ht="12" thickBot="1" x14ac:dyDescent="0.25">
      <c r="A341" s="28"/>
      <c r="B341" s="19"/>
      <c r="C341" s="19"/>
      <c r="D341" s="5"/>
      <c r="E341" s="5"/>
      <c r="F341" s="5" t="s">
        <v>520</v>
      </c>
      <c r="G341" s="5"/>
      <c r="H341" s="20"/>
      <c r="I341" s="21" t="s">
        <v>230</v>
      </c>
      <c r="J341" s="5"/>
      <c r="K341" s="5"/>
      <c r="L341" s="127"/>
      <c r="M341" s="5"/>
      <c r="N341" s="5"/>
      <c r="O341" s="5"/>
      <c r="P341" s="5"/>
      <c r="Q341" s="5"/>
      <c r="R341" s="5"/>
      <c r="S341" s="27" t="s">
        <v>296</v>
      </c>
      <c r="T341" s="19"/>
      <c r="U341" s="19"/>
      <c r="V341" s="5"/>
      <c r="W341" s="5"/>
      <c r="X341" s="5"/>
      <c r="Y341" s="61"/>
      <c r="Z341" s="5"/>
      <c r="AA341" s="5"/>
      <c r="AB341" s="5"/>
      <c r="AC341" s="5"/>
      <c r="AD341" s="10"/>
    </row>
    <row r="342" spans="1:30" s="9" customFormat="1" x14ac:dyDescent="0.2">
      <c r="A342" s="28"/>
      <c r="B342" s="16"/>
      <c r="C342" s="16"/>
      <c r="D342" s="7"/>
      <c r="E342" s="7"/>
      <c r="F342" s="6"/>
      <c r="G342" s="6"/>
      <c r="H342" s="17"/>
      <c r="I342" s="17"/>
      <c r="J342" s="7"/>
      <c r="K342" s="7"/>
      <c r="L342" s="23"/>
      <c r="M342" s="6"/>
      <c r="N342" s="6"/>
      <c r="O342" s="6"/>
      <c r="P342" s="6"/>
      <c r="Q342" s="6"/>
      <c r="R342" s="6"/>
      <c r="S342" s="6"/>
      <c r="T342" s="6"/>
      <c r="U342" s="6"/>
      <c r="V342" s="6"/>
      <c r="W342" s="6"/>
      <c r="X342" s="12"/>
      <c r="Y342" s="57"/>
      <c r="Z342" s="6"/>
      <c r="AA342" s="6"/>
      <c r="AB342" s="6"/>
      <c r="AC342" s="6"/>
      <c r="AD342" s="10"/>
    </row>
    <row r="343" spans="1:30" s="9" customFormat="1" x14ac:dyDescent="0.2">
      <c r="A343" s="28"/>
      <c r="B343" s="16" t="s">
        <v>36</v>
      </c>
      <c r="C343" s="16" t="s">
        <v>133</v>
      </c>
      <c r="D343" s="7" t="s">
        <v>437</v>
      </c>
      <c r="E343" s="7"/>
      <c r="F343" s="6" t="s">
        <v>438</v>
      </c>
      <c r="G343" s="6"/>
      <c r="H343" s="17">
        <v>8973.32</v>
      </c>
      <c r="I343" s="39" t="s">
        <v>40</v>
      </c>
      <c r="J343" s="7">
        <v>36539</v>
      </c>
      <c r="K343" s="7"/>
      <c r="L343" s="23">
        <v>36629</v>
      </c>
      <c r="M343" s="18" t="s">
        <v>135</v>
      </c>
      <c r="N343" s="6" t="s">
        <v>42</v>
      </c>
      <c r="O343" s="6"/>
      <c r="P343" s="6"/>
      <c r="Q343" s="6"/>
      <c r="R343" s="6"/>
      <c r="S343" s="7">
        <v>36632</v>
      </c>
      <c r="T343" s="7">
        <v>36636</v>
      </c>
      <c r="U343" s="7"/>
      <c r="V343" s="6" t="s">
        <v>521</v>
      </c>
      <c r="W343" s="6">
        <v>564</v>
      </c>
      <c r="X343" s="6" t="s">
        <v>211</v>
      </c>
      <c r="Y343" s="59"/>
      <c r="Z343" s="6">
        <v>6640171915</v>
      </c>
      <c r="AA343" s="6" t="s">
        <v>318</v>
      </c>
      <c r="AB343" s="6" t="s">
        <v>211</v>
      </c>
      <c r="AC343" s="507"/>
      <c r="AD343" s="10"/>
    </row>
    <row r="344" spans="1:30" s="9" customFormat="1" ht="12" thickBot="1" x14ac:dyDescent="0.25">
      <c r="A344" s="28"/>
      <c r="B344" s="19"/>
      <c r="C344" s="19"/>
      <c r="D344" s="5"/>
      <c r="E344" s="5"/>
      <c r="F344" s="5" t="s">
        <v>522</v>
      </c>
      <c r="G344" s="5"/>
      <c r="H344" s="20"/>
      <c r="I344" s="21" t="s">
        <v>446</v>
      </c>
      <c r="J344" s="5"/>
      <c r="K344" s="5"/>
      <c r="L344" s="127"/>
      <c r="M344" s="5"/>
      <c r="N344" s="5"/>
      <c r="O344" s="5"/>
      <c r="P344" s="5"/>
      <c r="Q344" s="5"/>
      <c r="R344" s="5"/>
      <c r="S344" s="27" t="s">
        <v>296</v>
      </c>
      <c r="T344" s="19"/>
      <c r="U344" s="19"/>
      <c r="V344" s="5"/>
      <c r="W344" s="5"/>
      <c r="X344" s="5"/>
      <c r="Y344" s="61"/>
      <c r="Z344" s="5"/>
      <c r="AA344" s="5"/>
      <c r="AB344" s="5"/>
      <c r="AC344" s="5"/>
      <c r="AD344" s="10"/>
    </row>
    <row r="345" spans="1:30" s="9" customFormat="1" x14ac:dyDescent="0.2">
      <c r="A345" s="28"/>
      <c r="B345" s="16"/>
      <c r="C345" s="16"/>
      <c r="D345" s="7"/>
      <c r="E345" s="7"/>
      <c r="F345" s="6"/>
      <c r="G345" s="6"/>
      <c r="H345" s="17"/>
      <c r="I345" s="17"/>
      <c r="J345" s="7"/>
      <c r="K345" s="7"/>
      <c r="L345" s="23"/>
      <c r="M345" s="6"/>
      <c r="N345" s="6"/>
      <c r="O345" s="6"/>
      <c r="P345" s="6"/>
      <c r="Q345" s="6"/>
      <c r="R345" s="6"/>
      <c r="S345" s="6"/>
      <c r="T345" s="6"/>
      <c r="U345" s="6"/>
      <c r="V345" s="6"/>
      <c r="W345" s="6"/>
      <c r="X345" s="12"/>
      <c r="Y345" s="57"/>
      <c r="Z345" s="6"/>
      <c r="AA345" s="6"/>
      <c r="AB345" s="6"/>
      <c r="AC345" s="6"/>
      <c r="AD345" s="10"/>
    </row>
    <row r="346" spans="1:30" s="9" customFormat="1" x14ac:dyDescent="0.2">
      <c r="A346" s="28"/>
      <c r="B346" s="16" t="s">
        <v>36</v>
      </c>
      <c r="C346" s="16" t="s">
        <v>133</v>
      </c>
      <c r="D346" s="7" t="s">
        <v>437</v>
      </c>
      <c r="E346" s="7"/>
      <c r="F346" s="6" t="s">
        <v>438</v>
      </c>
      <c r="G346" s="6"/>
      <c r="H346" s="17">
        <v>5349.5</v>
      </c>
      <c r="I346" s="39" t="s">
        <v>139</v>
      </c>
      <c r="J346" s="7">
        <v>36577</v>
      </c>
      <c r="K346" s="7"/>
      <c r="L346" s="23">
        <f>J346+90</f>
        <v>36667</v>
      </c>
      <c r="M346" s="18" t="s">
        <v>135</v>
      </c>
      <c r="N346" s="6" t="s">
        <v>42</v>
      </c>
      <c r="O346" s="6"/>
      <c r="P346" s="6"/>
      <c r="Q346" s="6"/>
      <c r="R346" s="6"/>
      <c r="S346" s="7">
        <v>36632</v>
      </c>
      <c r="T346" s="7">
        <v>36636</v>
      </c>
      <c r="U346" s="7"/>
      <c r="V346" s="6" t="s">
        <v>523</v>
      </c>
      <c r="W346" s="6">
        <v>571</v>
      </c>
      <c r="X346" s="6" t="s">
        <v>211</v>
      </c>
      <c r="Y346" s="59"/>
      <c r="Z346" s="6">
        <v>6640171915</v>
      </c>
      <c r="AA346" s="6" t="s">
        <v>318</v>
      </c>
      <c r="AB346" s="6" t="s">
        <v>211</v>
      </c>
      <c r="AC346" s="6"/>
      <c r="AD346" s="10"/>
    </row>
    <row r="347" spans="1:30" s="9" customFormat="1" ht="12" thickBot="1" x14ac:dyDescent="0.25">
      <c r="A347" s="28"/>
      <c r="B347" s="19"/>
      <c r="C347" s="19"/>
      <c r="D347" s="5"/>
      <c r="E347" s="5"/>
      <c r="F347" s="5" t="s">
        <v>524</v>
      </c>
      <c r="G347" s="5"/>
      <c r="H347" s="20"/>
      <c r="I347" s="21" t="s">
        <v>138</v>
      </c>
      <c r="J347" s="5"/>
      <c r="K347" s="5"/>
      <c r="L347" s="127"/>
      <c r="M347" s="5"/>
      <c r="N347" s="5"/>
      <c r="O347" s="5"/>
      <c r="P347" s="5"/>
      <c r="Q347" s="5"/>
      <c r="R347" s="5"/>
      <c r="S347" s="27" t="s">
        <v>296</v>
      </c>
      <c r="T347" s="19"/>
      <c r="U347" s="19"/>
      <c r="V347" s="5"/>
      <c r="W347" s="5"/>
      <c r="X347" s="5"/>
      <c r="Y347" s="61"/>
      <c r="Z347" s="5"/>
      <c r="AA347" s="5"/>
      <c r="AB347" s="5"/>
      <c r="AC347" s="5"/>
      <c r="AD347" s="10"/>
    </row>
    <row r="348" spans="1:30" s="9" customFormat="1" x14ac:dyDescent="0.2">
      <c r="A348" s="28"/>
      <c r="B348" s="16"/>
      <c r="C348" s="16"/>
      <c r="D348" s="7"/>
      <c r="E348" s="7"/>
      <c r="F348" s="6"/>
      <c r="G348" s="6"/>
      <c r="H348" s="17"/>
      <c r="I348" s="17"/>
      <c r="J348" s="7"/>
      <c r="K348" s="7"/>
      <c r="L348" s="23"/>
      <c r="M348" s="6"/>
      <c r="N348" s="6"/>
      <c r="O348" s="6"/>
      <c r="P348" s="6"/>
      <c r="Q348" s="6"/>
      <c r="R348" s="6"/>
      <c r="S348" s="6"/>
      <c r="T348" s="6"/>
      <c r="U348" s="6"/>
      <c r="V348" s="6"/>
      <c r="W348" s="6"/>
      <c r="X348" s="12"/>
      <c r="Y348" s="57"/>
      <c r="Z348" s="6"/>
      <c r="AA348" s="6"/>
      <c r="AB348" s="6"/>
      <c r="AC348" s="6"/>
      <c r="AD348" s="10"/>
    </row>
    <row r="349" spans="1:30" s="9" customFormat="1" x14ac:dyDescent="0.2">
      <c r="A349" s="28"/>
      <c r="B349" s="16" t="s">
        <v>36</v>
      </c>
      <c r="C349" s="16" t="s">
        <v>133</v>
      </c>
      <c r="D349" s="7" t="s">
        <v>437</v>
      </c>
      <c r="E349" s="7"/>
      <c r="F349" s="6" t="s">
        <v>438</v>
      </c>
      <c r="G349" s="6"/>
      <c r="H349" s="17">
        <v>3584.4</v>
      </c>
      <c r="I349" s="39" t="s">
        <v>154</v>
      </c>
      <c r="J349" s="7">
        <v>36577</v>
      </c>
      <c r="K349" s="7"/>
      <c r="L349" s="23">
        <f>J349+90</f>
        <v>36667</v>
      </c>
      <c r="M349" s="18" t="s">
        <v>135</v>
      </c>
      <c r="N349" s="6" t="s">
        <v>42</v>
      </c>
      <c r="O349" s="6"/>
      <c r="P349" s="6"/>
      <c r="Q349" s="6"/>
      <c r="R349" s="6"/>
      <c r="S349" s="7">
        <v>36632</v>
      </c>
      <c r="T349" s="7">
        <v>36636</v>
      </c>
      <c r="U349" s="7"/>
      <c r="V349" s="6" t="s">
        <v>525</v>
      </c>
      <c r="W349" s="6">
        <v>572</v>
      </c>
      <c r="X349" s="6" t="s">
        <v>211</v>
      </c>
      <c r="Y349" s="59"/>
      <c r="Z349" s="6">
        <v>6640171915</v>
      </c>
      <c r="AA349" s="6" t="s">
        <v>318</v>
      </c>
      <c r="AB349" s="6" t="s">
        <v>211</v>
      </c>
      <c r="AC349" s="6"/>
      <c r="AD349" s="10"/>
    </row>
    <row r="350" spans="1:30" s="9" customFormat="1" ht="12" thickBot="1" x14ac:dyDescent="0.25">
      <c r="A350" s="28"/>
      <c r="B350" s="19"/>
      <c r="C350" s="19"/>
      <c r="D350" s="5"/>
      <c r="E350" s="5"/>
      <c r="F350" s="5" t="s">
        <v>526</v>
      </c>
      <c r="G350" s="5"/>
      <c r="H350" s="20"/>
      <c r="I350" s="21" t="s">
        <v>230</v>
      </c>
      <c r="J350" s="5"/>
      <c r="K350" s="5"/>
      <c r="L350" s="127"/>
      <c r="M350" s="5"/>
      <c r="N350" s="5"/>
      <c r="O350" s="5"/>
      <c r="P350" s="5"/>
      <c r="Q350" s="5"/>
      <c r="R350" s="5"/>
      <c r="S350" s="27" t="s">
        <v>296</v>
      </c>
      <c r="T350" s="19"/>
      <c r="U350" s="19"/>
      <c r="V350" s="5"/>
      <c r="W350" s="5"/>
      <c r="X350" s="5"/>
      <c r="Y350" s="61"/>
      <c r="Z350" s="5"/>
      <c r="AA350" s="5"/>
      <c r="AB350" s="5"/>
      <c r="AC350" s="5"/>
      <c r="AD350" s="10"/>
    </row>
    <row r="351" spans="1:30" s="9" customFormat="1" x14ac:dyDescent="0.2">
      <c r="A351" s="28"/>
      <c r="B351" s="16"/>
      <c r="C351" s="16"/>
      <c r="D351" s="7"/>
      <c r="E351" s="7"/>
      <c r="F351" s="6"/>
      <c r="G351" s="6"/>
      <c r="H351" s="17"/>
      <c r="I351" s="17"/>
      <c r="J351" s="7"/>
      <c r="K351" s="7"/>
      <c r="L351" s="23"/>
      <c r="M351" s="6"/>
      <c r="N351" s="6"/>
      <c r="O351" s="6"/>
      <c r="P351" s="6"/>
      <c r="Q351" s="6"/>
      <c r="R351" s="6"/>
      <c r="S351" s="6"/>
      <c r="T351" s="6"/>
      <c r="U351" s="6"/>
      <c r="V351" s="6"/>
      <c r="W351" s="6"/>
      <c r="X351" s="12"/>
      <c r="Y351" s="57"/>
      <c r="Z351" s="6"/>
      <c r="AA351" s="6"/>
      <c r="AB351" s="6"/>
      <c r="AC351" s="6"/>
      <c r="AD351" s="10"/>
    </row>
    <row r="352" spans="1:30" s="9" customFormat="1" x14ac:dyDescent="0.2">
      <c r="A352" s="28"/>
      <c r="B352" s="16" t="s">
        <v>36</v>
      </c>
      <c r="C352" s="16" t="s">
        <v>133</v>
      </c>
      <c r="D352" s="7" t="s">
        <v>437</v>
      </c>
      <c r="E352" s="7"/>
      <c r="F352" s="6" t="s">
        <v>438</v>
      </c>
      <c r="G352" s="6"/>
      <c r="H352" s="17">
        <v>1796.86</v>
      </c>
      <c r="I352" s="39" t="s">
        <v>40</v>
      </c>
      <c r="J352" s="7">
        <v>36577</v>
      </c>
      <c r="K352" s="7"/>
      <c r="L352" s="23">
        <f>J352+90</f>
        <v>36667</v>
      </c>
      <c r="M352" s="18" t="s">
        <v>135</v>
      </c>
      <c r="N352" s="6" t="s">
        <v>42</v>
      </c>
      <c r="O352" s="6"/>
      <c r="P352" s="6"/>
      <c r="Q352" s="6"/>
      <c r="R352" s="6"/>
      <c r="S352" s="7">
        <v>36632</v>
      </c>
      <c r="T352" s="7">
        <v>36636</v>
      </c>
      <c r="U352" s="7"/>
      <c r="V352" s="6" t="s">
        <v>527</v>
      </c>
      <c r="W352" s="6">
        <v>573</v>
      </c>
      <c r="X352" s="6" t="s">
        <v>211</v>
      </c>
      <c r="Y352" s="59"/>
      <c r="Z352" s="6">
        <v>6640171915</v>
      </c>
      <c r="AA352" s="6" t="s">
        <v>318</v>
      </c>
      <c r="AB352" s="6" t="s">
        <v>211</v>
      </c>
      <c r="AC352" s="6"/>
      <c r="AD352" s="10"/>
    </row>
    <row r="353" spans="1:30" s="9" customFormat="1" ht="12" thickBot="1" x14ac:dyDescent="0.25">
      <c r="A353" s="28"/>
      <c r="B353" s="19"/>
      <c r="C353" s="19"/>
      <c r="D353" s="5"/>
      <c r="E353" s="5"/>
      <c r="F353" s="5" t="s">
        <v>528</v>
      </c>
      <c r="G353" s="5"/>
      <c r="H353" s="20"/>
      <c r="I353" s="21" t="s">
        <v>446</v>
      </c>
      <c r="J353" s="5"/>
      <c r="K353" s="5"/>
      <c r="L353" s="127"/>
      <c r="M353" s="5"/>
      <c r="N353" s="5"/>
      <c r="O353" s="5"/>
      <c r="P353" s="5"/>
      <c r="Q353" s="5"/>
      <c r="R353" s="5"/>
      <c r="S353" s="27" t="s">
        <v>296</v>
      </c>
      <c r="T353" s="19"/>
      <c r="U353" s="19"/>
      <c r="V353" s="5"/>
      <c r="W353" s="5"/>
      <c r="X353" s="5"/>
      <c r="Y353" s="61"/>
      <c r="Z353" s="5"/>
      <c r="AA353" s="5"/>
      <c r="AB353" s="5"/>
      <c r="AC353" s="5"/>
      <c r="AD353" s="10"/>
    </row>
    <row r="354" spans="1:30" s="9" customFormat="1" x14ac:dyDescent="0.2">
      <c r="A354" s="28"/>
      <c r="B354" s="16"/>
      <c r="C354" s="16"/>
      <c r="D354" s="7"/>
      <c r="E354" s="7"/>
      <c r="F354" s="6"/>
      <c r="G354" s="6"/>
      <c r="H354" s="17"/>
      <c r="I354" s="17"/>
      <c r="J354" s="7"/>
      <c r="K354" s="7"/>
      <c r="L354" s="23"/>
      <c r="M354" s="6"/>
      <c r="N354" s="6"/>
      <c r="O354" s="6"/>
      <c r="P354" s="6"/>
      <c r="Q354" s="6"/>
      <c r="R354" s="6"/>
      <c r="S354" s="6"/>
      <c r="T354" s="6"/>
      <c r="U354" s="6"/>
      <c r="V354" s="6"/>
      <c r="W354" s="6"/>
      <c r="X354" s="12"/>
      <c r="Y354" s="57"/>
      <c r="Z354" s="6"/>
      <c r="AA354" s="6"/>
      <c r="AB354" s="6"/>
      <c r="AC354" s="6"/>
      <c r="AD354" s="10"/>
    </row>
    <row r="355" spans="1:30" s="9" customFormat="1" x14ac:dyDescent="0.2">
      <c r="A355" s="28"/>
      <c r="B355" s="16" t="s">
        <v>36</v>
      </c>
      <c r="C355" s="16" t="s">
        <v>133</v>
      </c>
      <c r="D355" s="7" t="s">
        <v>437</v>
      </c>
      <c r="E355" s="7"/>
      <c r="F355" s="6" t="s">
        <v>438</v>
      </c>
      <c r="G355" s="6"/>
      <c r="H355" s="17">
        <v>4833.3</v>
      </c>
      <c r="I355" s="39" t="s">
        <v>142</v>
      </c>
      <c r="J355" s="7">
        <v>36577</v>
      </c>
      <c r="K355" s="7"/>
      <c r="L355" s="23">
        <f>J355+90</f>
        <v>36667</v>
      </c>
      <c r="M355" s="18" t="s">
        <v>135</v>
      </c>
      <c r="N355" s="6" t="s">
        <v>42</v>
      </c>
      <c r="O355" s="6"/>
      <c r="P355" s="6"/>
      <c r="Q355" s="6"/>
      <c r="R355" s="6"/>
      <c r="S355" s="7">
        <v>36632</v>
      </c>
      <c r="T355" s="7">
        <v>36636</v>
      </c>
      <c r="U355" s="7"/>
      <c r="V355" s="6" t="s">
        <v>529</v>
      </c>
      <c r="W355" s="6">
        <v>574</v>
      </c>
      <c r="X355" s="6" t="s">
        <v>211</v>
      </c>
      <c r="Y355" s="59"/>
      <c r="Z355" s="6">
        <v>6640171915</v>
      </c>
      <c r="AA355" s="6" t="s">
        <v>318</v>
      </c>
      <c r="AB355" s="6" t="s">
        <v>211</v>
      </c>
      <c r="AC355" s="6"/>
      <c r="AD355" s="10"/>
    </row>
    <row r="356" spans="1:30" s="9" customFormat="1" ht="12" thickBot="1" x14ac:dyDescent="0.25">
      <c r="A356" s="28"/>
      <c r="B356" s="19"/>
      <c r="C356" s="19"/>
      <c r="D356" s="5"/>
      <c r="E356" s="5"/>
      <c r="F356" s="5" t="s">
        <v>530</v>
      </c>
      <c r="G356" s="5"/>
      <c r="H356" s="20"/>
      <c r="I356" s="21" t="s">
        <v>208</v>
      </c>
      <c r="J356" s="5"/>
      <c r="K356" s="5"/>
      <c r="L356" s="127"/>
      <c r="M356" s="5"/>
      <c r="N356" s="5"/>
      <c r="O356" s="5"/>
      <c r="P356" s="5"/>
      <c r="Q356" s="5"/>
      <c r="R356" s="5"/>
      <c r="S356" s="27" t="s">
        <v>296</v>
      </c>
      <c r="T356" s="19"/>
      <c r="U356" s="19"/>
      <c r="V356" s="5"/>
      <c r="W356" s="5"/>
      <c r="X356" s="5"/>
      <c r="Y356" s="61"/>
      <c r="Z356" s="5"/>
      <c r="AA356" s="5"/>
      <c r="AB356" s="5"/>
      <c r="AC356" s="5"/>
      <c r="AD356" s="10"/>
    </row>
    <row r="357" spans="1:30" s="9" customFormat="1" x14ac:dyDescent="0.2">
      <c r="A357" s="28"/>
      <c r="B357" s="16"/>
      <c r="C357" s="16"/>
      <c r="D357" s="7"/>
      <c r="E357" s="7"/>
      <c r="F357" s="6"/>
      <c r="G357" s="6"/>
      <c r="H357" s="17"/>
      <c r="I357" s="17"/>
      <c r="J357" s="7"/>
      <c r="K357" s="7"/>
      <c r="L357" s="23"/>
      <c r="M357" s="6"/>
      <c r="N357" s="6"/>
      <c r="O357" s="6"/>
      <c r="P357" s="6"/>
      <c r="Q357" s="6"/>
      <c r="R357" s="6"/>
      <c r="S357" s="6"/>
      <c r="T357" s="6"/>
      <c r="U357" s="6"/>
      <c r="V357" s="6"/>
      <c r="W357" s="6"/>
      <c r="X357" s="57"/>
      <c r="Y357" s="57"/>
      <c r="Z357" s="6"/>
      <c r="AA357" s="6"/>
      <c r="AB357" s="6"/>
      <c r="AC357" s="6"/>
      <c r="AD357" s="10"/>
    </row>
    <row r="358" spans="1:30" s="9" customFormat="1" x14ac:dyDescent="0.2">
      <c r="A358" s="28"/>
      <c r="B358" s="16" t="s">
        <v>36</v>
      </c>
      <c r="C358" s="16" t="s">
        <v>157</v>
      </c>
      <c r="D358" s="7" t="s">
        <v>531</v>
      </c>
      <c r="E358" s="7"/>
      <c r="F358" s="6"/>
      <c r="G358" s="6"/>
      <c r="H358" s="17">
        <v>2420</v>
      </c>
      <c r="I358" s="39"/>
      <c r="J358" s="7">
        <v>36620</v>
      </c>
      <c r="K358" s="7"/>
      <c r="L358" s="23" t="s">
        <v>470</v>
      </c>
      <c r="M358" s="18" t="s">
        <v>532</v>
      </c>
      <c r="N358" s="6" t="s">
        <v>42</v>
      </c>
      <c r="O358" s="6"/>
      <c r="P358" s="6"/>
      <c r="Q358" s="6"/>
      <c r="R358" s="6"/>
      <c r="S358" s="7" t="s">
        <v>533</v>
      </c>
      <c r="T358" s="7">
        <v>36636</v>
      </c>
      <c r="U358" s="7"/>
      <c r="V358" s="135" t="s">
        <v>534</v>
      </c>
      <c r="W358" s="6">
        <v>594</v>
      </c>
      <c r="X358" s="59"/>
      <c r="Y358" s="59"/>
      <c r="Z358" s="6">
        <v>6640171915</v>
      </c>
      <c r="AA358" s="6" t="s">
        <v>318</v>
      </c>
      <c r="AB358" s="6" t="s">
        <v>211</v>
      </c>
      <c r="AC358" s="507"/>
      <c r="AD358" s="10"/>
    </row>
    <row r="359" spans="1:30" s="9" customFormat="1" ht="12" thickBot="1" x14ac:dyDescent="0.25">
      <c r="A359" s="28"/>
      <c r="B359" s="19"/>
      <c r="C359" s="19"/>
      <c r="D359" s="5"/>
      <c r="E359" s="5"/>
      <c r="F359" s="5"/>
      <c r="G359" s="5"/>
      <c r="H359" s="20"/>
      <c r="I359" s="21"/>
      <c r="J359" s="5"/>
      <c r="K359" s="5"/>
      <c r="L359" s="127"/>
      <c r="M359" s="5"/>
      <c r="N359" s="5"/>
      <c r="O359" s="5"/>
      <c r="P359" s="5"/>
      <c r="Q359" s="5"/>
      <c r="R359" s="5"/>
      <c r="S359" s="27">
        <v>36632</v>
      </c>
      <c r="T359" s="19"/>
      <c r="U359" s="19"/>
      <c r="V359" s="5" t="s">
        <v>535</v>
      </c>
      <c r="W359" s="5"/>
      <c r="X359" s="61"/>
      <c r="Y359" s="61"/>
      <c r="Z359" s="5"/>
      <c r="AA359" s="5"/>
      <c r="AB359" s="5"/>
      <c r="AC359" s="5"/>
      <c r="AD359" s="10"/>
    </row>
    <row r="360" spans="1:30" s="9" customFormat="1" x14ac:dyDescent="0.2">
      <c r="A360" s="28"/>
      <c r="B360" s="11"/>
      <c r="C360" s="11"/>
      <c r="D360" s="91"/>
      <c r="E360" s="91"/>
      <c r="F360" s="12"/>
      <c r="G360" s="12"/>
      <c r="H360" s="13"/>
      <c r="I360" s="13"/>
      <c r="J360" s="91"/>
      <c r="K360" s="91"/>
      <c r="L360" s="134"/>
      <c r="M360" s="12"/>
      <c r="N360" s="12"/>
      <c r="O360" s="12"/>
      <c r="P360" s="12"/>
      <c r="Q360" s="12"/>
      <c r="R360" s="12"/>
      <c r="S360" s="12"/>
      <c r="T360" s="12"/>
      <c r="U360" s="12"/>
      <c r="V360" s="12"/>
      <c r="W360" s="12"/>
      <c r="X360" s="57"/>
      <c r="Y360" s="57"/>
      <c r="Z360" s="12"/>
      <c r="AA360" s="12"/>
      <c r="AB360" s="12"/>
      <c r="AC360" s="12"/>
      <c r="AD360" s="10"/>
    </row>
    <row r="361" spans="1:30" s="9" customFormat="1" x14ac:dyDescent="0.2">
      <c r="A361" s="28"/>
      <c r="B361" s="16" t="s">
        <v>36</v>
      </c>
      <c r="C361" s="16" t="s">
        <v>536</v>
      </c>
      <c r="D361" s="7" t="s">
        <v>537</v>
      </c>
      <c r="E361" s="7"/>
      <c r="F361" s="6" t="s">
        <v>538</v>
      </c>
      <c r="G361" s="6"/>
      <c r="H361" s="17">
        <v>9468</v>
      </c>
      <c r="I361" s="39"/>
      <c r="J361" s="7">
        <v>36627</v>
      </c>
      <c r="K361" s="7"/>
      <c r="L361" s="23">
        <f>J361+30</f>
        <v>36657</v>
      </c>
      <c r="M361" s="18" t="s">
        <v>135</v>
      </c>
      <c r="N361" s="6" t="s">
        <v>42</v>
      </c>
      <c r="O361" s="6"/>
      <c r="P361" s="6"/>
      <c r="Q361" s="6"/>
      <c r="R361" s="6"/>
      <c r="S361" s="7">
        <v>36664</v>
      </c>
      <c r="T361" s="7">
        <v>36664</v>
      </c>
      <c r="U361" s="7"/>
      <c r="V361" s="6" t="s">
        <v>539</v>
      </c>
      <c r="W361" s="6">
        <v>603</v>
      </c>
      <c r="X361" s="59"/>
      <c r="Y361" s="59"/>
      <c r="Z361" s="6">
        <v>6640171974</v>
      </c>
      <c r="AA361" s="6" t="s">
        <v>318</v>
      </c>
      <c r="AB361" s="6" t="s">
        <v>211</v>
      </c>
      <c r="AC361" s="6"/>
      <c r="AD361" s="10"/>
    </row>
    <row r="362" spans="1:30" s="9" customFormat="1" ht="12" thickBot="1" x14ac:dyDescent="0.25">
      <c r="A362" s="28"/>
      <c r="B362" s="19"/>
      <c r="C362" s="19"/>
      <c r="D362" s="5"/>
      <c r="E362" s="5"/>
      <c r="F362" s="5"/>
      <c r="G362" s="5"/>
      <c r="H362" s="20"/>
      <c r="I362" s="21"/>
      <c r="J362" s="5"/>
      <c r="K362" s="5"/>
      <c r="L362" s="127"/>
      <c r="M362" s="5"/>
      <c r="N362" s="5"/>
      <c r="O362" s="5"/>
      <c r="P362" s="5"/>
      <c r="Q362" s="5"/>
      <c r="R362" s="5"/>
      <c r="S362" s="136"/>
      <c r="T362" s="19"/>
      <c r="U362" s="19"/>
      <c r="V362" s="5" t="s">
        <v>540</v>
      </c>
      <c r="W362" s="5"/>
      <c r="X362" s="61"/>
      <c r="Y362" s="61"/>
      <c r="Z362" s="5"/>
      <c r="AA362" s="5"/>
      <c r="AB362" s="5"/>
      <c r="AC362" s="5"/>
      <c r="AD362" s="10"/>
    </row>
    <row r="363" spans="1:30" s="9" customFormat="1" x14ac:dyDescent="0.2">
      <c r="A363" s="28"/>
      <c r="B363" s="11"/>
      <c r="C363" s="11"/>
      <c r="D363" s="91"/>
      <c r="E363" s="91"/>
      <c r="F363" s="12"/>
      <c r="G363" s="12"/>
      <c r="H363" s="13"/>
      <c r="I363" s="13"/>
      <c r="J363" s="91"/>
      <c r="K363" s="91"/>
      <c r="L363" s="134"/>
      <c r="M363" s="12"/>
      <c r="N363" s="12"/>
      <c r="O363" s="12"/>
      <c r="P363" s="12"/>
      <c r="Q363" s="12"/>
      <c r="R363" s="12"/>
      <c r="S363" s="12"/>
      <c r="T363" s="12"/>
      <c r="U363" s="12"/>
      <c r="V363" s="12"/>
      <c r="W363" s="12"/>
      <c r="X363" s="12"/>
      <c r="Y363" s="57"/>
      <c r="Z363" s="12"/>
      <c r="AA363" s="12"/>
      <c r="AB363" s="12"/>
      <c r="AC363" s="12"/>
      <c r="AD363" s="10"/>
    </row>
    <row r="364" spans="1:30" s="9" customFormat="1" x14ac:dyDescent="0.2">
      <c r="A364" s="28"/>
      <c r="B364" s="16" t="s">
        <v>36</v>
      </c>
      <c r="C364" s="16" t="s">
        <v>133</v>
      </c>
      <c r="D364" s="7" t="s">
        <v>437</v>
      </c>
      <c r="E364" s="7"/>
      <c r="F364" s="6" t="s">
        <v>438</v>
      </c>
      <c r="G364" s="6"/>
      <c r="H364" s="17">
        <v>34097.699999999997</v>
      </c>
      <c r="I364" s="39" t="s">
        <v>202</v>
      </c>
      <c r="J364" s="7">
        <v>36605</v>
      </c>
      <c r="K364" s="7"/>
      <c r="L364" s="23">
        <f>J364+90</f>
        <v>36695</v>
      </c>
      <c r="M364" s="18" t="s">
        <v>135</v>
      </c>
      <c r="N364" s="6" t="s">
        <v>42</v>
      </c>
      <c r="O364" s="6"/>
      <c r="P364" s="6"/>
      <c r="Q364" s="6"/>
      <c r="R364" s="6"/>
      <c r="S364" s="7">
        <v>36678</v>
      </c>
      <c r="T364" s="7">
        <v>36688</v>
      </c>
      <c r="U364" s="7"/>
      <c r="V364" s="6" t="s">
        <v>541</v>
      </c>
      <c r="W364" s="6">
        <v>581</v>
      </c>
      <c r="X364" s="6" t="s">
        <v>47</v>
      </c>
      <c r="Y364" s="59"/>
      <c r="Z364" s="6">
        <v>6638142851</v>
      </c>
      <c r="AA364" s="6"/>
      <c r="AB364" s="6" t="s">
        <v>211</v>
      </c>
      <c r="AC364" s="6"/>
      <c r="AD364" s="10"/>
    </row>
    <row r="365" spans="1:30" s="9" customFormat="1" ht="12" thickBot="1" x14ac:dyDescent="0.25">
      <c r="A365" s="28"/>
      <c r="B365" s="19"/>
      <c r="C365" s="19"/>
      <c r="D365" s="5"/>
      <c r="E365" s="5"/>
      <c r="F365" s="5" t="s">
        <v>542</v>
      </c>
      <c r="G365" s="5"/>
      <c r="H365" s="20"/>
      <c r="I365" s="21" t="s">
        <v>138</v>
      </c>
      <c r="J365" s="5"/>
      <c r="K365" s="5"/>
      <c r="L365" s="127"/>
      <c r="M365" s="5"/>
      <c r="N365" s="5"/>
      <c r="O365" s="5"/>
      <c r="P365" s="5"/>
      <c r="Q365" s="5"/>
      <c r="R365" s="5"/>
      <c r="S365" s="27" t="s">
        <v>296</v>
      </c>
      <c r="T365" s="27"/>
      <c r="U365" s="27"/>
      <c r="V365" s="5" t="s">
        <v>543</v>
      </c>
      <c r="W365" s="5"/>
      <c r="X365" s="5"/>
      <c r="Y365" s="61"/>
      <c r="Z365" s="5"/>
      <c r="AA365" s="5"/>
      <c r="AB365" s="5"/>
      <c r="AC365" s="5"/>
      <c r="AD365" s="10"/>
    </row>
    <row r="366" spans="1:30" s="9" customFormat="1" x14ac:dyDescent="0.2">
      <c r="A366" s="28"/>
      <c r="B366" s="16"/>
      <c r="C366" s="16"/>
      <c r="D366" s="7"/>
      <c r="E366" s="7"/>
      <c r="F366" s="6"/>
      <c r="G366" s="6"/>
      <c r="H366" s="17"/>
      <c r="I366" s="17"/>
      <c r="J366" s="7"/>
      <c r="K366" s="7"/>
      <c r="L366" s="23"/>
      <c r="M366" s="6"/>
      <c r="N366" s="6"/>
      <c r="O366" s="6"/>
      <c r="P366" s="6"/>
      <c r="Q366" s="6"/>
      <c r="R366" s="6"/>
      <c r="S366" s="6"/>
      <c r="T366" s="6"/>
      <c r="U366" s="6"/>
      <c r="V366" s="6"/>
      <c r="W366" s="6"/>
      <c r="X366" s="12"/>
      <c r="Y366" s="57"/>
      <c r="Z366" s="6"/>
      <c r="AA366" s="6"/>
      <c r="AB366" s="6"/>
      <c r="AC366" s="6"/>
      <c r="AD366" s="10"/>
    </row>
    <row r="367" spans="1:30" s="9" customFormat="1" x14ac:dyDescent="0.2">
      <c r="A367" s="28"/>
      <c r="B367" s="16" t="s">
        <v>36</v>
      </c>
      <c r="C367" s="16" t="s">
        <v>133</v>
      </c>
      <c r="D367" s="7" t="s">
        <v>437</v>
      </c>
      <c r="E367" s="7"/>
      <c r="F367" s="6" t="s">
        <v>438</v>
      </c>
      <c r="G367" s="6"/>
      <c r="H367" s="17">
        <v>24882.89</v>
      </c>
      <c r="I367" s="39" t="s">
        <v>40</v>
      </c>
      <c r="J367" s="7">
        <v>36605</v>
      </c>
      <c r="K367" s="7"/>
      <c r="L367" s="23">
        <v>36695</v>
      </c>
      <c r="M367" s="18" t="s">
        <v>135</v>
      </c>
      <c r="N367" s="6" t="s">
        <v>42</v>
      </c>
      <c r="O367" s="6"/>
      <c r="P367" s="6"/>
      <c r="Q367" s="6"/>
      <c r="R367" s="6"/>
      <c r="S367" s="7">
        <v>36678</v>
      </c>
      <c r="T367" s="7">
        <v>36688</v>
      </c>
      <c r="U367" s="7"/>
      <c r="V367" s="6" t="s">
        <v>544</v>
      </c>
      <c r="W367" s="6">
        <v>582</v>
      </c>
      <c r="X367" s="6" t="s">
        <v>47</v>
      </c>
      <c r="Y367" s="59"/>
      <c r="Z367" s="6">
        <v>6638142851</v>
      </c>
      <c r="AA367" s="6"/>
      <c r="AB367" s="6" t="s">
        <v>211</v>
      </c>
      <c r="AC367" s="6"/>
      <c r="AD367" s="10"/>
    </row>
    <row r="368" spans="1:30" s="9" customFormat="1" ht="12" thickBot="1" x14ac:dyDescent="0.25">
      <c r="A368" s="28"/>
      <c r="B368" s="19"/>
      <c r="C368" s="19"/>
      <c r="D368" s="5"/>
      <c r="E368" s="5"/>
      <c r="F368" s="5" t="s">
        <v>545</v>
      </c>
      <c r="G368" s="5"/>
      <c r="H368" s="20"/>
      <c r="I368" s="21" t="s">
        <v>446</v>
      </c>
      <c r="J368" s="5"/>
      <c r="K368" s="5"/>
      <c r="L368" s="127"/>
      <c r="M368" s="5"/>
      <c r="N368" s="5"/>
      <c r="O368" s="5"/>
      <c r="P368" s="5"/>
      <c r="Q368" s="5"/>
      <c r="R368" s="5"/>
      <c r="S368" s="27" t="s">
        <v>296</v>
      </c>
      <c r="T368" s="27"/>
      <c r="U368" s="27"/>
      <c r="V368" s="5"/>
      <c r="W368" s="5"/>
      <c r="X368" s="5"/>
      <c r="Y368" s="61"/>
      <c r="Z368" s="5"/>
      <c r="AA368" s="5"/>
      <c r="AB368" s="5"/>
      <c r="AC368" s="5"/>
      <c r="AD368" s="10"/>
    </row>
    <row r="369" spans="1:30" s="9" customFormat="1" x14ac:dyDescent="0.2">
      <c r="A369" s="28"/>
      <c r="B369" s="16"/>
      <c r="C369" s="16"/>
      <c r="D369" s="7"/>
      <c r="E369" s="7"/>
      <c r="F369" s="6"/>
      <c r="G369" s="6"/>
      <c r="H369" s="17"/>
      <c r="I369" s="17"/>
      <c r="J369" s="7"/>
      <c r="K369" s="7"/>
      <c r="L369" s="23"/>
      <c r="M369" s="6"/>
      <c r="N369" s="6"/>
      <c r="O369" s="6"/>
      <c r="P369" s="6"/>
      <c r="Q369" s="6"/>
      <c r="R369" s="6"/>
      <c r="S369" s="6"/>
      <c r="T369" s="6"/>
      <c r="U369" s="6"/>
      <c r="V369" s="6"/>
      <c r="W369" s="6"/>
      <c r="X369" s="12"/>
      <c r="Y369" s="57"/>
      <c r="Z369" s="6"/>
      <c r="AA369" s="6"/>
      <c r="AB369" s="6"/>
      <c r="AC369" s="6"/>
      <c r="AD369" s="10"/>
    </row>
    <row r="370" spans="1:30" s="9" customFormat="1" x14ac:dyDescent="0.2">
      <c r="A370" s="28"/>
      <c r="B370" s="16" t="s">
        <v>36</v>
      </c>
      <c r="C370" s="16" t="s">
        <v>133</v>
      </c>
      <c r="D370" s="7" t="s">
        <v>437</v>
      </c>
      <c r="E370" s="7"/>
      <c r="F370" s="6" t="s">
        <v>438</v>
      </c>
      <c r="G370" s="6"/>
      <c r="H370" s="17">
        <v>3584.4</v>
      </c>
      <c r="I370" s="39" t="s">
        <v>52</v>
      </c>
      <c r="J370" s="7">
        <v>36605</v>
      </c>
      <c r="K370" s="7"/>
      <c r="L370" s="23">
        <f>J370+90</f>
        <v>36695</v>
      </c>
      <c r="M370" s="18" t="s">
        <v>135</v>
      </c>
      <c r="N370" s="6" t="s">
        <v>42</v>
      </c>
      <c r="O370" s="6"/>
      <c r="P370" s="6"/>
      <c r="Q370" s="6"/>
      <c r="R370" s="6"/>
      <c r="S370" s="7">
        <v>36678</v>
      </c>
      <c r="T370" s="7">
        <v>36688</v>
      </c>
      <c r="U370" s="7"/>
      <c r="V370" s="6" t="s">
        <v>525</v>
      </c>
      <c r="W370" s="6">
        <v>583</v>
      </c>
      <c r="X370" s="6" t="s">
        <v>47</v>
      </c>
      <c r="Y370" s="59"/>
      <c r="Z370" s="6">
        <v>6638142851</v>
      </c>
      <c r="AA370" s="6"/>
      <c r="AB370" s="6" t="s">
        <v>211</v>
      </c>
      <c r="AC370" s="6"/>
      <c r="AD370" s="10"/>
    </row>
    <row r="371" spans="1:30" s="9" customFormat="1" ht="12" thickBot="1" x14ac:dyDescent="0.25">
      <c r="A371" s="28"/>
      <c r="B371" s="19"/>
      <c r="C371" s="19"/>
      <c r="D371" s="5"/>
      <c r="E371" s="5"/>
      <c r="F371" s="5" t="s">
        <v>546</v>
      </c>
      <c r="G371" s="5"/>
      <c r="H371" s="20"/>
      <c r="I371" s="21" t="s">
        <v>230</v>
      </c>
      <c r="J371" s="5"/>
      <c r="K371" s="5"/>
      <c r="L371" s="127"/>
      <c r="M371" s="5"/>
      <c r="N371" s="5"/>
      <c r="O371" s="5"/>
      <c r="P371" s="5"/>
      <c r="Q371" s="5"/>
      <c r="R371" s="5"/>
      <c r="S371" s="27" t="s">
        <v>296</v>
      </c>
      <c r="T371" s="27"/>
      <c r="U371" s="27"/>
      <c r="V371" s="5"/>
      <c r="W371" s="5"/>
      <c r="X371" s="5"/>
      <c r="Y371" s="61"/>
      <c r="Z371" s="5"/>
      <c r="AA371" s="5"/>
      <c r="AB371" s="5"/>
      <c r="AC371" s="5"/>
      <c r="AD371" s="10"/>
    </row>
    <row r="372" spans="1:30" s="9" customFormat="1" x14ac:dyDescent="0.2">
      <c r="A372" s="28"/>
      <c r="B372" s="16"/>
      <c r="C372" s="16"/>
      <c r="D372" s="7"/>
      <c r="E372" s="7"/>
      <c r="F372" s="6"/>
      <c r="G372" s="6"/>
      <c r="H372" s="17"/>
      <c r="I372" s="17"/>
      <c r="J372" s="7"/>
      <c r="K372" s="7"/>
      <c r="L372" s="23"/>
      <c r="M372" s="6"/>
      <c r="N372" s="6"/>
      <c r="O372" s="6"/>
      <c r="P372" s="6"/>
      <c r="Q372" s="6"/>
      <c r="R372" s="6"/>
      <c r="S372" s="6"/>
      <c r="T372" s="6"/>
      <c r="U372" s="6"/>
      <c r="V372" s="6"/>
      <c r="W372" s="6"/>
      <c r="X372" s="12"/>
      <c r="Y372" s="57"/>
      <c r="Z372" s="6"/>
      <c r="AA372" s="6"/>
      <c r="AB372" s="6"/>
      <c r="AC372" s="6"/>
      <c r="AD372" s="10"/>
    </row>
    <row r="373" spans="1:30" s="9" customFormat="1" x14ac:dyDescent="0.2">
      <c r="A373" s="28"/>
      <c r="B373" s="16" t="s">
        <v>36</v>
      </c>
      <c r="C373" s="16" t="s">
        <v>133</v>
      </c>
      <c r="D373" s="7" t="s">
        <v>437</v>
      </c>
      <c r="E373" s="7"/>
      <c r="F373" s="6" t="s">
        <v>438</v>
      </c>
      <c r="G373" s="6"/>
      <c r="H373" s="17">
        <v>16643.25</v>
      </c>
      <c r="I373" s="39" t="s">
        <v>142</v>
      </c>
      <c r="J373" s="7">
        <v>36605</v>
      </c>
      <c r="K373" s="7"/>
      <c r="L373" s="23">
        <v>36695</v>
      </c>
      <c r="M373" s="18" t="s">
        <v>135</v>
      </c>
      <c r="N373" s="6" t="s">
        <v>42</v>
      </c>
      <c r="O373" s="6"/>
      <c r="P373" s="6"/>
      <c r="Q373" s="6"/>
      <c r="R373" s="6"/>
      <c r="S373" s="7">
        <v>36678</v>
      </c>
      <c r="T373" s="7">
        <v>36688</v>
      </c>
      <c r="U373" s="7"/>
      <c r="V373" s="6" t="s">
        <v>547</v>
      </c>
      <c r="W373" s="6">
        <v>584</v>
      </c>
      <c r="X373" s="6" t="s">
        <v>47</v>
      </c>
      <c r="Y373" s="59"/>
      <c r="Z373" s="6">
        <v>6638142851</v>
      </c>
      <c r="AA373" s="6"/>
      <c r="AB373" s="6" t="s">
        <v>211</v>
      </c>
      <c r="AC373" s="507"/>
      <c r="AD373" s="10"/>
    </row>
    <row r="374" spans="1:30" s="9" customFormat="1" ht="12" thickBot="1" x14ac:dyDescent="0.25">
      <c r="A374" s="28"/>
      <c r="B374" s="19"/>
      <c r="C374" s="19"/>
      <c r="D374" s="5"/>
      <c r="E374" s="5"/>
      <c r="F374" s="5" t="s">
        <v>548</v>
      </c>
      <c r="G374" s="5"/>
      <c r="H374" s="20"/>
      <c r="I374" s="21" t="s">
        <v>208</v>
      </c>
      <c r="J374" s="5"/>
      <c r="K374" s="5"/>
      <c r="L374" s="127"/>
      <c r="M374" s="5"/>
      <c r="N374" s="5"/>
      <c r="O374" s="5"/>
      <c r="P374" s="5"/>
      <c r="Q374" s="5"/>
      <c r="R374" s="5"/>
      <c r="S374" s="27" t="s">
        <v>296</v>
      </c>
      <c r="T374" s="27"/>
      <c r="U374" s="27"/>
      <c r="V374" s="5"/>
      <c r="W374" s="5"/>
      <c r="X374" s="5"/>
      <c r="Y374" s="61"/>
      <c r="Z374" s="5"/>
      <c r="AA374" s="5"/>
      <c r="AB374" s="5"/>
      <c r="AC374" s="5"/>
      <c r="AD374" s="10"/>
    </row>
    <row r="375" spans="1:30" s="9" customFormat="1" x14ac:dyDescent="0.2">
      <c r="A375" s="28"/>
      <c r="B375" s="16"/>
      <c r="C375" s="16"/>
      <c r="D375" s="7"/>
      <c r="E375" s="7"/>
      <c r="F375" s="6"/>
      <c r="G375" s="6"/>
      <c r="H375" s="17"/>
      <c r="I375" s="17"/>
      <c r="J375" s="7"/>
      <c r="K375" s="7"/>
      <c r="L375" s="23"/>
      <c r="M375" s="6"/>
      <c r="N375" s="6"/>
      <c r="O375" s="6"/>
      <c r="P375" s="6"/>
      <c r="Q375" s="6"/>
      <c r="R375" s="6"/>
      <c r="S375" s="6"/>
      <c r="T375" s="6"/>
      <c r="U375" s="6"/>
      <c r="V375" s="6"/>
      <c r="W375" s="6"/>
      <c r="X375" s="12"/>
      <c r="Y375" s="57"/>
      <c r="Z375" s="6"/>
      <c r="AA375" s="6"/>
      <c r="AB375" s="6"/>
      <c r="AC375" s="6"/>
      <c r="AD375" s="10"/>
    </row>
    <row r="376" spans="1:30" s="9" customFormat="1" x14ac:dyDescent="0.2">
      <c r="A376" s="28"/>
      <c r="B376" s="16" t="s">
        <v>36</v>
      </c>
      <c r="C376" s="16" t="s">
        <v>133</v>
      </c>
      <c r="D376" s="7" t="s">
        <v>437</v>
      </c>
      <c r="E376" s="7"/>
      <c r="F376" s="6" t="s">
        <v>438</v>
      </c>
      <c r="G376" s="6"/>
      <c r="H376" s="17">
        <v>19078.88</v>
      </c>
      <c r="I376" s="39" t="s">
        <v>52</v>
      </c>
      <c r="J376" s="7">
        <v>36619</v>
      </c>
      <c r="K376" s="7"/>
      <c r="L376" s="23">
        <f>J376+90</f>
        <v>36709</v>
      </c>
      <c r="M376" s="18" t="s">
        <v>135</v>
      </c>
      <c r="N376" s="6" t="s">
        <v>42</v>
      </c>
      <c r="O376" s="6"/>
      <c r="P376" s="6"/>
      <c r="Q376" s="6"/>
      <c r="R376" s="6"/>
      <c r="S376" s="7">
        <v>36678</v>
      </c>
      <c r="T376" s="7">
        <v>36688</v>
      </c>
      <c r="U376" s="7"/>
      <c r="V376" s="6" t="s">
        <v>549</v>
      </c>
      <c r="W376" s="6">
        <v>585</v>
      </c>
      <c r="X376" s="6" t="s">
        <v>47</v>
      </c>
      <c r="Y376" s="59"/>
      <c r="Z376" s="6">
        <v>6638142851</v>
      </c>
      <c r="AA376" s="6"/>
      <c r="AB376" s="6" t="s">
        <v>211</v>
      </c>
      <c r="AC376" s="6"/>
      <c r="AD376" s="10"/>
    </row>
    <row r="377" spans="1:30" s="9" customFormat="1" ht="12" thickBot="1" x14ac:dyDescent="0.25">
      <c r="A377" s="28"/>
      <c r="B377" s="19"/>
      <c r="C377" s="19"/>
      <c r="D377" s="5"/>
      <c r="E377" s="5"/>
      <c r="F377" s="5" t="s">
        <v>550</v>
      </c>
      <c r="G377" s="5"/>
      <c r="H377" s="20"/>
      <c r="I377" s="21" t="s">
        <v>230</v>
      </c>
      <c r="J377" s="5"/>
      <c r="K377" s="5"/>
      <c r="L377" s="127"/>
      <c r="M377" s="5"/>
      <c r="N377" s="5"/>
      <c r="O377" s="5"/>
      <c r="P377" s="5"/>
      <c r="Q377" s="5"/>
      <c r="R377" s="5"/>
      <c r="S377" s="27" t="s">
        <v>296</v>
      </c>
      <c r="T377" s="27"/>
      <c r="U377" s="27"/>
      <c r="V377" s="5"/>
      <c r="W377" s="5"/>
      <c r="X377" s="5"/>
      <c r="Y377" s="61"/>
      <c r="Z377" s="5"/>
      <c r="AA377" s="5"/>
      <c r="AB377" s="5"/>
      <c r="AC377" s="5"/>
      <c r="AD377" s="10"/>
    </row>
    <row r="378" spans="1:30" s="9" customFormat="1" x14ac:dyDescent="0.2">
      <c r="A378" s="28"/>
      <c r="B378" s="16"/>
      <c r="C378" s="16"/>
      <c r="D378" s="7"/>
      <c r="E378" s="7"/>
      <c r="F378" s="6"/>
      <c r="G378" s="6"/>
      <c r="H378" s="17"/>
      <c r="I378" s="17"/>
      <c r="J378" s="7"/>
      <c r="K378" s="7"/>
      <c r="L378" s="23"/>
      <c r="M378" s="6"/>
      <c r="N378" s="6"/>
      <c r="O378" s="6"/>
      <c r="P378" s="6"/>
      <c r="Q378" s="6"/>
      <c r="R378" s="6"/>
      <c r="S378" s="6"/>
      <c r="T378" s="6"/>
      <c r="U378" s="6"/>
      <c r="V378" s="6"/>
      <c r="W378" s="6"/>
      <c r="X378" s="57"/>
      <c r="Y378" s="57"/>
      <c r="Z378" s="6"/>
      <c r="AA378" s="6"/>
      <c r="AB378" s="6"/>
      <c r="AC378" s="6"/>
      <c r="AD378" s="10"/>
    </row>
    <row r="379" spans="1:30" s="9" customFormat="1" x14ac:dyDescent="0.2">
      <c r="A379" s="28"/>
      <c r="B379" s="16" t="s">
        <v>36</v>
      </c>
      <c r="C379" s="16" t="s">
        <v>551</v>
      </c>
      <c r="D379" s="7" t="s">
        <v>552</v>
      </c>
      <c r="E379" s="7"/>
      <c r="F379" s="6" t="s">
        <v>553</v>
      </c>
      <c r="G379" s="6"/>
      <c r="H379" s="17">
        <f>26008.42+602</f>
        <v>26610.42</v>
      </c>
      <c r="I379" s="39"/>
      <c r="J379" s="7">
        <v>36664</v>
      </c>
      <c r="K379" s="7"/>
      <c r="L379" s="23">
        <f>J379+30</f>
        <v>36694</v>
      </c>
      <c r="M379" s="18" t="s">
        <v>41</v>
      </c>
      <c r="N379" s="6" t="s">
        <v>42</v>
      </c>
      <c r="O379" s="6"/>
      <c r="P379" s="6"/>
      <c r="Q379" s="6"/>
      <c r="R379" s="6"/>
      <c r="S379" s="7">
        <v>36686</v>
      </c>
      <c r="T379" s="7">
        <v>36698</v>
      </c>
      <c r="U379" s="7"/>
      <c r="V379" s="6" t="s">
        <v>554</v>
      </c>
      <c r="W379" s="6">
        <v>606</v>
      </c>
      <c r="X379" s="59"/>
      <c r="Y379" s="59"/>
      <c r="Z379" s="6">
        <v>6638142862</v>
      </c>
      <c r="AA379" s="6"/>
      <c r="AB379" s="6"/>
      <c r="AC379" s="511"/>
      <c r="AD379" s="10"/>
    </row>
    <row r="380" spans="1:30" s="9" customFormat="1" ht="12" thickBot="1" x14ac:dyDescent="0.25">
      <c r="A380" s="28"/>
      <c r="B380" s="19"/>
      <c r="C380" s="19"/>
      <c r="D380" s="5"/>
      <c r="E380" s="5"/>
      <c r="F380" s="5"/>
      <c r="G380" s="5"/>
      <c r="H380" s="20"/>
      <c r="I380" s="21"/>
      <c r="J380" s="5"/>
      <c r="K380" s="5"/>
      <c r="L380" s="127"/>
      <c r="M380" s="5"/>
      <c r="N380" s="5"/>
      <c r="O380" s="5"/>
      <c r="P380" s="5"/>
      <c r="Q380" s="5"/>
      <c r="R380" s="5"/>
      <c r="S380" s="136" t="s">
        <v>270</v>
      </c>
      <c r="T380" s="5"/>
      <c r="U380" s="5"/>
      <c r="V380" s="137" t="s">
        <v>555</v>
      </c>
      <c r="W380" s="5"/>
      <c r="X380" s="61"/>
      <c r="Y380" s="61"/>
      <c r="Z380" s="5"/>
      <c r="AA380" s="5"/>
      <c r="AB380" s="5"/>
      <c r="AC380" s="5"/>
      <c r="AD380" s="10"/>
    </row>
    <row r="381" spans="1:30" s="9" customFormat="1" x14ac:dyDescent="0.2">
      <c r="A381" s="28"/>
      <c r="B381" s="11"/>
      <c r="C381" s="11"/>
      <c r="D381" s="91"/>
      <c r="E381" s="91"/>
      <c r="F381" s="12"/>
      <c r="G381" s="12"/>
      <c r="H381" s="13"/>
      <c r="I381" s="13"/>
      <c r="J381" s="91"/>
      <c r="K381" s="91"/>
      <c r="L381" s="134"/>
      <c r="M381" s="12"/>
      <c r="N381" s="12"/>
      <c r="O381" s="12"/>
      <c r="P381" s="12"/>
      <c r="Q381" s="12"/>
      <c r="R381" s="12"/>
      <c r="S381" s="12"/>
      <c r="T381" s="12"/>
      <c r="U381" s="12"/>
      <c r="V381" s="12" t="s">
        <v>556</v>
      </c>
      <c r="W381" s="12"/>
      <c r="X381" s="12"/>
      <c r="Y381" s="57"/>
      <c r="Z381" s="12"/>
      <c r="AA381" s="12"/>
      <c r="AB381" s="12"/>
      <c r="AC381" s="12"/>
      <c r="AD381" s="10"/>
    </row>
    <row r="382" spans="1:30" s="9" customFormat="1" x14ac:dyDescent="0.2">
      <c r="A382" s="28"/>
      <c r="B382" s="16" t="s">
        <v>36</v>
      </c>
      <c r="C382" s="16" t="s">
        <v>133</v>
      </c>
      <c r="D382" s="7" t="s">
        <v>557</v>
      </c>
      <c r="E382" s="7"/>
      <c r="F382" s="6" t="s">
        <v>438</v>
      </c>
      <c r="G382" s="6"/>
      <c r="H382" s="17">
        <v>39213</v>
      </c>
      <c r="I382" s="39" t="s">
        <v>202</v>
      </c>
      <c r="J382" s="7">
        <v>36634</v>
      </c>
      <c r="K382" s="7"/>
      <c r="L382" s="23">
        <v>36726</v>
      </c>
      <c r="M382" s="18" t="s">
        <v>135</v>
      </c>
      <c r="N382" s="6" t="s">
        <v>42</v>
      </c>
      <c r="O382" s="6"/>
      <c r="P382" s="6"/>
      <c r="Q382" s="6"/>
      <c r="R382" s="6"/>
      <c r="S382" s="7">
        <v>36716</v>
      </c>
      <c r="T382" s="7">
        <v>36714</v>
      </c>
      <c r="U382" s="7"/>
      <c r="V382" s="6" t="s">
        <v>558</v>
      </c>
      <c r="W382" s="6">
        <v>615</v>
      </c>
      <c r="X382" s="6" t="s">
        <v>47</v>
      </c>
      <c r="Y382" s="59"/>
      <c r="Z382" s="6">
        <v>6638142965</v>
      </c>
      <c r="AA382" s="6" t="s">
        <v>559</v>
      </c>
      <c r="AB382" s="6" t="s">
        <v>211</v>
      </c>
      <c r="AC382" s="6"/>
      <c r="AD382" s="10"/>
    </row>
    <row r="383" spans="1:30" s="9" customFormat="1" ht="12" thickBot="1" x14ac:dyDescent="0.25">
      <c r="A383" s="28"/>
      <c r="B383" s="19"/>
      <c r="C383" s="19"/>
      <c r="D383" s="5"/>
      <c r="E383" s="5"/>
      <c r="F383" s="5" t="s">
        <v>560</v>
      </c>
      <c r="G383" s="5"/>
      <c r="H383" s="20"/>
      <c r="I383" s="21" t="s">
        <v>138</v>
      </c>
      <c r="J383" s="5"/>
      <c r="K383" s="5"/>
      <c r="L383" s="127"/>
      <c r="M383" s="5"/>
      <c r="N383" s="5"/>
      <c r="O383" s="5"/>
      <c r="P383" s="5"/>
      <c r="Q383" s="5"/>
      <c r="R383" s="5"/>
      <c r="S383" s="136"/>
      <c r="T383" s="5"/>
      <c r="U383" s="5"/>
      <c r="V383" s="137" t="s">
        <v>561</v>
      </c>
      <c r="W383" s="5"/>
      <c r="X383" s="5"/>
      <c r="Y383" s="61"/>
      <c r="Z383" s="5"/>
      <c r="AA383" s="27">
        <v>36752</v>
      </c>
      <c r="AB383" s="27"/>
      <c r="AC383" s="5"/>
      <c r="AD383" s="10"/>
    </row>
    <row r="384" spans="1:30" s="9" customFormat="1" x14ac:dyDescent="0.2">
      <c r="A384" s="28"/>
      <c r="B384" s="16"/>
      <c r="C384" s="16"/>
      <c r="D384" s="7"/>
      <c r="E384" s="7"/>
      <c r="F384" s="6"/>
      <c r="G384" s="6"/>
      <c r="H384" s="17"/>
      <c r="I384" s="17"/>
      <c r="J384" s="7"/>
      <c r="K384" s="7"/>
      <c r="L384" s="23"/>
      <c r="M384" s="6"/>
      <c r="N384" s="6"/>
      <c r="O384" s="6"/>
      <c r="P384" s="6"/>
      <c r="Q384" s="6"/>
      <c r="R384" s="6"/>
      <c r="S384" s="6"/>
      <c r="T384" s="6"/>
      <c r="U384" s="6"/>
      <c r="V384" s="6"/>
      <c r="W384" s="6"/>
      <c r="X384" s="12"/>
      <c r="Y384" s="57"/>
      <c r="Z384" s="6"/>
      <c r="AA384" s="6"/>
      <c r="AB384" s="6"/>
      <c r="AC384" s="6"/>
      <c r="AD384" s="10"/>
    </row>
    <row r="385" spans="1:30" s="9" customFormat="1" x14ac:dyDescent="0.2">
      <c r="A385" s="28"/>
      <c r="B385" s="16" t="s">
        <v>36</v>
      </c>
      <c r="C385" s="16" t="s">
        <v>133</v>
      </c>
      <c r="D385" s="7" t="s">
        <v>557</v>
      </c>
      <c r="E385" s="7"/>
      <c r="F385" s="6" t="s">
        <v>438</v>
      </c>
      <c r="G385" s="6"/>
      <c r="H385" s="17">
        <v>24428</v>
      </c>
      <c r="I385" s="39" t="s">
        <v>52</v>
      </c>
      <c r="J385" s="7">
        <v>36634</v>
      </c>
      <c r="K385" s="7"/>
      <c r="L385" s="23">
        <v>36726</v>
      </c>
      <c r="M385" s="18" t="s">
        <v>135</v>
      </c>
      <c r="N385" s="6" t="s">
        <v>42</v>
      </c>
      <c r="O385" s="6"/>
      <c r="P385" s="6"/>
      <c r="Q385" s="6"/>
      <c r="R385" s="6"/>
      <c r="S385" s="7">
        <v>36716</v>
      </c>
      <c r="T385" s="7">
        <v>36714</v>
      </c>
      <c r="U385" s="7"/>
      <c r="V385" s="6" t="s">
        <v>562</v>
      </c>
      <c r="W385" s="6">
        <v>613</v>
      </c>
      <c r="X385" s="6" t="s">
        <v>47</v>
      </c>
      <c r="Y385" s="59"/>
      <c r="Z385" s="6">
        <v>6638142965</v>
      </c>
      <c r="AA385" s="6" t="s">
        <v>559</v>
      </c>
      <c r="AB385" s="6" t="s">
        <v>211</v>
      </c>
      <c r="AC385" s="6"/>
      <c r="AD385" s="10"/>
    </row>
    <row r="386" spans="1:30" s="9" customFormat="1" ht="12" thickBot="1" x14ac:dyDescent="0.25">
      <c r="A386" s="28"/>
      <c r="B386" s="19"/>
      <c r="C386" s="19"/>
      <c r="D386" s="5"/>
      <c r="E386" s="5"/>
      <c r="F386" s="5" t="s">
        <v>563</v>
      </c>
      <c r="G386" s="5"/>
      <c r="H386" s="20"/>
      <c r="I386" s="21" t="s">
        <v>230</v>
      </c>
      <c r="J386" s="5"/>
      <c r="K386" s="5"/>
      <c r="L386" s="127"/>
      <c r="M386" s="5"/>
      <c r="N386" s="5"/>
      <c r="O386" s="5"/>
      <c r="P386" s="5"/>
      <c r="Q386" s="5"/>
      <c r="R386" s="5"/>
      <c r="S386" s="136"/>
      <c r="T386" s="19"/>
      <c r="U386" s="19"/>
      <c r="V386" s="5"/>
      <c r="W386" s="5"/>
      <c r="X386" s="5"/>
      <c r="Y386" s="61"/>
      <c r="Z386" s="5"/>
      <c r="AA386" s="27">
        <v>36752</v>
      </c>
      <c r="AB386" s="27"/>
      <c r="AC386" s="5"/>
      <c r="AD386" s="10"/>
    </row>
    <row r="387" spans="1:30" ht="12" thickBot="1" x14ac:dyDescent="0.25"/>
    <row r="388" spans="1:30" s="9" customFormat="1" x14ac:dyDescent="0.2">
      <c r="A388" s="28"/>
      <c r="B388" s="11"/>
      <c r="C388" s="11"/>
      <c r="D388" s="91"/>
      <c r="E388" s="91"/>
      <c r="F388" s="12"/>
      <c r="G388" s="12"/>
      <c r="H388" s="13"/>
      <c r="I388" s="13"/>
      <c r="J388" s="91"/>
      <c r="K388" s="91"/>
      <c r="L388" s="134"/>
      <c r="M388" s="12"/>
      <c r="N388" s="12"/>
      <c r="O388" s="12"/>
      <c r="P388" s="12"/>
      <c r="Q388" s="12"/>
      <c r="R388" s="12"/>
      <c r="S388" s="12"/>
      <c r="T388" s="12"/>
      <c r="U388" s="12"/>
      <c r="V388" s="12"/>
      <c r="W388" s="12"/>
      <c r="X388" s="12"/>
      <c r="Y388" s="57"/>
      <c r="Z388" s="12"/>
      <c r="AA388" s="12"/>
      <c r="AB388" s="12"/>
      <c r="AC388" s="12"/>
      <c r="AD388" s="10"/>
    </row>
    <row r="389" spans="1:30" s="9" customFormat="1" x14ac:dyDescent="0.2">
      <c r="A389" s="28"/>
      <c r="B389" s="16" t="s">
        <v>36</v>
      </c>
      <c r="C389" s="16" t="s">
        <v>133</v>
      </c>
      <c r="D389" s="7" t="s">
        <v>557</v>
      </c>
      <c r="E389" s="7"/>
      <c r="F389" s="6" t="s">
        <v>438</v>
      </c>
      <c r="G389" s="6"/>
      <c r="H389" s="17">
        <v>20094</v>
      </c>
      <c r="I389" s="39" t="s">
        <v>142</v>
      </c>
      <c r="J389" s="7">
        <v>36634</v>
      </c>
      <c r="K389" s="7"/>
      <c r="L389" s="23">
        <v>36726</v>
      </c>
      <c r="M389" s="18" t="s">
        <v>135</v>
      </c>
      <c r="N389" s="6" t="s">
        <v>42</v>
      </c>
      <c r="O389" s="6"/>
      <c r="P389" s="6"/>
      <c r="Q389" s="6"/>
      <c r="R389" s="6"/>
      <c r="S389" s="7">
        <v>36716</v>
      </c>
      <c r="T389" s="7">
        <v>36714</v>
      </c>
      <c r="U389" s="7"/>
      <c r="V389" s="6" t="s">
        <v>564</v>
      </c>
      <c r="W389" s="6">
        <v>614</v>
      </c>
      <c r="X389" s="6" t="s">
        <v>47</v>
      </c>
      <c r="Y389" s="59"/>
      <c r="Z389" s="6">
        <v>6638142965</v>
      </c>
      <c r="AA389" s="6" t="s">
        <v>559</v>
      </c>
      <c r="AB389" s="6" t="s">
        <v>211</v>
      </c>
      <c r="AC389" s="6"/>
      <c r="AD389" s="10"/>
    </row>
    <row r="390" spans="1:30" s="9" customFormat="1" ht="12" thickBot="1" x14ac:dyDescent="0.25">
      <c r="A390" s="28"/>
      <c r="B390" s="19"/>
      <c r="C390" s="19"/>
      <c r="D390" s="5"/>
      <c r="E390" s="5"/>
      <c r="F390" s="5" t="s">
        <v>565</v>
      </c>
      <c r="G390" s="5"/>
      <c r="H390" s="20"/>
      <c r="I390" s="21" t="s">
        <v>208</v>
      </c>
      <c r="J390" s="5"/>
      <c r="K390" s="5"/>
      <c r="L390" s="127"/>
      <c r="M390" s="5"/>
      <c r="N390" s="5"/>
      <c r="O390" s="5"/>
      <c r="P390" s="5"/>
      <c r="Q390" s="5"/>
      <c r="R390" s="5"/>
      <c r="S390" s="136"/>
      <c r="T390" s="19"/>
      <c r="U390" s="19"/>
      <c r="V390" s="5"/>
      <c r="W390" s="5"/>
      <c r="X390" s="5"/>
      <c r="Y390" s="61"/>
      <c r="Z390" s="5"/>
      <c r="AA390" s="27">
        <v>36752</v>
      </c>
      <c r="AB390" s="27"/>
      <c r="AC390" s="5"/>
      <c r="AD390" s="10"/>
    </row>
    <row r="391" spans="1:30" s="9" customFormat="1" x14ac:dyDescent="0.2">
      <c r="A391" s="28"/>
      <c r="B391" s="11"/>
      <c r="C391" s="11"/>
      <c r="D391" s="91"/>
      <c r="E391" s="91"/>
      <c r="F391" s="12"/>
      <c r="G391" s="12"/>
      <c r="H391" s="13"/>
      <c r="I391" s="13"/>
      <c r="J391" s="91"/>
      <c r="K391" s="91"/>
      <c r="L391" s="134"/>
      <c r="M391" s="12"/>
      <c r="N391" s="12"/>
      <c r="O391" s="12"/>
      <c r="P391" s="12"/>
      <c r="Q391" s="12"/>
      <c r="R391" s="12"/>
      <c r="S391" s="12"/>
      <c r="T391" s="12"/>
      <c r="U391" s="12"/>
      <c r="V391" s="12"/>
      <c r="W391" s="12"/>
      <c r="X391" s="57"/>
      <c r="Y391" s="12"/>
      <c r="Z391" s="12"/>
      <c r="AA391" s="12"/>
      <c r="AB391" s="12"/>
      <c r="AC391" s="12"/>
      <c r="AD391" s="10"/>
    </row>
    <row r="392" spans="1:30" s="9" customFormat="1" x14ac:dyDescent="0.2">
      <c r="A392" s="28"/>
      <c r="B392" s="16" t="s">
        <v>36</v>
      </c>
      <c r="C392" s="16" t="s">
        <v>157</v>
      </c>
      <c r="D392" s="7" t="s">
        <v>566</v>
      </c>
      <c r="E392" s="7"/>
      <c r="F392" s="6" t="s">
        <v>567</v>
      </c>
      <c r="G392" s="6"/>
      <c r="H392" s="17">
        <v>17555</v>
      </c>
      <c r="I392" s="39" t="s">
        <v>52</v>
      </c>
      <c r="J392" s="7">
        <v>36651</v>
      </c>
      <c r="K392" s="7"/>
      <c r="L392" s="23" t="s">
        <v>406</v>
      </c>
      <c r="M392" s="18" t="s">
        <v>135</v>
      </c>
      <c r="N392" s="6" t="s">
        <v>42</v>
      </c>
      <c r="O392" s="6"/>
      <c r="P392" s="6"/>
      <c r="Q392" s="6"/>
      <c r="R392" s="6"/>
      <c r="S392" s="7">
        <v>36716</v>
      </c>
      <c r="T392" s="7">
        <v>36714</v>
      </c>
      <c r="U392" s="7"/>
      <c r="V392" s="6" t="s">
        <v>568</v>
      </c>
      <c r="W392" s="6">
        <v>616</v>
      </c>
      <c r="X392" s="59"/>
      <c r="Y392" s="138" t="s">
        <v>47</v>
      </c>
      <c r="Z392" s="6">
        <v>6638142965</v>
      </c>
      <c r="AA392" s="6" t="s">
        <v>559</v>
      </c>
      <c r="AB392" s="6" t="s">
        <v>211</v>
      </c>
      <c r="AC392" s="507"/>
      <c r="AD392" s="10"/>
    </row>
    <row r="393" spans="1:30" s="9" customFormat="1" ht="12" thickBot="1" x14ac:dyDescent="0.25">
      <c r="A393" s="28"/>
      <c r="B393" s="19"/>
      <c r="C393" s="19"/>
      <c r="D393" s="5"/>
      <c r="E393" s="5"/>
      <c r="F393" s="527" t="s">
        <v>569</v>
      </c>
      <c r="G393" s="527"/>
      <c r="H393" s="20"/>
      <c r="I393" s="21"/>
      <c r="J393" s="5"/>
      <c r="K393" s="5"/>
      <c r="L393" s="127" t="s">
        <v>570</v>
      </c>
      <c r="M393" s="5"/>
      <c r="N393" s="5"/>
      <c r="O393" s="5"/>
      <c r="P393" s="5"/>
      <c r="Q393" s="5"/>
      <c r="R393" s="5"/>
      <c r="S393" s="136"/>
      <c r="T393" s="19"/>
      <c r="U393" s="19"/>
      <c r="V393" s="139" t="s">
        <v>571</v>
      </c>
      <c r="W393" s="5"/>
      <c r="X393" s="61"/>
      <c r="Y393" s="5"/>
      <c r="Z393" s="5"/>
      <c r="AA393" s="27">
        <v>36752</v>
      </c>
      <c r="AB393" s="27"/>
      <c r="AC393" s="5"/>
      <c r="AD393" s="10"/>
    </row>
    <row r="394" spans="1:30" s="9" customFormat="1" x14ac:dyDescent="0.2">
      <c r="A394" s="28"/>
      <c r="B394" s="11"/>
      <c r="C394" s="11"/>
      <c r="D394" s="91"/>
      <c r="E394" s="91"/>
      <c r="F394" s="12"/>
      <c r="G394" s="12"/>
      <c r="H394" s="13"/>
      <c r="I394" s="13"/>
      <c r="J394" s="91"/>
      <c r="K394" s="91"/>
      <c r="L394" s="134"/>
      <c r="M394" s="12"/>
      <c r="N394" s="12"/>
      <c r="O394" s="12"/>
      <c r="P394" s="12"/>
      <c r="Q394" s="12"/>
      <c r="R394" s="12"/>
      <c r="S394" s="12"/>
      <c r="T394" s="12"/>
      <c r="U394" s="12"/>
      <c r="V394" s="12"/>
      <c r="W394" s="12"/>
      <c r="X394" s="12"/>
      <c r="Y394" s="57"/>
      <c r="Z394" s="12"/>
      <c r="AA394" s="12"/>
      <c r="AB394" s="12"/>
      <c r="AC394" s="12"/>
      <c r="AD394" s="10"/>
    </row>
    <row r="395" spans="1:30" s="9" customFormat="1" x14ac:dyDescent="0.2">
      <c r="A395" s="28"/>
      <c r="B395" s="16" t="s">
        <v>36</v>
      </c>
      <c r="C395" s="16" t="s">
        <v>133</v>
      </c>
      <c r="D395" s="7" t="s">
        <v>557</v>
      </c>
      <c r="E395" s="7"/>
      <c r="F395" s="6" t="s">
        <v>438</v>
      </c>
      <c r="G395" s="6"/>
      <c r="H395" s="17">
        <v>5913</v>
      </c>
      <c r="I395" s="39" t="s">
        <v>202</v>
      </c>
      <c r="J395" s="7">
        <v>36663</v>
      </c>
      <c r="K395" s="7"/>
      <c r="L395" s="23">
        <f>J395+90</f>
        <v>36753</v>
      </c>
      <c r="M395" s="18" t="s">
        <v>135</v>
      </c>
      <c r="N395" s="6" t="s">
        <v>42</v>
      </c>
      <c r="O395" s="6"/>
      <c r="P395" s="6"/>
      <c r="Q395" s="6"/>
      <c r="R395" s="6"/>
      <c r="S395" s="7">
        <v>36763</v>
      </c>
      <c r="T395" s="7">
        <v>36771</v>
      </c>
      <c r="U395" s="7"/>
      <c r="V395" s="6" t="s">
        <v>572</v>
      </c>
      <c r="W395" s="6">
        <v>629</v>
      </c>
      <c r="X395" s="6" t="s">
        <v>211</v>
      </c>
      <c r="Y395" s="59"/>
      <c r="Z395" s="6">
        <v>6638142921</v>
      </c>
      <c r="AA395" s="6"/>
      <c r="AB395" s="6" t="s">
        <v>211</v>
      </c>
      <c r="AC395" s="507"/>
      <c r="AD395" s="10"/>
    </row>
    <row r="396" spans="1:30" s="9" customFormat="1" ht="12" thickBot="1" x14ac:dyDescent="0.25">
      <c r="A396" s="28"/>
      <c r="B396" s="19"/>
      <c r="C396" s="19"/>
      <c r="D396" s="5"/>
      <c r="E396" s="5"/>
      <c r="F396" s="5" t="s">
        <v>573</v>
      </c>
      <c r="G396" s="5"/>
      <c r="H396" s="20"/>
      <c r="I396" s="21" t="s">
        <v>138</v>
      </c>
      <c r="J396" s="5"/>
      <c r="K396" s="5"/>
      <c r="L396" s="127"/>
      <c r="M396" s="5"/>
      <c r="N396" s="5"/>
      <c r="O396" s="5"/>
      <c r="P396" s="5"/>
      <c r="Q396" s="5"/>
      <c r="R396" s="5"/>
      <c r="S396" s="136" t="s">
        <v>296</v>
      </c>
      <c r="T396" s="19"/>
      <c r="U396" s="19"/>
      <c r="V396" s="137" t="s">
        <v>574</v>
      </c>
      <c r="W396" s="5"/>
      <c r="X396" s="5"/>
      <c r="Y396" s="61"/>
      <c r="Z396" s="5"/>
      <c r="AA396" s="5"/>
      <c r="AB396" s="5"/>
      <c r="AC396" s="5"/>
      <c r="AD396" s="10"/>
    </row>
    <row r="397" spans="1:30" s="9" customFormat="1" x14ac:dyDescent="0.2">
      <c r="A397" s="28"/>
      <c r="B397" s="16"/>
      <c r="C397" s="16"/>
      <c r="D397" s="7"/>
      <c r="E397" s="7"/>
      <c r="F397" s="6"/>
      <c r="G397" s="6"/>
      <c r="H397" s="17"/>
      <c r="I397" s="17"/>
      <c r="J397" s="7"/>
      <c r="K397" s="7"/>
      <c r="L397" s="23"/>
      <c r="M397" s="6"/>
      <c r="N397" s="6"/>
      <c r="O397" s="6"/>
      <c r="P397" s="6"/>
      <c r="Q397" s="6"/>
      <c r="R397" s="6"/>
      <c r="S397" s="6"/>
      <c r="T397" s="6"/>
      <c r="U397" s="6"/>
      <c r="V397" s="6"/>
      <c r="W397" s="6"/>
      <c r="X397" s="12"/>
      <c r="Y397" s="57"/>
      <c r="Z397" s="6"/>
      <c r="AA397" s="6"/>
      <c r="AB397" s="6"/>
      <c r="AC397" s="6"/>
      <c r="AD397" s="10"/>
    </row>
    <row r="398" spans="1:30" s="9" customFormat="1" x14ac:dyDescent="0.2">
      <c r="A398" s="28"/>
      <c r="B398" s="16" t="s">
        <v>36</v>
      </c>
      <c r="C398" s="16" t="s">
        <v>133</v>
      </c>
      <c r="D398" s="7" t="s">
        <v>557</v>
      </c>
      <c r="E398" s="7"/>
      <c r="F398" s="6" t="s">
        <v>438</v>
      </c>
      <c r="G398" s="6"/>
      <c r="H398" s="17">
        <v>19795.41</v>
      </c>
      <c r="I398" s="39" t="s">
        <v>142</v>
      </c>
      <c r="J398" s="7">
        <v>36663</v>
      </c>
      <c r="K398" s="7"/>
      <c r="L398" s="23">
        <f>J398+90</f>
        <v>36753</v>
      </c>
      <c r="M398" s="18" t="s">
        <v>135</v>
      </c>
      <c r="N398" s="6" t="s">
        <v>42</v>
      </c>
      <c r="O398" s="6"/>
      <c r="P398" s="6"/>
      <c r="Q398" s="6"/>
      <c r="R398" s="6"/>
      <c r="S398" s="7">
        <v>36763</v>
      </c>
      <c r="T398" s="7">
        <v>36771</v>
      </c>
      <c r="U398" s="7"/>
      <c r="V398" s="6" t="s">
        <v>575</v>
      </c>
      <c r="W398" s="6">
        <v>632</v>
      </c>
      <c r="X398" s="6" t="s">
        <v>211</v>
      </c>
      <c r="Y398" s="59"/>
      <c r="Z398" s="6">
        <v>6638142921</v>
      </c>
      <c r="AA398" s="6"/>
      <c r="AB398" s="6" t="s">
        <v>211</v>
      </c>
      <c r="AC398" s="507"/>
      <c r="AD398" s="10"/>
    </row>
    <row r="399" spans="1:30" s="9" customFormat="1" ht="12" thickBot="1" x14ac:dyDescent="0.25">
      <c r="A399" s="28"/>
      <c r="B399" s="19"/>
      <c r="C399" s="19"/>
      <c r="D399" s="5"/>
      <c r="E399" s="5"/>
      <c r="F399" s="5" t="s">
        <v>576</v>
      </c>
      <c r="G399" s="5"/>
      <c r="H399" s="20"/>
      <c r="I399" s="21" t="s">
        <v>208</v>
      </c>
      <c r="J399" s="5"/>
      <c r="K399" s="5"/>
      <c r="L399" s="127"/>
      <c r="M399" s="5"/>
      <c r="N399" s="5"/>
      <c r="O399" s="5"/>
      <c r="P399" s="5"/>
      <c r="Q399" s="5"/>
      <c r="R399" s="5"/>
      <c r="S399" s="136" t="s">
        <v>296</v>
      </c>
      <c r="T399" s="19"/>
      <c r="U399" s="19"/>
      <c r="V399" s="5"/>
      <c r="W399" s="5"/>
      <c r="X399" s="5"/>
      <c r="Y399" s="61"/>
      <c r="Z399" s="5"/>
      <c r="AA399" s="5"/>
      <c r="AB399" s="5"/>
      <c r="AC399" s="5"/>
      <c r="AD399" s="10"/>
    </row>
    <row r="400" spans="1:30" s="9" customFormat="1" x14ac:dyDescent="0.2">
      <c r="A400" s="28"/>
      <c r="B400" s="16"/>
      <c r="C400" s="16"/>
      <c r="D400" s="7"/>
      <c r="E400" s="7"/>
      <c r="F400" s="6"/>
      <c r="G400" s="6"/>
      <c r="H400" s="17"/>
      <c r="I400" s="17"/>
      <c r="J400" s="7"/>
      <c r="K400" s="7"/>
      <c r="L400" s="23"/>
      <c r="M400" s="6"/>
      <c r="N400" s="6"/>
      <c r="O400" s="6"/>
      <c r="P400" s="6"/>
      <c r="Q400" s="6"/>
      <c r="R400" s="6"/>
      <c r="S400" s="6"/>
      <c r="T400" s="6"/>
      <c r="U400" s="6"/>
      <c r="V400" s="6"/>
      <c r="W400" s="6"/>
      <c r="X400" s="12"/>
      <c r="Y400" s="57"/>
      <c r="Z400" s="6"/>
      <c r="AA400" s="6"/>
      <c r="AB400" s="6"/>
      <c r="AC400" s="6"/>
      <c r="AD400" s="10"/>
    </row>
    <row r="401" spans="1:30" s="9" customFormat="1" x14ac:dyDescent="0.2">
      <c r="A401" s="28"/>
      <c r="B401" s="16" t="s">
        <v>36</v>
      </c>
      <c r="C401" s="16" t="s">
        <v>133</v>
      </c>
      <c r="D401" s="7" t="s">
        <v>557</v>
      </c>
      <c r="E401" s="7"/>
      <c r="F401" s="6" t="s">
        <v>438</v>
      </c>
      <c r="G401" s="6"/>
      <c r="H401" s="17">
        <v>3677.74</v>
      </c>
      <c r="I401" s="39" t="s">
        <v>52</v>
      </c>
      <c r="J401" s="7">
        <v>36663</v>
      </c>
      <c r="K401" s="7"/>
      <c r="L401" s="23">
        <v>36753</v>
      </c>
      <c r="M401" s="18" t="s">
        <v>135</v>
      </c>
      <c r="N401" s="6" t="s">
        <v>42</v>
      </c>
      <c r="O401" s="6"/>
      <c r="P401" s="6"/>
      <c r="Q401" s="6"/>
      <c r="R401" s="6"/>
      <c r="S401" s="7">
        <v>36763</v>
      </c>
      <c r="T401" s="7">
        <v>36771</v>
      </c>
      <c r="U401" s="7"/>
      <c r="V401" s="6" t="s">
        <v>577</v>
      </c>
      <c r="W401" s="6">
        <v>633</v>
      </c>
      <c r="X401" s="6" t="s">
        <v>211</v>
      </c>
      <c r="Y401" s="59"/>
      <c r="Z401" s="6">
        <v>6638142921</v>
      </c>
      <c r="AA401" s="6"/>
      <c r="AB401" s="6" t="s">
        <v>211</v>
      </c>
      <c r="AC401" s="507"/>
      <c r="AD401" s="10"/>
    </row>
    <row r="402" spans="1:30" s="9" customFormat="1" ht="12" thickBot="1" x14ac:dyDescent="0.25">
      <c r="A402" s="28"/>
      <c r="B402" s="19"/>
      <c r="C402" s="19"/>
      <c r="D402" s="5"/>
      <c r="E402" s="5"/>
      <c r="F402" s="5" t="s">
        <v>578</v>
      </c>
      <c r="G402" s="5"/>
      <c r="H402" s="20"/>
      <c r="I402" s="21" t="s">
        <v>230</v>
      </c>
      <c r="J402" s="5"/>
      <c r="K402" s="5"/>
      <c r="L402" s="127"/>
      <c r="M402" s="5"/>
      <c r="N402" s="5"/>
      <c r="O402" s="5"/>
      <c r="P402" s="5"/>
      <c r="Q402" s="5"/>
      <c r="R402" s="5"/>
      <c r="S402" s="136" t="s">
        <v>296</v>
      </c>
      <c r="T402" s="19"/>
      <c r="U402" s="19"/>
      <c r="V402" s="137"/>
      <c r="W402" s="5"/>
      <c r="X402" s="5"/>
      <c r="Y402" s="61"/>
      <c r="Z402" s="5"/>
      <c r="AA402" s="5"/>
      <c r="AB402" s="5"/>
      <c r="AC402" s="5"/>
      <c r="AD402" s="10"/>
    </row>
    <row r="403" spans="1:30" s="9" customFormat="1" x14ac:dyDescent="0.2">
      <c r="A403" s="28"/>
      <c r="B403" s="16"/>
      <c r="C403" s="16"/>
      <c r="D403" s="7"/>
      <c r="E403" s="7"/>
      <c r="F403" s="6"/>
      <c r="G403" s="6"/>
      <c r="H403" s="17"/>
      <c r="I403" s="17"/>
      <c r="J403" s="7"/>
      <c r="K403" s="7"/>
      <c r="L403" s="23"/>
      <c r="M403" s="6"/>
      <c r="N403" s="6"/>
      <c r="O403" s="6"/>
      <c r="P403" s="6"/>
      <c r="Q403" s="6"/>
      <c r="R403" s="6"/>
      <c r="S403" s="6"/>
      <c r="T403" s="6"/>
      <c r="U403" s="6"/>
      <c r="V403" s="6"/>
      <c r="W403" s="6"/>
      <c r="X403" s="12"/>
      <c r="Y403" s="57"/>
      <c r="Z403" s="6"/>
      <c r="AA403" s="6"/>
      <c r="AB403" s="6"/>
      <c r="AC403" s="6"/>
      <c r="AD403" s="10"/>
    </row>
    <row r="404" spans="1:30" s="9" customFormat="1" x14ac:dyDescent="0.2">
      <c r="A404" s="28"/>
      <c r="B404" s="16" t="s">
        <v>36</v>
      </c>
      <c r="C404" s="16" t="s">
        <v>133</v>
      </c>
      <c r="D404" s="7" t="s">
        <v>557</v>
      </c>
      <c r="E404" s="7"/>
      <c r="F404" s="6" t="s">
        <v>438</v>
      </c>
      <c r="G404" s="6"/>
      <c r="H404" s="17">
        <v>29429.68</v>
      </c>
      <c r="I404" s="39" t="s">
        <v>40</v>
      </c>
      <c r="J404" s="7">
        <v>36683</v>
      </c>
      <c r="K404" s="7"/>
      <c r="L404" s="23">
        <f>J404+90</f>
        <v>36773</v>
      </c>
      <c r="M404" s="18" t="s">
        <v>135</v>
      </c>
      <c r="N404" s="6" t="s">
        <v>42</v>
      </c>
      <c r="O404" s="6"/>
      <c r="P404" s="6"/>
      <c r="Q404" s="6"/>
      <c r="R404" s="6"/>
      <c r="S404" s="7">
        <v>36763</v>
      </c>
      <c r="T404" s="7">
        <v>36771</v>
      </c>
      <c r="U404" s="7"/>
      <c r="V404" s="6" t="s">
        <v>579</v>
      </c>
      <c r="W404" s="6">
        <v>634</v>
      </c>
      <c r="X404" s="6" t="s">
        <v>211</v>
      </c>
      <c r="Y404" s="59"/>
      <c r="Z404" s="6">
        <v>6638142921</v>
      </c>
      <c r="AA404" s="6"/>
      <c r="AB404" s="6" t="s">
        <v>211</v>
      </c>
      <c r="AC404" s="507"/>
      <c r="AD404" s="10"/>
    </row>
    <row r="405" spans="1:30" s="9" customFormat="1" ht="12" thickBot="1" x14ac:dyDescent="0.25">
      <c r="A405" s="28"/>
      <c r="B405" s="19"/>
      <c r="C405" s="19"/>
      <c r="D405" s="5"/>
      <c r="E405" s="5"/>
      <c r="F405" s="5" t="s">
        <v>580</v>
      </c>
      <c r="G405" s="5"/>
      <c r="H405" s="20"/>
      <c r="I405" s="21" t="s">
        <v>446</v>
      </c>
      <c r="J405" s="5"/>
      <c r="K405" s="5"/>
      <c r="L405" s="127"/>
      <c r="M405" s="5"/>
      <c r="N405" s="5"/>
      <c r="O405" s="5"/>
      <c r="P405" s="5"/>
      <c r="Q405" s="5"/>
      <c r="R405" s="5"/>
      <c r="S405" s="136" t="s">
        <v>296</v>
      </c>
      <c r="T405" s="19"/>
      <c r="U405" s="19"/>
      <c r="V405" s="137"/>
      <c r="W405" s="5"/>
      <c r="X405" s="5"/>
      <c r="Y405" s="61"/>
      <c r="Z405" s="5"/>
      <c r="AA405" s="5"/>
      <c r="AB405" s="5"/>
      <c r="AC405" s="5"/>
      <c r="AD405" s="10"/>
    </row>
    <row r="406" spans="1:30" s="9" customFormat="1" x14ac:dyDescent="0.2">
      <c r="A406" s="28"/>
      <c r="B406" s="16"/>
      <c r="C406" s="16"/>
      <c r="D406" s="7"/>
      <c r="E406" s="7"/>
      <c r="F406" s="6"/>
      <c r="G406" s="6"/>
      <c r="H406" s="17"/>
      <c r="I406" s="17"/>
      <c r="J406" s="7"/>
      <c r="K406" s="7"/>
      <c r="L406" s="23"/>
      <c r="M406" s="6"/>
      <c r="N406" s="6"/>
      <c r="O406" s="6"/>
      <c r="P406" s="6"/>
      <c r="Q406" s="6"/>
      <c r="R406" s="6"/>
      <c r="S406" s="6"/>
      <c r="T406" s="6"/>
      <c r="U406" s="6"/>
      <c r="V406" s="6" t="s">
        <v>581</v>
      </c>
      <c r="W406" s="6"/>
      <c r="X406" s="12"/>
      <c r="Y406" s="57"/>
      <c r="Z406" s="6"/>
      <c r="AA406" s="6"/>
      <c r="AB406" s="6"/>
      <c r="AC406" s="6"/>
      <c r="AD406" s="10"/>
    </row>
    <row r="407" spans="1:30" s="9" customFormat="1" x14ac:dyDescent="0.2">
      <c r="A407" s="28"/>
      <c r="B407" s="16" t="s">
        <v>36</v>
      </c>
      <c r="C407" s="16" t="s">
        <v>133</v>
      </c>
      <c r="D407" s="7" t="s">
        <v>557</v>
      </c>
      <c r="E407" s="7"/>
      <c r="F407" s="6" t="s">
        <v>438</v>
      </c>
      <c r="G407" s="6"/>
      <c r="H407" s="17">
        <v>9737</v>
      </c>
      <c r="I407" s="39" t="s">
        <v>202</v>
      </c>
      <c r="J407" s="7">
        <v>36691</v>
      </c>
      <c r="K407" s="7"/>
      <c r="L407" s="23">
        <f>J407+90</f>
        <v>36781</v>
      </c>
      <c r="M407" s="18" t="s">
        <v>135</v>
      </c>
      <c r="N407" s="6" t="s">
        <v>42</v>
      </c>
      <c r="O407" s="6"/>
      <c r="P407" s="6"/>
      <c r="Q407" s="6"/>
      <c r="R407" s="6"/>
      <c r="S407" s="7">
        <v>36763</v>
      </c>
      <c r="T407" s="7">
        <v>36771</v>
      </c>
      <c r="U407" s="7"/>
      <c r="V407" s="6" t="s">
        <v>582</v>
      </c>
      <c r="W407" s="6">
        <v>631</v>
      </c>
      <c r="X407" s="6" t="s">
        <v>211</v>
      </c>
      <c r="Y407" s="59"/>
      <c r="Z407" s="6">
        <v>6638142921</v>
      </c>
      <c r="AA407" s="6"/>
      <c r="AB407" s="6"/>
      <c r="AC407" s="511"/>
      <c r="AD407" s="10"/>
    </row>
    <row r="408" spans="1:30" s="9" customFormat="1" ht="12" thickBot="1" x14ac:dyDescent="0.25">
      <c r="A408" s="28"/>
      <c r="B408" s="19"/>
      <c r="C408" s="19"/>
      <c r="D408" s="5"/>
      <c r="E408" s="5"/>
      <c r="F408" s="5" t="s">
        <v>583</v>
      </c>
      <c r="G408" s="5"/>
      <c r="H408" s="20"/>
      <c r="I408" s="21" t="s">
        <v>138</v>
      </c>
      <c r="J408" s="5"/>
      <c r="K408" s="5"/>
      <c r="L408" s="127"/>
      <c r="M408" s="5"/>
      <c r="N408" s="5"/>
      <c r="O408" s="5"/>
      <c r="P408" s="5"/>
      <c r="Q408" s="5"/>
      <c r="R408" s="5"/>
      <c r="S408" s="136" t="s">
        <v>296</v>
      </c>
      <c r="T408" s="19"/>
      <c r="U408" s="19"/>
      <c r="V408" s="137" t="s">
        <v>584</v>
      </c>
      <c r="W408" s="5"/>
      <c r="X408" s="5"/>
      <c r="Y408" s="61"/>
      <c r="Z408" s="5"/>
      <c r="AA408" s="5"/>
      <c r="AB408" s="5"/>
      <c r="AC408" s="5"/>
      <c r="AD408" s="10"/>
    </row>
    <row r="409" spans="1:30" s="9" customFormat="1" x14ac:dyDescent="0.2">
      <c r="A409" s="28"/>
      <c r="B409" s="16"/>
      <c r="C409" s="16"/>
      <c r="D409" s="7"/>
      <c r="E409" s="7"/>
      <c r="F409" s="6"/>
      <c r="G409" s="6"/>
      <c r="H409" s="17"/>
      <c r="I409" s="17"/>
      <c r="J409" s="7"/>
      <c r="K409" s="7"/>
      <c r="L409" s="23"/>
      <c r="M409" s="6"/>
      <c r="N409" s="6"/>
      <c r="O409" s="6"/>
      <c r="P409" s="6"/>
      <c r="Q409" s="6"/>
      <c r="R409" s="6"/>
      <c r="S409" s="528" t="s">
        <v>585</v>
      </c>
      <c r="T409" s="6"/>
      <c r="U409" s="6"/>
      <c r="V409" s="6"/>
      <c r="W409" s="6"/>
      <c r="X409" s="57"/>
      <c r="Y409" s="57"/>
      <c r="Z409" s="6"/>
      <c r="AA409" s="6"/>
      <c r="AB409" s="6"/>
      <c r="AC409" s="6"/>
      <c r="AD409" s="10"/>
    </row>
    <row r="410" spans="1:30" s="9" customFormat="1" x14ac:dyDescent="0.2">
      <c r="A410" s="28"/>
      <c r="B410" s="16" t="s">
        <v>36</v>
      </c>
      <c r="C410" s="16" t="s">
        <v>157</v>
      </c>
      <c r="D410" s="7" t="s">
        <v>586</v>
      </c>
      <c r="E410" s="7"/>
      <c r="F410" s="6" t="s">
        <v>587</v>
      </c>
      <c r="G410" s="6"/>
      <c r="H410" s="17">
        <v>2020</v>
      </c>
      <c r="I410" s="39"/>
      <c r="J410" s="7">
        <v>36707</v>
      </c>
      <c r="K410" s="7"/>
      <c r="L410" s="23" t="s">
        <v>470</v>
      </c>
      <c r="M410" s="18" t="s">
        <v>135</v>
      </c>
      <c r="N410" s="6" t="s">
        <v>42</v>
      </c>
      <c r="O410" s="6"/>
      <c r="P410" s="6"/>
      <c r="Q410" s="6"/>
      <c r="R410" s="6"/>
      <c r="S410" s="529" t="s">
        <v>588</v>
      </c>
      <c r="T410" s="7">
        <v>36771</v>
      </c>
      <c r="U410" s="7"/>
      <c r="V410" s="135" t="s">
        <v>534</v>
      </c>
      <c r="W410" s="6">
        <v>625</v>
      </c>
      <c r="X410" s="59"/>
      <c r="Y410" s="59"/>
      <c r="Z410" s="6">
        <v>6638142921</v>
      </c>
      <c r="AA410" s="6"/>
      <c r="AB410" s="6"/>
      <c r="AC410" s="511"/>
      <c r="AD410" s="10"/>
    </row>
    <row r="411" spans="1:30" s="9" customFormat="1" ht="12" thickBot="1" x14ac:dyDescent="0.25">
      <c r="A411" s="28"/>
      <c r="B411" s="19"/>
      <c r="C411" s="19"/>
      <c r="D411" s="5"/>
      <c r="E411" s="5"/>
      <c r="F411" s="22" t="s">
        <v>534</v>
      </c>
      <c r="G411" s="22"/>
      <c r="H411" s="105" t="s">
        <v>429</v>
      </c>
      <c r="I411" s="21"/>
      <c r="J411" s="5"/>
      <c r="K411" s="5"/>
      <c r="L411" s="127"/>
      <c r="M411" s="5"/>
      <c r="N411" s="5"/>
      <c r="O411" s="5"/>
      <c r="P411" s="5"/>
      <c r="Q411" s="5"/>
      <c r="R411" s="5"/>
      <c r="S411" s="136">
        <v>36763</v>
      </c>
      <c r="T411" s="19"/>
      <c r="U411" s="19"/>
      <c r="V411" s="137" t="s">
        <v>535</v>
      </c>
      <c r="W411" s="5"/>
      <c r="X411" s="61"/>
      <c r="Y411" s="61"/>
      <c r="Z411" s="5"/>
      <c r="AA411" s="5"/>
      <c r="AB411" s="5"/>
      <c r="AC411" s="5"/>
      <c r="AD411" s="10"/>
    </row>
    <row r="412" spans="1:30" s="9" customFormat="1" x14ac:dyDescent="0.2">
      <c r="A412" s="28"/>
      <c r="B412" s="16"/>
      <c r="C412" s="16"/>
      <c r="D412" s="7"/>
      <c r="E412" s="7"/>
      <c r="F412" s="6"/>
      <c r="G412" s="6"/>
      <c r="H412" s="17"/>
      <c r="I412" s="17"/>
      <c r="J412" s="7"/>
      <c r="K412" s="7"/>
      <c r="L412" s="23"/>
      <c r="M412" s="6"/>
      <c r="N412" s="6"/>
      <c r="O412" s="6"/>
      <c r="P412" s="6"/>
      <c r="Q412" s="6"/>
      <c r="R412" s="6"/>
      <c r="S412" s="528" t="s">
        <v>585</v>
      </c>
      <c r="T412" s="6"/>
      <c r="U412" s="6"/>
      <c r="V412" s="6"/>
      <c r="W412" s="6"/>
      <c r="X412" s="57"/>
      <c r="Y412" s="57"/>
      <c r="Z412" s="6"/>
      <c r="AA412" s="6"/>
      <c r="AB412" s="6"/>
      <c r="AC412" s="6"/>
      <c r="AD412" s="10"/>
    </row>
    <row r="413" spans="1:30" s="9" customFormat="1" x14ac:dyDescent="0.2">
      <c r="A413" s="28"/>
      <c r="B413" s="16" t="s">
        <v>36</v>
      </c>
      <c r="C413" s="16" t="s">
        <v>157</v>
      </c>
      <c r="D413" s="7" t="s">
        <v>589</v>
      </c>
      <c r="E413" s="7"/>
      <c r="F413" s="6" t="s">
        <v>590</v>
      </c>
      <c r="G413" s="6"/>
      <c r="H413" s="17">
        <v>4196</v>
      </c>
      <c r="I413" s="39" t="s">
        <v>52</v>
      </c>
      <c r="J413" s="7">
        <v>36713</v>
      </c>
      <c r="K413" s="7"/>
      <c r="L413" s="23" t="s">
        <v>470</v>
      </c>
      <c r="M413" s="18" t="s">
        <v>135</v>
      </c>
      <c r="N413" s="6" t="s">
        <v>42</v>
      </c>
      <c r="O413" s="6"/>
      <c r="P413" s="6"/>
      <c r="Q413" s="6"/>
      <c r="R413" s="6"/>
      <c r="S413" s="529" t="s">
        <v>588</v>
      </c>
      <c r="T413" s="7">
        <v>36771</v>
      </c>
      <c r="U413" s="7"/>
      <c r="V413" s="6" t="s">
        <v>591</v>
      </c>
      <c r="W413" s="6">
        <v>625</v>
      </c>
      <c r="X413" s="59"/>
      <c r="Y413" s="59"/>
      <c r="Z413" s="6">
        <v>6638142921</v>
      </c>
      <c r="AA413" s="6" t="s">
        <v>195</v>
      </c>
      <c r="AB413" s="6"/>
      <c r="AC413" s="511"/>
      <c r="AD413" s="10"/>
    </row>
    <row r="414" spans="1:30" s="9" customFormat="1" ht="12" thickBot="1" x14ac:dyDescent="0.25">
      <c r="A414" s="28"/>
      <c r="B414" s="19"/>
      <c r="C414" s="19"/>
      <c r="D414" s="5"/>
      <c r="E414" s="5"/>
      <c r="F414" s="5"/>
      <c r="G414" s="5"/>
      <c r="H414" s="20"/>
      <c r="I414" s="21"/>
      <c r="J414" s="5"/>
      <c r="K414" s="5"/>
      <c r="L414" s="127"/>
      <c r="M414" s="5"/>
      <c r="N414" s="5"/>
      <c r="O414" s="5"/>
      <c r="P414" s="5"/>
      <c r="Q414" s="5"/>
      <c r="R414" s="5"/>
      <c r="S414" s="136">
        <v>36763</v>
      </c>
      <c r="T414" s="19"/>
      <c r="U414" s="19"/>
      <c r="V414" s="137"/>
      <c r="W414" s="5"/>
      <c r="X414" s="61"/>
      <c r="Y414" s="61"/>
      <c r="Z414" s="5"/>
      <c r="AA414" s="5"/>
      <c r="AB414" s="5"/>
      <c r="AC414" s="5"/>
      <c r="AD414" s="10"/>
    </row>
    <row r="415" spans="1:30" s="9" customFormat="1" x14ac:dyDescent="0.2">
      <c r="A415" s="28"/>
      <c r="B415" s="16"/>
      <c r="C415" s="16"/>
      <c r="D415" s="7"/>
      <c r="E415" s="7"/>
      <c r="F415" s="6"/>
      <c r="G415" s="6"/>
      <c r="H415" s="17"/>
      <c r="I415" s="17"/>
      <c r="J415" s="7"/>
      <c r="K415" s="7"/>
      <c r="L415" s="23"/>
      <c r="M415" s="6"/>
      <c r="N415" s="6"/>
      <c r="O415" s="6"/>
      <c r="P415" s="6"/>
      <c r="Q415" s="6"/>
      <c r="R415" s="6"/>
      <c r="S415" s="528" t="s">
        <v>585</v>
      </c>
      <c r="T415" s="6"/>
      <c r="U415" s="6"/>
      <c r="V415" s="6"/>
      <c r="W415" s="6"/>
      <c r="X415" s="57"/>
      <c r="Y415" s="57"/>
      <c r="Z415" s="6"/>
      <c r="AA415" s="6"/>
      <c r="AB415" s="6"/>
      <c r="AC415" s="6"/>
      <c r="AD415" s="10"/>
    </row>
    <row r="416" spans="1:30" s="9" customFormat="1" x14ac:dyDescent="0.2">
      <c r="A416" s="28"/>
      <c r="B416" s="16" t="s">
        <v>36</v>
      </c>
      <c r="C416" s="16" t="s">
        <v>157</v>
      </c>
      <c r="D416" s="7" t="s">
        <v>592</v>
      </c>
      <c r="E416" s="7"/>
      <c r="F416" s="6" t="s">
        <v>593</v>
      </c>
      <c r="G416" s="6"/>
      <c r="H416" s="17">
        <f>130*5.2</f>
        <v>676</v>
      </c>
      <c r="I416" s="39" t="s">
        <v>52</v>
      </c>
      <c r="J416" s="7">
        <v>36728</v>
      </c>
      <c r="K416" s="7"/>
      <c r="L416" s="23">
        <f>+J416+60</f>
        <v>36788</v>
      </c>
      <c r="M416" s="18" t="s">
        <v>135</v>
      </c>
      <c r="N416" s="6" t="s">
        <v>42</v>
      </c>
      <c r="O416" s="6"/>
      <c r="P416" s="6"/>
      <c r="Q416" s="6"/>
      <c r="R416" s="6"/>
      <c r="S416" s="529" t="s">
        <v>588</v>
      </c>
      <c r="T416" s="7">
        <v>36771</v>
      </c>
      <c r="U416" s="7"/>
      <c r="V416" s="6" t="s">
        <v>594</v>
      </c>
      <c r="W416" s="6">
        <v>625</v>
      </c>
      <c r="X416" s="59"/>
      <c r="Y416" s="59"/>
      <c r="Z416" s="6">
        <v>6638142921</v>
      </c>
      <c r="AA416" s="6"/>
      <c r="AB416" s="6"/>
      <c r="AC416" s="511"/>
      <c r="AD416" s="10"/>
    </row>
    <row r="417" spans="1:30" s="9" customFormat="1" ht="12" thickBot="1" x14ac:dyDescent="0.25">
      <c r="A417" s="28"/>
      <c r="B417" s="19"/>
      <c r="C417" s="19"/>
      <c r="D417" s="5"/>
      <c r="E417" s="5"/>
      <c r="F417" s="5"/>
      <c r="G417" s="5"/>
      <c r="H417" s="20"/>
      <c r="I417" s="21"/>
      <c r="J417" s="5"/>
      <c r="K417" s="5"/>
      <c r="L417" s="127"/>
      <c r="M417" s="5"/>
      <c r="N417" s="5"/>
      <c r="O417" s="5"/>
      <c r="P417" s="5"/>
      <c r="Q417" s="5"/>
      <c r="R417" s="5"/>
      <c r="S417" s="136">
        <v>36763</v>
      </c>
      <c r="T417" s="19"/>
      <c r="U417" s="19"/>
      <c r="V417" s="137"/>
      <c r="W417" s="5"/>
      <c r="X417" s="61"/>
      <c r="Y417" s="61"/>
      <c r="Z417" s="5"/>
      <c r="AA417" s="5"/>
      <c r="AB417" s="5"/>
      <c r="AC417" s="5"/>
      <c r="AD417" s="10"/>
    </row>
    <row r="418" spans="1:30" s="9" customFormat="1" x14ac:dyDescent="0.2">
      <c r="A418" s="28"/>
      <c r="B418" s="16"/>
      <c r="C418" s="16"/>
      <c r="D418" s="7"/>
      <c r="E418" s="7"/>
      <c r="F418" s="6"/>
      <c r="G418" s="6"/>
      <c r="H418" s="17"/>
      <c r="I418" s="17"/>
      <c r="J418" s="7"/>
      <c r="K418" s="7"/>
      <c r="L418" s="23"/>
      <c r="M418" s="6"/>
      <c r="N418" s="6"/>
      <c r="O418" s="6"/>
      <c r="P418" s="6"/>
      <c r="Q418" s="6"/>
      <c r="R418" s="6"/>
      <c r="S418" s="528" t="s">
        <v>585</v>
      </c>
      <c r="T418" s="6"/>
      <c r="U418" s="6"/>
      <c r="V418" s="6"/>
      <c r="W418" s="6"/>
      <c r="X418" s="57"/>
      <c r="Y418" s="57"/>
      <c r="Z418" s="6"/>
      <c r="AA418" s="6"/>
      <c r="AB418" s="6"/>
      <c r="AC418" s="6"/>
      <c r="AD418" s="10"/>
    </row>
    <row r="419" spans="1:30" s="9" customFormat="1" x14ac:dyDescent="0.2">
      <c r="A419" s="28"/>
      <c r="B419" s="16" t="s">
        <v>36</v>
      </c>
      <c r="C419" s="16" t="s">
        <v>157</v>
      </c>
      <c r="D419" s="7" t="s">
        <v>595</v>
      </c>
      <c r="E419" s="7"/>
      <c r="F419" s="6" t="s">
        <v>596</v>
      </c>
      <c r="G419" s="6"/>
      <c r="H419" s="17">
        <v>14222</v>
      </c>
      <c r="I419" s="39" t="s">
        <v>52</v>
      </c>
      <c r="J419" s="7">
        <v>36728</v>
      </c>
      <c r="K419" s="7"/>
      <c r="L419" s="23"/>
      <c r="M419" s="18" t="s">
        <v>135</v>
      </c>
      <c r="N419" s="6" t="s">
        <v>42</v>
      </c>
      <c r="O419" s="6"/>
      <c r="P419" s="6"/>
      <c r="Q419" s="6"/>
      <c r="R419" s="6"/>
      <c r="S419" s="529" t="s">
        <v>588</v>
      </c>
      <c r="T419" s="7">
        <v>36771</v>
      </c>
      <c r="U419" s="7"/>
      <c r="V419" s="6" t="s">
        <v>597</v>
      </c>
      <c r="W419" s="6">
        <v>625</v>
      </c>
      <c r="X419" s="59"/>
      <c r="Y419" s="59"/>
      <c r="Z419" s="6">
        <v>6638142921</v>
      </c>
      <c r="AA419" s="6" t="s">
        <v>195</v>
      </c>
      <c r="AB419" s="6"/>
      <c r="AC419" s="511"/>
      <c r="AD419" s="10"/>
    </row>
    <row r="420" spans="1:30" s="9" customFormat="1" ht="12" thickBot="1" x14ac:dyDescent="0.25">
      <c r="A420" s="28"/>
      <c r="B420" s="19"/>
      <c r="C420" s="19"/>
      <c r="D420" s="5"/>
      <c r="E420" s="5"/>
      <c r="F420" s="5"/>
      <c r="G420" s="5"/>
      <c r="H420" s="20"/>
      <c r="I420" s="21"/>
      <c r="J420" s="5"/>
      <c r="K420" s="5"/>
      <c r="L420" s="127"/>
      <c r="M420" s="5"/>
      <c r="N420" s="5"/>
      <c r="O420" s="5"/>
      <c r="P420" s="5"/>
      <c r="Q420" s="5"/>
      <c r="R420" s="5"/>
      <c r="S420" s="136">
        <v>36763</v>
      </c>
      <c r="T420" s="19"/>
      <c r="U420" s="19"/>
      <c r="V420" s="137"/>
      <c r="W420" s="5"/>
      <c r="X420" s="61"/>
      <c r="Y420" s="61"/>
      <c r="Z420" s="5"/>
      <c r="AA420" s="5"/>
      <c r="AB420" s="5"/>
      <c r="AC420" s="5"/>
      <c r="AD420" s="10"/>
    </row>
    <row r="421" spans="1:30" s="9" customFormat="1" x14ac:dyDescent="0.2">
      <c r="A421" s="28"/>
      <c r="B421" s="16"/>
      <c r="C421" s="16"/>
      <c r="D421" s="7"/>
      <c r="E421" s="7"/>
      <c r="F421" s="6"/>
      <c r="G421" s="6"/>
      <c r="H421" s="17"/>
      <c r="I421" s="17"/>
      <c r="J421" s="7"/>
      <c r="K421" s="7"/>
      <c r="L421" s="23"/>
      <c r="M421" s="6"/>
      <c r="N421" s="6"/>
      <c r="O421" s="6"/>
      <c r="P421" s="6"/>
      <c r="Q421" s="6"/>
      <c r="R421" s="6"/>
      <c r="S421" s="528" t="s">
        <v>585</v>
      </c>
      <c r="T421" s="6"/>
      <c r="U421" s="6"/>
      <c r="V421" s="6"/>
      <c r="W421" s="6"/>
      <c r="X421" s="57"/>
      <c r="Y421" s="57"/>
      <c r="Z421" s="6"/>
      <c r="AA421" s="6"/>
      <c r="AB421" s="6"/>
      <c r="AC421" s="6"/>
      <c r="AD421" s="10"/>
    </row>
    <row r="422" spans="1:30" s="9" customFormat="1" x14ac:dyDescent="0.2">
      <c r="A422" s="28"/>
      <c r="B422" s="16" t="s">
        <v>36</v>
      </c>
      <c r="C422" s="16" t="s">
        <v>157</v>
      </c>
      <c r="D422" s="7" t="s">
        <v>598</v>
      </c>
      <c r="E422" s="7"/>
      <c r="F422" s="6" t="s">
        <v>599</v>
      </c>
      <c r="G422" s="6"/>
      <c r="H422" s="17">
        <v>5180</v>
      </c>
      <c r="I422" s="39" t="s">
        <v>40</v>
      </c>
      <c r="J422" s="7">
        <v>36738</v>
      </c>
      <c r="K422" s="7"/>
      <c r="L422" s="23"/>
      <c r="M422" s="18" t="s">
        <v>135</v>
      </c>
      <c r="N422" s="6" t="s">
        <v>42</v>
      </c>
      <c r="O422" s="6"/>
      <c r="P422" s="6"/>
      <c r="Q422" s="6"/>
      <c r="R422" s="6"/>
      <c r="S422" s="529" t="s">
        <v>588</v>
      </c>
      <c r="T422" s="7">
        <v>36771</v>
      </c>
      <c r="U422" s="7"/>
      <c r="V422" s="6" t="s">
        <v>600</v>
      </c>
      <c r="W422" s="6">
        <v>625</v>
      </c>
      <c r="X422" s="59"/>
      <c r="Y422" s="59"/>
      <c r="Z422" s="6">
        <v>6638142921</v>
      </c>
      <c r="AA422" s="6" t="s">
        <v>195</v>
      </c>
      <c r="AB422" s="6"/>
      <c r="AC422" s="511"/>
      <c r="AD422" s="10"/>
    </row>
    <row r="423" spans="1:30" s="9" customFormat="1" ht="12" thickBot="1" x14ac:dyDescent="0.25">
      <c r="A423" s="28"/>
      <c r="B423" s="19"/>
      <c r="C423" s="19"/>
      <c r="D423" s="5"/>
      <c r="E423" s="5"/>
      <c r="F423" s="5"/>
      <c r="G423" s="5"/>
      <c r="H423" s="20"/>
      <c r="I423" s="21" t="s">
        <v>154</v>
      </c>
      <c r="J423" s="5"/>
      <c r="K423" s="5"/>
      <c r="L423" s="127"/>
      <c r="M423" s="5"/>
      <c r="N423" s="5"/>
      <c r="O423" s="5"/>
      <c r="P423" s="5"/>
      <c r="Q423" s="5"/>
      <c r="R423" s="5"/>
      <c r="S423" s="136">
        <v>36763</v>
      </c>
      <c r="T423" s="19"/>
      <c r="U423" s="19"/>
      <c r="V423" s="137"/>
      <c r="W423" s="5"/>
      <c r="X423" s="61"/>
      <c r="Y423" s="61"/>
      <c r="Z423" s="5"/>
      <c r="AA423" s="5"/>
      <c r="AB423" s="5"/>
      <c r="AC423" s="5"/>
      <c r="AD423" s="10"/>
    </row>
    <row r="424" spans="1:30" s="9" customFormat="1" x14ac:dyDescent="0.2">
      <c r="A424" s="28"/>
      <c r="B424" s="16"/>
      <c r="C424" s="16"/>
      <c r="D424" s="7"/>
      <c r="E424" s="7"/>
      <c r="F424" s="6"/>
      <c r="G424" s="6"/>
      <c r="H424" s="17"/>
      <c r="I424" s="17"/>
      <c r="J424" s="7"/>
      <c r="K424" s="7"/>
      <c r="L424" s="23"/>
      <c r="M424" s="6"/>
      <c r="N424" s="6"/>
      <c r="O424" s="6"/>
      <c r="P424" s="6"/>
      <c r="Q424" s="6"/>
      <c r="R424" s="6"/>
      <c r="S424" s="528" t="s">
        <v>585</v>
      </c>
      <c r="T424" s="6"/>
      <c r="U424" s="6"/>
      <c r="V424" s="6"/>
      <c r="W424" s="6"/>
      <c r="X424" s="57"/>
      <c r="Y424" s="57"/>
      <c r="Z424" s="6"/>
      <c r="AA424" s="6"/>
      <c r="AB424" s="6"/>
      <c r="AC424" s="6"/>
      <c r="AD424" s="10"/>
    </row>
    <row r="425" spans="1:30" s="9" customFormat="1" x14ac:dyDescent="0.2">
      <c r="A425" s="28"/>
      <c r="B425" s="16" t="s">
        <v>36</v>
      </c>
      <c r="C425" s="16" t="s">
        <v>157</v>
      </c>
      <c r="D425" s="7" t="s">
        <v>601</v>
      </c>
      <c r="E425" s="7"/>
      <c r="F425" s="6" t="s">
        <v>602</v>
      </c>
      <c r="G425" s="6"/>
      <c r="H425" s="17">
        <f>125*15</f>
        <v>1875</v>
      </c>
      <c r="I425" s="39" t="s">
        <v>52</v>
      </c>
      <c r="J425" s="7">
        <v>36753</v>
      </c>
      <c r="K425" s="7"/>
      <c r="L425" s="23"/>
      <c r="M425" s="18"/>
      <c r="N425" s="6"/>
      <c r="O425" s="6"/>
      <c r="P425" s="6"/>
      <c r="Q425" s="6"/>
      <c r="R425" s="6"/>
      <c r="S425" s="529" t="s">
        <v>588</v>
      </c>
      <c r="T425" s="7">
        <v>36771</v>
      </c>
      <c r="U425" s="7"/>
      <c r="V425" s="6" t="s">
        <v>603</v>
      </c>
      <c r="W425" s="6">
        <v>625</v>
      </c>
      <c r="X425" s="59"/>
      <c r="Y425" s="59"/>
      <c r="Z425" s="6">
        <v>6638142921</v>
      </c>
      <c r="AA425" s="6" t="s">
        <v>195</v>
      </c>
      <c r="AB425" s="6"/>
      <c r="AC425" s="511"/>
      <c r="AD425" s="10"/>
    </row>
    <row r="426" spans="1:30" s="9" customFormat="1" ht="12" thickBot="1" x14ac:dyDescent="0.25">
      <c r="A426" s="28"/>
      <c r="B426" s="19"/>
      <c r="C426" s="19"/>
      <c r="D426" s="5"/>
      <c r="E426" s="5"/>
      <c r="F426" s="5"/>
      <c r="G426" s="5"/>
      <c r="H426" s="20"/>
      <c r="I426" s="21"/>
      <c r="J426" s="5"/>
      <c r="K426" s="5"/>
      <c r="L426" s="127"/>
      <c r="M426" s="5"/>
      <c r="N426" s="5"/>
      <c r="O426" s="5"/>
      <c r="P426" s="5"/>
      <c r="Q426" s="5"/>
      <c r="R426" s="5"/>
      <c r="S426" s="136">
        <v>36763</v>
      </c>
      <c r="T426" s="19"/>
      <c r="U426" s="19"/>
      <c r="V426" s="137"/>
      <c r="W426" s="5"/>
      <c r="X426" s="61"/>
      <c r="Y426" s="61"/>
      <c r="Z426" s="5"/>
      <c r="AA426" s="5"/>
      <c r="AB426" s="5"/>
      <c r="AC426" s="5"/>
      <c r="AD426" s="10"/>
    </row>
    <row r="427" spans="1:30" s="9" customFormat="1" x14ac:dyDescent="0.2">
      <c r="A427" s="28"/>
      <c r="B427" s="11"/>
      <c r="C427" s="11"/>
      <c r="D427" s="91"/>
      <c r="E427" s="91"/>
      <c r="F427" s="12"/>
      <c r="G427" s="12"/>
      <c r="H427" s="13"/>
      <c r="I427" s="13"/>
      <c r="J427" s="91"/>
      <c r="K427" s="91"/>
      <c r="L427" s="134"/>
      <c r="M427" s="12"/>
      <c r="N427" s="12"/>
      <c r="O427" s="12"/>
      <c r="P427" s="12"/>
      <c r="Q427" s="12"/>
      <c r="R427" s="12"/>
      <c r="S427" s="12"/>
      <c r="T427" s="12"/>
      <c r="U427" s="12"/>
      <c r="V427" s="12"/>
      <c r="W427" s="12"/>
      <c r="X427" s="12"/>
      <c r="Y427" s="12"/>
      <c r="Z427" s="12"/>
      <c r="AA427" s="12"/>
      <c r="AB427" s="12"/>
      <c r="AC427" s="12"/>
      <c r="AD427" s="10"/>
    </row>
    <row r="428" spans="1:30" s="9" customFormat="1" x14ac:dyDescent="0.2">
      <c r="A428" s="28"/>
      <c r="B428" s="16" t="s">
        <v>36</v>
      </c>
      <c r="C428" s="16" t="s">
        <v>133</v>
      </c>
      <c r="D428" s="7" t="s">
        <v>557</v>
      </c>
      <c r="E428" s="7"/>
      <c r="F428" s="6" t="s">
        <v>438</v>
      </c>
      <c r="G428" s="6"/>
      <c r="H428" s="17">
        <f>4980+82.8+61880+1010.1+3009.57</f>
        <v>70962.470000000016</v>
      </c>
      <c r="I428" s="39" t="s">
        <v>40</v>
      </c>
      <c r="J428" s="7">
        <v>36700</v>
      </c>
      <c r="K428" s="7"/>
      <c r="L428" s="23">
        <v>36790</v>
      </c>
      <c r="M428" s="18" t="s">
        <v>135</v>
      </c>
      <c r="N428" s="6" t="s">
        <v>42</v>
      </c>
      <c r="O428" s="6"/>
      <c r="P428" s="6"/>
      <c r="Q428" s="6"/>
      <c r="R428" s="6"/>
      <c r="S428" s="7">
        <v>36782</v>
      </c>
      <c r="T428" s="7">
        <v>36796</v>
      </c>
      <c r="U428" s="7"/>
      <c r="V428" s="6" t="s">
        <v>604</v>
      </c>
      <c r="W428" s="6">
        <v>639</v>
      </c>
      <c r="X428" s="6" t="s">
        <v>211</v>
      </c>
      <c r="Y428" s="6"/>
      <c r="Z428" s="6">
        <v>6671051321</v>
      </c>
      <c r="AA428" s="6" t="s">
        <v>195</v>
      </c>
      <c r="AB428" s="6" t="s">
        <v>211</v>
      </c>
      <c r="AC428" s="507"/>
      <c r="AD428" s="10"/>
    </row>
    <row r="429" spans="1:30" s="9" customFormat="1" ht="12" thickBot="1" x14ac:dyDescent="0.25">
      <c r="A429" s="28"/>
      <c r="B429" s="19"/>
      <c r="C429" s="19"/>
      <c r="D429" s="5"/>
      <c r="E429" s="5"/>
      <c r="F429" s="5" t="s">
        <v>605</v>
      </c>
      <c r="G429" s="5"/>
      <c r="H429" s="20"/>
      <c r="I429" s="21" t="s">
        <v>446</v>
      </c>
      <c r="J429" s="5"/>
      <c r="K429" s="5"/>
      <c r="L429" s="127"/>
      <c r="M429" s="5"/>
      <c r="N429" s="5"/>
      <c r="O429" s="5"/>
      <c r="P429" s="5"/>
      <c r="Q429" s="5"/>
      <c r="R429" s="5"/>
      <c r="S429" s="136" t="s">
        <v>309</v>
      </c>
      <c r="T429" s="5" t="s">
        <v>606</v>
      </c>
      <c r="U429" s="5"/>
      <c r="V429" s="145" t="s">
        <v>607</v>
      </c>
      <c r="W429" s="5"/>
      <c r="X429" s="5"/>
      <c r="Y429" s="5"/>
      <c r="Z429" s="5"/>
      <c r="AA429" s="5"/>
      <c r="AB429" s="5"/>
      <c r="AC429" s="5"/>
      <c r="AD429" s="10"/>
    </row>
    <row r="430" spans="1:30" s="9" customFormat="1" x14ac:dyDescent="0.2">
      <c r="A430" s="28"/>
      <c r="B430" s="11"/>
      <c r="C430" s="11"/>
      <c r="D430" s="91"/>
      <c r="E430" s="91"/>
      <c r="F430" s="12"/>
      <c r="G430" s="12"/>
      <c r="H430" s="13"/>
      <c r="I430" s="13"/>
      <c r="J430" s="91"/>
      <c r="K430" s="91"/>
      <c r="L430" s="134"/>
      <c r="M430" s="12"/>
      <c r="N430" s="12"/>
      <c r="O430" s="12"/>
      <c r="P430" s="12"/>
      <c r="Q430" s="12"/>
      <c r="R430" s="12"/>
      <c r="S430" s="12"/>
      <c r="T430" s="12"/>
      <c r="U430" s="12"/>
      <c r="V430" s="12"/>
      <c r="W430" s="12"/>
      <c r="X430" s="12"/>
      <c r="Y430" s="12"/>
      <c r="Z430" s="12"/>
      <c r="AA430" s="12"/>
      <c r="AB430" s="12"/>
      <c r="AC430" s="12"/>
      <c r="AD430" s="10"/>
    </row>
    <row r="431" spans="1:30" s="9" customFormat="1" x14ac:dyDescent="0.2">
      <c r="A431" s="28"/>
      <c r="B431" s="16" t="s">
        <v>36</v>
      </c>
      <c r="C431" s="16" t="s">
        <v>157</v>
      </c>
      <c r="D431" s="7" t="s">
        <v>608</v>
      </c>
      <c r="E431" s="7"/>
      <c r="F431" s="6" t="s">
        <v>609</v>
      </c>
      <c r="G431" s="6"/>
      <c r="H431" s="17">
        <v>43104</v>
      </c>
      <c r="I431" s="39" t="s">
        <v>52</v>
      </c>
      <c r="J431" s="7">
        <v>36713</v>
      </c>
      <c r="K431" s="7"/>
      <c r="L431" s="23">
        <v>36790</v>
      </c>
      <c r="M431" s="18" t="s">
        <v>135</v>
      </c>
      <c r="N431" s="6" t="s">
        <v>42</v>
      </c>
      <c r="O431" s="6"/>
      <c r="P431" s="6"/>
      <c r="Q431" s="6"/>
      <c r="R431" s="6"/>
      <c r="S431" s="7">
        <v>36795</v>
      </c>
      <c r="T431" s="7">
        <v>36798</v>
      </c>
      <c r="U431" s="7"/>
      <c r="V431" s="6" t="s">
        <v>610</v>
      </c>
      <c r="W431" s="6">
        <v>645</v>
      </c>
      <c r="X431" s="6" t="s">
        <v>211</v>
      </c>
      <c r="Y431" s="6" t="s">
        <v>47</v>
      </c>
      <c r="Z431" s="6">
        <v>6671051332</v>
      </c>
      <c r="AA431" s="6" t="s">
        <v>195</v>
      </c>
      <c r="AB431" s="6" t="s">
        <v>211</v>
      </c>
      <c r="AC431" s="507"/>
      <c r="AD431" s="10"/>
    </row>
    <row r="432" spans="1:30" s="9" customFormat="1" ht="12" thickBot="1" x14ac:dyDescent="0.25">
      <c r="A432" s="28"/>
      <c r="B432" s="19"/>
      <c r="C432" s="19"/>
      <c r="D432" s="5"/>
      <c r="E432" s="5"/>
      <c r="F432" s="5"/>
      <c r="G432" s="5"/>
      <c r="H432" s="105"/>
      <c r="I432" s="21"/>
      <c r="J432" s="5"/>
      <c r="K432" s="5"/>
      <c r="L432" s="127" t="s">
        <v>611</v>
      </c>
      <c r="M432" s="5"/>
      <c r="N432" s="5"/>
      <c r="O432" s="5"/>
      <c r="P432" s="5"/>
      <c r="Q432" s="5"/>
      <c r="R432" s="5"/>
      <c r="S432" s="136" t="s">
        <v>296</v>
      </c>
      <c r="T432" s="5" t="s">
        <v>309</v>
      </c>
      <c r="U432" s="5"/>
      <c r="V432" s="139" t="s">
        <v>612</v>
      </c>
      <c r="W432" s="5"/>
      <c r="X432" s="5"/>
      <c r="Y432" s="5"/>
      <c r="Z432" s="5"/>
      <c r="AA432" s="5"/>
      <c r="AB432" s="5"/>
      <c r="AC432" s="5"/>
      <c r="AD432" s="10"/>
    </row>
    <row r="433" spans="1:30" s="9" customFormat="1" x14ac:dyDescent="0.2">
      <c r="A433" s="28"/>
      <c r="B433" s="16"/>
      <c r="C433" s="16"/>
      <c r="D433" s="7"/>
      <c r="E433" s="7"/>
      <c r="F433" s="6"/>
      <c r="G433" s="6"/>
      <c r="H433" s="17"/>
      <c r="I433" s="17"/>
      <c r="J433" s="7"/>
      <c r="K433" s="7"/>
      <c r="L433" s="23"/>
      <c r="M433" s="6"/>
      <c r="N433" s="6"/>
      <c r="O433" s="6"/>
      <c r="P433" s="6"/>
      <c r="Q433" s="6"/>
      <c r="R433" s="6"/>
      <c r="S433" s="6"/>
      <c r="T433" s="6"/>
      <c r="U433" s="6"/>
      <c r="V433" s="6"/>
      <c r="W433" s="6"/>
      <c r="X433" s="12"/>
      <c r="Y433" s="57"/>
      <c r="Z433" s="6"/>
      <c r="AA433" s="6"/>
      <c r="AB433" s="6"/>
      <c r="AC433" s="6"/>
      <c r="AD433" s="10"/>
    </row>
    <row r="434" spans="1:30" s="9" customFormat="1" x14ac:dyDescent="0.2">
      <c r="A434" s="28"/>
      <c r="B434" s="16" t="s">
        <v>36</v>
      </c>
      <c r="C434" s="16" t="s">
        <v>133</v>
      </c>
      <c r="D434" s="7" t="s">
        <v>557</v>
      </c>
      <c r="E434" s="7"/>
      <c r="F434" s="6" t="s">
        <v>438</v>
      </c>
      <c r="G434" s="6"/>
      <c r="H434" s="17">
        <v>6747</v>
      </c>
      <c r="I434" s="39" t="s">
        <v>202</v>
      </c>
      <c r="J434" s="7">
        <v>36721</v>
      </c>
      <c r="K434" s="7"/>
      <c r="L434" s="23">
        <f>+J434+90</f>
        <v>36811</v>
      </c>
      <c r="M434" s="18" t="s">
        <v>135</v>
      </c>
      <c r="N434" s="6" t="s">
        <v>42</v>
      </c>
      <c r="O434" s="6"/>
      <c r="P434" s="6"/>
      <c r="Q434" s="6"/>
      <c r="R434" s="6"/>
      <c r="S434" s="7">
        <v>36795</v>
      </c>
      <c r="T434" s="7">
        <v>36798</v>
      </c>
      <c r="U434" s="7"/>
      <c r="V434" s="6" t="s">
        <v>613</v>
      </c>
      <c r="W434" s="6">
        <v>642</v>
      </c>
      <c r="X434" s="6" t="s">
        <v>211</v>
      </c>
      <c r="Y434" s="59"/>
      <c r="Z434" s="6">
        <v>6671051332</v>
      </c>
      <c r="AA434" s="6"/>
      <c r="AB434" s="6" t="s">
        <v>211</v>
      </c>
      <c r="AC434" s="507"/>
      <c r="AD434" s="10"/>
    </row>
    <row r="435" spans="1:30" s="9" customFormat="1" ht="12" thickBot="1" x14ac:dyDescent="0.25">
      <c r="A435" s="28"/>
      <c r="B435" s="19"/>
      <c r="C435" s="19"/>
      <c r="D435" s="5"/>
      <c r="E435" s="5"/>
      <c r="F435" s="5" t="s">
        <v>614</v>
      </c>
      <c r="G435" s="5"/>
      <c r="H435" s="146"/>
      <c r="I435" s="21" t="s">
        <v>138</v>
      </c>
      <c r="J435" s="5"/>
      <c r="K435" s="5"/>
      <c r="L435" s="127"/>
      <c r="M435" s="5"/>
      <c r="N435" s="5"/>
      <c r="O435" s="5"/>
      <c r="P435" s="5"/>
      <c r="Q435" s="5"/>
      <c r="R435" s="5"/>
      <c r="S435" s="136" t="s">
        <v>296</v>
      </c>
      <c r="T435" s="5" t="s">
        <v>309</v>
      </c>
      <c r="U435" s="5"/>
      <c r="V435" s="137" t="s">
        <v>615</v>
      </c>
      <c r="W435" s="5"/>
      <c r="X435" s="5"/>
      <c r="Y435" s="61"/>
      <c r="Z435" s="5"/>
      <c r="AA435" s="5"/>
      <c r="AB435" s="5"/>
      <c r="AC435" s="5"/>
      <c r="AD435" s="10"/>
    </row>
    <row r="436" spans="1:30" s="9" customFormat="1" x14ac:dyDescent="0.2">
      <c r="A436" s="28"/>
      <c r="B436" s="16"/>
      <c r="C436" s="16"/>
      <c r="D436" s="7"/>
      <c r="E436" s="7"/>
      <c r="F436" s="6"/>
      <c r="G436" s="6"/>
      <c r="H436" s="17"/>
      <c r="I436" s="17"/>
      <c r="J436" s="7"/>
      <c r="K436" s="7"/>
      <c r="L436" s="23"/>
      <c r="M436" s="6"/>
      <c r="N436" s="6"/>
      <c r="O436" s="6"/>
      <c r="P436" s="6"/>
      <c r="Q436" s="6"/>
      <c r="R436" s="6"/>
      <c r="S436" s="6"/>
      <c r="T436" s="6"/>
      <c r="U436" s="6"/>
      <c r="V436" s="6"/>
      <c r="W436" s="6"/>
      <c r="X436" s="12"/>
      <c r="Y436" s="57"/>
      <c r="Z436" s="6"/>
      <c r="AA436" s="6"/>
      <c r="AB436" s="6"/>
      <c r="AC436" s="6"/>
      <c r="AD436" s="10"/>
    </row>
    <row r="437" spans="1:30" s="9" customFormat="1" x14ac:dyDescent="0.2">
      <c r="A437" s="28"/>
      <c r="B437" s="16" t="s">
        <v>36</v>
      </c>
      <c r="C437" s="16" t="s">
        <v>133</v>
      </c>
      <c r="D437" s="7" t="s">
        <v>557</v>
      </c>
      <c r="E437" s="7"/>
      <c r="F437" s="6" t="s">
        <v>438</v>
      </c>
      <c r="G437" s="6"/>
      <c r="H437" s="17">
        <v>2784</v>
      </c>
      <c r="I437" s="39" t="s">
        <v>52</v>
      </c>
      <c r="J437" s="7">
        <v>36721</v>
      </c>
      <c r="K437" s="7"/>
      <c r="L437" s="23">
        <v>36811</v>
      </c>
      <c r="M437" s="18" t="s">
        <v>135</v>
      </c>
      <c r="N437" s="6" t="s">
        <v>42</v>
      </c>
      <c r="O437" s="6"/>
      <c r="P437" s="6"/>
      <c r="Q437" s="6"/>
      <c r="R437" s="6"/>
      <c r="S437" s="7">
        <v>36795</v>
      </c>
      <c r="T437" s="7">
        <v>36798</v>
      </c>
      <c r="U437" s="7"/>
      <c r="V437" s="6" t="s">
        <v>616</v>
      </c>
      <c r="W437" s="6">
        <v>643</v>
      </c>
      <c r="X437" s="6" t="s">
        <v>211</v>
      </c>
      <c r="Y437" s="59"/>
      <c r="Z437" s="6">
        <v>6671051332</v>
      </c>
      <c r="AA437" s="6"/>
      <c r="AB437" s="6" t="s">
        <v>211</v>
      </c>
      <c r="AC437" s="507"/>
      <c r="AD437" s="10"/>
    </row>
    <row r="438" spans="1:30" s="9" customFormat="1" ht="12" thickBot="1" x14ac:dyDescent="0.25">
      <c r="A438" s="28"/>
      <c r="B438" s="19"/>
      <c r="C438" s="19"/>
      <c r="D438" s="5"/>
      <c r="E438" s="5"/>
      <c r="F438" s="5" t="s">
        <v>617</v>
      </c>
      <c r="G438" s="5"/>
      <c r="H438" s="146"/>
      <c r="I438" s="21" t="s">
        <v>230</v>
      </c>
      <c r="J438" s="5"/>
      <c r="K438" s="5"/>
      <c r="L438" s="127"/>
      <c r="M438" s="5"/>
      <c r="N438" s="5"/>
      <c r="O438" s="5"/>
      <c r="P438" s="5"/>
      <c r="Q438" s="5"/>
      <c r="R438" s="5"/>
      <c r="S438" s="136" t="s">
        <v>296</v>
      </c>
      <c r="T438" s="5" t="s">
        <v>309</v>
      </c>
      <c r="U438" s="5"/>
      <c r="V438" s="137" t="s">
        <v>615</v>
      </c>
      <c r="W438" s="5"/>
      <c r="X438" s="5"/>
      <c r="Y438" s="61"/>
      <c r="Z438" s="5"/>
      <c r="AA438" s="5"/>
      <c r="AB438" s="5"/>
      <c r="AC438" s="5"/>
      <c r="AD438" s="10"/>
    </row>
    <row r="439" spans="1:30" s="9" customFormat="1" x14ac:dyDescent="0.2">
      <c r="A439" s="28"/>
      <c r="B439" s="16"/>
      <c r="C439" s="16"/>
      <c r="D439" s="7"/>
      <c r="E439" s="7"/>
      <c r="F439" s="6"/>
      <c r="G439" s="6"/>
      <c r="H439" s="17"/>
      <c r="I439" s="17"/>
      <c r="J439" s="7"/>
      <c r="K439" s="7"/>
      <c r="L439" s="23"/>
      <c r="M439" s="6"/>
      <c r="N439" s="6"/>
      <c r="O439" s="6"/>
      <c r="P439" s="6"/>
      <c r="Q439" s="6"/>
      <c r="R439" s="6"/>
      <c r="S439" s="6"/>
      <c r="T439" s="6"/>
      <c r="U439" s="6"/>
      <c r="V439" s="6"/>
      <c r="W439" s="6"/>
      <c r="X439" s="12"/>
      <c r="Y439" s="57"/>
      <c r="Z439" s="6"/>
      <c r="AA439" s="6"/>
      <c r="AB439" s="6"/>
      <c r="AC439" s="6"/>
      <c r="AD439" s="10"/>
    </row>
    <row r="440" spans="1:30" s="9" customFormat="1" x14ac:dyDescent="0.2">
      <c r="A440" s="28"/>
      <c r="B440" s="16" t="s">
        <v>36</v>
      </c>
      <c r="C440" s="16" t="s">
        <v>133</v>
      </c>
      <c r="D440" s="7" t="s">
        <v>557</v>
      </c>
      <c r="E440" s="7"/>
      <c r="F440" s="6" t="s">
        <v>438</v>
      </c>
      <c r="G440" s="6"/>
      <c r="H440" s="17">
        <v>8199</v>
      </c>
      <c r="I440" s="39" t="s">
        <v>142</v>
      </c>
      <c r="J440" s="7">
        <v>36721</v>
      </c>
      <c r="K440" s="7"/>
      <c r="L440" s="23">
        <v>36811</v>
      </c>
      <c r="M440" s="18" t="s">
        <v>135</v>
      </c>
      <c r="N440" s="6" t="s">
        <v>42</v>
      </c>
      <c r="O440" s="6"/>
      <c r="P440" s="6"/>
      <c r="Q440" s="6"/>
      <c r="R440" s="6"/>
      <c r="S440" s="7">
        <v>36795</v>
      </c>
      <c r="T440" s="7">
        <v>36798</v>
      </c>
      <c r="U440" s="7"/>
      <c r="V440" s="6" t="s">
        <v>618</v>
      </c>
      <c r="W440" s="6">
        <v>644</v>
      </c>
      <c r="X440" s="6" t="s">
        <v>211</v>
      </c>
      <c r="Y440" s="59"/>
      <c r="Z440" s="6">
        <v>6671051332</v>
      </c>
      <c r="AA440" s="6"/>
      <c r="AB440" s="6" t="s">
        <v>211</v>
      </c>
      <c r="AC440" s="507"/>
      <c r="AD440" s="10"/>
    </row>
    <row r="441" spans="1:30" s="9" customFormat="1" ht="12" thickBot="1" x14ac:dyDescent="0.25">
      <c r="A441" s="28"/>
      <c r="B441" s="19"/>
      <c r="C441" s="19"/>
      <c r="D441" s="5"/>
      <c r="E441" s="5"/>
      <c r="F441" s="5" t="s">
        <v>619</v>
      </c>
      <c r="G441" s="5"/>
      <c r="H441" s="146"/>
      <c r="I441" s="21" t="s">
        <v>208</v>
      </c>
      <c r="J441" s="5"/>
      <c r="K441" s="5"/>
      <c r="L441" s="127"/>
      <c r="M441" s="5"/>
      <c r="N441" s="5"/>
      <c r="O441" s="5"/>
      <c r="P441" s="5"/>
      <c r="Q441" s="5"/>
      <c r="R441" s="5"/>
      <c r="S441" s="136" t="s">
        <v>296</v>
      </c>
      <c r="T441" s="5" t="s">
        <v>309</v>
      </c>
      <c r="U441" s="5"/>
      <c r="V441" s="137"/>
      <c r="W441" s="5"/>
      <c r="X441" s="5"/>
      <c r="Y441" s="61"/>
      <c r="Z441" s="5"/>
      <c r="AA441" s="5"/>
      <c r="AB441" s="5"/>
      <c r="AC441" s="5"/>
      <c r="AD441" s="10"/>
    </row>
    <row r="442" spans="1:30" s="9" customFormat="1" x14ac:dyDescent="0.2">
      <c r="A442" s="28"/>
      <c r="B442" s="11"/>
      <c r="C442" s="11"/>
      <c r="D442" s="91"/>
      <c r="E442" s="91"/>
      <c r="F442" s="12"/>
      <c r="G442" s="12"/>
      <c r="H442" s="13"/>
      <c r="I442" s="13"/>
      <c r="J442" s="91"/>
      <c r="K442" s="91"/>
      <c r="L442" s="134"/>
      <c r="M442" s="12"/>
      <c r="N442" s="12"/>
      <c r="O442" s="12"/>
      <c r="P442" s="12"/>
      <c r="Q442" s="12"/>
      <c r="R442" s="12"/>
      <c r="S442" s="12"/>
      <c r="T442" s="12"/>
      <c r="U442" s="12"/>
      <c r="V442" s="12"/>
      <c r="W442" s="12"/>
      <c r="X442" s="12"/>
      <c r="Y442" s="57"/>
      <c r="Z442" s="12"/>
      <c r="AA442" s="12"/>
      <c r="AB442" s="12"/>
      <c r="AC442" s="12"/>
      <c r="AD442" s="10"/>
    </row>
    <row r="443" spans="1:30" s="9" customFormat="1" x14ac:dyDescent="0.2">
      <c r="A443" s="28"/>
      <c r="B443" s="16" t="s">
        <v>36</v>
      </c>
      <c r="C443" s="16" t="s">
        <v>133</v>
      </c>
      <c r="D443" s="7" t="s">
        <v>557</v>
      </c>
      <c r="E443" s="7"/>
      <c r="F443" s="6" t="s">
        <v>438</v>
      </c>
      <c r="G443" s="6"/>
      <c r="H443" s="17">
        <v>9559</v>
      </c>
      <c r="I443" s="39" t="s">
        <v>202</v>
      </c>
      <c r="J443" s="7">
        <v>36634</v>
      </c>
      <c r="K443" s="7"/>
      <c r="L443" s="23">
        <v>36726</v>
      </c>
      <c r="M443" s="18" t="s">
        <v>135</v>
      </c>
      <c r="N443" s="6" t="s">
        <v>42</v>
      </c>
      <c r="O443" s="6"/>
      <c r="P443" s="6"/>
      <c r="Q443" s="6"/>
      <c r="R443" s="6"/>
      <c r="S443" s="23">
        <v>36813</v>
      </c>
      <c r="T443" s="7">
        <v>36814</v>
      </c>
      <c r="U443" s="7"/>
      <c r="V443" s="6" t="s">
        <v>620</v>
      </c>
      <c r="W443" s="6">
        <v>652</v>
      </c>
      <c r="X443" s="6"/>
      <c r="Y443" s="59"/>
      <c r="Z443" s="6">
        <v>6671051376</v>
      </c>
      <c r="AA443" s="6"/>
      <c r="AB443" s="6" t="s">
        <v>211</v>
      </c>
      <c r="AC443" s="507"/>
      <c r="AD443" s="10"/>
    </row>
    <row r="444" spans="1:30" s="9" customFormat="1" ht="12" thickBot="1" x14ac:dyDescent="0.25">
      <c r="A444" s="28"/>
      <c r="B444" s="19"/>
      <c r="C444" s="19"/>
      <c r="D444" s="5"/>
      <c r="E444" s="5"/>
      <c r="F444" s="5" t="s">
        <v>560</v>
      </c>
      <c r="G444" s="5"/>
      <c r="H444" s="20"/>
      <c r="I444" s="21" t="s">
        <v>138</v>
      </c>
      <c r="J444" s="5"/>
      <c r="K444" s="5"/>
      <c r="L444" s="127"/>
      <c r="M444" s="5"/>
      <c r="N444" s="5"/>
      <c r="O444" s="5"/>
      <c r="P444" s="5"/>
      <c r="Q444" s="5"/>
      <c r="R444" s="5"/>
      <c r="S444" s="136" t="s">
        <v>621</v>
      </c>
      <c r="T444" s="19"/>
      <c r="U444" s="19"/>
      <c r="V444" s="137" t="s">
        <v>622</v>
      </c>
      <c r="W444" s="5"/>
      <c r="X444" s="5"/>
      <c r="Y444" s="61"/>
      <c r="Z444" s="5"/>
      <c r="AA444" s="5"/>
      <c r="AB444" s="5"/>
      <c r="AC444" s="5"/>
      <c r="AD444" s="10"/>
    </row>
    <row r="445" spans="1:30" s="9" customFormat="1" x14ac:dyDescent="0.2">
      <c r="A445" s="28"/>
      <c r="B445" s="16"/>
      <c r="C445" s="16"/>
      <c r="D445" s="7"/>
      <c r="E445" s="7"/>
      <c r="F445" s="6"/>
      <c r="G445" s="6"/>
      <c r="H445" s="17"/>
      <c r="I445" s="17"/>
      <c r="J445" s="7"/>
      <c r="K445" s="7"/>
      <c r="L445" s="23"/>
      <c r="M445" s="6"/>
      <c r="N445" s="6"/>
      <c r="O445" s="6"/>
      <c r="P445" s="6"/>
      <c r="Q445" s="6"/>
      <c r="R445" s="6"/>
      <c r="S445" s="6"/>
      <c r="T445" s="6"/>
      <c r="U445" s="6"/>
      <c r="V445" s="6"/>
      <c r="W445" s="6"/>
      <c r="X445" s="12"/>
      <c r="Y445" s="57"/>
      <c r="Z445" s="6"/>
      <c r="AA445" s="6"/>
      <c r="AB445" s="6"/>
      <c r="AC445" s="6"/>
      <c r="AD445" s="10"/>
    </row>
    <row r="446" spans="1:30" s="9" customFormat="1" x14ac:dyDescent="0.2">
      <c r="A446" s="28"/>
      <c r="B446" s="16" t="s">
        <v>36</v>
      </c>
      <c r="C446" s="16" t="s">
        <v>133</v>
      </c>
      <c r="D446" s="7" t="s">
        <v>557</v>
      </c>
      <c r="E446" s="7"/>
      <c r="F446" s="6" t="s">
        <v>438</v>
      </c>
      <c r="G446" s="6"/>
      <c r="H446" s="17">
        <v>10721</v>
      </c>
      <c r="I446" s="39" t="s">
        <v>202</v>
      </c>
      <c r="J446" s="7">
        <v>36691</v>
      </c>
      <c r="K446" s="7"/>
      <c r="L446" s="23">
        <f>J446+90</f>
        <v>36781</v>
      </c>
      <c r="M446" s="18" t="s">
        <v>135</v>
      </c>
      <c r="N446" s="6" t="s">
        <v>42</v>
      </c>
      <c r="O446" s="6"/>
      <c r="P446" s="6"/>
      <c r="Q446" s="6"/>
      <c r="R446" s="6"/>
      <c r="S446" s="23">
        <v>36813</v>
      </c>
      <c r="T446" s="7">
        <v>36814</v>
      </c>
      <c r="U446" s="7"/>
      <c r="V446" s="6" t="s">
        <v>623</v>
      </c>
      <c r="W446" s="6">
        <v>654</v>
      </c>
      <c r="X446" s="6"/>
      <c r="Y446" s="59"/>
      <c r="Z446" s="6">
        <v>6671051376</v>
      </c>
      <c r="AA446" s="6" t="s">
        <v>195</v>
      </c>
      <c r="AB446" s="6" t="s">
        <v>211</v>
      </c>
      <c r="AC446" s="507"/>
      <c r="AD446" s="10"/>
    </row>
    <row r="447" spans="1:30" s="9" customFormat="1" ht="12" thickBot="1" x14ac:dyDescent="0.25">
      <c r="A447" s="28"/>
      <c r="B447" s="19"/>
      <c r="C447" s="19"/>
      <c r="D447" s="5"/>
      <c r="E447" s="5"/>
      <c r="F447" s="5" t="s">
        <v>583</v>
      </c>
      <c r="G447" s="5"/>
      <c r="H447" s="20"/>
      <c r="I447" s="21" t="s">
        <v>138</v>
      </c>
      <c r="J447" s="5"/>
      <c r="K447" s="5"/>
      <c r="L447" s="127"/>
      <c r="M447" s="5"/>
      <c r="N447" s="5"/>
      <c r="O447" s="5"/>
      <c r="P447" s="5"/>
      <c r="Q447" s="5"/>
      <c r="R447" s="5"/>
      <c r="S447" s="136" t="s">
        <v>621</v>
      </c>
      <c r="T447" s="19"/>
      <c r="U447" s="19"/>
      <c r="V447" s="137" t="s">
        <v>624</v>
      </c>
      <c r="W447" s="5"/>
      <c r="X447" s="5"/>
      <c r="Y447" s="61"/>
      <c r="Z447" s="5"/>
      <c r="AA447" s="5"/>
      <c r="AB447" s="5"/>
      <c r="AC447" s="5"/>
      <c r="AD447" s="10"/>
    </row>
    <row r="448" spans="1:30" s="9" customFormat="1" x14ac:dyDescent="0.2">
      <c r="A448" s="28"/>
      <c r="B448" s="16"/>
      <c r="C448" s="16"/>
      <c r="D448" s="7"/>
      <c r="E448" s="7"/>
      <c r="F448" s="6"/>
      <c r="G448" s="6"/>
      <c r="H448" s="17"/>
      <c r="I448" s="17"/>
      <c r="J448" s="7"/>
      <c r="K448" s="7"/>
      <c r="L448" s="23"/>
      <c r="M448" s="6"/>
      <c r="N448" s="6"/>
      <c r="O448" s="6"/>
      <c r="P448" s="6"/>
      <c r="Q448" s="6"/>
      <c r="R448" s="6"/>
      <c r="S448" s="6"/>
      <c r="T448" s="6"/>
      <c r="U448" s="6"/>
      <c r="V448" s="6"/>
      <c r="W448" s="6"/>
      <c r="X448" s="12"/>
      <c r="Y448" s="6"/>
      <c r="Z448" s="6"/>
      <c r="AA448" s="6"/>
      <c r="AB448" s="6"/>
      <c r="AC448" s="6"/>
      <c r="AD448" s="10"/>
    </row>
    <row r="449" spans="1:30" s="9" customFormat="1" x14ac:dyDescent="0.2">
      <c r="A449" s="28"/>
      <c r="B449" s="16" t="s">
        <v>36</v>
      </c>
      <c r="C449" s="16" t="s">
        <v>133</v>
      </c>
      <c r="D449" s="7" t="s">
        <v>557</v>
      </c>
      <c r="E449" s="7"/>
      <c r="F449" s="6" t="s">
        <v>438</v>
      </c>
      <c r="G449" s="6"/>
      <c r="H449" s="17">
        <f>19017.44+4754.36</f>
        <v>23771.8</v>
      </c>
      <c r="I449" s="39" t="s">
        <v>40</v>
      </c>
      <c r="J449" s="7">
        <v>36700</v>
      </c>
      <c r="K449" s="7"/>
      <c r="L449" s="23">
        <v>36790</v>
      </c>
      <c r="M449" s="18" t="s">
        <v>135</v>
      </c>
      <c r="N449" s="6" t="s">
        <v>42</v>
      </c>
      <c r="O449" s="6"/>
      <c r="P449" s="6"/>
      <c r="Q449" s="6"/>
      <c r="R449" s="6"/>
      <c r="S449" s="23">
        <v>36813</v>
      </c>
      <c r="T449" s="7">
        <v>36814</v>
      </c>
      <c r="U449" s="7"/>
      <c r="V449" s="6" t="s">
        <v>625</v>
      </c>
      <c r="W449" s="6">
        <v>655</v>
      </c>
      <c r="X449" s="6"/>
      <c r="Y449" s="6"/>
      <c r="Z449" s="6">
        <v>6671051376</v>
      </c>
      <c r="AA449" s="6" t="s">
        <v>195</v>
      </c>
      <c r="AB449" s="6" t="s">
        <v>211</v>
      </c>
      <c r="AC449" s="507"/>
      <c r="AD449" s="10"/>
    </row>
    <row r="450" spans="1:30" s="9" customFormat="1" ht="12" thickBot="1" x14ac:dyDescent="0.25">
      <c r="A450" s="28"/>
      <c r="B450" s="19"/>
      <c r="C450" s="19"/>
      <c r="D450" s="5"/>
      <c r="E450" s="5"/>
      <c r="F450" s="5" t="s">
        <v>605</v>
      </c>
      <c r="G450" s="5"/>
      <c r="H450" s="20"/>
      <c r="I450" s="21" t="s">
        <v>446</v>
      </c>
      <c r="J450" s="5"/>
      <c r="K450" s="5"/>
      <c r="L450" s="127"/>
      <c r="M450" s="5"/>
      <c r="N450" s="5"/>
      <c r="O450" s="5"/>
      <c r="P450" s="5"/>
      <c r="Q450" s="5"/>
      <c r="R450" s="5"/>
      <c r="S450" s="136" t="s">
        <v>621</v>
      </c>
      <c r="T450" s="19"/>
      <c r="U450" s="19"/>
      <c r="V450" s="137" t="s">
        <v>626</v>
      </c>
      <c r="W450" s="5"/>
      <c r="X450" s="5"/>
      <c r="Y450" s="5"/>
      <c r="Z450" s="5"/>
      <c r="AA450" s="5"/>
      <c r="AB450" s="5"/>
      <c r="AC450" s="5"/>
      <c r="AD450" s="10"/>
    </row>
    <row r="451" spans="1:30" ht="12" thickBot="1" x14ac:dyDescent="0.25"/>
    <row r="452" spans="1:30" s="9" customFormat="1" x14ac:dyDescent="0.2">
      <c r="A452" s="28"/>
      <c r="B452" s="11"/>
      <c r="C452" s="11"/>
      <c r="D452" s="91"/>
      <c r="E452" s="91"/>
      <c r="F452" s="12"/>
      <c r="G452" s="12"/>
      <c r="H452" s="13"/>
      <c r="I452" s="13"/>
      <c r="J452" s="91"/>
      <c r="K452" s="91"/>
      <c r="L452" s="134"/>
      <c r="M452" s="12"/>
      <c r="N452" s="12"/>
      <c r="O452" s="12"/>
      <c r="P452" s="12"/>
      <c r="Q452" s="12"/>
      <c r="R452" s="12"/>
      <c r="S452" s="12"/>
      <c r="T452" s="12"/>
      <c r="U452" s="12"/>
      <c r="V452" s="12"/>
      <c r="W452" s="12"/>
      <c r="X452" s="12"/>
      <c r="Y452" s="57"/>
      <c r="Z452" s="12"/>
      <c r="AA452" s="12"/>
      <c r="AB452" s="12"/>
      <c r="AC452" s="12"/>
      <c r="AD452" s="10"/>
    </row>
    <row r="453" spans="1:30" s="9" customFormat="1" x14ac:dyDescent="0.2">
      <c r="A453" s="28"/>
      <c r="B453" s="16" t="s">
        <v>36</v>
      </c>
      <c r="C453" s="16" t="s">
        <v>133</v>
      </c>
      <c r="D453" s="7" t="s">
        <v>557</v>
      </c>
      <c r="E453" s="7"/>
      <c r="F453" s="6" t="s">
        <v>438</v>
      </c>
      <c r="G453" s="6"/>
      <c r="H453" s="17">
        <f>4035+61.67</f>
        <v>4096.67</v>
      </c>
      <c r="I453" s="39" t="s">
        <v>202</v>
      </c>
      <c r="J453" s="7">
        <v>36663</v>
      </c>
      <c r="K453" s="7"/>
      <c r="L453" s="23">
        <v>36753</v>
      </c>
      <c r="M453" s="18" t="s">
        <v>135</v>
      </c>
      <c r="N453" s="6" t="s">
        <v>42</v>
      </c>
      <c r="O453" s="6"/>
      <c r="P453" s="6"/>
      <c r="Q453" s="6"/>
      <c r="R453" s="6"/>
      <c r="S453" s="23">
        <v>36813</v>
      </c>
      <c r="T453" s="7">
        <v>36814</v>
      </c>
      <c r="U453" s="7"/>
      <c r="V453" s="6" t="s">
        <v>627</v>
      </c>
      <c r="W453" s="6">
        <v>653</v>
      </c>
      <c r="X453" s="6"/>
      <c r="Y453" s="59"/>
      <c r="Z453" s="6">
        <v>6671051376</v>
      </c>
      <c r="AA453" s="6"/>
      <c r="AB453" s="6" t="s">
        <v>211</v>
      </c>
      <c r="AC453" s="507"/>
      <c r="AD453" s="10"/>
    </row>
    <row r="454" spans="1:30" s="9" customFormat="1" ht="12" thickBot="1" x14ac:dyDescent="0.25">
      <c r="A454" s="28"/>
      <c r="B454" s="19"/>
      <c r="C454" s="19"/>
      <c r="D454" s="5"/>
      <c r="E454" s="5"/>
      <c r="F454" s="5" t="s">
        <v>573</v>
      </c>
      <c r="G454" s="5"/>
      <c r="H454" s="20"/>
      <c r="I454" s="21" t="s">
        <v>138</v>
      </c>
      <c r="J454" s="5"/>
      <c r="K454" s="5"/>
      <c r="L454" s="127"/>
      <c r="M454" s="5"/>
      <c r="N454" s="5"/>
      <c r="O454" s="5"/>
      <c r="P454" s="5"/>
      <c r="Q454" s="5"/>
      <c r="R454" s="5"/>
      <c r="S454" s="136" t="s">
        <v>621</v>
      </c>
      <c r="T454" s="19"/>
      <c r="U454" s="19"/>
      <c r="V454" s="137" t="s">
        <v>628</v>
      </c>
      <c r="W454" s="5"/>
      <c r="X454" s="5"/>
      <c r="Y454" s="61"/>
      <c r="Z454" s="5"/>
      <c r="AA454" s="5"/>
      <c r="AB454" s="5"/>
      <c r="AC454" s="5"/>
      <c r="AD454" s="10"/>
    </row>
    <row r="455" spans="1:30" s="9" customFormat="1" x14ac:dyDescent="0.2">
      <c r="A455" s="28"/>
      <c r="B455" s="11"/>
      <c r="C455" s="11"/>
      <c r="D455" s="91"/>
      <c r="E455" s="91"/>
      <c r="F455" s="12"/>
      <c r="G455" s="12"/>
      <c r="H455" s="13"/>
      <c r="I455" s="13"/>
      <c r="J455" s="91"/>
      <c r="K455" s="91"/>
      <c r="L455" s="134"/>
      <c r="M455" s="12"/>
      <c r="N455" s="12"/>
      <c r="O455" s="12"/>
      <c r="P455" s="12"/>
      <c r="Q455" s="12"/>
      <c r="R455" s="12"/>
      <c r="S455" s="12"/>
      <c r="T455" s="12"/>
      <c r="U455" s="12"/>
      <c r="V455" s="12"/>
      <c r="W455" s="12"/>
      <c r="X455" s="12"/>
      <c r="Y455" s="57"/>
      <c r="Z455" s="12"/>
      <c r="AA455" s="12"/>
      <c r="AB455" s="12"/>
      <c r="AC455" s="12"/>
      <c r="AD455" s="10"/>
    </row>
    <row r="456" spans="1:30" s="9" customFormat="1" x14ac:dyDescent="0.2">
      <c r="A456" s="28"/>
      <c r="B456" s="16" t="s">
        <v>36</v>
      </c>
      <c r="C456" s="16" t="s">
        <v>133</v>
      </c>
      <c r="D456" s="7" t="s">
        <v>557</v>
      </c>
      <c r="E456" s="7"/>
      <c r="F456" s="6" t="s">
        <v>438</v>
      </c>
      <c r="G456" s="6"/>
      <c r="H456" s="17">
        <v>2732.13</v>
      </c>
      <c r="I456" s="39" t="s">
        <v>202</v>
      </c>
      <c r="J456" s="7">
        <v>36721</v>
      </c>
      <c r="K456" s="7"/>
      <c r="L456" s="23">
        <f>+J456+90</f>
        <v>36811</v>
      </c>
      <c r="M456" s="18" t="s">
        <v>135</v>
      </c>
      <c r="N456" s="6" t="s">
        <v>42</v>
      </c>
      <c r="O456" s="6"/>
      <c r="P456" s="6"/>
      <c r="Q456" s="6"/>
      <c r="R456" s="6"/>
      <c r="S456" s="23">
        <v>36813</v>
      </c>
      <c r="T456" s="7">
        <v>36814</v>
      </c>
      <c r="U456" s="7"/>
      <c r="V456" s="6" t="s">
        <v>629</v>
      </c>
      <c r="W456" s="6">
        <v>656</v>
      </c>
      <c r="X456" s="6" t="s">
        <v>211</v>
      </c>
      <c r="Y456" s="59"/>
      <c r="Z456" s="6">
        <v>6671051376</v>
      </c>
      <c r="AA456" s="6"/>
      <c r="AB456" s="6" t="s">
        <v>211</v>
      </c>
      <c r="AC456" s="507"/>
      <c r="AD456" s="10"/>
    </row>
    <row r="457" spans="1:30" s="9" customFormat="1" ht="12" thickBot="1" x14ac:dyDescent="0.25">
      <c r="A457" s="28"/>
      <c r="B457" s="19"/>
      <c r="C457" s="19"/>
      <c r="D457" s="5"/>
      <c r="E457" s="5"/>
      <c r="F457" s="5" t="s">
        <v>614</v>
      </c>
      <c r="G457" s="5"/>
      <c r="H457" s="20"/>
      <c r="I457" s="21" t="s">
        <v>138</v>
      </c>
      <c r="J457" s="5"/>
      <c r="K457" s="5"/>
      <c r="L457" s="127"/>
      <c r="M457" s="5"/>
      <c r="N457" s="5"/>
      <c r="O457" s="5"/>
      <c r="P457" s="5"/>
      <c r="Q457" s="5"/>
      <c r="R457" s="5"/>
      <c r="S457" s="136" t="s">
        <v>621</v>
      </c>
      <c r="T457" s="19"/>
      <c r="U457" s="19"/>
      <c r="V457" s="137" t="s">
        <v>630</v>
      </c>
      <c r="W457" s="5"/>
      <c r="X457" s="5"/>
      <c r="Y457" s="61"/>
      <c r="Z457" s="5"/>
      <c r="AA457" s="5"/>
      <c r="AB457" s="5"/>
      <c r="AC457" s="5"/>
      <c r="AD457" s="10"/>
    </row>
    <row r="458" spans="1:30" s="9" customFormat="1" x14ac:dyDescent="0.2">
      <c r="A458" s="28"/>
      <c r="B458" s="16"/>
      <c r="C458" s="16"/>
      <c r="D458" s="7"/>
      <c r="E458" s="7"/>
      <c r="F458" s="6"/>
      <c r="G458" s="6"/>
      <c r="H458" s="17"/>
      <c r="I458" s="17"/>
      <c r="J458" s="7"/>
      <c r="K458" s="7"/>
      <c r="L458" s="23"/>
      <c r="M458" s="6"/>
      <c r="N458" s="6"/>
      <c r="O458" s="6"/>
      <c r="P458" s="6"/>
      <c r="Q458" s="6"/>
      <c r="R458" s="6"/>
      <c r="S458" s="6"/>
      <c r="T458" s="6"/>
      <c r="U458" s="6"/>
      <c r="V458" s="6"/>
      <c r="W458" s="6"/>
      <c r="X458" s="12"/>
      <c r="Y458" s="57"/>
      <c r="Z458" s="6"/>
      <c r="AA458" s="6"/>
      <c r="AB458" s="6"/>
      <c r="AC458" s="6"/>
      <c r="AD458" s="10"/>
    </row>
    <row r="459" spans="1:30" s="9" customFormat="1" x14ac:dyDescent="0.2">
      <c r="A459" s="28"/>
      <c r="B459" s="16" t="s">
        <v>36</v>
      </c>
      <c r="C459" s="16" t="s">
        <v>133</v>
      </c>
      <c r="D459" s="7" t="s">
        <v>557</v>
      </c>
      <c r="E459" s="7"/>
      <c r="F459" s="6" t="s">
        <v>438</v>
      </c>
      <c r="G459" s="6"/>
      <c r="H459" s="17">
        <v>9169</v>
      </c>
      <c r="I459" s="39" t="s">
        <v>52</v>
      </c>
      <c r="J459" s="7">
        <v>36721</v>
      </c>
      <c r="K459" s="7"/>
      <c r="L459" s="23">
        <v>36811</v>
      </c>
      <c r="M459" s="18" t="s">
        <v>135</v>
      </c>
      <c r="N459" s="6" t="s">
        <v>42</v>
      </c>
      <c r="O459" s="6"/>
      <c r="P459" s="6"/>
      <c r="Q459" s="6"/>
      <c r="R459" s="6"/>
      <c r="S459" s="23">
        <v>36813</v>
      </c>
      <c r="T459" s="7">
        <v>36814</v>
      </c>
      <c r="U459" s="7"/>
      <c r="V459" s="6" t="s">
        <v>631</v>
      </c>
      <c r="W459" s="6">
        <v>657</v>
      </c>
      <c r="X459" s="6" t="s">
        <v>211</v>
      </c>
      <c r="Y459" s="59"/>
      <c r="Z459" s="6">
        <v>6671051376</v>
      </c>
      <c r="AA459" s="6"/>
      <c r="AB459" s="6" t="s">
        <v>211</v>
      </c>
      <c r="AC459" s="507"/>
      <c r="AD459" s="10"/>
    </row>
    <row r="460" spans="1:30" s="9" customFormat="1" ht="12" thickBot="1" x14ac:dyDescent="0.25">
      <c r="A460" s="28"/>
      <c r="B460" s="19"/>
      <c r="C460" s="19"/>
      <c r="D460" s="5"/>
      <c r="E460" s="5"/>
      <c r="F460" s="5" t="s">
        <v>617</v>
      </c>
      <c r="G460" s="5"/>
      <c r="H460" s="20"/>
      <c r="I460" s="21" t="s">
        <v>230</v>
      </c>
      <c r="J460" s="5"/>
      <c r="K460" s="5"/>
      <c r="L460" s="127"/>
      <c r="M460" s="5"/>
      <c r="N460" s="5"/>
      <c r="O460" s="5"/>
      <c r="P460" s="5"/>
      <c r="Q460" s="5"/>
      <c r="R460" s="5"/>
      <c r="S460" s="136" t="s">
        <v>621</v>
      </c>
      <c r="T460" s="19"/>
      <c r="U460" s="19"/>
      <c r="V460" s="137" t="s">
        <v>632</v>
      </c>
      <c r="W460" s="5"/>
      <c r="X460" s="5"/>
      <c r="Y460" s="61"/>
      <c r="Z460" s="5"/>
      <c r="AA460" s="5"/>
      <c r="AB460" s="5"/>
      <c r="AC460" s="5"/>
      <c r="AD460" s="10"/>
    </row>
    <row r="461" spans="1:30" s="9" customFormat="1" x14ac:dyDescent="0.2">
      <c r="A461" s="28"/>
      <c r="B461" s="11"/>
      <c r="C461" s="11"/>
      <c r="D461" s="91"/>
      <c r="E461" s="91"/>
      <c r="F461" s="12"/>
      <c r="G461" s="12"/>
      <c r="H461" s="13"/>
      <c r="I461" s="13"/>
      <c r="J461" s="91"/>
      <c r="K461" s="91"/>
      <c r="L461" s="134"/>
      <c r="M461" s="12"/>
      <c r="N461" s="12"/>
      <c r="O461" s="12"/>
      <c r="P461" s="12"/>
      <c r="Q461" s="12"/>
      <c r="R461" s="12"/>
      <c r="S461" s="12"/>
      <c r="T461" s="12"/>
      <c r="U461" s="12"/>
      <c r="V461" s="12"/>
      <c r="W461" s="12"/>
      <c r="X461" s="12"/>
      <c r="Y461" s="57"/>
      <c r="Z461" s="12"/>
      <c r="AA461" s="12"/>
      <c r="AB461" s="12"/>
      <c r="AC461" s="12"/>
      <c r="AD461" s="10"/>
    </row>
    <row r="462" spans="1:30" s="9" customFormat="1" x14ac:dyDescent="0.2">
      <c r="A462" s="28"/>
      <c r="B462" s="16" t="s">
        <v>36</v>
      </c>
      <c r="C462" s="16" t="s">
        <v>133</v>
      </c>
      <c r="D462" s="7" t="s">
        <v>557</v>
      </c>
      <c r="E462" s="7"/>
      <c r="F462" s="6" t="s">
        <v>438</v>
      </c>
      <c r="G462" s="6"/>
      <c r="H462" s="17">
        <v>10886</v>
      </c>
      <c r="I462" s="39" t="s">
        <v>202</v>
      </c>
      <c r="J462" s="7">
        <v>36691</v>
      </c>
      <c r="K462" s="7"/>
      <c r="L462" s="23">
        <f>J462+90</f>
        <v>36781</v>
      </c>
      <c r="M462" s="18" t="s">
        <v>135</v>
      </c>
      <c r="N462" s="6" t="s">
        <v>42</v>
      </c>
      <c r="O462" s="6"/>
      <c r="P462" s="6"/>
      <c r="Q462" s="6"/>
      <c r="R462" s="6"/>
      <c r="S462" s="23">
        <v>36827</v>
      </c>
      <c r="T462" s="7">
        <v>36829</v>
      </c>
      <c r="U462" s="7"/>
      <c r="V462" s="6" t="s">
        <v>633</v>
      </c>
      <c r="W462" s="6">
        <v>663</v>
      </c>
      <c r="X462" s="6"/>
      <c r="Y462" s="59"/>
      <c r="Z462" s="6">
        <v>6667111614</v>
      </c>
      <c r="AA462" s="6"/>
      <c r="AB462" s="6"/>
      <c r="AC462" s="511"/>
      <c r="AD462" s="10"/>
    </row>
    <row r="463" spans="1:30" s="9" customFormat="1" ht="12" thickBot="1" x14ac:dyDescent="0.25">
      <c r="A463" s="28"/>
      <c r="B463" s="19"/>
      <c r="C463" s="19"/>
      <c r="D463" s="5"/>
      <c r="E463" s="5"/>
      <c r="F463" s="5" t="s">
        <v>583</v>
      </c>
      <c r="G463" s="5"/>
      <c r="H463" s="170"/>
      <c r="I463" s="21" t="s">
        <v>138</v>
      </c>
      <c r="J463" s="5"/>
      <c r="K463" s="5"/>
      <c r="L463" s="127"/>
      <c r="M463" s="5"/>
      <c r="N463" s="5"/>
      <c r="O463" s="5"/>
      <c r="P463" s="5"/>
      <c r="Q463" s="5"/>
      <c r="R463" s="5"/>
      <c r="S463" s="136"/>
      <c r="T463" s="19"/>
      <c r="U463" s="19"/>
      <c r="V463" s="137" t="s">
        <v>624</v>
      </c>
      <c r="W463" s="5"/>
      <c r="X463" s="5"/>
      <c r="Y463" s="61"/>
      <c r="Z463" s="5"/>
      <c r="AA463" s="5"/>
      <c r="AB463" s="5"/>
      <c r="AC463" s="5"/>
      <c r="AD463" s="10"/>
    </row>
    <row r="464" spans="1:30" s="9" customFormat="1" x14ac:dyDescent="0.2">
      <c r="A464" s="28"/>
      <c r="B464" s="16"/>
      <c r="C464" s="16"/>
      <c r="D464" s="7"/>
      <c r="E464" s="7"/>
      <c r="F464" s="6"/>
      <c r="G464" s="6"/>
      <c r="H464" s="17"/>
      <c r="I464" s="17"/>
      <c r="J464" s="7"/>
      <c r="K464" s="7"/>
      <c r="L464" s="23"/>
      <c r="M464" s="6"/>
      <c r="N464" s="6"/>
      <c r="O464" s="6"/>
      <c r="P464" s="6"/>
      <c r="Q464" s="6"/>
      <c r="R464" s="6"/>
      <c r="S464" s="40"/>
      <c r="T464" s="6"/>
      <c r="U464" s="6"/>
      <c r="V464" s="6" t="s">
        <v>634</v>
      </c>
      <c r="W464" s="6"/>
      <c r="X464" s="12"/>
      <c r="Y464" s="6"/>
      <c r="Z464" s="6"/>
      <c r="AA464" s="6"/>
      <c r="AB464" s="6"/>
      <c r="AC464" s="6"/>
      <c r="AD464" s="10"/>
    </row>
    <row r="465" spans="1:30" s="9" customFormat="1" x14ac:dyDescent="0.2">
      <c r="A465" s="28"/>
      <c r="B465" s="16" t="s">
        <v>36</v>
      </c>
      <c r="C465" s="16" t="s">
        <v>133</v>
      </c>
      <c r="D465" s="7" t="s">
        <v>557</v>
      </c>
      <c r="E465" s="7"/>
      <c r="F465" s="6" t="s">
        <v>438</v>
      </c>
      <c r="G465" s="6"/>
      <c r="H465" s="17">
        <v>40914</v>
      </c>
      <c r="I465" s="39" t="s">
        <v>202</v>
      </c>
      <c r="J465" s="7">
        <v>36756</v>
      </c>
      <c r="K465" s="7"/>
      <c r="L465" s="23">
        <f>+J465+90</f>
        <v>36846</v>
      </c>
      <c r="M465" s="18" t="s">
        <v>135</v>
      </c>
      <c r="N465" s="6" t="s">
        <v>42</v>
      </c>
      <c r="O465" s="6"/>
      <c r="P465" s="6"/>
      <c r="Q465" s="6"/>
      <c r="R465" s="6"/>
      <c r="S465" s="23">
        <v>36827</v>
      </c>
      <c r="T465" s="7">
        <v>36829</v>
      </c>
      <c r="U465" s="7"/>
      <c r="V465" s="6" t="s">
        <v>635</v>
      </c>
      <c r="W465" s="6">
        <v>659</v>
      </c>
      <c r="X465" s="6"/>
      <c r="Y465" s="6"/>
      <c r="Z465" s="6">
        <v>6667111614</v>
      </c>
      <c r="AA465" s="6"/>
      <c r="AB465" s="6" t="s">
        <v>47</v>
      </c>
      <c r="AC465" s="507"/>
      <c r="AD465" s="10"/>
    </row>
    <row r="466" spans="1:30" s="9" customFormat="1" ht="12" thickBot="1" x14ac:dyDescent="0.25">
      <c r="A466" s="28"/>
      <c r="B466" s="19"/>
      <c r="C466" s="19"/>
      <c r="D466" s="5"/>
      <c r="E466" s="5"/>
      <c r="F466" s="5" t="s">
        <v>636</v>
      </c>
      <c r="G466" s="5"/>
      <c r="H466" s="170"/>
      <c r="I466" s="21" t="s">
        <v>138</v>
      </c>
      <c r="J466" s="5"/>
      <c r="K466" s="5"/>
      <c r="L466" s="127"/>
      <c r="M466" s="5"/>
      <c r="N466" s="5"/>
      <c r="O466" s="5"/>
      <c r="P466" s="5"/>
      <c r="Q466" s="5"/>
      <c r="R466" s="5"/>
      <c r="S466" s="171"/>
      <c r="T466" s="19"/>
      <c r="U466" s="19"/>
      <c r="V466" s="5" t="s">
        <v>637</v>
      </c>
      <c r="W466" s="5"/>
      <c r="X466" s="5"/>
      <c r="Y466" s="5"/>
      <c r="Z466" s="5"/>
      <c r="AA466" s="5"/>
      <c r="AB466" s="5"/>
      <c r="AC466" s="5"/>
      <c r="AD466" s="10"/>
    </row>
    <row r="467" spans="1:30" s="9" customFormat="1" x14ac:dyDescent="0.2">
      <c r="A467" s="28"/>
      <c r="B467" s="16"/>
      <c r="C467" s="16"/>
      <c r="D467" s="7"/>
      <c r="E467" s="7"/>
      <c r="F467" s="6"/>
      <c r="G467" s="6"/>
      <c r="H467" s="17"/>
      <c r="I467" s="17"/>
      <c r="J467" s="7"/>
      <c r="K467" s="7"/>
      <c r="L467" s="23"/>
      <c r="M467" s="6"/>
      <c r="N467" s="6"/>
      <c r="O467" s="6"/>
      <c r="P467" s="6"/>
      <c r="Q467" s="6"/>
      <c r="R467" s="6"/>
      <c r="S467" s="40"/>
      <c r="T467" s="6"/>
      <c r="U467" s="6"/>
      <c r="V467" s="6"/>
      <c r="W467" s="6"/>
      <c r="X467" s="12"/>
      <c r="Y467" s="6"/>
      <c r="Z467" s="6"/>
      <c r="AA467" s="6"/>
      <c r="AB467" s="6"/>
      <c r="AC467" s="6"/>
      <c r="AD467" s="10"/>
    </row>
    <row r="468" spans="1:30" s="9" customFormat="1" x14ac:dyDescent="0.2">
      <c r="A468" s="28"/>
      <c r="B468" s="16" t="s">
        <v>36</v>
      </c>
      <c r="C468" s="16" t="s">
        <v>133</v>
      </c>
      <c r="D468" s="7" t="s">
        <v>557</v>
      </c>
      <c r="E468" s="7"/>
      <c r="F468" s="6" t="s">
        <v>438</v>
      </c>
      <c r="G468" s="6"/>
      <c r="H468" s="17">
        <v>85251</v>
      </c>
      <c r="I468" s="39" t="s">
        <v>40</v>
      </c>
      <c r="J468" s="7">
        <v>36756</v>
      </c>
      <c r="K468" s="7"/>
      <c r="L468" s="23">
        <f>+J468+90</f>
        <v>36846</v>
      </c>
      <c r="M468" s="18" t="s">
        <v>135</v>
      </c>
      <c r="N468" s="6" t="s">
        <v>42</v>
      </c>
      <c r="O468" s="6"/>
      <c r="P468" s="6"/>
      <c r="Q468" s="6"/>
      <c r="R468" s="6"/>
      <c r="S468" s="23">
        <v>36827</v>
      </c>
      <c r="T468" s="7">
        <v>36829</v>
      </c>
      <c r="U468" s="7"/>
      <c r="V468" s="6" t="s">
        <v>638</v>
      </c>
      <c r="W468" s="6">
        <v>660</v>
      </c>
      <c r="X468" s="6"/>
      <c r="Y468" s="6"/>
      <c r="Z468" s="6">
        <v>6667111614</v>
      </c>
      <c r="AA468" s="6"/>
      <c r="AB468" s="6" t="s">
        <v>211</v>
      </c>
      <c r="AC468" s="507"/>
      <c r="AD468" s="10"/>
    </row>
    <row r="469" spans="1:30" s="9" customFormat="1" ht="12" thickBot="1" x14ac:dyDescent="0.25">
      <c r="A469" s="28"/>
      <c r="B469" s="19"/>
      <c r="C469" s="19"/>
      <c r="D469" s="5"/>
      <c r="E469" s="5"/>
      <c r="F469" s="5" t="s">
        <v>639</v>
      </c>
      <c r="G469" s="5"/>
      <c r="H469" s="170"/>
      <c r="I469" s="21" t="s">
        <v>446</v>
      </c>
      <c r="J469" s="5"/>
      <c r="K469" s="5"/>
      <c r="L469" s="127"/>
      <c r="M469" s="5"/>
      <c r="N469" s="5"/>
      <c r="O469" s="5"/>
      <c r="P469" s="5"/>
      <c r="Q469" s="5"/>
      <c r="R469" s="5"/>
      <c r="S469" s="171"/>
      <c r="T469" s="19"/>
      <c r="U469" s="19"/>
      <c r="V469" s="137"/>
      <c r="W469" s="5"/>
      <c r="X469" s="5"/>
      <c r="Y469" s="5"/>
      <c r="Z469" s="5"/>
      <c r="AA469" s="5"/>
      <c r="AB469" s="5"/>
      <c r="AC469" s="5"/>
      <c r="AD469" s="10"/>
    </row>
    <row r="470" spans="1:30" s="9" customFormat="1" x14ac:dyDescent="0.2">
      <c r="A470" s="28"/>
      <c r="B470" s="16"/>
      <c r="C470" s="16"/>
      <c r="D470" s="7"/>
      <c r="E470" s="7"/>
      <c r="F470" s="6"/>
      <c r="G470" s="6"/>
      <c r="H470" s="17"/>
      <c r="I470" s="17"/>
      <c r="J470" s="7"/>
      <c r="K470" s="7"/>
      <c r="L470" s="23"/>
      <c r="M470" s="6"/>
      <c r="N470" s="6"/>
      <c r="O470" s="6"/>
      <c r="P470" s="6"/>
      <c r="Q470" s="6"/>
      <c r="R470" s="6"/>
      <c r="S470" s="40"/>
      <c r="T470" s="6"/>
      <c r="U470" s="6"/>
      <c r="V470" s="6"/>
      <c r="W470" s="6"/>
      <c r="X470" s="12"/>
      <c r="Y470" s="6"/>
      <c r="Z470" s="6"/>
      <c r="AA470" s="6"/>
      <c r="AB470" s="6"/>
      <c r="AC470" s="6"/>
      <c r="AD470" s="10"/>
    </row>
    <row r="471" spans="1:30" s="9" customFormat="1" x14ac:dyDescent="0.2">
      <c r="A471" s="28"/>
      <c r="B471" s="16" t="s">
        <v>36</v>
      </c>
      <c r="C471" s="16" t="s">
        <v>133</v>
      </c>
      <c r="D471" s="7" t="s">
        <v>557</v>
      </c>
      <c r="E471" s="7"/>
      <c r="F471" s="6" t="s">
        <v>438</v>
      </c>
      <c r="G471" s="6"/>
      <c r="H471" s="17">
        <v>17320</v>
      </c>
      <c r="I471" s="39" t="s">
        <v>142</v>
      </c>
      <c r="J471" s="7">
        <v>36756</v>
      </c>
      <c r="K471" s="7"/>
      <c r="L471" s="23">
        <f>+J471+90</f>
        <v>36846</v>
      </c>
      <c r="M471" s="18" t="s">
        <v>135</v>
      </c>
      <c r="N471" s="6" t="s">
        <v>42</v>
      </c>
      <c r="O471" s="6"/>
      <c r="P471" s="6"/>
      <c r="Q471" s="6"/>
      <c r="R471" s="6"/>
      <c r="S471" s="23">
        <v>36827</v>
      </c>
      <c r="T471" s="7">
        <v>36829</v>
      </c>
      <c r="U471" s="7"/>
      <c r="V471" s="6" t="s">
        <v>640</v>
      </c>
      <c r="W471" s="6">
        <v>661</v>
      </c>
      <c r="X471" s="6"/>
      <c r="Y471" s="6"/>
      <c r="Z471" s="6">
        <v>6667111614</v>
      </c>
      <c r="AA471" s="6"/>
      <c r="AB471" s="6" t="s">
        <v>47</v>
      </c>
      <c r="AC471" s="507"/>
      <c r="AD471" s="10"/>
    </row>
    <row r="472" spans="1:30" s="9" customFormat="1" ht="12" thickBot="1" x14ac:dyDescent="0.25">
      <c r="A472" s="28"/>
      <c r="B472" s="19"/>
      <c r="C472" s="19"/>
      <c r="D472" s="5"/>
      <c r="E472" s="5"/>
      <c r="F472" s="5" t="s">
        <v>641</v>
      </c>
      <c r="G472" s="5"/>
      <c r="H472" s="170"/>
      <c r="I472" s="21" t="s">
        <v>208</v>
      </c>
      <c r="J472" s="5"/>
      <c r="K472" s="5"/>
      <c r="L472" s="127"/>
      <c r="M472" s="5"/>
      <c r="N472" s="5"/>
      <c r="O472" s="5"/>
      <c r="P472" s="5"/>
      <c r="Q472" s="5"/>
      <c r="R472" s="5"/>
      <c r="S472" s="171"/>
      <c r="T472" s="19"/>
      <c r="U472" s="19"/>
      <c r="V472" s="137"/>
      <c r="W472" s="5"/>
      <c r="X472" s="5"/>
      <c r="Y472" s="5"/>
      <c r="Z472" s="5"/>
      <c r="AA472" s="5"/>
      <c r="AB472" s="5"/>
      <c r="AC472" s="5"/>
      <c r="AD472" s="10"/>
    </row>
    <row r="473" spans="1:30" s="9" customFormat="1" x14ac:dyDescent="0.2">
      <c r="A473" s="28"/>
      <c r="B473" s="11"/>
      <c r="C473" s="11"/>
      <c r="D473" s="91"/>
      <c r="E473" s="91"/>
      <c r="F473" s="12"/>
      <c r="G473" s="12"/>
      <c r="H473" s="13"/>
      <c r="I473" s="13"/>
      <c r="J473" s="91"/>
      <c r="K473" s="91"/>
      <c r="L473" s="134"/>
      <c r="M473" s="12"/>
      <c r="N473" s="12"/>
      <c r="O473" s="12"/>
      <c r="P473" s="12"/>
      <c r="Q473" s="12"/>
      <c r="R473" s="12"/>
      <c r="S473" s="172">
        <v>36819</v>
      </c>
      <c r="T473" s="12"/>
      <c r="U473" s="12"/>
      <c r="V473" s="12"/>
      <c r="W473" s="12"/>
      <c r="X473" s="12"/>
      <c r="Y473" s="12"/>
      <c r="Z473" s="12"/>
      <c r="AA473" s="12"/>
      <c r="AB473" s="12"/>
      <c r="AC473" s="12"/>
      <c r="AD473" s="10"/>
    </row>
    <row r="474" spans="1:30" s="9" customFormat="1" x14ac:dyDescent="0.2">
      <c r="A474" s="28"/>
      <c r="B474" s="16" t="s">
        <v>36</v>
      </c>
      <c r="C474" s="16" t="s">
        <v>157</v>
      </c>
      <c r="D474" s="7" t="s">
        <v>595</v>
      </c>
      <c r="E474" s="7"/>
      <c r="F474" s="6" t="s">
        <v>596</v>
      </c>
      <c r="G474" s="6"/>
      <c r="H474" s="17">
        <v>5444</v>
      </c>
      <c r="I474" s="39"/>
      <c r="J474" s="7">
        <v>36728</v>
      </c>
      <c r="K474" s="7"/>
      <c r="L474" s="23"/>
      <c r="M474" s="18" t="s">
        <v>287</v>
      </c>
      <c r="N474" s="6" t="s">
        <v>110</v>
      </c>
      <c r="O474" s="6"/>
      <c r="P474" s="6"/>
      <c r="Q474" s="6"/>
      <c r="R474" s="6"/>
      <c r="S474" s="173" t="s">
        <v>642</v>
      </c>
      <c r="T474" s="7">
        <v>36839</v>
      </c>
      <c r="U474" s="7"/>
      <c r="V474" s="40" t="s">
        <v>347</v>
      </c>
      <c r="W474" s="6" t="s">
        <v>643</v>
      </c>
      <c r="X474" s="6"/>
      <c r="Y474" s="6"/>
      <c r="Z474" s="6"/>
      <c r="AA474" s="6"/>
      <c r="AB474" s="6"/>
      <c r="AC474" s="511"/>
      <c r="AD474" s="10"/>
    </row>
    <row r="475" spans="1:30" s="9" customFormat="1" ht="12" thickBot="1" x14ac:dyDescent="0.25">
      <c r="A475" s="28"/>
      <c r="B475" s="19"/>
      <c r="C475" s="19"/>
      <c r="D475" s="5"/>
      <c r="E475" s="5"/>
      <c r="F475" s="5"/>
      <c r="G475" s="5"/>
      <c r="H475" s="105"/>
      <c r="I475" s="21"/>
      <c r="J475" s="5"/>
      <c r="K475" s="5"/>
      <c r="L475" s="127"/>
      <c r="M475" s="5"/>
      <c r="N475" s="5"/>
      <c r="O475" s="5"/>
      <c r="P475" s="5"/>
      <c r="Q475" s="5"/>
      <c r="R475" s="5"/>
      <c r="S475" s="174">
        <f>+J474+60</f>
        <v>36788</v>
      </c>
      <c r="T475" s="19"/>
      <c r="U475" s="19"/>
      <c r="V475" s="137"/>
      <c r="W475" s="5"/>
      <c r="X475" s="5"/>
      <c r="Y475" s="5"/>
      <c r="Z475" s="5"/>
      <c r="AA475" s="5"/>
      <c r="AB475" s="5"/>
      <c r="AC475" s="5"/>
      <c r="AD475" s="10"/>
    </row>
    <row r="476" spans="1:30" s="9" customFormat="1" x14ac:dyDescent="0.2">
      <c r="A476" s="28"/>
      <c r="B476" s="16"/>
      <c r="C476" s="16"/>
      <c r="D476" s="7"/>
      <c r="E476" s="7"/>
      <c r="F476" s="6"/>
      <c r="G476" s="6"/>
      <c r="H476" s="17"/>
      <c r="I476" s="17"/>
      <c r="J476" s="7"/>
      <c r="K476" s="7"/>
      <c r="L476" s="23"/>
      <c r="M476" s="6"/>
      <c r="N476" s="6"/>
      <c r="O476" s="6"/>
      <c r="P476" s="6"/>
      <c r="Q476" s="6"/>
      <c r="R476" s="6"/>
      <c r="S476" s="6"/>
      <c r="T476" s="6"/>
      <c r="U476" s="6"/>
      <c r="V476" s="6"/>
      <c r="W476" s="6"/>
      <c r="X476" s="12"/>
      <c r="Y476" s="59"/>
      <c r="Z476" s="6"/>
      <c r="AA476" s="6"/>
      <c r="AB476" s="6"/>
      <c r="AC476" s="6"/>
      <c r="AD476" s="10"/>
    </row>
    <row r="477" spans="1:30" s="9" customFormat="1" x14ac:dyDescent="0.2">
      <c r="A477" s="28"/>
      <c r="B477" s="16" t="s">
        <v>36</v>
      </c>
      <c r="C477" s="16" t="s">
        <v>157</v>
      </c>
      <c r="D477" s="7" t="s">
        <v>644</v>
      </c>
      <c r="E477" s="7"/>
      <c r="F477" s="6" t="s">
        <v>645</v>
      </c>
      <c r="G477" s="6"/>
      <c r="H477" s="17">
        <v>375</v>
      </c>
      <c r="I477" s="39" t="s">
        <v>52</v>
      </c>
      <c r="J477" s="7">
        <v>36831</v>
      </c>
      <c r="K477" s="7"/>
      <c r="L477" s="23">
        <f>30+J477</f>
        <v>36861</v>
      </c>
      <c r="M477" s="18"/>
      <c r="N477" s="6" t="s">
        <v>465</v>
      </c>
      <c r="O477" s="6"/>
      <c r="P477" s="6"/>
      <c r="Q477" s="6"/>
      <c r="R477" s="6"/>
      <c r="S477" s="23">
        <v>36858</v>
      </c>
      <c r="T477" s="7">
        <v>36864</v>
      </c>
      <c r="U477" s="7"/>
      <c r="V477" s="6" t="s">
        <v>646</v>
      </c>
      <c r="W477" s="6">
        <v>672</v>
      </c>
      <c r="X477" s="6"/>
      <c r="Y477" s="59"/>
      <c r="Z477" s="6"/>
      <c r="AA477" s="6"/>
      <c r="AB477" s="6" t="s">
        <v>211</v>
      </c>
      <c r="AC477" s="507"/>
      <c r="AD477" s="10"/>
    </row>
    <row r="478" spans="1:30" s="9" customFormat="1" ht="12" thickBot="1" x14ac:dyDescent="0.25">
      <c r="A478" s="28"/>
      <c r="B478" s="19"/>
      <c r="C478" s="19"/>
      <c r="D478" s="5"/>
      <c r="E478" s="5"/>
      <c r="F478" s="5"/>
      <c r="G478" s="5"/>
      <c r="H478" s="20"/>
      <c r="I478" s="21"/>
      <c r="J478" s="5"/>
      <c r="K478" s="5"/>
      <c r="L478" s="127"/>
      <c r="M478" s="5"/>
      <c r="N478" s="5"/>
      <c r="O478" s="5"/>
      <c r="P478" s="5"/>
      <c r="Q478" s="5"/>
      <c r="R478" s="5"/>
      <c r="S478" s="127" t="s">
        <v>647</v>
      </c>
      <c r="T478" s="19"/>
      <c r="U478" s="19"/>
      <c r="V478" s="137"/>
      <c r="W478" s="5"/>
      <c r="X478" s="5"/>
      <c r="Y478" s="61"/>
      <c r="Z478" s="5"/>
      <c r="AA478" s="5"/>
      <c r="AB478" s="5"/>
      <c r="AC478" s="5"/>
      <c r="AD478" s="10"/>
    </row>
    <row r="479" spans="1:30" s="9" customFormat="1" x14ac:dyDescent="0.2">
      <c r="A479" s="28"/>
      <c r="B479" s="11"/>
      <c r="C479" s="11"/>
      <c r="D479" s="91"/>
      <c r="E479" s="91"/>
      <c r="F479" s="12"/>
      <c r="G479" s="12"/>
      <c r="H479" s="13"/>
      <c r="I479" s="13"/>
      <c r="J479" s="91"/>
      <c r="K479" s="91"/>
      <c r="L479" s="134"/>
      <c r="M479" s="12"/>
      <c r="N479" s="12"/>
      <c r="O479" s="12"/>
      <c r="P479" s="12"/>
      <c r="Q479" s="12"/>
      <c r="R479" s="12"/>
      <c r="S479" s="15"/>
      <c r="T479" s="12"/>
      <c r="U479" s="12"/>
      <c r="V479" s="12"/>
      <c r="W479" s="12"/>
      <c r="X479" s="12"/>
      <c r="Y479" s="57"/>
      <c r="Z479" s="12"/>
      <c r="AA479" s="12"/>
      <c r="AB479" s="12"/>
      <c r="AC479" s="12"/>
      <c r="AD479" s="10"/>
    </row>
    <row r="480" spans="1:30" s="9" customFormat="1" x14ac:dyDescent="0.2">
      <c r="A480" s="28"/>
      <c r="B480" s="16" t="s">
        <v>36</v>
      </c>
      <c r="C480" s="16" t="s">
        <v>133</v>
      </c>
      <c r="D480" s="7" t="s">
        <v>557</v>
      </c>
      <c r="E480" s="7"/>
      <c r="F480" s="6" t="s">
        <v>438</v>
      </c>
      <c r="G480" s="6"/>
      <c r="H480" s="17">
        <v>13863</v>
      </c>
      <c r="I480" s="39" t="s">
        <v>202</v>
      </c>
      <c r="J480" s="7">
        <v>36795</v>
      </c>
      <c r="K480" s="7"/>
      <c r="L480" s="23">
        <f>+J480+90</f>
        <v>36885</v>
      </c>
      <c r="M480" s="18" t="s">
        <v>135</v>
      </c>
      <c r="N480" s="6" t="s">
        <v>42</v>
      </c>
      <c r="O480" s="6"/>
      <c r="P480" s="6"/>
      <c r="Q480" s="6"/>
      <c r="R480" s="6"/>
      <c r="S480" s="23">
        <v>36862</v>
      </c>
      <c r="T480" s="7">
        <v>36865</v>
      </c>
      <c r="U480" s="7"/>
      <c r="V480" s="6" t="s">
        <v>648</v>
      </c>
      <c r="W480" s="6">
        <v>673</v>
      </c>
      <c r="X480" s="6" t="s">
        <v>211</v>
      </c>
      <c r="Y480" s="59"/>
      <c r="Z480" s="6">
        <v>6667111555</v>
      </c>
      <c r="AA480" s="6"/>
      <c r="AB480" s="6" t="s">
        <v>47</v>
      </c>
      <c r="AC480" s="507"/>
      <c r="AD480" s="10"/>
    </row>
    <row r="481" spans="1:39" s="9" customFormat="1" ht="12" thickBot="1" x14ac:dyDescent="0.25">
      <c r="A481" s="28"/>
      <c r="B481" s="19"/>
      <c r="C481" s="19"/>
      <c r="D481" s="5"/>
      <c r="E481" s="5"/>
      <c r="F481" s="5" t="s">
        <v>649</v>
      </c>
      <c r="G481" s="5"/>
      <c r="H481" s="20"/>
      <c r="I481" s="21" t="s">
        <v>138</v>
      </c>
      <c r="J481" s="5"/>
      <c r="K481" s="5"/>
      <c r="L481" s="127"/>
      <c r="M481" s="5"/>
      <c r="N481" s="5"/>
      <c r="O481" s="5"/>
      <c r="P481" s="5"/>
      <c r="Q481" s="5"/>
      <c r="R481" s="5"/>
      <c r="S481" s="171"/>
      <c r="T481" s="5" t="s">
        <v>296</v>
      </c>
      <c r="U481" s="5"/>
      <c r="V481" s="137"/>
      <c r="W481" s="5"/>
      <c r="X481" s="5"/>
      <c r="Y481" s="61"/>
      <c r="Z481" s="5"/>
      <c r="AA481" s="5"/>
      <c r="AB481" s="5"/>
      <c r="AC481" s="5"/>
      <c r="AD481" s="10"/>
    </row>
    <row r="482" spans="1:39" s="9" customFormat="1" x14ac:dyDescent="0.2">
      <c r="A482" s="28"/>
      <c r="B482" s="16"/>
      <c r="C482" s="16"/>
      <c r="D482" s="7"/>
      <c r="E482" s="7"/>
      <c r="F482" s="6"/>
      <c r="G482" s="6"/>
      <c r="H482" s="17"/>
      <c r="I482" s="17"/>
      <c r="J482" s="7"/>
      <c r="K482" s="7"/>
      <c r="L482" s="23"/>
      <c r="M482" s="6"/>
      <c r="N482" s="6"/>
      <c r="O482" s="6"/>
      <c r="P482" s="6"/>
      <c r="Q482" s="6"/>
      <c r="R482" s="6"/>
      <c r="S482" s="40"/>
      <c r="T482" s="6"/>
      <c r="U482" s="6"/>
      <c r="V482" s="6"/>
      <c r="W482" s="6"/>
      <c r="X482" s="12"/>
      <c r="Y482" s="57"/>
      <c r="Z482" s="6"/>
      <c r="AA482" s="6"/>
      <c r="AB482" s="6"/>
      <c r="AC482" s="6"/>
      <c r="AD482" s="10"/>
    </row>
    <row r="483" spans="1:39" s="9" customFormat="1" x14ac:dyDescent="0.2">
      <c r="A483" s="28"/>
      <c r="B483" s="16" t="s">
        <v>36</v>
      </c>
      <c r="C483" s="16" t="s">
        <v>133</v>
      </c>
      <c r="D483" s="7" t="s">
        <v>557</v>
      </c>
      <c r="E483" s="7"/>
      <c r="F483" s="6" t="s">
        <v>438</v>
      </c>
      <c r="G483" s="6"/>
      <c r="H483" s="17">
        <v>114160</v>
      </c>
      <c r="I483" s="39" t="s">
        <v>40</v>
      </c>
      <c r="J483" s="7">
        <v>36795</v>
      </c>
      <c r="K483" s="7"/>
      <c r="L483" s="23">
        <v>36885</v>
      </c>
      <c r="M483" s="18" t="s">
        <v>135</v>
      </c>
      <c r="N483" s="6" t="s">
        <v>42</v>
      </c>
      <c r="O483" s="6"/>
      <c r="P483" s="6"/>
      <c r="Q483" s="6"/>
      <c r="R483" s="6"/>
      <c r="S483" s="23">
        <v>36862</v>
      </c>
      <c r="T483" s="7">
        <v>36865</v>
      </c>
      <c r="U483" s="7"/>
      <c r="V483" s="6" t="s">
        <v>650</v>
      </c>
      <c r="W483" s="6">
        <v>674</v>
      </c>
      <c r="X483" s="6" t="s">
        <v>211</v>
      </c>
      <c r="Y483" s="59"/>
      <c r="Z483" s="6">
        <v>6667111555</v>
      </c>
      <c r="AA483" s="6"/>
      <c r="AB483" s="6" t="s">
        <v>47</v>
      </c>
      <c r="AC483" s="507"/>
      <c r="AD483" s="10"/>
    </row>
    <row r="484" spans="1:39" s="9" customFormat="1" ht="12" thickBot="1" x14ac:dyDescent="0.25">
      <c r="A484" s="28"/>
      <c r="B484" s="19"/>
      <c r="C484" s="19"/>
      <c r="D484" s="5"/>
      <c r="E484" s="5"/>
      <c r="F484" s="5" t="s">
        <v>651</v>
      </c>
      <c r="G484" s="5"/>
      <c r="H484" s="20"/>
      <c r="I484" s="21" t="s">
        <v>446</v>
      </c>
      <c r="J484" s="5"/>
      <c r="K484" s="5"/>
      <c r="L484" s="127"/>
      <c r="M484" s="5"/>
      <c r="N484" s="5"/>
      <c r="O484" s="5"/>
      <c r="P484" s="5"/>
      <c r="Q484" s="5"/>
      <c r="R484" s="5"/>
      <c r="S484" s="171"/>
      <c r="T484" s="5" t="s">
        <v>296</v>
      </c>
      <c r="U484" s="5"/>
      <c r="V484" s="137"/>
      <c r="W484" s="5"/>
      <c r="X484" s="5"/>
      <c r="Y484" s="61"/>
      <c r="Z484" s="5"/>
      <c r="AA484" s="5"/>
      <c r="AB484" s="5"/>
      <c r="AC484" s="5"/>
      <c r="AD484" s="10"/>
    </row>
    <row r="485" spans="1:39" s="9" customFormat="1" x14ac:dyDescent="0.2">
      <c r="A485" s="28"/>
      <c r="B485" s="16"/>
      <c r="C485" s="16"/>
      <c r="D485" s="7"/>
      <c r="E485" s="7"/>
      <c r="F485" s="6"/>
      <c r="G485" s="6"/>
      <c r="H485" s="17"/>
      <c r="I485" s="17"/>
      <c r="J485" s="7"/>
      <c r="K485" s="7"/>
      <c r="L485" s="23"/>
      <c r="M485" s="6"/>
      <c r="N485" s="6"/>
      <c r="O485" s="6"/>
      <c r="P485" s="6"/>
      <c r="Q485" s="6"/>
      <c r="R485" s="6"/>
      <c r="S485" s="40"/>
      <c r="T485" s="6"/>
      <c r="U485" s="6"/>
      <c r="V485" s="6"/>
      <c r="W485" s="6"/>
      <c r="X485" s="12"/>
      <c r="Y485" s="57"/>
      <c r="Z485" s="6"/>
      <c r="AA485" s="6"/>
      <c r="AB485" s="6"/>
      <c r="AC485" s="6"/>
      <c r="AD485" s="10"/>
    </row>
    <row r="486" spans="1:39" s="9" customFormat="1" x14ac:dyDescent="0.2">
      <c r="A486" s="28"/>
      <c r="B486" s="16" t="s">
        <v>36</v>
      </c>
      <c r="C486" s="16" t="s">
        <v>133</v>
      </c>
      <c r="D486" s="7" t="s">
        <v>557</v>
      </c>
      <c r="E486" s="7"/>
      <c r="F486" s="6" t="s">
        <v>438</v>
      </c>
      <c r="G486" s="6"/>
      <c r="H486" s="17">
        <v>27128</v>
      </c>
      <c r="I486" s="39" t="s">
        <v>142</v>
      </c>
      <c r="J486" s="7">
        <v>36795</v>
      </c>
      <c r="K486" s="7"/>
      <c r="L486" s="23">
        <v>36885</v>
      </c>
      <c r="M486" s="18" t="s">
        <v>135</v>
      </c>
      <c r="N486" s="6" t="s">
        <v>42</v>
      </c>
      <c r="O486" s="6"/>
      <c r="P486" s="6"/>
      <c r="Q486" s="6"/>
      <c r="R486" s="6"/>
      <c r="S486" s="23">
        <v>36862</v>
      </c>
      <c r="T486" s="7">
        <v>36865</v>
      </c>
      <c r="U486" s="7"/>
      <c r="V486" s="6" t="s">
        <v>652</v>
      </c>
      <c r="W486" s="6">
        <v>675</v>
      </c>
      <c r="X486" s="6" t="s">
        <v>211</v>
      </c>
      <c r="Y486" s="59"/>
      <c r="Z486" s="6">
        <v>6667111555</v>
      </c>
      <c r="AA486" s="6"/>
      <c r="AB486" s="6" t="s">
        <v>47</v>
      </c>
      <c r="AC486" s="507"/>
      <c r="AD486" s="10"/>
    </row>
    <row r="487" spans="1:39" s="9" customFormat="1" ht="12" thickBot="1" x14ac:dyDescent="0.25">
      <c r="A487" s="28"/>
      <c r="B487" s="19"/>
      <c r="C487" s="19"/>
      <c r="D487" s="5"/>
      <c r="E487" s="5"/>
      <c r="F487" s="5" t="s">
        <v>653</v>
      </c>
      <c r="G487" s="5"/>
      <c r="H487" s="20"/>
      <c r="I487" s="21" t="s">
        <v>208</v>
      </c>
      <c r="J487" s="5"/>
      <c r="K487" s="5"/>
      <c r="L487" s="127"/>
      <c r="M487" s="5"/>
      <c r="N487" s="5"/>
      <c r="O487" s="5"/>
      <c r="P487" s="5"/>
      <c r="Q487" s="5"/>
      <c r="R487" s="5"/>
      <c r="S487" s="171"/>
      <c r="T487" s="5" t="s">
        <v>296</v>
      </c>
      <c r="U487" s="5"/>
      <c r="V487" s="137"/>
      <c r="W487" s="5"/>
      <c r="X487" s="5"/>
      <c r="Y487" s="61"/>
      <c r="Z487" s="5"/>
      <c r="AA487" s="5"/>
      <c r="AB487" s="5"/>
      <c r="AC487" s="5"/>
      <c r="AD487" s="10"/>
    </row>
    <row r="488" spans="1:39" ht="32.25" customHeight="1" thickBot="1" x14ac:dyDescent="0.25">
      <c r="H488" s="223"/>
    </row>
    <row r="489" spans="1:39" s="553" customFormat="1" ht="39.950000000000003" customHeight="1" thickBot="1" x14ac:dyDescent="0.25">
      <c r="B489" s="1611">
        <v>2001</v>
      </c>
      <c r="C489" s="1612"/>
      <c r="D489" s="1612"/>
      <c r="E489" s="1612"/>
      <c r="F489" s="1612"/>
      <c r="G489" s="1612"/>
      <c r="H489" s="1612"/>
      <c r="I489" s="1612"/>
      <c r="J489" s="1612"/>
      <c r="K489" s="1612"/>
      <c r="L489" s="1612"/>
      <c r="M489" s="1612"/>
      <c r="N489" s="1612"/>
      <c r="O489" s="1612"/>
      <c r="P489" s="1612"/>
      <c r="Q489" s="1612"/>
      <c r="R489" s="1612"/>
      <c r="S489" s="1612"/>
      <c r="T489" s="1612"/>
      <c r="U489" s="1612"/>
      <c r="V489" s="1612"/>
      <c r="W489" s="1612"/>
      <c r="X489" s="1612"/>
      <c r="Y489" s="1612"/>
      <c r="Z489" s="1612"/>
      <c r="AA489" s="1612"/>
      <c r="AB489" s="1612"/>
      <c r="AC489" s="1613"/>
    </row>
    <row r="490" spans="1:39" s="441" customFormat="1" ht="60" customHeight="1" thickBot="1" x14ac:dyDescent="0.25">
      <c r="A490" s="438"/>
      <c r="B490" s="451" t="s">
        <v>130</v>
      </c>
      <c r="C490" s="451" t="s">
        <v>4</v>
      </c>
      <c r="D490" s="451" t="s">
        <v>5</v>
      </c>
      <c r="E490" s="451" t="s">
        <v>6</v>
      </c>
      <c r="F490" s="451" t="s">
        <v>7</v>
      </c>
      <c r="G490" s="451" t="s">
        <v>8</v>
      </c>
      <c r="H490" s="453" t="s">
        <v>9</v>
      </c>
      <c r="I490" s="453" t="s">
        <v>10</v>
      </c>
      <c r="J490" s="451" t="s">
        <v>11</v>
      </c>
      <c r="K490" s="451" t="s">
        <v>12</v>
      </c>
      <c r="L490" s="451" t="s">
        <v>13</v>
      </c>
      <c r="M490" s="451" t="s">
        <v>14</v>
      </c>
      <c r="N490" s="451" t="s">
        <v>15</v>
      </c>
      <c r="O490" s="452" t="s">
        <v>16</v>
      </c>
      <c r="P490" s="454" t="s">
        <v>17</v>
      </c>
      <c r="Q490" s="451" t="s">
        <v>18</v>
      </c>
      <c r="R490" s="452" t="s">
        <v>19</v>
      </c>
      <c r="S490" s="451" t="s">
        <v>20</v>
      </c>
      <c r="T490" s="451" t="s">
        <v>21</v>
      </c>
      <c r="U490" s="452" t="s">
        <v>22</v>
      </c>
      <c r="V490" s="451" t="s">
        <v>131</v>
      </c>
      <c r="W490" s="451" t="s">
        <v>24</v>
      </c>
      <c r="X490" s="451" t="s">
        <v>132</v>
      </c>
      <c r="Y490" s="451" t="s">
        <v>26</v>
      </c>
      <c r="Z490" s="451" t="s">
        <v>27</v>
      </c>
      <c r="AA490" s="451" t="s">
        <v>28</v>
      </c>
      <c r="AB490" s="451" t="s">
        <v>29</v>
      </c>
      <c r="AC490" s="451" t="s">
        <v>30</v>
      </c>
      <c r="AD490" s="439"/>
      <c r="AE490" s="440"/>
      <c r="AF490" s="440"/>
      <c r="AG490" s="440"/>
      <c r="AH490" s="440"/>
      <c r="AI490" s="440"/>
      <c r="AJ490" s="440"/>
      <c r="AK490" s="440"/>
      <c r="AL490" s="440"/>
      <c r="AM490" s="440"/>
    </row>
    <row r="491" spans="1:39" s="9" customFormat="1" x14ac:dyDescent="0.2">
      <c r="A491" s="28"/>
      <c r="B491" s="11"/>
      <c r="C491" s="11"/>
      <c r="D491" s="91"/>
      <c r="E491" s="91"/>
      <c r="F491" s="12"/>
      <c r="G491" s="12"/>
      <c r="H491" s="13"/>
      <c r="I491" s="13"/>
      <c r="J491" s="91"/>
      <c r="K491" s="91"/>
      <c r="L491" s="134"/>
      <c r="M491" s="12"/>
      <c r="N491" s="12"/>
      <c r="O491" s="12"/>
      <c r="P491" s="12"/>
      <c r="Q491" s="12"/>
      <c r="R491" s="12"/>
      <c r="S491" s="12"/>
      <c r="T491" s="12"/>
      <c r="U491" s="12"/>
      <c r="V491" s="12"/>
      <c r="W491" s="12"/>
      <c r="X491" s="12"/>
      <c r="Y491" s="57"/>
      <c r="Z491" s="12"/>
      <c r="AA491" s="12"/>
      <c r="AB491" s="12"/>
      <c r="AC491" s="12"/>
      <c r="AD491" s="10"/>
    </row>
    <row r="492" spans="1:39" s="9" customFormat="1" x14ac:dyDescent="0.2">
      <c r="A492" s="28"/>
      <c r="B492" s="16" t="s">
        <v>36</v>
      </c>
      <c r="C492" s="16" t="s">
        <v>157</v>
      </c>
      <c r="D492" s="7" t="s">
        <v>654</v>
      </c>
      <c r="E492" s="7"/>
      <c r="F492" s="6" t="s">
        <v>655</v>
      </c>
      <c r="G492" s="6"/>
      <c r="H492" s="17">
        <f>280+17*15+100*5.8</f>
        <v>1115</v>
      </c>
      <c r="I492" s="39" t="s">
        <v>52</v>
      </c>
      <c r="J492" s="7">
        <v>36867</v>
      </c>
      <c r="K492" s="7"/>
      <c r="L492" s="23">
        <f>30+J492</f>
        <v>36897</v>
      </c>
      <c r="M492" s="18" t="s">
        <v>382</v>
      </c>
      <c r="N492" s="6" t="s">
        <v>656</v>
      </c>
      <c r="O492" s="6"/>
      <c r="P492" s="6"/>
      <c r="Q492" s="6"/>
      <c r="R492" s="6"/>
      <c r="S492" s="23">
        <v>36882</v>
      </c>
      <c r="T492" s="7">
        <v>36900</v>
      </c>
      <c r="U492" s="7"/>
      <c r="V492" s="6" t="s">
        <v>657</v>
      </c>
      <c r="W492" s="6">
        <v>684</v>
      </c>
      <c r="X492" s="6"/>
      <c r="Y492" s="59"/>
      <c r="Z492" s="6"/>
      <c r="AA492" s="6" t="s">
        <v>318</v>
      </c>
      <c r="AB492" s="6" t="s">
        <v>211</v>
      </c>
      <c r="AC492" s="507"/>
      <c r="AD492" s="10" t="str">
        <f>IF(T492&lt;=L492,"en término","atrasado")</f>
        <v>atrasado</v>
      </c>
    </row>
    <row r="493" spans="1:39" s="9" customFormat="1" ht="12" thickBot="1" x14ac:dyDescent="0.25">
      <c r="A493" s="28"/>
      <c r="B493" s="19"/>
      <c r="C493" s="19"/>
      <c r="D493" s="5"/>
      <c r="E493" s="5"/>
      <c r="F493" s="5" t="s">
        <v>658</v>
      </c>
      <c r="G493" s="5"/>
      <c r="H493" s="105"/>
      <c r="I493" s="21"/>
      <c r="J493" s="5"/>
      <c r="K493" s="5"/>
      <c r="L493" s="127" t="s">
        <v>659</v>
      </c>
      <c r="M493" s="5"/>
      <c r="N493" s="5"/>
      <c r="O493" s="5"/>
      <c r="P493" s="5"/>
      <c r="Q493" s="5"/>
      <c r="R493" s="5"/>
      <c r="S493" s="127"/>
      <c r="T493" s="19"/>
      <c r="U493" s="19"/>
      <c r="V493" s="137"/>
      <c r="W493" s="5"/>
      <c r="X493" s="5"/>
      <c r="Y493" s="61"/>
      <c r="Z493" s="5"/>
      <c r="AA493" s="5"/>
      <c r="AB493" s="5"/>
      <c r="AC493" s="5"/>
      <c r="AD493" s="10"/>
    </row>
    <row r="494" spans="1:39" s="9" customFormat="1" x14ac:dyDescent="0.2">
      <c r="A494" s="28"/>
      <c r="B494" s="11"/>
      <c r="C494" s="11"/>
      <c r="D494" s="91"/>
      <c r="E494" s="91"/>
      <c r="F494" s="12"/>
      <c r="G494" s="12"/>
      <c r="H494" s="13"/>
      <c r="I494" s="13"/>
      <c r="J494" s="91"/>
      <c r="K494" s="91"/>
      <c r="L494" s="134"/>
      <c r="M494" s="12"/>
      <c r="N494" s="12"/>
      <c r="O494" s="12"/>
      <c r="P494" s="12"/>
      <c r="Q494" s="12"/>
      <c r="R494" s="12"/>
      <c r="S494" s="12"/>
      <c r="T494" s="12"/>
      <c r="U494" s="12"/>
      <c r="V494" s="12"/>
      <c r="W494" s="12"/>
      <c r="X494" s="12"/>
      <c r="Y494" s="57"/>
      <c r="Z494" s="12"/>
      <c r="AA494" s="12"/>
      <c r="AB494" s="12"/>
      <c r="AC494" s="12"/>
      <c r="AD494" s="10"/>
    </row>
    <row r="495" spans="1:39" s="9" customFormat="1" x14ac:dyDescent="0.2">
      <c r="A495" s="28"/>
      <c r="B495" s="16" t="s">
        <v>36</v>
      </c>
      <c r="C495" s="16" t="s">
        <v>133</v>
      </c>
      <c r="D495" s="7" t="s">
        <v>660</v>
      </c>
      <c r="E495" s="7"/>
      <c r="F495" s="6" t="s">
        <v>661</v>
      </c>
      <c r="G495" s="6"/>
      <c r="H495" s="17">
        <v>27758.81</v>
      </c>
      <c r="I495" s="39" t="s">
        <v>142</v>
      </c>
      <c r="J495" s="7">
        <v>36826</v>
      </c>
      <c r="K495" s="7"/>
      <c r="L495" s="23">
        <f>90+J495</f>
        <v>36916</v>
      </c>
      <c r="M495" s="18" t="s">
        <v>41</v>
      </c>
      <c r="N495" s="6" t="s">
        <v>42</v>
      </c>
      <c r="O495" s="6"/>
      <c r="P495" s="6"/>
      <c r="Q495" s="6"/>
      <c r="R495" s="6"/>
      <c r="S495" s="23">
        <v>36910</v>
      </c>
      <c r="T495" s="7">
        <v>36911</v>
      </c>
      <c r="U495" s="7"/>
      <c r="V495" s="6" t="s">
        <v>662</v>
      </c>
      <c r="W495" s="6">
        <v>691</v>
      </c>
      <c r="X495" s="6" t="s">
        <v>211</v>
      </c>
      <c r="Y495" s="59"/>
      <c r="Z495" s="6">
        <v>6666060310</v>
      </c>
      <c r="AA495" s="6" t="s">
        <v>318</v>
      </c>
      <c r="AB495" s="6" t="s">
        <v>211</v>
      </c>
      <c r="AC495" s="507"/>
      <c r="AD495" s="10" t="str">
        <f>IF(T495&lt;=L495,"en término","atrasado")</f>
        <v>en término</v>
      </c>
    </row>
    <row r="496" spans="1:39" s="9" customFormat="1" ht="12" thickBot="1" x14ac:dyDescent="0.25">
      <c r="A496" s="28"/>
      <c r="B496" s="19"/>
      <c r="C496" s="19"/>
      <c r="D496" s="5"/>
      <c r="E496" s="5"/>
      <c r="F496" s="5" t="s">
        <v>663</v>
      </c>
      <c r="G496" s="5"/>
      <c r="H496" s="20"/>
      <c r="I496" s="21" t="s">
        <v>208</v>
      </c>
      <c r="J496" s="5"/>
      <c r="K496" s="5"/>
      <c r="L496" s="127" t="s">
        <v>664</v>
      </c>
      <c r="M496" s="5"/>
      <c r="N496" s="5"/>
      <c r="O496" s="5"/>
      <c r="P496" s="5"/>
      <c r="Q496" s="5"/>
      <c r="R496" s="5"/>
      <c r="S496" s="127" t="s">
        <v>296</v>
      </c>
      <c r="T496" s="19"/>
      <c r="U496" s="19"/>
      <c r="V496" s="137"/>
      <c r="W496" s="5"/>
      <c r="X496" s="5"/>
      <c r="Y496" s="61"/>
      <c r="Z496" s="27">
        <v>36930</v>
      </c>
      <c r="AA496" s="5"/>
      <c r="AB496" s="5"/>
      <c r="AC496" s="5"/>
      <c r="AD496" s="10"/>
    </row>
    <row r="497" spans="1:30" s="9" customFormat="1" x14ac:dyDescent="0.2">
      <c r="A497" s="28"/>
      <c r="B497" s="16"/>
      <c r="C497" s="16"/>
      <c r="D497" s="7"/>
      <c r="E497" s="7"/>
      <c r="F497" s="6"/>
      <c r="G497" s="6"/>
      <c r="H497" s="17"/>
      <c r="I497" s="17"/>
      <c r="J497" s="7"/>
      <c r="K497" s="7"/>
      <c r="L497" s="23"/>
      <c r="M497" s="6"/>
      <c r="N497" s="6"/>
      <c r="O497" s="6"/>
      <c r="P497" s="6"/>
      <c r="Q497" s="6"/>
      <c r="R497" s="6"/>
      <c r="S497" s="40"/>
      <c r="T497" s="6"/>
      <c r="U497" s="6"/>
      <c r="V497" s="6" t="s">
        <v>665</v>
      </c>
      <c r="W497" s="6"/>
      <c r="X497" s="12"/>
      <c r="Y497" s="59"/>
      <c r="Z497" s="6"/>
      <c r="AA497" s="6"/>
      <c r="AB497" s="6">
        <v>37028</v>
      </c>
      <c r="AC497" s="18"/>
      <c r="AD497" s="10"/>
    </row>
    <row r="498" spans="1:30" s="9" customFormat="1" x14ac:dyDescent="0.2">
      <c r="A498" s="28"/>
      <c r="B498" s="16" t="s">
        <v>36</v>
      </c>
      <c r="C498" s="16" t="s">
        <v>133</v>
      </c>
      <c r="D498" s="7" t="s">
        <v>557</v>
      </c>
      <c r="E498" s="7"/>
      <c r="F498" s="6" t="s">
        <v>438</v>
      </c>
      <c r="G498" s="6"/>
      <c r="H498" s="17"/>
      <c r="I498" s="39" t="s">
        <v>202</v>
      </c>
      <c r="J498" s="7">
        <v>36822</v>
      </c>
      <c r="K498" s="7"/>
      <c r="L498" s="175">
        <f>90+J498</f>
        <v>36912</v>
      </c>
      <c r="M498" s="18" t="s">
        <v>41</v>
      </c>
      <c r="N498" s="6" t="s">
        <v>42</v>
      </c>
      <c r="O498" s="6"/>
      <c r="P498" s="6"/>
      <c r="Q498" s="6"/>
      <c r="R498" s="6"/>
      <c r="S498" s="23">
        <v>36910</v>
      </c>
      <c r="T498" s="7">
        <v>36911</v>
      </c>
      <c r="U498" s="7"/>
      <c r="V498" s="6" t="s">
        <v>666</v>
      </c>
      <c r="W498" s="6" t="s">
        <v>667</v>
      </c>
      <c r="X498" s="6"/>
      <c r="Y498" s="59"/>
      <c r="Z498" s="6">
        <v>6666060310</v>
      </c>
      <c r="AA498" s="6" t="s">
        <v>318</v>
      </c>
      <c r="AB498" s="6" t="s">
        <v>211</v>
      </c>
      <c r="AC498" s="507"/>
      <c r="AD498" s="10" t="str">
        <f>IF(T498&lt;=L498,"en término","atrasado")</f>
        <v>en término</v>
      </c>
    </row>
    <row r="499" spans="1:30" s="9" customFormat="1" ht="12" thickBot="1" x14ac:dyDescent="0.25">
      <c r="A499" s="28"/>
      <c r="B499" s="19"/>
      <c r="C499" s="19"/>
      <c r="D499" s="5"/>
      <c r="E499" s="5"/>
      <c r="F499" s="5" t="s">
        <v>668</v>
      </c>
      <c r="G499" s="5"/>
      <c r="H499" s="20"/>
      <c r="I499" s="21" t="s">
        <v>138</v>
      </c>
      <c r="J499" s="5"/>
      <c r="K499" s="5"/>
      <c r="L499" s="127"/>
      <c r="M499" s="5"/>
      <c r="N499" s="5"/>
      <c r="O499" s="5"/>
      <c r="P499" s="5"/>
      <c r="Q499" s="5"/>
      <c r="R499" s="5"/>
      <c r="S499" s="127" t="s">
        <v>296</v>
      </c>
      <c r="T499" s="19"/>
      <c r="U499" s="19"/>
      <c r="V499" s="137"/>
      <c r="W499" s="5"/>
      <c r="X499" s="5"/>
      <c r="Y499" s="61"/>
      <c r="Z499" s="27">
        <v>36930</v>
      </c>
      <c r="AA499" s="5"/>
      <c r="AB499" s="5">
        <v>12311</v>
      </c>
      <c r="AC499" s="188"/>
      <c r="AD499" s="10"/>
    </row>
    <row r="500" spans="1:30" s="9" customFormat="1" x14ac:dyDescent="0.2">
      <c r="A500" s="28"/>
      <c r="B500" s="11"/>
      <c r="C500" s="11"/>
      <c r="D500" s="91"/>
      <c r="E500" s="91"/>
      <c r="F500" s="12"/>
      <c r="G500" s="12"/>
      <c r="H500" s="13"/>
      <c r="I500" s="13"/>
      <c r="J500" s="91"/>
      <c r="K500" s="91"/>
      <c r="L500" s="134"/>
      <c r="M500" s="12"/>
      <c r="N500" s="12"/>
      <c r="O500" s="12"/>
      <c r="P500" s="12"/>
      <c r="Q500" s="12"/>
      <c r="R500" s="12"/>
      <c r="S500" s="15"/>
      <c r="T500" s="12"/>
      <c r="U500" s="12"/>
      <c r="V500" s="12"/>
      <c r="W500" s="12"/>
      <c r="X500" s="12"/>
      <c r="Y500" s="57"/>
      <c r="Z500" s="12"/>
      <c r="AA500" s="12"/>
      <c r="AB500" s="12">
        <v>37028</v>
      </c>
      <c r="AC500" s="189"/>
      <c r="AD500" s="10"/>
    </row>
    <row r="501" spans="1:30" s="9" customFormat="1" x14ac:dyDescent="0.2">
      <c r="A501" s="28"/>
      <c r="B501" s="16" t="s">
        <v>36</v>
      </c>
      <c r="C501" s="16" t="s">
        <v>133</v>
      </c>
      <c r="D501" s="7" t="s">
        <v>669</v>
      </c>
      <c r="E501" s="7"/>
      <c r="F501" s="6" t="s">
        <v>670</v>
      </c>
      <c r="G501" s="6"/>
      <c r="H501" s="17">
        <v>45960</v>
      </c>
      <c r="I501" s="39" t="s">
        <v>202</v>
      </c>
      <c r="J501" s="7">
        <v>36936</v>
      </c>
      <c r="K501" s="7"/>
      <c r="L501" s="175">
        <f>90+J501</f>
        <v>37026</v>
      </c>
      <c r="M501" s="18" t="s">
        <v>41</v>
      </c>
      <c r="N501" s="6" t="s">
        <v>42</v>
      </c>
      <c r="O501" s="6"/>
      <c r="P501" s="6"/>
      <c r="Q501" s="6"/>
      <c r="R501" s="6"/>
      <c r="S501" s="23">
        <v>36910</v>
      </c>
      <c r="T501" s="7">
        <v>36911</v>
      </c>
      <c r="U501" s="7"/>
      <c r="V501" s="184" t="s">
        <v>671</v>
      </c>
      <c r="W501" s="6" t="s">
        <v>672</v>
      </c>
      <c r="X501" s="6"/>
      <c r="Y501" s="59"/>
      <c r="Z501" s="6"/>
      <c r="AA501" s="6" t="s">
        <v>318</v>
      </c>
      <c r="AB501" s="6" t="s">
        <v>211</v>
      </c>
      <c r="AC501" s="6"/>
      <c r="AD501" s="10" t="str">
        <f>IF(T501&lt;=L501,"en término","atrasado")</f>
        <v>en término</v>
      </c>
    </row>
    <row r="502" spans="1:30" s="9" customFormat="1" ht="12" thickBot="1" x14ac:dyDescent="0.25">
      <c r="A502" s="28"/>
      <c r="B502" s="19"/>
      <c r="C502" s="19"/>
      <c r="D502" s="5"/>
      <c r="E502" s="5"/>
      <c r="F502" s="5" t="s">
        <v>673</v>
      </c>
      <c r="G502" s="5"/>
      <c r="H502" s="20"/>
      <c r="I502" s="21" t="s">
        <v>138</v>
      </c>
      <c r="J502" s="5"/>
      <c r="K502" s="5"/>
      <c r="L502" s="127"/>
      <c r="M502" s="5"/>
      <c r="N502" s="5"/>
      <c r="O502" s="5"/>
      <c r="P502" s="5"/>
      <c r="Q502" s="5"/>
      <c r="R502" s="5"/>
      <c r="S502" s="127" t="s">
        <v>296</v>
      </c>
      <c r="T502" s="19"/>
      <c r="U502" s="19"/>
      <c r="V502" s="185" t="s">
        <v>674</v>
      </c>
      <c r="W502" s="5"/>
      <c r="X502" s="5"/>
      <c r="Y502" s="61"/>
      <c r="Z502" s="5"/>
      <c r="AA502" s="5"/>
      <c r="AB502" s="5">
        <v>47360</v>
      </c>
      <c r="AC502" s="188"/>
      <c r="AD502" s="10"/>
    </row>
    <row r="503" spans="1:30" s="9" customFormat="1" x14ac:dyDescent="0.2">
      <c r="A503" s="28"/>
      <c r="B503" s="16"/>
      <c r="C503" s="176"/>
      <c r="D503" s="150"/>
      <c r="E503" s="150"/>
      <c r="F503" s="67"/>
      <c r="G503" s="67"/>
      <c r="H503" s="159"/>
      <c r="I503" s="159"/>
      <c r="J503" s="150"/>
      <c r="K503" s="150"/>
      <c r="L503" s="151"/>
      <c r="M503" s="67"/>
      <c r="N503" s="67"/>
      <c r="O503" s="67"/>
      <c r="P503" s="67"/>
      <c r="Q503" s="67"/>
      <c r="R503" s="67"/>
      <c r="S503" s="109"/>
      <c r="T503" s="67"/>
      <c r="U503" s="67"/>
      <c r="V503" s="67"/>
      <c r="W503" s="67"/>
      <c r="X503" s="94"/>
      <c r="Y503" s="177"/>
      <c r="Z503" s="67"/>
      <c r="AA503" s="67"/>
      <c r="AB503" s="67"/>
      <c r="AC503" s="67"/>
      <c r="AD503" s="10"/>
    </row>
    <row r="504" spans="1:30" s="9" customFormat="1" x14ac:dyDescent="0.2">
      <c r="A504" s="28"/>
      <c r="B504" s="16" t="s">
        <v>36</v>
      </c>
      <c r="C504" s="176" t="s">
        <v>133</v>
      </c>
      <c r="D504" s="150" t="s">
        <v>557</v>
      </c>
      <c r="E504" s="150"/>
      <c r="F504" s="67" t="s">
        <v>438</v>
      </c>
      <c r="G504" s="67"/>
      <c r="H504" s="159">
        <v>41453.64</v>
      </c>
      <c r="I504" s="160" t="s">
        <v>40</v>
      </c>
      <c r="J504" s="150">
        <v>36822</v>
      </c>
      <c r="K504" s="150"/>
      <c r="L504" s="178">
        <v>36912</v>
      </c>
      <c r="M504" s="161" t="s">
        <v>41</v>
      </c>
      <c r="N504" s="67" t="s">
        <v>42</v>
      </c>
      <c r="O504" s="67"/>
      <c r="P504" s="67"/>
      <c r="Q504" s="67"/>
      <c r="R504" s="67"/>
      <c r="S504" s="151">
        <v>36910</v>
      </c>
      <c r="T504" s="150">
        <v>36911</v>
      </c>
      <c r="U504" s="150"/>
      <c r="V504" s="67" t="s">
        <v>675</v>
      </c>
      <c r="W504" s="67">
        <v>688</v>
      </c>
      <c r="X504" s="67"/>
      <c r="Y504" s="177"/>
      <c r="Z504" s="67">
        <v>6666060310</v>
      </c>
      <c r="AA504" s="6" t="s">
        <v>318</v>
      </c>
      <c r="AB504" s="6" t="s">
        <v>47</v>
      </c>
      <c r="AC504" s="507"/>
      <c r="AD504" s="10" t="str">
        <f>IF(T504&lt;=L504,"en término","atrasado")</f>
        <v>en término</v>
      </c>
    </row>
    <row r="505" spans="1:30" s="9" customFormat="1" ht="12" thickBot="1" x14ac:dyDescent="0.25">
      <c r="A505" s="28"/>
      <c r="B505" s="19"/>
      <c r="C505" s="165"/>
      <c r="D505" s="68"/>
      <c r="E505" s="68"/>
      <c r="F505" s="68" t="s">
        <v>676</v>
      </c>
      <c r="G505" s="68"/>
      <c r="H505" s="179"/>
      <c r="I505" s="166" t="s">
        <v>446</v>
      </c>
      <c r="J505" s="68"/>
      <c r="K505" s="68"/>
      <c r="L505" s="180"/>
      <c r="M505" s="68"/>
      <c r="N505" s="68"/>
      <c r="O505" s="68"/>
      <c r="P505" s="68"/>
      <c r="Q505" s="68"/>
      <c r="R505" s="68"/>
      <c r="S505" s="180" t="s">
        <v>296</v>
      </c>
      <c r="T505" s="165"/>
      <c r="U505" s="165"/>
      <c r="V505" s="181" t="s">
        <v>677</v>
      </c>
      <c r="W505" s="68"/>
      <c r="X505" s="68"/>
      <c r="Y505" s="182"/>
      <c r="Z505" s="96">
        <v>36930</v>
      </c>
      <c r="AA505" s="68"/>
      <c r="AB505" s="68"/>
      <c r="AC505" s="68"/>
      <c r="AD505" s="10"/>
    </row>
    <row r="506" spans="1:30" s="9" customFormat="1" x14ac:dyDescent="0.2">
      <c r="A506" s="28"/>
      <c r="B506" s="16"/>
      <c r="C506" s="176"/>
      <c r="D506" s="150"/>
      <c r="E506" s="150"/>
      <c r="F506" s="67"/>
      <c r="G506" s="67"/>
      <c r="H506" s="159"/>
      <c r="I506" s="159"/>
      <c r="J506" s="150"/>
      <c r="K506" s="150"/>
      <c r="L506" s="151"/>
      <c r="M506" s="67"/>
      <c r="N506" s="67"/>
      <c r="O506" s="67"/>
      <c r="P506" s="67"/>
      <c r="Q506" s="67"/>
      <c r="R506" s="67"/>
      <c r="S506" s="109"/>
      <c r="T506" s="67"/>
      <c r="U506" s="67"/>
      <c r="V506" s="67"/>
      <c r="W506" s="67"/>
      <c r="X506" s="94"/>
      <c r="Y506" s="177"/>
      <c r="Z506" s="67"/>
      <c r="AA506" s="67"/>
      <c r="AB506" s="67"/>
      <c r="AC506" s="511"/>
      <c r="AD506" s="10"/>
    </row>
    <row r="507" spans="1:30" s="9" customFormat="1" x14ac:dyDescent="0.2">
      <c r="A507" s="28"/>
      <c r="B507" s="16" t="s">
        <v>36</v>
      </c>
      <c r="C507" s="176" t="s">
        <v>133</v>
      </c>
      <c r="D507" s="150" t="s">
        <v>557</v>
      </c>
      <c r="E507" s="150"/>
      <c r="F507" s="67" t="s">
        <v>438</v>
      </c>
      <c r="G507" s="67"/>
      <c r="H507" s="159">
        <v>15937.19</v>
      </c>
      <c r="I507" s="160" t="s">
        <v>142</v>
      </c>
      <c r="J507" s="150">
        <v>36822</v>
      </c>
      <c r="K507" s="150"/>
      <c r="L507" s="178">
        <v>36912</v>
      </c>
      <c r="M507" s="161" t="s">
        <v>41</v>
      </c>
      <c r="N507" s="67" t="s">
        <v>42</v>
      </c>
      <c r="O507" s="67"/>
      <c r="P507" s="67"/>
      <c r="Q507" s="67"/>
      <c r="R507" s="67"/>
      <c r="S507" s="151">
        <v>36910</v>
      </c>
      <c r="T507" s="150">
        <v>36911</v>
      </c>
      <c r="U507" s="150"/>
      <c r="V507" s="67" t="s">
        <v>678</v>
      </c>
      <c r="W507" s="67">
        <v>689</v>
      </c>
      <c r="X507" s="67"/>
      <c r="Y507" s="177"/>
      <c r="Z507" s="67">
        <v>6666060310</v>
      </c>
      <c r="AA507" s="6" t="s">
        <v>318</v>
      </c>
      <c r="AB507" s="6" t="s">
        <v>47</v>
      </c>
      <c r="AC507" s="507"/>
      <c r="AD507" s="10" t="str">
        <f>IF(T507&lt;=L507,"en término","atrasado")</f>
        <v>en término</v>
      </c>
    </row>
    <row r="508" spans="1:30" s="9" customFormat="1" ht="12" thickBot="1" x14ac:dyDescent="0.25">
      <c r="A508" s="28"/>
      <c r="B508" s="19"/>
      <c r="C508" s="165"/>
      <c r="D508" s="68"/>
      <c r="E508" s="68"/>
      <c r="F508" s="68" t="s">
        <v>679</v>
      </c>
      <c r="G508" s="68"/>
      <c r="H508" s="179"/>
      <c r="I508" s="166" t="s">
        <v>208</v>
      </c>
      <c r="J508" s="68"/>
      <c r="K508" s="68"/>
      <c r="L508" s="180"/>
      <c r="M508" s="68"/>
      <c r="N508" s="68"/>
      <c r="O508" s="68"/>
      <c r="P508" s="68"/>
      <c r="Q508" s="68"/>
      <c r="R508" s="68"/>
      <c r="S508" s="180" t="s">
        <v>296</v>
      </c>
      <c r="T508" s="165"/>
      <c r="U508" s="165"/>
      <c r="V508" s="181" t="s">
        <v>680</v>
      </c>
      <c r="W508" s="68"/>
      <c r="X508" s="68"/>
      <c r="Y508" s="182"/>
      <c r="Z508" s="96">
        <v>36930</v>
      </c>
      <c r="AA508" s="68"/>
      <c r="AB508" s="68"/>
      <c r="AC508" s="68"/>
      <c r="AD508" s="10"/>
    </row>
    <row r="509" spans="1:30" s="9" customFormat="1" x14ac:dyDescent="0.2">
      <c r="A509" s="28"/>
      <c r="B509" s="16"/>
      <c r="C509" s="176"/>
      <c r="D509" s="150"/>
      <c r="E509" s="150"/>
      <c r="F509" s="67"/>
      <c r="G509" s="67"/>
      <c r="H509" s="159"/>
      <c r="I509" s="159"/>
      <c r="J509" s="150"/>
      <c r="K509" s="150"/>
      <c r="L509" s="151"/>
      <c r="M509" s="67"/>
      <c r="N509" s="67"/>
      <c r="O509" s="67"/>
      <c r="P509" s="67"/>
      <c r="Q509" s="67"/>
      <c r="R509" s="67"/>
      <c r="S509" s="109"/>
      <c r="T509" s="67"/>
      <c r="U509" s="67"/>
      <c r="V509" s="67"/>
      <c r="W509" s="67"/>
      <c r="X509" s="94"/>
      <c r="Y509" s="177"/>
      <c r="Z509" s="67"/>
      <c r="AA509" s="67"/>
      <c r="AB509" s="67"/>
      <c r="AC509" s="67"/>
      <c r="AD509" s="10"/>
    </row>
    <row r="510" spans="1:30" s="9" customFormat="1" x14ac:dyDescent="0.2">
      <c r="A510" s="28"/>
      <c r="B510" s="16" t="s">
        <v>36</v>
      </c>
      <c r="C510" s="176" t="s">
        <v>133</v>
      </c>
      <c r="D510" s="150" t="s">
        <v>557</v>
      </c>
      <c r="E510" s="150"/>
      <c r="F510" s="67" t="s">
        <v>438</v>
      </c>
      <c r="G510" s="67"/>
      <c r="H510" s="159">
        <v>35571</v>
      </c>
      <c r="I510" s="160" t="s">
        <v>40</v>
      </c>
      <c r="J510" s="150">
        <v>37187</v>
      </c>
      <c r="K510" s="150"/>
      <c r="L510" s="178">
        <v>36912</v>
      </c>
      <c r="M510" s="161" t="s">
        <v>41</v>
      </c>
      <c r="N510" s="67" t="s">
        <v>42</v>
      </c>
      <c r="O510" s="67"/>
      <c r="P510" s="67"/>
      <c r="Q510" s="67"/>
      <c r="R510" s="67"/>
      <c r="S510" s="151">
        <v>36910</v>
      </c>
      <c r="T510" s="150">
        <v>36911</v>
      </c>
      <c r="U510" s="150"/>
      <c r="V510" s="67" t="s">
        <v>681</v>
      </c>
      <c r="W510" s="67">
        <v>690</v>
      </c>
      <c r="X510" s="67"/>
      <c r="Y510" s="177"/>
      <c r="Z510" s="67">
        <v>6666060310</v>
      </c>
      <c r="AA510" s="6" t="s">
        <v>318</v>
      </c>
      <c r="AB510" s="6" t="s">
        <v>47</v>
      </c>
      <c r="AC510" s="507"/>
      <c r="AD510" s="10" t="str">
        <f>IF(T510&lt;=L510,"en término","atrasado")</f>
        <v>en término</v>
      </c>
    </row>
    <row r="511" spans="1:30" s="9" customFormat="1" ht="12" thickBot="1" x14ac:dyDescent="0.25">
      <c r="A511" s="28"/>
      <c r="B511" s="19"/>
      <c r="C511" s="165"/>
      <c r="D511" s="68"/>
      <c r="E511" s="68"/>
      <c r="F511" s="68" t="s">
        <v>682</v>
      </c>
      <c r="G511" s="68"/>
      <c r="H511" s="179"/>
      <c r="I511" s="166" t="s">
        <v>446</v>
      </c>
      <c r="J511" s="68"/>
      <c r="K511" s="68"/>
      <c r="L511" s="180"/>
      <c r="M511" s="68"/>
      <c r="N511" s="68"/>
      <c r="O511" s="68"/>
      <c r="P511" s="68"/>
      <c r="Q511" s="68"/>
      <c r="R511" s="68"/>
      <c r="S511" s="180" t="s">
        <v>296</v>
      </c>
      <c r="T511" s="165"/>
      <c r="U511" s="165"/>
      <c r="V511" s="181"/>
      <c r="W511" s="68"/>
      <c r="X511" s="68"/>
      <c r="Y511" s="182"/>
      <c r="Z511" s="96">
        <v>36930</v>
      </c>
      <c r="AA511" s="68"/>
      <c r="AB511" s="68"/>
      <c r="AC511" s="68"/>
      <c r="AD511" s="10"/>
    </row>
    <row r="512" spans="1:30" s="9" customFormat="1" x14ac:dyDescent="0.2">
      <c r="A512" s="28"/>
      <c r="B512" s="16"/>
      <c r="C512" s="176"/>
      <c r="D512" s="67"/>
      <c r="E512" s="67"/>
      <c r="F512" s="67"/>
      <c r="G512" s="67"/>
      <c r="H512" s="159"/>
      <c r="I512" s="160"/>
      <c r="J512" s="67"/>
      <c r="K512" s="67"/>
      <c r="L512" s="151"/>
      <c r="M512" s="67"/>
      <c r="N512" s="67"/>
      <c r="O512" s="67"/>
      <c r="P512" s="67"/>
      <c r="Q512" s="67"/>
      <c r="R512" s="67"/>
      <c r="S512" s="151"/>
      <c r="T512" s="176"/>
      <c r="U512" s="176"/>
      <c r="V512" s="195"/>
      <c r="W512" s="67"/>
      <c r="X512" s="67"/>
      <c r="Y512" s="177"/>
      <c r="Z512" s="150"/>
      <c r="AA512" s="67"/>
      <c r="AB512" s="67"/>
      <c r="AC512" s="67"/>
      <c r="AD512" s="10"/>
    </row>
    <row r="513" spans="1:30" s="9" customFormat="1" x14ac:dyDescent="0.2">
      <c r="A513" s="28"/>
      <c r="B513" s="16" t="s">
        <v>36</v>
      </c>
      <c r="C513" s="176" t="s">
        <v>157</v>
      </c>
      <c r="D513" s="150" t="s">
        <v>683</v>
      </c>
      <c r="E513" s="150"/>
      <c r="F513" s="67" t="s">
        <v>684</v>
      </c>
      <c r="G513" s="67"/>
      <c r="H513" s="159">
        <v>4623</v>
      </c>
      <c r="I513" s="160" t="s">
        <v>52</v>
      </c>
      <c r="J513" s="150">
        <v>37219</v>
      </c>
      <c r="K513" s="150"/>
      <c r="L513" s="178">
        <v>37249</v>
      </c>
      <c r="M513" s="161" t="s">
        <v>41</v>
      </c>
      <c r="N513" s="67" t="s">
        <v>42</v>
      </c>
      <c r="O513" s="67"/>
      <c r="P513" s="67"/>
      <c r="Q513" s="67"/>
      <c r="R513" s="67"/>
      <c r="S513" s="151">
        <v>36910</v>
      </c>
      <c r="T513" s="150">
        <v>36911</v>
      </c>
      <c r="U513" s="150"/>
      <c r="V513" s="67" t="s">
        <v>685</v>
      </c>
      <c r="W513" s="67">
        <v>695</v>
      </c>
      <c r="X513" s="67"/>
      <c r="Y513" s="177"/>
      <c r="Z513" s="67">
        <v>6666060310</v>
      </c>
      <c r="AA513" s="6" t="s">
        <v>318</v>
      </c>
      <c r="AB513" s="6" t="s">
        <v>211</v>
      </c>
      <c r="AC513" s="507"/>
      <c r="AD513" s="10" t="str">
        <f>IF(T513&lt;=L513,"en término","atrasado")</f>
        <v>en término</v>
      </c>
    </row>
    <row r="514" spans="1:30" s="9" customFormat="1" ht="12" thickBot="1" x14ac:dyDescent="0.25">
      <c r="A514" s="28"/>
      <c r="B514" s="19"/>
      <c r="C514" s="165"/>
      <c r="D514" s="68"/>
      <c r="E514" s="68"/>
      <c r="F514" s="68"/>
      <c r="G514" s="68"/>
      <c r="H514" s="530" t="s">
        <v>686</v>
      </c>
      <c r="I514" s="166"/>
      <c r="J514" s="68"/>
      <c r="K514" s="68"/>
      <c r="L514" s="180"/>
      <c r="M514" s="68"/>
      <c r="N514" s="68"/>
      <c r="O514" s="68"/>
      <c r="P514" s="68"/>
      <c r="Q514" s="68"/>
      <c r="R514" s="68"/>
      <c r="S514" s="180"/>
      <c r="T514" s="165"/>
      <c r="U514" s="165"/>
      <c r="V514" s="181"/>
      <c r="W514" s="68"/>
      <c r="X514" s="68"/>
      <c r="Y514" s="182"/>
      <c r="Z514" s="96">
        <v>36930</v>
      </c>
      <c r="AA514" s="68"/>
      <c r="AB514" s="68"/>
      <c r="AC514" s="68"/>
      <c r="AD514" s="10"/>
    </row>
    <row r="515" spans="1:30" s="9" customFormat="1" x14ac:dyDescent="0.2">
      <c r="A515" s="28"/>
      <c r="B515" s="11"/>
      <c r="C515" s="97"/>
      <c r="D515" s="154"/>
      <c r="E515" s="154"/>
      <c r="F515" s="94"/>
      <c r="G515" s="94"/>
      <c r="H515" s="155"/>
      <c r="I515" s="155"/>
      <c r="J515" s="154"/>
      <c r="K515" s="154"/>
      <c r="L515" s="199"/>
      <c r="M515" s="94"/>
      <c r="N515" s="94"/>
      <c r="O515" s="94"/>
      <c r="P515" s="94"/>
      <c r="Q515" s="94"/>
      <c r="R515" s="94"/>
      <c r="S515" s="157"/>
      <c r="T515" s="94"/>
      <c r="U515" s="94"/>
      <c r="V515" s="94"/>
      <c r="W515" s="94"/>
      <c r="X515" s="94"/>
      <c r="Y515" s="200"/>
      <c r="Z515" s="94"/>
      <c r="AA515" s="94"/>
      <c r="AB515" s="94"/>
      <c r="AC515" s="94"/>
      <c r="AD515" s="10"/>
    </row>
    <row r="516" spans="1:30" s="9" customFormat="1" x14ac:dyDescent="0.2">
      <c r="A516" s="28"/>
      <c r="B516" s="16" t="s">
        <v>36</v>
      </c>
      <c r="C516" s="176" t="s">
        <v>157</v>
      </c>
      <c r="D516" s="150" t="s">
        <v>687</v>
      </c>
      <c r="E516" s="150"/>
      <c r="F516" s="67" t="s">
        <v>688</v>
      </c>
      <c r="G516" s="67"/>
      <c r="H516" s="159">
        <v>4623</v>
      </c>
      <c r="I516" s="160" t="s">
        <v>52</v>
      </c>
      <c r="J516" s="150">
        <v>37226</v>
      </c>
      <c r="K516" s="150"/>
      <c r="L516" s="203" t="s">
        <v>689</v>
      </c>
      <c r="M516" s="161" t="s">
        <v>41</v>
      </c>
      <c r="N516" s="67" t="s">
        <v>42</v>
      </c>
      <c r="O516" s="67"/>
      <c r="P516" s="67"/>
      <c r="Q516" s="67"/>
      <c r="R516" s="67"/>
      <c r="S516" s="151">
        <v>36910</v>
      </c>
      <c r="T516" s="150">
        <v>36911</v>
      </c>
      <c r="U516" s="150"/>
      <c r="V516" s="67" t="s">
        <v>690</v>
      </c>
      <c r="W516" s="67">
        <v>695</v>
      </c>
      <c r="X516" s="67"/>
      <c r="Y516" s="177"/>
      <c r="Z516" s="67">
        <v>6666060310</v>
      </c>
      <c r="AA516" s="6" t="s">
        <v>318</v>
      </c>
      <c r="AB516" s="6" t="s">
        <v>211</v>
      </c>
      <c r="AC516" s="507"/>
      <c r="AD516" s="10" t="str">
        <f>IF(T516&lt;=L516,"en término","atrasado")</f>
        <v>en término</v>
      </c>
    </row>
    <row r="517" spans="1:30" s="9" customFormat="1" ht="12" thickBot="1" x14ac:dyDescent="0.25">
      <c r="A517" s="28"/>
      <c r="B517" s="19"/>
      <c r="C517" s="165"/>
      <c r="D517" s="68"/>
      <c r="E517" s="68"/>
      <c r="F517" s="68"/>
      <c r="G517" s="68"/>
      <c r="H517" s="530" t="s">
        <v>686</v>
      </c>
      <c r="I517" s="166"/>
      <c r="J517" s="68"/>
      <c r="K517" s="68"/>
      <c r="L517" s="96"/>
      <c r="M517" s="68"/>
      <c r="N517" s="68"/>
      <c r="O517" s="68"/>
      <c r="P517" s="68"/>
      <c r="Q517" s="68"/>
      <c r="R517" s="68"/>
      <c r="S517" s="180"/>
      <c r="T517" s="165"/>
      <c r="U517" s="165"/>
      <c r="V517" s="181" t="s">
        <v>691</v>
      </c>
      <c r="W517" s="68"/>
      <c r="X517" s="68"/>
      <c r="Y517" s="182"/>
      <c r="Z517" s="96">
        <v>36930</v>
      </c>
      <c r="AA517" s="68"/>
      <c r="AB517" s="68"/>
      <c r="AC517" s="68"/>
      <c r="AD517" s="10"/>
    </row>
    <row r="518" spans="1:30" s="9" customFormat="1" x14ac:dyDescent="0.2">
      <c r="A518" s="28"/>
      <c r="B518" s="16"/>
      <c r="C518" s="16"/>
      <c r="D518" s="7"/>
      <c r="E518" s="7"/>
      <c r="F518" s="6"/>
      <c r="G518" s="6"/>
      <c r="H518" s="17"/>
      <c r="I518" s="17"/>
      <c r="J518" s="7"/>
      <c r="K518" s="7"/>
      <c r="L518" s="23"/>
      <c r="M518" s="6"/>
      <c r="N518" s="6"/>
      <c r="O518" s="6"/>
      <c r="P518" s="6"/>
      <c r="Q518" s="6"/>
      <c r="R518" s="6"/>
      <c r="S518" s="40"/>
      <c r="T518" s="6"/>
      <c r="U518" s="6"/>
      <c r="V518" s="6"/>
      <c r="W518" s="6"/>
      <c r="X518" s="12"/>
      <c r="Y518" s="59"/>
      <c r="Z518" s="6"/>
      <c r="AA518" s="6"/>
      <c r="AB518" s="6"/>
      <c r="AC518" s="6"/>
      <c r="AD518" s="10"/>
    </row>
    <row r="519" spans="1:30" s="9" customFormat="1" x14ac:dyDescent="0.2">
      <c r="A519" s="28"/>
      <c r="B519" s="16" t="s">
        <v>36</v>
      </c>
      <c r="C519" s="16" t="s">
        <v>133</v>
      </c>
      <c r="D519" s="7" t="s">
        <v>557</v>
      </c>
      <c r="E519" s="7"/>
      <c r="F519" s="6" t="s">
        <v>438</v>
      </c>
      <c r="G519" s="6"/>
      <c r="H519" s="17">
        <v>100714.13</v>
      </c>
      <c r="I519" s="39" t="s">
        <v>40</v>
      </c>
      <c r="J519" s="7">
        <v>36822</v>
      </c>
      <c r="K519" s="7"/>
      <c r="L519" s="175">
        <f>90+J519</f>
        <v>36912</v>
      </c>
      <c r="M519" s="18" t="s">
        <v>41</v>
      </c>
      <c r="N519" s="6" t="s">
        <v>42</v>
      </c>
      <c r="O519" s="6"/>
      <c r="P519" s="6"/>
      <c r="Q519" s="6"/>
      <c r="R519" s="6"/>
      <c r="S519" s="23">
        <v>36916</v>
      </c>
      <c r="T519" s="7">
        <v>36918</v>
      </c>
      <c r="U519" s="7"/>
      <c r="V519" s="6" t="s">
        <v>692</v>
      </c>
      <c r="W519" s="6">
        <v>697</v>
      </c>
      <c r="X519" s="6"/>
      <c r="Y519" s="59"/>
      <c r="Z519" s="6">
        <v>6666060166</v>
      </c>
      <c r="AA519" s="6" t="s">
        <v>318</v>
      </c>
      <c r="AB519" s="6" t="s">
        <v>211</v>
      </c>
      <c r="AC519" s="507"/>
      <c r="AD519" s="10" t="str">
        <f>IF(T519&lt;=L519,"en término","atrasado")</f>
        <v>atrasado</v>
      </c>
    </row>
    <row r="520" spans="1:30" s="9" customFormat="1" ht="12" thickBot="1" x14ac:dyDescent="0.25">
      <c r="A520" s="28"/>
      <c r="B520" s="19"/>
      <c r="C520" s="19"/>
      <c r="D520" s="5"/>
      <c r="E520" s="5"/>
      <c r="F520" s="5" t="s">
        <v>676</v>
      </c>
      <c r="G520" s="5"/>
      <c r="H520" s="20"/>
      <c r="I520" s="21" t="s">
        <v>446</v>
      </c>
      <c r="J520" s="5"/>
      <c r="K520" s="5"/>
      <c r="L520" s="127"/>
      <c r="M520" s="5"/>
      <c r="N520" s="5"/>
      <c r="O520" s="5"/>
      <c r="P520" s="5"/>
      <c r="Q520" s="5"/>
      <c r="R520" s="5"/>
      <c r="S520" s="171"/>
      <c r="T520" s="5"/>
      <c r="U520" s="5"/>
      <c r="V520" s="137" t="s">
        <v>693</v>
      </c>
      <c r="W520" s="5"/>
      <c r="X520" s="5"/>
      <c r="Y520" s="61"/>
      <c r="Z520" s="27">
        <v>36941</v>
      </c>
      <c r="AA520" s="5"/>
      <c r="AB520" s="5" t="s">
        <v>694</v>
      </c>
      <c r="AC520" s="5"/>
      <c r="AD520" s="10"/>
    </row>
    <row r="521" spans="1:30" s="9" customFormat="1" x14ac:dyDescent="0.2">
      <c r="A521" s="28"/>
      <c r="B521" s="16"/>
      <c r="C521" s="16"/>
      <c r="D521" s="7"/>
      <c r="E521" s="7"/>
      <c r="F521" s="6"/>
      <c r="G521" s="6"/>
      <c r="H521" s="17"/>
      <c r="I521" s="17"/>
      <c r="J521" s="7"/>
      <c r="K521" s="7"/>
      <c r="L521" s="23"/>
      <c r="M521" s="6"/>
      <c r="N521" s="6"/>
      <c r="O521" s="6"/>
      <c r="P521" s="6"/>
      <c r="Q521" s="6"/>
      <c r="R521" s="6"/>
      <c r="S521" s="6"/>
      <c r="T521" s="6"/>
      <c r="U521" s="6"/>
      <c r="V521" s="6"/>
      <c r="W521" s="6"/>
      <c r="X521" s="12"/>
      <c r="Y521" s="59"/>
      <c r="Z521" s="6"/>
      <c r="AA521" s="6"/>
      <c r="AB521" s="6"/>
      <c r="AC521" s="6"/>
      <c r="AD521" s="10"/>
    </row>
    <row r="522" spans="1:30" s="9" customFormat="1" x14ac:dyDescent="0.2">
      <c r="A522" s="28"/>
      <c r="B522" s="16" t="s">
        <v>36</v>
      </c>
      <c r="C522" s="16" t="s">
        <v>133</v>
      </c>
      <c r="D522" s="7" t="s">
        <v>695</v>
      </c>
      <c r="E522" s="7"/>
      <c r="F522" s="6" t="s">
        <v>696</v>
      </c>
      <c r="G522" s="6"/>
      <c r="H522" s="17">
        <v>62769.14</v>
      </c>
      <c r="I522" s="39" t="s">
        <v>142</v>
      </c>
      <c r="J522" s="7">
        <v>36826</v>
      </c>
      <c r="K522" s="7"/>
      <c r="L522" s="23">
        <f>120+J522</f>
        <v>36946</v>
      </c>
      <c r="M522" s="18" t="s">
        <v>41</v>
      </c>
      <c r="N522" s="6" t="s">
        <v>42</v>
      </c>
      <c r="O522" s="6"/>
      <c r="P522" s="6"/>
      <c r="Q522" s="6"/>
      <c r="R522" s="6"/>
      <c r="S522" s="7">
        <v>36916</v>
      </c>
      <c r="T522" s="7">
        <v>36918</v>
      </c>
      <c r="U522" s="7"/>
      <c r="V522" s="6" t="s">
        <v>697</v>
      </c>
      <c r="W522" s="6">
        <v>698</v>
      </c>
      <c r="X522" s="6"/>
      <c r="Y522" s="59"/>
      <c r="Z522" s="6">
        <v>6666060166</v>
      </c>
      <c r="AA522" s="6" t="s">
        <v>318</v>
      </c>
      <c r="AB522" s="6" t="s">
        <v>211</v>
      </c>
      <c r="AC522" s="507"/>
      <c r="AD522" s="10" t="str">
        <f>IF(T522&lt;=L522,"en término","atrasado")</f>
        <v>en término</v>
      </c>
    </row>
    <row r="523" spans="1:30" s="9" customFormat="1" ht="12" thickBot="1" x14ac:dyDescent="0.25">
      <c r="A523" s="28"/>
      <c r="B523" s="19"/>
      <c r="C523" s="19"/>
      <c r="D523" s="5"/>
      <c r="E523" s="5"/>
      <c r="F523" s="5" t="s">
        <v>698</v>
      </c>
      <c r="G523" s="5"/>
      <c r="H523" s="20"/>
      <c r="I523" s="21" t="s">
        <v>208</v>
      </c>
      <c r="J523" s="5"/>
      <c r="K523" s="5"/>
      <c r="L523" s="127">
        <f>270+J522</f>
        <v>37096</v>
      </c>
      <c r="M523" s="5"/>
      <c r="N523" s="5"/>
      <c r="O523" s="5"/>
      <c r="P523" s="5"/>
      <c r="Q523" s="5"/>
      <c r="R523" s="5"/>
      <c r="S523" s="27" t="s">
        <v>699</v>
      </c>
      <c r="T523" s="19"/>
      <c r="U523" s="19"/>
      <c r="V523" s="137" t="s">
        <v>700</v>
      </c>
      <c r="W523" s="5"/>
      <c r="X523" s="5"/>
      <c r="Y523" s="61"/>
      <c r="Z523" s="27">
        <v>36941</v>
      </c>
      <c r="AA523" s="5"/>
      <c r="AB523" s="5"/>
      <c r="AC523" s="5"/>
      <c r="AD523" s="10"/>
    </row>
    <row r="524" spans="1:30" s="9" customFormat="1" x14ac:dyDescent="0.2">
      <c r="A524" s="28"/>
      <c r="B524" s="16"/>
      <c r="C524" s="16"/>
      <c r="D524" s="7"/>
      <c r="E524" s="7"/>
      <c r="F524" s="6"/>
      <c r="G524" s="6"/>
      <c r="H524" s="17"/>
      <c r="I524" s="17"/>
      <c r="J524" s="7"/>
      <c r="K524" s="7"/>
      <c r="L524" s="23"/>
      <c r="M524" s="6"/>
      <c r="N524" s="6"/>
      <c r="O524" s="6"/>
      <c r="P524" s="6"/>
      <c r="Q524" s="6"/>
      <c r="R524" s="6"/>
      <c r="S524" s="6"/>
      <c r="T524" s="6"/>
      <c r="U524" s="6"/>
      <c r="V524" s="6"/>
      <c r="W524" s="6"/>
      <c r="X524" s="12"/>
      <c r="Y524" s="59"/>
      <c r="Z524" s="6"/>
      <c r="AA524" s="6"/>
      <c r="AB524" s="6"/>
      <c r="AC524" s="6"/>
      <c r="AD524" s="10"/>
    </row>
    <row r="525" spans="1:30" s="9" customFormat="1" x14ac:dyDescent="0.2">
      <c r="A525" s="28"/>
      <c r="B525" s="16" t="s">
        <v>36</v>
      </c>
      <c r="C525" s="16" t="s">
        <v>157</v>
      </c>
      <c r="D525" s="7" t="s">
        <v>701</v>
      </c>
      <c r="E525" s="7"/>
      <c r="F525" s="6" t="s">
        <v>702</v>
      </c>
      <c r="G525" s="6"/>
      <c r="H525" s="17">
        <v>42748</v>
      </c>
      <c r="I525" s="39" t="s">
        <v>52</v>
      </c>
      <c r="J525" s="7">
        <v>36838</v>
      </c>
      <c r="K525" s="7"/>
      <c r="L525" s="23">
        <f>90+J525</f>
        <v>36928</v>
      </c>
      <c r="M525" s="18" t="s">
        <v>41</v>
      </c>
      <c r="N525" s="6" t="s">
        <v>42</v>
      </c>
      <c r="O525" s="6"/>
      <c r="P525" s="6"/>
      <c r="Q525" s="6"/>
      <c r="R525" s="6"/>
      <c r="S525" s="7">
        <v>36916</v>
      </c>
      <c r="T525" s="7">
        <v>36918</v>
      </c>
      <c r="U525" s="7"/>
      <c r="V525" s="6" t="s">
        <v>703</v>
      </c>
      <c r="W525" s="6">
        <v>699</v>
      </c>
      <c r="X525" s="6"/>
      <c r="Y525" s="59"/>
      <c r="Z525" s="6">
        <v>6666060166</v>
      </c>
      <c r="AA525" s="6" t="s">
        <v>318</v>
      </c>
      <c r="AB525" s="6" t="s">
        <v>211</v>
      </c>
      <c r="AC525" s="507"/>
      <c r="AD525" s="10" t="str">
        <f>IF(T525&lt;=L525,"en término","atrasado")</f>
        <v>en término</v>
      </c>
    </row>
    <row r="526" spans="1:30" s="9" customFormat="1" ht="12" thickBot="1" x14ac:dyDescent="0.25">
      <c r="A526" s="28"/>
      <c r="B526" s="19"/>
      <c r="C526" s="19"/>
      <c r="D526" s="5"/>
      <c r="E526" s="5"/>
      <c r="F526" s="5"/>
      <c r="G526" s="5"/>
      <c r="H526" s="20"/>
      <c r="I526" s="21"/>
      <c r="J526" s="5"/>
      <c r="K526" s="5"/>
      <c r="L526" s="127"/>
      <c r="M526" s="5"/>
      <c r="N526" s="5"/>
      <c r="O526" s="5"/>
      <c r="P526" s="5"/>
      <c r="Q526" s="5"/>
      <c r="R526" s="5"/>
      <c r="S526" s="27" t="s">
        <v>699</v>
      </c>
      <c r="T526" s="19"/>
      <c r="U526" s="19"/>
      <c r="V526" s="137"/>
      <c r="W526" s="5"/>
      <c r="X526" s="5"/>
      <c r="Y526" s="61"/>
      <c r="Z526" s="27">
        <v>36941</v>
      </c>
      <c r="AA526" s="5"/>
      <c r="AB526" s="5"/>
      <c r="AC526" s="5"/>
      <c r="AD526" s="10"/>
    </row>
    <row r="527" spans="1:30" s="9" customFormat="1" x14ac:dyDescent="0.2">
      <c r="A527" s="28"/>
      <c r="B527" s="11"/>
      <c r="C527" s="11"/>
      <c r="D527" s="91"/>
      <c r="E527" s="91"/>
      <c r="F527" s="12"/>
      <c r="G527" s="12"/>
      <c r="H527" s="13"/>
      <c r="I527" s="13"/>
      <c r="J527" s="91"/>
      <c r="K527" s="91"/>
      <c r="L527" s="134"/>
      <c r="M527" s="12"/>
      <c r="N527" s="12"/>
      <c r="O527" s="12"/>
      <c r="P527" s="12"/>
      <c r="Q527" s="12"/>
      <c r="R527" s="12"/>
      <c r="S527" s="12"/>
      <c r="T527" s="12"/>
      <c r="U527" s="12"/>
      <c r="V527" s="12"/>
      <c r="W527" s="12"/>
      <c r="X527" s="12"/>
      <c r="Y527" s="57"/>
      <c r="Z527" s="12"/>
      <c r="AA527" s="6"/>
      <c r="AB527" s="6"/>
      <c r="AC527" s="12"/>
      <c r="AD527" s="10"/>
    </row>
    <row r="528" spans="1:30" s="9" customFormat="1" x14ac:dyDescent="0.2">
      <c r="A528" s="28"/>
      <c r="B528" s="16" t="s">
        <v>36</v>
      </c>
      <c r="C528" s="16" t="s">
        <v>157</v>
      </c>
      <c r="D528" s="7" t="s">
        <v>704</v>
      </c>
      <c r="E528" s="7"/>
      <c r="F528" s="6" t="s">
        <v>705</v>
      </c>
      <c r="G528" s="6"/>
      <c r="H528" s="17">
        <v>350</v>
      </c>
      <c r="I528" s="39" t="s">
        <v>52</v>
      </c>
      <c r="J528" s="7">
        <v>36931</v>
      </c>
      <c r="K528" s="7"/>
      <c r="L528" s="23">
        <f>30+J528</f>
        <v>36961</v>
      </c>
      <c r="M528" s="18"/>
      <c r="N528" s="6" t="s">
        <v>465</v>
      </c>
      <c r="O528" s="6"/>
      <c r="P528" s="6"/>
      <c r="Q528" s="6"/>
      <c r="R528" s="6"/>
      <c r="S528" s="23">
        <v>36957</v>
      </c>
      <c r="T528" s="23">
        <v>36965</v>
      </c>
      <c r="U528" s="23"/>
      <c r="V528" s="6" t="s">
        <v>706</v>
      </c>
      <c r="W528" s="6">
        <v>701</v>
      </c>
      <c r="X528" s="6"/>
      <c r="Y528" s="59"/>
      <c r="Z528" s="6"/>
      <c r="AA528" s="6" t="s">
        <v>318</v>
      </c>
      <c r="AB528" s="6" t="s">
        <v>211</v>
      </c>
      <c r="AC528" s="507"/>
      <c r="AD528" s="10" t="str">
        <f>IF(T528&lt;=L528,"en término","atrasado")</f>
        <v>atrasado</v>
      </c>
    </row>
    <row r="529" spans="1:30" s="9" customFormat="1" ht="12" thickBot="1" x14ac:dyDescent="0.25">
      <c r="A529" s="28"/>
      <c r="B529" s="19"/>
      <c r="C529" s="19"/>
      <c r="D529" s="5"/>
      <c r="E529" s="5"/>
      <c r="F529" s="5"/>
      <c r="G529" s="5"/>
      <c r="H529" s="105"/>
      <c r="I529" s="21"/>
      <c r="J529" s="5"/>
      <c r="K529" s="5"/>
      <c r="L529" s="127"/>
      <c r="M529" s="5"/>
      <c r="N529" s="5"/>
      <c r="O529" s="5"/>
      <c r="P529" s="5"/>
      <c r="Q529" s="5"/>
      <c r="R529" s="5"/>
      <c r="S529" s="127"/>
      <c r="T529" s="19"/>
      <c r="U529" s="19"/>
      <c r="V529" s="137"/>
      <c r="W529" s="5"/>
      <c r="X529" s="5"/>
      <c r="Y529" s="61"/>
      <c r="Z529" s="5"/>
      <c r="AA529" s="5"/>
      <c r="AB529" s="5"/>
      <c r="AC529" s="5"/>
      <c r="AD529" s="10"/>
    </row>
    <row r="530" spans="1:30" s="9" customFormat="1" x14ac:dyDescent="0.2">
      <c r="A530" s="28"/>
      <c r="B530" s="11"/>
      <c r="C530" s="11"/>
      <c r="D530" s="91"/>
      <c r="E530" s="91"/>
      <c r="F530" s="12"/>
      <c r="G530" s="12"/>
      <c r="H530" s="13"/>
      <c r="I530" s="13"/>
      <c r="J530" s="91"/>
      <c r="K530" s="91"/>
      <c r="L530" s="134"/>
      <c r="M530" s="12"/>
      <c r="N530" s="12"/>
      <c r="O530" s="12"/>
      <c r="P530" s="12"/>
      <c r="Q530" s="12"/>
      <c r="R530" s="12"/>
      <c r="S530" s="12"/>
      <c r="T530" s="12"/>
      <c r="U530" s="12"/>
      <c r="V530" s="12"/>
      <c r="W530" s="12"/>
      <c r="X530" s="12"/>
      <c r="Y530" s="57"/>
      <c r="Z530" s="12"/>
      <c r="AA530" s="12"/>
      <c r="AB530" s="12"/>
      <c r="AC530" s="12"/>
      <c r="AD530" s="10"/>
    </row>
    <row r="531" spans="1:30" s="9" customFormat="1" x14ac:dyDescent="0.2">
      <c r="A531" s="28"/>
      <c r="B531" s="16" t="s">
        <v>36</v>
      </c>
      <c r="C531" s="16" t="s">
        <v>157</v>
      </c>
      <c r="D531" s="7" t="s">
        <v>707</v>
      </c>
      <c r="E531" s="7"/>
      <c r="F531" s="6" t="s">
        <v>708</v>
      </c>
      <c r="G531" s="6"/>
      <c r="H531" s="215">
        <v>117896</v>
      </c>
      <c r="I531" s="39" t="s">
        <v>52</v>
      </c>
      <c r="J531" s="7">
        <v>36893</v>
      </c>
      <c r="K531" s="7"/>
      <c r="L531" s="23">
        <v>36981</v>
      </c>
      <c r="M531" s="18" t="s">
        <v>41</v>
      </c>
      <c r="N531" s="6" t="s">
        <v>42</v>
      </c>
      <c r="O531" s="6"/>
      <c r="P531" s="6"/>
      <c r="Q531" s="6"/>
      <c r="R531" s="6"/>
      <c r="S531" s="23">
        <v>36965</v>
      </c>
      <c r="T531" s="23">
        <v>36976</v>
      </c>
      <c r="U531" s="23"/>
      <c r="V531" s="6" t="s">
        <v>709</v>
      </c>
      <c r="W531" s="6">
        <v>704</v>
      </c>
      <c r="X531" s="6"/>
      <c r="Y531" s="59"/>
      <c r="Z531" s="6">
        <v>6666060662</v>
      </c>
      <c r="AA531" s="6" t="s">
        <v>318</v>
      </c>
      <c r="AB531" s="6" t="s">
        <v>211</v>
      </c>
      <c r="AC531" s="507"/>
      <c r="AD531" s="10" t="str">
        <f>IF(T531&lt;=L531,"en término","atrasado")</f>
        <v>en término</v>
      </c>
    </row>
    <row r="532" spans="1:30" s="9" customFormat="1" ht="12" thickBot="1" x14ac:dyDescent="0.25">
      <c r="A532" s="28"/>
      <c r="B532" s="19"/>
      <c r="C532" s="19"/>
      <c r="D532" s="5"/>
      <c r="E532" s="5"/>
      <c r="F532" s="5"/>
      <c r="G532" s="5"/>
      <c r="H532" s="20">
        <v>103695.37</v>
      </c>
      <c r="I532" s="21"/>
      <c r="J532" s="5"/>
      <c r="K532" s="5"/>
      <c r="L532" s="127" t="s">
        <v>710</v>
      </c>
      <c r="M532" s="5"/>
      <c r="N532" s="5"/>
      <c r="O532" s="5"/>
      <c r="P532" s="5"/>
      <c r="Q532" s="5"/>
      <c r="R532" s="5"/>
      <c r="S532" s="127"/>
      <c r="T532" s="19"/>
      <c r="U532" s="19"/>
      <c r="V532" s="137"/>
      <c r="W532" s="5"/>
      <c r="X532" s="5"/>
      <c r="Y532" s="61"/>
      <c r="Z532" s="27">
        <v>36990</v>
      </c>
      <c r="AA532" s="5"/>
      <c r="AB532" s="5"/>
      <c r="AC532" s="5"/>
      <c r="AD532" s="10"/>
    </row>
    <row r="533" spans="1:30" s="9" customFormat="1" x14ac:dyDescent="0.2">
      <c r="A533" s="28"/>
      <c r="B533" s="11"/>
      <c r="C533" s="11"/>
      <c r="D533" s="91"/>
      <c r="E533" s="91"/>
      <c r="F533" s="12"/>
      <c r="G533" s="12"/>
      <c r="H533" s="13"/>
      <c r="I533" s="13"/>
      <c r="J533" s="91"/>
      <c r="K533" s="91"/>
      <c r="L533" s="134"/>
      <c r="M533" s="12"/>
      <c r="N533" s="12"/>
      <c r="O533" s="12"/>
      <c r="P533" s="12"/>
      <c r="Q533" s="12"/>
      <c r="R533" s="12"/>
      <c r="S533" s="12"/>
      <c r="T533" s="12"/>
      <c r="U533" s="12"/>
      <c r="V533" s="12"/>
      <c r="W533" s="12"/>
      <c r="X533" s="12"/>
      <c r="Y533" s="57"/>
      <c r="Z533" s="12"/>
      <c r="AA533" s="12"/>
      <c r="AB533" s="12"/>
      <c r="AC533" s="12"/>
      <c r="AD533" s="10"/>
    </row>
    <row r="534" spans="1:30" s="9" customFormat="1" x14ac:dyDescent="0.2">
      <c r="A534" s="28"/>
      <c r="B534" s="16" t="s">
        <v>36</v>
      </c>
      <c r="C534" s="16" t="s">
        <v>157</v>
      </c>
      <c r="D534" s="7" t="s">
        <v>711</v>
      </c>
      <c r="E534" s="7"/>
      <c r="F534" s="6" t="s">
        <v>712</v>
      </c>
      <c r="G534" s="6"/>
      <c r="H534" s="17">
        <v>4515</v>
      </c>
      <c r="I534" s="39" t="s">
        <v>713</v>
      </c>
      <c r="J534" s="7">
        <v>36941</v>
      </c>
      <c r="K534" s="7"/>
      <c r="L534" s="23">
        <f>42+J534</f>
        <v>36983</v>
      </c>
      <c r="M534" s="18" t="s">
        <v>171</v>
      </c>
      <c r="N534" s="6" t="s">
        <v>110</v>
      </c>
      <c r="O534" s="6"/>
      <c r="P534" s="6"/>
      <c r="Q534" s="6"/>
      <c r="R534" s="6"/>
      <c r="S534" s="23">
        <v>36973</v>
      </c>
      <c r="T534" s="23">
        <v>36988</v>
      </c>
      <c r="U534" s="23"/>
      <c r="V534" s="6" t="s">
        <v>714</v>
      </c>
      <c r="W534" s="6">
        <v>706</v>
      </c>
      <c r="X534" s="6"/>
      <c r="Y534" s="59"/>
      <c r="Z534" s="6"/>
      <c r="AA534" s="6" t="s">
        <v>318</v>
      </c>
      <c r="AB534" s="6" t="s">
        <v>211</v>
      </c>
      <c r="AC534" s="507"/>
      <c r="AD534" s="10" t="str">
        <f>IF(T534&lt;=L534,"en término","atrasado")</f>
        <v>atrasado</v>
      </c>
    </row>
    <row r="535" spans="1:30" s="9" customFormat="1" ht="12" thickBot="1" x14ac:dyDescent="0.25">
      <c r="A535" s="28"/>
      <c r="B535" s="19"/>
      <c r="C535" s="19"/>
      <c r="D535" s="5"/>
      <c r="E535" s="5"/>
      <c r="F535" s="5"/>
      <c r="G535" s="5"/>
      <c r="H535" s="20"/>
      <c r="I535" s="21"/>
      <c r="J535" s="5"/>
      <c r="K535" s="5"/>
      <c r="L535" s="127"/>
      <c r="M535" s="5"/>
      <c r="N535" s="5"/>
      <c r="O535" s="5"/>
      <c r="P535" s="5"/>
      <c r="Q535" s="5"/>
      <c r="R535" s="5"/>
      <c r="S535" s="27"/>
      <c r="T535" s="19"/>
      <c r="U535" s="19"/>
      <c r="V535" s="139" t="s">
        <v>715</v>
      </c>
      <c r="W535" s="5"/>
      <c r="X535" s="5"/>
      <c r="Y535" s="61"/>
      <c r="Z535" s="5"/>
      <c r="AA535" s="5"/>
      <c r="AB535" s="5"/>
      <c r="AC535" s="5"/>
      <c r="AD535" s="10"/>
    </row>
    <row r="536" spans="1:30" s="9" customFormat="1" x14ac:dyDescent="0.2">
      <c r="A536" s="28"/>
      <c r="B536" s="11"/>
      <c r="C536" s="11"/>
      <c r="D536" s="91"/>
      <c r="E536" s="91"/>
      <c r="F536" s="12"/>
      <c r="G536" s="12"/>
      <c r="H536" s="13"/>
      <c r="I536" s="13"/>
      <c r="J536" s="91"/>
      <c r="K536" s="91"/>
      <c r="L536" s="134"/>
      <c r="M536" s="12"/>
      <c r="N536" s="12"/>
      <c r="O536" s="12"/>
      <c r="P536" s="12"/>
      <c r="Q536" s="12"/>
      <c r="R536" s="12"/>
      <c r="S536" s="12"/>
      <c r="T536" s="12"/>
      <c r="U536" s="12"/>
      <c r="V536" s="12"/>
      <c r="W536" s="12"/>
      <c r="X536" s="12"/>
      <c r="Y536" s="57"/>
      <c r="Z536" s="12"/>
      <c r="AA536" s="12"/>
      <c r="AB536" s="12"/>
      <c r="AC536" s="12"/>
      <c r="AD536" s="10"/>
    </row>
    <row r="537" spans="1:30" s="9" customFormat="1" x14ac:dyDescent="0.2">
      <c r="A537" s="28"/>
      <c r="B537" s="16" t="s">
        <v>36</v>
      </c>
      <c r="C537" s="16" t="s">
        <v>133</v>
      </c>
      <c r="D537" s="7" t="s">
        <v>669</v>
      </c>
      <c r="E537" s="7"/>
      <c r="F537" s="6" t="s">
        <v>670</v>
      </c>
      <c r="G537" s="6"/>
      <c r="H537" s="17">
        <v>39762</v>
      </c>
      <c r="I537" s="39" t="s">
        <v>139</v>
      </c>
      <c r="J537" s="7">
        <v>36927</v>
      </c>
      <c r="K537" s="7"/>
      <c r="L537" s="23">
        <f>+J537+90</f>
        <v>37017</v>
      </c>
      <c r="M537" s="18" t="s">
        <v>41</v>
      </c>
      <c r="N537" s="6" t="s">
        <v>42</v>
      </c>
      <c r="O537" s="6"/>
      <c r="P537" s="6"/>
      <c r="Q537" s="6"/>
      <c r="R537" s="6"/>
      <c r="S537" s="23">
        <v>37005</v>
      </c>
      <c r="T537" s="7">
        <v>37013</v>
      </c>
      <c r="U537" s="7"/>
      <c r="V537" s="6" t="s">
        <v>716</v>
      </c>
      <c r="W537" s="6">
        <v>714</v>
      </c>
      <c r="Y537" s="59"/>
      <c r="Z537" s="6" t="s">
        <v>717</v>
      </c>
      <c r="AA537" s="6" t="s">
        <v>318</v>
      </c>
      <c r="AB537" s="6" t="s">
        <v>211</v>
      </c>
      <c r="AC537" s="507"/>
      <c r="AD537" s="10" t="str">
        <f>IF(T537&lt;=L537,"en término","atrasado")</f>
        <v>en término</v>
      </c>
    </row>
    <row r="538" spans="1:30" s="9" customFormat="1" ht="12" thickBot="1" x14ac:dyDescent="0.25">
      <c r="A538" s="28"/>
      <c r="B538" s="19"/>
      <c r="C538" s="19"/>
      <c r="D538" s="5"/>
      <c r="E538" s="5"/>
      <c r="F538" s="5" t="s">
        <v>718</v>
      </c>
      <c r="G538" s="5"/>
      <c r="H538" s="20"/>
      <c r="I538" s="21" t="s">
        <v>719</v>
      </c>
      <c r="J538" s="5"/>
      <c r="K538" s="5"/>
      <c r="L538" s="127"/>
      <c r="M538" s="5"/>
      <c r="N538" s="5"/>
      <c r="O538" s="5"/>
      <c r="P538" s="5"/>
      <c r="Q538" s="5"/>
      <c r="R538" s="5"/>
      <c r="S538" s="127" t="s">
        <v>720</v>
      </c>
      <c r="T538" s="5"/>
      <c r="U538" s="5"/>
      <c r="V538" s="137"/>
      <c r="W538" s="5"/>
      <c r="X538" s="5"/>
      <c r="Y538" s="61"/>
      <c r="Z538" s="5"/>
      <c r="AA538" s="5"/>
      <c r="AB538" s="5"/>
      <c r="AC538" s="5"/>
      <c r="AD538" s="10"/>
    </row>
    <row r="539" spans="1:30" s="9" customFormat="1" x14ac:dyDescent="0.2">
      <c r="A539" s="28"/>
      <c r="B539" s="16"/>
      <c r="C539" s="16"/>
      <c r="D539" s="7"/>
      <c r="E539" s="7"/>
      <c r="F539" s="6"/>
      <c r="G539" s="6"/>
      <c r="H539" s="17"/>
      <c r="I539" s="17"/>
      <c r="J539" s="7"/>
      <c r="K539" s="7"/>
      <c r="L539" s="23"/>
      <c r="M539" s="6"/>
      <c r="N539" s="6"/>
      <c r="O539" s="6"/>
      <c r="P539" s="6"/>
      <c r="Q539" s="6"/>
      <c r="R539" s="6"/>
      <c r="S539" s="6"/>
      <c r="T539" s="6"/>
      <c r="U539" s="6"/>
      <c r="V539" s="6"/>
      <c r="W539" s="6"/>
      <c r="X539" s="12"/>
      <c r="Y539" s="59"/>
      <c r="Z539" s="6"/>
      <c r="AA539" s="6"/>
      <c r="AB539" s="6"/>
      <c r="AC539" s="6"/>
      <c r="AD539" s="10"/>
    </row>
    <row r="540" spans="1:30" s="9" customFormat="1" x14ac:dyDescent="0.2">
      <c r="A540" s="28"/>
      <c r="B540" s="16" t="s">
        <v>36</v>
      </c>
      <c r="C540" s="16" t="s">
        <v>133</v>
      </c>
      <c r="D540" s="7" t="s">
        <v>669</v>
      </c>
      <c r="E540" s="7"/>
      <c r="F540" s="6" t="s">
        <v>670</v>
      </c>
      <c r="G540" s="6"/>
      <c r="H540" s="17">
        <v>11542</v>
      </c>
      <c r="I540" s="39" t="s">
        <v>40</v>
      </c>
      <c r="J540" s="7">
        <v>36927</v>
      </c>
      <c r="K540" s="7"/>
      <c r="L540" s="23">
        <v>37017</v>
      </c>
      <c r="M540" s="18" t="s">
        <v>41</v>
      </c>
      <c r="N540" s="6" t="s">
        <v>42</v>
      </c>
      <c r="O540" s="6"/>
      <c r="P540" s="6"/>
      <c r="Q540" s="6"/>
      <c r="R540" s="6"/>
      <c r="S540" s="23">
        <v>37005</v>
      </c>
      <c r="T540" s="7">
        <v>37013</v>
      </c>
      <c r="U540" s="7"/>
      <c r="V540" s="6" t="s">
        <v>721</v>
      </c>
      <c r="W540" s="6">
        <v>715</v>
      </c>
      <c r="X540" s="6"/>
      <c r="Y540" s="59"/>
      <c r="Z540" s="6" t="s">
        <v>717</v>
      </c>
      <c r="AA540" s="6" t="s">
        <v>318</v>
      </c>
      <c r="AB540" s="6" t="s">
        <v>211</v>
      </c>
      <c r="AC540" s="507"/>
      <c r="AD540" s="10" t="str">
        <f>IF(T540&lt;=L540,"en término","atrasado")</f>
        <v>en término</v>
      </c>
    </row>
    <row r="541" spans="1:30" s="9" customFormat="1" ht="12" thickBot="1" x14ac:dyDescent="0.25">
      <c r="A541" s="28"/>
      <c r="B541" s="19"/>
      <c r="C541" s="19"/>
      <c r="D541" s="5"/>
      <c r="E541" s="5"/>
      <c r="F541" s="5" t="s">
        <v>722</v>
      </c>
      <c r="G541" s="5"/>
      <c r="H541" s="20"/>
      <c r="I541" s="21" t="s">
        <v>446</v>
      </c>
      <c r="J541" s="5"/>
      <c r="K541" s="5"/>
      <c r="L541" s="127"/>
      <c r="M541" s="5"/>
      <c r="N541" s="5"/>
      <c r="O541" s="5"/>
      <c r="P541" s="5"/>
      <c r="Q541" s="5"/>
      <c r="R541" s="5"/>
      <c r="S541" s="127" t="s">
        <v>720</v>
      </c>
      <c r="T541" s="5"/>
      <c r="U541" s="5"/>
      <c r="V541" s="139" t="s">
        <v>723</v>
      </c>
      <c r="W541" s="5"/>
      <c r="X541" s="5"/>
      <c r="Y541" s="61"/>
      <c r="Z541" s="5"/>
      <c r="AA541" s="5"/>
      <c r="AB541" s="5"/>
      <c r="AC541" s="5"/>
      <c r="AD541" s="10"/>
    </row>
    <row r="542" spans="1:30" s="9" customFormat="1" x14ac:dyDescent="0.2">
      <c r="A542" s="28"/>
      <c r="B542" s="16"/>
      <c r="C542" s="16"/>
      <c r="D542" s="7"/>
      <c r="E542" s="7"/>
      <c r="F542" s="6"/>
      <c r="G542" s="6"/>
      <c r="H542" s="17"/>
      <c r="I542" s="17"/>
      <c r="J542" s="7"/>
      <c r="K542" s="7"/>
      <c r="L542" s="23"/>
      <c r="M542" s="6"/>
      <c r="N542" s="6"/>
      <c r="O542" s="6"/>
      <c r="P542" s="6"/>
      <c r="Q542" s="6"/>
      <c r="R542" s="6"/>
      <c r="S542" s="6"/>
      <c r="T542" s="6"/>
      <c r="U542" s="6"/>
      <c r="V542" s="6"/>
      <c r="W542" s="6"/>
      <c r="X542" s="12"/>
      <c r="Y542" s="59"/>
      <c r="Z542" s="6"/>
      <c r="AA542" s="6"/>
      <c r="AB542" s="6"/>
      <c r="AC542" s="6"/>
      <c r="AD542" s="10"/>
    </row>
    <row r="543" spans="1:30" s="9" customFormat="1" x14ac:dyDescent="0.2">
      <c r="A543" s="28"/>
      <c r="B543" s="16" t="s">
        <v>36</v>
      </c>
      <c r="C543" s="16" t="s">
        <v>133</v>
      </c>
      <c r="D543" s="7" t="s">
        <v>669</v>
      </c>
      <c r="E543" s="7"/>
      <c r="F543" s="6" t="s">
        <v>670</v>
      </c>
      <c r="G543" s="6"/>
      <c r="H543" s="17">
        <v>25720</v>
      </c>
      <c r="I543" s="39" t="s">
        <v>142</v>
      </c>
      <c r="J543" s="7">
        <v>36927</v>
      </c>
      <c r="K543" s="7"/>
      <c r="L543" s="23">
        <v>37017</v>
      </c>
      <c r="M543" s="18" t="s">
        <v>41</v>
      </c>
      <c r="N543" s="6" t="s">
        <v>42</v>
      </c>
      <c r="O543" s="6"/>
      <c r="P543" s="6"/>
      <c r="Q543" s="6"/>
      <c r="R543" s="6"/>
      <c r="S543" s="23">
        <v>37005</v>
      </c>
      <c r="T543" s="7">
        <v>37013</v>
      </c>
      <c r="U543" s="7"/>
      <c r="V543" s="6" t="s">
        <v>724</v>
      </c>
      <c r="W543" s="6">
        <v>716</v>
      </c>
      <c r="X543" s="6"/>
      <c r="Y543" s="59"/>
      <c r="Z543" s="6" t="s">
        <v>717</v>
      </c>
      <c r="AA543" s="6" t="s">
        <v>318</v>
      </c>
      <c r="AB543" s="6" t="s">
        <v>211</v>
      </c>
      <c r="AC543" s="507"/>
      <c r="AD543" s="10" t="str">
        <f>IF(T543&lt;=L543,"en término","atrasado")</f>
        <v>en término</v>
      </c>
    </row>
    <row r="544" spans="1:30" s="9" customFormat="1" ht="12" thickBot="1" x14ac:dyDescent="0.25">
      <c r="A544" s="28"/>
      <c r="B544" s="19"/>
      <c r="C544" s="19"/>
      <c r="D544" s="5"/>
      <c r="E544" s="5"/>
      <c r="F544" s="5" t="s">
        <v>725</v>
      </c>
      <c r="G544" s="5"/>
      <c r="H544" s="20"/>
      <c r="I544" s="21" t="s">
        <v>208</v>
      </c>
      <c r="J544" s="5"/>
      <c r="K544" s="5"/>
      <c r="L544" s="127"/>
      <c r="M544" s="5"/>
      <c r="N544" s="5"/>
      <c r="O544" s="5"/>
      <c r="P544" s="5"/>
      <c r="Q544" s="5"/>
      <c r="R544" s="5"/>
      <c r="S544" s="127" t="s">
        <v>720</v>
      </c>
      <c r="T544" s="5"/>
      <c r="U544" s="5"/>
      <c r="V544" s="5" t="s">
        <v>726</v>
      </c>
      <c r="W544" s="5"/>
      <c r="X544" s="5"/>
      <c r="Y544" s="61"/>
      <c r="Z544" s="5"/>
      <c r="AA544" s="5"/>
      <c r="AB544" s="5"/>
      <c r="AC544" s="5"/>
      <c r="AD544" s="10"/>
    </row>
    <row r="545" spans="1:30" s="9" customFormat="1" x14ac:dyDescent="0.2">
      <c r="A545" s="28"/>
      <c r="B545" s="11"/>
      <c r="C545" s="11"/>
      <c r="D545" s="91"/>
      <c r="E545" s="91"/>
      <c r="F545" s="12"/>
      <c r="G545" s="12"/>
      <c r="H545" s="13"/>
      <c r="I545" s="13"/>
      <c r="J545" s="91"/>
      <c r="K545" s="91"/>
      <c r="L545" s="134"/>
      <c r="M545" s="12"/>
      <c r="N545" s="12"/>
      <c r="O545" s="12"/>
      <c r="P545" s="12"/>
      <c r="Q545" s="12"/>
      <c r="R545" s="12"/>
      <c r="S545" s="15"/>
      <c r="T545" s="12"/>
      <c r="U545" s="12"/>
      <c r="V545" s="12"/>
      <c r="W545" s="12"/>
      <c r="X545" s="12"/>
      <c r="Y545" s="57"/>
      <c r="Z545" s="12"/>
      <c r="AA545" s="12"/>
      <c r="AB545" s="12"/>
      <c r="AC545" s="12"/>
      <c r="AD545" s="10"/>
    </row>
    <row r="546" spans="1:30" s="9" customFormat="1" x14ac:dyDescent="0.2">
      <c r="A546" s="28"/>
      <c r="B546" s="16" t="s">
        <v>36</v>
      </c>
      <c r="C546" s="16" t="s">
        <v>133</v>
      </c>
      <c r="D546" s="7" t="s">
        <v>669</v>
      </c>
      <c r="E546" s="7"/>
      <c r="F546" s="6" t="s">
        <v>670</v>
      </c>
      <c r="G546" s="6"/>
      <c r="H546" s="17">
        <v>43266</v>
      </c>
      <c r="I546" s="39" t="s">
        <v>202</v>
      </c>
      <c r="J546" s="7">
        <v>36936</v>
      </c>
      <c r="K546" s="7"/>
      <c r="L546" s="175">
        <f>90+J546</f>
        <v>37026</v>
      </c>
      <c r="M546" s="18" t="s">
        <v>41</v>
      </c>
      <c r="N546" s="6" t="s">
        <v>42</v>
      </c>
      <c r="O546" s="6"/>
      <c r="P546" s="6"/>
      <c r="Q546" s="6"/>
      <c r="R546" s="6"/>
      <c r="S546" s="23">
        <v>37005</v>
      </c>
      <c r="T546" s="7">
        <v>37008</v>
      </c>
      <c r="U546" s="7"/>
      <c r="V546" s="40" t="s">
        <v>727</v>
      </c>
      <c r="W546" s="6">
        <v>717</v>
      </c>
      <c r="X546" s="6"/>
      <c r="Y546" s="59"/>
      <c r="Z546" s="6" t="s">
        <v>717</v>
      </c>
      <c r="AA546" s="6" t="s">
        <v>318</v>
      </c>
      <c r="AB546" s="6" t="s">
        <v>211</v>
      </c>
      <c r="AC546" s="507"/>
      <c r="AD546" s="10" t="str">
        <f>IF(T546&lt;=L546,"en término","atrasado")</f>
        <v>en término</v>
      </c>
    </row>
    <row r="547" spans="1:30" s="9" customFormat="1" ht="12" thickBot="1" x14ac:dyDescent="0.25">
      <c r="A547" s="28"/>
      <c r="B547" s="19"/>
      <c r="C547" s="19"/>
      <c r="D547" s="5"/>
      <c r="E547" s="5"/>
      <c r="F547" s="5" t="s">
        <v>673</v>
      </c>
      <c r="G547" s="5"/>
      <c r="H547" s="20"/>
      <c r="I547" s="21" t="s">
        <v>138</v>
      </c>
      <c r="J547" s="5"/>
      <c r="K547" s="5"/>
      <c r="L547" s="127"/>
      <c r="M547" s="5"/>
      <c r="N547" s="5"/>
      <c r="O547" s="5"/>
      <c r="P547" s="5"/>
      <c r="Q547" s="5"/>
      <c r="R547" s="5"/>
      <c r="S547" s="127" t="s">
        <v>720</v>
      </c>
      <c r="T547" s="5"/>
      <c r="U547" s="5"/>
      <c r="V547" s="5" t="s">
        <v>693</v>
      </c>
      <c r="W547" s="5"/>
      <c r="X547" s="5"/>
      <c r="Y547" s="61"/>
      <c r="Z547" s="5"/>
      <c r="AA547" s="5"/>
      <c r="AB547" s="5"/>
      <c r="AC547" s="5"/>
      <c r="AD547" s="10"/>
    </row>
    <row r="548" spans="1:30" s="9" customFormat="1" x14ac:dyDescent="0.2">
      <c r="A548" s="28"/>
      <c r="B548" s="11"/>
      <c r="C548" s="11"/>
      <c r="D548" s="91"/>
      <c r="E548" s="91"/>
      <c r="F548" s="12"/>
      <c r="G548" s="12"/>
      <c r="H548" s="13"/>
      <c r="I548" s="13"/>
      <c r="J548" s="91"/>
      <c r="K548" s="91"/>
      <c r="L548" s="134"/>
      <c r="M548" s="12"/>
      <c r="N548" s="12"/>
      <c r="O548" s="12"/>
      <c r="P548" s="12"/>
      <c r="Q548" s="12"/>
      <c r="R548" s="12"/>
      <c r="S548" s="15"/>
      <c r="T548" s="12"/>
      <c r="U548" s="12"/>
      <c r="V548" s="12"/>
      <c r="W548" s="12"/>
      <c r="X548" s="12"/>
      <c r="Y548" s="59"/>
      <c r="Z548" s="6"/>
      <c r="AA548" s="6"/>
      <c r="AB548" s="6"/>
      <c r="AC548" s="6"/>
      <c r="AD548" s="10"/>
    </row>
    <row r="549" spans="1:30" s="9" customFormat="1" x14ac:dyDescent="0.2">
      <c r="A549" s="28"/>
      <c r="B549" s="16" t="s">
        <v>36</v>
      </c>
      <c r="C549" s="16" t="s">
        <v>133</v>
      </c>
      <c r="D549" s="7" t="s">
        <v>557</v>
      </c>
      <c r="E549" s="7"/>
      <c r="F549" s="6" t="s">
        <v>438</v>
      </c>
      <c r="G549" s="6"/>
      <c r="H549" s="17">
        <v>1446</v>
      </c>
      <c r="I549" s="39" t="s">
        <v>142</v>
      </c>
      <c r="J549" s="7">
        <v>37190</v>
      </c>
      <c r="K549" s="7"/>
      <c r="L549" s="175">
        <v>37046</v>
      </c>
      <c r="M549" s="18" t="s">
        <v>41</v>
      </c>
      <c r="N549" s="6" t="s">
        <v>42</v>
      </c>
      <c r="O549" s="6"/>
      <c r="P549" s="6"/>
      <c r="Q549" s="6"/>
      <c r="R549" s="6"/>
      <c r="S549" s="23">
        <v>37005</v>
      </c>
      <c r="T549" s="7">
        <v>37008</v>
      </c>
      <c r="U549" s="7"/>
      <c r="V549" s="40" t="s">
        <v>728</v>
      </c>
      <c r="W549" s="6">
        <v>718</v>
      </c>
      <c r="X549" s="6"/>
      <c r="Y549" s="59"/>
      <c r="Z549" s="6" t="s">
        <v>717</v>
      </c>
      <c r="AA549" s="6" t="s">
        <v>318</v>
      </c>
      <c r="AB549" s="6" t="s">
        <v>211</v>
      </c>
      <c r="AC549" s="507"/>
      <c r="AD549" s="10" t="str">
        <f>IF(T549&lt;=L549,"en término","atrasado")</f>
        <v>en término</v>
      </c>
    </row>
    <row r="550" spans="1:30" s="9" customFormat="1" ht="12" thickBot="1" x14ac:dyDescent="0.25">
      <c r="A550" s="28"/>
      <c r="B550" s="19"/>
      <c r="C550" s="19"/>
      <c r="D550" s="5"/>
      <c r="E550" s="5"/>
      <c r="F550" s="5" t="s">
        <v>679</v>
      </c>
      <c r="G550" s="5"/>
      <c r="H550" s="20"/>
      <c r="I550" s="21" t="s">
        <v>208</v>
      </c>
      <c r="J550" s="5"/>
      <c r="K550" s="5"/>
      <c r="L550" s="127"/>
      <c r="M550" s="5"/>
      <c r="N550" s="5"/>
      <c r="O550" s="5"/>
      <c r="P550" s="5"/>
      <c r="Q550" s="5"/>
      <c r="R550" s="5"/>
      <c r="S550" s="127"/>
      <c r="T550" s="5"/>
      <c r="U550" s="5"/>
      <c r="V550" s="185"/>
      <c r="W550" s="5"/>
      <c r="X550" s="5"/>
      <c r="Y550" s="61"/>
      <c r="Z550" s="5"/>
      <c r="AA550" s="5"/>
      <c r="AB550" s="5"/>
      <c r="AC550" s="5"/>
      <c r="AD550" s="10"/>
    </row>
    <row r="552" spans="1:30" ht="12" thickBot="1" x14ac:dyDescent="0.25"/>
    <row r="553" spans="1:30" s="9" customFormat="1" x14ac:dyDescent="0.2">
      <c r="A553" s="28"/>
      <c r="B553" s="11"/>
      <c r="C553" s="11"/>
      <c r="D553" s="91"/>
      <c r="E553" s="91"/>
      <c r="F553" s="12"/>
      <c r="G553" s="12"/>
      <c r="H553" s="13"/>
      <c r="I553" s="13"/>
      <c r="J553" s="91"/>
      <c r="K553" s="91"/>
      <c r="L553" s="134"/>
      <c r="M553" s="12"/>
      <c r="N553" s="12"/>
      <c r="O553" s="12"/>
      <c r="P553" s="12"/>
      <c r="Q553" s="12"/>
      <c r="R553" s="12"/>
      <c r="S553" s="15"/>
      <c r="T553" s="12"/>
      <c r="U553" s="12"/>
      <c r="V553" s="12"/>
      <c r="W553" s="12"/>
      <c r="X553" s="12"/>
      <c r="Y553" s="57"/>
      <c r="Z553" s="12"/>
      <c r="AA553" s="12"/>
      <c r="AB553" s="12"/>
      <c r="AC553" s="12"/>
      <c r="AD553" s="10"/>
    </row>
    <row r="554" spans="1:30" s="9" customFormat="1" x14ac:dyDescent="0.2">
      <c r="A554" s="28"/>
      <c r="B554" s="16" t="s">
        <v>36</v>
      </c>
      <c r="C554" s="16" t="s">
        <v>133</v>
      </c>
      <c r="D554" s="7" t="s">
        <v>557</v>
      </c>
      <c r="E554" s="7"/>
      <c r="F554" s="6" t="s">
        <v>438</v>
      </c>
      <c r="G554" s="6"/>
      <c r="H554" s="17">
        <f>18248-1446</f>
        <v>16802</v>
      </c>
      <c r="I554" s="39" t="s">
        <v>142</v>
      </c>
      <c r="J554" s="7">
        <v>37190</v>
      </c>
      <c r="K554" s="7"/>
      <c r="L554" s="175">
        <v>37046</v>
      </c>
      <c r="M554" s="18" t="s">
        <v>41</v>
      </c>
      <c r="N554" s="6" t="s">
        <v>42</v>
      </c>
      <c r="O554" s="6"/>
      <c r="P554" s="6"/>
      <c r="Q554" s="6"/>
      <c r="R554" s="6"/>
      <c r="S554" s="23">
        <v>37041</v>
      </c>
      <c r="T554" s="7">
        <v>37046</v>
      </c>
      <c r="U554" s="7"/>
      <c r="V554" s="184" t="s">
        <v>729</v>
      </c>
      <c r="W554" s="6">
        <v>722</v>
      </c>
      <c r="X554" s="6" t="s">
        <v>211</v>
      </c>
      <c r="Y554" s="59"/>
      <c r="Z554" s="6">
        <v>6512520685</v>
      </c>
      <c r="AA554" s="6" t="s">
        <v>318</v>
      </c>
      <c r="AB554" s="6" t="s">
        <v>211</v>
      </c>
      <c r="AC554" s="507"/>
      <c r="AD554" s="10" t="str">
        <f>IF(T554&lt;=L554,"en término","atrasado")</f>
        <v>en término</v>
      </c>
    </row>
    <row r="555" spans="1:30" s="9" customFormat="1" ht="12" thickBot="1" x14ac:dyDescent="0.25">
      <c r="A555" s="28"/>
      <c r="B555" s="19"/>
      <c r="C555" s="19"/>
      <c r="D555" s="5"/>
      <c r="E555" s="5"/>
      <c r="F555" s="5" t="s">
        <v>679</v>
      </c>
      <c r="G555" s="5"/>
      <c r="H555" s="20"/>
      <c r="I555" s="21" t="s">
        <v>208</v>
      </c>
      <c r="J555" s="5"/>
      <c r="K555" s="5"/>
      <c r="L555" s="127"/>
      <c r="M555" s="5"/>
      <c r="N555" s="5"/>
      <c r="O555" s="5"/>
      <c r="P555" s="5"/>
      <c r="Q555" s="5"/>
      <c r="R555" s="5"/>
      <c r="S555" s="127" t="s">
        <v>730</v>
      </c>
      <c r="T555" s="5"/>
      <c r="U555" s="5"/>
      <c r="V555" s="185" t="s">
        <v>693</v>
      </c>
      <c r="W555" s="5"/>
      <c r="X555" s="5"/>
      <c r="Y555" s="61"/>
      <c r="Z555" s="5"/>
      <c r="AA555" s="5"/>
      <c r="AB555" s="5"/>
      <c r="AC555" s="5"/>
      <c r="AD555" s="10"/>
    </row>
    <row r="556" spans="1:30" s="9" customFormat="1" x14ac:dyDescent="0.2">
      <c r="A556" s="28"/>
      <c r="B556" s="16"/>
      <c r="C556" s="16"/>
      <c r="D556" s="7"/>
      <c r="E556" s="7"/>
      <c r="F556" s="6" t="s">
        <v>670</v>
      </c>
      <c r="G556" s="6"/>
      <c r="H556" s="17"/>
      <c r="I556" s="17"/>
      <c r="J556" s="7"/>
      <c r="K556" s="7"/>
      <c r="L556" s="23"/>
      <c r="M556" s="6"/>
      <c r="N556" s="6"/>
      <c r="O556" s="6"/>
      <c r="P556" s="6"/>
      <c r="Q556" s="6"/>
      <c r="R556" s="6"/>
      <c r="S556" s="6"/>
      <c r="T556" s="6"/>
      <c r="U556" s="6"/>
      <c r="V556" s="6"/>
      <c r="W556" s="6"/>
      <c r="X556" s="12"/>
      <c r="Y556" s="59"/>
      <c r="Z556" s="6"/>
      <c r="AA556" s="6"/>
      <c r="AB556" s="6"/>
      <c r="AC556" s="6"/>
      <c r="AD556" s="10"/>
    </row>
    <row r="557" spans="1:30" s="9" customFormat="1" x14ac:dyDescent="0.2">
      <c r="A557" s="28"/>
      <c r="B557" s="16" t="s">
        <v>36</v>
      </c>
      <c r="C557" s="16" t="s">
        <v>133</v>
      </c>
      <c r="D557" s="7" t="s">
        <v>669</v>
      </c>
      <c r="E557" s="7"/>
      <c r="F557" s="6" t="s">
        <v>731</v>
      </c>
      <c r="G557" s="6"/>
      <c r="H557" s="17">
        <v>40429</v>
      </c>
      <c r="I557" s="39" t="s">
        <v>139</v>
      </c>
      <c r="J557" s="7">
        <v>36959</v>
      </c>
      <c r="K557" s="7"/>
      <c r="L557" s="23">
        <v>37049</v>
      </c>
      <c r="M557" s="18" t="s">
        <v>41</v>
      </c>
      <c r="N557" s="6" t="s">
        <v>42</v>
      </c>
      <c r="O557" s="6"/>
      <c r="P557" s="6"/>
      <c r="Q557" s="6"/>
      <c r="R557" s="6"/>
      <c r="S557" s="23">
        <v>37041</v>
      </c>
      <c r="T557" s="7">
        <v>37046</v>
      </c>
      <c r="U557" s="7"/>
      <c r="V557" s="6" t="s">
        <v>732</v>
      </c>
      <c r="W557" s="6">
        <v>723</v>
      </c>
      <c r="X557" s="6" t="s">
        <v>211</v>
      </c>
      <c r="Y557" s="59"/>
      <c r="Z557" s="6">
        <v>6512520685</v>
      </c>
      <c r="AA557" s="6" t="s">
        <v>318</v>
      </c>
      <c r="AB557" s="6" t="s">
        <v>211</v>
      </c>
      <c r="AC557" s="507"/>
      <c r="AD557" s="10" t="str">
        <f>IF(T557&lt;=L557,"en término","atrasado")</f>
        <v>en término</v>
      </c>
    </row>
    <row r="558" spans="1:30" s="9" customFormat="1" ht="12" thickBot="1" x14ac:dyDescent="0.25">
      <c r="A558" s="28"/>
      <c r="B558" s="19"/>
      <c r="C558" s="19"/>
      <c r="D558" s="5"/>
      <c r="E558" s="5"/>
      <c r="F558" s="5"/>
      <c r="G558" s="5"/>
      <c r="H558" s="20"/>
      <c r="I558" s="21" t="s">
        <v>733</v>
      </c>
      <c r="J558" s="5"/>
      <c r="K558" s="5"/>
      <c r="L558" s="127"/>
      <c r="M558" s="5"/>
      <c r="N558" s="5"/>
      <c r="O558" s="5"/>
      <c r="P558" s="5"/>
      <c r="Q558" s="5"/>
      <c r="R558" s="5"/>
      <c r="S558" s="127" t="s">
        <v>730</v>
      </c>
      <c r="T558" s="5"/>
      <c r="U558" s="5"/>
      <c r="V558" s="137"/>
      <c r="W558" s="5"/>
      <c r="X558" s="5"/>
      <c r="Y558" s="61"/>
      <c r="Z558" s="5"/>
      <c r="AA558" s="5"/>
      <c r="AB558" s="5"/>
      <c r="AC558" s="5"/>
      <c r="AD558" s="10"/>
    </row>
    <row r="559" spans="1:30" s="9" customFormat="1" x14ac:dyDescent="0.2">
      <c r="A559" s="28"/>
      <c r="B559" s="16"/>
      <c r="C559" s="16"/>
      <c r="D559" s="7"/>
      <c r="E559" s="7"/>
      <c r="F559" s="6" t="s">
        <v>670</v>
      </c>
      <c r="G559" s="6"/>
      <c r="H559" s="17"/>
      <c r="I559" s="17"/>
      <c r="J559" s="7"/>
      <c r="K559" s="7"/>
      <c r="L559" s="23"/>
      <c r="M559" s="6"/>
      <c r="N559" s="6"/>
      <c r="O559" s="6"/>
      <c r="P559" s="6"/>
      <c r="Q559" s="6"/>
      <c r="R559" s="6"/>
      <c r="S559" s="6"/>
      <c r="T559" s="6"/>
      <c r="U559" s="6"/>
      <c r="V559" s="6"/>
      <c r="W559" s="6"/>
      <c r="X559" s="12"/>
      <c r="Y559" s="59"/>
      <c r="Z559" s="6"/>
      <c r="AA559" s="6"/>
      <c r="AB559" s="6"/>
      <c r="AC559" s="6"/>
      <c r="AD559" s="10"/>
    </row>
    <row r="560" spans="1:30" s="9" customFormat="1" x14ac:dyDescent="0.2">
      <c r="A560" s="28"/>
      <c r="B560" s="16" t="s">
        <v>36</v>
      </c>
      <c r="C560" s="16" t="s">
        <v>133</v>
      </c>
      <c r="D560" s="7" t="s">
        <v>669</v>
      </c>
      <c r="E560" s="7"/>
      <c r="F560" s="6" t="s">
        <v>734</v>
      </c>
      <c r="G560" s="6"/>
      <c r="H560" s="17">
        <v>6923</v>
      </c>
      <c r="I560" s="39" t="s">
        <v>52</v>
      </c>
      <c r="J560" s="7">
        <v>36959</v>
      </c>
      <c r="K560" s="7"/>
      <c r="L560" s="23">
        <v>37049</v>
      </c>
      <c r="M560" s="18" t="s">
        <v>41</v>
      </c>
      <c r="N560" s="6" t="s">
        <v>42</v>
      </c>
      <c r="O560" s="6"/>
      <c r="P560" s="6"/>
      <c r="Q560" s="6"/>
      <c r="R560" s="6"/>
      <c r="S560" s="23">
        <v>37041</v>
      </c>
      <c r="T560" s="7">
        <v>37046</v>
      </c>
      <c r="U560" s="7"/>
      <c r="V560" s="6" t="s">
        <v>735</v>
      </c>
      <c r="W560" s="6">
        <v>724</v>
      </c>
      <c r="X560" s="6" t="s">
        <v>211</v>
      </c>
      <c r="Y560" s="59"/>
      <c r="Z560" s="6">
        <v>6512520685</v>
      </c>
      <c r="AA560" s="6" t="s">
        <v>318</v>
      </c>
      <c r="AB560" s="6" t="s">
        <v>211</v>
      </c>
      <c r="AC560" s="507"/>
      <c r="AD560" s="10" t="str">
        <f>IF(T560&lt;=L560,"en término","atrasado")</f>
        <v>en término</v>
      </c>
    </row>
    <row r="561" spans="1:30" s="9" customFormat="1" ht="12" thickBot="1" x14ac:dyDescent="0.25">
      <c r="A561" s="28"/>
      <c r="B561" s="19"/>
      <c r="C561" s="19"/>
      <c r="D561" s="5"/>
      <c r="E561" s="5"/>
      <c r="F561" s="5"/>
      <c r="G561" s="5"/>
      <c r="H561" s="20"/>
      <c r="I561" s="21"/>
      <c r="J561" s="5"/>
      <c r="K561" s="5"/>
      <c r="L561" s="127"/>
      <c r="M561" s="5"/>
      <c r="N561" s="5"/>
      <c r="O561" s="5"/>
      <c r="P561" s="5"/>
      <c r="Q561" s="5"/>
      <c r="R561" s="5"/>
      <c r="S561" s="127" t="s">
        <v>730</v>
      </c>
      <c r="T561" s="5"/>
      <c r="U561" s="5"/>
      <c r="V561" s="137"/>
      <c r="W561" s="5"/>
      <c r="X561" s="5"/>
      <c r="Y561" s="61"/>
      <c r="Z561" s="5"/>
      <c r="AA561" s="5"/>
      <c r="AB561" s="5"/>
      <c r="AC561" s="5"/>
      <c r="AD561" s="10"/>
    </row>
    <row r="562" spans="1:30" s="9" customFormat="1" x14ac:dyDescent="0.2">
      <c r="A562" s="28"/>
      <c r="B562" s="16"/>
      <c r="C562" s="16"/>
      <c r="D562" s="7"/>
      <c r="E562" s="7"/>
      <c r="F562" s="6" t="s">
        <v>670</v>
      </c>
      <c r="G562" s="6"/>
      <c r="H562" s="17"/>
      <c r="I562" s="17"/>
      <c r="J562" s="7"/>
      <c r="K562" s="7"/>
      <c r="L562" s="23"/>
      <c r="M562" s="6"/>
      <c r="N562" s="6"/>
      <c r="O562" s="6"/>
      <c r="P562" s="6"/>
      <c r="Q562" s="6"/>
      <c r="R562" s="6"/>
      <c r="S562" s="6"/>
      <c r="T562" s="6"/>
      <c r="U562" s="6"/>
      <c r="V562" s="6"/>
      <c r="W562" s="6"/>
      <c r="X562" s="12"/>
      <c r="Y562" s="59"/>
      <c r="Z562" s="6"/>
      <c r="AA562" s="6"/>
      <c r="AB562" s="6"/>
      <c r="AC562" s="6"/>
      <c r="AD562" s="10"/>
    </row>
    <row r="563" spans="1:30" s="9" customFormat="1" x14ac:dyDescent="0.2">
      <c r="A563" s="28"/>
      <c r="B563" s="16" t="s">
        <v>36</v>
      </c>
      <c r="C563" s="16" t="s">
        <v>133</v>
      </c>
      <c r="D563" s="7" t="s">
        <v>669</v>
      </c>
      <c r="E563" s="7"/>
      <c r="F563" s="6" t="s">
        <v>736</v>
      </c>
      <c r="G563" s="6"/>
      <c r="H563" s="17">
        <v>139126</v>
      </c>
      <c r="I563" s="39" t="s">
        <v>40</v>
      </c>
      <c r="J563" s="7">
        <v>36959</v>
      </c>
      <c r="K563" s="7"/>
      <c r="L563" s="23">
        <v>37049</v>
      </c>
      <c r="M563" s="18" t="s">
        <v>41</v>
      </c>
      <c r="N563" s="6" t="s">
        <v>42</v>
      </c>
      <c r="O563" s="6"/>
      <c r="P563" s="6"/>
      <c r="Q563" s="6"/>
      <c r="R563" s="6"/>
      <c r="S563" s="23">
        <v>37041</v>
      </c>
      <c r="T563" s="7">
        <v>37046</v>
      </c>
      <c r="U563" s="7"/>
      <c r="V563" s="6" t="s">
        <v>737</v>
      </c>
      <c r="W563" s="6">
        <v>725</v>
      </c>
      <c r="X563" s="6" t="s">
        <v>211</v>
      </c>
      <c r="Y563" s="59"/>
      <c r="Z563" s="6">
        <v>6512520685</v>
      </c>
      <c r="AA563" s="6" t="s">
        <v>318</v>
      </c>
      <c r="AB563" s="6" t="s">
        <v>211</v>
      </c>
      <c r="AC563" s="507"/>
      <c r="AD563" s="10" t="str">
        <f>IF(T563&lt;=L563,"en término","atrasado")</f>
        <v>en término</v>
      </c>
    </row>
    <row r="564" spans="1:30" s="9" customFormat="1" ht="12" thickBot="1" x14ac:dyDescent="0.25">
      <c r="A564" s="28"/>
      <c r="B564" s="19"/>
      <c r="C564" s="19"/>
      <c r="D564" s="5"/>
      <c r="E564" s="5"/>
      <c r="F564" s="5"/>
      <c r="G564" s="5"/>
      <c r="H564" s="20"/>
      <c r="I564" s="21"/>
      <c r="J564" s="5"/>
      <c r="K564" s="5"/>
      <c r="L564" s="127"/>
      <c r="M564" s="5"/>
      <c r="N564" s="5"/>
      <c r="O564" s="5"/>
      <c r="P564" s="5"/>
      <c r="Q564" s="5"/>
      <c r="R564" s="5"/>
      <c r="S564" s="127" t="s">
        <v>730</v>
      </c>
      <c r="T564" s="5"/>
      <c r="U564" s="5"/>
      <c r="V564" s="139" t="s">
        <v>738</v>
      </c>
      <c r="W564" s="5"/>
      <c r="X564" s="5"/>
      <c r="Y564" s="61"/>
      <c r="Z564" s="5"/>
      <c r="AA564" s="5"/>
      <c r="AB564" s="5"/>
      <c r="AC564" s="5"/>
      <c r="AD564" s="10"/>
    </row>
    <row r="565" spans="1:30" s="9" customFormat="1" x14ac:dyDescent="0.2">
      <c r="A565" s="28"/>
      <c r="B565" s="16"/>
      <c r="C565" s="16"/>
      <c r="D565" s="7"/>
      <c r="E565" s="7"/>
      <c r="F565" s="6" t="s">
        <v>670</v>
      </c>
      <c r="G565" s="6"/>
      <c r="H565" s="17"/>
      <c r="I565" s="17"/>
      <c r="J565" s="7"/>
      <c r="K565" s="7"/>
      <c r="L565" s="23"/>
      <c r="M565" s="6"/>
      <c r="N565" s="6"/>
      <c r="O565" s="6"/>
      <c r="P565" s="6"/>
      <c r="Q565" s="6"/>
      <c r="R565" s="6"/>
      <c r="S565" s="6"/>
      <c r="T565" s="6"/>
      <c r="U565" s="6"/>
      <c r="V565" s="6"/>
      <c r="W565" s="6"/>
      <c r="X565" s="12"/>
      <c r="Y565" s="59"/>
      <c r="Z565" s="6"/>
      <c r="AA565" s="6"/>
      <c r="AB565" s="6"/>
      <c r="AC565" s="6"/>
      <c r="AD565" s="10"/>
    </row>
    <row r="566" spans="1:30" s="9" customFormat="1" x14ac:dyDescent="0.2">
      <c r="A566" s="28"/>
      <c r="B566" s="16" t="s">
        <v>36</v>
      </c>
      <c r="C566" s="16" t="s">
        <v>133</v>
      </c>
      <c r="D566" s="7" t="s">
        <v>669</v>
      </c>
      <c r="E566" s="7"/>
      <c r="F566" s="6" t="s">
        <v>739</v>
      </c>
      <c r="G566" s="6"/>
      <c r="H566" s="17">
        <v>14458.73</v>
      </c>
      <c r="I566" s="39" t="s">
        <v>142</v>
      </c>
      <c r="J566" s="7">
        <v>36959</v>
      </c>
      <c r="K566" s="7"/>
      <c r="L566" s="23">
        <v>37049</v>
      </c>
      <c r="M566" s="18" t="s">
        <v>41</v>
      </c>
      <c r="N566" s="6" t="s">
        <v>42</v>
      </c>
      <c r="O566" s="6"/>
      <c r="P566" s="6"/>
      <c r="Q566" s="6"/>
      <c r="R566" s="6"/>
      <c r="S566" s="23">
        <v>37041</v>
      </c>
      <c r="T566" s="7">
        <v>37046</v>
      </c>
      <c r="U566" s="7"/>
      <c r="V566" s="6" t="s">
        <v>740</v>
      </c>
      <c r="W566" s="6">
        <v>726</v>
      </c>
      <c r="X566" s="6" t="s">
        <v>211</v>
      </c>
      <c r="Y566" s="59"/>
      <c r="Z566" s="6">
        <v>6512520685</v>
      </c>
      <c r="AA566" s="6" t="s">
        <v>318</v>
      </c>
      <c r="AB566" s="6" t="s">
        <v>211</v>
      </c>
      <c r="AC566" s="507"/>
      <c r="AD566" s="10" t="str">
        <f>IF(T566&lt;=L566,"en término","atrasado")</f>
        <v>en término</v>
      </c>
    </row>
    <row r="567" spans="1:30" s="9" customFormat="1" ht="12" thickBot="1" x14ac:dyDescent="0.25">
      <c r="A567" s="28"/>
      <c r="B567" s="19"/>
      <c r="C567" s="19"/>
      <c r="D567" s="5"/>
      <c r="E567" s="5"/>
      <c r="F567" s="5"/>
      <c r="G567" s="5"/>
      <c r="H567" s="20"/>
      <c r="I567" s="21" t="s">
        <v>320</v>
      </c>
      <c r="J567" s="5"/>
      <c r="K567" s="5"/>
      <c r="L567" s="127"/>
      <c r="M567" s="5"/>
      <c r="N567" s="5"/>
      <c r="O567" s="5"/>
      <c r="P567" s="5"/>
      <c r="Q567" s="5"/>
      <c r="R567" s="5"/>
      <c r="S567" s="127" t="s">
        <v>730</v>
      </c>
      <c r="T567" s="5"/>
      <c r="U567" s="5"/>
      <c r="V567" s="137"/>
      <c r="W567" s="5"/>
      <c r="X567" s="5"/>
      <c r="Y567" s="61"/>
      <c r="Z567" s="5"/>
      <c r="AA567" s="5"/>
      <c r="AB567" s="5"/>
      <c r="AC567" s="5"/>
      <c r="AD567" s="10"/>
    </row>
    <row r="568" spans="1:30" s="9" customFormat="1" x14ac:dyDescent="0.2">
      <c r="A568" s="28"/>
      <c r="B568" s="11"/>
      <c r="C568" s="11"/>
      <c r="D568" s="12"/>
      <c r="E568" s="12"/>
      <c r="F568" s="12"/>
      <c r="G568" s="12"/>
      <c r="H568" s="13"/>
      <c r="I568" s="14"/>
      <c r="J568" s="12"/>
      <c r="K568" s="12"/>
      <c r="L568" s="134"/>
      <c r="M568" s="12"/>
      <c r="N568" s="12"/>
      <c r="O568" s="12"/>
      <c r="P568" s="12"/>
      <c r="Q568" s="12"/>
      <c r="R568" s="12"/>
      <c r="S568" s="91"/>
      <c r="T568" s="11"/>
      <c r="U568" s="11"/>
      <c r="V568" s="190"/>
      <c r="W568" s="12"/>
      <c r="X568" s="12"/>
      <c r="Y568" s="12"/>
      <c r="Z568" s="12"/>
      <c r="AA568" s="12"/>
      <c r="AB568" s="12" t="s">
        <v>741</v>
      </c>
      <c r="AC568" s="12"/>
      <c r="AD568" s="10"/>
    </row>
    <row r="569" spans="1:30" s="9" customFormat="1" x14ac:dyDescent="0.2">
      <c r="A569" s="28"/>
      <c r="B569" s="16" t="s">
        <v>36</v>
      </c>
      <c r="C569" s="16" t="s">
        <v>157</v>
      </c>
      <c r="D569" s="6" t="s">
        <v>742</v>
      </c>
      <c r="E569" s="6"/>
      <c r="F569" s="6" t="s">
        <v>743</v>
      </c>
      <c r="G569" s="6"/>
      <c r="H569" s="17">
        <v>1156</v>
      </c>
      <c r="I569" s="39" t="s">
        <v>52</v>
      </c>
      <c r="J569" s="7">
        <v>37007</v>
      </c>
      <c r="K569" s="7"/>
      <c r="L569" s="23">
        <f>30+J569</f>
        <v>37037</v>
      </c>
      <c r="M569" s="6" t="s">
        <v>41</v>
      </c>
      <c r="N569" s="6" t="s">
        <v>42</v>
      </c>
      <c r="O569" s="6"/>
      <c r="P569" s="6"/>
      <c r="Q569" s="6"/>
      <c r="R569" s="6"/>
      <c r="S569" s="23">
        <v>37041</v>
      </c>
      <c r="T569" s="7">
        <v>37046</v>
      </c>
      <c r="U569" s="7"/>
      <c r="V569" s="6" t="s">
        <v>744</v>
      </c>
      <c r="W569" s="6">
        <v>727</v>
      </c>
      <c r="X569" s="6" t="s">
        <v>211</v>
      </c>
      <c r="Y569" s="6"/>
      <c r="Z569" s="6">
        <v>6512520685</v>
      </c>
      <c r="AA569" s="6" t="s">
        <v>318</v>
      </c>
      <c r="AB569" s="6" t="s">
        <v>745</v>
      </c>
      <c r="AC569" s="507"/>
      <c r="AD569" s="10" t="str">
        <f>IF(T569&lt;=L569,"en término","atrasado")</f>
        <v>atrasado</v>
      </c>
    </row>
    <row r="570" spans="1:30" s="9" customFormat="1" ht="12" thickBot="1" x14ac:dyDescent="0.25">
      <c r="A570" s="28"/>
      <c r="B570" s="19"/>
      <c r="C570" s="19"/>
      <c r="D570" s="5"/>
      <c r="E570" s="5"/>
      <c r="F570" s="5" t="s">
        <v>746</v>
      </c>
      <c r="G570" s="5"/>
      <c r="H570" s="26"/>
      <c r="I570" s="21"/>
      <c r="J570" s="5"/>
      <c r="K570" s="5"/>
      <c r="L570" s="127" t="s">
        <v>659</v>
      </c>
      <c r="M570" s="5"/>
      <c r="N570" s="5"/>
      <c r="O570" s="5"/>
      <c r="P570" s="5"/>
      <c r="Q570" s="5"/>
      <c r="R570" s="5"/>
      <c r="S570" s="127" t="s">
        <v>730</v>
      </c>
      <c r="T570" s="5"/>
      <c r="U570" s="5"/>
      <c r="V570" s="137" t="s">
        <v>747</v>
      </c>
      <c r="W570" s="5"/>
      <c r="X570" s="5"/>
      <c r="Y570" s="5"/>
      <c r="Z570" s="5"/>
      <c r="AA570" s="5"/>
      <c r="AB570" s="5" t="s">
        <v>748</v>
      </c>
      <c r="AC570" s="5"/>
      <c r="AD570" s="10"/>
    </row>
    <row r="571" spans="1:30" s="9" customFormat="1" x14ac:dyDescent="0.2">
      <c r="A571" s="28"/>
      <c r="B571" s="11"/>
      <c r="C571" s="11"/>
      <c r="D571" s="91"/>
      <c r="E571" s="91"/>
      <c r="F571" s="12" t="s">
        <v>670</v>
      </c>
      <c r="G571" s="12"/>
      <c r="H571" s="13"/>
      <c r="I571" s="13"/>
      <c r="J571" s="91"/>
      <c r="K571" s="91"/>
      <c r="L571" s="134"/>
      <c r="M571" s="12"/>
      <c r="N571" s="12"/>
      <c r="O571" s="12"/>
      <c r="P571" s="12"/>
      <c r="Q571" s="12"/>
      <c r="R571" s="12"/>
      <c r="S571" s="12"/>
      <c r="T571" s="12"/>
      <c r="U571" s="12"/>
      <c r="V571" s="12"/>
      <c r="W571" s="12"/>
      <c r="X571" s="12"/>
      <c r="Y571" s="57"/>
      <c r="Z571" s="12"/>
      <c r="AA571" s="12"/>
      <c r="AB571" s="12"/>
      <c r="AC571" s="12"/>
      <c r="AD571" s="10"/>
    </row>
    <row r="572" spans="1:30" s="9" customFormat="1" x14ac:dyDescent="0.2">
      <c r="A572" s="28"/>
      <c r="B572" s="16" t="s">
        <v>36</v>
      </c>
      <c r="C572" s="16" t="s">
        <v>133</v>
      </c>
      <c r="D572" s="7" t="s">
        <v>669</v>
      </c>
      <c r="E572" s="7"/>
      <c r="F572" s="6" t="s">
        <v>749</v>
      </c>
      <c r="G572" s="6"/>
      <c r="H572" s="17">
        <v>30305</v>
      </c>
      <c r="I572" s="39" t="s">
        <v>139</v>
      </c>
      <c r="J572" s="7">
        <v>36993</v>
      </c>
      <c r="K572" s="7"/>
      <c r="L572" s="23">
        <v>37084</v>
      </c>
      <c r="M572" s="18" t="s">
        <v>41</v>
      </c>
      <c r="N572" s="6" t="s">
        <v>42</v>
      </c>
      <c r="O572" s="6"/>
      <c r="P572" s="6"/>
      <c r="Q572" s="6"/>
      <c r="R572" s="6"/>
      <c r="S572" s="23">
        <v>37076</v>
      </c>
      <c r="T572" s="7">
        <v>37082</v>
      </c>
      <c r="U572" s="7"/>
      <c r="V572" s="6" t="s">
        <v>750</v>
      </c>
      <c r="W572" s="6">
        <v>739</v>
      </c>
      <c r="X572" s="6"/>
      <c r="Y572" s="59"/>
      <c r="Z572" s="6" t="s">
        <v>195</v>
      </c>
      <c r="AA572" s="7">
        <v>37107</v>
      </c>
      <c r="AB572" s="7" t="s">
        <v>211</v>
      </c>
      <c r="AC572" s="507"/>
      <c r="AD572" s="10" t="str">
        <f>IF(T572&lt;=L572,"en término","atrasado")</f>
        <v>en término</v>
      </c>
    </row>
    <row r="573" spans="1:30" s="9" customFormat="1" ht="12" thickBot="1" x14ac:dyDescent="0.25">
      <c r="A573" s="28"/>
      <c r="B573" s="19"/>
      <c r="C573" s="19"/>
      <c r="D573" s="5"/>
      <c r="E573" s="5"/>
      <c r="F573" s="5"/>
      <c r="G573" s="5"/>
      <c r="H573" s="20"/>
      <c r="I573" s="21"/>
      <c r="J573" s="5"/>
      <c r="K573" s="5"/>
      <c r="L573" s="127"/>
      <c r="M573" s="5"/>
      <c r="N573" s="5"/>
      <c r="O573" s="5"/>
      <c r="P573" s="5"/>
      <c r="Q573" s="5"/>
      <c r="R573" s="5"/>
      <c r="S573" s="27"/>
      <c r="T573" s="19"/>
      <c r="U573" s="19"/>
      <c r="V573" s="137"/>
      <c r="W573" s="5"/>
      <c r="X573" s="5"/>
      <c r="Y573" s="61"/>
      <c r="Z573" s="5"/>
      <c r="AA573" s="5"/>
      <c r="AB573" s="5"/>
      <c r="AC573" s="5"/>
      <c r="AD573" s="10"/>
    </row>
    <row r="574" spans="1:30" s="9" customFormat="1" x14ac:dyDescent="0.2">
      <c r="A574" s="28"/>
      <c r="B574" s="11"/>
      <c r="C574" s="11"/>
      <c r="D574" s="91"/>
      <c r="E574" s="91"/>
      <c r="F574" s="12" t="s">
        <v>670</v>
      </c>
      <c r="G574" s="12"/>
      <c r="H574" s="13"/>
      <c r="I574" s="13"/>
      <c r="J574" s="91"/>
      <c r="K574" s="91"/>
      <c r="L574" s="134"/>
      <c r="M574" s="12"/>
      <c r="N574" s="12"/>
      <c r="O574" s="12"/>
      <c r="P574" s="12"/>
      <c r="Q574" s="12"/>
      <c r="R574" s="12"/>
      <c r="S574" s="12"/>
      <c r="T574" s="12"/>
      <c r="U574" s="12"/>
      <c r="V574" s="12"/>
      <c r="W574" s="12"/>
      <c r="X574" s="12"/>
      <c r="Y574" s="57"/>
      <c r="Z574" s="12"/>
      <c r="AA574" s="12"/>
      <c r="AB574" s="448"/>
      <c r="AC574" s="12"/>
      <c r="AD574" s="10"/>
    </row>
    <row r="575" spans="1:30" s="9" customFormat="1" x14ac:dyDescent="0.2">
      <c r="A575" s="28"/>
      <c r="B575" s="16" t="s">
        <v>36</v>
      </c>
      <c r="C575" s="16" t="s">
        <v>133</v>
      </c>
      <c r="D575" s="7" t="s">
        <v>669</v>
      </c>
      <c r="E575" s="7"/>
      <c r="F575" s="6" t="s">
        <v>751</v>
      </c>
      <c r="G575" s="6"/>
      <c r="H575" s="17">
        <v>3518.5</v>
      </c>
      <c r="I575" s="39" t="s">
        <v>52</v>
      </c>
      <c r="J575" s="7">
        <v>36993</v>
      </c>
      <c r="K575" s="7"/>
      <c r="L575" s="23">
        <v>37084</v>
      </c>
      <c r="M575" s="18" t="s">
        <v>41</v>
      </c>
      <c r="N575" s="6" t="s">
        <v>42</v>
      </c>
      <c r="O575" s="6"/>
      <c r="P575" s="6"/>
      <c r="Q575" s="6"/>
      <c r="R575" s="6"/>
      <c r="S575" s="23">
        <v>37076</v>
      </c>
      <c r="T575" s="7">
        <v>37082</v>
      </c>
      <c r="U575" s="7"/>
      <c r="V575" s="6" t="s">
        <v>752</v>
      </c>
      <c r="W575" s="6">
        <v>740</v>
      </c>
      <c r="X575" s="6"/>
      <c r="Y575" s="59"/>
      <c r="Z575" s="6" t="s">
        <v>195</v>
      </c>
      <c r="AA575" s="7">
        <v>37107</v>
      </c>
      <c r="AB575" s="338" t="s">
        <v>753</v>
      </c>
      <c r="AC575" s="511"/>
      <c r="AD575" s="10" t="str">
        <f>IF(T575&lt;=L575,"en término","atrasado")</f>
        <v>en término</v>
      </c>
    </row>
    <row r="576" spans="1:30" s="9" customFormat="1" ht="12" thickBot="1" x14ac:dyDescent="0.25">
      <c r="A576" s="28"/>
      <c r="B576" s="19"/>
      <c r="C576" s="19"/>
      <c r="D576" s="5"/>
      <c r="E576" s="5"/>
      <c r="F576" s="5"/>
      <c r="G576" s="5"/>
      <c r="H576" s="20"/>
      <c r="I576" s="21"/>
      <c r="J576" s="5"/>
      <c r="K576" s="5"/>
      <c r="L576" s="127"/>
      <c r="M576" s="5"/>
      <c r="N576" s="5"/>
      <c r="O576" s="5"/>
      <c r="P576" s="5"/>
      <c r="Q576" s="5"/>
      <c r="R576" s="5"/>
      <c r="S576" s="27"/>
      <c r="T576" s="19"/>
      <c r="U576" s="19"/>
      <c r="V576" s="137"/>
      <c r="W576" s="5"/>
      <c r="X576" s="5"/>
      <c r="Y576" s="61"/>
      <c r="Z576" s="5"/>
      <c r="AA576" s="5"/>
      <c r="AB576" s="5"/>
      <c r="AC576" s="5"/>
      <c r="AD576" s="10"/>
    </row>
    <row r="577" spans="1:30" s="9" customFormat="1" x14ac:dyDescent="0.2">
      <c r="A577" s="28"/>
      <c r="B577" s="11"/>
      <c r="C577" s="11"/>
      <c r="D577" s="91"/>
      <c r="E577" s="91"/>
      <c r="F577" s="12" t="s">
        <v>670</v>
      </c>
      <c r="G577" s="12"/>
      <c r="H577" s="214">
        <v>222403</v>
      </c>
      <c r="I577" s="13"/>
      <c r="J577" s="91"/>
      <c r="K577" s="91"/>
      <c r="L577" s="134"/>
      <c r="M577" s="12"/>
      <c r="N577" s="12"/>
      <c r="O577" s="12"/>
      <c r="P577" s="12"/>
      <c r="Q577" s="12"/>
      <c r="R577" s="12"/>
      <c r="S577" s="12"/>
      <c r="T577" s="12"/>
      <c r="U577" s="12"/>
      <c r="V577" s="12"/>
      <c r="W577" s="198">
        <v>741</v>
      </c>
      <c r="X577" s="12"/>
      <c r="Y577" s="57"/>
      <c r="Z577" s="12"/>
      <c r="AA577" s="12"/>
      <c r="AB577" s="12"/>
      <c r="AC577" s="12"/>
      <c r="AD577" s="10"/>
    </row>
    <row r="578" spans="1:30" s="9" customFormat="1" x14ac:dyDescent="0.2">
      <c r="A578" s="28"/>
      <c r="B578" s="16" t="s">
        <v>36</v>
      </c>
      <c r="C578" s="16" t="s">
        <v>133</v>
      </c>
      <c r="D578" s="7" t="s">
        <v>669</v>
      </c>
      <c r="E578" s="7"/>
      <c r="F578" s="6" t="s">
        <v>754</v>
      </c>
      <c r="G578" s="6"/>
      <c r="H578" s="17">
        <v>113865.5</v>
      </c>
      <c r="I578" s="39" t="s">
        <v>40</v>
      </c>
      <c r="J578" s="7">
        <v>36993</v>
      </c>
      <c r="K578" s="7"/>
      <c r="L578" s="23">
        <v>37084</v>
      </c>
      <c r="M578" s="18" t="s">
        <v>41</v>
      </c>
      <c r="N578" s="6" t="s">
        <v>42</v>
      </c>
      <c r="O578" s="6"/>
      <c r="P578" s="6"/>
      <c r="Q578" s="6"/>
      <c r="R578" s="6"/>
      <c r="S578" s="23">
        <v>37076</v>
      </c>
      <c r="T578" s="7">
        <v>37082</v>
      </c>
      <c r="U578" s="7"/>
      <c r="V578" s="6" t="s">
        <v>755</v>
      </c>
      <c r="W578" s="6">
        <v>746</v>
      </c>
      <c r="X578" s="6"/>
      <c r="Y578" s="59"/>
      <c r="Z578" s="6" t="s">
        <v>195</v>
      </c>
      <c r="AA578" s="7">
        <v>37107</v>
      </c>
      <c r="AB578" s="7" t="s">
        <v>211</v>
      </c>
      <c r="AC578" s="6"/>
      <c r="AD578" s="10" t="str">
        <f>IF(T578&lt;=L578,"en término","atrasado")</f>
        <v>en término</v>
      </c>
    </row>
    <row r="579" spans="1:30" s="9" customFormat="1" ht="12" thickBot="1" x14ac:dyDescent="0.25">
      <c r="A579" s="28"/>
      <c r="B579" s="19"/>
      <c r="C579" s="19"/>
      <c r="D579" s="5"/>
      <c r="E579" s="5"/>
      <c r="F579" s="5"/>
      <c r="G579" s="5"/>
      <c r="H579" s="20">
        <v>108537.5</v>
      </c>
      <c r="I579" s="21"/>
      <c r="J579" s="5"/>
      <c r="K579" s="5"/>
      <c r="L579" s="127"/>
      <c r="M579" s="5"/>
      <c r="N579" s="5"/>
      <c r="O579" s="5"/>
      <c r="P579" s="5"/>
      <c r="Q579" s="5"/>
      <c r="R579" s="5"/>
      <c r="S579" s="27"/>
      <c r="T579" s="19"/>
      <c r="U579" s="19"/>
      <c r="V579" s="137"/>
      <c r="W579" s="5">
        <v>747</v>
      </c>
      <c r="X579" s="5"/>
      <c r="Y579" s="61"/>
      <c r="Z579" s="5"/>
      <c r="AA579" s="5"/>
      <c r="AB579" s="5" t="s">
        <v>211</v>
      </c>
      <c r="AC579" s="5"/>
      <c r="AD579" s="10"/>
    </row>
    <row r="580" spans="1:30" s="9" customFormat="1" x14ac:dyDescent="0.2">
      <c r="A580" s="28"/>
      <c r="B580" s="11"/>
      <c r="C580" s="11"/>
      <c r="D580" s="91"/>
      <c r="E580" s="91"/>
      <c r="F580" s="12" t="s">
        <v>670</v>
      </c>
      <c r="G580" s="12"/>
      <c r="H580" s="13"/>
      <c r="I580" s="13"/>
      <c r="J580" s="91"/>
      <c r="K580" s="91"/>
      <c r="L580" s="134"/>
      <c r="M580" s="12"/>
      <c r="N580" s="12"/>
      <c r="O580" s="12"/>
      <c r="P580" s="12"/>
      <c r="Q580" s="12"/>
      <c r="R580" s="12"/>
      <c r="S580" s="12"/>
      <c r="T580" s="12"/>
      <c r="U580" s="12"/>
      <c r="V580" s="12"/>
      <c r="W580" s="12"/>
      <c r="X580" s="12"/>
      <c r="Y580" s="57"/>
      <c r="Z580" s="12"/>
      <c r="AA580" s="12"/>
      <c r="AB580" s="12"/>
      <c r="AC580" s="12"/>
      <c r="AD580" s="10"/>
    </row>
    <row r="581" spans="1:30" s="9" customFormat="1" x14ac:dyDescent="0.2">
      <c r="A581" s="28"/>
      <c r="B581" s="16" t="s">
        <v>36</v>
      </c>
      <c r="C581" s="16" t="s">
        <v>133</v>
      </c>
      <c r="D581" s="7" t="s">
        <v>669</v>
      </c>
      <c r="E581" s="7"/>
      <c r="F581" s="6" t="s">
        <v>756</v>
      </c>
      <c r="G581" s="6"/>
      <c r="H581" s="17">
        <v>32528.31</v>
      </c>
      <c r="I581" s="39" t="s">
        <v>757</v>
      </c>
      <c r="J581" s="7">
        <v>36993</v>
      </c>
      <c r="K581" s="7"/>
      <c r="L581" s="23">
        <v>37084</v>
      </c>
      <c r="M581" s="18" t="s">
        <v>41</v>
      </c>
      <c r="N581" s="6" t="s">
        <v>42</v>
      </c>
      <c r="O581" s="6"/>
      <c r="P581" s="6"/>
      <c r="Q581" s="6"/>
      <c r="R581" s="6"/>
      <c r="S581" s="23">
        <v>37076</v>
      </c>
      <c r="T581" s="7">
        <v>37082</v>
      </c>
      <c r="U581" s="7"/>
      <c r="V581" s="6" t="s">
        <v>758</v>
      </c>
      <c r="W581" s="6">
        <v>742</v>
      </c>
      <c r="X581" s="6"/>
      <c r="Y581" s="59"/>
      <c r="Z581" s="6" t="s">
        <v>195</v>
      </c>
      <c r="AA581" s="7">
        <v>37107</v>
      </c>
      <c r="AB581" s="338" t="s">
        <v>753</v>
      </c>
      <c r="AC581" s="511"/>
      <c r="AD581" s="10" t="str">
        <f>IF(T581&lt;=L581,"en término","atrasado")</f>
        <v>en término</v>
      </c>
    </row>
    <row r="582" spans="1:30" s="9" customFormat="1" ht="12" thickBot="1" x14ac:dyDescent="0.25">
      <c r="A582" s="28"/>
      <c r="B582" s="19"/>
      <c r="C582" s="19"/>
      <c r="D582" s="5"/>
      <c r="E582" s="5"/>
      <c r="F582" s="5"/>
      <c r="G582" s="5"/>
      <c r="H582" s="20"/>
      <c r="I582" s="21"/>
      <c r="J582" s="5"/>
      <c r="K582" s="5"/>
      <c r="L582" s="127"/>
      <c r="M582" s="5"/>
      <c r="N582" s="5"/>
      <c r="O582" s="5"/>
      <c r="P582" s="5"/>
      <c r="Q582" s="5"/>
      <c r="R582" s="5"/>
      <c r="S582" s="27"/>
      <c r="T582" s="19"/>
      <c r="U582" s="19"/>
      <c r="V582" s="137"/>
      <c r="W582" s="5"/>
      <c r="X582" s="5"/>
      <c r="Y582" s="61"/>
      <c r="Z582" s="5"/>
      <c r="AA582" s="5"/>
      <c r="AB582" s="5"/>
      <c r="AC582" s="5"/>
      <c r="AD582" s="10"/>
    </row>
    <row r="583" spans="1:30" s="9" customFormat="1" x14ac:dyDescent="0.2">
      <c r="A583" s="28"/>
      <c r="B583" s="11"/>
      <c r="C583" s="11"/>
      <c r="D583" s="91"/>
      <c r="E583" s="91"/>
      <c r="F583" s="12" t="s">
        <v>759</v>
      </c>
      <c r="G583" s="12"/>
      <c r="H583" s="13"/>
      <c r="I583" s="13"/>
      <c r="J583" s="91"/>
      <c r="K583" s="91"/>
      <c r="L583" s="134"/>
      <c r="M583" s="12"/>
      <c r="N583" s="12"/>
      <c r="O583" s="12"/>
      <c r="P583" s="12"/>
      <c r="Q583" s="12"/>
      <c r="R583" s="12"/>
      <c r="S583" s="12"/>
      <c r="T583" s="12"/>
      <c r="U583" s="12"/>
      <c r="V583" s="12"/>
      <c r="W583" s="12"/>
      <c r="X583" s="12"/>
      <c r="Y583" s="57"/>
      <c r="Z583" s="12"/>
      <c r="AA583" s="12"/>
      <c r="AB583" s="12"/>
      <c r="AC583" s="12"/>
      <c r="AD583" s="10"/>
    </row>
    <row r="584" spans="1:30" s="9" customFormat="1" x14ac:dyDescent="0.2">
      <c r="A584" s="28"/>
      <c r="B584" s="16" t="s">
        <v>36</v>
      </c>
      <c r="C584" s="16" t="s">
        <v>133</v>
      </c>
      <c r="D584" s="7" t="s">
        <v>760</v>
      </c>
      <c r="E584" s="7"/>
      <c r="F584" s="6" t="s">
        <v>761</v>
      </c>
      <c r="G584" s="6"/>
      <c r="H584" s="17">
        <v>12727.19</v>
      </c>
      <c r="I584" s="39" t="s">
        <v>762</v>
      </c>
      <c r="J584" s="7">
        <v>37060</v>
      </c>
      <c r="K584" s="7"/>
      <c r="L584" s="23">
        <v>37150</v>
      </c>
      <c r="M584" s="18" t="s">
        <v>41</v>
      </c>
      <c r="N584" s="6" t="s">
        <v>42</v>
      </c>
      <c r="O584" s="6"/>
      <c r="P584" s="6"/>
      <c r="Q584" s="6"/>
      <c r="R584" s="6"/>
      <c r="S584" s="23">
        <v>37076</v>
      </c>
      <c r="T584" s="7">
        <v>37082</v>
      </c>
      <c r="U584" s="7"/>
      <c r="V584" s="6" t="s">
        <v>763</v>
      </c>
      <c r="W584" s="6">
        <v>743</v>
      </c>
      <c r="X584" s="6"/>
      <c r="Y584" s="59"/>
      <c r="Z584" s="6" t="s">
        <v>195</v>
      </c>
      <c r="AA584" s="7">
        <v>37107</v>
      </c>
      <c r="AB584" s="7" t="s">
        <v>211</v>
      </c>
      <c r="AC584" s="507"/>
      <c r="AD584" s="10" t="str">
        <f>IF(T584&lt;=L584,"en término","atrasado")</f>
        <v>en término</v>
      </c>
    </row>
    <row r="585" spans="1:30" s="9" customFormat="1" ht="12" thickBot="1" x14ac:dyDescent="0.25">
      <c r="A585" s="28"/>
      <c r="B585" s="19"/>
      <c r="C585" s="19"/>
      <c r="D585" s="5"/>
      <c r="E585" s="5"/>
      <c r="F585" s="5" t="s">
        <v>764</v>
      </c>
      <c r="G585" s="5"/>
      <c r="H585" s="20"/>
      <c r="I585" s="21" t="s">
        <v>320</v>
      </c>
      <c r="J585" s="5"/>
      <c r="K585" s="5"/>
      <c r="L585" s="127"/>
      <c r="M585" s="5"/>
      <c r="N585" s="5"/>
      <c r="O585" s="5"/>
      <c r="P585" s="5"/>
      <c r="Q585" s="5"/>
      <c r="R585" s="5"/>
      <c r="S585" s="27"/>
      <c r="T585" s="19"/>
      <c r="U585" s="19"/>
      <c r="V585" s="137"/>
      <c r="W585" s="5"/>
      <c r="X585" s="5"/>
      <c r="Y585" s="61"/>
      <c r="Z585" s="5"/>
      <c r="AA585" s="5"/>
      <c r="AB585" s="5"/>
      <c r="AC585" s="5"/>
      <c r="AD585" s="10"/>
    </row>
    <row r="586" spans="1:30" s="9" customFormat="1" x14ac:dyDescent="0.2">
      <c r="A586" s="28"/>
      <c r="B586" s="16"/>
      <c r="C586" s="16"/>
      <c r="D586" s="7"/>
      <c r="E586" s="7"/>
      <c r="F586" s="6"/>
      <c r="G586" s="6"/>
      <c r="H586" s="17"/>
      <c r="I586" s="17"/>
      <c r="J586" s="7"/>
      <c r="K586" s="7"/>
      <c r="L586" s="23"/>
      <c r="M586" s="6"/>
      <c r="N586" s="6"/>
      <c r="O586" s="6"/>
      <c r="P586" s="6"/>
      <c r="Q586" s="6"/>
      <c r="R586" s="6"/>
      <c r="S586" s="6"/>
      <c r="T586" s="6"/>
      <c r="U586" s="6"/>
      <c r="V586" s="6"/>
      <c r="W586" s="6"/>
      <c r="X586" s="12"/>
      <c r="Y586" s="59"/>
      <c r="Z586" s="6"/>
      <c r="AA586" s="6"/>
      <c r="AB586" s="6" t="s">
        <v>741</v>
      </c>
      <c r="AC586" s="6"/>
      <c r="AD586" s="10"/>
    </row>
    <row r="587" spans="1:30" s="9" customFormat="1" x14ac:dyDescent="0.2">
      <c r="A587" s="28"/>
      <c r="B587" s="16" t="s">
        <v>36</v>
      </c>
      <c r="C587" s="16" t="s">
        <v>133</v>
      </c>
      <c r="D587" s="7" t="s">
        <v>765</v>
      </c>
      <c r="E587" s="7"/>
      <c r="F587" s="6"/>
      <c r="G587" s="6"/>
      <c r="H587" s="17">
        <v>9594.7000000000007</v>
      </c>
      <c r="I587" s="39" t="s">
        <v>52</v>
      </c>
      <c r="J587" s="7">
        <v>37071</v>
      </c>
      <c r="K587" s="7"/>
      <c r="L587" s="23">
        <v>37134</v>
      </c>
      <c r="M587" s="18" t="s">
        <v>41</v>
      </c>
      <c r="N587" s="6" t="s">
        <v>42</v>
      </c>
      <c r="O587" s="6"/>
      <c r="P587" s="6"/>
      <c r="Q587" s="6"/>
      <c r="R587" s="6"/>
      <c r="S587" s="23">
        <v>37130</v>
      </c>
      <c r="T587" s="7">
        <v>37130</v>
      </c>
      <c r="U587" s="7"/>
      <c r="V587" s="6" t="s">
        <v>766</v>
      </c>
      <c r="W587" s="6">
        <v>759</v>
      </c>
      <c r="X587" s="6"/>
      <c r="Y587" s="59"/>
      <c r="Z587" s="6">
        <v>6515210833</v>
      </c>
      <c r="AA587" s="7">
        <v>37158</v>
      </c>
      <c r="AB587" s="7" t="s">
        <v>767</v>
      </c>
      <c r="AC587" s="507"/>
      <c r="AD587" s="10" t="str">
        <f>IF(T587&lt;=L587,"en término","atrasado")</f>
        <v>en término</v>
      </c>
    </row>
    <row r="588" spans="1:30" s="9" customFormat="1" ht="12" thickBot="1" x14ac:dyDescent="0.25">
      <c r="A588" s="28"/>
      <c r="B588" s="19"/>
      <c r="C588" s="19"/>
      <c r="D588" s="5"/>
      <c r="E588" s="5"/>
      <c r="F588" s="5" t="s">
        <v>768</v>
      </c>
      <c r="G588" s="5"/>
      <c r="H588" s="26" t="s">
        <v>769</v>
      </c>
      <c r="I588" s="21"/>
      <c r="J588" s="5"/>
      <c r="K588" s="5"/>
      <c r="L588" s="127" t="s">
        <v>659</v>
      </c>
      <c r="M588" s="5"/>
      <c r="N588" s="5"/>
      <c r="O588" s="5"/>
      <c r="P588" s="5"/>
      <c r="Q588" s="5"/>
      <c r="R588" s="5"/>
      <c r="S588" s="27"/>
      <c r="T588" s="5" t="s">
        <v>309</v>
      </c>
      <c r="U588" s="5"/>
      <c r="V588" s="137"/>
      <c r="W588" s="5"/>
      <c r="X588" s="5"/>
      <c r="Y588" s="61"/>
      <c r="Z588" s="5"/>
      <c r="AA588" s="27"/>
      <c r="AB588" s="27" t="s">
        <v>748</v>
      </c>
      <c r="AC588" s="5"/>
      <c r="AD588" s="10"/>
    </row>
    <row r="589" spans="1:30" s="9" customFormat="1" x14ac:dyDescent="0.2">
      <c r="A589" s="28"/>
      <c r="B589" s="16"/>
      <c r="C589" s="16"/>
      <c r="D589" s="7"/>
      <c r="E589" s="7"/>
      <c r="F589" s="6"/>
      <c r="G589" s="6"/>
      <c r="H589" s="17"/>
      <c r="I589" s="17"/>
      <c r="J589" s="7"/>
      <c r="K589" s="7"/>
      <c r="L589" s="23"/>
      <c r="M589" s="6"/>
      <c r="N589" s="6"/>
      <c r="O589" s="6"/>
      <c r="P589" s="6"/>
      <c r="Q589" s="6"/>
      <c r="R589" s="6"/>
      <c r="S589" s="6"/>
      <c r="T589" s="6"/>
      <c r="U589" s="6"/>
      <c r="V589" s="6"/>
      <c r="W589" s="6"/>
      <c r="X589" s="12"/>
      <c r="Y589" s="59"/>
      <c r="Z589" s="6"/>
      <c r="AA589" s="6"/>
      <c r="AB589" s="6" t="s">
        <v>741</v>
      </c>
      <c r="AC589" s="6"/>
      <c r="AD589" s="10"/>
    </row>
    <row r="590" spans="1:30" s="9" customFormat="1" x14ac:dyDescent="0.2">
      <c r="A590" s="28"/>
      <c r="B590" s="16" t="s">
        <v>36</v>
      </c>
      <c r="C590" s="16" t="s">
        <v>157</v>
      </c>
      <c r="D590" s="7" t="s">
        <v>770</v>
      </c>
      <c r="E590" s="7"/>
      <c r="F590" s="6" t="s">
        <v>771</v>
      </c>
      <c r="G590" s="6"/>
      <c r="H590" s="17">
        <v>9594.7000000000007</v>
      </c>
      <c r="I590" s="39" t="s">
        <v>52</v>
      </c>
      <c r="J590" s="7">
        <v>37081</v>
      </c>
      <c r="K590" s="7"/>
      <c r="L590" s="23">
        <v>37144</v>
      </c>
      <c r="M590" s="18" t="s">
        <v>41</v>
      </c>
      <c r="N590" s="6" t="s">
        <v>42</v>
      </c>
      <c r="O590" s="6"/>
      <c r="P590" s="6"/>
      <c r="Q590" s="6"/>
      <c r="R590" s="6"/>
      <c r="S590" s="23">
        <v>37130</v>
      </c>
      <c r="T590" s="7">
        <v>37130</v>
      </c>
      <c r="U590" s="7"/>
      <c r="V590" s="6" t="s">
        <v>772</v>
      </c>
      <c r="W590" s="6">
        <v>759</v>
      </c>
      <c r="X590" s="6"/>
      <c r="Y590" s="59"/>
      <c r="Z590" s="6">
        <v>6515210833</v>
      </c>
      <c r="AA590" s="7">
        <v>37158</v>
      </c>
      <c r="AB590" s="7" t="s">
        <v>767</v>
      </c>
      <c r="AC590" s="507"/>
      <c r="AD590" s="10" t="str">
        <f>IF(T590&lt;=L590,"en término","atrasado")</f>
        <v>en término</v>
      </c>
    </row>
    <row r="591" spans="1:30" s="9" customFormat="1" ht="12" thickBot="1" x14ac:dyDescent="0.25">
      <c r="A591" s="28"/>
      <c r="B591" s="19"/>
      <c r="C591" s="19"/>
      <c r="D591" s="5"/>
      <c r="E591" s="5"/>
      <c r="F591" s="5"/>
      <c r="G591" s="5"/>
      <c r="H591" s="26" t="s">
        <v>769</v>
      </c>
      <c r="I591" s="21"/>
      <c r="J591" s="5"/>
      <c r="K591" s="5"/>
      <c r="L591" s="127"/>
      <c r="M591" s="5"/>
      <c r="N591" s="5"/>
      <c r="O591" s="5"/>
      <c r="P591" s="5"/>
      <c r="Q591" s="5"/>
      <c r="R591" s="5"/>
      <c r="S591" s="27"/>
      <c r="T591" s="5" t="s">
        <v>309</v>
      </c>
      <c r="U591" s="5"/>
      <c r="V591" s="5" t="s">
        <v>773</v>
      </c>
      <c r="W591" s="5"/>
      <c r="X591" s="5"/>
      <c r="Y591" s="61"/>
      <c r="Z591" s="5"/>
      <c r="AA591" s="27"/>
      <c r="AB591" s="27" t="s">
        <v>748</v>
      </c>
      <c r="AC591" s="5"/>
      <c r="AD591" s="10"/>
    </row>
    <row r="592" spans="1:30" s="9" customFormat="1" x14ac:dyDescent="0.2">
      <c r="A592" s="28"/>
      <c r="B592" s="16"/>
      <c r="C592" s="16"/>
      <c r="D592" s="7"/>
      <c r="E592" s="7"/>
      <c r="F592" s="6"/>
      <c r="G592" s="6"/>
      <c r="H592" s="17"/>
      <c r="I592" s="17"/>
      <c r="J592" s="7"/>
      <c r="K592" s="7"/>
      <c r="L592" s="23"/>
      <c r="M592" s="6"/>
      <c r="N592" s="6"/>
      <c r="O592" s="6"/>
      <c r="P592" s="6"/>
      <c r="Q592" s="6"/>
      <c r="R592" s="6"/>
      <c r="S592" s="6"/>
      <c r="T592" s="6"/>
      <c r="U592" s="6"/>
      <c r="V592" s="6"/>
      <c r="W592" s="6"/>
      <c r="X592" s="12"/>
      <c r="Y592" s="59"/>
      <c r="Z592" s="6"/>
      <c r="AA592" s="6"/>
      <c r="AB592" s="6" t="s">
        <v>741</v>
      </c>
      <c r="AC592" s="6"/>
      <c r="AD592" s="10"/>
    </row>
    <row r="593" spans="1:30" s="9" customFormat="1" x14ac:dyDescent="0.2">
      <c r="A593" s="28"/>
      <c r="B593" s="16" t="s">
        <v>36</v>
      </c>
      <c r="C593" s="16" t="s">
        <v>157</v>
      </c>
      <c r="D593" s="7" t="s">
        <v>774</v>
      </c>
      <c r="E593" s="7"/>
      <c r="F593" s="6" t="s">
        <v>775</v>
      </c>
      <c r="G593" s="6"/>
      <c r="H593" s="17">
        <v>9594.7000000000007</v>
      </c>
      <c r="I593" s="39" t="s">
        <v>52</v>
      </c>
      <c r="J593" s="7">
        <v>37092</v>
      </c>
      <c r="K593" s="7"/>
      <c r="L593" s="23">
        <v>37134</v>
      </c>
      <c r="M593" s="18" t="s">
        <v>41</v>
      </c>
      <c r="N593" s="6" t="s">
        <v>42</v>
      </c>
      <c r="O593" s="6"/>
      <c r="P593" s="6"/>
      <c r="Q593" s="6"/>
      <c r="R593" s="6"/>
      <c r="S593" s="23">
        <v>37130</v>
      </c>
      <c r="T593" s="7">
        <v>37130</v>
      </c>
      <c r="U593" s="7"/>
      <c r="V593" s="6" t="s">
        <v>776</v>
      </c>
      <c r="W593" s="6">
        <v>759</v>
      </c>
      <c r="X593" s="6"/>
      <c r="Y593" s="59"/>
      <c r="Z593" s="6">
        <v>6515210833</v>
      </c>
      <c r="AA593" s="7">
        <v>37158</v>
      </c>
      <c r="AB593" s="7" t="s">
        <v>767</v>
      </c>
      <c r="AC593" s="507"/>
      <c r="AD593" s="10" t="str">
        <f>IF(T593&lt;=L593,"en término","atrasado")</f>
        <v>en término</v>
      </c>
    </row>
    <row r="594" spans="1:30" s="9" customFormat="1" ht="12" thickBot="1" x14ac:dyDescent="0.25">
      <c r="A594" s="28"/>
      <c r="B594" s="19"/>
      <c r="C594" s="19"/>
      <c r="D594" s="5"/>
      <c r="E594" s="5"/>
      <c r="F594" s="5" t="s">
        <v>777</v>
      </c>
      <c r="G594" s="5"/>
      <c r="H594" s="26" t="s">
        <v>769</v>
      </c>
      <c r="I594" s="21"/>
      <c r="J594" s="5"/>
      <c r="K594" s="5"/>
      <c r="L594" s="127" t="s">
        <v>659</v>
      </c>
      <c r="M594" s="5"/>
      <c r="N594" s="5"/>
      <c r="O594" s="5"/>
      <c r="P594" s="5"/>
      <c r="Q594" s="5"/>
      <c r="R594" s="5"/>
      <c r="S594" s="27"/>
      <c r="T594" s="5" t="s">
        <v>309</v>
      </c>
      <c r="U594" s="5"/>
      <c r="V594" s="5"/>
      <c r="W594" s="5"/>
      <c r="X594" s="5"/>
      <c r="Y594" s="61"/>
      <c r="Z594" s="5"/>
      <c r="AA594" s="27"/>
      <c r="AB594" s="27" t="s">
        <v>748</v>
      </c>
      <c r="AC594" s="5"/>
      <c r="AD594" s="10"/>
    </row>
    <row r="595" spans="1:30" s="9" customFormat="1" x14ac:dyDescent="0.2">
      <c r="A595" s="28"/>
      <c r="B595" s="11"/>
      <c r="C595" s="11"/>
      <c r="D595" s="91"/>
      <c r="E595" s="91"/>
      <c r="F595" s="12" t="s">
        <v>670</v>
      </c>
      <c r="G595" s="12"/>
      <c r="H595" s="13"/>
      <c r="I595" s="13"/>
      <c r="J595" s="91"/>
      <c r="K595" s="91"/>
      <c r="L595" s="134"/>
      <c r="M595" s="12"/>
      <c r="N595" s="12"/>
      <c r="O595" s="12"/>
      <c r="P595" s="12"/>
      <c r="Q595" s="12"/>
      <c r="R595" s="12"/>
      <c r="S595" s="12"/>
      <c r="T595" s="12"/>
      <c r="U595" s="12"/>
      <c r="V595" s="12"/>
      <c r="W595" s="12"/>
      <c r="X595" s="12"/>
      <c r="Y595" s="57"/>
      <c r="Z595" s="12"/>
      <c r="AA595" s="6"/>
      <c r="AB595" s="6"/>
      <c r="AC595" s="12"/>
      <c r="AD595" s="10"/>
    </row>
    <row r="596" spans="1:30" s="9" customFormat="1" x14ac:dyDescent="0.2">
      <c r="A596" s="28"/>
      <c r="B596" s="16" t="s">
        <v>36</v>
      </c>
      <c r="C596" s="16" t="s">
        <v>133</v>
      </c>
      <c r="D596" s="7" t="s">
        <v>669</v>
      </c>
      <c r="E596" s="7"/>
      <c r="F596" s="6" t="s">
        <v>778</v>
      </c>
      <c r="G596" s="6"/>
      <c r="H596" s="17">
        <v>48415.17</v>
      </c>
      <c r="I596" s="39" t="s">
        <v>779</v>
      </c>
      <c r="J596" s="7">
        <v>37053</v>
      </c>
      <c r="K596" s="7"/>
      <c r="L596" s="23">
        <v>37145</v>
      </c>
      <c r="M596" s="18" t="s">
        <v>41</v>
      </c>
      <c r="N596" s="6" t="s">
        <v>42</v>
      </c>
      <c r="O596" s="6"/>
      <c r="P596" s="6"/>
      <c r="Q596" s="6"/>
      <c r="R596" s="6"/>
      <c r="S596" s="23">
        <v>37130</v>
      </c>
      <c r="T596" s="7">
        <v>37130</v>
      </c>
      <c r="U596" s="7"/>
      <c r="V596" s="6" t="s">
        <v>780</v>
      </c>
      <c r="W596" s="6">
        <v>758</v>
      </c>
      <c r="X596" s="6"/>
      <c r="Y596" s="59"/>
      <c r="Z596" s="6">
        <v>6515210881</v>
      </c>
      <c r="AA596" s="7">
        <v>37158</v>
      </c>
      <c r="AB596" s="7" t="s">
        <v>211</v>
      </c>
      <c r="AC596" s="507"/>
      <c r="AD596" s="10" t="str">
        <f>IF(T596&lt;=L596,"en término","atrasado")</f>
        <v>en término</v>
      </c>
    </row>
    <row r="597" spans="1:30" s="9" customFormat="1" ht="12" thickBot="1" x14ac:dyDescent="0.25">
      <c r="A597" s="28"/>
      <c r="B597" s="19"/>
      <c r="C597" s="19"/>
      <c r="D597" s="5"/>
      <c r="E597" s="5"/>
      <c r="F597" s="5"/>
      <c r="G597" s="5"/>
      <c r="H597" s="20"/>
      <c r="I597" s="21"/>
      <c r="J597" s="5"/>
      <c r="K597" s="5"/>
      <c r="L597" s="127"/>
      <c r="M597" s="5"/>
      <c r="N597" s="5"/>
      <c r="O597" s="5"/>
      <c r="P597" s="5"/>
      <c r="Q597" s="5"/>
      <c r="R597" s="5"/>
      <c r="S597" s="27"/>
      <c r="T597" s="5" t="s">
        <v>309</v>
      </c>
      <c r="U597" s="5"/>
      <c r="V597" s="137"/>
      <c r="W597" s="5"/>
      <c r="X597" s="5"/>
      <c r="Y597" s="61"/>
      <c r="Z597" s="5"/>
      <c r="AA597" s="27"/>
      <c r="AB597" s="27"/>
      <c r="AC597" s="5"/>
      <c r="AD597" s="10"/>
    </row>
    <row r="598" spans="1:30" s="9" customFormat="1" x14ac:dyDescent="0.2">
      <c r="A598" s="28"/>
      <c r="B598" s="16"/>
      <c r="C598" s="16"/>
      <c r="D598" s="7"/>
      <c r="E598" s="7"/>
      <c r="F598" s="6" t="s">
        <v>670</v>
      </c>
      <c r="G598" s="6"/>
      <c r="H598" s="17"/>
      <c r="I598" s="17"/>
      <c r="J598" s="7"/>
      <c r="K598" s="7"/>
      <c r="L598" s="23"/>
      <c r="M598" s="6"/>
      <c r="N598" s="6"/>
      <c r="O598" s="6"/>
      <c r="P598" s="6"/>
      <c r="Q598" s="6"/>
      <c r="R598" s="6"/>
      <c r="S598" s="6"/>
      <c r="T598" s="6"/>
      <c r="U598" s="6"/>
      <c r="V598" s="6"/>
      <c r="W598" s="6"/>
      <c r="X598" s="12"/>
      <c r="Y598" s="59"/>
      <c r="Z598" s="6"/>
      <c r="AA598" s="6"/>
      <c r="AB598" s="6"/>
      <c r="AC598" s="6"/>
      <c r="AD598" s="10"/>
    </row>
    <row r="599" spans="1:30" s="9" customFormat="1" x14ac:dyDescent="0.2">
      <c r="A599" s="28"/>
      <c r="B599" s="16" t="s">
        <v>36</v>
      </c>
      <c r="C599" s="16" t="s">
        <v>133</v>
      </c>
      <c r="D599" s="7" t="s">
        <v>669</v>
      </c>
      <c r="E599" s="7"/>
      <c r="F599" s="6" t="s">
        <v>781</v>
      </c>
      <c r="G599" s="6"/>
      <c r="H599" s="17">
        <v>23961.01</v>
      </c>
      <c r="I599" s="39" t="s">
        <v>40</v>
      </c>
      <c r="J599" s="7">
        <v>37053</v>
      </c>
      <c r="K599" s="7"/>
      <c r="L599" s="23">
        <v>37145</v>
      </c>
      <c r="M599" s="18" t="s">
        <v>782</v>
      </c>
      <c r="N599" s="6" t="s">
        <v>42</v>
      </c>
      <c r="O599" s="6"/>
      <c r="P599" s="6"/>
      <c r="Q599" s="6"/>
      <c r="R599" s="6"/>
      <c r="S599" s="23">
        <v>37130</v>
      </c>
      <c r="T599" s="7">
        <v>37130</v>
      </c>
      <c r="U599" s="7"/>
      <c r="V599" s="6" t="s">
        <v>70</v>
      </c>
      <c r="W599" s="6">
        <v>757</v>
      </c>
      <c r="X599" s="6"/>
      <c r="Y599" s="59"/>
      <c r="Z599" s="6">
        <v>6515210881</v>
      </c>
      <c r="AA599" s="7">
        <v>37158</v>
      </c>
      <c r="AB599" s="7" t="s">
        <v>211</v>
      </c>
      <c r="AC599" s="507"/>
      <c r="AD599" s="10" t="str">
        <f>IF(T599&lt;=L599,"en término","atrasado")</f>
        <v>en término</v>
      </c>
    </row>
    <row r="600" spans="1:30" s="9" customFormat="1" ht="12" thickBot="1" x14ac:dyDescent="0.25">
      <c r="A600" s="28"/>
      <c r="B600" s="19"/>
      <c r="C600" s="19"/>
      <c r="D600" s="5"/>
      <c r="E600" s="5"/>
      <c r="F600" s="5"/>
      <c r="G600" s="5"/>
      <c r="H600" s="20"/>
      <c r="I600" s="21"/>
      <c r="J600" s="5"/>
      <c r="K600" s="5"/>
      <c r="L600" s="127"/>
      <c r="M600" s="5"/>
      <c r="N600" s="5"/>
      <c r="O600" s="5"/>
      <c r="P600" s="5"/>
      <c r="Q600" s="5"/>
      <c r="R600" s="5"/>
      <c r="S600" s="27"/>
      <c r="T600" s="5" t="s">
        <v>309</v>
      </c>
      <c r="U600" s="5"/>
      <c r="V600" s="137"/>
      <c r="W600" s="5"/>
      <c r="X600" s="5"/>
      <c r="Y600" s="61"/>
      <c r="Z600" s="5"/>
      <c r="AA600" s="27"/>
      <c r="AB600" s="27"/>
      <c r="AC600" s="5"/>
      <c r="AD600" s="10"/>
    </row>
    <row r="601" spans="1:30" s="9" customFormat="1" x14ac:dyDescent="0.2">
      <c r="A601" s="28"/>
      <c r="B601" s="16"/>
      <c r="C601" s="16"/>
      <c r="D601" s="7"/>
      <c r="E601" s="7"/>
      <c r="F601" s="6" t="s">
        <v>670</v>
      </c>
      <c r="G601" s="6"/>
      <c r="H601" s="17"/>
      <c r="I601" s="17"/>
      <c r="J601" s="7"/>
      <c r="K601" s="7"/>
      <c r="L601" s="23"/>
      <c r="M601" s="6"/>
      <c r="N601" s="6"/>
      <c r="O601" s="6"/>
      <c r="P601" s="6"/>
      <c r="Q601" s="6"/>
      <c r="R601" s="6"/>
      <c r="S601" s="6"/>
      <c r="T601" s="6"/>
      <c r="U601" s="6"/>
      <c r="V601" s="6"/>
      <c r="W601" s="6"/>
      <c r="X601" s="12"/>
      <c r="Y601" s="59"/>
      <c r="Z601" s="6"/>
      <c r="AA601" s="6"/>
      <c r="AB601" s="6"/>
      <c r="AC601" s="6"/>
      <c r="AD601" s="10"/>
    </row>
    <row r="602" spans="1:30" s="9" customFormat="1" x14ac:dyDescent="0.2">
      <c r="A602" s="28"/>
      <c r="B602" s="16" t="s">
        <v>36</v>
      </c>
      <c r="C602" s="16" t="s">
        <v>133</v>
      </c>
      <c r="D602" s="7" t="s">
        <v>669</v>
      </c>
      <c r="E602" s="7"/>
      <c r="F602" s="6" t="s">
        <v>783</v>
      </c>
      <c r="G602" s="6"/>
      <c r="H602" s="17">
        <v>16936.68</v>
      </c>
      <c r="I602" s="39" t="s">
        <v>52</v>
      </c>
      <c r="J602" s="7">
        <v>37055</v>
      </c>
      <c r="K602" s="7"/>
      <c r="L602" s="23">
        <f>90+J602</f>
        <v>37145</v>
      </c>
      <c r="M602" s="18" t="s">
        <v>782</v>
      </c>
      <c r="N602" s="6" t="s">
        <v>42</v>
      </c>
      <c r="O602" s="6"/>
      <c r="P602" s="6"/>
      <c r="Q602" s="6"/>
      <c r="R602" s="6"/>
      <c r="S602" s="23">
        <v>37130</v>
      </c>
      <c r="T602" s="7">
        <v>37130</v>
      </c>
      <c r="U602" s="7"/>
      <c r="V602" s="6" t="s">
        <v>784</v>
      </c>
      <c r="W602" s="6">
        <v>756</v>
      </c>
      <c r="X602" s="6"/>
      <c r="Y602" s="59"/>
      <c r="Z602" s="6">
        <v>6515210881</v>
      </c>
      <c r="AA602" s="7">
        <v>37158</v>
      </c>
      <c r="AB602" s="7" t="s">
        <v>211</v>
      </c>
      <c r="AC602" s="507"/>
      <c r="AD602" s="10" t="str">
        <f>IF(T602&lt;=L602,"en término","atrasado")</f>
        <v>en término</v>
      </c>
    </row>
    <row r="603" spans="1:30" s="9" customFormat="1" ht="12" thickBot="1" x14ac:dyDescent="0.25">
      <c r="A603" s="28"/>
      <c r="B603" s="19"/>
      <c r="C603" s="19"/>
      <c r="D603" s="5"/>
      <c r="E603" s="5"/>
      <c r="F603" s="5"/>
      <c r="G603" s="5"/>
      <c r="H603" s="20"/>
      <c r="I603" s="21"/>
      <c r="J603" s="5"/>
      <c r="K603" s="5"/>
      <c r="L603" s="127"/>
      <c r="M603" s="5"/>
      <c r="N603" s="5"/>
      <c r="O603" s="5"/>
      <c r="P603" s="5"/>
      <c r="Q603" s="5"/>
      <c r="R603" s="5"/>
      <c r="S603" s="27"/>
      <c r="T603" s="5" t="s">
        <v>309</v>
      </c>
      <c r="U603" s="5"/>
      <c r="V603" s="137"/>
      <c r="W603" s="5"/>
      <c r="X603" s="5"/>
      <c r="Y603" s="61"/>
      <c r="Z603" s="5"/>
      <c r="AA603" s="27"/>
      <c r="AB603" s="27"/>
      <c r="AC603" s="5"/>
      <c r="AD603" s="10"/>
    </row>
    <row r="604" spans="1:30" s="9" customFormat="1" x14ac:dyDescent="0.2">
      <c r="A604" s="28"/>
      <c r="B604" s="16"/>
      <c r="C604" s="16"/>
      <c r="D604" s="7"/>
      <c r="E604" s="7"/>
      <c r="F604" s="6" t="s">
        <v>670</v>
      </c>
      <c r="G604" s="6"/>
      <c r="H604" s="17"/>
      <c r="I604" s="17"/>
      <c r="J604" s="7"/>
      <c r="K604" s="7"/>
      <c r="L604" s="23"/>
      <c r="M604" s="6"/>
      <c r="N604" s="6"/>
      <c r="O604" s="6"/>
      <c r="P604" s="6"/>
      <c r="Q604" s="6"/>
      <c r="R604" s="6"/>
      <c r="S604" s="6"/>
      <c r="T604" s="6"/>
      <c r="U604" s="6"/>
      <c r="V604" s="6"/>
      <c r="W604" s="6"/>
      <c r="X604" s="12"/>
      <c r="Y604" s="59"/>
      <c r="Z604" s="6"/>
      <c r="AA604" s="6"/>
      <c r="AB604" s="6"/>
      <c r="AC604" s="6"/>
      <c r="AD604" s="10"/>
    </row>
    <row r="605" spans="1:30" s="9" customFormat="1" x14ac:dyDescent="0.2">
      <c r="A605" s="28"/>
      <c r="B605" s="16" t="s">
        <v>36</v>
      </c>
      <c r="C605" s="16" t="s">
        <v>133</v>
      </c>
      <c r="D605" s="7" t="s">
        <v>669</v>
      </c>
      <c r="E605" s="7"/>
      <c r="F605" s="6" t="s">
        <v>785</v>
      </c>
      <c r="G605" s="6"/>
      <c r="H605" s="17">
        <v>62990.09</v>
      </c>
      <c r="I605" s="39" t="s">
        <v>62</v>
      </c>
      <c r="J605" s="7">
        <v>37054</v>
      </c>
      <c r="K605" s="7"/>
      <c r="L605" s="23">
        <f>90+J605</f>
        <v>37144</v>
      </c>
      <c r="M605" s="18" t="s">
        <v>41</v>
      </c>
      <c r="N605" s="6" t="s">
        <v>42</v>
      </c>
      <c r="O605" s="6"/>
      <c r="P605" s="6"/>
      <c r="Q605" s="6"/>
      <c r="R605" s="6"/>
      <c r="S605" s="23">
        <v>37130</v>
      </c>
      <c r="T605" s="7">
        <v>37130</v>
      </c>
      <c r="U605" s="7"/>
      <c r="V605" s="6" t="s">
        <v>786</v>
      </c>
      <c r="W605" s="6">
        <v>755</v>
      </c>
      <c r="X605" s="6"/>
      <c r="Y605" s="59"/>
      <c r="Z605" s="6">
        <v>6515210881</v>
      </c>
      <c r="AA605" s="7">
        <v>37158</v>
      </c>
      <c r="AB605" s="7" t="s">
        <v>211</v>
      </c>
      <c r="AC605" s="507"/>
      <c r="AD605" s="10" t="str">
        <f>IF(T605&lt;=L605,"en término","atrasado")</f>
        <v>en término</v>
      </c>
    </row>
    <row r="606" spans="1:30" s="9" customFormat="1" ht="12" thickBot="1" x14ac:dyDescent="0.25">
      <c r="A606" s="28"/>
      <c r="B606" s="19"/>
      <c r="C606" s="19"/>
      <c r="D606" s="5"/>
      <c r="E606" s="5"/>
      <c r="F606" s="5"/>
      <c r="G606" s="5"/>
      <c r="H606" s="20"/>
      <c r="I606" s="21"/>
      <c r="J606" s="5"/>
      <c r="K606" s="5"/>
      <c r="L606" s="127"/>
      <c r="M606" s="5"/>
      <c r="N606" s="5"/>
      <c r="O606" s="5"/>
      <c r="P606" s="5"/>
      <c r="Q606" s="5"/>
      <c r="R606" s="5"/>
      <c r="S606" s="27"/>
      <c r="T606" s="5" t="s">
        <v>309</v>
      </c>
      <c r="U606" s="5"/>
      <c r="V606" s="137"/>
      <c r="W606" s="5"/>
      <c r="X606" s="5"/>
      <c r="Y606" s="61"/>
      <c r="Z606" s="5"/>
      <c r="AA606" s="27"/>
      <c r="AB606" s="27"/>
      <c r="AC606" s="5"/>
      <c r="AD606" s="10"/>
    </row>
    <row r="607" spans="1:30" s="9" customFormat="1" x14ac:dyDescent="0.2">
      <c r="A607" s="28"/>
      <c r="B607" s="11"/>
      <c r="C607" s="11"/>
      <c r="D607" s="91"/>
      <c r="E607" s="91"/>
      <c r="F607" s="12"/>
      <c r="G607" s="12"/>
      <c r="H607" s="13"/>
      <c r="I607" s="13"/>
      <c r="J607" s="91"/>
      <c r="K607" s="91"/>
      <c r="L607" s="134"/>
      <c r="M607" s="12"/>
      <c r="N607" s="12"/>
      <c r="O607" s="12"/>
      <c r="P607" s="12"/>
      <c r="Q607" s="12"/>
      <c r="R607" s="12"/>
      <c r="S607" s="12"/>
      <c r="T607" s="12"/>
      <c r="U607" s="12"/>
      <c r="V607" s="211" t="s">
        <v>787</v>
      </c>
      <c r="W607" s="12"/>
      <c r="X607" s="12"/>
      <c r="Y607" s="57"/>
      <c r="Z607" s="12"/>
      <c r="AA607" s="12"/>
      <c r="AB607" s="12"/>
      <c r="AC607" s="12"/>
      <c r="AD607" s="10"/>
    </row>
    <row r="608" spans="1:30" s="9" customFormat="1" x14ac:dyDescent="0.2">
      <c r="A608" s="28"/>
      <c r="B608" s="16" t="s">
        <v>36</v>
      </c>
      <c r="C608" s="16" t="s">
        <v>133</v>
      </c>
      <c r="D608" s="7" t="s">
        <v>695</v>
      </c>
      <c r="E608" s="7"/>
      <c r="F608" s="6" t="s">
        <v>696</v>
      </c>
      <c r="G608" s="6"/>
      <c r="H608" s="17">
        <v>17919</v>
      </c>
      <c r="I608" s="39" t="s">
        <v>142</v>
      </c>
      <c r="J608" s="202">
        <v>36826</v>
      </c>
      <c r="K608" s="202"/>
      <c r="L608" s="23">
        <v>37096</v>
      </c>
      <c r="M608" s="18" t="s">
        <v>41</v>
      </c>
      <c r="N608" s="6" t="s">
        <v>42</v>
      </c>
      <c r="O608" s="6"/>
      <c r="P608" s="6"/>
      <c r="Q608" s="6"/>
      <c r="R608" s="6"/>
      <c r="S608" s="23">
        <v>37162</v>
      </c>
      <c r="T608" s="7">
        <v>37163</v>
      </c>
      <c r="U608" s="7"/>
      <c r="V608" s="6" t="s">
        <v>788</v>
      </c>
      <c r="W608" s="6">
        <v>760</v>
      </c>
      <c r="X608" s="6"/>
      <c r="Y608" s="59"/>
      <c r="Z608" s="6">
        <v>6584204922</v>
      </c>
      <c r="AA608" s="7">
        <v>37191</v>
      </c>
      <c r="AB608" s="7" t="s">
        <v>211</v>
      </c>
      <c r="AC608" s="507"/>
      <c r="AD608" s="10" t="str">
        <f>IF(T608&lt;=L608,"en término","atrasado")</f>
        <v>atrasado</v>
      </c>
    </row>
    <row r="609" spans="1:30" s="9" customFormat="1" ht="12" thickBot="1" x14ac:dyDescent="0.25">
      <c r="A609" s="28"/>
      <c r="B609" s="19"/>
      <c r="C609" s="19"/>
      <c r="D609" s="5"/>
      <c r="E609" s="5"/>
      <c r="F609" s="5" t="s">
        <v>698</v>
      </c>
      <c r="G609" s="5"/>
      <c r="H609" s="20"/>
      <c r="I609" s="21" t="s">
        <v>208</v>
      </c>
      <c r="J609" s="5"/>
      <c r="K609" s="5"/>
      <c r="L609" s="127"/>
      <c r="M609" s="5"/>
      <c r="N609" s="5"/>
      <c r="O609" s="5"/>
      <c r="P609" s="5"/>
      <c r="Q609" s="5"/>
      <c r="R609" s="5"/>
      <c r="S609" s="27" t="s">
        <v>296</v>
      </c>
      <c r="T609" s="19"/>
      <c r="U609" s="19"/>
      <c r="V609" s="137" t="s">
        <v>789</v>
      </c>
      <c r="W609" s="5"/>
      <c r="X609" s="5"/>
      <c r="Y609" s="61"/>
      <c r="Z609" s="5"/>
      <c r="AA609" s="5"/>
      <c r="AB609" s="5" t="s">
        <v>790</v>
      </c>
      <c r="AC609" s="5"/>
      <c r="AD609" s="10"/>
    </row>
    <row r="610" spans="1:30" s="9" customFormat="1" x14ac:dyDescent="0.2">
      <c r="A610" s="28"/>
      <c r="B610" s="11"/>
      <c r="C610" s="11"/>
      <c r="D610" s="91"/>
      <c r="E610" s="91"/>
      <c r="F610" s="12" t="s">
        <v>670</v>
      </c>
      <c r="G610" s="12"/>
      <c r="H610" s="13"/>
      <c r="I610" s="13"/>
      <c r="J610" s="91"/>
      <c r="K610" s="91"/>
      <c r="L610" s="134"/>
      <c r="M610" s="12"/>
      <c r="N610" s="12"/>
      <c r="O610" s="12"/>
      <c r="P610" s="12"/>
      <c r="Q610" s="12"/>
      <c r="R610" s="12"/>
      <c r="S610" s="12"/>
      <c r="T610" s="12"/>
      <c r="U610" s="12"/>
      <c r="V610" s="12"/>
      <c r="W610" s="12"/>
      <c r="X610" s="12"/>
      <c r="Y610" s="57"/>
      <c r="Z610" s="12"/>
      <c r="AA610" s="12"/>
      <c r="AB610" s="12"/>
      <c r="AC610" s="12"/>
      <c r="AD610" s="10"/>
    </row>
    <row r="611" spans="1:30" s="9" customFormat="1" x14ac:dyDescent="0.2">
      <c r="A611" s="28"/>
      <c r="B611" s="16" t="s">
        <v>36</v>
      </c>
      <c r="C611" s="16" t="s">
        <v>133</v>
      </c>
      <c r="D611" s="7" t="s">
        <v>669</v>
      </c>
      <c r="E611" s="7"/>
      <c r="F611" s="6" t="s">
        <v>791</v>
      </c>
      <c r="G611" s="6"/>
      <c r="H611" s="17">
        <v>100081</v>
      </c>
      <c r="I611" s="39" t="s">
        <v>40</v>
      </c>
      <c r="J611" s="7">
        <v>37078</v>
      </c>
      <c r="K611" s="7"/>
      <c r="L611" s="23">
        <v>37170</v>
      </c>
      <c r="M611" s="18" t="s">
        <v>782</v>
      </c>
      <c r="N611" s="6" t="s">
        <v>42</v>
      </c>
      <c r="O611" s="6"/>
      <c r="P611" s="6"/>
      <c r="Q611" s="6"/>
      <c r="R611" s="6"/>
      <c r="S611" s="23">
        <v>37162</v>
      </c>
      <c r="T611" s="7">
        <v>37163</v>
      </c>
      <c r="U611" s="7"/>
      <c r="V611" s="6" t="s">
        <v>792</v>
      </c>
      <c r="W611" s="6">
        <v>761</v>
      </c>
      <c r="X611" s="6"/>
      <c r="Y611" s="59"/>
      <c r="Z611" s="6">
        <v>6584204922</v>
      </c>
      <c r="AA611" s="7">
        <v>37191</v>
      </c>
      <c r="AB611" s="7" t="s">
        <v>211</v>
      </c>
      <c r="AC611" s="507"/>
      <c r="AD611" s="10" t="str">
        <f>IF(T611&lt;=L611,"en término","atrasado")</f>
        <v>en término</v>
      </c>
    </row>
    <row r="612" spans="1:30" s="9" customFormat="1" ht="12" thickBot="1" x14ac:dyDescent="0.25">
      <c r="A612" s="28"/>
      <c r="B612" s="19"/>
      <c r="C612" s="19"/>
      <c r="D612" s="5"/>
      <c r="E612" s="5"/>
      <c r="F612" s="5"/>
      <c r="G612" s="5"/>
      <c r="H612" s="20"/>
      <c r="I612" s="21"/>
      <c r="J612" s="5"/>
      <c r="K612" s="5"/>
      <c r="L612" s="127"/>
      <c r="M612" s="5"/>
      <c r="N612" s="5"/>
      <c r="O612" s="5"/>
      <c r="P612" s="5"/>
      <c r="Q612" s="5"/>
      <c r="R612" s="5"/>
      <c r="S612" s="27" t="s">
        <v>296</v>
      </c>
      <c r="T612" s="19"/>
      <c r="U612" s="19"/>
      <c r="V612" s="137"/>
      <c r="W612" s="5"/>
      <c r="X612" s="5"/>
      <c r="Y612" s="61"/>
      <c r="Z612" s="5"/>
      <c r="AA612" s="5"/>
      <c r="AB612" s="5"/>
      <c r="AC612" s="5"/>
      <c r="AD612" s="10"/>
    </row>
    <row r="613" spans="1:30" s="9" customFormat="1" x14ac:dyDescent="0.2">
      <c r="A613" s="28"/>
      <c r="B613" s="16"/>
      <c r="C613" s="16"/>
      <c r="D613" s="7"/>
      <c r="E613" s="7"/>
      <c r="F613" s="6"/>
      <c r="G613" s="6"/>
      <c r="H613" s="17"/>
      <c r="I613" s="17"/>
      <c r="J613" s="7"/>
      <c r="K613" s="7"/>
      <c r="L613" s="23"/>
      <c r="M613" s="6"/>
      <c r="N613" s="6"/>
      <c r="O613" s="6"/>
      <c r="P613" s="6"/>
      <c r="Q613" s="6"/>
      <c r="R613" s="6"/>
      <c r="S613" s="6"/>
      <c r="T613" s="6"/>
      <c r="U613" s="6"/>
      <c r="V613" s="6"/>
      <c r="W613" s="6"/>
      <c r="X613" s="12"/>
      <c r="Y613" s="59"/>
      <c r="Z613" s="6"/>
      <c r="AA613" s="6"/>
      <c r="AB613" s="6"/>
      <c r="AC613" s="6"/>
      <c r="AD613" s="10"/>
    </row>
    <row r="614" spans="1:30" s="9" customFormat="1" x14ac:dyDescent="0.2">
      <c r="A614" s="28"/>
      <c r="B614" s="16" t="s">
        <v>36</v>
      </c>
      <c r="C614" s="16" t="s">
        <v>133</v>
      </c>
      <c r="D614" s="7" t="s">
        <v>669</v>
      </c>
      <c r="E614" s="7"/>
      <c r="F614" s="6" t="s">
        <v>670</v>
      </c>
      <c r="G614" s="6"/>
      <c r="H614" s="17">
        <v>29986</v>
      </c>
      <c r="I614" s="39" t="s">
        <v>52</v>
      </c>
      <c r="J614" s="7">
        <v>37102</v>
      </c>
      <c r="K614" s="7"/>
      <c r="L614" s="23">
        <f>90+J614</f>
        <v>37192</v>
      </c>
      <c r="M614" s="18" t="s">
        <v>41</v>
      </c>
      <c r="N614" s="6" t="s">
        <v>42</v>
      </c>
      <c r="O614" s="6"/>
      <c r="P614" s="6"/>
      <c r="Q614" s="6"/>
      <c r="R614" s="6"/>
      <c r="S614" s="23">
        <v>37162</v>
      </c>
      <c r="T614" s="7">
        <v>37163</v>
      </c>
      <c r="U614" s="7"/>
      <c r="V614" s="6" t="s">
        <v>793</v>
      </c>
      <c r="W614" s="6">
        <v>762</v>
      </c>
      <c r="X614" s="6"/>
      <c r="Y614" s="59"/>
      <c r="Z614" s="6">
        <v>6584204922</v>
      </c>
      <c r="AA614" s="7">
        <v>37191</v>
      </c>
      <c r="AB614" s="7" t="s">
        <v>47</v>
      </c>
      <c r="AC614" s="507"/>
      <c r="AD614" s="10" t="str">
        <f>IF(T614&lt;=L614,"en término","atrasado")</f>
        <v>en término</v>
      </c>
    </row>
    <row r="615" spans="1:30" s="9" customFormat="1" ht="12" thickBot="1" x14ac:dyDescent="0.25">
      <c r="A615" s="28"/>
      <c r="B615" s="19"/>
      <c r="C615" s="19"/>
      <c r="D615" s="5"/>
      <c r="E615" s="5"/>
      <c r="F615" s="5" t="s">
        <v>794</v>
      </c>
      <c r="G615" s="5"/>
      <c r="H615" s="105"/>
      <c r="I615" s="21"/>
      <c r="J615" s="5"/>
      <c r="K615" s="5"/>
      <c r="L615" s="127"/>
      <c r="M615" s="5"/>
      <c r="N615" s="5"/>
      <c r="O615" s="5"/>
      <c r="P615" s="5"/>
      <c r="Q615" s="5"/>
      <c r="R615" s="5"/>
      <c r="S615" s="27" t="s">
        <v>296</v>
      </c>
      <c r="T615" s="19"/>
      <c r="U615" s="19"/>
      <c r="V615" s="5"/>
      <c r="W615" s="5"/>
      <c r="X615" s="5"/>
      <c r="Y615" s="61"/>
      <c r="Z615" s="5"/>
      <c r="AA615" s="5"/>
      <c r="AB615" s="5"/>
      <c r="AC615" s="5"/>
      <c r="AD615" s="10"/>
    </row>
    <row r="616" spans="1:30" s="9" customFormat="1" x14ac:dyDescent="0.2">
      <c r="A616" s="28"/>
      <c r="B616" s="28"/>
      <c r="C616" s="28"/>
      <c r="D616" s="30"/>
      <c r="E616" s="30"/>
      <c r="F616" s="30"/>
      <c r="G616" s="30"/>
      <c r="H616" s="217"/>
      <c r="I616" s="31"/>
      <c r="J616" s="30"/>
      <c r="K616" s="30"/>
      <c r="L616" s="140"/>
      <c r="M616" s="30"/>
      <c r="N616" s="30"/>
      <c r="O616" s="30"/>
      <c r="P616" s="30"/>
      <c r="Q616" s="30"/>
      <c r="R616" s="30"/>
      <c r="S616" s="48"/>
      <c r="T616" s="28"/>
      <c r="U616" s="28"/>
      <c r="V616" s="30"/>
      <c r="W616" s="30"/>
      <c r="X616" s="30"/>
      <c r="Y616" s="30"/>
      <c r="Z616" s="30"/>
      <c r="AA616" s="30"/>
      <c r="AB616" s="30"/>
      <c r="AC616" s="30"/>
      <c r="AD616" s="10"/>
    </row>
    <row r="617" spans="1:30" ht="12" thickBot="1" x14ac:dyDescent="0.25"/>
    <row r="618" spans="1:30" s="9" customFormat="1" x14ac:dyDescent="0.2">
      <c r="A618" s="28"/>
      <c r="B618" s="11"/>
      <c r="C618" s="11"/>
      <c r="D618" s="91"/>
      <c r="E618" s="91"/>
      <c r="F618" s="12"/>
      <c r="G618" s="12"/>
      <c r="H618" s="13"/>
      <c r="I618" s="13"/>
      <c r="J618" s="91"/>
      <c r="K618" s="91"/>
      <c r="L618" s="134"/>
      <c r="M618" s="12"/>
      <c r="N618" s="12"/>
      <c r="O618" s="12"/>
      <c r="P618" s="12"/>
      <c r="Q618" s="12"/>
      <c r="R618" s="12"/>
      <c r="S618" s="12"/>
      <c r="T618" s="12"/>
      <c r="U618" s="12"/>
      <c r="V618" s="12"/>
      <c r="W618" s="12"/>
      <c r="X618" s="12"/>
      <c r="Y618" s="57"/>
      <c r="Z618" s="12"/>
      <c r="AA618" s="12"/>
      <c r="AB618" s="12"/>
      <c r="AC618" s="12"/>
    </row>
    <row r="619" spans="1:30" s="9" customFormat="1" x14ac:dyDescent="0.2">
      <c r="A619" s="28"/>
      <c r="B619" s="16" t="s">
        <v>36</v>
      </c>
      <c r="C619" s="16" t="s">
        <v>133</v>
      </c>
      <c r="D619" s="7" t="s">
        <v>669</v>
      </c>
      <c r="E619" s="7"/>
      <c r="F619" s="6" t="s">
        <v>670</v>
      </c>
      <c r="G619" s="6"/>
      <c r="H619" s="17">
        <v>100496</v>
      </c>
      <c r="I619" s="39" t="s">
        <v>40</v>
      </c>
      <c r="J619" s="7">
        <v>37105</v>
      </c>
      <c r="K619" s="7"/>
      <c r="L619" s="23">
        <f>90+J619</f>
        <v>37195</v>
      </c>
      <c r="M619" s="18" t="s">
        <v>41</v>
      </c>
      <c r="N619" s="6" t="s">
        <v>42</v>
      </c>
      <c r="O619" s="6"/>
      <c r="P619" s="6"/>
      <c r="Q619" s="6"/>
      <c r="R619" s="6"/>
      <c r="S619" s="23">
        <v>37182</v>
      </c>
      <c r="T619" s="7">
        <v>37184</v>
      </c>
      <c r="U619" s="7"/>
      <c r="V619" s="6" t="s">
        <v>795</v>
      </c>
      <c r="W619" s="6">
        <v>766</v>
      </c>
      <c r="X619" s="6" t="s">
        <v>47</v>
      </c>
      <c r="Y619" s="59"/>
      <c r="Z619" s="6">
        <v>6584204933</v>
      </c>
      <c r="AA619" s="7">
        <v>37208</v>
      </c>
      <c r="AB619" s="7" t="s">
        <v>211</v>
      </c>
      <c r="AC619" s="507"/>
      <c r="AD619" s="10" t="str">
        <f>IF(T619&lt;=L619,"en término","atrasado")</f>
        <v>en término</v>
      </c>
    </row>
    <row r="620" spans="1:30" s="9" customFormat="1" ht="12" thickBot="1" x14ac:dyDescent="0.25">
      <c r="A620" s="28"/>
      <c r="B620" s="19"/>
      <c r="C620" s="19"/>
      <c r="D620" s="5"/>
      <c r="E620" s="5"/>
      <c r="F620" s="5" t="s">
        <v>796</v>
      </c>
      <c r="G620" s="5"/>
      <c r="H620" s="105"/>
      <c r="I620" s="21"/>
      <c r="J620" s="5"/>
      <c r="K620" s="5"/>
      <c r="L620" s="127"/>
      <c r="M620" s="5"/>
      <c r="N620" s="5"/>
      <c r="O620" s="5"/>
      <c r="P620" s="5"/>
      <c r="Q620" s="5"/>
      <c r="R620" s="5"/>
      <c r="S620" s="27" t="s">
        <v>296</v>
      </c>
      <c r="T620" s="5" t="s">
        <v>185</v>
      </c>
      <c r="U620" s="5"/>
      <c r="V620" s="137" t="s">
        <v>797</v>
      </c>
      <c r="W620" s="5"/>
      <c r="X620" s="5"/>
      <c r="Y620" s="61"/>
      <c r="Z620" s="5"/>
      <c r="AA620" s="5"/>
      <c r="AB620" s="5"/>
      <c r="AC620" s="5"/>
    </row>
    <row r="621" spans="1:30" s="9" customFormat="1" x14ac:dyDescent="0.2">
      <c r="A621" s="28"/>
      <c r="B621" s="11"/>
      <c r="C621" s="11"/>
      <c r="D621" s="91"/>
      <c r="E621" s="91"/>
      <c r="F621" s="12"/>
      <c r="G621" s="12"/>
      <c r="H621" s="13"/>
      <c r="I621" s="13"/>
      <c r="J621" s="91"/>
      <c r="K621" s="91"/>
      <c r="L621" s="134"/>
      <c r="M621" s="12"/>
      <c r="N621" s="12"/>
      <c r="O621" s="12"/>
      <c r="P621" s="12"/>
      <c r="Q621" s="12"/>
      <c r="R621" s="12"/>
      <c r="S621" s="12"/>
      <c r="T621" s="12"/>
      <c r="U621" s="12"/>
      <c r="V621" s="190" t="s">
        <v>798</v>
      </c>
      <c r="W621" s="12"/>
      <c r="X621" s="12"/>
      <c r="Y621" s="57"/>
      <c r="Z621" s="12"/>
      <c r="AA621" s="12" t="s">
        <v>559</v>
      </c>
      <c r="AB621" s="12"/>
      <c r="AC621" s="12"/>
    </row>
    <row r="622" spans="1:30" s="9" customFormat="1" x14ac:dyDescent="0.2">
      <c r="A622" s="28"/>
      <c r="B622" s="16" t="s">
        <v>36</v>
      </c>
      <c r="C622" s="16" t="s">
        <v>133</v>
      </c>
      <c r="D622" s="7" t="s">
        <v>669</v>
      </c>
      <c r="E622" s="7"/>
      <c r="F622" s="6" t="s">
        <v>670</v>
      </c>
      <c r="G622" s="6"/>
      <c r="H622" s="17">
        <v>19873.78</v>
      </c>
      <c r="I622" s="39" t="s">
        <v>62</v>
      </c>
      <c r="J622" s="7">
        <v>37133</v>
      </c>
      <c r="K622" s="7"/>
      <c r="L622" s="23">
        <f>90+J622</f>
        <v>37223</v>
      </c>
      <c r="M622" s="18" t="s">
        <v>41</v>
      </c>
      <c r="N622" s="6" t="s">
        <v>42</v>
      </c>
      <c r="O622" s="6"/>
      <c r="P622" s="6"/>
      <c r="Q622" s="6"/>
      <c r="R622" s="6"/>
      <c r="S622" s="23">
        <v>37221</v>
      </c>
      <c r="T622" s="7">
        <v>37223</v>
      </c>
      <c r="U622" s="7"/>
      <c r="V622" s="6" t="s">
        <v>799</v>
      </c>
      <c r="W622" s="6">
        <v>771</v>
      </c>
      <c r="X622" s="6" t="s">
        <v>47</v>
      </c>
      <c r="Y622" s="59"/>
      <c r="Z622" s="6" t="s">
        <v>800</v>
      </c>
      <c r="AA622" s="7">
        <v>37262</v>
      </c>
      <c r="AB622" s="7" t="s">
        <v>211</v>
      </c>
      <c r="AC622" s="507"/>
      <c r="AD622" s="10" t="str">
        <f>IF(T622&lt;=L622,"en término","atrasado")</f>
        <v>en término</v>
      </c>
    </row>
    <row r="623" spans="1:30" s="9" customFormat="1" ht="12" thickBot="1" x14ac:dyDescent="0.25">
      <c r="A623" s="28"/>
      <c r="B623" s="19"/>
      <c r="C623" s="19"/>
      <c r="D623" s="5"/>
      <c r="E623" s="5"/>
      <c r="F623" s="5" t="s">
        <v>801</v>
      </c>
      <c r="G623" s="5"/>
      <c r="H623" s="105"/>
      <c r="I623" s="21"/>
      <c r="J623" s="5"/>
      <c r="K623" s="5"/>
      <c r="L623" s="127"/>
      <c r="M623" s="5"/>
      <c r="N623" s="5"/>
      <c r="O623" s="5"/>
      <c r="P623" s="5"/>
      <c r="Q623" s="5"/>
      <c r="R623" s="5"/>
      <c r="S623" s="27" t="s">
        <v>699</v>
      </c>
      <c r="T623" s="19"/>
      <c r="U623" s="19"/>
      <c r="V623" s="5" t="s">
        <v>802</v>
      </c>
      <c r="W623" s="5"/>
      <c r="X623" s="5"/>
      <c r="Y623" s="61"/>
      <c r="Z623" s="5" t="s">
        <v>803</v>
      </c>
      <c r="AA623" s="5"/>
      <c r="AB623" s="5"/>
      <c r="AC623" s="5"/>
    </row>
    <row r="624" spans="1:30" s="9" customFormat="1" x14ac:dyDescent="0.2">
      <c r="A624" s="28"/>
      <c r="B624" s="16"/>
      <c r="C624" s="16"/>
      <c r="D624" s="7"/>
      <c r="E624" s="7"/>
      <c r="F624" s="6"/>
      <c r="G624" s="6"/>
      <c r="H624" s="17"/>
      <c r="I624" s="17"/>
      <c r="J624" s="7"/>
      <c r="K624" s="7"/>
      <c r="L624" s="23"/>
      <c r="M624" s="6"/>
      <c r="N624" s="6"/>
      <c r="O624" s="6"/>
      <c r="P624" s="6"/>
      <c r="Q624" s="6"/>
      <c r="R624" s="6"/>
      <c r="S624" s="6"/>
      <c r="T624" s="6"/>
      <c r="U624" s="6"/>
      <c r="V624" s="6"/>
      <c r="W624" s="6"/>
      <c r="X624" s="12"/>
      <c r="Y624" s="59"/>
      <c r="Z624" s="6"/>
      <c r="AA624" s="12" t="s">
        <v>559</v>
      </c>
      <c r="AB624" s="6"/>
      <c r="AC624" s="6"/>
    </row>
    <row r="625" spans="1:39" s="9" customFormat="1" x14ac:dyDescent="0.2">
      <c r="A625" s="28"/>
      <c r="B625" s="16" t="s">
        <v>36</v>
      </c>
      <c r="C625" s="16" t="s">
        <v>133</v>
      </c>
      <c r="D625" s="7" t="s">
        <v>669</v>
      </c>
      <c r="E625" s="7"/>
      <c r="F625" s="6" t="s">
        <v>670</v>
      </c>
      <c r="G625" s="6"/>
      <c r="H625" s="17">
        <v>8952.2999999999993</v>
      </c>
      <c r="I625" s="39" t="s">
        <v>52</v>
      </c>
      <c r="J625" s="7">
        <v>37134</v>
      </c>
      <c r="K625" s="7"/>
      <c r="L625" s="23">
        <f>90+J625</f>
        <v>37224</v>
      </c>
      <c r="M625" s="18" t="s">
        <v>41</v>
      </c>
      <c r="N625" s="6" t="s">
        <v>42</v>
      </c>
      <c r="O625" s="6"/>
      <c r="P625" s="6"/>
      <c r="Q625" s="6"/>
      <c r="R625" s="6"/>
      <c r="S625" s="23">
        <v>37221</v>
      </c>
      <c r="T625" s="7">
        <v>37223</v>
      </c>
      <c r="U625" s="7"/>
      <c r="V625" s="6" t="s">
        <v>804</v>
      </c>
      <c r="W625" s="6">
        <v>772</v>
      </c>
      <c r="X625" s="6" t="s">
        <v>47</v>
      </c>
      <c r="Y625" s="59"/>
      <c r="Z625" s="6" t="s">
        <v>800</v>
      </c>
      <c r="AA625" s="7">
        <v>37262</v>
      </c>
      <c r="AB625" s="7" t="s">
        <v>211</v>
      </c>
      <c r="AC625" s="507"/>
      <c r="AD625" s="10" t="str">
        <f>IF(T625&lt;=L625,"en término","atrasado")</f>
        <v>en término</v>
      </c>
    </row>
    <row r="626" spans="1:39" s="9" customFormat="1" ht="12" thickBot="1" x14ac:dyDescent="0.25">
      <c r="A626" s="28"/>
      <c r="B626" s="19"/>
      <c r="C626" s="19"/>
      <c r="D626" s="5"/>
      <c r="E626" s="5"/>
      <c r="F626" s="5" t="s">
        <v>805</v>
      </c>
      <c r="G626" s="5"/>
      <c r="H626" s="105"/>
      <c r="I626" s="21"/>
      <c r="J626" s="5"/>
      <c r="K626" s="5"/>
      <c r="L626" s="127"/>
      <c r="M626" s="5"/>
      <c r="N626" s="5"/>
      <c r="O626" s="5"/>
      <c r="P626" s="5"/>
      <c r="Q626" s="5"/>
      <c r="R626" s="5"/>
      <c r="S626" s="27" t="s">
        <v>699</v>
      </c>
      <c r="T626" s="19"/>
      <c r="U626" s="19"/>
      <c r="V626" s="5"/>
      <c r="W626" s="5"/>
      <c r="X626" s="5"/>
      <c r="Y626" s="61"/>
      <c r="Z626" s="5" t="s">
        <v>803</v>
      </c>
      <c r="AA626" s="5"/>
      <c r="AB626" s="5"/>
      <c r="AC626" s="5"/>
    </row>
    <row r="627" spans="1:39" s="9" customFormat="1" x14ac:dyDescent="0.2">
      <c r="A627" s="28"/>
      <c r="B627" s="16"/>
      <c r="C627" s="16"/>
      <c r="D627" s="7"/>
      <c r="E627" s="7"/>
      <c r="F627" s="6"/>
      <c r="G627" s="6"/>
      <c r="H627" s="17"/>
      <c r="I627" s="17"/>
      <c r="J627" s="7"/>
      <c r="K627" s="7"/>
      <c r="L627" s="23"/>
      <c r="M627" s="6"/>
      <c r="N627" s="6"/>
      <c r="O627" s="6"/>
      <c r="P627" s="6"/>
      <c r="Q627" s="6"/>
      <c r="R627" s="6"/>
      <c r="S627" s="6"/>
      <c r="T627" s="6"/>
      <c r="U627" s="6"/>
      <c r="V627" s="6"/>
      <c r="W627" s="6"/>
      <c r="X627" s="12"/>
      <c r="Y627" s="59"/>
      <c r="Z627" s="6"/>
      <c r="AA627" s="12" t="s">
        <v>559</v>
      </c>
      <c r="AB627" s="6"/>
      <c r="AC627" s="6"/>
    </row>
    <row r="628" spans="1:39" s="9" customFormat="1" x14ac:dyDescent="0.2">
      <c r="A628" s="28"/>
      <c r="B628" s="16" t="s">
        <v>36</v>
      </c>
      <c r="C628" s="16" t="s">
        <v>133</v>
      </c>
      <c r="D628" s="7" t="s">
        <v>669</v>
      </c>
      <c r="E628" s="7"/>
      <c r="F628" s="6" t="s">
        <v>670</v>
      </c>
      <c r="G628" s="6"/>
      <c r="H628" s="17">
        <v>30510.92</v>
      </c>
      <c r="I628" s="39" t="s">
        <v>40</v>
      </c>
      <c r="J628" s="7">
        <v>37147</v>
      </c>
      <c r="K628" s="7"/>
      <c r="L628" s="23">
        <f>90+J628</f>
        <v>37237</v>
      </c>
      <c r="M628" s="18" t="s">
        <v>41</v>
      </c>
      <c r="N628" s="6" t="s">
        <v>42</v>
      </c>
      <c r="O628" s="6"/>
      <c r="P628" s="6"/>
      <c r="Q628" s="6"/>
      <c r="R628" s="6"/>
      <c r="S628" s="23">
        <v>37221</v>
      </c>
      <c r="T628" s="7">
        <v>37223</v>
      </c>
      <c r="U628" s="7"/>
      <c r="V628" s="6" t="s">
        <v>806</v>
      </c>
      <c r="W628" s="6">
        <v>773</v>
      </c>
      <c r="X628" s="6" t="s">
        <v>211</v>
      </c>
      <c r="Y628" s="59"/>
      <c r="Z628" s="6" t="s">
        <v>800</v>
      </c>
      <c r="AA628" s="7">
        <v>37262</v>
      </c>
      <c r="AB628" s="7" t="s">
        <v>211</v>
      </c>
      <c r="AC628" s="507"/>
      <c r="AD628" s="10" t="str">
        <f>IF(T628&lt;=L628,"en término","atrasado")</f>
        <v>en término</v>
      </c>
    </row>
    <row r="629" spans="1:39" s="9" customFormat="1" ht="12" thickBot="1" x14ac:dyDescent="0.25">
      <c r="A629" s="28"/>
      <c r="B629" s="19"/>
      <c r="C629" s="19"/>
      <c r="D629" s="5"/>
      <c r="E629" s="5"/>
      <c r="F629" s="5" t="s">
        <v>807</v>
      </c>
      <c r="G629" s="5"/>
      <c r="H629" s="105"/>
      <c r="I629" s="21"/>
      <c r="J629" s="5"/>
      <c r="K629" s="5"/>
      <c r="L629" s="127"/>
      <c r="M629" s="5"/>
      <c r="N629" s="5"/>
      <c r="O629" s="5"/>
      <c r="P629" s="5"/>
      <c r="Q629" s="5"/>
      <c r="R629" s="5"/>
      <c r="S629" s="27" t="s">
        <v>699</v>
      </c>
      <c r="T629" s="19"/>
      <c r="U629" s="19"/>
      <c r="V629" s="5"/>
      <c r="W629" s="5"/>
      <c r="X629" s="5"/>
      <c r="Y629" s="61"/>
      <c r="Z629" s="5" t="s">
        <v>803</v>
      </c>
      <c r="AA629" s="5"/>
      <c r="AB629" s="5"/>
      <c r="AC629" s="5"/>
    </row>
    <row r="630" spans="1:39" s="46" customFormat="1" x14ac:dyDescent="0.2">
      <c r="A630" s="28"/>
      <c r="B630" s="16"/>
      <c r="C630" s="16"/>
      <c r="D630" s="7"/>
      <c r="E630" s="7"/>
      <c r="F630" s="6"/>
      <c r="G630" s="6"/>
      <c r="H630" s="17"/>
      <c r="I630" s="17"/>
      <c r="J630" s="7"/>
      <c r="K630" s="7"/>
      <c r="L630" s="23"/>
      <c r="M630" s="6"/>
      <c r="N630" s="6"/>
      <c r="O630" s="6"/>
      <c r="P630" s="6"/>
      <c r="Q630" s="6"/>
      <c r="R630" s="6"/>
      <c r="S630" s="6"/>
      <c r="T630" s="6"/>
      <c r="U630" s="6"/>
      <c r="V630" s="6"/>
      <c r="W630" s="6"/>
      <c r="X630" s="12"/>
      <c r="Y630" s="59"/>
      <c r="Z630" s="6"/>
      <c r="AA630" s="12" t="s">
        <v>559</v>
      </c>
      <c r="AB630" s="6"/>
      <c r="AC630" s="6"/>
      <c r="AD630" s="2"/>
      <c r="AE630" s="2"/>
      <c r="AF630" s="2"/>
      <c r="AG630" s="2"/>
      <c r="AH630" s="2"/>
      <c r="AI630" s="2"/>
      <c r="AJ630" s="2"/>
      <c r="AK630" s="2"/>
      <c r="AL630" s="2"/>
      <c r="AM630" s="2"/>
    </row>
    <row r="631" spans="1:39" s="46" customFormat="1" x14ac:dyDescent="0.2">
      <c r="A631" s="28"/>
      <c r="B631" s="16" t="s">
        <v>36</v>
      </c>
      <c r="C631" s="16" t="s">
        <v>133</v>
      </c>
      <c r="D631" s="7" t="s">
        <v>669</v>
      </c>
      <c r="E631" s="7"/>
      <c r="F631" s="6" t="s">
        <v>670</v>
      </c>
      <c r="G631" s="6"/>
      <c r="H631" s="17">
        <v>27049.599999999999</v>
      </c>
      <c r="I631" s="39" t="s">
        <v>142</v>
      </c>
      <c r="J631" s="7">
        <v>37195</v>
      </c>
      <c r="K631" s="7"/>
      <c r="L631" s="23">
        <f>30+J631</f>
        <v>37225</v>
      </c>
      <c r="M631" s="18" t="s">
        <v>41</v>
      </c>
      <c r="N631" s="6" t="s">
        <v>42</v>
      </c>
      <c r="O631" s="6"/>
      <c r="P631" s="6"/>
      <c r="Q631" s="6"/>
      <c r="R631" s="6"/>
      <c r="S631" s="23">
        <v>37221</v>
      </c>
      <c r="T631" s="7">
        <v>37223</v>
      </c>
      <c r="U631" s="7"/>
      <c r="V631" s="6" t="s">
        <v>808</v>
      </c>
      <c r="W631" s="6">
        <v>774</v>
      </c>
      <c r="X631" s="6" t="s">
        <v>211</v>
      </c>
      <c r="Y631" s="59"/>
      <c r="Z631" s="6" t="s">
        <v>800</v>
      </c>
      <c r="AA631" s="7">
        <v>37262</v>
      </c>
      <c r="AB631" s="7" t="s">
        <v>211</v>
      </c>
      <c r="AC631" s="507"/>
      <c r="AD631" s="10" t="str">
        <f>IF(T631&lt;=L631,"en término","atrasado")</f>
        <v>en término</v>
      </c>
      <c r="AE631" s="2"/>
      <c r="AF631" s="2"/>
      <c r="AG631" s="2"/>
      <c r="AH631" s="2"/>
      <c r="AI631" s="2"/>
      <c r="AJ631" s="2"/>
      <c r="AK631" s="2"/>
      <c r="AL631" s="2"/>
      <c r="AM631" s="2"/>
    </row>
    <row r="632" spans="1:39" s="46" customFormat="1" ht="12" thickBot="1" x14ac:dyDescent="0.25">
      <c r="A632" s="28"/>
      <c r="B632" s="19"/>
      <c r="C632" s="19"/>
      <c r="D632" s="5"/>
      <c r="E632" s="5"/>
      <c r="F632" s="5" t="s">
        <v>809</v>
      </c>
      <c r="G632" s="5"/>
      <c r="H632" s="105"/>
      <c r="I632" s="21"/>
      <c r="J632" s="5"/>
      <c r="K632" s="5"/>
      <c r="L632" s="127" t="s">
        <v>710</v>
      </c>
      <c r="M632" s="5"/>
      <c r="N632" s="5"/>
      <c r="O632" s="5"/>
      <c r="P632" s="5"/>
      <c r="Q632" s="5"/>
      <c r="R632" s="5"/>
      <c r="S632" s="27" t="s">
        <v>699</v>
      </c>
      <c r="T632" s="19"/>
      <c r="U632" s="19"/>
      <c r="V632" s="5" t="s">
        <v>810</v>
      </c>
      <c r="W632" s="5"/>
      <c r="X632" s="5"/>
      <c r="Y632" s="61"/>
      <c r="Z632" s="5" t="s">
        <v>803</v>
      </c>
      <c r="AA632" s="5"/>
      <c r="AB632" s="5"/>
      <c r="AC632" s="5"/>
      <c r="AD632" s="2"/>
      <c r="AE632" s="2"/>
      <c r="AF632" s="2"/>
      <c r="AG632" s="2"/>
      <c r="AH632" s="2"/>
      <c r="AI632" s="2"/>
      <c r="AJ632" s="2"/>
      <c r="AK632" s="2"/>
      <c r="AL632" s="2"/>
      <c r="AM632" s="2"/>
    </row>
    <row r="633" spans="1:39" s="9" customFormat="1" x14ac:dyDescent="0.2">
      <c r="A633" s="28"/>
      <c r="B633" s="28"/>
      <c r="C633" s="28"/>
      <c r="D633" s="30"/>
      <c r="E633" s="30"/>
      <c r="F633" s="30"/>
      <c r="G633" s="30"/>
      <c r="H633" s="218"/>
      <c r="I633" s="31"/>
      <c r="J633" s="30"/>
      <c r="K633" s="30"/>
      <c r="L633" s="140"/>
      <c r="M633" s="30"/>
      <c r="N633" s="30"/>
      <c r="O633" s="30"/>
      <c r="P633" s="30"/>
      <c r="Q633" s="30"/>
      <c r="R633" s="30"/>
      <c r="S633" s="48"/>
      <c r="T633" s="30"/>
      <c r="U633" s="30"/>
      <c r="V633" s="30"/>
      <c r="W633" s="30"/>
      <c r="X633" s="30"/>
      <c r="Y633" s="30"/>
      <c r="Z633" s="30"/>
      <c r="AA633" s="30"/>
      <c r="AB633" s="30"/>
      <c r="AC633" s="30"/>
    </row>
    <row r="634" spans="1:39" ht="12.75" x14ac:dyDescent="0.2">
      <c r="AA634" s="1">
        <v>2001</v>
      </c>
      <c r="AB634" s="1047"/>
    </row>
    <row r="635" spans="1:39" ht="12.75" x14ac:dyDescent="0.2">
      <c r="H635" s="212" t="s">
        <v>811</v>
      </c>
      <c r="I635" s="212"/>
      <c r="J635" s="213" t="s">
        <v>812</v>
      </c>
      <c r="K635" s="213"/>
      <c r="L635" s="213"/>
      <c r="AA635" s="945" t="s">
        <v>813</v>
      </c>
      <c r="AB635" s="1048">
        <f>COUNTA(AD491:AD632)</f>
        <v>46</v>
      </c>
    </row>
    <row r="636" spans="1:39" ht="12.75" x14ac:dyDescent="0.2">
      <c r="H636" s="213">
        <v>270</v>
      </c>
      <c r="I636" s="212">
        <v>152302.95000000001</v>
      </c>
      <c r="J636" s="213" t="s">
        <v>814</v>
      </c>
      <c r="K636" s="213"/>
      <c r="L636" s="213"/>
      <c r="AA636" s="945" t="s">
        <v>815</v>
      </c>
      <c r="AB636" s="1048">
        <f>COUNTIF(AD491:AD632,"en término")</f>
        <v>40</v>
      </c>
    </row>
    <row r="637" spans="1:39" ht="12.75" x14ac:dyDescent="0.2">
      <c r="H637" s="213">
        <v>272</v>
      </c>
      <c r="I637" s="212">
        <v>187616.51</v>
      </c>
      <c r="J637" s="213" t="s">
        <v>816</v>
      </c>
      <c r="K637" s="213"/>
      <c r="L637" s="213"/>
      <c r="AA637" s="945" t="s">
        <v>817</v>
      </c>
      <c r="AB637" s="557">
        <f>+AB636/AB635</f>
        <v>0.86956521739130432</v>
      </c>
    </row>
    <row r="638" spans="1:39" x14ac:dyDescent="0.2">
      <c r="H638" s="213">
        <v>274</v>
      </c>
      <c r="I638" s="212">
        <v>147986</v>
      </c>
      <c r="J638" s="213" t="s">
        <v>818</v>
      </c>
      <c r="K638" s="213"/>
      <c r="L638" s="213"/>
      <c r="AB638" s="3"/>
    </row>
    <row r="639" spans="1:39" ht="22.5" customHeight="1" thickBot="1" x14ac:dyDescent="0.25">
      <c r="H639" s="213">
        <v>275</v>
      </c>
      <c r="I639" s="212">
        <v>100496</v>
      </c>
      <c r="J639" s="213">
        <v>766</v>
      </c>
      <c r="K639" s="213"/>
      <c r="L639" s="213"/>
    </row>
    <row r="640" spans="1:39" s="553" customFormat="1" ht="39.950000000000003" customHeight="1" thickBot="1" x14ac:dyDescent="0.25">
      <c r="B640" s="1611">
        <v>2002</v>
      </c>
      <c r="C640" s="1612"/>
      <c r="D640" s="1612"/>
      <c r="E640" s="1612"/>
      <c r="F640" s="1612"/>
      <c r="G640" s="1612"/>
      <c r="H640" s="1612"/>
      <c r="I640" s="1612"/>
      <c r="J640" s="1612"/>
      <c r="K640" s="1612"/>
      <c r="L640" s="1612"/>
      <c r="M640" s="1612"/>
      <c r="N640" s="1612"/>
      <c r="O640" s="1612"/>
      <c r="P640" s="1612"/>
      <c r="Q640" s="1612"/>
      <c r="R640" s="1612"/>
      <c r="S640" s="1612"/>
      <c r="T640" s="1612"/>
      <c r="U640" s="1612"/>
      <c r="V640" s="1612"/>
      <c r="W640" s="1612"/>
      <c r="X640" s="1612"/>
      <c r="Y640" s="1612"/>
      <c r="Z640" s="1612"/>
      <c r="AA640" s="1612"/>
      <c r="AB640" s="1612"/>
      <c r="AC640" s="1613"/>
    </row>
    <row r="641" spans="1:39" s="441" customFormat="1" ht="60" customHeight="1" thickBot="1" x14ac:dyDescent="0.25">
      <c r="A641" s="438"/>
      <c r="B641" s="451" t="s">
        <v>130</v>
      </c>
      <c r="C641" s="451" t="s">
        <v>4</v>
      </c>
      <c r="D641" s="451" t="s">
        <v>5</v>
      </c>
      <c r="E641" s="451" t="s">
        <v>6</v>
      </c>
      <c r="F641" s="451" t="s">
        <v>7</v>
      </c>
      <c r="G641" s="451" t="s">
        <v>8</v>
      </c>
      <c r="H641" s="453" t="s">
        <v>9</v>
      </c>
      <c r="I641" s="453" t="s">
        <v>10</v>
      </c>
      <c r="J641" s="451" t="s">
        <v>11</v>
      </c>
      <c r="K641" s="451" t="s">
        <v>12</v>
      </c>
      <c r="L641" s="451" t="s">
        <v>13</v>
      </c>
      <c r="M641" s="451" t="s">
        <v>14</v>
      </c>
      <c r="N641" s="451" t="s">
        <v>15</v>
      </c>
      <c r="O641" s="452" t="s">
        <v>16</v>
      </c>
      <c r="P641" s="454" t="s">
        <v>17</v>
      </c>
      <c r="Q641" s="451" t="s">
        <v>18</v>
      </c>
      <c r="R641" s="452" t="s">
        <v>19</v>
      </c>
      <c r="S641" s="451" t="s">
        <v>20</v>
      </c>
      <c r="T641" s="451" t="s">
        <v>21</v>
      </c>
      <c r="U641" s="452" t="s">
        <v>22</v>
      </c>
      <c r="V641" s="451" t="s">
        <v>131</v>
      </c>
      <c r="W641" s="451" t="s">
        <v>24</v>
      </c>
      <c r="X641" s="451" t="s">
        <v>132</v>
      </c>
      <c r="Y641" s="451" t="s">
        <v>26</v>
      </c>
      <c r="Z641" s="451" t="s">
        <v>27</v>
      </c>
      <c r="AA641" s="451" t="s">
        <v>28</v>
      </c>
      <c r="AB641" s="451" t="s">
        <v>29</v>
      </c>
      <c r="AC641" s="451" t="s">
        <v>30</v>
      </c>
      <c r="AD641" s="439"/>
      <c r="AE641" s="440"/>
      <c r="AF641" s="440"/>
      <c r="AG641" s="440"/>
      <c r="AH641" s="440"/>
      <c r="AI641" s="440"/>
      <c r="AJ641" s="440"/>
      <c r="AK641" s="440"/>
      <c r="AL641" s="440"/>
      <c r="AM641" s="440"/>
    </row>
    <row r="642" spans="1:39" s="9" customFormat="1" x14ac:dyDescent="0.2">
      <c r="A642" s="28"/>
      <c r="B642" s="11"/>
      <c r="C642" s="11"/>
      <c r="D642" s="91"/>
      <c r="E642" s="91"/>
      <c r="F642" s="12"/>
      <c r="G642" s="12"/>
      <c r="H642" s="13"/>
      <c r="I642" s="13"/>
      <c r="J642" s="91"/>
      <c r="K642" s="91"/>
      <c r="L642" s="134"/>
      <c r="M642" s="12"/>
      <c r="N642" s="12"/>
      <c r="O642" s="12"/>
      <c r="P642" s="12"/>
      <c r="Q642" s="12"/>
      <c r="R642" s="12"/>
      <c r="S642" s="12"/>
      <c r="T642" s="12"/>
      <c r="U642" s="12"/>
      <c r="V642" s="12"/>
      <c r="W642" s="12"/>
      <c r="X642" s="12"/>
      <c r="Y642" s="57"/>
      <c r="Z642" s="12"/>
      <c r="AA642" s="12"/>
      <c r="AB642" s="12"/>
      <c r="AC642" s="12"/>
    </row>
    <row r="643" spans="1:39" s="9" customFormat="1" x14ac:dyDescent="0.2">
      <c r="A643" s="28"/>
      <c r="B643" s="16" t="s">
        <v>36</v>
      </c>
      <c r="C643" s="16" t="s">
        <v>133</v>
      </c>
      <c r="D643" s="7" t="s">
        <v>669</v>
      </c>
      <c r="E643" s="7"/>
      <c r="F643" s="6" t="s">
        <v>670</v>
      </c>
      <c r="G643" s="6"/>
      <c r="H643" s="17">
        <v>78067.740000000005</v>
      </c>
      <c r="I643" s="39" t="s">
        <v>40</v>
      </c>
      <c r="J643" s="7">
        <v>37195</v>
      </c>
      <c r="K643" s="7"/>
      <c r="L643" s="23">
        <f>90+J643</f>
        <v>37285</v>
      </c>
      <c r="M643" s="18" t="s">
        <v>41</v>
      </c>
      <c r="N643" s="6" t="s">
        <v>42</v>
      </c>
      <c r="O643" s="6"/>
      <c r="P643" s="6"/>
      <c r="Q643" s="6"/>
      <c r="R643" s="6"/>
      <c r="S643" s="23">
        <v>37275</v>
      </c>
      <c r="T643" s="7">
        <v>37282</v>
      </c>
      <c r="U643" s="7"/>
      <c r="V643" s="6" t="s">
        <v>819</v>
      </c>
      <c r="W643" s="6">
        <v>776</v>
      </c>
      <c r="X643" s="6" t="s">
        <v>211</v>
      </c>
      <c r="Y643" s="59"/>
      <c r="Z643" s="6" t="s">
        <v>820</v>
      </c>
      <c r="AA643" s="6"/>
      <c r="AB643" s="6" t="s">
        <v>47</v>
      </c>
      <c r="AC643" s="507"/>
      <c r="AD643" s="10" t="str">
        <f>IF(T643&lt;=L643,"en término","atrasado")</f>
        <v>en término</v>
      </c>
    </row>
    <row r="644" spans="1:39" s="9" customFormat="1" ht="12" thickBot="1" x14ac:dyDescent="0.25">
      <c r="A644" s="28"/>
      <c r="B644" s="19"/>
      <c r="C644" s="19"/>
      <c r="D644" s="5"/>
      <c r="E644" s="5"/>
      <c r="F644" s="5" t="s">
        <v>821</v>
      </c>
      <c r="G644" s="5"/>
      <c r="H644" s="216" t="s">
        <v>822</v>
      </c>
      <c r="I644" s="21"/>
      <c r="J644" s="5"/>
      <c r="K644" s="5"/>
      <c r="L644" s="127" t="s">
        <v>823</v>
      </c>
      <c r="M644" s="5"/>
      <c r="N644" s="5"/>
      <c r="O644" s="5"/>
      <c r="P644" s="5"/>
      <c r="Q644" s="5"/>
      <c r="R644" s="5"/>
      <c r="S644" s="27" t="s">
        <v>309</v>
      </c>
      <c r="T644" s="5" t="s">
        <v>309</v>
      </c>
      <c r="U644" s="5"/>
      <c r="V644" s="5" t="s">
        <v>824</v>
      </c>
      <c r="W644" s="5"/>
      <c r="X644" s="5"/>
      <c r="Y644" s="61"/>
      <c r="Z644" s="5" t="s">
        <v>825</v>
      </c>
      <c r="AA644" s="5"/>
      <c r="AB644" s="5"/>
      <c r="AC644" s="525"/>
    </row>
    <row r="645" spans="1:39" s="9" customFormat="1" x14ac:dyDescent="0.2">
      <c r="A645" s="28"/>
      <c r="B645" s="11"/>
      <c r="C645" s="11"/>
      <c r="D645" s="91"/>
      <c r="E645" s="91"/>
      <c r="F645" s="12"/>
      <c r="G645" s="12"/>
      <c r="H645" s="13"/>
      <c r="I645" s="13"/>
      <c r="J645" s="91"/>
      <c r="K645" s="91"/>
      <c r="L645" s="134"/>
      <c r="M645" s="12"/>
      <c r="N645" s="12"/>
      <c r="O645" s="12"/>
      <c r="P645" s="12"/>
      <c r="Q645" s="12"/>
      <c r="R645" s="12"/>
      <c r="S645" s="12"/>
      <c r="T645" s="12"/>
      <c r="U645" s="12"/>
      <c r="V645" s="12"/>
      <c r="W645" s="12"/>
      <c r="X645" s="12"/>
      <c r="Y645" s="57"/>
      <c r="Z645" s="12"/>
      <c r="AA645" s="12"/>
      <c r="AB645" s="6"/>
      <c r="AC645" s="511"/>
    </row>
    <row r="646" spans="1:39" s="9" customFormat="1" x14ac:dyDescent="0.2">
      <c r="A646" s="28"/>
      <c r="B646" s="16" t="s">
        <v>36</v>
      </c>
      <c r="C646" s="16" t="s">
        <v>133</v>
      </c>
      <c r="D646" s="7" t="s">
        <v>669</v>
      </c>
      <c r="E646" s="7"/>
      <c r="F646" s="6" t="s">
        <v>670</v>
      </c>
      <c r="G646" s="6"/>
      <c r="H646" s="17">
        <v>97147.7</v>
      </c>
      <c r="I646" s="39" t="s">
        <v>40</v>
      </c>
      <c r="J646" s="7">
        <v>37237</v>
      </c>
      <c r="K646" s="7"/>
      <c r="L646" s="23">
        <f>90+J646</f>
        <v>37327</v>
      </c>
      <c r="M646" s="18" t="s">
        <v>41</v>
      </c>
      <c r="N646" s="6" t="s">
        <v>42</v>
      </c>
      <c r="O646" s="6"/>
      <c r="P646" s="6"/>
      <c r="Q646" s="6"/>
      <c r="R646" s="6"/>
      <c r="S646" s="23">
        <v>37326</v>
      </c>
      <c r="T646" s="7">
        <v>37326</v>
      </c>
      <c r="U646" s="7"/>
      <c r="V646" s="6" t="s">
        <v>826</v>
      </c>
      <c r="W646" s="6">
        <v>782</v>
      </c>
      <c r="X646" s="6" t="s">
        <v>47</v>
      </c>
      <c r="Y646" s="59"/>
      <c r="Z646" s="6" t="s">
        <v>827</v>
      </c>
      <c r="AA646" s="6" t="s">
        <v>195</v>
      </c>
      <c r="AB646" s="6" t="s">
        <v>47</v>
      </c>
      <c r="AC646" s="507"/>
      <c r="AD646" s="10" t="str">
        <f>IF(T646&lt;=L646,"en término","atrasado")</f>
        <v>en término</v>
      </c>
    </row>
    <row r="647" spans="1:39" s="9" customFormat="1" ht="12" thickBot="1" x14ac:dyDescent="0.25">
      <c r="A647" s="28"/>
      <c r="B647" s="19"/>
      <c r="C647" s="19"/>
      <c r="D647" s="5"/>
      <c r="E647" s="5"/>
      <c r="F647" s="5" t="s">
        <v>828</v>
      </c>
      <c r="G647" s="5"/>
      <c r="H647" s="105"/>
      <c r="I647" s="21"/>
      <c r="J647" s="5"/>
      <c r="K647" s="5"/>
      <c r="L647" s="127" t="s">
        <v>823</v>
      </c>
      <c r="M647" s="5"/>
      <c r="N647" s="5"/>
      <c r="O647" s="5"/>
      <c r="P647" s="5"/>
      <c r="Q647" s="5"/>
      <c r="R647" s="5"/>
      <c r="S647" s="127" t="s">
        <v>309</v>
      </c>
      <c r="T647" s="19"/>
      <c r="U647" s="19"/>
      <c r="V647" s="5"/>
      <c r="W647" s="5"/>
      <c r="X647" s="5"/>
      <c r="Y647" s="61"/>
      <c r="Z647" s="5" t="s">
        <v>829</v>
      </c>
      <c r="AA647" s="5"/>
      <c r="AB647" s="5"/>
      <c r="AC647" s="525"/>
    </row>
    <row r="648" spans="1:39" s="9" customFormat="1" x14ac:dyDescent="0.2">
      <c r="A648" s="28"/>
      <c r="B648" s="16"/>
      <c r="C648" s="16"/>
      <c r="D648" s="7"/>
      <c r="E648" s="7"/>
      <c r="F648" s="6"/>
      <c r="G648" s="6"/>
      <c r="H648" s="17"/>
      <c r="I648" s="17"/>
      <c r="J648" s="7"/>
      <c r="K648" s="7"/>
      <c r="L648" s="23"/>
      <c r="M648" s="6"/>
      <c r="N648" s="6"/>
      <c r="O648" s="6"/>
      <c r="P648" s="6"/>
      <c r="Q648" s="6"/>
      <c r="R648" s="6"/>
      <c r="S648" s="6"/>
      <c r="T648" s="6"/>
      <c r="U648" s="6"/>
      <c r="V648" s="6"/>
      <c r="W648" s="6"/>
      <c r="X648" s="12"/>
      <c r="Y648" s="59"/>
      <c r="Z648" s="6"/>
      <c r="AA648" s="6"/>
      <c r="AB648" s="6"/>
      <c r="AC648" s="511"/>
    </row>
    <row r="649" spans="1:39" s="9" customFormat="1" x14ac:dyDescent="0.2">
      <c r="A649" s="28"/>
      <c r="B649" s="16" t="s">
        <v>36</v>
      </c>
      <c r="C649" s="16" t="s">
        <v>157</v>
      </c>
      <c r="D649" s="7" t="s">
        <v>830</v>
      </c>
      <c r="E649" s="7"/>
      <c r="F649" s="6" t="s">
        <v>831</v>
      </c>
      <c r="G649" s="6"/>
      <c r="H649" s="17">
        <v>3500</v>
      </c>
      <c r="I649" s="39" t="s">
        <v>52</v>
      </c>
      <c r="J649" s="7">
        <v>37302</v>
      </c>
      <c r="K649" s="7"/>
      <c r="L649" s="23">
        <f>60+J649</f>
        <v>37362</v>
      </c>
      <c r="M649" s="18"/>
      <c r="N649" s="6" t="s">
        <v>42</v>
      </c>
      <c r="O649" s="6"/>
      <c r="P649" s="6"/>
      <c r="Q649" s="6"/>
      <c r="R649" s="6"/>
      <c r="S649" s="23">
        <v>37326</v>
      </c>
      <c r="T649" s="7"/>
      <c r="U649" s="7"/>
      <c r="V649" s="40" t="s">
        <v>832</v>
      </c>
      <c r="W649" s="6">
        <v>783</v>
      </c>
      <c r="X649" s="6"/>
      <c r="Y649" s="59"/>
      <c r="Z649" s="6">
        <v>6584171775</v>
      </c>
      <c r="AA649" s="6"/>
      <c r="AB649" s="6" t="s">
        <v>47</v>
      </c>
      <c r="AC649" s="507"/>
      <c r="AD649" s="10" t="str">
        <f>IF(T649&lt;=L649,"en término","atrasado")</f>
        <v>en término</v>
      </c>
    </row>
    <row r="650" spans="1:39" s="9" customFormat="1" ht="12" thickBot="1" x14ac:dyDescent="0.25">
      <c r="A650" s="28"/>
      <c r="B650" s="19"/>
      <c r="C650" s="19"/>
      <c r="D650" s="5"/>
      <c r="E650" s="5"/>
      <c r="F650" s="5"/>
      <c r="G650" s="5"/>
      <c r="H650" s="26" t="s">
        <v>611</v>
      </c>
      <c r="I650" s="21"/>
      <c r="J650" s="5"/>
      <c r="K650" s="5"/>
      <c r="L650" s="127"/>
      <c r="M650" s="5"/>
      <c r="N650" s="5"/>
      <c r="O650" s="5"/>
      <c r="P650" s="5"/>
      <c r="Q650" s="5"/>
      <c r="R650" s="5"/>
      <c r="S650" s="127" t="s">
        <v>309</v>
      </c>
      <c r="T650" s="27">
        <v>37326</v>
      </c>
      <c r="U650" s="27"/>
      <c r="V650" s="5" t="s">
        <v>833</v>
      </c>
      <c r="W650" s="5"/>
      <c r="X650" s="5"/>
      <c r="Y650" s="61"/>
      <c r="Z650" s="5"/>
      <c r="AA650" s="5"/>
      <c r="AB650" s="5" t="s">
        <v>834</v>
      </c>
      <c r="AC650" s="519"/>
    </row>
    <row r="651" spans="1:39" s="9" customFormat="1" x14ac:dyDescent="0.2">
      <c r="A651" s="28"/>
      <c r="B651" s="16"/>
      <c r="C651" s="16"/>
      <c r="D651" s="7"/>
      <c r="E651" s="7"/>
      <c r="F651" s="6"/>
      <c r="G651" s="6"/>
      <c r="H651" s="17"/>
      <c r="I651" s="17"/>
      <c r="J651" s="7"/>
      <c r="K651" s="7"/>
      <c r="L651" s="23"/>
      <c r="M651" s="6"/>
      <c r="N651" s="6"/>
      <c r="O651" s="6"/>
      <c r="P651" s="6"/>
      <c r="Q651" s="6"/>
      <c r="R651" s="6"/>
      <c r="S651" s="6"/>
      <c r="T651" s="6"/>
      <c r="U651" s="6"/>
      <c r="V651" s="6"/>
      <c r="W651" s="6"/>
      <c r="X651" s="12"/>
      <c r="Y651" s="59"/>
      <c r="Z651" s="6"/>
      <c r="AA651" s="6"/>
      <c r="AB651" s="6"/>
      <c r="AC651" s="511"/>
    </row>
    <row r="652" spans="1:39" s="9" customFormat="1" x14ac:dyDescent="0.2">
      <c r="A652" s="28"/>
      <c r="B652" s="16" t="s">
        <v>36</v>
      </c>
      <c r="C652" s="16" t="s">
        <v>157</v>
      </c>
      <c r="D652" s="7" t="s">
        <v>835</v>
      </c>
      <c r="E652" s="7"/>
      <c r="F652" s="6" t="s">
        <v>836</v>
      </c>
      <c r="G652" s="6"/>
      <c r="H652" s="17">
        <v>3500</v>
      </c>
      <c r="I652" s="39" t="s">
        <v>52</v>
      </c>
      <c r="J652" s="7">
        <v>37306</v>
      </c>
      <c r="K652" s="7"/>
      <c r="L652" s="23"/>
      <c r="M652" s="18"/>
      <c r="N652" s="6" t="s">
        <v>42</v>
      </c>
      <c r="O652" s="6"/>
      <c r="P652" s="6"/>
      <c r="Q652" s="6"/>
      <c r="R652" s="6"/>
      <c r="S652" s="23">
        <v>37326</v>
      </c>
      <c r="T652" s="7">
        <v>37326</v>
      </c>
      <c r="U652" s="7"/>
      <c r="V652" s="40" t="s">
        <v>832</v>
      </c>
      <c r="W652" s="6">
        <v>783</v>
      </c>
      <c r="X652" s="6"/>
      <c r="Y652" s="59"/>
      <c r="Z652" s="6">
        <v>6584171775</v>
      </c>
      <c r="AA652" s="6"/>
      <c r="AB652" s="6" t="s">
        <v>47</v>
      </c>
      <c r="AC652" s="507"/>
      <c r="AD652" s="10" t="str">
        <f>IF(T652&lt;=L652,"en término","atrasado")</f>
        <v>atrasado</v>
      </c>
    </row>
    <row r="653" spans="1:39" s="9" customFormat="1" ht="12" thickBot="1" x14ac:dyDescent="0.25">
      <c r="A653" s="28"/>
      <c r="B653" s="19"/>
      <c r="C653" s="19"/>
      <c r="D653" s="5"/>
      <c r="E653" s="5"/>
      <c r="F653" s="5"/>
      <c r="G653" s="5"/>
      <c r="H653" s="26" t="s">
        <v>611</v>
      </c>
      <c r="I653" s="21"/>
      <c r="J653" s="5"/>
      <c r="K653" s="5"/>
      <c r="L653" s="127"/>
      <c r="M653" s="5"/>
      <c r="N653" s="5"/>
      <c r="O653" s="5"/>
      <c r="P653" s="5"/>
      <c r="Q653" s="5"/>
      <c r="R653" s="5"/>
      <c r="S653" s="127" t="s">
        <v>309</v>
      </c>
      <c r="T653" s="19"/>
      <c r="U653" s="19"/>
      <c r="V653" s="5" t="s">
        <v>837</v>
      </c>
      <c r="W653" s="5"/>
      <c r="X653" s="5"/>
      <c r="Y653" s="61"/>
      <c r="Z653" s="5"/>
      <c r="AA653" s="5"/>
      <c r="AB653" s="5" t="s">
        <v>834</v>
      </c>
      <c r="AC653" s="519"/>
    </row>
    <row r="654" spans="1:39" s="9" customFormat="1" x14ac:dyDescent="0.2">
      <c r="A654" s="28"/>
      <c r="B654" s="16"/>
      <c r="C654" s="16"/>
      <c r="D654" s="7"/>
      <c r="E654" s="7"/>
      <c r="F654" s="6"/>
      <c r="G654" s="6"/>
      <c r="H654" s="17"/>
      <c r="I654" s="17"/>
      <c r="J654" s="7"/>
      <c r="K654" s="7"/>
      <c r="L654" s="23"/>
      <c r="M654" s="6"/>
      <c r="N654" s="6"/>
      <c r="O654" s="6"/>
      <c r="P654" s="6"/>
      <c r="Q654" s="6"/>
      <c r="R654" s="6"/>
      <c r="S654" s="6"/>
      <c r="T654" s="6"/>
      <c r="U654" s="6"/>
      <c r="V654" s="6"/>
      <c r="W654" s="6"/>
      <c r="X654" s="12"/>
      <c r="Y654" s="59"/>
      <c r="Z654" s="6"/>
      <c r="AA654" s="6"/>
      <c r="AB654" s="6"/>
      <c r="AC654" s="511"/>
    </row>
    <row r="655" spans="1:39" s="9" customFormat="1" x14ac:dyDescent="0.2">
      <c r="A655" s="28"/>
      <c r="B655" s="16" t="s">
        <v>36</v>
      </c>
      <c r="C655" s="16" t="s">
        <v>133</v>
      </c>
      <c r="D655" s="7" t="s">
        <v>669</v>
      </c>
      <c r="E655" s="7"/>
      <c r="F655" s="6" t="s">
        <v>670</v>
      </c>
      <c r="G655" s="6"/>
      <c r="H655" s="17">
        <v>18473</v>
      </c>
      <c r="I655" s="39" t="s">
        <v>52</v>
      </c>
      <c r="J655" s="7">
        <v>37258</v>
      </c>
      <c r="K655" s="7"/>
      <c r="L655" s="23">
        <f>90+J655</f>
        <v>37348</v>
      </c>
      <c r="M655" s="18" t="s">
        <v>41</v>
      </c>
      <c r="N655" s="6" t="s">
        <v>42</v>
      </c>
      <c r="O655" s="6"/>
      <c r="P655" s="6"/>
      <c r="Q655" s="6"/>
      <c r="R655" s="6"/>
      <c r="S655" s="23">
        <v>37326</v>
      </c>
      <c r="T655" s="7">
        <v>37326</v>
      </c>
      <c r="U655" s="7"/>
      <c r="V655" s="6" t="s">
        <v>838</v>
      </c>
      <c r="W655" s="6">
        <v>781</v>
      </c>
      <c r="X655" s="6" t="s">
        <v>47</v>
      </c>
      <c r="Y655" s="59"/>
      <c r="Z655" s="6" t="s">
        <v>827</v>
      </c>
      <c r="AA655" s="6" t="s">
        <v>195</v>
      </c>
      <c r="AB655" s="6" t="s">
        <v>47</v>
      </c>
      <c r="AC655" s="507"/>
      <c r="AD655" s="10" t="str">
        <f>IF(T655&lt;=L655,"en término","atrasado")</f>
        <v>en término</v>
      </c>
    </row>
    <row r="656" spans="1:39" s="9" customFormat="1" ht="12" thickBot="1" x14ac:dyDescent="0.25">
      <c r="A656" s="28"/>
      <c r="B656" s="19"/>
      <c r="C656" s="19"/>
      <c r="D656" s="5"/>
      <c r="E656" s="5"/>
      <c r="F656" s="5" t="s">
        <v>839</v>
      </c>
      <c r="G656" s="5"/>
      <c r="H656" s="105"/>
      <c r="I656" s="21"/>
      <c r="J656" s="5"/>
      <c r="K656" s="5"/>
      <c r="L656" s="127"/>
      <c r="M656" s="5"/>
      <c r="N656" s="5"/>
      <c r="O656" s="5"/>
      <c r="P656" s="5"/>
      <c r="Q656" s="5"/>
      <c r="R656" s="5"/>
      <c r="S656" s="127" t="s">
        <v>309</v>
      </c>
      <c r="T656" s="19"/>
      <c r="U656" s="19"/>
      <c r="V656" s="5"/>
      <c r="W656" s="5"/>
      <c r="X656" s="5"/>
      <c r="Y656" s="61"/>
      <c r="Z656" s="5" t="s">
        <v>829</v>
      </c>
      <c r="AA656" s="5"/>
      <c r="AB656" s="5"/>
      <c r="AC656" s="525"/>
      <c r="AD656" s="10"/>
    </row>
    <row r="657" spans="1:30" s="9" customFormat="1" x14ac:dyDescent="0.2">
      <c r="A657" s="28"/>
      <c r="B657" s="16"/>
      <c r="C657" s="16"/>
      <c r="D657" s="7"/>
      <c r="E657" s="7"/>
      <c r="F657" s="6"/>
      <c r="G657" s="6"/>
      <c r="H657" s="17"/>
      <c r="I657" s="17"/>
      <c r="J657" s="7"/>
      <c r="K657" s="7"/>
      <c r="L657" s="23"/>
      <c r="M657" s="6"/>
      <c r="N657" s="6"/>
      <c r="O657" s="6"/>
      <c r="P657" s="6"/>
      <c r="Q657" s="6"/>
      <c r="R657" s="6"/>
      <c r="S657" s="6"/>
      <c r="T657" s="6"/>
      <c r="U657" s="6"/>
      <c r="V657" s="6"/>
      <c r="W657" s="6"/>
      <c r="X657" s="6"/>
      <c r="Y657" s="59"/>
      <c r="Z657" s="6"/>
      <c r="AA657" s="6"/>
      <c r="AB657" s="6"/>
      <c r="AC657" s="511"/>
      <c r="AD657" s="10"/>
    </row>
    <row r="658" spans="1:30" s="9" customFormat="1" x14ac:dyDescent="0.2">
      <c r="A658" s="28"/>
      <c r="B658" s="16" t="s">
        <v>36</v>
      </c>
      <c r="C658" s="16" t="s">
        <v>133</v>
      </c>
      <c r="D658" s="7" t="s">
        <v>669</v>
      </c>
      <c r="E658" s="7"/>
      <c r="F658" s="6" t="s">
        <v>670</v>
      </c>
      <c r="G658" s="6"/>
      <c r="H658" s="17">
        <v>67705.67</v>
      </c>
      <c r="I658" s="39" t="s">
        <v>142</v>
      </c>
      <c r="J658" s="7">
        <v>37281</v>
      </c>
      <c r="K658" s="7"/>
      <c r="L658" s="23">
        <f>+J658+90</f>
        <v>37371</v>
      </c>
      <c r="M658" s="18" t="s">
        <v>41</v>
      </c>
      <c r="N658" s="6" t="s">
        <v>42</v>
      </c>
      <c r="O658" s="6"/>
      <c r="P658" s="6"/>
      <c r="Q658" s="6"/>
      <c r="R658" s="6"/>
      <c r="S658" s="23">
        <v>37365</v>
      </c>
      <c r="T658" s="7">
        <v>37369</v>
      </c>
      <c r="U658" s="7"/>
      <c r="V658" s="6" t="s">
        <v>840</v>
      </c>
      <c r="W658" s="6">
        <v>789</v>
      </c>
      <c r="X658" s="6" t="s">
        <v>47</v>
      </c>
      <c r="Y658" s="59"/>
      <c r="Z658" s="6" t="s">
        <v>841</v>
      </c>
      <c r="AA658" s="6" t="s">
        <v>195</v>
      </c>
      <c r="AB658" s="6" t="s">
        <v>47</v>
      </c>
      <c r="AC658" s="507"/>
      <c r="AD658" s="10" t="str">
        <f>IF(T658&lt;=L658,"en término","atrasado")</f>
        <v>en término</v>
      </c>
    </row>
    <row r="659" spans="1:30" s="9" customFormat="1" ht="12" thickBot="1" x14ac:dyDescent="0.25">
      <c r="A659" s="28"/>
      <c r="B659" s="19"/>
      <c r="C659" s="19"/>
      <c r="D659" s="5"/>
      <c r="E659" s="5"/>
      <c r="F659" s="5" t="s">
        <v>842</v>
      </c>
      <c r="G659" s="5"/>
      <c r="H659" s="105"/>
      <c r="I659" s="21"/>
      <c r="J659" s="5"/>
      <c r="K659" s="5"/>
      <c r="L659" s="127"/>
      <c r="M659" s="5"/>
      <c r="N659" s="5"/>
      <c r="O659" s="5"/>
      <c r="P659" s="5"/>
      <c r="Q659" s="5"/>
      <c r="R659" s="5"/>
      <c r="S659" s="27"/>
      <c r="T659" s="19"/>
      <c r="U659" s="19"/>
      <c r="V659" s="5"/>
      <c r="W659" s="5"/>
      <c r="X659" s="5"/>
      <c r="Y659" s="61"/>
      <c r="Z659" s="5" t="s">
        <v>843</v>
      </c>
      <c r="AA659" s="5"/>
      <c r="AB659" s="5" t="s">
        <v>844</v>
      </c>
      <c r="AC659" s="519"/>
      <c r="AD659" s="10"/>
    </row>
    <row r="660" spans="1:30" s="9" customFormat="1" x14ac:dyDescent="0.2">
      <c r="A660" s="28"/>
      <c r="B660" s="16"/>
      <c r="C660" s="16"/>
      <c r="D660" s="7"/>
      <c r="E660" s="7"/>
      <c r="F660" s="6"/>
      <c r="G660" s="6"/>
      <c r="H660" s="17"/>
      <c r="I660" s="17"/>
      <c r="J660" s="7"/>
      <c r="K660" s="7"/>
      <c r="L660" s="23"/>
      <c r="M660" s="6"/>
      <c r="N660" s="6"/>
      <c r="O660" s="6"/>
      <c r="P660" s="6"/>
      <c r="Q660" s="6"/>
      <c r="R660" s="6"/>
      <c r="S660" s="6"/>
      <c r="T660" s="6"/>
      <c r="U660" s="6"/>
      <c r="V660" s="6"/>
      <c r="W660" s="6"/>
      <c r="X660" s="12"/>
      <c r="Y660" s="59"/>
      <c r="Z660" s="6"/>
      <c r="AA660" s="6"/>
      <c r="AB660" s="6"/>
      <c r="AC660" s="511"/>
      <c r="AD660" s="10"/>
    </row>
    <row r="661" spans="1:30" s="9" customFormat="1" x14ac:dyDescent="0.2">
      <c r="A661" s="28"/>
      <c r="B661" s="16" t="s">
        <v>36</v>
      </c>
      <c r="C661" s="16" t="s">
        <v>157</v>
      </c>
      <c r="D661" s="7" t="s">
        <v>845</v>
      </c>
      <c r="E661" s="7"/>
      <c r="F661" s="6" t="s">
        <v>846</v>
      </c>
      <c r="G661" s="6"/>
      <c r="H661" s="17">
        <v>5885</v>
      </c>
      <c r="I661" s="39" t="s">
        <v>52</v>
      </c>
      <c r="J661" s="7">
        <v>37347</v>
      </c>
      <c r="K661" s="7"/>
      <c r="L661" s="23">
        <f>45+J661</f>
        <v>37392</v>
      </c>
      <c r="M661" s="18" t="s">
        <v>41</v>
      </c>
      <c r="N661" s="6" t="s">
        <v>42</v>
      </c>
      <c r="O661" s="6"/>
      <c r="P661" s="6"/>
      <c r="Q661" s="6"/>
      <c r="R661" s="6"/>
      <c r="S661" s="23">
        <v>37365</v>
      </c>
      <c r="T661" s="7">
        <v>37369</v>
      </c>
      <c r="U661" s="7"/>
      <c r="V661" s="6" t="s">
        <v>847</v>
      </c>
      <c r="W661" s="6">
        <v>788</v>
      </c>
      <c r="X661" s="6" t="s">
        <v>47</v>
      </c>
      <c r="Y661" s="59"/>
      <c r="Z661" s="6">
        <v>6558379133</v>
      </c>
      <c r="AA661" s="6" t="s">
        <v>195</v>
      </c>
      <c r="AB661" s="6" t="s">
        <v>47</v>
      </c>
      <c r="AC661" s="507"/>
      <c r="AD661" s="10" t="str">
        <f>IF(T661&lt;=L661,"en término","atrasado")</f>
        <v>en término</v>
      </c>
    </row>
    <row r="662" spans="1:30" s="9" customFormat="1" ht="12" thickBot="1" x14ac:dyDescent="0.25">
      <c r="A662" s="28"/>
      <c r="B662" s="19"/>
      <c r="C662" s="19"/>
      <c r="D662" s="5"/>
      <c r="E662" s="5"/>
      <c r="F662" s="5"/>
      <c r="G662" s="5"/>
      <c r="H662" s="105"/>
      <c r="I662" s="21"/>
      <c r="J662" s="5"/>
      <c r="K662" s="5"/>
      <c r="L662" s="127"/>
      <c r="M662" s="5"/>
      <c r="N662" s="5"/>
      <c r="O662" s="5"/>
      <c r="P662" s="5"/>
      <c r="Q662" s="5"/>
      <c r="R662" s="5"/>
      <c r="S662" s="27"/>
      <c r="T662" s="19"/>
      <c r="U662" s="19"/>
      <c r="V662" s="5" t="s">
        <v>848</v>
      </c>
      <c r="W662" s="5"/>
      <c r="X662" s="5"/>
      <c r="Y662" s="61"/>
      <c r="Z662" s="5"/>
      <c r="AA662" s="5"/>
      <c r="AB662" s="5"/>
      <c r="AC662" s="525"/>
      <c r="AD662" s="10"/>
    </row>
    <row r="663" spans="1:30" s="9" customFormat="1" x14ac:dyDescent="0.2">
      <c r="A663" s="28"/>
      <c r="B663" s="16"/>
      <c r="C663" s="16"/>
      <c r="D663" s="7"/>
      <c r="E663" s="7"/>
      <c r="F663" s="6"/>
      <c r="G663" s="6"/>
      <c r="H663" s="17"/>
      <c r="I663" s="17"/>
      <c r="J663" s="7"/>
      <c r="K663" s="7"/>
      <c r="L663" s="23"/>
      <c r="M663" s="6"/>
      <c r="N663" s="6"/>
      <c r="O663" s="6"/>
      <c r="P663" s="6"/>
      <c r="Q663" s="6"/>
      <c r="R663" s="6"/>
      <c r="S663" s="6"/>
      <c r="T663" s="6"/>
      <c r="U663" s="6"/>
      <c r="V663" s="6"/>
      <c r="W663" s="6"/>
      <c r="X663" s="12"/>
      <c r="Y663" s="59"/>
      <c r="Z663" s="6"/>
      <c r="AA663" s="6"/>
      <c r="AB663" s="6"/>
      <c r="AC663" s="511"/>
      <c r="AD663" s="10"/>
    </row>
    <row r="664" spans="1:30" s="9" customFormat="1" x14ac:dyDescent="0.2">
      <c r="A664" s="28"/>
      <c r="B664" s="16" t="s">
        <v>36</v>
      </c>
      <c r="C664" s="16" t="s">
        <v>157</v>
      </c>
      <c r="D664" s="7" t="s">
        <v>830</v>
      </c>
      <c r="E664" s="7"/>
      <c r="F664" s="6" t="s">
        <v>849</v>
      </c>
      <c r="G664" s="6"/>
      <c r="H664" s="17">
        <f>102*2</f>
        <v>204</v>
      </c>
      <c r="I664" s="39"/>
      <c r="J664" s="7"/>
      <c r="K664" s="7"/>
      <c r="L664" s="23"/>
      <c r="M664" s="18" t="s">
        <v>41</v>
      </c>
      <c r="N664" s="6" t="s">
        <v>42</v>
      </c>
      <c r="O664" s="6"/>
      <c r="P664" s="6"/>
      <c r="Q664" s="6"/>
      <c r="R664" s="6"/>
      <c r="S664" s="23">
        <v>37365</v>
      </c>
      <c r="T664" s="7">
        <v>37369</v>
      </c>
      <c r="U664" s="7"/>
      <c r="V664" s="6" t="s">
        <v>850</v>
      </c>
      <c r="W664" s="6">
        <v>788</v>
      </c>
      <c r="X664" s="6" t="s">
        <v>47</v>
      </c>
      <c r="Y664" s="59"/>
      <c r="Z664" s="6">
        <v>6558379133</v>
      </c>
      <c r="AA664" s="6" t="s">
        <v>195</v>
      </c>
      <c r="AB664" s="6" t="s">
        <v>47</v>
      </c>
      <c r="AC664" s="507"/>
      <c r="AD664" s="10"/>
    </row>
    <row r="665" spans="1:30" s="9" customFormat="1" ht="12" thickBot="1" x14ac:dyDescent="0.25">
      <c r="A665" s="28"/>
      <c r="B665" s="19"/>
      <c r="C665" s="19"/>
      <c r="D665" s="5"/>
      <c r="E665" s="5"/>
      <c r="F665" s="5"/>
      <c r="G665" s="5"/>
      <c r="H665" s="105"/>
      <c r="I665" s="21"/>
      <c r="J665" s="5"/>
      <c r="K665" s="5"/>
      <c r="L665" s="127"/>
      <c r="M665" s="5"/>
      <c r="N665" s="5"/>
      <c r="O665" s="5"/>
      <c r="P665" s="5"/>
      <c r="Q665" s="5"/>
      <c r="R665" s="5"/>
      <c r="S665" s="27"/>
      <c r="T665" s="19"/>
      <c r="U665" s="19"/>
      <c r="V665" s="5"/>
      <c r="W665" s="5"/>
      <c r="X665" s="5"/>
      <c r="Y665" s="61"/>
      <c r="Z665" s="5"/>
      <c r="AA665" s="5"/>
      <c r="AB665" s="5"/>
      <c r="AC665" s="5"/>
      <c r="AD665" s="10"/>
    </row>
    <row r="666" spans="1:30" s="9" customFormat="1" x14ac:dyDescent="0.2">
      <c r="A666" s="28"/>
      <c r="B666" s="16"/>
      <c r="C666" s="16"/>
      <c r="D666" s="7"/>
      <c r="E666" s="7"/>
      <c r="F666" s="6"/>
      <c r="G666" s="6"/>
      <c r="H666" s="17"/>
      <c r="I666" s="17"/>
      <c r="J666" s="7"/>
      <c r="K666" s="7"/>
      <c r="L666" s="23"/>
      <c r="M666" s="6"/>
      <c r="N666" s="6"/>
      <c r="O666" s="6"/>
      <c r="P666" s="6"/>
      <c r="Q666" s="6"/>
      <c r="R666" s="6"/>
      <c r="S666" s="6"/>
      <c r="T666" s="6"/>
      <c r="U666" s="6"/>
      <c r="V666" s="6"/>
      <c r="W666" s="6"/>
      <c r="X666" s="12"/>
      <c r="Y666" s="59"/>
      <c r="Z666" s="6"/>
      <c r="AA666" s="6"/>
      <c r="AB666" s="6"/>
      <c r="AC666" s="6"/>
      <c r="AD666" s="10"/>
    </row>
    <row r="667" spans="1:30" s="9" customFormat="1" x14ac:dyDescent="0.2">
      <c r="A667" s="28"/>
      <c r="B667" s="16" t="s">
        <v>36</v>
      </c>
      <c r="C667" s="16" t="s">
        <v>133</v>
      </c>
      <c r="D667" s="7"/>
      <c r="E667" s="7"/>
      <c r="F667" s="6" t="s">
        <v>851</v>
      </c>
      <c r="G667" s="6"/>
      <c r="H667" s="17"/>
      <c r="I667" s="39"/>
      <c r="J667" s="7"/>
      <c r="K667" s="7"/>
      <c r="L667" s="23"/>
      <c r="M667" s="18"/>
      <c r="N667" s="6"/>
      <c r="O667" s="6"/>
      <c r="P667" s="6"/>
      <c r="Q667" s="6"/>
      <c r="R667" s="6"/>
      <c r="S667" s="23">
        <v>37398</v>
      </c>
      <c r="T667" s="7">
        <v>37391</v>
      </c>
      <c r="U667" s="7"/>
      <c r="V667" s="6" t="s">
        <v>852</v>
      </c>
      <c r="W667" s="6">
        <v>791</v>
      </c>
      <c r="X667" s="6" t="s">
        <v>47</v>
      </c>
      <c r="Y667" s="59"/>
      <c r="Z667" s="6">
        <v>6558378864</v>
      </c>
      <c r="AA667" s="6" t="s">
        <v>195</v>
      </c>
      <c r="AB667" s="56" t="s">
        <v>853</v>
      </c>
      <c r="AC667" s="511"/>
      <c r="AD667" s="10"/>
    </row>
    <row r="668" spans="1:30" s="9" customFormat="1" ht="12" thickBot="1" x14ac:dyDescent="0.25">
      <c r="A668" s="28"/>
      <c r="B668" s="19"/>
      <c r="C668" s="19"/>
      <c r="D668" s="5"/>
      <c r="E668" s="5"/>
      <c r="F668" s="5"/>
      <c r="G668" s="5"/>
      <c r="H668" s="105"/>
      <c r="I668" s="21"/>
      <c r="J668" s="5"/>
      <c r="K668" s="5"/>
      <c r="L668" s="127"/>
      <c r="M668" s="5"/>
      <c r="N668" s="5"/>
      <c r="O668" s="5"/>
      <c r="P668" s="5"/>
      <c r="Q668" s="5"/>
      <c r="R668" s="5"/>
      <c r="S668" s="27"/>
      <c r="T668" s="19"/>
      <c r="U668" s="19"/>
      <c r="V668" s="22" t="s">
        <v>854</v>
      </c>
      <c r="W668" s="5"/>
      <c r="X668" s="5"/>
      <c r="Y668" s="61"/>
      <c r="Z668" s="5"/>
      <c r="AA668" s="5"/>
      <c r="AB668" s="5"/>
      <c r="AC668" s="5"/>
      <c r="AD668" s="10"/>
    </row>
    <row r="669" spans="1:30" s="9" customFormat="1" x14ac:dyDescent="0.2">
      <c r="A669" s="28"/>
      <c r="B669" s="16"/>
      <c r="C669" s="16"/>
      <c r="D669" s="7"/>
      <c r="E669" s="7"/>
      <c r="F669" s="6"/>
      <c r="G669" s="6"/>
      <c r="H669" s="17"/>
      <c r="I669" s="17"/>
      <c r="J669" s="7"/>
      <c r="K669" s="7"/>
      <c r="L669" s="23"/>
      <c r="M669" s="6"/>
      <c r="N669" s="6"/>
      <c r="O669" s="6"/>
      <c r="P669" s="6"/>
      <c r="Q669" s="6"/>
      <c r="R669" s="6"/>
      <c r="S669" s="6"/>
      <c r="T669" s="6"/>
      <c r="U669" s="6"/>
      <c r="V669" s="6"/>
      <c r="W669" s="6"/>
      <c r="X669" s="12"/>
      <c r="Y669" s="59"/>
      <c r="Z669" s="6"/>
      <c r="AA669" s="6"/>
      <c r="AB669" s="6"/>
      <c r="AC669" s="6"/>
      <c r="AD669" s="10"/>
    </row>
    <row r="670" spans="1:30" s="9" customFormat="1" x14ac:dyDescent="0.2">
      <c r="A670" s="28"/>
      <c r="B670" s="16" t="s">
        <v>36</v>
      </c>
      <c r="C670" s="16" t="s">
        <v>157</v>
      </c>
      <c r="D670" s="7" t="s">
        <v>855</v>
      </c>
      <c r="E670" s="7"/>
      <c r="F670" s="6" t="s">
        <v>856</v>
      </c>
      <c r="G670" s="6"/>
      <c r="H670" s="17">
        <v>2715</v>
      </c>
      <c r="I670" s="39" t="s">
        <v>52</v>
      </c>
      <c r="J670" s="7">
        <v>37354</v>
      </c>
      <c r="K670" s="7"/>
      <c r="L670" s="23">
        <v>37382</v>
      </c>
      <c r="M670" s="18" t="s">
        <v>41</v>
      </c>
      <c r="N670" s="6" t="s">
        <v>42</v>
      </c>
      <c r="O670" s="6"/>
      <c r="P670" s="6"/>
      <c r="Q670" s="6"/>
      <c r="R670" s="6"/>
      <c r="S670" s="23">
        <v>37398</v>
      </c>
      <c r="T670" s="7">
        <v>37391</v>
      </c>
      <c r="U670" s="7"/>
      <c r="V670" s="6" t="s">
        <v>857</v>
      </c>
      <c r="W670" s="6">
        <v>791</v>
      </c>
      <c r="X670" s="6"/>
      <c r="Y670" s="59"/>
      <c r="Z670" s="6">
        <v>6558378864</v>
      </c>
      <c r="AA670" s="6" t="s">
        <v>195</v>
      </c>
      <c r="AB670" s="6" t="s">
        <v>47</v>
      </c>
      <c r="AC670" s="507"/>
      <c r="AD670" s="10" t="str">
        <f>IF(T670&lt;=L670,"en término","atrasado")</f>
        <v>atrasado</v>
      </c>
    </row>
    <row r="671" spans="1:30" s="9" customFormat="1" ht="12" thickBot="1" x14ac:dyDescent="0.25">
      <c r="A671" s="28"/>
      <c r="B671" s="19"/>
      <c r="C671" s="19"/>
      <c r="D671" s="5"/>
      <c r="E671" s="5"/>
      <c r="F671" s="5"/>
      <c r="G671" s="5"/>
      <c r="H671" s="105"/>
      <c r="I671" s="21"/>
      <c r="J671" s="5"/>
      <c r="K671" s="5"/>
      <c r="L671" s="127"/>
      <c r="M671" s="5"/>
      <c r="N671" s="5"/>
      <c r="O671" s="5"/>
      <c r="P671" s="5"/>
      <c r="Q671" s="5"/>
      <c r="R671" s="5"/>
      <c r="S671" s="27"/>
      <c r="T671" s="19"/>
      <c r="U671" s="19"/>
      <c r="V671" s="5"/>
      <c r="W671" s="5"/>
      <c r="X671" s="5"/>
      <c r="Y671" s="61"/>
      <c r="Z671" s="5"/>
      <c r="AA671" s="5"/>
      <c r="AB671" s="5"/>
      <c r="AC671" s="5"/>
      <c r="AD671" s="10"/>
    </row>
    <row r="672" spans="1:30" s="9" customFormat="1" x14ac:dyDescent="0.2">
      <c r="A672" s="28"/>
      <c r="B672" s="16"/>
      <c r="C672" s="16"/>
      <c r="D672" s="7"/>
      <c r="E672" s="7"/>
      <c r="F672" s="6"/>
      <c r="G672" s="6"/>
      <c r="H672" s="17"/>
      <c r="I672" s="17"/>
      <c r="J672" s="7"/>
      <c r="K672" s="7"/>
      <c r="L672" s="23"/>
      <c r="M672" s="6"/>
      <c r="N672" s="6"/>
      <c r="O672" s="6"/>
      <c r="P672" s="6"/>
      <c r="Q672" s="6"/>
      <c r="R672" s="6"/>
      <c r="S672" s="6"/>
      <c r="T672" s="6"/>
      <c r="U672" s="6"/>
      <c r="V672" s="6"/>
      <c r="W672" s="6"/>
      <c r="X672" s="12"/>
      <c r="Y672" s="59"/>
      <c r="Z672" s="6"/>
      <c r="AA672" s="6"/>
      <c r="AB672" s="6"/>
      <c r="AC672" s="6"/>
      <c r="AD672" s="10"/>
    </row>
    <row r="673" spans="1:30" s="9" customFormat="1" x14ac:dyDescent="0.2">
      <c r="A673" s="28"/>
      <c r="B673" s="16" t="s">
        <v>36</v>
      </c>
      <c r="C673" s="16" t="s">
        <v>133</v>
      </c>
      <c r="D673" s="7" t="s">
        <v>669</v>
      </c>
      <c r="E673" s="7"/>
      <c r="F673" s="6" t="s">
        <v>670</v>
      </c>
      <c r="G673" s="6"/>
      <c r="H673" s="17">
        <v>17833.55</v>
      </c>
      <c r="I673" s="39" t="s">
        <v>52</v>
      </c>
      <c r="J673" s="7">
        <v>37301</v>
      </c>
      <c r="K673" s="7"/>
      <c r="L673" s="23">
        <f>90+J673</f>
        <v>37391</v>
      </c>
      <c r="M673" s="18" t="s">
        <v>41</v>
      </c>
      <c r="N673" s="6" t="s">
        <v>42</v>
      </c>
      <c r="O673" s="6"/>
      <c r="P673" s="6"/>
      <c r="Q673" s="6"/>
      <c r="R673" s="6"/>
      <c r="S673" s="23">
        <v>37398</v>
      </c>
      <c r="T673" s="7">
        <v>37391</v>
      </c>
      <c r="U673" s="7"/>
      <c r="V673" s="6" t="s">
        <v>858</v>
      </c>
      <c r="W673" s="6">
        <v>793</v>
      </c>
      <c r="X673" s="6" t="s">
        <v>47</v>
      </c>
      <c r="Y673" s="59"/>
      <c r="Z673" s="6" t="s">
        <v>859</v>
      </c>
      <c r="AA673" s="6" t="s">
        <v>195</v>
      </c>
      <c r="AB673" s="6" t="s">
        <v>47</v>
      </c>
      <c r="AC673" s="507"/>
      <c r="AD673" s="10" t="str">
        <f>IF(T673&lt;=L673,"en término","atrasado")</f>
        <v>en término</v>
      </c>
    </row>
    <row r="674" spans="1:30" s="9" customFormat="1" ht="12" thickBot="1" x14ac:dyDescent="0.25">
      <c r="A674" s="28"/>
      <c r="B674" s="19"/>
      <c r="C674" s="19"/>
      <c r="D674" s="5"/>
      <c r="E674" s="5"/>
      <c r="F674" s="5" t="s">
        <v>860</v>
      </c>
      <c r="G674" s="5"/>
      <c r="H674" s="105"/>
      <c r="I674" s="21"/>
      <c r="J674" s="5"/>
      <c r="K674" s="5"/>
      <c r="L674" s="127"/>
      <c r="M674" s="5"/>
      <c r="N674" s="5"/>
      <c r="O674" s="5"/>
      <c r="P674" s="5"/>
      <c r="Q674" s="5"/>
      <c r="R674" s="5"/>
      <c r="S674" s="27"/>
      <c r="T674" s="19"/>
      <c r="U674" s="19"/>
      <c r="V674" s="5"/>
      <c r="W674" s="5"/>
      <c r="X674" s="5"/>
      <c r="Y674" s="61"/>
      <c r="Z674" s="5" t="s">
        <v>861</v>
      </c>
      <c r="AA674" s="5"/>
      <c r="AB674" s="5"/>
      <c r="AC674" s="5"/>
      <c r="AD674" s="10"/>
    </row>
    <row r="675" spans="1:30" s="9" customFormat="1" x14ac:dyDescent="0.2">
      <c r="A675" s="28"/>
      <c r="B675" s="16"/>
      <c r="C675" s="16"/>
      <c r="D675" s="7"/>
      <c r="E675" s="7"/>
      <c r="F675" s="6"/>
      <c r="G675" s="6"/>
      <c r="H675" s="17"/>
      <c r="I675" s="17"/>
      <c r="J675" s="7"/>
      <c r="K675" s="7"/>
      <c r="L675" s="23"/>
      <c r="M675" s="6"/>
      <c r="N675" s="6"/>
      <c r="O675" s="6"/>
      <c r="P675" s="6"/>
      <c r="Q675" s="6"/>
      <c r="R675" s="6"/>
      <c r="S675" s="6"/>
      <c r="T675" s="6"/>
      <c r="U675" s="6"/>
      <c r="V675" s="6"/>
      <c r="W675" s="6"/>
      <c r="X675" s="12"/>
      <c r="Y675" s="59"/>
      <c r="Z675" s="6"/>
      <c r="AA675" s="6"/>
      <c r="AB675" s="6"/>
      <c r="AC675" s="6"/>
      <c r="AD675" s="10"/>
    </row>
    <row r="676" spans="1:30" s="9" customFormat="1" x14ac:dyDescent="0.2">
      <c r="A676" s="28"/>
      <c r="B676" s="16" t="s">
        <v>36</v>
      </c>
      <c r="C676" s="16" t="s">
        <v>133</v>
      </c>
      <c r="D676" s="7" t="s">
        <v>669</v>
      </c>
      <c r="E676" s="7"/>
      <c r="F676" s="6" t="s">
        <v>670</v>
      </c>
      <c r="G676" s="6"/>
      <c r="H676" s="17">
        <v>11652.2</v>
      </c>
      <c r="I676" s="39" t="s">
        <v>52</v>
      </c>
      <c r="J676" s="7">
        <v>37312</v>
      </c>
      <c r="K676" s="7"/>
      <c r="L676" s="23">
        <f>90+J676</f>
        <v>37402</v>
      </c>
      <c r="M676" s="18" t="s">
        <v>41</v>
      </c>
      <c r="N676" s="6" t="s">
        <v>42</v>
      </c>
      <c r="O676" s="6"/>
      <c r="P676" s="6"/>
      <c r="Q676" s="6"/>
      <c r="R676" s="6"/>
      <c r="S676" s="23">
        <v>37398</v>
      </c>
      <c r="T676" s="7">
        <v>37391</v>
      </c>
      <c r="U676" s="7"/>
      <c r="V676" s="6" t="s">
        <v>862</v>
      </c>
      <c r="W676" s="6">
        <v>794</v>
      </c>
      <c r="X676" s="6" t="s">
        <v>47</v>
      </c>
      <c r="Y676" s="59"/>
      <c r="Z676" s="6" t="s">
        <v>859</v>
      </c>
      <c r="AA676" s="6" t="s">
        <v>195</v>
      </c>
      <c r="AB676" s="6" t="s">
        <v>47</v>
      </c>
      <c r="AC676" s="507"/>
      <c r="AD676" s="10" t="str">
        <f>IF(T676&lt;=L676,"en término","atrasado")</f>
        <v>en término</v>
      </c>
    </row>
    <row r="677" spans="1:30" s="9" customFormat="1" ht="12" thickBot="1" x14ac:dyDescent="0.25">
      <c r="A677" s="28"/>
      <c r="B677" s="19"/>
      <c r="C677" s="19"/>
      <c r="D677" s="5"/>
      <c r="E677" s="5"/>
      <c r="F677" s="5" t="s">
        <v>863</v>
      </c>
      <c r="G677" s="5"/>
      <c r="H677" s="105"/>
      <c r="I677" s="21"/>
      <c r="J677" s="5"/>
      <c r="K677" s="5"/>
      <c r="L677" s="127"/>
      <c r="M677" s="5"/>
      <c r="N677" s="5"/>
      <c r="O677" s="5"/>
      <c r="P677" s="5"/>
      <c r="Q677" s="5"/>
      <c r="R677" s="5"/>
      <c r="S677" s="27"/>
      <c r="T677" s="19"/>
      <c r="U677" s="19"/>
      <c r="V677" s="5"/>
      <c r="W677" s="5"/>
      <c r="X677" s="5"/>
      <c r="Y677" s="61"/>
      <c r="Z677" s="5" t="s">
        <v>861</v>
      </c>
      <c r="AA677" s="5"/>
      <c r="AB677" s="5"/>
      <c r="AC677" s="5"/>
      <c r="AD677" s="10"/>
    </row>
    <row r="678" spans="1:30" s="9" customFormat="1" x14ac:dyDescent="0.2">
      <c r="A678" s="28"/>
      <c r="B678" s="16"/>
      <c r="C678" s="16"/>
      <c r="D678" s="7"/>
      <c r="E678" s="7"/>
      <c r="F678" s="6"/>
      <c r="G678" s="6"/>
      <c r="H678" s="17"/>
      <c r="I678" s="17"/>
      <c r="J678" s="7"/>
      <c r="K678" s="7"/>
      <c r="L678" s="23"/>
      <c r="M678" s="6"/>
      <c r="N678" s="6"/>
      <c r="O678" s="6"/>
      <c r="P678" s="6"/>
      <c r="Q678" s="6"/>
      <c r="R678" s="6"/>
      <c r="S678" s="6"/>
      <c r="T678" s="6"/>
      <c r="U678" s="6"/>
      <c r="V678" s="6"/>
      <c r="W678" s="6"/>
      <c r="X678" s="12"/>
      <c r="Y678" s="59"/>
      <c r="Z678" s="6"/>
      <c r="AA678" s="6"/>
      <c r="AB678" s="6"/>
      <c r="AC678" s="6"/>
      <c r="AD678" s="10"/>
    </row>
    <row r="679" spans="1:30" s="9" customFormat="1" x14ac:dyDescent="0.2">
      <c r="A679" s="28"/>
      <c r="B679" s="16" t="s">
        <v>36</v>
      </c>
      <c r="C679" s="16" t="s">
        <v>133</v>
      </c>
      <c r="D679" s="7" t="s">
        <v>669</v>
      </c>
      <c r="E679" s="7"/>
      <c r="F679" s="6" t="s">
        <v>670</v>
      </c>
      <c r="G679" s="6"/>
      <c r="H679" s="17">
        <v>38202.54</v>
      </c>
      <c r="I679" s="39" t="s">
        <v>40</v>
      </c>
      <c r="J679" s="7">
        <v>37316</v>
      </c>
      <c r="K679" s="7"/>
      <c r="L679" s="23">
        <f>90+J679</f>
        <v>37406</v>
      </c>
      <c r="M679" s="18" t="s">
        <v>41</v>
      </c>
      <c r="N679" s="6" t="s">
        <v>42</v>
      </c>
      <c r="O679" s="6"/>
      <c r="P679" s="6"/>
      <c r="Q679" s="6"/>
      <c r="R679" s="6"/>
      <c r="S679" s="23">
        <v>37398</v>
      </c>
      <c r="T679" s="7">
        <v>37391</v>
      </c>
      <c r="U679" s="7"/>
      <c r="V679" s="6" t="s">
        <v>864</v>
      </c>
      <c r="W679" s="6">
        <v>792</v>
      </c>
      <c r="X679" s="6" t="s">
        <v>47</v>
      </c>
      <c r="Y679" s="59"/>
      <c r="Z679" s="6" t="s">
        <v>859</v>
      </c>
      <c r="AA679" s="6" t="s">
        <v>195</v>
      </c>
      <c r="AB679" s="6" t="s">
        <v>47</v>
      </c>
      <c r="AC679" s="507"/>
      <c r="AD679" s="10" t="str">
        <f>IF(T679&lt;=L679,"en término","atrasado")</f>
        <v>en término</v>
      </c>
    </row>
    <row r="680" spans="1:30" s="9" customFormat="1" ht="12" thickBot="1" x14ac:dyDescent="0.25">
      <c r="A680" s="28"/>
      <c r="B680" s="19"/>
      <c r="C680" s="19"/>
      <c r="D680" s="5"/>
      <c r="E680" s="5"/>
      <c r="F680" s="5" t="s">
        <v>865</v>
      </c>
      <c r="G680" s="5"/>
      <c r="H680" s="105"/>
      <c r="I680" s="21"/>
      <c r="J680" s="5"/>
      <c r="K680" s="5"/>
      <c r="L680" s="127"/>
      <c r="M680" s="5"/>
      <c r="N680" s="5"/>
      <c r="O680" s="5"/>
      <c r="P680" s="5"/>
      <c r="Q680" s="5"/>
      <c r="R680" s="5"/>
      <c r="S680" s="27"/>
      <c r="T680" s="19"/>
      <c r="U680" s="19"/>
      <c r="V680" s="5"/>
      <c r="W680" s="5"/>
      <c r="X680" s="5"/>
      <c r="Y680" s="61"/>
      <c r="Z680" s="5" t="s">
        <v>861</v>
      </c>
      <c r="AA680" s="5"/>
      <c r="AB680" s="5">
        <v>38852</v>
      </c>
      <c r="AC680" s="21"/>
      <c r="AD680" s="10"/>
    </row>
    <row r="681" spans="1:30" s="9" customFormat="1" x14ac:dyDescent="0.2">
      <c r="A681" s="28"/>
      <c r="B681" s="16"/>
      <c r="C681" s="16"/>
      <c r="D681" s="7"/>
      <c r="E681" s="7"/>
      <c r="F681" s="6"/>
      <c r="G681" s="6"/>
      <c r="H681" s="17"/>
      <c r="I681" s="17"/>
      <c r="J681" s="7"/>
      <c r="K681" s="7"/>
      <c r="L681" s="23"/>
      <c r="M681" s="6"/>
      <c r="N681" s="6"/>
      <c r="O681" s="6"/>
      <c r="P681" s="6"/>
      <c r="Q681" s="6"/>
      <c r="R681" s="6"/>
      <c r="S681" s="6"/>
      <c r="T681" s="6"/>
      <c r="U681" s="6"/>
      <c r="V681" s="6"/>
      <c r="W681" s="6"/>
      <c r="X681" s="12"/>
      <c r="Y681" s="59"/>
      <c r="Z681" s="6"/>
      <c r="AA681" s="6"/>
      <c r="AB681" s="6"/>
      <c r="AC681" s="6"/>
      <c r="AD681" s="10"/>
    </row>
    <row r="682" spans="1:30" s="9" customFormat="1" x14ac:dyDescent="0.2">
      <c r="A682" s="28"/>
      <c r="B682" s="16" t="s">
        <v>36</v>
      </c>
      <c r="C682" s="16" t="s">
        <v>133</v>
      </c>
      <c r="D682" s="7" t="s">
        <v>669</v>
      </c>
      <c r="E682" s="7"/>
      <c r="F682" s="6" t="s">
        <v>670</v>
      </c>
      <c r="G682" s="6"/>
      <c r="H682" s="17">
        <v>12638</v>
      </c>
      <c r="I682" s="39" t="s">
        <v>40</v>
      </c>
      <c r="J682" s="7">
        <v>37328</v>
      </c>
      <c r="K682" s="7"/>
      <c r="L682" s="23">
        <f>90+J682</f>
        <v>37418</v>
      </c>
      <c r="M682" s="18" t="s">
        <v>41</v>
      </c>
      <c r="N682" s="6" t="s">
        <v>42</v>
      </c>
      <c r="O682" s="6"/>
      <c r="P682" s="6"/>
      <c r="Q682" s="6"/>
      <c r="R682" s="6"/>
      <c r="S682" s="23">
        <v>37403</v>
      </c>
      <c r="T682" s="7">
        <v>37405</v>
      </c>
      <c r="U682" s="7"/>
      <c r="V682" s="6" t="s">
        <v>866</v>
      </c>
      <c r="W682" s="6">
        <v>799</v>
      </c>
      <c r="X682" s="6" t="s">
        <v>47</v>
      </c>
      <c r="Y682" s="59"/>
      <c r="Z682" s="6" t="s">
        <v>859</v>
      </c>
      <c r="AA682" s="6" t="s">
        <v>195</v>
      </c>
      <c r="AB682" s="6" t="s">
        <v>47</v>
      </c>
      <c r="AC682" s="507"/>
      <c r="AD682" s="10" t="str">
        <f>IF(T682&lt;=L682,"en término","atrasado")</f>
        <v>en término</v>
      </c>
    </row>
    <row r="683" spans="1:30" s="9" customFormat="1" ht="12" thickBot="1" x14ac:dyDescent="0.25">
      <c r="A683" s="28"/>
      <c r="B683" s="19"/>
      <c r="C683" s="19"/>
      <c r="D683" s="5"/>
      <c r="E683" s="5"/>
      <c r="F683" s="5" t="s">
        <v>867</v>
      </c>
      <c r="G683" s="5"/>
      <c r="H683" s="105"/>
      <c r="I683" s="21"/>
      <c r="J683" s="5"/>
      <c r="K683" s="5"/>
      <c r="L683" s="127"/>
      <c r="M683" s="5"/>
      <c r="N683" s="5"/>
      <c r="O683" s="5"/>
      <c r="P683" s="5"/>
      <c r="Q683" s="5"/>
      <c r="R683" s="5"/>
      <c r="S683" s="27" t="s">
        <v>868</v>
      </c>
      <c r="T683" s="19"/>
      <c r="U683" s="19"/>
      <c r="V683" s="5"/>
      <c r="W683" s="5"/>
      <c r="X683" s="5"/>
      <c r="Y683" s="61"/>
      <c r="Z683" s="5" t="s">
        <v>861</v>
      </c>
      <c r="AA683" s="5"/>
      <c r="AB683" s="5"/>
      <c r="AC683" s="5"/>
      <c r="AD683" s="10"/>
    </row>
    <row r="684" spans="1:30" s="9" customFormat="1" x14ac:dyDescent="0.2">
      <c r="A684" s="28"/>
      <c r="B684" s="16"/>
      <c r="C684" s="16"/>
      <c r="D684" s="7"/>
      <c r="E684" s="7"/>
      <c r="F684" s="6"/>
      <c r="G684" s="6"/>
      <c r="H684" s="17"/>
      <c r="I684" s="17"/>
      <c r="J684" s="7"/>
      <c r="K684" s="7"/>
      <c r="L684" s="23"/>
      <c r="M684" s="6"/>
      <c r="N684" s="6"/>
      <c r="O684" s="6"/>
      <c r="P684" s="6"/>
      <c r="Q684" s="6"/>
      <c r="R684" s="6"/>
      <c r="S684" s="6"/>
      <c r="T684" s="6"/>
      <c r="U684" s="6"/>
      <c r="V684" s="6"/>
      <c r="W684" s="6"/>
      <c r="X684" s="12"/>
      <c r="Y684" s="59"/>
      <c r="Z684" s="6"/>
      <c r="AA684" s="6"/>
      <c r="AB684" s="6"/>
      <c r="AC684" s="6"/>
      <c r="AD684" s="10"/>
    </row>
    <row r="685" spans="1:30" s="9" customFormat="1" x14ac:dyDescent="0.2">
      <c r="A685" s="28"/>
      <c r="B685" s="16" t="s">
        <v>36</v>
      </c>
      <c r="C685" s="16" t="s">
        <v>133</v>
      </c>
      <c r="D685" s="7" t="s">
        <v>669</v>
      </c>
      <c r="E685" s="7"/>
      <c r="F685" s="6" t="s">
        <v>670</v>
      </c>
      <c r="G685" s="6"/>
      <c r="H685" s="17">
        <v>12403.32</v>
      </c>
      <c r="I685" s="39" t="s">
        <v>142</v>
      </c>
      <c r="J685" s="7">
        <v>37334</v>
      </c>
      <c r="K685" s="7"/>
      <c r="L685" s="23">
        <f>90+J685</f>
        <v>37424</v>
      </c>
      <c r="M685" s="18" t="s">
        <v>41</v>
      </c>
      <c r="N685" s="6" t="s">
        <v>42</v>
      </c>
      <c r="O685" s="6"/>
      <c r="P685" s="6"/>
      <c r="Q685" s="6"/>
      <c r="R685" s="6"/>
      <c r="S685" s="23">
        <v>37403</v>
      </c>
      <c r="T685" s="7">
        <v>37405</v>
      </c>
      <c r="U685" s="7"/>
      <c r="V685" s="6" t="s">
        <v>869</v>
      </c>
      <c r="W685" s="6">
        <v>800</v>
      </c>
      <c r="X685" s="6" t="s">
        <v>47</v>
      </c>
      <c r="Y685" s="59"/>
      <c r="Z685" s="6" t="s">
        <v>859</v>
      </c>
      <c r="AA685" s="6" t="s">
        <v>195</v>
      </c>
      <c r="AB685" s="6" t="s">
        <v>47</v>
      </c>
      <c r="AC685" s="507"/>
      <c r="AD685" s="10" t="str">
        <f>IF(T685&lt;=L685,"en término","atrasado")</f>
        <v>en término</v>
      </c>
    </row>
    <row r="686" spans="1:30" s="9" customFormat="1" ht="12" thickBot="1" x14ac:dyDescent="0.25">
      <c r="A686" s="28"/>
      <c r="B686" s="19"/>
      <c r="C686" s="19"/>
      <c r="D686" s="5"/>
      <c r="E686" s="5"/>
      <c r="F686" s="5" t="s">
        <v>870</v>
      </c>
      <c r="G686" s="5"/>
      <c r="H686" s="105"/>
      <c r="I686" s="21"/>
      <c r="J686" s="5"/>
      <c r="K686" s="5"/>
      <c r="L686" s="127"/>
      <c r="M686" s="5"/>
      <c r="N686" s="5"/>
      <c r="O686" s="5"/>
      <c r="P686" s="5"/>
      <c r="Q686" s="5"/>
      <c r="R686" s="5"/>
      <c r="S686" s="27" t="s">
        <v>868</v>
      </c>
      <c r="T686" s="19"/>
      <c r="U686" s="19"/>
      <c r="V686" s="5"/>
      <c r="W686" s="5"/>
      <c r="X686" s="5"/>
      <c r="Y686" s="61"/>
      <c r="Z686" s="5" t="s">
        <v>861</v>
      </c>
      <c r="AA686" s="5"/>
      <c r="AB686" s="5"/>
      <c r="AC686" s="5"/>
      <c r="AD686" s="10"/>
    </row>
    <row r="687" spans="1:30" s="9" customFormat="1" x14ac:dyDescent="0.2">
      <c r="A687" s="28"/>
      <c r="B687" s="16"/>
      <c r="C687" s="16"/>
      <c r="D687" s="7"/>
      <c r="E687" s="7"/>
      <c r="F687" s="6"/>
      <c r="G687" s="6"/>
      <c r="H687" s="17"/>
      <c r="I687" s="17"/>
      <c r="J687" s="7"/>
      <c r="K687" s="7"/>
      <c r="L687" s="23"/>
      <c r="M687" s="6"/>
      <c r="N687" s="6"/>
      <c r="O687" s="6"/>
      <c r="P687" s="6"/>
      <c r="Q687" s="6"/>
      <c r="R687" s="6"/>
      <c r="S687" s="6"/>
      <c r="T687" s="6"/>
      <c r="U687" s="6"/>
      <c r="V687" s="6"/>
      <c r="W687" s="6"/>
      <c r="X687" s="12"/>
      <c r="Y687" s="59"/>
      <c r="Z687" s="6"/>
      <c r="AA687" s="6"/>
      <c r="AB687" s="6"/>
      <c r="AC687" s="6"/>
      <c r="AD687" s="10"/>
    </row>
    <row r="688" spans="1:30" s="9" customFormat="1" x14ac:dyDescent="0.2">
      <c r="A688" s="28"/>
      <c r="B688" s="16" t="s">
        <v>36</v>
      </c>
      <c r="C688" s="16" t="s">
        <v>133</v>
      </c>
      <c r="D688" s="7" t="s">
        <v>669</v>
      </c>
      <c r="E688" s="7"/>
      <c r="F688" s="6" t="s">
        <v>670</v>
      </c>
      <c r="G688" s="6"/>
      <c r="H688" s="17">
        <v>15488.9</v>
      </c>
      <c r="I688" s="39" t="s">
        <v>52</v>
      </c>
      <c r="J688" s="7">
        <v>37341</v>
      </c>
      <c r="K688" s="7"/>
      <c r="L688" s="23">
        <f>90+J688</f>
        <v>37431</v>
      </c>
      <c r="M688" s="18" t="s">
        <v>41</v>
      </c>
      <c r="N688" s="6" t="s">
        <v>42</v>
      </c>
      <c r="O688" s="6"/>
      <c r="P688" s="6"/>
      <c r="Q688" s="6"/>
      <c r="R688" s="6"/>
      <c r="S688" s="23">
        <v>37403</v>
      </c>
      <c r="T688" s="7">
        <v>37405</v>
      </c>
      <c r="U688" s="7"/>
      <c r="V688" s="6" t="s">
        <v>871</v>
      </c>
      <c r="W688" s="6">
        <v>801</v>
      </c>
      <c r="X688" s="6" t="s">
        <v>47</v>
      </c>
      <c r="Y688" s="59"/>
      <c r="Z688" s="6" t="s">
        <v>859</v>
      </c>
      <c r="AA688" s="6" t="s">
        <v>195</v>
      </c>
      <c r="AB688" s="6" t="s">
        <v>47</v>
      </c>
      <c r="AC688" s="507"/>
      <c r="AD688" s="10" t="str">
        <f>IF(T688&lt;=L688,"en término","atrasado")</f>
        <v>en término</v>
      </c>
    </row>
    <row r="689" spans="1:30" s="9" customFormat="1" ht="12" thickBot="1" x14ac:dyDescent="0.25">
      <c r="A689" s="28"/>
      <c r="B689" s="19"/>
      <c r="C689" s="19"/>
      <c r="D689" s="5"/>
      <c r="E689" s="5"/>
      <c r="F689" s="5" t="s">
        <v>872</v>
      </c>
      <c r="G689" s="5"/>
      <c r="H689" s="105"/>
      <c r="I689" s="21"/>
      <c r="J689" s="5"/>
      <c r="K689" s="5"/>
      <c r="L689" s="127"/>
      <c r="M689" s="5"/>
      <c r="N689" s="5"/>
      <c r="O689" s="5"/>
      <c r="P689" s="5"/>
      <c r="Q689" s="5"/>
      <c r="R689" s="5"/>
      <c r="S689" s="27" t="s">
        <v>868</v>
      </c>
      <c r="T689" s="19"/>
      <c r="U689" s="19"/>
      <c r="V689" s="5"/>
      <c r="W689" s="5"/>
      <c r="X689" s="5"/>
      <c r="Y689" s="61"/>
      <c r="Z689" s="5" t="s">
        <v>861</v>
      </c>
      <c r="AA689" s="5"/>
      <c r="AB689" s="5"/>
      <c r="AC689" s="5"/>
      <c r="AD689" s="10"/>
    </row>
    <row r="690" spans="1:30" s="9" customFormat="1" x14ac:dyDescent="0.2">
      <c r="A690" s="28"/>
      <c r="B690" s="16"/>
      <c r="C690" s="16"/>
      <c r="D690" s="7"/>
      <c r="E690" s="7"/>
      <c r="F690" s="6"/>
      <c r="G690" s="6"/>
      <c r="H690" s="17"/>
      <c r="I690" s="17"/>
      <c r="J690" s="7"/>
      <c r="K690" s="7"/>
      <c r="L690" s="23"/>
      <c r="M690" s="6"/>
      <c r="N690" s="6"/>
      <c r="O690" s="6"/>
      <c r="P690" s="6"/>
      <c r="Q690" s="6"/>
      <c r="R690" s="6"/>
      <c r="S690" s="6"/>
      <c r="T690" s="6"/>
      <c r="U690" s="6"/>
      <c r="V690" s="6"/>
      <c r="W690" s="6"/>
      <c r="X690" s="12"/>
      <c r="Y690" s="59"/>
      <c r="Z690" s="6"/>
      <c r="AA690" s="6"/>
      <c r="AB690" s="6"/>
      <c r="AC690" s="6"/>
      <c r="AD690" s="10"/>
    </row>
    <row r="691" spans="1:30" s="9" customFormat="1" x14ac:dyDescent="0.2">
      <c r="A691" s="28"/>
      <c r="B691" s="16" t="s">
        <v>36</v>
      </c>
      <c r="C691" s="16" t="s">
        <v>133</v>
      </c>
      <c r="D691" s="7" t="s">
        <v>669</v>
      </c>
      <c r="E691" s="7"/>
      <c r="F691" s="6" t="s">
        <v>670</v>
      </c>
      <c r="G691" s="6"/>
      <c r="H691" s="17">
        <v>113913.49</v>
      </c>
      <c r="I691" s="39" t="s">
        <v>139</v>
      </c>
      <c r="J691" s="7">
        <v>37320</v>
      </c>
      <c r="K691" s="7"/>
      <c r="L691" s="23">
        <f>90+J691</f>
        <v>37410</v>
      </c>
      <c r="M691" s="18" t="s">
        <v>41</v>
      </c>
      <c r="N691" s="6" t="s">
        <v>42</v>
      </c>
      <c r="O691" s="6"/>
      <c r="P691" s="6"/>
      <c r="Q691" s="6"/>
      <c r="R691" s="6"/>
      <c r="S691" s="23">
        <v>37403</v>
      </c>
      <c r="T691" s="7">
        <v>37405</v>
      </c>
      <c r="U691" s="7"/>
      <c r="V691" s="6" t="s">
        <v>873</v>
      </c>
      <c r="W691" s="6">
        <v>798</v>
      </c>
      <c r="X691" s="6" t="s">
        <v>47</v>
      </c>
      <c r="Y691" s="59"/>
      <c r="Z691" s="6" t="s">
        <v>859</v>
      </c>
      <c r="AA691" s="6" t="s">
        <v>195</v>
      </c>
      <c r="AB691" s="6" t="s">
        <v>47</v>
      </c>
      <c r="AC691" s="507"/>
      <c r="AD691" s="10" t="str">
        <f>IF(T691&lt;=L691,"en término","atrasado")</f>
        <v>en término</v>
      </c>
    </row>
    <row r="692" spans="1:30" s="9" customFormat="1" ht="12" thickBot="1" x14ac:dyDescent="0.25">
      <c r="A692" s="28"/>
      <c r="B692" s="19"/>
      <c r="C692" s="19"/>
      <c r="D692" s="5"/>
      <c r="E692" s="5"/>
      <c r="F692" s="5" t="s">
        <v>874</v>
      </c>
      <c r="G692" s="5"/>
      <c r="H692" s="105"/>
      <c r="I692" s="21"/>
      <c r="J692" s="5"/>
      <c r="K692" s="5"/>
      <c r="L692" s="127"/>
      <c r="M692" s="5"/>
      <c r="N692" s="5"/>
      <c r="O692" s="5"/>
      <c r="P692" s="5"/>
      <c r="Q692" s="5"/>
      <c r="R692" s="5"/>
      <c r="S692" s="27" t="s">
        <v>868</v>
      </c>
      <c r="T692" s="19"/>
      <c r="U692" s="19"/>
      <c r="V692" s="5"/>
      <c r="W692" s="5"/>
      <c r="X692" s="5"/>
      <c r="Y692" s="61"/>
      <c r="Z692" s="5" t="s">
        <v>861</v>
      </c>
      <c r="AA692" s="5"/>
      <c r="AB692" s="5"/>
      <c r="AC692" s="5"/>
      <c r="AD692" s="10"/>
    </row>
    <row r="693" spans="1:30" s="9" customFormat="1" x14ac:dyDescent="0.2">
      <c r="A693" s="28"/>
      <c r="B693" s="16"/>
      <c r="C693" s="16"/>
      <c r="D693" s="7"/>
      <c r="E693" s="7"/>
      <c r="F693" s="6"/>
      <c r="G693" s="6"/>
      <c r="H693" s="17"/>
      <c r="I693" s="17"/>
      <c r="J693" s="7"/>
      <c r="K693" s="7"/>
      <c r="L693" s="23"/>
      <c r="M693" s="6"/>
      <c r="N693" s="6"/>
      <c r="O693" s="6"/>
      <c r="P693" s="6"/>
      <c r="Q693" s="6"/>
      <c r="R693" s="6"/>
      <c r="S693" s="6"/>
      <c r="T693" s="6"/>
      <c r="U693" s="6"/>
      <c r="V693" s="6"/>
      <c r="W693" s="6"/>
      <c r="X693" s="12"/>
      <c r="Y693" s="59"/>
      <c r="Z693" s="6"/>
      <c r="AA693" s="6"/>
      <c r="AB693" s="6"/>
      <c r="AC693" s="6"/>
      <c r="AD693" s="10"/>
    </row>
    <row r="694" spans="1:30" s="9" customFormat="1" x14ac:dyDescent="0.2">
      <c r="A694" s="28"/>
      <c r="B694" s="16" t="s">
        <v>36</v>
      </c>
      <c r="C694" s="16" t="s">
        <v>133</v>
      </c>
      <c r="D694" s="7" t="s">
        <v>875</v>
      </c>
      <c r="E694" s="7"/>
      <c r="F694" s="6" t="s">
        <v>876</v>
      </c>
      <c r="G694" s="6"/>
      <c r="H694" s="17">
        <v>5430</v>
      </c>
      <c r="I694" s="39" t="s">
        <v>757</v>
      </c>
      <c r="J694" s="7">
        <v>37354</v>
      </c>
      <c r="K694" s="7"/>
      <c r="L694" s="23">
        <f>35+J694</f>
        <v>37389</v>
      </c>
      <c r="M694" s="18" t="s">
        <v>782</v>
      </c>
      <c r="N694" s="6" t="s">
        <v>42</v>
      </c>
      <c r="O694" s="6"/>
      <c r="P694" s="6"/>
      <c r="Q694" s="6"/>
      <c r="R694" s="6"/>
      <c r="S694" s="23">
        <v>37398</v>
      </c>
      <c r="T694" s="7">
        <v>37411</v>
      </c>
      <c r="U694" s="7"/>
      <c r="V694" s="6" t="s">
        <v>419</v>
      </c>
      <c r="W694" s="6">
        <v>795</v>
      </c>
      <c r="X694" s="6" t="s">
        <v>47</v>
      </c>
      <c r="Y694" s="59"/>
      <c r="Z694" s="6" t="s">
        <v>859</v>
      </c>
      <c r="AA694" s="6" t="s">
        <v>195</v>
      </c>
      <c r="AB694" s="6" t="s">
        <v>47</v>
      </c>
      <c r="AC694" s="507"/>
      <c r="AD694" s="10" t="str">
        <f>IF(T694&lt;=L694,"en término","atrasado")</f>
        <v>atrasado</v>
      </c>
    </row>
    <row r="695" spans="1:30" s="9" customFormat="1" ht="12" thickBot="1" x14ac:dyDescent="0.25">
      <c r="A695" s="28"/>
      <c r="B695" s="19"/>
      <c r="C695" s="19"/>
      <c r="D695" s="5"/>
      <c r="E695" s="5"/>
      <c r="F695" s="5"/>
      <c r="G695" s="5"/>
      <c r="H695" s="105"/>
      <c r="I695" s="21"/>
      <c r="J695" s="5"/>
      <c r="K695" s="5"/>
      <c r="L695" s="127"/>
      <c r="M695" s="5"/>
      <c r="N695" s="5"/>
      <c r="O695" s="5"/>
      <c r="P695" s="5"/>
      <c r="Q695" s="5"/>
      <c r="R695" s="5"/>
      <c r="S695" s="27"/>
      <c r="T695" s="19"/>
      <c r="U695" s="19"/>
      <c r="V695" s="5"/>
      <c r="W695" s="5"/>
      <c r="X695" s="5"/>
      <c r="Y695" s="61"/>
      <c r="Z695" s="5" t="s">
        <v>861</v>
      </c>
      <c r="AA695" s="5"/>
      <c r="AB695" s="5"/>
      <c r="AC695" s="5"/>
    </row>
    <row r="696" spans="1:30" s="9" customFormat="1" x14ac:dyDescent="0.2">
      <c r="A696" s="28"/>
      <c r="B696" s="16"/>
      <c r="C696" s="16"/>
      <c r="D696" s="7"/>
      <c r="E696" s="7"/>
      <c r="F696" s="6"/>
      <c r="G696" s="6"/>
      <c r="H696" s="17"/>
      <c r="I696" s="17"/>
      <c r="J696" s="7"/>
      <c r="K696" s="7"/>
      <c r="L696" s="23"/>
      <c r="M696" s="6"/>
      <c r="N696" s="6"/>
      <c r="O696" s="6"/>
      <c r="P696" s="6"/>
      <c r="Q696" s="6"/>
      <c r="R696" s="6"/>
      <c r="S696" s="6"/>
      <c r="T696" s="6"/>
      <c r="U696" s="6"/>
      <c r="V696" s="6"/>
      <c r="W696" s="6"/>
      <c r="X696" s="12"/>
      <c r="Y696" s="59"/>
      <c r="Z696" s="6"/>
      <c r="AA696" s="6"/>
      <c r="AB696" s="6"/>
      <c r="AC696" s="6"/>
    </row>
    <row r="697" spans="1:30" s="9" customFormat="1" x14ac:dyDescent="0.2">
      <c r="A697" s="28"/>
      <c r="B697" s="16" t="s">
        <v>36</v>
      </c>
      <c r="C697" s="16" t="s">
        <v>133</v>
      </c>
      <c r="D697" s="7" t="s">
        <v>877</v>
      </c>
      <c r="E697" s="7"/>
      <c r="F697" s="6" t="s">
        <v>878</v>
      </c>
      <c r="G697" s="6"/>
      <c r="H697" s="17">
        <v>12125</v>
      </c>
      <c r="I697" s="39" t="s">
        <v>757</v>
      </c>
      <c r="J697" s="7">
        <v>37365</v>
      </c>
      <c r="K697" s="7"/>
      <c r="L697" s="23">
        <v>37423</v>
      </c>
      <c r="M697" s="18" t="s">
        <v>782</v>
      </c>
      <c r="N697" s="6" t="s">
        <v>42</v>
      </c>
      <c r="O697" s="6"/>
      <c r="P697" s="6"/>
      <c r="Q697" s="6"/>
      <c r="R697" s="6"/>
      <c r="S697" s="23">
        <v>37419</v>
      </c>
      <c r="T697" s="7">
        <v>37432</v>
      </c>
      <c r="U697" s="7"/>
      <c r="V697" s="6" t="s">
        <v>879</v>
      </c>
      <c r="W697" s="6">
        <v>803</v>
      </c>
      <c r="X697" s="6" t="s">
        <v>47</v>
      </c>
      <c r="Y697" s="59"/>
      <c r="Z697" s="6" t="s">
        <v>880</v>
      </c>
      <c r="AA697" s="6" t="s">
        <v>195</v>
      </c>
      <c r="AB697" s="6" t="s">
        <v>47</v>
      </c>
      <c r="AC697" s="507"/>
      <c r="AD697" s="10" t="str">
        <f>IF(T697&lt;=L697,"en término","atrasado")</f>
        <v>atrasado</v>
      </c>
    </row>
    <row r="698" spans="1:30" s="9" customFormat="1" ht="15" customHeight="1" thickBot="1" x14ac:dyDescent="0.25">
      <c r="A698" s="28"/>
      <c r="B698" s="19"/>
      <c r="C698" s="19"/>
      <c r="D698" s="5"/>
      <c r="E698" s="5"/>
      <c r="F698" s="5"/>
      <c r="G698" s="5"/>
      <c r="H698" s="105"/>
      <c r="I698" s="21"/>
      <c r="J698" s="5"/>
      <c r="K698" s="5"/>
      <c r="L698" s="127"/>
      <c r="M698" s="5"/>
      <c r="N698" s="5"/>
      <c r="O698" s="5"/>
      <c r="P698" s="5"/>
      <c r="Q698" s="5"/>
      <c r="R698" s="5"/>
      <c r="S698" s="27"/>
      <c r="T698" s="19" t="s">
        <v>881</v>
      </c>
      <c r="U698" s="19"/>
      <c r="V698" s="5"/>
      <c r="W698" s="5"/>
      <c r="X698" s="5"/>
      <c r="Y698" s="61"/>
      <c r="Z698" s="5" t="s">
        <v>882</v>
      </c>
      <c r="AA698" s="5"/>
      <c r="AB698" s="5"/>
      <c r="AC698" s="5"/>
      <c r="AD698" s="10"/>
    </row>
    <row r="699" spans="1:30" s="9" customFormat="1" x14ac:dyDescent="0.2">
      <c r="A699" s="28"/>
      <c r="B699" s="16"/>
      <c r="C699" s="16"/>
      <c r="D699" s="7"/>
      <c r="E699" s="7"/>
      <c r="F699" s="6"/>
      <c r="G699" s="6"/>
      <c r="H699" s="17"/>
      <c r="I699" s="17"/>
      <c r="J699" s="7"/>
      <c r="K699" s="7"/>
      <c r="L699" s="23"/>
      <c r="M699" s="6"/>
      <c r="N699" s="6"/>
      <c r="O699" s="6"/>
      <c r="P699" s="6"/>
      <c r="Q699" s="6"/>
      <c r="R699" s="6"/>
      <c r="S699" s="6"/>
      <c r="T699" s="6"/>
      <c r="U699" s="6"/>
      <c r="V699" s="6"/>
      <c r="W699" s="6"/>
      <c r="X699" s="12"/>
      <c r="Y699" s="59"/>
      <c r="Z699" s="6"/>
      <c r="AA699" s="6"/>
      <c r="AB699" s="6"/>
      <c r="AC699" s="6"/>
      <c r="AD699" s="10"/>
    </row>
    <row r="700" spans="1:30" s="9" customFormat="1" x14ac:dyDescent="0.2">
      <c r="A700" s="28"/>
      <c r="B700" s="16" t="s">
        <v>36</v>
      </c>
      <c r="C700" s="16" t="s">
        <v>133</v>
      </c>
      <c r="D700" s="7" t="s">
        <v>669</v>
      </c>
      <c r="E700" s="7"/>
      <c r="F700" s="6" t="s">
        <v>670</v>
      </c>
      <c r="G700" s="6"/>
      <c r="H700" s="17">
        <v>30510.9</v>
      </c>
      <c r="I700" s="39" t="s">
        <v>40</v>
      </c>
      <c r="J700" s="7">
        <v>37370</v>
      </c>
      <c r="K700" s="7"/>
      <c r="L700" s="23">
        <f>90+J700</f>
        <v>37460</v>
      </c>
      <c r="M700" s="18" t="s">
        <v>41</v>
      </c>
      <c r="N700" s="6" t="s">
        <v>42</v>
      </c>
      <c r="O700" s="6"/>
      <c r="P700" s="6"/>
      <c r="Q700" s="6"/>
      <c r="R700" s="6"/>
      <c r="S700" s="23">
        <v>37457</v>
      </c>
      <c r="T700" s="7">
        <v>37465</v>
      </c>
      <c r="U700" s="7"/>
      <c r="V700" s="6" t="s">
        <v>883</v>
      </c>
      <c r="W700" s="6">
        <v>809</v>
      </c>
      <c r="X700" s="6" t="s">
        <v>47</v>
      </c>
      <c r="Y700" s="59"/>
      <c r="Z700" s="6" t="s">
        <v>884</v>
      </c>
      <c r="AA700" s="6"/>
      <c r="AB700" s="6" t="s">
        <v>47</v>
      </c>
      <c r="AC700" s="507"/>
      <c r="AD700" s="10" t="str">
        <f>IF(T700&lt;=L700,"en término","atrasado")</f>
        <v>atrasado</v>
      </c>
    </row>
    <row r="701" spans="1:30" s="9" customFormat="1" ht="12" thickBot="1" x14ac:dyDescent="0.25">
      <c r="A701" s="28"/>
      <c r="B701" s="19"/>
      <c r="C701" s="19"/>
      <c r="D701" s="5"/>
      <c r="E701" s="5"/>
      <c r="F701" s="5" t="s">
        <v>885</v>
      </c>
      <c r="G701" s="5"/>
      <c r="H701" s="105"/>
      <c r="I701" s="21"/>
      <c r="J701" s="5"/>
      <c r="K701" s="5"/>
      <c r="L701" s="127"/>
      <c r="M701" s="5"/>
      <c r="N701" s="5"/>
      <c r="O701" s="5"/>
      <c r="P701" s="5"/>
      <c r="Q701" s="5"/>
      <c r="R701" s="5"/>
      <c r="S701" s="27"/>
      <c r="T701" s="5" t="s">
        <v>886</v>
      </c>
      <c r="U701" s="5"/>
      <c r="V701" s="5"/>
      <c r="W701" s="5"/>
      <c r="X701" s="5"/>
      <c r="Y701" s="61"/>
      <c r="Z701" s="5" t="s">
        <v>887</v>
      </c>
      <c r="AA701" s="5"/>
      <c r="AB701" s="5"/>
      <c r="AC701" s="5"/>
      <c r="AD701" s="10"/>
    </row>
    <row r="702" spans="1:30" s="9" customFormat="1" x14ac:dyDescent="0.2">
      <c r="A702" s="28"/>
      <c r="B702" s="16"/>
      <c r="C702" s="16"/>
      <c r="D702" s="7"/>
      <c r="E702" s="7"/>
      <c r="F702" s="6"/>
      <c r="G702" s="6"/>
      <c r="H702" s="17"/>
      <c r="I702" s="17"/>
      <c r="J702" s="7"/>
      <c r="K702" s="7"/>
      <c r="L702" s="23"/>
      <c r="M702" s="6"/>
      <c r="N702" s="6"/>
      <c r="O702" s="6"/>
      <c r="P702" s="6"/>
      <c r="Q702" s="6"/>
      <c r="R702" s="6"/>
      <c r="S702" s="6"/>
      <c r="T702" s="6"/>
      <c r="U702" s="6"/>
      <c r="V702" s="6"/>
      <c r="W702" s="6"/>
      <c r="X702" s="12"/>
      <c r="Y702" s="59"/>
      <c r="Z702" s="6"/>
      <c r="AA702" s="6"/>
      <c r="AB702" s="6"/>
      <c r="AC702" s="6"/>
      <c r="AD702" s="10"/>
    </row>
    <row r="703" spans="1:30" s="9" customFormat="1" x14ac:dyDescent="0.2">
      <c r="A703" s="28"/>
      <c r="B703" s="16" t="s">
        <v>36</v>
      </c>
      <c r="C703" s="16" t="s">
        <v>157</v>
      </c>
      <c r="D703" s="7" t="s">
        <v>888</v>
      </c>
      <c r="E703" s="7"/>
      <c r="F703" s="6" t="s">
        <v>889</v>
      </c>
      <c r="G703" s="6"/>
      <c r="H703" s="17">
        <v>1043</v>
      </c>
      <c r="I703" s="39" t="s">
        <v>52</v>
      </c>
      <c r="J703" s="7">
        <v>37391</v>
      </c>
      <c r="K703" s="7"/>
      <c r="L703" s="23">
        <f>30+J703</f>
        <v>37421</v>
      </c>
      <c r="M703" s="18" t="s">
        <v>41</v>
      </c>
      <c r="N703" s="6" t="s">
        <v>42</v>
      </c>
      <c r="O703" s="6"/>
      <c r="P703" s="6"/>
      <c r="Q703" s="6"/>
      <c r="R703" s="6"/>
      <c r="S703" s="23">
        <v>37457</v>
      </c>
      <c r="T703" s="7">
        <v>37465</v>
      </c>
      <c r="U703" s="7"/>
      <c r="V703" s="6" t="s">
        <v>890</v>
      </c>
      <c r="W703" s="6">
        <v>811</v>
      </c>
      <c r="X703" s="6"/>
      <c r="Y703" s="59"/>
      <c r="Z703" s="6">
        <v>655488194</v>
      </c>
      <c r="AA703" s="6"/>
      <c r="AB703" s="6" t="s">
        <v>47</v>
      </c>
      <c r="AC703" s="507"/>
      <c r="AD703" s="10" t="str">
        <f>IF(T703&lt;=L703,"en término","atrasado")</f>
        <v>atrasado</v>
      </c>
    </row>
    <row r="704" spans="1:30" s="9" customFormat="1" ht="12" thickBot="1" x14ac:dyDescent="0.25">
      <c r="A704" s="28"/>
      <c r="B704" s="19"/>
      <c r="C704" s="19"/>
      <c r="D704" s="5"/>
      <c r="E704" s="5"/>
      <c r="F704" s="5"/>
      <c r="G704" s="5"/>
      <c r="H704" s="105"/>
      <c r="I704" s="21"/>
      <c r="J704" s="5"/>
      <c r="K704" s="5"/>
      <c r="L704" s="127"/>
      <c r="M704" s="5"/>
      <c r="N704" s="5"/>
      <c r="O704" s="5"/>
      <c r="P704" s="5"/>
      <c r="Q704" s="5"/>
      <c r="R704" s="5"/>
      <c r="S704" s="27"/>
      <c r="T704" s="5" t="s">
        <v>886</v>
      </c>
      <c r="U704" s="5"/>
      <c r="V704" s="5" t="s">
        <v>891</v>
      </c>
      <c r="W704" s="5"/>
      <c r="X704" s="5"/>
      <c r="Y704" s="61"/>
      <c r="Z704" s="5"/>
      <c r="AA704" s="5"/>
      <c r="AB704" s="5"/>
      <c r="AC704" s="5"/>
      <c r="AD704" s="10"/>
    </row>
    <row r="705" spans="1:30" s="9" customFormat="1" x14ac:dyDescent="0.2">
      <c r="A705" s="28"/>
      <c r="B705" s="16"/>
      <c r="C705" s="16"/>
      <c r="D705" s="7"/>
      <c r="E705" s="7"/>
      <c r="F705" s="6"/>
      <c r="G705" s="6"/>
      <c r="H705" s="17"/>
      <c r="I705" s="17"/>
      <c r="J705" s="7"/>
      <c r="K705" s="7"/>
      <c r="L705" s="23"/>
      <c r="M705" s="6"/>
      <c r="N705" s="6"/>
      <c r="O705" s="6"/>
      <c r="P705" s="6"/>
      <c r="Q705" s="6"/>
      <c r="R705" s="6"/>
      <c r="S705" s="6"/>
      <c r="T705" s="6"/>
      <c r="U705" s="6"/>
      <c r="V705" s="6"/>
      <c r="W705" s="6"/>
      <c r="X705" s="12"/>
      <c r="Y705" s="59"/>
      <c r="Z705" s="6"/>
      <c r="AA705" s="6"/>
      <c r="AB705" s="6"/>
      <c r="AC705" s="6"/>
      <c r="AD705" s="10"/>
    </row>
    <row r="706" spans="1:30" s="9" customFormat="1" x14ac:dyDescent="0.2">
      <c r="A706" s="28"/>
      <c r="B706" s="16" t="s">
        <v>36</v>
      </c>
      <c r="C706" s="16" t="s">
        <v>133</v>
      </c>
      <c r="D706" s="7" t="s">
        <v>669</v>
      </c>
      <c r="E706" s="7"/>
      <c r="F706" s="6" t="s">
        <v>670</v>
      </c>
      <c r="G706" s="6"/>
      <c r="H706" s="17">
        <v>19254.650000000001</v>
      </c>
      <c r="I706" s="39" t="s">
        <v>52</v>
      </c>
      <c r="J706" s="7">
        <v>37391</v>
      </c>
      <c r="K706" s="7"/>
      <c r="L706" s="23">
        <f>90+J706</f>
        <v>37481</v>
      </c>
      <c r="M706" s="18" t="s">
        <v>41</v>
      </c>
      <c r="N706" s="6" t="s">
        <v>42</v>
      </c>
      <c r="O706" s="6"/>
      <c r="P706" s="6"/>
      <c r="Q706" s="6"/>
      <c r="R706" s="6"/>
      <c r="S706" s="23">
        <v>37457</v>
      </c>
      <c r="T706" s="7">
        <v>37465</v>
      </c>
      <c r="U706" s="7"/>
      <c r="V706" s="6" t="s">
        <v>892</v>
      </c>
      <c r="W706" s="6">
        <v>810</v>
      </c>
      <c r="X706" s="6" t="s">
        <v>47</v>
      </c>
      <c r="Y706" s="59"/>
      <c r="Z706" s="6" t="s">
        <v>884</v>
      </c>
      <c r="AA706" s="6"/>
      <c r="AB706" s="6" t="s">
        <v>47</v>
      </c>
      <c r="AC706" s="507"/>
      <c r="AD706" s="10" t="str">
        <f>IF(T706&lt;=L706,"en término","atrasado")</f>
        <v>en término</v>
      </c>
    </row>
    <row r="707" spans="1:30" s="9" customFormat="1" ht="12" thickBot="1" x14ac:dyDescent="0.25">
      <c r="A707" s="28"/>
      <c r="B707" s="19"/>
      <c r="C707" s="19"/>
      <c r="D707" s="5"/>
      <c r="E707" s="5"/>
      <c r="F707" s="5" t="s">
        <v>893</v>
      </c>
      <c r="G707" s="5"/>
      <c r="H707" s="105"/>
      <c r="I707" s="21"/>
      <c r="J707" s="5"/>
      <c r="K707" s="5"/>
      <c r="L707" s="127"/>
      <c r="M707" s="5"/>
      <c r="N707" s="5"/>
      <c r="O707" s="5"/>
      <c r="P707" s="5"/>
      <c r="Q707" s="5"/>
      <c r="R707" s="5"/>
      <c r="S707" s="27"/>
      <c r="T707" s="5" t="s">
        <v>886</v>
      </c>
      <c r="U707" s="5"/>
      <c r="V707" s="5"/>
      <c r="W707" s="5"/>
      <c r="X707" s="5"/>
      <c r="Y707" s="61"/>
      <c r="Z707" s="5" t="s">
        <v>887</v>
      </c>
      <c r="AA707" s="5"/>
      <c r="AB707" s="5"/>
      <c r="AC707" s="5"/>
      <c r="AD707" s="10"/>
    </row>
    <row r="708" spans="1:30" s="9" customFormat="1" x14ac:dyDescent="0.2">
      <c r="A708" s="28"/>
      <c r="B708" s="16"/>
      <c r="C708" s="16"/>
      <c r="D708" s="7"/>
      <c r="E708" s="7"/>
      <c r="F708" s="6"/>
      <c r="G708" s="6"/>
      <c r="H708" s="17"/>
      <c r="I708" s="17"/>
      <c r="J708" s="7"/>
      <c r="K708" s="7"/>
      <c r="L708" s="23"/>
      <c r="M708" s="6"/>
      <c r="N708" s="6"/>
      <c r="O708" s="6"/>
      <c r="P708" s="6"/>
      <c r="Q708" s="6"/>
      <c r="R708" s="6"/>
      <c r="S708" s="6"/>
      <c r="T708" s="6"/>
      <c r="U708" s="6"/>
      <c r="V708" s="6"/>
      <c r="W708" s="6"/>
      <c r="X708" s="12"/>
      <c r="Y708" s="59"/>
      <c r="Z708" s="6"/>
      <c r="AA708" s="6"/>
      <c r="AB708" s="6"/>
      <c r="AC708" s="6"/>
      <c r="AD708" s="10"/>
    </row>
    <row r="709" spans="1:30" s="9" customFormat="1" x14ac:dyDescent="0.2">
      <c r="A709" s="28"/>
      <c r="B709" s="16" t="s">
        <v>36</v>
      </c>
      <c r="C709" s="16" t="s">
        <v>157</v>
      </c>
      <c r="D709" s="7" t="s">
        <v>894</v>
      </c>
      <c r="E709" s="7"/>
      <c r="F709" s="6" t="s">
        <v>895</v>
      </c>
      <c r="G709" s="6"/>
      <c r="H709" s="17">
        <v>6854</v>
      </c>
      <c r="I709" s="39" t="s">
        <v>52</v>
      </c>
      <c r="J709" s="7">
        <v>37420</v>
      </c>
      <c r="K709" s="7"/>
      <c r="L709" s="23">
        <f>45+J709</f>
        <v>37465</v>
      </c>
      <c r="M709" s="18" t="s">
        <v>41</v>
      </c>
      <c r="N709" s="6" t="s">
        <v>42</v>
      </c>
      <c r="O709" s="6"/>
      <c r="P709" s="6"/>
      <c r="Q709" s="6"/>
      <c r="R709" s="6"/>
      <c r="S709" s="23">
        <v>37457</v>
      </c>
      <c r="T709" s="7">
        <v>37465</v>
      </c>
      <c r="U709" s="7"/>
      <c r="V709" s="6" t="s">
        <v>896</v>
      </c>
      <c r="W709" s="6">
        <v>811</v>
      </c>
      <c r="X709" s="6"/>
      <c r="Y709" s="59"/>
      <c r="Z709" s="6">
        <v>655488194</v>
      </c>
      <c r="AA709" s="6"/>
      <c r="AB709" s="6" t="s">
        <v>47</v>
      </c>
      <c r="AC709" s="507"/>
      <c r="AD709" s="10" t="str">
        <f>IF(T709&lt;=L709,"en término","atrasado")</f>
        <v>en término</v>
      </c>
    </row>
    <row r="710" spans="1:30" s="9" customFormat="1" ht="12" thickBot="1" x14ac:dyDescent="0.25">
      <c r="A710" s="28"/>
      <c r="B710" s="19"/>
      <c r="C710" s="19"/>
      <c r="D710" s="5"/>
      <c r="E710" s="5"/>
      <c r="F710" s="5"/>
      <c r="G710" s="5"/>
      <c r="H710" s="105"/>
      <c r="I710" s="21"/>
      <c r="J710" s="5"/>
      <c r="K710" s="5"/>
      <c r="L710" s="127"/>
      <c r="M710" s="5"/>
      <c r="N710" s="5"/>
      <c r="O710" s="5"/>
      <c r="P710" s="5"/>
      <c r="Q710" s="5"/>
      <c r="R710" s="5"/>
      <c r="S710" s="27"/>
      <c r="T710" s="5" t="s">
        <v>886</v>
      </c>
      <c r="U710" s="5"/>
      <c r="V710" s="5"/>
      <c r="W710" s="5"/>
      <c r="X710" s="5"/>
      <c r="Y710" s="61"/>
      <c r="Z710" s="5"/>
      <c r="AA710" s="5"/>
      <c r="AB710" s="5"/>
      <c r="AC710" s="5"/>
      <c r="AD710" s="10"/>
    </row>
    <row r="711" spans="1:30" s="9" customFormat="1" x14ac:dyDescent="0.2">
      <c r="A711" s="28"/>
      <c r="B711" s="16"/>
      <c r="C711" s="16"/>
      <c r="D711" s="7"/>
      <c r="E711" s="7"/>
      <c r="F711" s="6"/>
      <c r="G711" s="6"/>
      <c r="H711" s="17"/>
      <c r="I711" s="17"/>
      <c r="J711" s="7"/>
      <c r="K711" s="7"/>
      <c r="L711" s="23"/>
      <c r="M711" s="6"/>
      <c r="N711" s="6"/>
      <c r="O711" s="6"/>
      <c r="P711" s="6"/>
      <c r="Q711" s="6"/>
      <c r="R711" s="6"/>
      <c r="S711" s="6"/>
      <c r="T711" s="6"/>
      <c r="U711" s="6"/>
      <c r="V711" s="6"/>
      <c r="W711" s="6"/>
      <c r="X711" s="12"/>
      <c r="Y711" s="59"/>
      <c r="Z711" s="6"/>
      <c r="AA711" s="6"/>
      <c r="AB711" s="6"/>
      <c r="AC711" s="6"/>
      <c r="AD711" s="10"/>
    </row>
    <row r="712" spans="1:30" s="9" customFormat="1" x14ac:dyDescent="0.2">
      <c r="A712" s="28"/>
      <c r="B712" s="16" t="s">
        <v>36</v>
      </c>
      <c r="C712" s="16" t="s">
        <v>157</v>
      </c>
      <c r="D712" s="7" t="s">
        <v>897</v>
      </c>
      <c r="E712" s="7"/>
      <c r="F712" s="6" t="s">
        <v>898</v>
      </c>
      <c r="G712" s="6"/>
      <c r="H712" s="17">
        <v>2832</v>
      </c>
      <c r="I712" s="39"/>
      <c r="J712" s="7">
        <v>37431</v>
      </c>
      <c r="K712" s="7"/>
      <c r="L712" s="23">
        <v>37466</v>
      </c>
      <c r="M712" s="18" t="s">
        <v>41</v>
      </c>
      <c r="N712" s="6" t="s">
        <v>42</v>
      </c>
      <c r="O712" s="6"/>
      <c r="P712" s="6"/>
      <c r="Q712" s="6"/>
      <c r="R712" s="6"/>
      <c r="S712" s="23">
        <v>37457</v>
      </c>
      <c r="T712" s="7">
        <v>37465</v>
      </c>
      <c r="U712" s="7"/>
      <c r="V712" s="6" t="s">
        <v>899</v>
      </c>
      <c r="W712" s="6">
        <v>811</v>
      </c>
      <c r="X712" s="6"/>
      <c r="Y712" s="59"/>
      <c r="Z712" s="6">
        <v>655488194</v>
      </c>
      <c r="AA712" s="6"/>
      <c r="AB712" s="6" t="s">
        <v>47</v>
      </c>
      <c r="AC712" s="507"/>
      <c r="AD712" s="10" t="str">
        <f>IF(T712&lt;=L712,"en término","atrasado")</f>
        <v>en término</v>
      </c>
    </row>
    <row r="713" spans="1:30" s="9" customFormat="1" ht="12" thickBot="1" x14ac:dyDescent="0.25">
      <c r="A713" s="28"/>
      <c r="B713" s="19"/>
      <c r="C713" s="19"/>
      <c r="D713" s="5"/>
      <c r="E713" s="5"/>
      <c r="F713" s="5"/>
      <c r="G713" s="5"/>
      <c r="H713" s="105"/>
      <c r="I713" s="21"/>
      <c r="J713" s="5"/>
      <c r="K713" s="5"/>
      <c r="L713" s="127"/>
      <c r="M713" s="5"/>
      <c r="N713" s="5"/>
      <c r="O713" s="5"/>
      <c r="P713" s="5"/>
      <c r="Q713" s="5"/>
      <c r="R713" s="5"/>
      <c r="S713" s="27"/>
      <c r="T713" s="5" t="s">
        <v>886</v>
      </c>
      <c r="U713" s="5"/>
      <c r="V713" s="5"/>
      <c r="W713" s="5"/>
      <c r="X713" s="5"/>
      <c r="Y713" s="61"/>
      <c r="Z713" s="5"/>
      <c r="AA713" s="5"/>
      <c r="AB713" s="5"/>
      <c r="AC713" s="5"/>
      <c r="AD713" s="10"/>
    </row>
    <row r="714" spans="1:30" s="9" customFormat="1" x14ac:dyDescent="0.2">
      <c r="A714" s="28"/>
      <c r="B714" s="16"/>
      <c r="C714" s="16"/>
      <c r="D714" s="7"/>
      <c r="E714" s="7"/>
      <c r="F714" s="6"/>
      <c r="G714" s="6"/>
      <c r="H714" s="17"/>
      <c r="I714" s="17"/>
      <c r="J714" s="7"/>
      <c r="K714" s="7"/>
      <c r="L714" s="23"/>
      <c r="M714" s="6"/>
      <c r="N714" s="6"/>
      <c r="O714" s="6"/>
      <c r="P714" s="6"/>
      <c r="Q714" s="6"/>
      <c r="R714" s="6"/>
      <c r="S714" s="6"/>
      <c r="T714" s="6" t="s">
        <v>900</v>
      </c>
      <c r="U714" s="6"/>
      <c r="V714" s="6"/>
      <c r="W714" s="6"/>
      <c r="X714" s="12"/>
      <c r="Y714" s="59"/>
      <c r="Z714" s="6"/>
      <c r="AA714" s="6"/>
      <c r="AB714" s="6"/>
      <c r="AC714" s="6"/>
      <c r="AD714" s="10"/>
    </row>
    <row r="715" spans="1:30" s="9" customFormat="1" x14ac:dyDescent="0.2">
      <c r="A715" s="28"/>
      <c r="B715" s="16" t="s">
        <v>36</v>
      </c>
      <c r="C715" s="16" t="s">
        <v>901</v>
      </c>
      <c r="D715" s="7" t="s">
        <v>902</v>
      </c>
      <c r="E715" s="7"/>
      <c r="F715" s="6" t="s">
        <v>903</v>
      </c>
      <c r="G715" s="6"/>
      <c r="H715" s="17">
        <v>3520</v>
      </c>
      <c r="I715" s="39"/>
      <c r="J715" s="7">
        <v>37414</v>
      </c>
      <c r="K715" s="7"/>
      <c r="L715" s="23">
        <f>30+J715</f>
        <v>37444</v>
      </c>
      <c r="M715" s="18" t="s">
        <v>904</v>
      </c>
      <c r="N715" s="6" t="s">
        <v>42</v>
      </c>
      <c r="O715" s="6"/>
      <c r="P715" s="6"/>
      <c r="Q715" s="6"/>
      <c r="R715" s="6"/>
      <c r="S715" s="23">
        <v>37435</v>
      </c>
      <c r="T715" s="7">
        <v>37472</v>
      </c>
      <c r="U715" s="7"/>
      <c r="V715" s="6" t="s">
        <v>752</v>
      </c>
      <c r="W715" s="6">
        <v>805</v>
      </c>
      <c r="X715" s="6"/>
      <c r="Y715" s="59"/>
      <c r="Z715" s="6">
        <v>6554881572</v>
      </c>
      <c r="AA715" s="6" t="s">
        <v>195</v>
      </c>
      <c r="AB715" s="6" t="s">
        <v>47</v>
      </c>
      <c r="AC715" s="507"/>
      <c r="AD715" s="10" t="str">
        <f>IF(T715&lt;=L715,"en término","atrasado")</f>
        <v>atrasado</v>
      </c>
    </row>
    <row r="716" spans="1:30" s="9" customFormat="1" ht="12" thickBot="1" x14ac:dyDescent="0.25">
      <c r="A716" s="28"/>
      <c r="B716" s="19"/>
      <c r="C716" s="19"/>
      <c r="D716" s="5"/>
      <c r="E716" s="5"/>
      <c r="F716" s="5"/>
      <c r="G716" s="5"/>
      <c r="H716" s="105"/>
      <c r="I716" s="21"/>
      <c r="J716" s="5"/>
      <c r="K716" s="5"/>
      <c r="L716" s="127"/>
      <c r="M716" s="5"/>
      <c r="N716" s="5"/>
      <c r="O716" s="5"/>
      <c r="P716" s="5"/>
      <c r="Q716" s="5"/>
      <c r="R716" s="5"/>
      <c r="S716" s="127"/>
      <c r="T716" s="27" t="s">
        <v>905</v>
      </c>
      <c r="U716" s="27"/>
      <c r="V716" s="5" t="s">
        <v>906</v>
      </c>
      <c r="W716" s="5"/>
      <c r="X716" s="5"/>
      <c r="Y716" s="61"/>
      <c r="Z716" s="5"/>
      <c r="AA716" s="5"/>
      <c r="AB716" s="5"/>
      <c r="AC716" s="5"/>
      <c r="AD716" s="10"/>
    </row>
    <row r="717" spans="1:30" s="9" customFormat="1" x14ac:dyDescent="0.2">
      <c r="A717" s="28"/>
      <c r="B717" s="16"/>
      <c r="C717" s="16"/>
      <c r="D717" s="7"/>
      <c r="E717" s="7"/>
      <c r="F717" s="6"/>
      <c r="G717" s="6"/>
      <c r="H717" s="17"/>
      <c r="I717" s="17"/>
      <c r="J717" s="7"/>
      <c r="K717" s="7"/>
      <c r="L717" s="23"/>
      <c r="M717" s="6"/>
      <c r="N717" s="6"/>
      <c r="O717" s="6"/>
      <c r="P717" s="6"/>
      <c r="Q717" s="6"/>
      <c r="R717" s="6"/>
      <c r="S717" s="6"/>
      <c r="T717" s="6"/>
      <c r="U717" s="6"/>
      <c r="V717" s="6"/>
      <c r="W717" s="6"/>
      <c r="X717" s="12"/>
      <c r="Y717" s="59"/>
      <c r="Z717" s="6"/>
      <c r="AA717" s="6"/>
      <c r="AB717" s="6"/>
      <c r="AC717" s="6"/>
      <c r="AD717" s="10"/>
    </row>
    <row r="718" spans="1:30" s="9" customFormat="1" x14ac:dyDescent="0.2">
      <c r="A718" s="28"/>
      <c r="B718" s="16" t="s">
        <v>36</v>
      </c>
      <c r="C718" s="16" t="s">
        <v>133</v>
      </c>
      <c r="D718" s="7" t="s">
        <v>669</v>
      </c>
      <c r="E718" s="7"/>
      <c r="F718" s="6" t="s">
        <v>670</v>
      </c>
      <c r="G718" s="6"/>
      <c r="H718" s="17">
        <v>22167.599999999999</v>
      </c>
      <c r="I718" s="39" t="s">
        <v>52</v>
      </c>
      <c r="J718" s="7">
        <v>37414</v>
      </c>
      <c r="K718" s="7"/>
      <c r="L718" s="23">
        <f>90+J718</f>
        <v>37504</v>
      </c>
      <c r="M718" s="18" t="s">
        <v>41</v>
      </c>
      <c r="N718" s="6" t="s">
        <v>42</v>
      </c>
      <c r="O718" s="6"/>
      <c r="P718" s="6"/>
      <c r="Q718" s="6"/>
      <c r="R718" s="6"/>
      <c r="S718" s="23">
        <v>37491</v>
      </c>
      <c r="T718" s="7">
        <v>37507</v>
      </c>
      <c r="U718" s="7"/>
      <c r="V718" s="6" t="s">
        <v>907</v>
      </c>
      <c r="W718" s="6">
        <v>819</v>
      </c>
      <c r="X718" s="6" t="s">
        <v>47</v>
      </c>
      <c r="Y718" s="59"/>
      <c r="Z718" s="6" t="s">
        <v>908</v>
      </c>
      <c r="AA718" s="6"/>
      <c r="AB718" s="6" t="s">
        <v>47</v>
      </c>
      <c r="AC718" s="507"/>
      <c r="AD718" s="10" t="str">
        <f>IF(T718&lt;=L718,"en término","atrasado")</f>
        <v>atrasado</v>
      </c>
    </row>
    <row r="719" spans="1:30" s="9" customFormat="1" ht="12" thickBot="1" x14ac:dyDescent="0.25">
      <c r="A719" s="28"/>
      <c r="B719" s="19"/>
      <c r="C719" s="19"/>
      <c r="D719" s="5"/>
      <c r="E719" s="5"/>
      <c r="F719" s="5" t="s">
        <v>909</v>
      </c>
      <c r="G719" s="5"/>
      <c r="H719" s="105"/>
      <c r="I719" s="21"/>
      <c r="J719" s="5"/>
      <c r="K719" s="5"/>
      <c r="L719" s="127"/>
      <c r="M719" s="5"/>
      <c r="N719" s="5"/>
      <c r="O719" s="5"/>
      <c r="P719" s="5"/>
      <c r="Q719" s="5"/>
      <c r="R719" s="5"/>
      <c r="S719" s="27"/>
      <c r="T719" s="19" t="s">
        <v>910</v>
      </c>
      <c r="U719" s="19"/>
      <c r="V719" s="5"/>
      <c r="W719" s="5"/>
      <c r="X719" s="5"/>
      <c r="Y719" s="61"/>
      <c r="Z719" s="5" t="s">
        <v>911</v>
      </c>
      <c r="AA719" s="5"/>
      <c r="AB719" s="5"/>
      <c r="AC719" s="5"/>
      <c r="AD719" s="10"/>
    </row>
    <row r="720" spans="1:30" s="9" customFormat="1" x14ac:dyDescent="0.2">
      <c r="A720" s="28"/>
      <c r="B720" s="16"/>
      <c r="C720" s="16"/>
      <c r="D720" s="7"/>
      <c r="E720" s="7"/>
      <c r="F720" s="6"/>
      <c r="G720" s="6"/>
      <c r="H720" s="17"/>
      <c r="I720" s="17"/>
      <c r="J720" s="7"/>
      <c r="K720" s="7"/>
      <c r="L720" s="134">
        <f>40+J721</f>
        <v>37461</v>
      </c>
      <c r="M720" s="6"/>
      <c r="N720" s="6"/>
      <c r="O720" s="6"/>
      <c r="P720" s="6"/>
      <c r="Q720" s="6"/>
      <c r="R720" s="6"/>
      <c r="S720" s="6"/>
      <c r="T720" s="6"/>
      <c r="U720" s="6"/>
      <c r="V720" s="6"/>
      <c r="W720" s="6"/>
      <c r="X720" s="12"/>
      <c r="Y720" s="59"/>
      <c r="Z720" s="6"/>
      <c r="AA720" s="6"/>
      <c r="AB720" s="6"/>
      <c r="AC720" s="6"/>
      <c r="AD720" s="10"/>
    </row>
    <row r="721" spans="1:30" s="9" customFormat="1" x14ac:dyDescent="0.2">
      <c r="A721" s="28"/>
      <c r="B721" s="16" t="s">
        <v>36</v>
      </c>
      <c r="C721" s="16" t="s">
        <v>157</v>
      </c>
      <c r="D721" s="7" t="s">
        <v>912</v>
      </c>
      <c r="E721" s="7"/>
      <c r="F721" s="6" t="s">
        <v>913</v>
      </c>
      <c r="G721" s="6"/>
      <c r="H721" s="17">
        <v>13940</v>
      </c>
      <c r="I721" s="39"/>
      <c r="J721" s="7">
        <v>37421</v>
      </c>
      <c r="K721" s="7"/>
      <c r="L721" s="23">
        <f>75+J721</f>
        <v>37496</v>
      </c>
      <c r="M721" s="18" t="s">
        <v>41</v>
      </c>
      <c r="N721" s="6" t="s">
        <v>42</v>
      </c>
      <c r="O721" s="6"/>
      <c r="P721" s="6"/>
      <c r="Q721" s="6"/>
      <c r="R721" s="6"/>
      <c r="S721" s="23">
        <v>37491</v>
      </c>
      <c r="T721" s="7">
        <v>37507</v>
      </c>
      <c r="U721" s="7"/>
      <c r="V721" s="6" t="s">
        <v>879</v>
      </c>
      <c r="W721" s="6">
        <v>820</v>
      </c>
      <c r="X721" s="6"/>
      <c r="Y721" s="59"/>
      <c r="Z721" s="6" t="s">
        <v>908</v>
      </c>
      <c r="AA721" s="6"/>
      <c r="AB721" s="6" t="s">
        <v>47</v>
      </c>
      <c r="AC721" s="507"/>
      <c r="AD721" s="10" t="str">
        <f>IF(T721&lt;=L720,"en término","atrasado")</f>
        <v>atrasado</v>
      </c>
    </row>
    <row r="722" spans="1:30" s="9" customFormat="1" ht="12" thickBot="1" x14ac:dyDescent="0.25">
      <c r="A722" s="28"/>
      <c r="B722" s="19"/>
      <c r="C722" s="19"/>
      <c r="D722" s="5"/>
      <c r="E722" s="5"/>
      <c r="F722" s="5"/>
      <c r="G722" s="5"/>
      <c r="H722" s="105"/>
      <c r="I722" s="21"/>
      <c r="J722" s="5"/>
      <c r="K722" s="5"/>
      <c r="L722" s="19"/>
      <c r="M722" s="5"/>
      <c r="N722" s="5"/>
      <c r="O722" s="5"/>
      <c r="P722" s="5"/>
      <c r="Q722" s="5"/>
      <c r="R722" s="5"/>
      <c r="S722" s="27"/>
      <c r="T722" s="19" t="s">
        <v>910</v>
      </c>
      <c r="U722" s="19"/>
      <c r="V722" s="224" t="s">
        <v>914</v>
      </c>
      <c r="W722" s="5"/>
      <c r="X722" s="5"/>
      <c r="Y722" s="61"/>
      <c r="Z722" s="5" t="s">
        <v>911</v>
      </c>
      <c r="AA722" s="5"/>
      <c r="AB722" s="5"/>
      <c r="AC722" s="5"/>
      <c r="AD722" s="10"/>
    </row>
    <row r="723" spans="1:30" s="9" customFormat="1" x14ac:dyDescent="0.2">
      <c r="A723" s="28"/>
      <c r="B723" s="16"/>
      <c r="C723" s="16"/>
      <c r="D723" s="7"/>
      <c r="E723" s="7"/>
      <c r="F723" s="6"/>
      <c r="G723" s="6"/>
      <c r="H723" s="17"/>
      <c r="I723" s="17"/>
      <c r="J723" s="7"/>
      <c r="K723" s="7"/>
      <c r="L723" s="23"/>
      <c r="M723" s="6"/>
      <c r="N723" s="6"/>
      <c r="O723" s="6"/>
      <c r="P723" s="6"/>
      <c r="Q723" s="6"/>
      <c r="R723" s="6"/>
      <c r="S723" s="6"/>
      <c r="T723" s="6"/>
      <c r="U723" s="6"/>
      <c r="V723" s="6"/>
      <c r="W723" s="6"/>
      <c r="X723" s="12"/>
      <c r="Y723" s="59"/>
      <c r="Z723" s="6"/>
      <c r="AA723" s="6"/>
      <c r="AB723" s="6"/>
      <c r="AC723" s="6"/>
      <c r="AD723" s="10"/>
    </row>
    <row r="724" spans="1:30" s="9" customFormat="1" x14ac:dyDescent="0.2">
      <c r="A724" s="28"/>
      <c r="B724" s="16" t="s">
        <v>36</v>
      </c>
      <c r="C724" s="16" t="s">
        <v>133</v>
      </c>
      <c r="D724" s="7" t="s">
        <v>669</v>
      </c>
      <c r="E724" s="7"/>
      <c r="F724" s="6" t="s">
        <v>670</v>
      </c>
      <c r="G724" s="6"/>
      <c r="H724" s="17">
        <v>3694.6</v>
      </c>
      <c r="I724" s="39" t="s">
        <v>52</v>
      </c>
      <c r="J724" s="7">
        <v>37443</v>
      </c>
      <c r="K724" s="7"/>
      <c r="L724" s="23">
        <f>90+J724</f>
        <v>37533</v>
      </c>
      <c r="M724" s="18" t="s">
        <v>41</v>
      </c>
      <c r="N724" s="6" t="s">
        <v>42</v>
      </c>
      <c r="O724" s="6"/>
      <c r="P724" s="6"/>
      <c r="Q724" s="6"/>
      <c r="R724" s="6"/>
      <c r="S724" s="23">
        <v>37491</v>
      </c>
      <c r="T724" s="7">
        <v>37507</v>
      </c>
      <c r="U724" s="7"/>
      <c r="V724" s="6" t="s">
        <v>752</v>
      </c>
      <c r="W724" s="6">
        <v>818</v>
      </c>
      <c r="X724" s="6" t="s">
        <v>47</v>
      </c>
      <c r="Y724" s="59"/>
      <c r="Z724" s="6" t="s">
        <v>908</v>
      </c>
      <c r="AA724" s="6"/>
      <c r="AB724" s="6" t="s">
        <v>47</v>
      </c>
      <c r="AC724" s="507"/>
      <c r="AD724" s="10" t="str">
        <f>IF(T724&lt;=L724,"en término","atrasado")</f>
        <v>en término</v>
      </c>
    </row>
    <row r="725" spans="1:30" s="9" customFormat="1" ht="12" thickBot="1" x14ac:dyDescent="0.25">
      <c r="A725" s="28"/>
      <c r="B725" s="19"/>
      <c r="C725" s="19"/>
      <c r="D725" s="5"/>
      <c r="E725" s="5"/>
      <c r="F725" s="5" t="s">
        <v>915</v>
      </c>
      <c r="G725" s="5"/>
      <c r="H725" s="105"/>
      <c r="I725" s="21"/>
      <c r="J725" s="5"/>
      <c r="K725" s="5"/>
      <c r="L725" s="127"/>
      <c r="M725" s="5"/>
      <c r="N725" s="5"/>
      <c r="O725" s="5"/>
      <c r="P725" s="5"/>
      <c r="Q725" s="5"/>
      <c r="R725" s="5"/>
      <c r="S725" s="27"/>
      <c r="T725" s="19" t="s">
        <v>910</v>
      </c>
      <c r="U725" s="19"/>
      <c r="V725" s="5"/>
      <c r="W725" s="5"/>
      <c r="X725" s="5"/>
      <c r="Y725" s="61"/>
      <c r="Z725" s="5" t="s">
        <v>911</v>
      </c>
      <c r="AA725" s="5"/>
      <c r="AB725" s="5"/>
      <c r="AC725" s="5"/>
      <c r="AD725" s="10"/>
    </row>
    <row r="726" spans="1:30" s="9" customFormat="1" x14ac:dyDescent="0.2">
      <c r="A726" s="28"/>
      <c r="B726" s="16"/>
      <c r="C726" s="16"/>
      <c r="D726" s="7"/>
      <c r="E726" s="7"/>
      <c r="F726" s="6"/>
      <c r="G726" s="6"/>
      <c r="H726" s="17"/>
      <c r="I726" s="17"/>
      <c r="J726" s="7"/>
      <c r="K726" s="7"/>
      <c r="L726" s="23"/>
      <c r="M726" s="6"/>
      <c r="N726" s="6"/>
      <c r="O726" s="6"/>
      <c r="P726" s="6"/>
      <c r="Q726" s="6"/>
      <c r="R726" s="6"/>
      <c r="S726" s="6"/>
      <c r="T726" s="6"/>
      <c r="U726" s="6"/>
      <c r="V726" s="6"/>
      <c r="W726" s="6"/>
      <c r="X726" s="12"/>
      <c r="Y726" s="59"/>
      <c r="Z726" s="6"/>
      <c r="AA726" s="6"/>
      <c r="AB726" s="6"/>
      <c r="AC726" s="6"/>
      <c r="AD726" s="10"/>
    </row>
    <row r="727" spans="1:30" s="9" customFormat="1" x14ac:dyDescent="0.2">
      <c r="A727" s="28"/>
      <c r="B727" s="16" t="s">
        <v>36</v>
      </c>
      <c r="C727" s="16" t="s">
        <v>157</v>
      </c>
      <c r="D727" s="7" t="s">
        <v>916</v>
      </c>
      <c r="E727" s="7"/>
      <c r="F727" s="6" t="s">
        <v>917</v>
      </c>
      <c r="G727" s="6"/>
      <c r="H727" s="17">
        <v>3202</v>
      </c>
      <c r="I727" s="39" t="s">
        <v>52</v>
      </c>
      <c r="J727" s="7">
        <v>37468</v>
      </c>
      <c r="K727" s="7"/>
      <c r="L727" s="23" t="s">
        <v>918</v>
      </c>
      <c r="M727" s="18" t="s">
        <v>41</v>
      </c>
      <c r="N727" s="6" t="s">
        <v>42</v>
      </c>
      <c r="O727" s="6"/>
      <c r="P727" s="6"/>
      <c r="Q727" s="6"/>
      <c r="R727" s="6"/>
      <c r="S727" s="23">
        <v>37491</v>
      </c>
      <c r="T727" s="7">
        <v>37507</v>
      </c>
      <c r="U727" s="7"/>
      <c r="V727" s="6" t="s">
        <v>919</v>
      </c>
      <c r="W727" s="6">
        <v>820</v>
      </c>
      <c r="X727" s="6"/>
      <c r="Y727" s="59"/>
      <c r="Z727" s="6" t="s">
        <v>908</v>
      </c>
      <c r="AA727" s="6"/>
      <c r="AB727" s="6" t="s">
        <v>47</v>
      </c>
      <c r="AC727" s="507"/>
      <c r="AD727" s="10" t="str">
        <f>IF(T727&lt;=L727,"en término","atrasado")</f>
        <v>en término</v>
      </c>
    </row>
    <row r="728" spans="1:30" s="9" customFormat="1" ht="12" thickBot="1" x14ac:dyDescent="0.25">
      <c r="A728" s="28"/>
      <c r="B728" s="19"/>
      <c r="C728" s="19"/>
      <c r="D728" s="5"/>
      <c r="E728" s="5"/>
      <c r="F728" s="5"/>
      <c r="G728" s="5"/>
      <c r="H728" s="105" t="s">
        <v>429</v>
      </c>
      <c r="I728" s="21"/>
      <c r="J728" s="5"/>
      <c r="K728" s="5"/>
      <c r="L728" s="127" t="s">
        <v>920</v>
      </c>
      <c r="M728" s="5"/>
      <c r="N728" s="5"/>
      <c r="O728" s="5"/>
      <c r="P728" s="5"/>
      <c r="Q728" s="5"/>
      <c r="R728" s="5"/>
      <c r="S728" s="27"/>
      <c r="T728" s="19" t="s">
        <v>910</v>
      </c>
      <c r="U728" s="19"/>
      <c r="V728" s="5"/>
      <c r="W728" s="5"/>
      <c r="X728" s="5"/>
      <c r="Y728" s="61"/>
      <c r="Z728" s="5" t="s">
        <v>911</v>
      </c>
      <c r="AA728" s="5"/>
      <c r="AB728" s="5"/>
      <c r="AC728" s="5"/>
      <c r="AD728" s="10"/>
    </row>
    <row r="729" spans="1:30" s="9" customFormat="1" x14ac:dyDescent="0.2">
      <c r="A729" s="28"/>
      <c r="B729" s="16"/>
      <c r="C729" s="16"/>
      <c r="D729" s="7"/>
      <c r="E729" s="7"/>
      <c r="F729" s="6"/>
      <c r="G729" s="6"/>
      <c r="H729" s="17"/>
      <c r="I729" s="17"/>
      <c r="J729" s="7"/>
      <c r="K729" s="7"/>
      <c r="L729" s="23"/>
      <c r="M729" s="6"/>
      <c r="N729" s="6"/>
      <c r="O729" s="6"/>
      <c r="P729" s="6"/>
      <c r="Q729" s="6"/>
      <c r="R729" s="6"/>
      <c r="S729" s="6"/>
      <c r="T729" s="6"/>
      <c r="U729" s="6"/>
      <c r="V729" s="6"/>
      <c r="W729" s="6"/>
      <c r="X729" s="12"/>
      <c r="Y729" s="59"/>
      <c r="Z729" s="6"/>
      <c r="AA729" s="6"/>
      <c r="AB729" s="6"/>
      <c r="AC729" s="6"/>
    </row>
    <row r="730" spans="1:30" s="9" customFormat="1" x14ac:dyDescent="0.2">
      <c r="A730" s="28"/>
      <c r="B730" s="16" t="s">
        <v>36</v>
      </c>
      <c r="C730" s="16" t="s">
        <v>133</v>
      </c>
      <c r="D730" s="7" t="s">
        <v>669</v>
      </c>
      <c r="E730" s="7"/>
      <c r="F730" s="6" t="s">
        <v>670</v>
      </c>
      <c r="G730" s="6"/>
      <c r="H730" s="17">
        <v>16272.48</v>
      </c>
      <c r="I730" s="39" t="s">
        <v>40</v>
      </c>
      <c r="J730" s="7">
        <v>37469</v>
      </c>
      <c r="K730" s="7"/>
      <c r="L730" s="23">
        <f>90+J730</f>
        <v>37559</v>
      </c>
      <c r="M730" s="18" t="s">
        <v>41</v>
      </c>
      <c r="N730" s="6" t="s">
        <v>42</v>
      </c>
      <c r="O730" s="6"/>
      <c r="P730" s="6"/>
      <c r="Q730" s="6"/>
      <c r="R730" s="6"/>
      <c r="S730" s="23">
        <v>37519</v>
      </c>
      <c r="T730" s="7">
        <v>37526</v>
      </c>
      <c r="U730" s="7"/>
      <c r="V730" s="6" t="s">
        <v>921</v>
      </c>
      <c r="W730" s="6">
        <v>826</v>
      </c>
      <c r="X730" s="6" t="s">
        <v>47</v>
      </c>
      <c r="Y730" s="59"/>
      <c r="Z730" s="6" t="s">
        <v>922</v>
      </c>
      <c r="AA730" s="6"/>
      <c r="AB730" s="6" t="s">
        <v>47</v>
      </c>
      <c r="AC730" s="507"/>
      <c r="AD730" s="10" t="str">
        <f>IF(T730&lt;=L730,"en término","atrasado")</f>
        <v>en término</v>
      </c>
    </row>
    <row r="731" spans="1:30" s="9" customFormat="1" ht="12" thickBot="1" x14ac:dyDescent="0.25">
      <c r="A731" s="28"/>
      <c r="B731" s="19"/>
      <c r="C731" s="19"/>
      <c r="D731" s="5"/>
      <c r="E731" s="5"/>
      <c r="F731" s="5" t="s">
        <v>923</v>
      </c>
      <c r="G731" s="5"/>
      <c r="H731" s="105"/>
      <c r="I731" s="21"/>
      <c r="J731" s="5"/>
      <c r="K731" s="5"/>
      <c r="L731" s="127"/>
      <c r="M731" s="5"/>
      <c r="N731" s="5"/>
      <c r="O731" s="5"/>
      <c r="P731" s="5"/>
      <c r="Q731" s="5"/>
      <c r="R731" s="5"/>
      <c r="S731" s="27"/>
      <c r="T731" s="19"/>
      <c r="U731" s="19"/>
      <c r="V731" s="5"/>
      <c r="W731" s="5"/>
      <c r="X731" s="5"/>
      <c r="Y731" s="61"/>
      <c r="Z731" s="5" t="s">
        <v>924</v>
      </c>
      <c r="AA731" s="5"/>
      <c r="AB731" s="5"/>
      <c r="AC731" s="5"/>
    </row>
    <row r="732" spans="1:30" s="9" customFormat="1" x14ac:dyDescent="0.2">
      <c r="A732" s="28"/>
      <c r="B732" s="16"/>
      <c r="C732" s="16"/>
      <c r="D732" s="7"/>
      <c r="E732" s="7"/>
      <c r="F732" s="6"/>
      <c r="G732" s="6"/>
      <c r="H732" s="17"/>
      <c r="I732" s="17"/>
      <c r="J732" s="7"/>
      <c r="K732" s="7"/>
      <c r="L732" s="23"/>
      <c r="M732" s="6"/>
      <c r="N732" s="6"/>
      <c r="O732" s="6"/>
      <c r="P732" s="6"/>
      <c r="Q732" s="6"/>
      <c r="R732" s="6"/>
      <c r="S732" s="6"/>
      <c r="T732" s="6"/>
      <c r="U732" s="6"/>
      <c r="V732" s="6"/>
      <c r="W732" s="6"/>
      <c r="X732" s="12"/>
      <c r="Y732" s="59"/>
      <c r="Z732" s="6"/>
      <c r="AA732" s="6"/>
      <c r="AB732" s="6"/>
      <c r="AC732" s="6"/>
    </row>
    <row r="733" spans="1:30" s="9" customFormat="1" x14ac:dyDescent="0.2">
      <c r="A733" s="28"/>
      <c r="B733" s="16" t="s">
        <v>36</v>
      </c>
      <c r="C733" s="16" t="s">
        <v>133</v>
      </c>
      <c r="D733" s="7" t="s">
        <v>669</v>
      </c>
      <c r="E733" s="7"/>
      <c r="F733" s="6" t="s">
        <v>670</v>
      </c>
      <c r="G733" s="6"/>
      <c r="H733" s="17">
        <v>13002.15</v>
      </c>
      <c r="I733" s="39" t="s">
        <v>52</v>
      </c>
      <c r="J733" s="7">
        <v>37475</v>
      </c>
      <c r="K733" s="7"/>
      <c r="L733" s="23">
        <f>90+J733</f>
        <v>37565</v>
      </c>
      <c r="M733" s="18" t="s">
        <v>41</v>
      </c>
      <c r="N733" s="6" t="s">
        <v>42</v>
      </c>
      <c r="O733" s="6"/>
      <c r="P733" s="6"/>
      <c r="Q733" s="6"/>
      <c r="R733" s="6"/>
      <c r="S733" s="23">
        <v>37519</v>
      </c>
      <c r="T733" s="7">
        <v>37526</v>
      </c>
      <c r="U733" s="7"/>
      <c r="V733" s="6" t="s">
        <v>925</v>
      </c>
      <c r="W733" s="6">
        <v>825</v>
      </c>
      <c r="X733" s="6" t="s">
        <v>47</v>
      </c>
      <c r="Y733" s="59"/>
      <c r="Z733" s="6" t="s">
        <v>922</v>
      </c>
      <c r="AA733" s="6"/>
      <c r="AB733" s="6" t="s">
        <v>47</v>
      </c>
      <c r="AC733" s="507"/>
      <c r="AD733" s="10" t="str">
        <f>IF(T733&lt;=L733,"en término","atrasado")</f>
        <v>en término</v>
      </c>
    </row>
    <row r="734" spans="1:30" s="9" customFormat="1" ht="12" thickBot="1" x14ac:dyDescent="0.25">
      <c r="A734" s="28"/>
      <c r="B734" s="19"/>
      <c r="C734" s="19"/>
      <c r="D734" s="5"/>
      <c r="E734" s="5"/>
      <c r="F734" s="5" t="s">
        <v>926</v>
      </c>
      <c r="G734" s="5"/>
      <c r="H734" s="105"/>
      <c r="I734" s="21"/>
      <c r="J734" s="5"/>
      <c r="K734" s="5"/>
      <c r="L734" s="127"/>
      <c r="M734" s="5"/>
      <c r="N734" s="5"/>
      <c r="O734" s="5"/>
      <c r="P734" s="5"/>
      <c r="Q734" s="5"/>
      <c r="R734" s="5"/>
      <c r="S734" s="27"/>
      <c r="T734" s="19"/>
      <c r="U734" s="19"/>
      <c r="V734" s="5"/>
      <c r="W734" s="5"/>
      <c r="X734" s="5"/>
      <c r="Y734" s="61"/>
      <c r="Z734" s="5" t="s">
        <v>924</v>
      </c>
      <c r="AA734" s="5"/>
      <c r="AB734" s="5"/>
      <c r="AC734" s="5"/>
    </row>
    <row r="735" spans="1:30" s="9" customFormat="1" x14ac:dyDescent="0.2">
      <c r="A735" s="28"/>
      <c r="B735" s="16"/>
      <c r="C735" s="16"/>
      <c r="D735" s="7"/>
      <c r="E735" s="7"/>
      <c r="F735" s="6"/>
      <c r="G735" s="6"/>
      <c r="H735" s="17"/>
      <c r="I735" s="17"/>
      <c r="J735" s="7"/>
      <c r="K735" s="7"/>
      <c r="L735" s="23"/>
      <c r="M735" s="6"/>
      <c r="N735" s="6"/>
      <c r="O735" s="6"/>
      <c r="P735" s="6"/>
      <c r="Q735" s="6"/>
      <c r="R735" s="6"/>
      <c r="S735" s="6"/>
      <c r="T735" s="6"/>
      <c r="U735" s="6"/>
      <c r="V735" s="6"/>
      <c r="W735" s="6"/>
      <c r="X735" s="12"/>
      <c r="Y735" s="59"/>
      <c r="Z735" s="6"/>
      <c r="AA735" s="6"/>
      <c r="AB735" s="6"/>
      <c r="AC735" s="6"/>
    </row>
    <row r="736" spans="1:30" s="9" customFormat="1" x14ac:dyDescent="0.2">
      <c r="A736" s="28"/>
      <c r="B736" s="16" t="s">
        <v>36</v>
      </c>
      <c r="C736" s="16" t="s">
        <v>37</v>
      </c>
      <c r="D736" s="7" t="s">
        <v>927</v>
      </c>
      <c r="E736" s="7"/>
      <c r="F736" s="6" t="s">
        <v>928</v>
      </c>
      <c r="G736" s="6"/>
      <c r="H736" s="17">
        <v>3478.5</v>
      </c>
      <c r="I736" s="39"/>
      <c r="J736" s="7">
        <v>37515</v>
      </c>
      <c r="K736" s="7"/>
      <c r="L736" s="23">
        <f>75+J736</f>
        <v>37590</v>
      </c>
      <c r="M736" s="18" t="s">
        <v>41</v>
      </c>
      <c r="N736" s="6" t="s">
        <v>42</v>
      </c>
      <c r="O736" s="6"/>
      <c r="P736" s="6"/>
      <c r="Q736" s="6"/>
      <c r="R736" s="6"/>
      <c r="S736" s="23">
        <v>37519</v>
      </c>
      <c r="T736" s="7">
        <v>37526</v>
      </c>
      <c r="U736" s="7"/>
      <c r="V736" s="6" t="s">
        <v>929</v>
      </c>
      <c r="W736" s="6">
        <v>824</v>
      </c>
      <c r="X736" s="6"/>
      <c r="Y736" s="59"/>
      <c r="Z736" s="6">
        <v>6554881303</v>
      </c>
      <c r="AA736" s="6"/>
      <c r="AB736" s="6" t="s">
        <v>47</v>
      </c>
      <c r="AC736" s="507"/>
      <c r="AD736" s="10" t="str">
        <f>IF(T736&lt;=L736,"en término","atrasado")</f>
        <v>en término</v>
      </c>
    </row>
    <row r="737" spans="1:30" s="9" customFormat="1" ht="12" thickBot="1" x14ac:dyDescent="0.25">
      <c r="A737" s="28"/>
      <c r="B737" s="19"/>
      <c r="C737" s="19"/>
      <c r="D737" s="5"/>
      <c r="E737" s="5"/>
      <c r="F737" s="5" t="s">
        <v>930</v>
      </c>
      <c r="G737" s="5"/>
      <c r="H737" s="105"/>
      <c r="I737" s="21"/>
      <c r="J737" s="5"/>
      <c r="K737" s="5"/>
      <c r="L737" s="127"/>
      <c r="M737" s="5"/>
      <c r="N737" s="5"/>
      <c r="O737" s="5"/>
      <c r="P737" s="5"/>
      <c r="Q737" s="5"/>
      <c r="R737" s="5"/>
      <c r="S737" s="27"/>
      <c r="T737" s="19"/>
      <c r="U737" s="19"/>
      <c r="V737" s="5"/>
      <c r="W737" s="5"/>
      <c r="X737" s="5"/>
      <c r="Y737" s="61"/>
      <c r="Z737" s="5"/>
      <c r="AA737" s="5"/>
      <c r="AB737" s="5"/>
      <c r="AC737" s="5"/>
    </row>
    <row r="738" spans="1:30" s="9" customFormat="1" x14ac:dyDescent="0.2">
      <c r="A738" s="28"/>
      <c r="B738" s="16"/>
      <c r="C738" s="16"/>
      <c r="D738" s="7"/>
      <c r="E738" s="7"/>
      <c r="F738" s="6"/>
      <c r="G738" s="6"/>
      <c r="H738" s="17"/>
      <c r="I738" s="17"/>
      <c r="J738" s="7"/>
      <c r="K738" s="7"/>
      <c r="L738" s="23"/>
      <c r="M738" s="6"/>
      <c r="N738" s="6"/>
      <c r="O738" s="6"/>
      <c r="P738" s="6"/>
      <c r="Q738" s="6"/>
      <c r="R738" s="6"/>
      <c r="S738" s="6"/>
      <c r="T738" s="6"/>
      <c r="U738" s="6"/>
      <c r="V738" s="6"/>
      <c r="W738" s="6"/>
      <c r="X738" s="12"/>
      <c r="Y738" s="59"/>
      <c r="Z738" s="6"/>
      <c r="AA738" s="6"/>
      <c r="AB738" s="6"/>
      <c r="AC738" s="6"/>
    </row>
    <row r="739" spans="1:30" s="9" customFormat="1" x14ac:dyDescent="0.2">
      <c r="A739" s="28"/>
      <c r="B739" s="16" t="s">
        <v>36</v>
      </c>
      <c r="C739" s="16" t="s">
        <v>37</v>
      </c>
      <c r="D739" s="7" t="s">
        <v>931</v>
      </c>
      <c r="E739" s="7"/>
      <c r="F739" s="6" t="s">
        <v>928</v>
      </c>
      <c r="G739" s="6"/>
      <c r="H739" s="17">
        <v>1657</v>
      </c>
      <c r="I739" s="39"/>
      <c r="J739" s="7">
        <v>37515</v>
      </c>
      <c r="K739" s="7"/>
      <c r="L739" s="23">
        <f>75+J739</f>
        <v>37590</v>
      </c>
      <c r="M739" s="18" t="s">
        <v>41</v>
      </c>
      <c r="N739" s="6" t="s">
        <v>42</v>
      </c>
      <c r="O739" s="6"/>
      <c r="P739" s="6"/>
      <c r="Q739" s="6"/>
      <c r="R739" s="6"/>
      <c r="S739" s="23">
        <v>37519</v>
      </c>
      <c r="T739" s="7">
        <v>37526</v>
      </c>
      <c r="U739" s="7"/>
      <c r="V739" s="6" t="s">
        <v>929</v>
      </c>
      <c r="W739" s="6">
        <v>824</v>
      </c>
      <c r="X739" s="6"/>
      <c r="Y739" s="59"/>
      <c r="Z739" s="6">
        <v>6554881303</v>
      </c>
      <c r="AA739" s="6"/>
      <c r="AB739" s="6" t="s">
        <v>47</v>
      </c>
      <c r="AC739" s="507"/>
      <c r="AD739" s="10" t="str">
        <f>IF(T739&lt;=L739,"en término","atrasado")</f>
        <v>en término</v>
      </c>
    </row>
    <row r="740" spans="1:30" s="9" customFormat="1" ht="12" thickBot="1" x14ac:dyDescent="0.25">
      <c r="A740" s="28"/>
      <c r="B740" s="19"/>
      <c r="C740" s="19"/>
      <c r="D740" s="5"/>
      <c r="E740" s="5"/>
      <c r="F740" s="5" t="s">
        <v>932</v>
      </c>
      <c r="G740" s="5"/>
      <c r="H740" s="105"/>
      <c r="I740" s="21"/>
      <c r="J740" s="5"/>
      <c r="K740" s="5"/>
      <c r="L740" s="127"/>
      <c r="M740" s="5"/>
      <c r="N740" s="5"/>
      <c r="O740" s="5"/>
      <c r="P740" s="5"/>
      <c r="Q740" s="5"/>
      <c r="R740" s="5"/>
      <c r="S740" s="27"/>
      <c r="T740" s="19"/>
      <c r="U740" s="19"/>
      <c r="V740" s="5"/>
      <c r="W740" s="5"/>
      <c r="X740" s="5"/>
      <c r="Y740" s="61"/>
      <c r="Z740" s="5"/>
      <c r="AA740" s="5"/>
      <c r="AB740" s="5"/>
      <c r="AC740" s="5"/>
    </row>
    <row r="741" spans="1:30" s="9" customFormat="1" x14ac:dyDescent="0.2">
      <c r="A741" s="28"/>
      <c r="B741" s="16"/>
      <c r="C741" s="16"/>
      <c r="D741" s="7"/>
      <c r="E741" s="7"/>
      <c r="F741" s="6"/>
      <c r="G741" s="6"/>
      <c r="H741" s="17"/>
      <c r="I741" s="17"/>
      <c r="J741" s="7"/>
      <c r="K741" s="7"/>
      <c r="L741" s="23"/>
      <c r="M741" s="6"/>
      <c r="N741" s="6"/>
      <c r="O741" s="6"/>
      <c r="P741" s="6"/>
      <c r="Q741" s="6"/>
      <c r="R741" s="6"/>
      <c r="S741" s="6"/>
      <c r="T741" s="6"/>
      <c r="U741" s="6"/>
      <c r="V741" s="6"/>
      <c r="W741" s="6"/>
      <c r="X741" s="12"/>
      <c r="Y741" s="59"/>
      <c r="Z741" s="6"/>
      <c r="AA741" s="6"/>
      <c r="AB741" s="6"/>
      <c r="AC741" s="6"/>
    </row>
    <row r="742" spans="1:30" s="9" customFormat="1" x14ac:dyDescent="0.2">
      <c r="A742" s="28"/>
      <c r="B742" s="16" t="s">
        <v>36</v>
      </c>
      <c r="C742" s="16" t="s">
        <v>37</v>
      </c>
      <c r="D742" s="7" t="s">
        <v>933</v>
      </c>
      <c r="E742" s="7"/>
      <c r="F742" s="6" t="s">
        <v>934</v>
      </c>
      <c r="G742" s="6"/>
      <c r="H742" s="17">
        <v>100</v>
      </c>
      <c r="I742" s="39"/>
      <c r="J742" s="7">
        <v>37523</v>
      </c>
      <c r="K742" s="7"/>
      <c r="L742" s="23">
        <f>75+J742</f>
        <v>37598</v>
      </c>
      <c r="M742" s="18" t="s">
        <v>41</v>
      </c>
      <c r="N742" s="6" t="s">
        <v>42</v>
      </c>
      <c r="O742" s="6"/>
      <c r="P742" s="6"/>
      <c r="Q742" s="6"/>
      <c r="R742" s="6"/>
      <c r="S742" s="23">
        <v>37519</v>
      </c>
      <c r="T742" s="7">
        <v>37526</v>
      </c>
      <c r="U742" s="7"/>
      <c r="V742" s="6" t="s">
        <v>935</v>
      </c>
      <c r="W742" s="6">
        <v>824</v>
      </c>
      <c r="X742" s="6"/>
      <c r="Y742" s="59"/>
      <c r="Z742" s="6">
        <v>6554881303</v>
      </c>
      <c r="AA742" s="6"/>
      <c r="AB742" s="6" t="s">
        <v>47</v>
      </c>
      <c r="AC742" s="507"/>
      <c r="AD742" s="10" t="str">
        <f>IF(T742&lt;=L742,"en término","atrasado")</f>
        <v>en término</v>
      </c>
    </row>
    <row r="743" spans="1:30" s="9" customFormat="1" ht="12" thickBot="1" x14ac:dyDescent="0.25">
      <c r="A743" s="28"/>
      <c r="B743" s="19"/>
      <c r="C743" s="19"/>
      <c r="D743" s="5"/>
      <c r="E743" s="5"/>
      <c r="F743" s="5" t="s">
        <v>936</v>
      </c>
      <c r="G743" s="5"/>
      <c r="H743" s="105"/>
      <c r="I743" s="21"/>
      <c r="J743" s="5"/>
      <c r="K743" s="5"/>
      <c r="L743" s="127"/>
      <c r="M743" s="5"/>
      <c r="N743" s="5"/>
      <c r="O743" s="5"/>
      <c r="P743" s="5"/>
      <c r="Q743" s="5"/>
      <c r="R743" s="5"/>
      <c r="S743" s="27"/>
      <c r="T743" s="19"/>
      <c r="U743" s="19"/>
      <c r="V743" s="5"/>
      <c r="W743" s="5"/>
      <c r="X743" s="5"/>
      <c r="Y743" s="61"/>
      <c r="Z743" s="5"/>
      <c r="AA743" s="5"/>
      <c r="AB743" s="5"/>
      <c r="AC743" s="5"/>
      <c r="AD743" s="10"/>
    </row>
    <row r="744" spans="1:30" s="9" customFormat="1" x14ac:dyDescent="0.2">
      <c r="A744" s="28"/>
      <c r="B744" s="11"/>
      <c r="C744" s="11"/>
      <c r="D744" s="91"/>
      <c r="E744" s="91"/>
      <c r="F744" s="12"/>
      <c r="G744" s="12"/>
      <c r="H744" s="13"/>
      <c r="I744" s="13"/>
      <c r="J744" s="91"/>
      <c r="K744" s="91"/>
      <c r="L744" s="134"/>
      <c r="M744" s="12"/>
      <c r="N744" s="12"/>
      <c r="O744" s="12"/>
      <c r="P744" s="12"/>
      <c r="Q744" s="12"/>
      <c r="R744" s="12"/>
      <c r="S744" s="12"/>
      <c r="T744" s="12" t="s">
        <v>185</v>
      </c>
      <c r="U744" s="12"/>
      <c r="V744" s="12"/>
      <c r="W744" s="12"/>
      <c r="X744" s="12"/>
      <c r="Y744" s="57"/>
      <c r="Z744" s="12"/>
      <c r="AA744" s="12"/>
      <c r="AB744" s="12"/>
      <c r="AC744" s="12"/>
      <c r="AD744" s="10"/>
    </row>
    <row r="745" spans="1:30" s="9" customFormat="1" x14ac:dyDescent="0.2">
      <c r="A745" s="28"/>
      <c r="B745" s="16" t="s">
        <v>36</v>
      </c>
      <c r="C745" s="16" t="s">
        <v>37</v>
      </c>
      <c r="D745" s="7" t="s">
        <v>931</v>
      </c>
      <c r="E745" s="7"/>
      <c r="F745" s="6" t="s">
        <v>934</v>
      </c>
      <c r="G745" s="6"/>
      <c r="H745" s="17">
        <v>451</v>
      </c>
      <c r="I745" s="39"/>
      <c r="J745" s="7">
        <v>37515</v>
      </c>
      <c r="K745" s="7"/>
      <c r="L745" s="23">
        <f>75+J745</f>
        <v>37590</v>
      </c>
      <c r="M745" s="18" t="s">
        <v>41</v>
      </c>
      <c r="N745" s="6" t="s">
        <v>42</v>
      </c>
      <c r="O745" s="6"/>
      <c r="P745" s="6"/>
      <c r="Q745" s="6"/>
      <c r="R745" s="6"/>
      <c r="S745" s="23">
        <v>37575</v>
      </c>
      <c r="T745" s="23">
        <v>37578</v>
      </c>
      <c r="U745" s="23"/>
      <c r="V745" s="6" t="s">
        <v>937</v>
      </c>
      <c r="W745" s="6">
        <v>834</v>
      </c>
      <c r="X745" s="6"/>
      <c r="Y745" s="59"/>
      <c r="Z745" s="6">
        <v>6553188740</v>
      </c>
      <c r="AA745" s="6"/>
      <c r="AB745" s="6" t="s">
        <v>47</v>
      </c>
      <c r="AC745" s="507"/>
      <c r="AD745" s="10" t="str">
        <f>IF(T745&lt;=L745,"en término","atrasado")</f>
        <v>en término</v>
      </c>
    </row>
    <row r="746" spans="1:30" s="9" customFormat="1" ht="12" thickBot="1" x14ac:dyDescent="0.25">
      <c r="A746" s="28"/>
      <c r="B746" s="19"/>
      <c r="C746" s="19"/>
      <c r="D746" s="5"/>
      <c r="E746" s="5"/>
      <c r="F746" s="5" t="s">
        <v>932</v>
      </c>
      <c r="G746" s="5"/>
      <c r="H746" s="105"/>
      <c r="I746" s="21"/>
      <c r="J746" s="5"/>
      <c r="K746" s="5"/>
      <c r="L746" s="127"/>
      <c r="M746" s="5"/>
      <c r="N746" s="5"/>
      <c r="O746" s="5"/>
      <c r="P746" s="5"/>
      <c r="Q746" s="5"/>
      <c r="R746" s="5"/>
      <c r="S746" s="27"/>
      <c r="T746" s="19" t="s">
        <v>938</v>
      </c>
      <c r="U746" s="19"/>
      <c r="V746" s="5"/>
      <c r="W746" s="5"/>
      <c r="X746" s="5"/>
      <c r="Y746" s="61"/>
      <c r="Z746" s="5"/>
      <c r="AA746" s="5"/>
      <c r="AB746" s="5"/>
      <c r="AC746" s="5"/>
      <c r="AD746" s="10"/>
    </row>
    <row r="747" spans="1:30" s="9" customFormat="1" x14ac:dyDescent="0.2">
      <c r="A747" s="28"/>
      <c r="B747" s="16"/>
      <c r="C747" s="16"/>
      <c r="D747" s="7"/>
      <c r="E747" s="7"/>
      <c r="F747" s="6"/>
      <c r="G747" s="6"/>
      <c r="H747" s="17"/>
      <c r="I747" s="17"/>
      <c r="J747" s="7"/>
      <c r="K747" s="7"/>
      <c r="L747" s="23"/>
      <c r="M747" s="6"/>
      <c r="N747" s="6"/>
      <c r="O747" s="6"/>
      <c r="P747" s="6"/>
      <c r="Q747" s="6"/>
      <c r="R747" s="6"/>
      <c r="S747" s="12"/>
      <c r="T747" s="12" t="s">
        <v>185</v>
      </c>
      <c r="U747" s="6"/>
      <c r="V747" s="6"/>
      <c r="W747" s="6"/>
      <c r="X747" s="12"/>
      <c r="Y747" s="59"/>
      <c r="Z747" s="6"/>
      <c r="AA747" s="6"/>
      <c r="AB747" s="6"/>
      <c r="AC747" s="6"/>
      <c r="AD747" s="10"/>
    </row>
    <row r="748" spans="1:30" s="9" customFormat="1" x14ac:dyDescent="0.2">
      <c r="A748" s="28"/>
      <c r="B748" s="16" t="s">
        <v>36</v>
      </c>
      <c r="C748" s="16" t="s">
        <v>37</v>
      </c>
      <c r="D748" s="7" t="s">
        <v>933</v>
      </c>
      <c r="E748" s="7"/>
      <c r="F748" s="6" t="s">
        <v>934</v>
      </c>
      <c r="G748" s="6"/>
      <c r="H748" s="17">
        <f>2.59*20</f>
        <v>51.8</v>
      </c>
      <c r="I748" s="39"/>
      <c r="J748" s="7">
        <v>37523</v>
      </c>
      <c r="K748" s="7"/>
      <c r="L748" s="23">
        <f>75+J748</f>
        <v>37598</v>
      </c>
      <c r="M748" s="18" t="s">
        <v>41</v>
      </c>
      <c r="N748" s="6" t="s">
        <v>42</v>
      </c>
      <c r="O748" s="6"/>
      <c r="P748" s="6"/>
      <c r="Q748" s="6"/>
      <c r="R748" s="6"/>
      <c r="S748" s="23">
        <v>37575</v>
      </c>
      <c r="T748" s="23">
        <v>37578</v>
      </c>
      <c r="U748" s="23"/>
      <c r="V748" s="6" t="s">
        <v>939</v>
      </c>
      <c r="W748" s="6">
        <v>834</v>
      </c>
      <c r="X748" s="6"/>
      <c r="Y748" s="59"/>
      <c r="Z748" s="6">
        <v>6553188740</v>
      </c>
      <c r="AA748" s="6"/>
      <c r="AB748" s="6" t="s">
        <v>47</v>
      </c>
      <c r="AC748" s="507"/>
      <c r="AD748" s="10" t="str">
        <f>IF(T748&lt;=L748,"en término","atrasado")</f>
        <v>en término</v>
      </c>
    </row>
    <row r="749" spans="1:30" s="9" customFormat="1" ht="12" thickBot="1" x14ac:dyDescent="0.25">
      <c r="A749" s="28"/>
      <c r="B749" s="19"/>
      <c r="C749" s="19"/>
      <c r="D749" s="5"/>
      <c r="E749" s="5"/>
      <c r="F749" s="5" t="s">
        <v>936</v>
      </c>
      <c r="G749" s="5"/>
      <c r="H749" s="105"/>
      <c r="I749" s="21"/>
      <c r="J749" s="5"/>
      <c r="K749" s="5"/>
      <c r="L749" s="127"/>
      <c r="M749" s="5"/>
      <c r="N749" s="5"/>
      <c r="O749" s="5"/>
      <c r="P749" s="5"/>
      <c r="Q749" s="5"/>
      <c r="R749" s="5"/>
      <c r="S749" s="27"/>
      <c r="T749" s="19" t="s">
        <v>938</v>
      </c>
      <c r="U749" s="19"/>
      <c r="V749" s="5"/>
      <c r="W749" s="5"/>
      <c r="X749" s="5"/>
      <c r="Y749" s="61"/>
      <c r="Z749" s="5"/>
      <c r="AA749" s="5"/>
      <c r="AB749" s="5"/>
      <c r="AC749" s="5"/>
      <c r="AD749" s="10"/>
    </row>
    <row r="750" spans="1:30" s="9" customFormat="1" x14ac:dyDescent="0.2">
      <c r="A750" s="28"/>
      <c r="B750" s="16"/>
      <c r="C750" s="16"/>
      <c r="D750" s="7"/>
      <c r="E750" s="7"/>
      <c r="F750" s="6"/>
      <c r="G750" s="6"/>
      <c r="H750" s="17"/>
      <c r="I750" s="17"/>
      <c r="J750" s="7"/>
      <c r="K750" s="7"/>
      <c r="L750" s="23"/>
      <c r="M750" s="6"/>
      <c r="N750" s="6"/>
      <c r="O750" s="6"/>
      <c r="P750" s="6"/>
      <c r="Q750" s="6"/>
      <c r="R750" s="6"/>
      <c r="S750" s="12"/>
      <c r="T750" s="12" t="s">
        <v>185</v>
      </c>
      <c r="U750" s="6"/>
      <c r="V750" s="6"/>
      <c r="W750" s="6"/>
      <c r="X750" s="12"/>
      <c r="Y750" s="59"/>
      <c r="Z750" s="6"/>
      <c r="AA750" s="6"/>
      <c r="AB750" s="6"/>
      <c r="AC750" s="6"/>
      <c r="AD750" s="10"/>
    </row>
    <row r="751" spans="1:30" s="9" customFormat="1" x14ac:dyDescent="0.2">
      <c r="A751" s="28"/>
      <c r="B751" s="16" t="s">
        <v>36</v>
      </c>
      <c r="C751" s="16" t="s">
        <v>133</v>
      </c>
      <c r="D751" s="7" t="s">
        <v>669</v>
      </c>
      <c r="E751" s="7"/>
      <c r="F751" s="6" t="s">
        <v>670</v>
      </c>
      <c r="G751" s="6"/>
      <c r="H751" s="17">
        <v>18330.900000000001</v>
      </c>
      <c r="I751" s="39" t="s">
        <v>52</v>
      </c>
      <c r="J751" s="7">
        <v>37499</v>
      </c>
      <c r="K751" s="7"/>
      <c r="L751" s="23">
        <f>90+J751</f>
        <v>37589</v>
      </c>
      <c r="M751" s="18" t="s">
        <v>41</v>
      </c>
      <c r="N751" s="6" t="s">
        <v>42</v>
      </c>
      <c r="O751" s="6"/>
      <c r="P751" s="6"/>
      <c r="Q751" s="6"/>
      <c r="R751" s="6"/>
      <c r="S751" s="23">
        <v>37575</v>
      </c>
      <c r="T751" s="23">
        <v>37578</v>
      </c>
      <c r="U751" s="23"/>
      <c r="V751" s="6" t="s">
        <v>940</v>
      </c>
      <c r="W751" s="6">
        <v>836</v>
      </c>
      <c r="X751" s="6" t="s">
        <v>47</v>
      </c>
      <c r="Y751" s="59"/>
      <c r="Z751" s="6" t="s">
        <v>941</v>
      </c>
      <c r="AA751" s="6" t="s">
        <v>195</v>
      </c>
      <c r="AB751" s="6" t="s">
        <v>47</v>
      </c>
      <c r="AC751" s="507"/>
      <c r="AD751" s="10" t="str">
        <f>IF(T751&lt;=L751,"en término","atrasado")</f>
        <v>en término</v>
      </c>
    </row>
    <row r="752" spans="1:30" s="9" customFormat="1" ht="12" thickBot="1" x14ac:dyDescent="0.25">
      <c r="A752" s="28"/>
      <c r="B752" s="19"/>
      <c r="C752" s="19"/>
      <c r="D752" s="5"/>
      <c r="E752" s="5"/>
      <c r="F752" s="5" t="s">
        <v>942</v>
      </c>
      <c r="G752" s="5"/>
      <c r="H752" s="105"/>
      <c r="I752" s="21"/>
      <c r="J752" s="5"/>
      <c r="K752" s="5"/>
      <c r="L752" s="127"/>
      <c r="M752" s="5"/>
      <c r="N752" s="5"/>
      <c r="O752" s="5"/>
      <c r="P752" s="5"/>
      <c r="Q752" s="5"/>
      <c r="R752" s="5"/>
      <c r="S752" s="27"/>
      <c r="T752" s="19" t="s">
        <v>938</v>
      </c>
      <c r="U752" s="19"/>
      <c r="V752" s="5"/>
      <c r="W752" s="5"/>
      <c r="X752" s="5"/>
      <c r="Y752" s="61"/>
      <c r="Z752" s="5" t="s">
        <v>943</v>
      </c>
      <c r="AA752" s="5"/>
      <c r="AB752" s="5">
        <v>38465.370000000003</v>
      </c>
      <c r="AC752" s="5"/>
      <c r="AD752" s="10"/>
    </row>
    <row r="753" spans="1:30" s="9" customFormat="1" x14ac:dyDescent="0.2">
      <c r="A753" s="28"/>
      <c r="B753" s="16"/>
      <c r="C753" s="16"/>
      <c r="D753" s="7"/>
      <c r="E753" s="7"/>
      <c r="F753" s="6"/>
      <c r="G753" s="6"/>
      <c r="H753" s="17"/>
      <c r="I753" s="17"/>
      <c r="J753" s="7"/>
      <c r="K753" s="7"/>
      <c r="L753" s="23"/>
      <c r="M753" s="6"/>
      <c r="N753" s="6"/>
      <c r="O753" s="6"/>
      <c r="P753" s="6"/>
      <c r="Q753" s="6"/>
      <c r="R753" s="6"/>
      <c r="S753" s="12"/>
      <c r="T753" s="12" t="s">
        <v>185</v>
      </c>
      <c r="U753" s="6"/>
      <c r="V753" s="6"/>
      <c r="W753" s="6"/>
      <c r="X753" s="12"/>
      <c r="Y753" s="59"/>
      <c r="Z753" s="6"/>
      <c r="AA753" s="6"/>
      <c r="AB753" s="6"/>
      <c r="AC753" s="6"/>
      <c r="AD753" s="10"/>
    </row>
    <row r="754" spans="1:30" s="9" customFormat="1" x14ac:dyDescent="0.2">
      <c r="A754" s="28"/>
      <c r="B754" s="16" t="s">
        <v>36</v>
      </c>
      <c r="C754" s="16" t="s">
        <v>133</v>
      </c>
      <c r="D754" s="7" t="s">
        <v>669</v>
      </c>
      <c r="E754" s="7"/>
      <c r="F754" s="6" t="s">
        <v>670</v>
      </c>
      <c r="G754" s="6"/>
      <c r="H754" s="17">
        <v>12204.36</v>
      </c>
      <c r="I754" s="39" t="s">
        <v>40</v>
      </c>
      <c r="J754" s="7">
        <v>37526</v>
      </c>
      <c r="K754" s="7"/>
      <c r="L754" s="23">
        <f>90+J754</f>
        <v>37616</v>
      </c>
      <c r="M754" s="18" t="s">
        <v>41</v>
      </c>
      <c r="N754" s="6" t="s">
        <v>42</v>
      </c>
      <c r="O754" s="6"/>
      <c r="P754" s="6"/>
      <c r="Q754" s="6"/>
      <c r="R754" s="6"/>
      <c r="S754" s="23">
        <v>37575</v>
      </c>
      <c r="T754" s="23">
        <v>37578</v>
      </c>
      <c r="U754" s="23"/>
      <c r="V754" s="6" t="s">
        <v>944</v>
      </c>
      <c r="W754" s="6">
        <v>837</v>
      </c>
      <c r="X754" s="6" t="s">
        <v>47</v>
      </c>
      <c r="Y754" s="59"/>
      <c r="Z754" s="6" t="s">
        <v>941</v>
      </c>
      <c r="AA754" s="6" t="s">
        <v>195</v>
      </c>
      <c r="AB754" s="6" t="s">
        <v>47</v>
      </c>
      <c r="AC754" s="507"/>
      <c r="AD754" s="10" t="str">
        <f>IF(T754&lt;=L754,"en término","atrasado")</f>
        <v>en término</v>
      </c>
    </row>
    <row r="755" spans="1:30" s="9" customFormat="1" ht="12" thickBot="1" x14ac:dyDescent="0.25">
      <c r="A755" s="28"/>
      <c r="B755" s="19"/>
      <c r="C755" s="19"/>
      <c r="D755" s="5"/>
      <c r="E755" s="5"/>
      <c r="F755" s="5" t="s">
        <v>945</v>
      </c>
      <c r="G755" s="5"/>
      <c r="H755" s="105"/>
      <c r="I755" s="21"/>
      <c r="J755" s="5"/>
      <c r="K755" s="5"/>
      <c r="L755" s="127"/>
      <c r="M755" s="5"/>
      <c r="N755" s="5"/>
      <c r="O755" s="5"/>
      <c r="P755" s="5"/>
      <c r="Q755" s="5"/>
      <c r="R755" s="5"/>
      <c r="S755" s="27"/>
      <c r="T755" s="19" t="s">
        <v>938</v>
      </c>
      <c r="U755" s="19"/>
      <c r="V755" s="5"/>
      <c r="W755" s="5"/>
      <c r="X755" s="5"/>
      <c r="Y755" s="61"/>
      <c r="Z755" s="5" t="s">
        <v>943</v>
      </c>
      <c r="AA755" s="5"/>
      <c r="AB755" s="5">
        <v>38465.370000000003</v>
      </c>
      <c r="AC755" s="5"/>
      <c r="AD755" s="10"/>
    </row>
    <row r="756" spans="1:30" s="9" customFormat="1" x14ac:dyDescent="0.2">
      <c r="A756" s="28"/>
      <c r="B756" s="16"/>
      <c r="C756" s="16"/>
      <c r="D756" s="7"/>
      <c r="E756" s="7"/>
      <c r="F756" s="6"/>
      <c r="G756" s="6"/>
      <c r="H756" s="17"/>
      <c r="I756" s="17"/>
      <c r="J756" s="7"/>
      <c r="K756" s="7"/>
      <c r="L756" s="23"/>
      <c r="M756" s="6"/>
      <c r="N756" s="6"/>
      <c r="O756" s="6"/>
      <c r="P756" s="6"/>
      <c r="Q756" s="6"/>
      <c r="R756" s="6"/>
      <c r="S756" s="12"/>
      <c r="T756" s="12" t="s">
        <v>185</v>
      </c>
      <c r="U756" s="6"/>
      <c r="V756" s="6"/>
      <c r="W756" s="6"/>
      <c r="X756" s="12"/>
      <c r="Y756" s="59"/>
      <c r="Z756" s="6"/>
      <c r="AA756" s="6"/>
      <c r="AB756" s="6"/>
      <c r="AC756" s="6"/>
      <c r="AD756" s="10"/>
    </row>
    <row r="757" spans="1:30" s="9" customFormat="1" x14ac:dyDescent="0.2">
      <c r="A757" s="28"/>
      <c r="B757" s="16" t="s">
        <v>36</v>
      </c>
      <c r="C757" s="16" t="s">
        <v>37</v>
      </c>
      <c r="D757" s="7" t="s">
        <v>946</v>
      </c>
      <c r="E757" s="7"/>
      <c r="F757" s="6" t="s">
        <v>947</v>
      </c>
      <c r="G757" s="6"/>
      <c r="H757" s="17">
        <v>6060.68</v>
      </c>
      <c r="I757" s="39"/>
      <c r="J757" s="7">
        <v>37537</v>
      </c>
      <c r="K757" s="7"/>
      <c r="L757" s="23">
        <v>37608</v>
      </c>
      <c r="M757" s="18" t="s">
        <v>41</v>
      </c>
      <c r="N757" s="6" t="s">
        <v>42</v>
      </c>
      <c r="O757" s="6"/>
      <c r="P757" s="6"/>
      <c r="Q757" s="6"/>
      <c r="R757" s="6"/>
      <c r="S757" s="23">
        <v>37575</v>
      </c>
      <c r="T757" s="23">
        <v>37578</v>
      </c>
      <c r="U757" s="23"/>
      <c r="V757" s="6" t="s">
        <v>948</v>
      </c>
      <c r="W757" s="6">
        <v>834</v>
      </c>
      <c r="X757" s="6"/>
      <c r="Y757" s="59"/>
      <c r="Z757" s="6">
        <v>6553188740</v>
      </c>
      <c r="AA757" s="6"/>
      <c r="AB757" s="6" t="s">
        <v>47</v>
      </c>
      <c r="AC757" s="507"/>
      <c r="AD757" s="10" t="str">
        <f>IF(T757&lt;=L757,"en término","atrasado")</f>
        <v>en término</v>
      </c>
    </row>
    <row r="758" spans="1:30" s="9" customFormat="1" ht="12" thickBot="1" x14ac:dyDescent="0.25">
      <c r="A758" s="28"/>
      <c r="B758" s="19"/>
      <c r="C758" s="19"/>
      <c r="D758" s="5"/>
      <c r="E758" s="5"/>
      <c r="F758" s="5" t="s">
        <v>949</v>
      </c>
      <c r="G758" s="5"/>
      <c r="H758" s="105"/>
      <c r="I758" s="21"/>
      <c r="J758" s="5"/>
      <c r="K758" s="5"/>
      <c r="L758" s="127"/>
      <c r="M758" s="5"/>
      <c r="N758" s="5"/>
      <c r="O758" s="5"/>
      <c r="P758" s="5"/>
      <c r="Q758" s="5"/>
      <c r="R758" s="5"/>
      <c r="S758" s="27"/>
      <c r="T758" s="19" t="s">
        <v>938</v>
      </c>
      <c r="U758" s="19"/>
      <c r="V758" s="5"/>
      <c r="W758" s="5"/>
      <c r="X758" s="5"/>
      <c r="Y758" s="61"/>
      <c r="Z758" s="5"/>
      <c r="AA758" s="5"/>
      <c r="AB758" s="5"/>
      <c r="AC758" s="5"/>
      <c r="AD758" s="10"/>
    </row>
    <row r="759" spans="1:30" s="9" customFormat="1" x14ac:dyDescent="0.2">
      <c r="A759" s="28"/>
      <c r="B759" s="16"/>
      <c r="C759" s="16"/>
      <c r="D759" s="7"/>
      <c r="E759" s="7"/>
      <c r="F759" s="6"/>
      <c r="G759" s="6"/>
      <c r="H759" s="17"/>
      <c r="I759" s="17"/>
      <c r="J759" s="7"/>
      <c r="K759" s="7"/>
      <c r="L759" s="23"/>
      <c r="M759" s="6"/>
      <c r="N759" s="6"/>
      <c r="O759" s="6"/>
      <c r="P759" s="6"/>
      <c r="Q759" s="6"/>
      <c r="R759" s="6"/>
      <c r="S759" s="12"/>
      <c r="T759" s="12" t="s">
        <v>185</v>
      </c>
      <c r="U759" s="6"/>
      <c r="V759" s="6"/>
      <c r="W759" s="6"/>
      <c r="X759" s="12"/>
      <c r="Y759" s="59"/>
      <c r="Z759" s="6"/>
      <c r="AA759" s="6"/>
      <c r="AB759" s="6"/>
      <c r="AC759" s="6"/>
      <c r="AD759" s="10"/>
    </row>
    <row r="760" spans="1:30" s="9" customFormat="1" x14ac:dyDescent="0.2">
      <c r="A760" s="28"/>
      <c r="B760" s="16" t="s">
        <v>36</v>
      </c>
      <c r="C760" s="16" t="s">
        <v>133</v>
      </c>
      <c r="D760" s="7" t="s">
        <v>669</v>
      </c>
      <c r="E760" s="7"/>
      <c r="F760" s="6" t="s">
        <v>670</v>
      </c>
      <c r="G760" s="6"/>
      <c r="H760" s="17">
        <v>8312.85</v>
      </c>
      <c r="I760" s="39" t="s">
        <v>52</v>
      </c>
      <c r="J760" s="7">
        <v>37536</v>
      </c>
      <c r="K760" s="7"/>
      <c r="L760" s="23">
        <f>90+J760</f>
        <v>37626</v>
      </c>
      <c r="M760" s="18" t="s">
        <v>41</v>
      </c>
      <c r="N760" s="6" t="s">
        <v>42</v>
      </c>
      <c r="O760" s="6"/>
      <c r="P760" s="6"/>
      <c r="Q760" s="6"/>
      <c r="R760" s="6"/>
      <c r="S760" s="23">
        <v>37575</v>
      </c>
      <c r="T760" s="23">
        <v>37578</v>
      </c>
      <c r="U760" s="23"/>
      <c r="V760" s="6" t="s">
        <v>950</v>
      </c>
      <c r="W760" s="6">
        <v>835</v>
      </c>
      <c r="X760" s="6" t="s">
        <v>47</v>
      </c>
      <c r="Y760" s="59"/>
      <c r="Z760" s="6" t="s">
        <v>941</v>
      </c>
      <c r="AA760" s="6" t="s">
        <v>195</v>
      </c>
      <c r="AB760" s="6" t="s">
        <v>47</v>
      </c>
      <c r="AC760" s="507"/>
      <c r="AD760" s="10" t="str">
        <f>IF(T760&lt;=L760,"en término","atrasado")</f>
        <v>en término</v>
      </c>
    </row>
    <row r="761" spans="1:30" s="9" customFormat="1" ht="12" thickBot="1" x14ac:dyDescent="0.25">
      <c r="A761" s="28"/>
      <c r="B761" s="19"/>
      <c r="C761" s="19"/>
      <c r="D761" s="5"/>
      <c r="E761" s="5"/>
      <c r="F761" s="5" t="s">
        <v>951</v>
      </c>
      <c r="G761" s="5"/>
      <c r="H761" s="105"/>
      <c r="I761" s="21"/>
      <c r="J761" s="5"/>
      <c r="K761" s="5"/>
      <c r="L761" s="127"/>
      <c r="M761" s="5"/>
      <c r="N761" s="5"/>
      <c r="O761" s="5"/>
      <c r="P761" s="5"/>
      <c r="Q761" s="5"/>
      <c r="R761" s="5"/>
      <c r="S761" s="27"/>
      <c r="T761" s="19" t="s">
        <v>938</v>
      </c>
      <c r="U761" s="19"/>
      <c r="V761" s="5"/>
      <c r="W761" s="5"/>
      <c r="X761" s="5"/>
      <c r="Y761" s="61"/>
      <c r="Z761" s="5" t="s">
        <v>943</v>
      </c>
      <c r="AA761" s="5"/>
      <c r="AB761" s="5">
        <v>38465.370000000003</v>
      </c>
      <c r="AC761" s="5"/>
      <c r="AD761" s="10"/>
    </row>
    <row r="762" spans="1:30" s="9" customFormat="1" x14ac:dyDescent="0.2">
      <c r="A762" s="28"/>
      <c r="B762" s="16"/>
      <c r="C762" s="16"/>
      <c r="D762" s="7"/>
      <c r="E762" s="7"/>
      <c r="F762" s="6"/>
      <c r="G762" s="6"/>
      <c r="H762" s="17"/>
      <c r="I762" s="17"/>
      <c r="J762" s="7"/>
      <c r="K762" s="7"/>
      <c r="L762" s="23"/>
      <c r="M762" s="6"/>
      <c r="N762" s="6"/>
      <c r="O762" s="6"/>
      <c r="P762" s="6"/>
      <c r="Q762" s="6"/>
      <c r="R762" s="6"/>
      <c r="S762" s="12"/>
      <c r="T762" s="12" t="s">
        <v>185</v>
      </c>
      <c r="U762" s="6"/>
      <c r="V762" s="6"/>
      <c r="W762" s="6"/>
      <c r="X762" s="12"/>
      <c r="Y762" s="59"/>
      <c r="Z762" s="6"/>
      <c r="AA762" s="6"/>
      <c r="AB762" s="6"/>
      <c r="AC762" s="6"/>
      <c r="AD762" s="10"/>
    </row>
    <row r="763" spans="1:30" s="9" customFormat="1" x14ac:dyDescent="0.2">
      <c r="A763" s="28"/>
      <c r="B763" s="16" t="s">
        <v>36</v>
      </c>
      <c r="C763" s="16" t="s">
        <v>37</v>
      </c>
      <c r="D763" s="7" t="s">
        <v>952</v>
      </c>
      <c r="E763" s="7"/>
      <c r="F763" s="6" t="s">
        <v>953</v>
      </c>
      <c r="G763" s="6"/>
      <c r="H763" s="17">
        <f>1700*2</f>
        <v>3400</v>
      </c>
      <c r="I763" s="39"/>
      <c r="J763" s="7">
        <v>37564</v>
      </c>
      <c r="K763" s="7"/>
      <c r="L763" s="23">
        <f>20+J763</f>
        <v>37584</v>
      </c>
      <c r="M763" s="18" t="s">
        <v>41</v>
      </c>
      <c r="N763" s="6" t="s">
        <v>42</v>
      </c>
      <c r="O763" s="6"/>
      <c r="P763" s="6"/>
      <c r="Q763" s="6"/>
      <c r="R763" s="6"/>
      <c r="S763" s="23">
        <v>37575</v>
      </c>
      <c r="T763" s="23">
        <v>37578</v>
      </c>
      <c r="U763" s="23"/>
      <c r="V763" s="6" t="s">
        <v>73</v>
      </c>
      <c r="W763" s="6">
        <v>834</v>
      </c>
      <c r="X763" s="6"/>
      <c r="Y763" s="59"/>
      <c r="Z763" s="6">
        <v>6553188740</v>
      </c>
      <c r="AA763" s="6"/>
      <c r="AB763" s="6" t="s">
        <v>47</v>
      </c>
      <c r="AC763" s="507"/>
      <c r="AD763" s="10" t="str">
        <f>IF(T763&lt;=L763,"en término","atrasado")</f>
        <v>en término</v>
      </c>
    </row>
    <row r="764" spans="1:30" s="9" customFormat="1" ht="12" thickBot="1" x14ac:dyDescent="0.25">
      <c r="A764" s="28"/>
      <c r="B764" s="19"/>
      <c r="C764" s="19"/>
      <c r="D764" s="5"/>
      <c r="E764" s="5"/>
      <c r="F764" s="5" t="s">
        <v>954</v>
      </c>
      <c r="G764" s="5"/>
      <c r="H764" s="105"/>
      <c r="I764" s="21"/>
      <c r="J764" s="5"/>
      <c r="K764" s="5"/>
      <c r="L764" s="127"/>
      <c r="M764" s="5"/>
      <c r="N764" s="5"/>
      <c r="O764" s="5"/>
      <c r="P764" s="5"/>
      <c r="Q764" s="5"/>
      <c r="R764" s="5"/>
      <c r="S764" s="27"/>
      <c r="T764" s="19" t="s">
        <v>938</v>
      </c>
      <c r="U764" s="19"/>
      <c r="V764" s="5"/>
      <c r="W764" s="5"/>
      <c r="X764" s="5"/>
      <c r="Y764" s="61"/>
      <c r="Z764" s="5"/>
      <c r="AA764" s="5"/>
      <c r="AB764" s="5"/>
      <c r="AC764" s="5"/>
      <c r="AD764" s="10"/>
    </row>
    <row r="765" spans="1:30" s="9" customFormat="1" x14ac:dyDescent="0.2">
      <c r="A765" s="28"/>
      <c r="B765" s="16"/>
      <c r="C765" s="16"/>
      <c r="D765" s="7"/>
      <c r="E765" s="7"/>
      <c r="F765" s="6"/>
      <c r="G765" s="6"/>
      <c r="H765" s="17"/>
      <c r="I765" s="17"/>
      <c r="J765" s="7"/>
      <c r="K765" s="7"/>
      <c r="L765" s="23"/>
      <c r="M765" s="6"/>
      <c r="N765" s="6"/>
      <c r="O765" s="6"/>
      <c r="P765" s="6"/>
      <c r="Q765" s="6"/>
      <c r="R765" s="6"/>
      <c r="S765" s="6"/>
      <c r="T765" s="6"/>
      <c r="U765" s="6"/>
      <c r="V765" s="6"/>
      <c r="W765" s="6"/>
      <c r="X765" s="6"/>
      <c r="Y765" s="59"/>
      <c r="Z765" s="6"/>
      <c r="AA765" s="6"/>
      <c r="AB765" s="6"/>
      <c r="AC765" s="6"/>
      <c r="AD765" s="10"/>
    </row>
    <row r="766" spans="1:30" s="9" customFormat="1" x14ac:dyDescent="0.2">
      <c r="A766" s="28"/>
      <c r="B766" s="16" t="s">
        <v>36</v>
      </c>
      <c r="C766" s="16" t="s">
        <v>133</v>
      </c>
      <c r="D766" s="7" t="s">
        <v>669</v>
      </c>
      <c r="E766" s="7"/>
      <c r="F766" s="6" t="s">
        <v>670</v>
      </c>
      <c r="G766" s="6"/>
      <c r="H766" s="17">
        <v>30510.9</v>
      </c>
      <c r="I766" s="39" t="s">
        <v>40</v>
      </c>
      <c r="J766" s="7">
        <v>37545</v>
      </c>
      <c r="K766" s="7"/>
      <c r="L766" s="23">
        <v>37635</v>
      </c>
      <c r="M766" s="18" t="s">
        <v>41</v>
      </c>
      <c r="N766" s="6" t="s">
        <v>42</v>
      </c>
      <c r="O766" s="6"/>
      <c r="P766" s="6"/>
      <c r="Q766" s="6"/>
      <c r="R766" s="6"/>
      <c r="S766" s="23">
        <v>37603</v>
      </c>
      <c r="T766" s="23">
        <v>37619</v>
      </c>
      <c r="U766" s="23"/>
      <c r="V766" s="6" t="s">
        <v>955</v>
      </c>
      <c r="W766" s="6">
        <v>848</v>
      </c>
      <c r="X766" s="6" t="s">
        <v>47</v>
      </c>
      <c r="Y766" s="59"/>
      <c r="Z766" s="6" t="s">
        <v>956</v>
      </c>
      <c r="AA766" s="6"/>
      <c r="AB766" s="6" t="s">
        <v>47</v>
      </c>
      <c r="AC766" s="507"/>
      <c r="AD766" s="10" t="str">
        <f>IF(T766&lt;=L766,"en término","atrasado")</f>
        <v>en término</v>
      </c>
    </row>
    <row r="767" spans="1:30" s="9" customFormat="1" ht="12" thickBot="1" x14ac:dyDescent="0.25">
      <c r="A767" s="28"/>
      <c r="B767" s="19"/>
      <c r="C767" s="19"/>
      <c r="D767" s="5"/>
      <c r="E767" s="5"/>
      <c r="F767" s="5" t="s">
        <v>957</v>
      </c>
      <c r="G767" s="5"/>
      <c r="H767" s="105"/>
      <c r="I767" s="21"/>
      <c r="J767" s="5"/>
      <c r="K767" s="5"/>
      <c r="L767" s="127"/>
      <c r="M767" s="5"/>
      <c r="N767" s="5"/>
      <c r="O767" s="5"/>
      <c r="P767" s="5"/>
      <c r="Q767" s="5"/>
      <c r="R767" s="5"/>
      <c r="S767" s="27"/>
      <c r="T767" s="5" t="s">
        <v>958</v>
      </c>
      <c r="U767" s="5"/>
      <c r="V767" s="5"/>
      <c r="W767" s="5"/>
      <c r="X767" s="5"/>
      <c r="Y767" s="61"/>
      <c r="Z767" s="5" t="s">
        <v>959</v>
      </c>
      <c r="AA767" s="5"/>
      <c r="AB767" s="5"/>
      <c r="AC767" s="5"/>
      <c r="AD767" s="10"/>
    </row>
    <row r="768" spans="1:30" s="9" customFormat="1" x14ac:dyDescent="0.2">
      <c r="A768" s="28"/>
      <c r="B768" s="16"/>
      <c r="C768" s="16"/>
      <c r="D768" s="7"/>
      <c r="E768" s="7"/>
      <c r="F768" s="6"/>
      <c r="G768" s="6"/>
      <c r="H768" s="17"/>
      <c r="I768" s="17"/>
      <c r="J768" s="7"/>
      <c r="K768" s="7"/>
      <c r="L768" s="23"/>
      <c r="M768" s="6"/>
      <c r="N768" s="6"/>
      <c r="O768" s="6"/>
      <c r="P768" s="6"/>
      <c r="Q768" s="6"/>
      <c r="R768" s="6"/>
      <c r="S768" s="6"/>
      <c r="T768" s="6"/>
      <c r="U768" s="6"/>
      <c r="V768" s="6"/>
      <c r="W768" s="6"/>
      <c r="X768" s="12"/>
      <c r="Y768" s="59"/>
      <c r="Z768" s="6"/>
      <c r="AA768" s="6"/>
      <c r="AB768" s="6"/>
      <c r="AC768" s="6"/>
      <c r="AD768" s="10"/>
    </row>
    <row r="769" spans="1:39" s="9" customFormat="1" x14ac:dyDescent="0.2">
      <c r="A769" s="28"/>
      <c r="B769" s="16" t="s">
        <v>36</v>
      </c>
      <c r="C769" s="16" t="s">
        <v>133</v>
      </c>
      <c r="D769" s="7" t="s">
        <v>669</v>
      </c>
      <c r="E769" s="7"/>
      <c r="F769" s="6" t="s">
        <v>670</v>
      </c>
      <c r="G769" s="6"/>
      <c r="H769" s="17">
        <v>24408.720000000001</v>
      </c>
      <c r="I769" s="39" t="s">
        <v>40</v>
      </c>
      <c r="J769" s="7">
        <v>37560</v>
      </c>
      <c r="K769" s="7"/>
      <c r="L769" s="23">
        <f>90+J769</f>
        <v>37650</v>
      </c>
      <c r="M769" s="18" t="s">
        <v>41</v>
      </c>
      <c r="N769" s="6" t="s">
        <v>42</v>
      </c>
      <c r="O769" s="6"/>
      <c r="P769" s="6"/>
      <c r="Q769" s="6"/>
      <c r="R769" s="6"/>
      <c r="S769" s="23">
        <v>37603</v>
      </c>
      <c r="T769" s="23">
        <v>37619</v>
      </c>
      <c r="U769" s="23"/>
      <c r="V769" s="6" t="s">
        <v>907</v>
      </c>
      <c r="W769" s="6">
        <v>849</v>
      </c>
      <c r="X769" s="6" t="s">
        <v>47</v>
      </c>
      <c r="Y769" s="59"/>
      <c r="Z769" s="6" t="s">
        <v>956</v>
      </c>
      <c r="AA769" s="6"/>
      <c r="AB769" s="6" t="s">
        <v>47</v>
      </c>
      <c r="AC769" s="507"/>
      <c r="AD769" s="10" t="str">
        <f>IF(T769&lt;=L769,"en término","atrasado")</f>
        <v>en término</v>
      </c>
    </row>
    <row r="770" spans="1:39" s="9" customFormat="1" ht="12" thickBot="1" x14ac:dyDescent="0.25">
      <c r="A770" s="28"/>
      <c r="B770" s="19"/>
      <c r="C770" s="19"/>
      <c r="D770" s="5"/>
      <c r="E770" s="5"/>
      <c r="F770" s="5" t="s">
        <v>960</v>
      </c>
      <c r="G770" s="5"/>
      <c r="H770" s="105"/>
      <c r="I770" s="21"/>
      <c r="J770" s="5"/>
      <c r="K770" s="5"/>
      <c r="L770" s="127"/>
      <c r="M770" s="5"/>
      <c r="N770" s="5"/>
      <c r="O770" s="5"/>
      <c r="P770" s="5"/>
      <c r="Q770" s="5"/>
      <c r="R770" s="5"/>
      <c r="S770" s="27"/>
      <c r="T770" s="5" t="s">
        <v>958</v>
      </c>
      <c r="U770" s="5"/>
      <c r="V770" s="5"/>
      <c r="W770" s="5"/>
      <c r="X770" s="5"/>
      <c r="Y770" s="61"/>
      <c r="Z770" s="5" t="s">
        <v>959</v>
      </c>
      <c r="AA770" s="5"/>
      <c r="AB770" s="5"/>
      <c r="AC770" s="5"/>
      <c r="AD770" s="10"/>
    </row>
    <row r="771" spans="1:39" s="28" customFormat="1" x14ac:dyDescent="0.2">
      <c r="D771" s="30"/>
      <c r="E771" s="30"/>
      <c r="F771" s="30"/>
      <c r="G771" s="30"/>
      <c r="H771" s="217"/>
      <c r="I771" s="31"/>
      <c r="J771" s="30"/>
      <c r="K771" s="30"/>
      <c r="L771" s="140"/>
      <c r="M771" s="30"/>
      <c r="N771" s="30"/>
      <c r="O771" s="30"/>
      <c r="P771" s="30"/>
      <c r="Q771" s="30"/>
      <c r="R771" s="30"/>
      <c r="S771" s="48"/>
      <c r="T771" s="30"/>
      <c r="U771" s="30"/>
      <c r="V771" s="30"/>
      <c r="W771" s="30"/>
      <c r="X771" s="30"/>
      <c r="Y771" s="30"/>
      <c r="Z771" s="30"/>
      <c r="AA771" s="30"/>
      <c r="AB771" s="30"/>
      <c r="AC771" s="30"/>
      <c r="AD771" s="30"/>
    </row>
    <row r="772" spans="1:39" s="28" customFormat="1" ht="12.75" x14ac:dyDescent="0.2">
      <c r="D772" s="30"/>
      <c r="E772" s="30"/>
      <c r="F772" s="30"/>
      <c r="G772" s="30"/>
      <c r="H772" s="217"/>
      <c r="I772" s="31"/>
      <c r="J772" s="30"/>
      <c r="K772" s="30"/>
      <c r="L772" s="140"/>
      <c r="M772" s="30"/>
      <c r="N772" s="30"/>
      <c r="O772" s="30"/>
      <c r="P772" s="30"/>
      <c r="Q772" s="30"/>
      <c r="R772" s="30"/>
      <c r="S772" s="48"/>
      <c r="T772" s="30"/>
      <c r="U772" s="30"/>
      <c r="V772" s="30"/>
      <c r="W772" s="30"/>
      <c r="X772" s="30"/>
      <c r="Y772" s="30"/>
      <c r="Z772" s="30"/>
      <c r="AA772" s="1">
        <v>2002</v>
      </c>
      <c r="AB772" s="1047"/>
      <c r="AC772" s="3"/>
      <c r="AD772" s="30"/>
    </row>
    <row r="773" spans="1:39" s="28" customFormat="1" ht="12.75" x14ac:dyDescent="0.2">
      <c r="D773" s="30"/>
      <c r="E773" s="30"/>
      <c r="F773" s="30"/>
      <c r="G773" s="30"/>
      <c r="H773" s="217"/>
      <c r="I773" s="31"/>
      <c r="J773" s="30"/>
      <c r="K773" s="30"/>
      <c r="L773" s="140"/>
      <c r="M773" s="30"/>
      <c r="N773" s="30"/>
      <c r="O773" s="30"/>
      <c r="P773" s="30"/>
      <c r="Q773" s="30"/>
      <c r="R773" s="30"/>
      <c r="S773" s="48"/>
      <c r="T773" s="30"/>
      <c r="U773" s="30"/>
      <c r="V773" s="30"/>
      <c r="W773" s="30"/>
      <c r="X773" s="30"/>
      <c r="Y773" s="30"/>
      <c r="Z773" s="30"/>
      <c r="AA773" s="945" t="s">
        <v>813</v>
      </c>
      <c r="AB773" s="1048">
        <f>COUNTA(AD642:AD769)</f>
        <v>41</v>
      </c>
      <c r="AD773" s="30"/>
    </row>
    <row r="774" spans="1:39" s="28" customFormat="1" ht="12.75" x14ac:dyDescent="0.2">
      <c r="D774" s="30"/>
      <c r="E774" s="30"/>
      <c r="F774" s="30"/>
      <c r="G774" s="30"/>
      <c r="H774" s="217"/>
      <c r="I774" s="31"/>
      <c r="J774" s="30"/>
      <c r="K774" s="30"/>
      <c r="L774" s="140"/>
      <c r="M774" s="30"/>
      <c r="N774" s="30"/>
      <c r="O774" s="30"/>
      <c r="P774" s="30"/>
      <c r="Q774" s="30"/>
      <c r="R774" s="30"/>
      <c r="S774" s="48"/>
      <c r="T774" s="30"/>
      <c r="U774" s="30"/>
      <c r="V774" s="30"/>
      <c r="W774" s="30"/>
      <c r="X774" s="30"/>
      <c r="Y774" s="30"/>
      <c r="Z774" s="30"/>
      <c r="AA774" s="945" t="s">
        <v>815</v>
      </c>
      <c r="AB774" s="1048">
        <f>COUNTIF(AD642:AD769,"en término")</f>
        <v>32</v>
      </c>
      <c r="AD774" s="30"/>
    </row>
    <row r="775" spans="1:39" s="28" customFormat="1" ht="12.75" x14ac:dyDescent="0.2">
      <c r="D775" s="30"/>
      <c r="E775" s="30"/>
      <c r="F775" s="30"/>
      <c r="G775" s="30"/>
      <c r="H775" s="217"/>
      <c r="I775" s="31"/>
      <c r="J775" s="30"/>
      <c r="K775" s="30"/>
      <c r="L775" s="140"/>
      <c r="M775" s="30"/>
      <c r="N775" s="30"/>
      <c r="O775" s="30"/>
      <c r="P775" s="30"/>
      <c r="Q775" s="30"/>
      <c r="R775" s="30"/>
      <c r="S775" s="48"/>
      <c r="T775" s="30"/>
      <c r="U775" s="30"/>
      <c r="V775" s="30"/>
      <c r="W775" s="30"/>
      <c r="X775" s="30"/>
      <c r="Y775" s="30"/>
      <c r="Z775" s="30"/>
      <c r="AA775" s="945" t="s">
        <v>817</v>
      </c>
      <c r="AB775" s="557">
        <f>+AB774/AB773</f>
        <v>0.78048780487804881</v>
      </c>
      <c r="AD775" s="30"/>
    </row>
    <row r="776" spans="1:39" s="28" customFormat="1" x14ac:dyDescent="0.2">
      <c r="D776" s="30"/>
      <c r="E776" s="30"/>
      <c r="F776" s="30"/>
      <c r="G776" s="30"/>
      <c r="H776" s="217"/>
      <c r="I776" s="31"/>
      <c r="J776" s="30"/>
      <c r="K776" s="30"/>
      <c r="L776" s="140"/>
      <c r="M776" s="30"/>
      <c r="N776" s="30"/>
      <c r="O776" s="30"/>
      <c r="P776" s="30"/>
      <c r="Q776" s="30"/>
      <c r="R776" s="30"/>
      <c r="S776" s="48"/>
      <c r="T776" s="30"/>
      <c r="U776" s="30"/>
      <c r="V776" s="30"/>
      <c r="W776" s="30"/>
      <c r="X776" s="30"/>
      <c r="Y776" s="30"/>
      <c r="Z776" s="30"/>
      <c r="AA776" s="2"/>
      <c r="AB776" s="2"/>
      <c r="AC776" s="3"/>
      <c r="AD776" s="30"/>
    </row>
    <row r="777" spans="1:39" s="28" customFormat="1" ht="12" thickBot="1" x14ac:dyDescent="0.25">
      <c r="D777" s="30"/>
      <c r="E777" s="30"/>
      <c r="F777" s="30"/>
      <c r="G777" s="30"/>
      <c r="H777" s="217"/>
      <c r="I777" s="31"/>
      <c r="J777" s="30"/>
      <c r="K777" s="30"/>
      <c r="L777" s="140"/>
      <c r="M777" s="30"/>
      <c r="N777" s="30"/>
      <c r="O777" s="30"/>
      <c r="P777" s="30"/>
      <c r="Q777" s="30"/>
      <c r="R777" s="30"/>
      <c r="S777" s="48"/>
      <c r="T777" s="30"/>
      <c r="U777" s="30"/>
      <c r="V777" s="30"/>
      <c r="W777" s="30"/>
      <c r="X777" s="30"/>
      <c r="Y777" s="30"/>
      <c r="Z777" s="30"/>
      <c r="AA777" s="30"/>
      <c r="AB777" s="30"/>
      <c r="AC777" s="30"/>
      <c r="AD777" s="30"/>
    </row>
    <row r="778" spans="1:39" s="553" customFormat="1" ht="39.950000000000003" customHeight="1" thickBot="1" x14ac:dyDescent="0.25">
      <c r="B778" s="1611">
        <v>2003</v>
      </c>
      <c r="C778" s="1612"/>
      <c r="D778" s="1612"/>
      <c r="E778" s="1612"/>
      <c r="F778" s="1612"/>
      <c r="G778" s="1612"/>
      <c r="H778" s="1612"/>
      <c r="I778" s="1612"/>
      <c r="J778" s="1612"/>
      <c r="K778" s="1612"/>
      <c r="L778" s="1612"/>
      <c r="M778" s="1612"/>
      <c r="N778" s="1612"/>
      <c r="O778" s="1612"/>
      <c r="P778" s="1612"/>
      <c r="Q778" s="1612"/>
      <c r="R778" s="1612"/>
      <c r="S778" s="1612"/>
      <c r="T778" s="1612"/>
      <c r="U778" s="1612"/>
      <c r="V778" s="1612"/>
      <c r="W778" s="1612"/>
      <c r="X778" s="1612"/>
      <c r="Y778" s="1612"/>
      <c r="Z778" s="1612"/>
      <c r="AA778" s="1612"/>
      <c r="AB778" s="1612"/>
      <c r="AC778" s="1613"/>
    </row>
    <row r="779" spans="1:39" s="441" customFormat="1" ht="60" customHeight="1" thickBot="1" x14ac:dyDescent="0.25">
      <c r="A779" s="438"/>
      <c r="B779" s="451" t="s">
        <v>130</v>
      </c>
      <c r="C779" s="451" t="s">
        <v>4</v>
      </c>
      <c r="D779" s="451" t="s">
        <v>5</v>
      </c>
      <c r="E779" s="451" t="s">
        <v>6</v>
      </c>
      <c r="F779" s="451" t="s">
        <v>7</v>
      </c>
      <c r="G779" s="451" t="s">
        <v>8</v>
      </c>
      <c r="H779" s="453" t="s">
        <v>9</v>
      </c>
      <c r="I779" s="453" t="s">
        <v>10</v>
      </c>
      <c r="J779" s="451" t="s">
        <v>11</v>
      </c>
      <c r="K779" s="451" t="s">
        <v>12</v>
      </c>
      <c r="L779" s="451" t="s">
        <v>13</v>
      </c>
      <c r="M779" s="451" t="s">
        <v>14</v>
      </c>
      <c r="N779" s="451" t="s">
        <v>15</v>
      </c>
      <c r="O779" s="452" t="s">
        <v>16</v>
      </c>
      <c r="P779" s="454" t="s">
        <v>17</v>
      </c>
      <c r="Q779" s="451" t="s">
        <v>18</v>
      </c>
      <c r="R779" s="452" t="s">
        <v>19</v>
      </c>
      <c r="S779" s="451" t="s">
        <v>20</v>
      </c>
      <c r="T779" s="451" t="s">
        <v>21</v>
      </c>
      <c r="U779" s="452" t="s">
        <v>22</v>
      </c>
      <c r="V779" s="451" t="s">
        <v>131</v>
      </c>
      <c r="W779" s="451" t="s">
        <v>24</v>
      </c>
      <c r="X779" s="451" t="s">
        <v>132</v>
      </c>
      <c r="Y779" s="451" t="s">
        <v>26</v>
      </c>
      <c r="Z779" s="451" t="s">
        <v>27</v>
      </c>
      <c r="AA779" s="451" t="s">
        <v>28</v>
      </c>
      <c r="AB779" s="451" t="s">
        <v>29</v>
      </c>
      <c r="AC779" s="451" t="s">
        <v>30</v>
      </c>
      <c r="AD779" s="439"/>
      <c r="AE779" s="440"/>
      <c r="AF779" s="440"/>
      <c r="AG779" s="440"/>
      <c r="AH779" s="440"/>
      <c r="AI779" s="440"/>
      <c r="AJ779" s="440"/>
      <c r="AK779" s="440"/>
      <c r="AL779" s="440"/>
      <c r="AM779" s="440"/>
    </row>
    <row r="780" spans="1:39" s="9" customFormat="1" x14ac:dyDescent="0.2">
      <c r="A780" s="28"/>
      <c r="B780" s="16"/>
      <c r="C780" s="16"/>
      <c r="D780" s="7"/>
      <c r="E780" s="7"/>
      <c r="F780" s="6"/>
      <c r="G780" s="6"/>
      <c r="H780" s="17"/>
      <c r="I780" s="17"/>
      <c r="J780" s="7"/>
      <c r="K780" s="7"/>
      <c r="L780" s="23"/>
      <c r="M780" s="6"/>
      <c r="N780" s="6"/>
      <c r="O780" s="6"/>
      <c r="P780" s="6"/>
      <c r="Q780" s="6"/>
      <c r="R780" s="6"/>
      <c r="S780" s="6"/>
      <c r="T780" s="6"/>
      <c r="U780" s="6"/>
      <c r="V780" s="6"/>
      <c r="W780" s="6"/>
      <c r="X780" s="6"/>
      <c r="Y780" s="59"/>
      <c r="Z780" s="6" t="s">
        <v>961</v>
      </c>
      <c r="AA780" s="6"/>
      <c r="AB780" s="6"/>
      <c r="AC780" s="6"/>
      <c r="AD780" s="10"/>
    </row>
    <row r="781" spans="1:39" s="9" customFormat="1" x14ac:dyDescent="0.2">
      <c r="A781" s="28"/>
      <c r="B781" s="16" t="s">
        <v>36</v>
      </c>
      <c r="C781" s="16" t="s">
        <v>133</v>
      </c>
      <c r="D781" s="7" t="s">
        <v>669</v>
      </c>
      <c r="E781" s="7"/>
      <c r="F781" s="6" t="s">
        <v>670</v>
      </c>
      <c r="G781" s="6"/>
      <c r="H781" s="17">
        <v>10941.7</v>
      </c>
      <c r="I781" s="39" t="s">
        <v>52</v>
      </c>
      <c r="J781" s="7">
        <v>37571</v>
      </c>
      <c r="K781" s="7"/>
      <c r="L781" s="23">
        <f>90+J781</f>
        <v>37661</v>
      </c>
      <c r="M781" s="18" t="s">
        <v>41</v>
      </c>
      <c r="N781" s="6" t="s">
        <v>42</v>
      </c>
      <c r="O781" s="6"/>
      <c r="P781" s="6"/>
      <c r="Q781" s="6"/>
      <c r="R781" s="6"/>
      <c r="S781" s="23">
        <v>37629</v>
      </c>
      <c r="T781" s="23">
        <v>37633</v>
      </c>
      <c r="U781" s="23"/>
      <c r="V781" s="6" t="s">
        <v>70</v>
      </c>
      <c r="W781" s="6">
        <v>851</v>
      </c>
      <c r="X781" s="6" t="s">
        <v>47</v>
      </c>
      <c r="Y781" s="59"/>
      <c r="Z781" s="6" t="s">
        <v>962</v>
      </c>
      <c r="AA781" s="6"/>
      <c r="AB781" s="6" t="s">
        <v>47</v>
      </c>
      <c r="AC781" s="507"/>
      <c r="AD781" s="10" t="str">
        <f>IF(T781&lt;=L781,"en término","atrasado")</f>
        <v>en término</v>
      </c>
    </row>
    <row r="782" spans="1:39" s="9" customFormat="1" ht="12" thickBot="1" x14ac:dyDescent="0.25">
      <c r="A782" s="28"/>
      <c r="B782" s="19"/>
      <c r="C782" s="19"/>
      <c r="D782" s="5"/>
      <c r="E782" s="5"/>
      <c r="F782" s="5" t="s">
        <v>963</v>
      </c>
      <c r="G782" s="5"/>
      <c r="H782" s="105"/>
      <c r="I782" s="21"/>
      <c r="J782" s="5"/>
      <c r="K782" s="5"/>
      <c r="L782" s="127"/>
      <c r="M782" s="5"/>
      <c r="N782" s="5"/>
      <c r="O782" s="5"/>
      <c r="P782" s="5"/>
      <c r="Q782" s="5"/>
      <c r="R782" s="5"/>
      <c r="S782" s="27"/>
      <c r="T782" s="5" t="s">
        <v>964</v>
      </c>
      <c r="U782" s="5"/>
      <c r="V782" s="5"/>
      <c r="W782" s="5"/>
      <c r="X782" s="5"/>
      <c r="Y782" s="61"/>
      <c r="Z782" s="5"/>
      <c r="AA782" s="5"/>
      <c r="AB782" s="5"/>
      <c r="AC782" s="5"/>
      <c r="AD782" s="10"/>
    </row>
    <row r="783" spans="1:39" s="9" customFormat="1" x14ac:dyDescent="0.2">
      <c r="A783" s="28"/>
      <c r="B783" s="16"/>
      <c r="C783" s="16"/>
      <c r="D783" s="7"/>
      <c r="E783" s="7"/>
      <c r="F783" s="6"/>
      <c r="G783" s="6"/>
      <c r="H783" s="17"/>
      <c r="I783" s="17"/>
      <c r="J783" s="7"/>
      <c r="K783" s="7"/>
      <c r="L783" s="23"/>
      <c r="M783" s="6"/>
      <c r="N783" s="6"/>
      <c r="O783" s="6"/>
      <c r="P783" s="6"/>
      <c r="Q783" s="6"/>
      <c r="R783" s="6"/>
      <c r="S783" s="6"/>
      <c r="T783" s="6"/>
      <c r="U783" s="6"/>
      <c r="V783" s="6"/>
      <c r="W783" s="6"/>
      <c r="X783" s="12"/>
      <c r="Y783" s="59"/>
      <c r="Z783" s="6" t="s">
        <v>961</v>
      </c>
      <c r="AA783" s="6"/>
      <c r="AB783" s="6"/>
      <c r="AC783" s="6"/>
      <c r="AD783" s="10"/>
    </row>
    <row r="784" spans="1:39" s="9" customFormat="1" x14ac:dyDescent="0.2">
      <c r="A784" s="28"/>
      <c r="B784" s="16" t="s">
        <v>36</v>
      </c>
      <c r="C784" s="16" t="s">
        <v>133</v>
      </c>
      <c r="D784" s="7" t="s">
        <v>669</v>
      </c>
      <c r="E784" s="7"/>
      <c r="F784" s="6" t="s">
        <v>670</v>
      </c>
      <c r="G784" s="6"/>
      <c r="H784" s="17">
        <v>7460.25</v>
      </c>
      <c r="I784" s="39" t="s">
        <v>52</v>
      </c>
      <c r="J784" s="7">
        <v>37599</v>
      </c>
      <c r="K784" s="7"/>
      <c r="L784" s="23">
        <f>90+J784</f>
        <v>37689</v>
      </c>
      <c r="M784" s="18" t="s">
        <v>41</v>
      </c>
      <c r="N784" s="6" t="s">
        <v>42</v>
      </c>
      <c r="O784" s="6"/>
      <c r="P784" s="6"/>
      <c r="Q784" s="6"/>
      <c r="R784" s="6"/>
      <c r="S784" s="23">
        <v>37629</v>
      </c>
      <c r="T784" s="23">
        <v>37633</v>
      </c>
      <c r="U784" s="23"/>
      <c r="V784" s="6" t="s">
        <v>965</v>
      </c>
      <c r="W784" s="6">
        <v>852</v>
      </c>
      <c r="X784" s="6" t="s">
        <v>47</v>
      </c>
      <c r="Y784" s="59"/>
      <c r="Z784" s="6" t="s">
        <v>962</v>
      </c>
      <c r="AA784" s="6"/>
      <c r="AB784" s="6" t="s">
        <v>47</v>
      </c>
      <c r="AC784" s="507"/>
      <c r="AD784" s="10" t="str">
        <f>IF(T784&lt;=L784,"en término","atrasado")</f>
        <v>en término</v>
      </c>
    </row>
    <row r="785" spans="1:30" s="9" customFormat="1" ht="12" thickBot="1" x14ac:dyDescent="0.25">
      <c r="A785" s="28"/>
      <c r="B785" s="19"/>
      <c r="C785" s="19"/>
      <c r="D785" s="5"/>
      <c r="E785" s="5"/>
      <c r="F785" s="5" t="s">
        <v>966</v>
      </c>
      <c r="G785" s="5"/>
      <c r="H785" s="105"/>
      <c r="I785" s="21"/>
      <c r="J785" s="5"/>
      <c r="K785" s="5"/>
      <c r="L785" s="127"/>
      <c r="M785" s="5"/>
      <c r="N785" s="5"/>
      <c r="O785" s="5"/>
      <c r="P785" s="5"/>
      <c r="Q785" s="5"/>
      <c r="R785" s="5"/>
      <c r="S785" s="27"/>
      <c r="T785" s="5" t="s">
        <v>964</v>
      </c>
      <c r="U785" s="5"/>
      <c r="V785" s="5"/>
      <c r="W785" s="5"/>
      <c r="X785" s="5"/>
      <c r="Y785" s="61"/>
      <c r="Z785" s="5"/>
      <c r="AA785" s="5"/>
      <c r="AB785" s="5"/>
      <c r="AC785" s="5"/>
      <c r="AD785" s="10"/>
    </row>
    <row r="786" spans="1:30" s="9" customFormat="1" x14ac:dyDescent="0.2">
      <c r="A786" s="28"/>
      <c r="B786" s="16"/>
      <c r="C786" s="16"/>
      <c r="D786" s="7"/>
      <c r="E786" s="7"/>
      <c r="F786" s="6"/>
      <c r="G786" s="6"/>
      <c r="H786" s="17"/>
      <c r="I786" s="17"/>
      <c r="J786" s="7"/>
      <c r="K786" s="7"/>
      <c r="L786" s="23"/>
      <c r="M786" s="6"/>
      <c r="N786" s="6"/>
      <c r="O786" s="6"/>
      <c r="P786" s="6"/>
      <c r="Q786" s="6"/>
      <c r="R786" s="6"/>
      <c r="S786" s="6"/>
      <c r="T786" s="6"/>
      <c r="U786" s="6"/>
      <c r="V786" s="6"/>
      <c r="W786" s="6"/>
      <c r="X786" s="12"/>
      <c r="Y786" s="59"/>
      <c r="Z786" s="6" t="s">
        <v>961</v>
      </c>
      <c r="AA786" s="6"/>
      <c r="AB786" s="6"/>
      <c r="AC786" s="6"/>
      <c r="AD786" s="10"/>
    </row>
    <row r="787" spans="1:30" s="9" customFormat="1" x14ac:dyDescent="0.2">
      <c r="A787" s="28"/>
      <c r="B787" s="16" t="s">
        <v>36</v>
      </c>
      <c r="C787" s="16" t="s">
        <v>133</v>
      </c>
      <c r="D787" s="7" t="s">
        <v>669</v>
      </c>
      <c r="E787" s="7"/>
      <c r="F787" s="6" t="s">
        <v>670</v>
      </c>
      <c r="G787" s="6"/>
      <c r="H787" s="17">
        <v>9378.5300000000007</v>
      </c>
      <c r="I787" s="39" t="s">
        <v>40</v>
      </c>
      <c r="J787" s="7">
        <v>37601</v>
      </c>
      <c r="K787" s="7"/>
      <c r="L787" s="23">
        <f>90+J787</f>
        <v>37691</v>
      </c>
      <c r="M787" s="18" t="s">
        <v>41</v>
      </c>
      <c r="N787" s="6" t="s">
        <v>42</v>
      </c>
      <c r="O787" s="6"/>
      <c r="P787" s="6"/>
      <c r="Q787" s="6"/>
      <c r="R787" s="6"/>
      <c r="S787" s="23">
        <v>37629</v>
      </c>
      <c r="T787" s="23">
        <v>37633</v>
      </c>
      <c r="U787" s="23"/>
      <c r="V787" s="6" t="s">
        <v>244</v>
      </c>
      <c r="W787" s="6">
        <v>853</v>
      </c>
      <c r="X787" s="6" t="s">
        <v>47</v>
      </c>
      <c r="Y787" s="59"/>
      <c r="Z787" s="6" t="s">
        <v>962</v>
      </c>
      <c r="AA787" s="6"/>
      <c r="AB787" s="6" t="s">
        <v>47</v>
      </c>
      <c r="AC787" s="507"/>
      <c r="AD787" s="10" t="str">
        <f>IF(T787&lt;=L787,"en término","atrasado")</f>
        <v>en término</v>
      </c>
    </row>
    <row r="788" spans="1:30" s="9" customFormat="1" ht="12" thickBot="1" x14ac:dyDescent="0.25">
      <c r="A788" s="28"/>
      <c r="B788" s="19"/>
      <c r="C788" s="19"/>
      <c r="D788" s="5"/>
      <c r="E788" s="5"/>
      <c r="F788" s="5" t="s">
        <v>967</v>
      </c>
      <c r="G788" s="5"/>
      <c r="H788" s="105"/>
      <c r="I788" s="21"/>
      <c r="J788" s="5"/>
      <c r="K788" s="5"/>
      <c r="L788" s="127"/>
      <c r="M788" s="5"/>
      <c r="N788" s="5"/>
      <c r="O788" s="5"/>
      <c r="P788" s="5"/>
      <c r="Q788" s="5"/>
      <c r="R788" s="5"/>
      <c r="S788" s="27"/>
      <c r="T788" s="5" t="s">
        <v>964</v>
      </c>
      <c r="U788" s="5"/>
      <c r="V788" s="5"/>
      <c r="W788" s="5"/>
      <c r="X788" s="5"/>
      <c r="Y788" s="61"/>
      <c r="Z788" s="5"/>
      <c r="AA788" s="5"/>
      <c r="AB788" s="5"/>
      <c r="AC788" s="5"/>
      <c r="AD788" s="10"/>
    </row>
    <row r="789" spans="1:30" s="9" customFormat="1" x14ac:dyDescent="0.2">
      <c r="A789" s="28"/>
      <c r="B789" s="16"/>
      <c r="C789" s="16"/>
      <c r="D789" s="7"/>
      <c r="E789" s="7"/>
      <c r="F789" s="6"/>
      <c r="G789" s="6"/>
      <c r="H789" s="17"/>
      <c r="I789" s="17"/>
      <c r="J789" s="7"/>
      <c r="K789" s="7"/>
      <c r="L789" s="23"/>
      <c r="M789" s="6"/>
      <c r="N789" s="6"/>
      <c r="O789" s="6"/>
      <c r="P789" s="6"/>
      <c r="Q789" s="6"/>
      <c r="R789" s="6"/>
      <c r="S789" s="6"/>
      <c r="T789" s="6"/>
      <c r="U789" s="6"/>
      <c r="V789" s="6"/>
      <c r="W789" s="6"/>
      <c r="X789" s="12"/>
      <c r="Y789" s="59"/>
      <c r="Z789" s="6"/>
      <c r="AA789" s="6"/>
      <c r="AB789" s="6"/>
      <c r="AC789" s="6"/>
      <c r="AD789" s="10"/>
    </row>
    <row r="790" spans="1:30" s="9" customFormat="1" x14ac:dyDescent="0.2">
      <c r="A790" s="28"/>
      <c r="B790" s="16" t="s">
        <v>36</v>
      </c>
      <c r="C790" s="16" t="s">
        <v>37</v>
      </c>
      <c r="D790" s="7" t="s">
        <v>968</v>
      </c>
      <c r="E790" s="7"/>
      <c r="F790" s="6" t="s">
        <v>969</v>
      </c>
      <c r="G790" s="6"/>
      <c r="H790" s="17">
        <f>390+6165+210</f>
        <v>6765</v>
      </c>
      <c r="I790" s="39"/>
      <c r="J790" s="7">
        <v>37967</v>
      </c>
      <c r="K790" s="7"/>
      <c r="L790" s="23">
        <f>75+J790</f>
        <v>38042</v>
      </c>
      <c r="M790" s="18" t="s">
        <v>41</v>
      </c>
      <c r="N790" s="6" t="s">
        <v>42</v>
      </c>
      <c r="O790" s="6"/>
      <c r="P790" s="6"/>
      <c r="Q790" s="6"/>
      <c r="R790" s="6"/>
      <c r="S790" s="23">
        <v>37629</v>
      </c>
      <c r="T790" s="23">
        <v>37633</v>
      </c>
      <c r="U790" s="23"/>
      <c r="V790" s="6" t="s">
        <v>53</v>
      </c>
      <c r="W790" s="6">
        <v>854</v>
      </c>
      <c r="X790" s="6"/>
      <c r="Y790" s="59"/>
      <c r="Z790" s="6">
        <v>6554881362</v>
      </c>
      <c r="AA790" s="6"/>
      <c r="AB790" s="6" t="s">
        <v>47</v>
      </c>
      <c r="AC790" s="507"/>
      <c r="AD790" s="10" t="str">
        <f>IF(T790&lt;=L790,"en término","atrasado")</f>
        <v>en término</v>
      </c>
    </row>
    <row r="791" spans="1:30" s="9" customFormat="1" ht="12" thickBot="1" x14ac:dyDescent="0.25">
      <c r="A791" s="28"/>
      <c r="B791" s="19"/>
      <c r="C791" s="19"/>
      <c r="D791" s="5"/>
      <c r="E791" s="5"/>
      <c r="F791" s="5" t="s">
        <v>970</v>
      </c>
      <c r="G791" s="5"/>
      <c r="H791" s="105"/>
      <c r="I791" s="21"/>
      <c r="J791" s="5"/>
      <c r="K791" s="5"/>
      <c r="L791" s="127"/>
      <c r="M791" s="5"/>
      <c r="N791" s="5"/>
      <c r="O791" s="5"/>
      <c r="P791" s="5"/>
      <c r="Q791" s="5"/>
      <c r="R791" s="5"/>
      <c r="S791" s="27"/>
      <c r="T791" s="5" t="s">
        <v>964</v>
      </c>
      <c r="U791" s="5"/>
      <c r="V791" s="5"/>
      <c r="W791" s="5"/>
      <c r="X791" s="5"/>
      <c r="Y791" s="61"/>
      <c r="Z791" s="5"/>
      <c r="AA791" s="5"/>
      <c r="AB791" s="5"/>
      <c r="AC791" s="5"/>
    </row>
    <row r="792" spans="1:30" s="9" customFormat="1" x14ac:dyDescent="0.2">
      <c r="A792" s="28"/>
      <c r="B792" s="16"/>
      <c r="C792" s="16"/>
      <c r="D792" s="7"/>
      <c r="E792" s="7"/>
      <c r="F792" s="6"/>
      <c r="G792" s="6"/>
      <c r="H792" s="17"/>
      <c r="I792" s="17"/>
      <c r="J792" s="7"/>
      <c r="K792" s="7"/>
      <c r="L792" s="23"/>
      <c r="M792" s="6"/>
      <c r="N792" s="6"/>
      <c r="O792" s="6"/>
      <c r="P792" s="6"/>
      <c r="Q792" s="6"/>
      <c r="R792" s="6"/>
      <c r="S792" s="6"/>
      <c r="T792" s="6"/>
      <c r="U792" s="6"/>
      <c r="V792" s="6"/>
      <c r="W792" s="6"/>
      <c r="X792" s="6"/>
      <c r="Y792" s="59"/>
      <c r="Z792" s="6"/>
      <c r="AA792" s="6"/>
      <c r="AB792" s="6"/>
      <c r="AC792" s="6"/>
    </row>
    <row r="793" spans="1:30" s="9" customFormat="1" x14ac:dyDescent="0.2">
      <c r="A793" s="28"/>
      <c r="B793" s="16" t="s">
        <v>36</v>
      </c>
      <c r="C793" s="16" t="s">
        <v>37</v>
      </c>
      <c r="D793" s="7" t="s">
        <v>968</v>
      </c>
      <c r="E793" s="7"/>
      <c r="F793" s="6" t="s">
        <v>971</v>
      </c>
      <c r="G793" s="6"/>
      <c r="H793" s="17">
        <v>12182</v>
      </c>
      <c r="I793" s="39"/>
      <c r="J793" s="7">
        <v>37609</v>
      </c>
      <c r="K793" s="7"/>
      <c r="L793" s="23">
        <f>75+J793</f>
        <v>37684</v>
      </c>
      <c r="M793" s="18" t="s">
        <v>41</v>
      </c>
      <c r="N793" s="6" t="s">
        <v>110</v>
      </c>
      <c r="O793" s="6"/>
      <c r="P793" s="6"/>
      <c r="Q793" s="6"/>
      <c r="R793" s="6"/>
      <c r="S793" s="23">
        <v>37624</v>
      </c>
      <c r="T793" s="23">
        <v>37631</v>
      </c>
      <c r="U793" s="23"/>
      <c r="V793" s="6" t="s">
        <v>972</v>
      </c>
      <c r="W793" s="6" t="s">
        <v>973</v>
      </c>
      <c r="X793" s="6"/>
      <c r="Y793" s="59"/>
      <c r="Z793" s="6" t="s">
        <v>974</v>
      </c>
      <c r="AA793" s="7">
        <v>37632</v>
      </c>
      <c r="AB793" s="7"/>
      <c r="AC793" s="511"/>
      <c r="AD793" s="10" t="str">
        <f>IF(T793&lt;=L793,"en término","atrasado")</f>
        <v>en término</v>
      </c>
    </row>
    <row r="794" spans="1:30" s="9" customFormat="1" ht="12" thickBot="1" x14ac:dyDescent="0.25">
      <c r="A794" s="28"/>
      <c r="B794" s="19"/>
      <c r="C794" s="19"/>
      <c r="D794" s="5"/>
      <c r="E794" s="5"/>
      <c r="F794" s="5" t="s">
        <v>970</v>
      </c>
      <c r="G794" s="5"/>
      <c r="H794" s="105"/>
      <c r="I794" s="21"/>
      <c r="J794" s="5"/>
      <c r="K794" s="5"/>
      <c r="L794" s="127"/>
      <c r="M794" s="5"/>
      <c r="N794" s="5"/>
      <c r="O794" s="5"/>
      <c r="P794" s="5"/>
      <c r="Q794" s="5"/>
      <c r="R794" s="5"/>
      <c r="S794" s="27"/>
      <c r="T794" s="19"/>
      <c r="U794" s="19"/>
      <c r="V794" s="5" t="s">
        <v>975</v>
      </c>
      <c r="W794" s="5"/>
      <c r="X794" s="5"/>
      <c r="Y794" s="61"/>
      <c r="Z794" s="5" t="s">
        <v>976</v>
      </c>
      <c r="AA794" s="5"/>
      <c r="AB794" s="5"/>
      <c r="AC794" s="5"/>
      <c r="AD794" s="10"/>
    </row>
    <row r="795" spans="1:30" s="9" customFormat="1" x14ac:dyDescent="0.2">
      <c r="A795" s="28"/>
      <c r="B795" s="16"/>
      <c r="C795" s="16"/>
      <c r="D795" s="7"/>
      <c r="E795" s="7"/>
      <c r="F795" s="6"/>
      <c r="G795" s="6"/>
      <c r="H795" s="17"/>
      <c r="I795" s="17"/>
      <c r="J795" s="7"/>
      <c r="K795" s="7"/>
      <c r="L795" s="23"/>
      <c r="M795" s="6"/>
      <c r="N795" s="6"/>
      <c r="O795" s="6"/>
      <c r="P795" s="6"/>
      <c r="Q795" s="6"/>
      <c r="R795" s="6"/>
      <c r="S795" s="6"/>
      <c r="T795" s="6" t="s">
        <v>977</v>
      </c>
      <c r="U795" s="6"/>
      <c r="V795" s="6"/>
      <c r="W795" s="6"/>
      <c r="X795" s="6"/>
      <c r="Y795" s="59"/>
      <c r="Z795" s="6"/>
      <c r="AA795" s="6"/>
      <c r="AB795" s="6"/>
      <c r="AC795" s="6"/>
      <c r="AD795" s="10"/>
    </row>
    <row r="796" spans="1:30" s="9" customFormat="1" x14ac:dyDescent="0.2">
      <c r="A796" s="28"/>
      <c r="B796" s="16" t="s">
        <v>36</v>
      </c>
      <c r="C796" s="16" t="s">
        <v>37</v>
      </c>
      <c r="D796" s="7" t="s">
        <v>978</v>
      </c>
      <c r="E796" s="7"/>
      <c r="F796" s="6" t="s">
        <v>979</v>
      </c>
      <c r="G796" s="6"/>
      <c r="H796" s="17">
        <v>3090.5</v>
      </c>
      <c r="I796" s="39"/>
      <c r="J796" s="7">
        <v>37642</v>
      </c>
      <c r="K796" s="7"/>
      <c r="L796" s="23">
        <v>37663</v>
      </c>
      <c r="M796" s="18" t="s">
        <v>41</v>
      </c>
      <c r="N796" s="6" t="s">
        <v>42</v>
      </c>
      <c r="O796" s="6"/>
      <c r="P796" s="6"/>
      <c r="Q796" s="6"/>
      <c r="R796" s="6"/>
      <c r="S796" s="23">
        <v>37645</v>
      </c>
      <c r="T796" s="23">
        <v>37660</v>
      </c>
      <c r="U796" s="23"/>
      <c r="V796" s="6" t="s">
        <v>53</v>
      </c>
      <c r="W796" s="6">
        <v>858</v>
      </c>
      <c r="X796" s="6"/>
      <c r="Y796" s="59"/>
      <c r="Z796" s="6">
        <v>6552932212</v>
      </c>
      <c r="AA796" s="6"/>
      <c r="AB796" s="6" t="s">
        <v>47</v>
      </c>
      <c r="AC796" s="507"/>
      <c r="AD796" s="10" t="str">
        <f>IF(T796&lt;=L796,"en término","atrasado")</f>
        <v>en término</v>
      </c>
    </row>
    <row r="797" spans="1:30" s="9" customFormat="1" ht="12" thickBot="1" x14ac:dyDescent="0.25">
      <c r="A797" s="28"/>
      <c r="B797" s="19"/>
      <c r="C797" s="19"/>
      <c r="D797" s="5"/>
      <c r="E797" s="5"/>
      <c r="F797" s="5" t="s">
        <v>980</v>
      </c>
      <c r="G797" s="5"/>
      <c r="H797" s="105"/>
      <c r="I797" s="21"/>
      <c r="J797" s="5"/>
      <c r="K797" s="5"/>
      <c r="L797" s="127"/>
      <c r="M797" s="5"/>
      <c r="N797" s="5"/>
      <c r="O797" s="5"/>
      <c r="P797" s="5"/>
      <c r="Q797" s="5"/>
      <c r="R797" s="5"/>
      <c r="S797" s="27"/>
      <c r="T797" s="19" t="s">
        <v>981</v>
      </c>
      <c r="U797" s="19"/>
      <c r="V797" s="224" t="s">
        <v>982</v>
      </c>
      <c r="W797" s="5"/>
      <c r="X797" s="5"/>
      <c r="Y797" s="61"/>
      <c r="Z797" s="5"/>
      <c r="AA797" s="5"/>
      <c r="AB797" s="5"/>
      <c r="AC797" s="5"/>
      <c r="AD797" s="10"/>
    </row>
    <row r="798" spans="1:30" s="9" customFormat="1" x14ac:dyDescent="0.2">
      <c r="A798" s="28"/>
      <c r="B798" s="16"/>
      <c r="C798" s="16"/>
      <c r="D798" s="7"/>
      <c r="E798" s="7"/>
      <c r="F798" s="6"/>
      <c r="G798" s="6"/>
      <c r="H798" s="17"/>
      <c r="I798" s="17"/>
      <c r="J798" s="7"/>
      <c r="K798" s="7"/>
      <c r="L798" s="23"/>
      <c r="M798" s="6"/>
      <c r="N798" s="6"/>
      <c r="O798" s="6"/>
      <c r="P798" s="6"/>
      <c r="Q798" s="6"/>
      <c r="R798" s="6"/>
      <c r="S798" s="6"/>
      <c r="T798" s="6" t="s">
        <v>977</v>
      </c>
      <c r="U798" s="6"/>
      <c r="V798" s="6"/>
      <c r="W798" s="6"/>
      <c r="X798" s="6"/>
      <c r="Y798" s="59"/>
      <c r="Z798" s="6"/>
      <c r="AA798" s="6"/>
      <c r="AB798" s="6"/>
      <c r="AC798" s="6"/>
      <c r="AD798" s="10"/>
    </row>
    <row r="799" spans="1:30" s="9" customFormat="1" x14ac:dyDescent="0.2">
      <c r="A799" s="28"/>
      <c r="B799" s="16" t="s">
        <v>36</v>
      </c>
      <c r="C799" s="16" t="s">
        <v>37</v>
      </c>
      <c r="D799" s="7" t="s">
        <v>983</v>
      </c>
      <c r="E799" s="7"/>
      <c r="F799" s="6" t="s">
        <v>984</v>
      </c>
      <c r="G799" s="6"/>
      <c r="H799" s="17">
        <v>344</v>
      </c>
      <c r="I799" s="39"/>
      <c r="J799" s="7">
        <v>37644</v>
      </c>
      <c r="K799" s="7"/>
      <c r="L799" s="23">
        <v>37663</v>
      </c>
      <c r="M799" s="18" t="s">
        <v>41</v>
      </c>
      <c r="N799" s="6" t="s">
        <v>42</v>
      </c>
      <c r="O799" s="6"/>
      <c r="P799" s="6"/>
      <c r="Q799" s="6"/>
      <c r="R799" s="6"/>
      <c r="S799" s="23">
        <v>37645</v>
      </c>
      <c r="T799" s="23">
        <v>37660</v>
      </c>
      <c r="U799" s="23"/>
      <c r="V799" s="6" t="s">
        <v>53</v>
      </c>
      <c r="W799" s="6">
        <v>858</v>
      </c>
      <c r="X799" s="6"/>
      <c r="Y799" s="59"/>
      <c r="Z799" s="6">
        <v>6552932212</v>
      </c>
      <c r="AA799" s="6"/>
      <c r="AB799" s="6" t="s">
        <v>47</v>
      </c>
      <c r="AC799" s="507"/>
      <c r="AD799" s="10" t="str">
        <f>IF(T799&lt;=L799,"en término","atrasado")</f>
        <v>en término</v>
      </c>
    </row>
    <row r="800" spans="1:30" s="9" customFormat="1" ht="12" thickBot="1" x14ac:dyDescent="0.25">
      <c r="A800" s="28"/>
      <c r="B800" s="19"/>
      <c r="C800" s="19"/>
      <c r="D800" s="5"/>
      <c r="E800" s="5"/>
      <c r="F800" s="5" t="s">
        <v>985</v>
      </c>
      <c r="G800" s="5"/>
      <c r="H800" s="105"/>
      <c r="I800" s="21"/>
      <c r="J800" s="5"/>
      <c r="K800" s="5"/>
      <c r="L800" s="127"/>
      <c r="M800" s="5"/>
      <c r="N800" s="5"/>
      <c r="O800" s="5"/>
      <c r="P800" s="5"/>
      <c r="Q800" s="5"/>
      <c r="R800" s="5"/>
      <c r="S800" s="27"/>
      <c r="T800" s="19" t="s">
        <v>981</v>
      </c>
      <c r="U800" s="19"/>
      <c r="V800" s="224" t="s">
        <v>982</v>
      </c>
      <c r="W800" s="5"/>
      <c r="X800" s="5"/>
      <c r="Y800" s="61"/>
      <c r="Z800" s="5"/>
      <c r="AA800" s="5"/>
      <c r="AB800" s="5"/>
      <c r="AC800" s="5"/>
      <c r="AD800" s="10"/>
    </row>
    <row r="801" spans="1:30" s="9" customFormat="1" x14ac:dyDescent="0.2">
      <c r="A801" s="28"/>
      <c r="B801" s="11"/>
      <c r="C801" s="11"/>
      <c r="D801" s="91"/>
      <c r="E801" s="91"/>
      <c r="F801" s="12"/>
      <c r="G801" s="12"/>
      <c r="H801" s="13"/>
      <c r="I801" s="13"/>
      <c r="J801" s="91"/>
      <c r="K801" s="91"/>
      <c r="L801" s="134"/>
      <c r="M801" s="12"/>
      <c r="N801" s="12"/>
      <c r="O801" s="12"/>
      <c r="P801" s="12"/>
      <c r="Q801" s="12"/>
      <c r="R801" s="12"/>
      <c r="S801" s="12"/>
      <c r="T801" s="12"/>
      <c r="U801" s="12"/>
      <c r="V801" s="12"/>
      <c r="W801" s="12"/>
      <c r="X801" s="12"/>
      <c r="Y801" s="57"/>
      <c r="Z801" s="12"/>
      <c r="AA801" s="12"/>
      <c r="AB801" s="12"/>
      <c r="AC801" s="12"/>
      <c r="AD801" s="10"/>
    </row>
    <row r="802" spans="1:30" s="9" customFormat="1" x14ac:dyDescent="0.2">
      <c r="A802" s="28"/>
      <c r="B802" s="16" t="s">
        <v>36</v>
      </c>
      <c r="C802" s="16" t="s">
        <v>37</v>
      </c>
      <c r="D802" s="7" t="s">
        <v>986</v>
      </c>
      <c r="E802" s="7"/>
      <c r="F802" s="6" t="s">
        <v>987</v>
      </c>
      <c r="G802" s="6"/>
      <c r="H802" s="17">
        <v>2906.63</v>
      </c>
      <c r="I802" s="39"/>
      <c r="J802" s="7">
        <v>37680</v>
      </c>
      <c r="K802" s="7"/>
      <c r="L802" s="23">
        <f>21+J802</f>
        <v>37701</v>
      </c>
      <c r="M802" s="18" t="s">
        <v>41</v>
      </c>
      <c r="N802" s="6" t="s">
        <v>42</v>
      </c>
      <c r="O802" s="6"/>
      <c r="P802" s="6"/>
      <c r="Q802" s="6"/>
      <c r="R802" s="6"/>
      <c r="S802" s="23" t="s">
        <v>988</v>
      </c>
      <c r="T802" s="23">
        <v>37701</v>
      </c>
      <c r="U802" s="23"/>
      <c r="V802" s="6" t="s">
        <v>989</v>
      </c>
      <c r="W802" s="6" t="s">
        <v>990</v>
      </c>
      <c r="X802" s="6"/>
      <c r="Y802" s="59"/>
      <c r="Z802" s="6"/>
      <c r="AA802" s="6"/>
      <c r="AB802" s="6"/>
      <c r="AC802" s="511"/>
      <c r="AD802" s="10" t="str">
        <f>IF(T802&lt;=L802,"en término","atrasado")</f>
        <v>en término</v>
      </c>
    </row>
    <row r="803" spans="1:30" s="9" customFormat="1" ht="12" thickBot="1" x14ac:dyDescent="0.25">
      <c r="A803" s="28"/>
      <c r="B803" s="19"/>
      <c r="C803" s="19"/>
      <c r="D803" s="5"/>
      <c r="E803" s="5"/>
      <c r="F803" s="5" t="s">
        <v>991</v>
      </c>
      <c r="G803" s="5"/>
      <c r="H803" s="105"/>
      <c r="I803" s="21"/>
      <c r="J803" s="5"/>
      <c r="K803" s="5"/>
      <c r="L803" s="127"/>
      <c r="M803" s="5"/>
      <c r="N803" s="5"/>
      <c r="O803" s="5"/>
      <c r="P803" s="5"/>
      <c r="Q803" s="5"/>
      <c r="R803" s="5"/>
      <c r="S803" s="27"/>
      <c r="T803" s="19"/>
      <c r="U803" s="19"/>
      <c r="V803" s="224" t="s">
        <v>972</v>
      </c>
      <c r="W803" s="5"/>
      <c r="X803" s="5"/>
      <c r="Y803" s="61"/>
      <c r="Z803" s="5"/>
      <c r="AA803" s="5"/>
      <c r="AB803" s="5"/>
      <c r="AC803" s="5"/>
      <c r="AD803" s="10"/>
    </row>
    <row r="804" spans="1:30" s="9" customFormat="1" x14ac:dyDescent="0.2">
      <c r="A804" s="28"/>
      <c r="B804" s="16"/>
      <c r="C804" s="16"/>
      <c r="D804" s="7"/>
      <c r="E804" s="7"/>
      <c r="F804" s="6"/>
      <c r="G804" s="6"/>
      <c r="H804" s="17"/>
      <c r="I804" s="17"/>
      <c r="J804" s="7"/>
      <c r="K804" s="7"/>
      <c r="L804" s="23"/>
      <c r="M804" s="6"/>
      <c r="N804" s="6"/>
      <c r="O804" s="6"/>
      <c r="P804" s="6"/>
      <c r="Q804" s="6"/>
      <c r="R804" s="6"/>
      <c r="S804" s="6"/>
      <c r="T804" s="6" t="s">
        <v>992</v>
      </c>
      <c r="U804" s="6"/>
      <c r="V804" s="6"/>
      <c r="W804" s="6"/>
      <c r="X804" s="6"/>
      <c r="Y804" s="59"/>
      <c r="Z804" s="6"/>
      <c r="AA804" s="6"/>
      <c r="AB804" s="6"/>
      <c r="AC804" s="6"/>
      <c r="AD804" s="10"/>
    </row>
    <row r="805" spans="1:30" s="9" customFormat="1" x14ac:dyDescent="0.2">
      <c r="A805" s="28"/>
      <c r="B805" s="16" t="s">
        <v>36</v>
      </c>
      <c r="C805" s="16" t="s">
        <v>37</v>
      </c>
      <c r="D805" s="7" t="s">
        <v>978</v>
      </c>
      <c r="E805" s="7"/>
      <c r="F805" s="6" t="s">
        <v>979</v>
      </c>
      <c r="G805" s="6"/>
      <c r="H805" s="17">
        <v>3090.5</v>
      </c>
      <c r="I805" s="39"/>
      <c r="J805" s="7">
        <v>37642</v>
      </c>
      <c r="K805" s="7"/>
      <c r="L805" s="23">
        <v>37663</v>
      </c>
      <c r="M805" s="18" t="s">
        <v>41</v>
      </c>
      <c r="N805" s="6" t="s">
        <v>42</v>
      </c>
      <c r="O805" s="6"/>
      <c r="P805" s="6"/>
      <c r="Q805" s="6"/>
      <c r="R805" s="6"/>
      <c r="S805" s="23">
        <v>37695</v>
      </c>
      <c r="T805" s="23">
        <v>37702</v>
      </c>
      <c r="U805" s="23"/>
      <c r="V805" s="6" t="s">
        <v>53</v>
      </c>
      <c r="W805" s="6">
        <v>861</v>
      </c>
      <c r="X805" s="6"/>
      <c r="Y805" s="59"/>
      <c r="Z805" s="6">
        <v>6552932153</v>
      </c>
      <c r="AA805" s="6"/>
      <c r="AB805" s="6" t="s">
        <v>47</v>
      </c>
      <c r="AC805" s="507"/>
      <c r="AD805" s="10" t="str">
        <f>IF(T805&lt;=L805,"en término","atrasado")</f>
        <v>atrasado</v>
      </c>
    </row>
    <row r="806" spans="1:30" s="9" customFormat="1" ht="12" thickBot="1" x14ac:dyDescent="0.25">
      <c r="A806" s="28"/>
      <c r="B806" s="19"/>
      <c r="C806" s="19"/>
      <c r="D806" s="5"/>
      <c r="E806" s="5"/>
      <c r="F806" s="5" t="s">
        <v>980</v>
      </c>
      <c r="G806" s="5"/>
      <c r="H806" s="105"/>
      <c r="I806" s="21"/>
      <c r="J806" s="5"/>
      <c r="K806" s="5"/>
      <c r="L806" s="127"/>
      <c r="M806" s="5"/>
      <c r="N806" s="5"/>
      <c r="O806" s="5"/>
      <c r="P806" s="5"/>
      <c r="Q806" s="5"/>
      <c r="R806" s="5"/>
      <c r="S806" s="27"/>
      <c r="T806" s="5" t="s">
        <v>993</v>
      </c>
      <c r="U806" s="5"/>
      <c r="V806" s="224" t="s">
        <v>994</v>
      </c>
      <c r="W806" s="5"/>
      <c r="X806" s="5"/>
      <c r="Y806" s="61"/>
      <c r="Z806" s="5"/>
      <c r="AA806" s="5"/>
      <c r="AB806" s="5"/>
      <c r="AC806" s="5"/>
      <c r="AD806" s="10"/>
    </row>
    <row r="807" spans="1:30" s="9" customFormat="1" x14ac:dyDescent="0.2">
      <c r="A807" s="28"/>
      <c r="B807" s="16"/>
      <c r="C807" s="16"/>
      <c r="D807" s="7"/>
      <c r="E807" s="7"/>
      <c r="F807" s="6"/>
      <c r="G807" s="6"/>
      <c r="H807" s="17"/>
      <c r="I807" s="17"/>
      <c r="J807" s="7"/>
      <c r="K807" s="7"/>
      <c r="L807" s="23"/>
      <c r="M807" s="6"/>
      <c r="N807" s="6"/>
      <c r="O807" s="6"/>
      <c r="P807" s="6"/>
      <c r="Q807" s="6"/>
      <c r="R807" s="6"/>
      <c r="S807" s="6"/>
      <c r="T807" s="6" t="s">
        <v>992</v>
      </c>
      <c r="U807" s="6"/>
      <c r="V807" s="6"/>
      <c r="W807" s="6"/>
      <c r="X807" s="6"/>
      <c r="Y807" s="59"/>
      <c r="Z807" s="6"/>
      <c r="AA807" s="6"/>
      <c r="AB807" s="6"/>
      <c r="AC807" s="6"/>
      <c r="AD807" s="10"/>
    </row>
    <row r="808" spans="1:30" s="9" customFormat="1" x14ac:dyDescent="0.2">
      <c r="A808" s="28"/>
      <c r="B808" s="16" t="s">
        <v>36</v>
      </c>
      <c r="C808" s="16" t="s">
        <v>37</v>
      </c>
      <c r="D808" s="7" t="s">
        <v>983</v>
      </c>
      <c r="E808" s="7"/>
      <c r="F808" s="6" t="s">
        <v>984</v>
      </c>
      <c r="G808" s="6"/>
      <c r="H808" s="17">
        <v>344</v>
      </c>
      <c r="I808" s="39"/>
      <c r="J808" s="7">
        <v>37644</v>
      </c>
      <c r="K808" s="7"/>
      <c r="L808" s="23">
        <v>37663</v>
      </c>
      <c r="M808" s="18" t="s">
        <v>41</v>
      </c>
      <c r="N808" s="6" t="s">
        <v>42</v>
      </c>
      <c r="O808" s="6"/>
      <c r="P808" s="6"/>
      <c r="Q808" s="6"/>
      <c r="R808" s="6"/>
      <c r="S808" s="23">
        <v>37695</v>
      </c>
      <c r="T808" s="23">
        <v>37702</v>
      </c>
      <c r="U808" s="23"/>
      <c r="V808" s="6" t="s">
        <v>53</v>
      </c>
      <c r="W808" s="6">
        <v>861</v>
      </c>
      <c r="X808" s="6"/>
      <c r="Y808" s="59"/>
      <c r="Z808" s="6">
        <v>6552932153</v>
      </c>
      <c r="AA808" s="6"/>
      <c r="AB808" s="6" t="s">
        <v>47</v>
      </c>
      <c r="AC808" s="507"/>
      <c r="AD808" s="10" t="str">
        <f>IF(T808&lt;=L808,"en término","atrasado")</f>
        <v>atrasado</v>
      </c>
    </row>
    <row r="809" spans="1:30" s="9" customFormat="1" ht="12" thickBot="1" x14ac:dyDescent="0.25">
      <c r="A809" s="28"/>
      <c r="B809" s="19"/>
      <c r="C809" s="19"/>
      <c r="D809" s="5"/>
      <c r="E809" s="5"/>
      <c r="F809" s="5" t="s">
        <v>985</v>
      </c>
      <c r="G809" s="5"/>
      <c r="H809" s="105"/>
      <c r="I809" s="21"/>
      <c r="J809" s="5"/>
      <c r="K809" s="5"/>
      <c r="L809" s="127"/>
      <c r="M809" s="5"/>
      <c r="N809" s="5"/>
      <c r="O809" s="5"/>
      <c r="P809" s="5"/>
      <c r="Q809" s="5"/>
      <c r="R809" s="5"/>
      <c r="S809" s="27"/>
      <c r="T809" s="5" t="s">
        <v>993</v>
      </c>
      <c r="U809" s="5"/>
      <c r="V809" s="224" t="s">
        <v>994</v>
      </c>
      <c r="W809" s="5"/>
      <c r="X809" s="5"/>
      <c r="Y809" s="61"/>
      <c r="Z809" s="5"/>
      <c r="AA809" s="5"/>
      <c r="AB809" s="5"/>
      <c r="AC809" s="5"/>
      <c r="AD809" s="10"/>
    </row>
    <row r="810" spans="1:30" s="9" customFormat="1" x14ac:dyDescent="0.2">
      <c r="A810" s="28"/>
      <c r="B810" s="16"/>
      <c r="C810" s="16"/>
      <c r="D810" s="7"/>
      <c r="E810" s="7"/>
      <c r="F810" s="6"/>
      <c r="G810" s="6"/>
      <c r="H810" s="17"/>
      <c r="I810" s="17"/>
      <c r="J810" s="7"/>
      <c r="K810" s="7"/>
      <c r="L810" s="23"/>
      <c r="M810" s="6"/>
      <c r="N810" s="6"/>
      <c r="O810" s="6"/>
      <c r="P810" s="6"/>
      <c r="Q810" s="6"/>
      <c r="R810" s="6"/>
      <c r="S810" s="6"/>
      <c r="T810" s="6" t="s">
        <v>992</v>
      </c>
      <c r="U810" s="6"/>
      <c r="V810" s="6"/>
      <c r="W810" s="6"/>
      <c r="X810" s="6"/>
      <c r="Y810" s="59"/>
      <c r="Z810" s="6"/>
      <c r="AA810" s="6"/>
      <c r="AB810" s="6"/>
      <c r="AC810" s="6"/>
      <c r="AD810" s="10"/>
    </row>
    <row r="811" spans="1:30" s="9" customFormat="1" x14ac:dyDescent="0.2">
      <c r="A811" s="28"/>
      <c r="B811" s="16" t="s">
        <v>36</v>
      </c>
      <c r="C811" s="16" t="s">
        <v>37</v>
      </c>
      <c r="D811" s="7" t="s">
        <v>995</v>
      </c>
      <c r="E811" s="7"/>
      <c r="F811" s="6" t="s">
        <v>996</v>
      </c>
      <c r="G811" s="6"/>
      <c r="H811" s="17">
        <v>373.9</v>
      </c>
      <c r="I811" s="39"/>
      <c r="J811" s="7">
        <v>37680</v>
      </c>
      <c r="K811" s="7"/>
      <c r="L811" s="23">
        <f>90+J811</f>
        <v>37770</v>
      </c>
      <c r="M811" s="18" t="s">
        <v>41</v>
      </c>
      <c r="N811" s="6" t="s">
        <v>42</v>
      </c>
      <c r="O811" s="6"/>
      <c r="P811" s="6"/>
      <c r="Q811" s="6"/>
      <c r="R811" s="6"/>
      <c r="S811" s="23">
        <v>37695</v>
      </c>
      <c r="T811" s="23">
        <v>37702</v>
      </c>
      <c r="U811" s="23"/>
      <c r="V811" s="6" t="s">
        <v>53</v>
      </c>
      <c r="W811" s="6">
        <v>862</v>
      </c>
      <c r="X811" s="6"/>
      <c r="Y811" s="59"/>
      <c r="Z811" s="6">
        <v>6552932153</v>
      </c>
      <c r="AA811" s="6"/>
      <c r="AB811" s="6" t="s">
        <v>47</v>
      </c>
      <c r="AC811" s="507"/>
      <c r="AD811" s="10" t="str">
        <f>IF(T811&lt;=L811,"en término","atrasado")</f>
        <v>en término</v>
      </c>
    </row>
    <row r="812" spans="1:30" s="9" customFormat="1" ht="12" thickBot="1" x14ac:dyDescent="0.25">
      <c r="A812" s="28"/>
      <c r="B812" s="19"/>
      <c r="C812" s="19"/>
      <c r="D812" s="5"/>
      <c r="E812" s="5"/>
      <c r="F812" s="5" t="s">
        <v>997</v>
      </c>
      <c r="G812" s="5"/>
      <c r="H812" s="105"/>
      <c r="I812" s="21"/>
      <c r="J812" s="5"/>
      <c r="K812" s="5"/>
      <c r="L812" s="127"/>
      <c r="M812" s="5"/>
      <c r="N812" s="5"/>
      <c r="O812" s="5"/>
      <c r="P812" s="5"/>
      <c r="Q812" s="5"/>
      <c r="R812" s="5"/>
      <c r="S812" s="27"/>
      <c r="T812" s="5" t="s">
        <v>993</v>
      </c>
      <c r="U812" s="5"/>
      <c r="V812" s="224" t="s">
        <v>998</v>
      </c>
      <c r="W812" s="5"/>
      <c r="X812" s="5"/>
      <c r="Y812" s="61"/>
      <c r="Z812" s="5"/>
      <c r="AA812" s="5"/>
      <c r="AB812" s="5"/>
      <c r="AC812" s="5"/>
    </row>
    <row r="813" spans="1:30" s="9" customFormat="1" x14ac:dyDescent="0.2">
      <c r="A813" s="28"/>
      <c r="B813" s="16"/>
      <c r="C813" s="16"/>
      <c r="D813" s="7"/>
      <c r="E813" s="7"/>
      <c r="F813" s="6"/>
      <c r="G813" s="6"/>
      <c r="H813" s="17"/>
      <c r="I813" s="17"/>
      <c r="J813" s="7"/>
      <c r="K813" s="7"/>
      <c r="L813" s="23"/>
      <c r="M813" s="6"/>
      <c r="N813" s="6"/>
      <c r="O813" s="6"/>
      <c r="P813" s="6"/>
      <c r="Q813" s="6"/>
      <c r="R813" s="6"/>
      <c r="S813" s="6"/>
      <c r="T813" s="6" t="s">
        <v>992</v>
      </c>
      <c r="U813" s="6"/>
      <c r="V813" s="138" t="s">
        <v>999</v>
      </c>
      <c r="W813" s="6"/>
      <c r="X813" s="6"/>
      <c r="Y813" s="59"/>
      <c r="Z813" s="6" t="s">
        <v>1000</v>
      </c>
      <c r="AA813" s="6"/>
      <c r="AB813" s="6"/>
      <c r="AC813" s="6"/>
    </row>
    <row r="814" spans="1:30" s="9" customFormat="1" x14ac:dyDescent="0.2">
      <c r="A814" s="28"/>
      <c r="B814" s="16" t="s">
        <v>36</v>
      </c>
      <c r="C814" s="16" t="s">
        <v>133</v>
      </c>
      <c r="D814" s="7" t="s">
        <v>1001</v>
      </c>
      <c r="E814" s="7"/>
      <c r="F814" s="6" t="s">
        <v>1002</v>
      </c>
      <c r="G814" s="6"/>
      <c r="H814" s="17">
        <v>1790</v>
      </c>
      <c r="I814" s="39"/>
      <c r="J814" s="7">
        <v>37665</v>
      </c>
      <c r="K814" s="7"/>
      <c r="L814" s="23">
        <f>45+J814</f>
        <v>37710</v>
      </c>
      <c r="M814" s="18" t="s">
        <v>782</v>
      </c>
      <c r="N814" s="6" t="s">
        <v>42</v>
      </c>
      <c r="O814" s="6"/>
      <c r="P814" s="6"/>
      <c r="Q814" s="6"/>
      <c r="R814" s="6"/>
      <c r="S814" s="23">
        <v>37695</v>
      </c>
      <c r="T814" s="23">
        <v>37704</v>
      </c>
      <c r="U814" s="23"/>
      <c r="V814" s="6" t="s">
        <v>1003</v>
      </c>
      <c r="W814" s="6">
        <v>866</v>
      </c>
      <c r="X814" s="6" t="s">
        <v>47</v>
      </c>
      <c r="Y814" s="59"/>
      <c r="Z814" s="6" t="s">
        <v>1004</v>
      </c>
      <c r="AA814" s="6"/>
      <c r="AB814" s="6" t="s">
        <v>47</v>
      </c>
      <c r="AC814" s="507"/>
      <c r="AD814" s="10" t="str">
        <f>IF(T814&lt;=L814,"en término","atrasado")</f>
        <v>en término</v>
      </c>
    </row>
    <row r="815" spans="1:30" s="9" customFormat="1" ht="12" thickBot="1" x14ac:dyDescent="0.25">
      <c r="A815" s="28"/>
      <c r="B815" s="19"/>
      <c r="C815" s="19"/>
      <c r="D815" s="5"/>
      <c r="E815" s="5"/>
      <c r="F815" s="5" t="s">
        <v>1005</v>
      </c>
      <c r="G815" s="5"/>
      <c r="H815" s="105"/>
      <c r="I815" s="21"/>
      <c r="J815" s="5"/>
      <c r="K815" s="5"/>
      <c r="L815" s="127"/>
      <c r="M815" s="5"/>
      <c r="N815" s="5"/>
      <c r="O815" s="5"/>
      <c r="P815" s="5"/>
      <c r="Q815" s="5"/>
      <c r="R815" s="5"/>
      <c r="S815" s="27"/>
      <c r="T815" s="5" t="s">
        <v>1006</v>
      </c>
      <c r="U815" s="5"/>
      <c r="V815" s="224" t="s">
        <v>998</v>
      </c>
      <c r="W815" s="5"/>
      <c r="X815" s="5"/>
      <c r="Y815" s="61"/>
      <c r="Z815" s="5"/>
      <c r="AA815" s="5"/>
      <c r="AB815" s="5">
        <v>1772.5</v>
      </c>
      <c r="AC815" s="5"/>
      <c r="AD815" s="10"/>
    </row>
    <row r="816" spans="1:30" s="9" customFormat="1" x14ac:dyDescent="0.2">
      <c r="A816" s="28"/>
      <c r="B816" s="16"/>
      <c r="C816" s="16"/>
      <c r="D816" s="7"/>
      <c r="E816" s="7"/>
      <c r="F816" s="6"/>
      <c r="G816" s="6"/>
      <c r="H816" s="17"/>
      <c r="I816" s="17"/>
      <c r="J816" s="7"/>
      <c r="K816" s="7"/>
      <c r="L816" s="23"/>
      <c r="M816" s="6"/>
      <c r="N816" s="6"/>
      <c r="O816" s="6"/>
      <c r="P816" s="6"/>
      <c r="Q816" s="6"/>
      <c r="R816" s="6"/>
      <c r="S816" s="6" t="s">
        <v>185</v>
      </c>
      <c r="T816" s="12" t="s">
        <v>41</v>
      </c>
      <c r="U816" s="6"/>
      <c r="V816" s="6"/>
      <c r="W816" s="6"/>
      <c r="X816" s="12"/>
      <c r="Y816" s="59"/>
      <c r="Z816" s="6" t="s">
        <v>1007</v>
      </c>
      <c r="AA816" s="6"/>
      <c r="AB816" s="6"/>
      <c r="AC816" s="6"/>
      <c r="AD816" s="10"/>
    </row>
    <row r="817" spans="1:30" s="9" customFormat="1" x14ac:dyDescent="0.2">
      <c r="A817" s="28"/>
      <c r="B817" s="16" t="s">
        <v>36</v>
      </c>
      <c r="C817" s="16" t="s">
        <v>133</v>
      </c>
      <c r="D817" s="7" t="s">
        <v>1008</v>
      </c>
      <c r="E817" s="7"/>
      <c r="F817" s="6" t="s">
        <v>1009</v>
      </c>
      <c r="G817" s="6"/>
      <c r="H817" s="17">
        <v>78760.7</v>
      </c>
      <c r="I817" s="39" t="s">
        <v>40</v>
      </c>
      <c r="J817" s="7">
        <v>37676</v>
      </c>
      <c r="K817" s="7"/>
      <c r="L817" s="23">
        <f>90+J817</f>
        <v>37766</v>
      </c>
      <c r="M817" s="18" t="s">
        <v>41</v>
      </c>
      <c r="N817" s="6" t="s">
        <v>42</v>
      </c>
      <c r="O817" s="6"/>
      <c r="P817" s="6"/>
      <c r="Q817" s="6"/>
      <c r="R817" s="6"/>
      <c r="S817" s="23">
        <v>37735</v>
      </c>
      <c r="T817" s="23">
        <v>37754</v>
      </c>
      <c r="U817" s="23"/>
      <c r="V817" s="6" t="s">
        <v>1010</v>
      </c>
      <c r="W817" s="6">
        <v>875</v>
      </c>
      <c r="X817" s="6" t="s">
        <v>47</v>
      </c>
      <c r="Y817" s="59"/>
      <c r="Z817" s="6" t="s">
        <v>1011</v>
      </c>
      <c r="AA817" s="6"/>
      <c r="AB817" s="6" t="s">
        <v>47</v>
      </c>
      <c r="AC817" s="507"/>
      <c r="AD817" s="10" t="str">
        <f>IF(T817&lt;=L817,"en término","atrasado")</f>
        <v>en término</v>
      </c>
    </row>
    <row r="818" spans="1:30" s="9" customFormat="1" ht="12" thickBot="1" x14ac:dyDescent="0.25">
      <c r="A818" s="28"/>
      <c r="B818" s="19"/>
      <c r="C818" s="19"/>
      <c r="D818" s="5"/>
      <c r="E818" s="5"/>
      <c r="F818" s="5" t="s">
        <v>1012</v>
      </c>
      <c r="G818" s="5"/>
      <c r="H818" s="105"/>
      <c r="I818" s="21"/>
      <c r="J818" s="5"/>
      <c r="K818" s="5"/>
      <c r="L818" s="127"/>
      <c r="M818" s="5"/>
      <c r="N818" s="5"/>
      <c r="O818" s="5"/>
      <c r="P818" s="5"/>
      <c r="Q818" s="5"/>
      <c r="R818" s="5"/>
      <c r="S818" s="27" t="s">
        <v>1013</v>
      </c>
      <c r="T818" s="5" t="s">
        <v>1014</v>
      </c>
      <c r="U818" s="5"/>
      <c r="V818" s="5"/>
      <c r="W818" s="5"/>
      <c r="X818" s="5"/>
      <c r="Y818" s="61"/>
      <c r="Z818" s="5"/>
      <c r="AA818" s="5"/>
      <c r="AB818" s="5"/>
      <c r="AC818" s="5"/>
      <c r="AD818" s="10"/>
    </row>
    <row r="819" spans="1:30" s="9" customFormat="1" x14ac:dyDescent="0.2">
      <c r="A819" s="28"/>
      <c r="B819" s="16"/>
      <c r="C819" s="16"/>
      <c r="D819" s="7"/>
      <c r="E819" s="7"/>
      <c r="F819" s="6"/>
      <c r="G819" s="6"/>
      <c r="H819" s="17"/>
      <c r="I819" s="17"/>
      <c r="J819" s="7"/>
      <c r="K819" s="7"/>
      <c r="L819" s="23"/>
      <c r="M819" s="6"/>
      <c r="N819" s="6"/>
      <c r="O819" s="6"/>
      <c r="P819" s="6"/>
      <c r="Q819" s="6"/>
      <c r="R819" s="6"/>
      <c r="S819" s="6" t="s">
        <v>185</v>
      </c>
      <c r="T819" s="12" t="s">
        <v>41</v>
      </c>
      <c r="U819" s="6"/>
      <c r="V819" s="6"/>
      <c r="W819" s="6"/>
      <c r="X819" s="6"/>
      <c r="Y819" s="59"/>
      <c r="Z819" s="6"/>
      <c r="AA819" s="6"/>
      <c r="AB819" s="6"/>
      <c r="AC819" s="6"/>
      <c r="AD819" s="10"/>
    </row>
    <row r="820" spans="1:30" s="9" customFormat="1" x14ac:dyDescent="0.2">
      <c r="A820" s="28"/>
      <c r="B820" s="16" t="s">
        <v>36</v>
      </c>
      <c r="C820" s="16" t="s">
        <v>37</v>
      </c>
      <c r="D820" s="7" t="s">
        <v>1015</v>
      </c>
      <c r="E820" s="7"/>
      <c r="F820" s="6" t="s">
        <v>996</v>
      </c>
      <c r="G820" s="6"/>
      <c r="H820" s="17">
        <v>14940</v>
      </c>
      <c r="I820" s="39"/>
      <c r="J820" s="7">
        <v>37680</v>
      </c>
      <c r="K820" s="7"/>
      <c r="L820" s="23">
        <f>90+J820</f>
        <v>37770</v>
      </c>
      <c r="M820" s="18" t="s">
        <v>41</v>
      </c>
      <c r="N820" s="6" t="s">
        <v>42</v>
      </c>
      <c r="O820" s="6"/>
      <c r="P820" s="6"/>
      <c r="Q820" s="6"/>
      <c r="R820" s="6"/>
      <c r="S820" s="23">
        <v>37735</v>
      </c>
      <c r="T820" s="23">
        <v>37754</v>
      </c>
      <c r="U820" s="23"/>
      <c r="V820" s="6" t="s">
        <v>1016</v>
      </c>
      <c r="W820" s="6">
        <v>876</v>
      </c>
      <c r="X820" s="6"/>
      <c r="Y820" s="59"/>
      <c r="Z820" s="6">
        <v>9051564174</v>
      </c>
      <c r="AA820" s="6"/>
      <c r="AB820" s="6" t="s">
        <v>47</v>
      </c>
      <c r="AC820" s="507"/>
      <c r="AD820" s="10" t="str">
        <f>IF(T820&lt;=L820,"en término","atrasado")</f>
        <v>en término</v>
      </c>
    </row>
    <row r="821" spans="1:30" s="9" customFormat="1" ht="12" thickBot="1" x14ac:dyDescent="0.25">
      <c r="A821" s="28"/>
      <c r="B821" s="19"/>
      <c r="C821" s="19"/>
      <c r="D821" s="5"/>
      <c r="E821" s="5"/>
      <c r="F821" s="5" t="s">
        <v>1017</v>
      </c>
      <c r="G821" s="5"/>
      <c r="H821" s="105"/>
      <c r="I821" s="21"/>
      <c r="J821" s="5"/>
      <c r="K821" s="5"/>
      <c r="L821" s="127"/>
      <c r="M821" s="5"/>
      <c r="N821" s="5"/>
      <c r="O821" s="5"/>
      <c r="P821" s="5"/>
      <c r="Q821" s="5"/>
      <c r="R821" s="5"/>
      <c r="S821" s="27" t="s">
        <v>1013</v>
      </c>
      <c r="T821" s="5" t="s">
        <v>1014</v>
      </c>
      <c r="U821" s="5"/>
      <c r="V821" s="224"/>
      <c r="W821" s="5"/>
      <c r="X821" s="5"/>
      <c r="Y821" s="61"/>
      <c r="Z821" s="5"/>
      <c r="AA821" s="5"/>
      <c r="AB821" s="5"/>
      <c r="AC821" s="5"/>
      <c r="AD821" s="10"/>
    </row>
    <row r="822" spans="1:30" s="9" customFormat="1" x14ac:dyDescent="0.2">
      <c r="A822" s="28"/>
      <c r="B822" s="16"/>
      <c r="C822" s="16"/>
      <c r="D822" s="7"/>
      <c r="E822" s="7"/>
      <c r="F822" s="6"/>
      <c r="G822" s="6"/>
      <c r="H822" s="17"/>
      <c r="I822" s="17"/>
      <c r="J822" s="7"/>
      <c r="K822" s="7"/>
      <c r="L822" s="23"/>
      <c r="M822" s="6"/>
      <c r="N822" s="6"/>
      <c r="O822" s="6"/>
      <c r="P822" s="6"/>
      <c r="Q822" s="6"/>
      <c r="R822" s="6"/>
      <c r="S822" s="6" t="s">
        <v>185</v>
      </c>
      <c r="T822" s="12" t="s">
        <v>41</v>
      </c>
      <c r="U822" s="6"/>
      <c r="V822" s="6"/>
      <c r="W822" s="6"/>
      <c r="X822" s="6"/>
      <c r="Y822" s="59"/>
      <c r="Z822" s="6"/>
      <c r="AA822" s="6"/>
      <c r="AB822" s="6"/>
      <c r="AC822" s="6"/>
      <c r="AD822" s="10"/>
    </row>
    <row r="823" spans="1:30" s="9" customFormat="1" x14ac:dyDescent="0.2">
      <c r="A823" s="28"/>
      <c r="B823" s="16" t="s">
        <v>36</v>
      </c>
      <c r="C823" s="16" t="s">
        <v>37</v>
      </c>
      <c r="D823" s="7" t="s">
        <v>1018</v>
      </c>
      <c r="E823" s="7"/>
      <c r="F823" s="6" t="s">
        <v>1019</v>
      </c>
      <c r="G823" s="6"/>
      <c r="H823" s="17">
        <v>980</v>
      </c>
      <c r="I823" s="39"/>
      <c r="J823" s="7">
        <v>37698</v>
      </c>
      <c r="K823" s="7"/>
      <c r="L823" s="23"/>
      <c r="M823" s="18" t="s">
        <v>41</v>
      </c>
      <c r="N823" s="6" t="s">
        <v>42</v>
      </c>
      <c r="O823" s="6"/>
      <c r="P823" s="6"/>
      <c r="Q823" s="6"/>
      <c r="R823" s="6"/>
      <c r="S823" s="23">
        <v>37735</v>
      </c>
      <c r="T823" s="23">
        <v>37754</v>
      </c>
      <c r="U823" s="23"/>
      <c r="V823" s="6" t="s">
        <v>1020</v>
      </c>
      <c r="W823" s="6">
        <v>876</v>
      </c>
      <c r="X823" s="6"/>
      <c r="Y823" s="59"/>
      <c r="Z823" s="6">
        <v>9051564174</v>
      </c>
      <c r="AA823" s="6"/>
      <c r="AB823" s="6" t="s">
        <v>47</v>
      </c>
      <c r="AC823" s="507"/>
      <c r="AD823" s="10" t="str">
        <f>IF(T823&lt;=L823,"en término","atrasado")</f>
        <v>atrasado</v>
      </c>
    </row>
    <row r="824" spans="1:30" s="9" customFormat="1" ht="12" thickBot="1" x14ac:dyDescent="0.25">
      <c r="A824" s="28"/>
      <c r="B824" s="19"/>
      <c r="C824" s="19"/>
      <c r="D824" s="5"/>
      <c r="E824" s="5"/>
      <c r="F824" s="5" t="s">
        <v>954</v>
      </c>
      <c r="G824" s="5"/>
      <c r="H824" s="105"/>
      <c r="I824" s="21"/>
      <c r="J824" s="27"/>
      <c r="K824" s="27"/>
      <c r="L824" s="127"/>
      <c r="M824" s="5"/>
      <c r="N824" s="5"/>
      <c r="O824" s="5"/>
      <c r="P824" s="5"/>
      <c r="Q824" s="5"/>
      <c r="R824" s="5"/>
      <c r="S824" s="27" t="s">
        <v>1013</v>
      </c>
      <c r="T824" s="5" t="s">
        <v>1014</v>
      </c>
      <c r="U824" s="5"/>
      <c r="V824" s="224"/>
      <c r="W824" s="5"/>
      <c r="X824" s="5"/>
      <c r="Y824" s="61"/>
      <c r="Z824" s="5"/>
      <c r="AA824" s="5"/>
      <c r="AB824" s="5"/>
      <c r="AC824" s="5"/>
      <c r="AD824" s="10"/>
    </row>
    <row r="825" spans="1:30" s="9" customFormat="1" x14ac:dyDescent="0.2">
      <c r="A825" s="28"/>
      <c r="B825" s="16"/>
      <c r="C825" s="16"/>
      <c r="D825" s="7"/>
      <c r="E825" s="7"/>
      <c r="F825" s="6"/>
      <c r="G825" s="6"/>
      <c r="H825" s="17"/>
      <c r="I825" s="17"/>
      <c r="J825" s="7"/>
      <c r="K825" s="7"/>
      <c r="L825" s="23"/>
      <c r="M825" s="6"/>
      <c r="N825" s="6"/>
      <c r="O825" s="6"/>
      <c r="P825" s="6"/>
      <c r="Q825" s="6"/>
      <c r="R825" s="6"/>
      <c r="S825" s="6"/>
      <c r="T825" s="12"/>
      <c r="U825" s="6"/>
      <c r="V825" s="6"/>
      <c r="W825" s="6"/>
      <c r="X825" s="12"/>
      <c r="Y825" s="59"/>
      <c r="Z825" s="6"/>
      <c r="AA825" s="6"/>
      <c r="AB825" s="6"/>
      <c r="AC825" s="6"/>
      <c r="AD825" s="10"/>
    </row>
    <row r="826" spans="1:30" s="9" customFormat="1" x14ac:dyDescent="0.2">
      <c r="A826" s="28"/>
      <c r="B826" s="16" t="s">
        <v>36</v>
      </c>
      <c r="C826" s="16" t="s">
        <v>1021</v>
      </c>
      <c r="D826" s="7" t="s">
        <v>1022</v>
      </c>
      <c r="E826" s="7"/>
      <c r="F826" s="6" t="s">
        <v>1023</v>
      </c>
      <c r="G826" s="6"/>
      <c r="H826" s="17">
        <v>6200</v>
      </c>
      <c r="I826" s="39" t="s">
        <v>124</v>
      </c>
      <c r="J826" s="7">
        <v>37719</v>
      </c>
      <c r="K826" s="7"/>
      <c r="L826" s="23" t="s">
        <v>470</v>
      </c>
      <c r="M826" s="18" t="s">
        <v>41</v>
      </c>
      <c r="N826" s="6" t="s">
        <v>110</v>
      </c>
      <c r="O826" s="6"/>
      <c r="P826" s="6"/>
      <c r="Q826" s="6"/>
      <c r="R826" s="6"/>
      <c r="S826" s="23">
        <v>37726</v>
      </c>
      <c r="T826" s="23">
        <v>37735</v>
      </c>
      <c r="U826" s="23"/>
      <c r="V826" s="6" t="s">
        <v>378</v>
      </c>
      <c r="W826" s="6">
        <v>871</v>
      </c>
      <c r="X826" s="6"/>
      <c r="Y826" s="59"/>
      <c r="Z826" s="6">
        <v>9051564255</v>
      </c>
      <c r="AA826" s="6"/>
      <c r="AB826" s="6" t="s">
        <v>47</v>
      </c>
      <c r="AC826" s="507"/>
      <c r="AD826" s="10" t="str">
        <f>IF(T826&lt;=L826,"en término","atrasado")</f>
        <v>en término</v>
      </c>
    </row>
    <row r="827" spans="1:30" s="9" customFormat="1" ht="12" thickBot="1" x14ac:dyDescent="0.25">
      <c r="A827" s="28"/>
      <c r="B827" s="19"/>
      <c r="C827" s="19"/>
      <c r="D827" s="5"/>
      <c r="E827" s="5"/>
      <c r="F827" s="5"/>
      <c r="G827" s="5"/>
      <c r="H827" s="105"/>
      <c r="I827" s="21"/>
      <c r="J827" s="5"/>
      <c r="K827" s="5"/>
      <c r="L827" s="127"/>
      <c r="M827" s="5"/>
      <c r="N827" s="5"/>
      <c r="O827" s="5"/>
      <c r="P827" s="5"/>
      <c r="Q827" s="5"/>
      <c r="R827" s="5"/>
      <c r="S827" s="27"/>
      <c r="T827" s="19" t="s">
        <v>1024</v>
      </c>
      <c r="U827" s="19"/>
      <c r="V827" s="5"/>
      <c r="W827" s="5"/>
      <c r="X827" s="5"/>
      <c r="Y827" s="61"/>
      <c r="Z827" s="5"/>
      <c r="AA827" s="5"/>
      <c r="AB827" s="5"/>
      <c r="AC827" s="5"/>
      <c r="AD827" s="10"/>
    </row>
    <row r="828" spans="1:30" s="9" customFormat="1" x14ac:dyDescent="0.2">
      <c r="A828" s="28"/>
      <c r="B828" s="11"/>
      <c r="C828" s="11"/>
      <c r="D828" s="91"/>
      <c r="E828" s="91"/>
      <c r="F828" s="12"/>
      <c r="G828" s="12"/>
      <c r="H828" s="13"/>
      <c r="I828" s="13"/>
      <c r="J828" s="91"/>
      <c r="K828" s="91"/>
      <c r="L828" s="134"/>
      <c r="M828" s="12"/>
      <c r="N828" s="12"/>
      <c r="O828" s="12"/>
      <c r="P828" s="12"/>
      <c r="Q828" s="12"/>
      <c r="R828" s="12"/>
      <c r="S828" s="12"/>
      <c r="T828" s="12"/>
      <c r="U828" s="12"/>
      <c r="V828" s="244" t="s">
        <v>347</v>
      </c>
      <c r="W828" s="12"/>
      <c r="X828" s="12"/>
      <c r="Y828" s="57"/>
      <c r="Z828" s="12"/>
      <c r="AA828" s="12"/>
      <c r="AB828" s="12"/>
      <c r="AC828" s="12"/>
      <c r="AD828" s="10"/>
    </row>
    <row r="829" spans="1:30" s="9" customFormat="1" x14ac:dyDescent="0.2">
      <c r="A829" s="28"/>
      <c r="B829" s="16" t="s">
        <v>36</v>
      </c>
      <c r="C829" s="16" t="s">
        <v>37</v>
      </c>
      <c r="D829" s="7" t="s">
        <v>1025</v>
      </c>
      <c r="E829" s="7"/>
      <c r="F829" s="6" t="s">
        <v>1026</v>
      </c>
      <c r="G829" s="6"/>
      <c r="H829" s="17">
        <v>3640</v>
      </c>
      <c r="I829" s="39" t="s">
        <v>52</v>
      </c>
      <c r="J829" s="7">
        <v>37735</v>
      </c>
      <c r="K829" s="7"/>
      <c r="L829" s="23">
        <f>90+J829</f>
        <v>37825</v>
      </c>
      <c r="M829" s="18" t="s">
        <v>41</v>
      </c>
      <c r="N829" s="6" t="s">
        <v>42</v>
      </c>
      <c r="O829" s="6"/>
      <c r="P829" s="6"/>
      <c r="Q829" s="6"/>
      <c r="R829" s="6"/>
      <c r="S829" s="23">
        <v>37742</v>
      </c>
      <c r="T829" s="23">
        <v>37743</v>
      </c>
      <c r="U829" s="23"/>
      <c r="V829" s="6" t="s">
        <v>1027</v>
      </c>
      <c r="W829" s="6" t="s">
        <v>1028</v>
      </c>
      <c r="X829" s="6"/>
      <c r="Y829" s="59"/>
      <c r="Z829" s="6"/>
      <c r="AA829" s="6"/>
      <c r="AB829" s="6"/>
      <c r="AC829" s="6"/>
      <c r="AD829" s="10" t="str">
        <f>IF(T829&lt;=L829,"en término","atrasado")</f>
        <v>en término</v>
      </c>
    </row>
    <row r="830" spans="1:30" s="9" customFormat="1" ht="12" thickBot="1" x14ac:dyDescent="0.25">
      <c r="A830" s="28"/>
      <c r="B830" s="19"/>
      <c r="C830" s="19"/>
      <c r="D830" s="5"/>
      <c r="E830" s="5"/>
      <c r="F830" s="5" t="s">
        <v>1029</v>
      </c>
      <c r="G830" s="5"/>
      <c r="H830" s="105"/>
      <c r="I830" s="21"/>
      <c r="J830" s="5"/>
      <c r="K830" s="5"/>
      <c r="L830" s="127"/>
      <c r="M830" s="5"/>
      <c r="N830" s="5"/>
      <c r="O830" s="5"/>
      <c r="P830" s="5"/>
      <c r="Q830" s="5"/>
      <c r="R830" s="5"/>
      <c r="S830" s="27"/>
      <c r="T830" s="19"/>
      <c r="U830" s="19"/>
      <c r="V830" s="224"/>
      <c r="W830" s="5"/>
      <c r="X830" s="5"/>
      <c r="Y830" s="61"/>
      <c r="Z830" s="5"/>
      <c r="AA830" s="5"/>
      <c r="AB830" s="5"/>
      <c r="AC830" s="5"/>
      <c r="AD830" s="10"/>
    </row>
    <row r="831" spans="1:30" s="9" customFormat="1" x14ac:dyDescent="0.2">
      <c r="A831" s="28"/>
      <c r="B831" s="16"/>
      <c r="C831" s="16"/>
      <c r="D831" s="7"/>
      <c r="E831" s="7"/>
      <c r="F831" s="6"/>
      <c r="G831" s="6"/>
      <c r="H831" s="17"/>
      <c r="I831" s="17"/>
      <c r="J831" s="7"/>
      <c r="K831" s="7"/>
      <c r="L831" s="23"/>
      <c r="M831" s="6"/>
      <c r="N831" s="6"/>
      <c r="O831" s="6"/>
      <c r="P831" s="6"/>
      <c r="Q831" s="6"/>
      <c r="R831" s="6"/>
      <c r="S831" s="6"/>
      <c r="T831" s="12" t="s">
        <v>1030</v>
      </c>
      <c r="U831" s="6"/>
      <c r="V831" s="6"/>
      <c r="W831" s="6"/>
      <c r="X831" s="12"/>
      <c r="Y831" s="59"/>
      <c r="Z831" s="6"/>
      <c r="AA831" s="6"/>
      <c r="AB831" s="6"/>
      <c r="AC831" s="6"/>
      <c r="AD831" s="10"/>
    </row>
    <row r="832" spans="1:30" s="9" customFormat="1" x14ac:dyDescent="0.2">
      <c r="A832" s="28"/>
      <c r="B832" s="16" t="s">
        <v>36</v>
      </c>
      <c r="C832" s="16" t="s">
        <v>1021</v>
      </c>
      <c r="D832" s="7" t="s">
        <v>1031</v>
      </c>
      <c r="E832" s="7"/>
      <c r="F832" s="6" t="s">
        <v>1032</v>
      </c>
      <c r="G832" s="6"/>
      <c r="H832" s="17">
        <v>8302</v>
      </c>
      <c r="I832" s="39" t="s">
        <v>124</v>
      </c>
      <c r="J832" s="7">
        <v>37747</v>
      </c>
      <c r="K832" s="7"/>
      <c r="L832" s="23">
        <f>30+J832</f>
        <v>37777</v>
      </c>
      <c r="M832" s="18" t="s">
        <v>171</v>
      </c>
      <c r="N832" s="6" t="s">
        <v>42</v>
      </c>
      <c r="O832" s="6"/>
      <c r="P832" s="6"/>
      <c r="Q832" s="6"/>
      <c r="R832" s="6"/>
      <c r="S832" s="23">
        <v>37748</v>
      </c>
      <c r="T832" s="23">
        <v>37761</v>
      </c>
      <c r="U832" s="23"/>
      <c r="V832" s="6" t="s">
        <v>879</v>
      </c>
      <c r="W832" s="6">
        <v>878</v>
      </c>
      <c r="X832" s="6"/>
      <c r="Y832" s="59"/>
      <c r="Z832" s="6">
        <v>9051564130</v>
      </c>
      <c r="AA832" s="6"/>
      <c r="AB832" s="6" t="s">
        <v>47</v>
      </c>
      <c r="AC832" s="507"/>
      <c r="AD832" s="10" t="str">
        <f>IF(T832&lt;=L832,"en término","atrasado")</f>
        <v>en término</v>
      </c>
    </row>
    <row r="833" spans="1:30" s="9" customFormat="1" ht="12" thickBot="1" x14ac:dyDescent="0.25">
      <c r="A833" s="28"/>
      <c r="B833" s="19"/>
      <c r="C833" s="19"/>
      <c r="D833" s="5"/>
      <c r="E833" s="5"/>
      <c r="F833" s="5"/>
      <c r="G833" s="5"/>
      <c r="H833" s="105"/>
      <c r="I833" s="21"/>
      <c r="J833" s="5"/>
      <c r="K833" s="5"/>
      <c r="L833" s="127"/>
      <c r="M833" s="5"/>
      <c r="N833" s="5"/>
      <c r="O833" s="5"/>
      <c r="P833" s="5"/>
      <c r="Q833" s="5"/>
      <c r="R833" s="5"/>
      <c r="S833" s="27"/>
      <c r="T833" s="19" t="s">
        <v>1033</v>
      </c>
      <c r="U833" s="19"/>
      <c r="V833" s="5"/>
      <c r="W833" s="5"/>
      <c r="X833" s="5"/>
      <c r="Y833" s="61"/>
      <c r="Z833" s="5"/>
      <c r="AA833" s="5"/>
      <c r="AB833" s="5"/>
      <c r="AC833" s="5"/>
      <c r="AD833" s="10"/>
    </row>
    <row r="834" spans="1:30" s="9" customFormat="1" x14ac:dyDescent="0.2">
      <c r="A834" s="28"/>
      <c r="B834" s="16"/>
      <c r="C834" s="16"/>
      <c r="D834" s="7"/>
      <c r="E834" s="7"/>
      <c r="F834" s="6"/>
      <c r="G834" s="6"/>
      <c r="H834" s="17"/>
      <c r="I834" s="17"/>
      <c r="J834" s="7"/>
      <c r="K834" s="7"/>
      <c r="L834" s="23"/>
      <c r="M834" s="6"/>
      <c r="N834" s="6"/>
      <c r="O834" s="6"/>
      <c r="P834" s="6"/>
      <c r="Q834" s="6"/>
      <c r="R834" s="6"/>
      <c r="S834" s="6"/>
      <c r="T834" s="12" t="s">
        <v>185</v>
      </c>
      <c r="U834" s="6"/>
      <c r="V834" s="6"/>
      <c r="W834" s="6"/>
      <c r="X834" s="12"/>
      <c r="Y834" s="59"/>
      <c r="Z834" s="6" t="s">
        <v>1034</v>
      </c>
      <c r="AA834" s="6"/>
      <c r="AB834" s="6"/>
      <c r="AC834" s="6"/>
      <c r="AD834" s="10"/>
    </row>
    <row r="835" spans="1:30" s="9" customFormat="1" x14ac:dyDescent="0.2">
      <c r="A835" s="28"/>
      <c r="B835" s="16" t="s">
        <v>36</v>
      </c>
      <c r="C835" s="16" t="s">
        <v>133</v>
      </c>
      <c r="D835" s="7" t="s">
        <v>1008</v>
      </c>
      <c r="E835" s="7"/>
      <c r="F835" s="6" t="s">
        <v>1009</v>
      </c>
      <c r="G835" s="6"/>
      <c r="H835" s="17">
        <v>26837.200000000001</v>
      </c>
      <c r="I835" s="39" t="s">
        <v>52</v>
      </c>
      <c r="J835" s="7">
        <v>37694</v>
      </c>
      <c r="K835" s="7"/>
      <c r="L835" s="23">
        <f>90+J835</f>
        <v>37784</v>
      </c>
      <c r="M835" s="18" t="s">
        <v>41</v>
      </c>
      <c r="N835" s="6" t="s">
        <v>42</v>
      </c>
      <c r="O835" s="6"/>
      <c r="P835" s="6"/>
      <c r="Q835" s="6"/>
      <c r="R835" s="6"/>
      <c r="S835" s="23">
        <v>37768</v>
      </c>
      <c r="T835" s="23">
        <v>37774</v>
      </c>
      <c r="U835" s="23"/>
      <c r="V835" s="6" t="s">
        <v>780</v>
      </c>
      <c r="W835" s="6">
        <v>883</v>
      </c>
      <c r="X835" s="6" t="s">
        <v>47</v>
      </c>
      <c r="Y835" s="59"/>
      <c r="Z835" s="6" t="s">
        <v>1035</v>
      </c>
      <c r="AA835" s="6"/>
      <c r="AB835" s="6" t="s">
        <v>47</v>
      </c>
      <c r="AC835" s="507"/>
      <c r="AD835" s="10" t="str">
        <f>IF(T835&lt;=L835,"en término","atrasado")</f>
        <v>en término</v>
      </c>
    </row>
    <row r="836" spans="1:30" s="9" customFormat="1" ht="16.5" customHeight="1" x14ac:dyDescent="0.2">
      <c r="A836" s="28"/>
      <c r="B836" s="255"/>
      <c r="C836" s="255"/>
      <c r="D836" s="256"/>
      <c r="E836" s="256"/>
      <c r="F836" s="256" t="s">
        <v>1036</v>
      </c>
      <c r="G836" s="256"/>
      <c r="H836" s="257"/>
      <c r="I836" s="258"/>
      <c r="J836" s="256"/>
      <c r="K836" s="256"/>
      <c r="L836" s="259"/>
      <c r="M836" s="256"/>
      <c r="N836" s="256"/>
      <c r="O836" s="256"/>
      <c r="P836" s="256"/>
      <c r="Q836" s="256"/>
      <c r="R836" s="256"/>
      <c r="S836" s="260"/>
      <c r="T836" s="255" t="s">
        <v>1037</v>
      </c>
      <c r="U836" s="255"/>
      <c r="V836" s="256"/>
      <c r="W836" s="256"/>
      <c r="X836" s="256"/>
      <c r="Y836" s="261"/>
      <c r="Z836" s="256"/>
      <c r="AA836" s="256"/>
      <c r="AB836" s="256"/>
      <c r="AC836" s="256"/>
      <c r="AD836" s="10"/>
    </row>
    <row r="837" spans="1:30" s="9" customFormat="1" x14ac:dyDescent="0.2">
      <c r="A837" s="28"/>
      <c r="B837" s="262"/>
      <c r="C837" s="262"/>
      <c r="D837" s="263"/>
      <c r="E837" s="263"/>
      <c r="F837" s="264"/>
      <c r="G837" s="264"/>
      <c r="H837" s="265"/>
      <c r="I837" s="265"/>
      <c r="J837" s="263"/>
      <c r="K837" s="263"/>
      <c r="L837" s="266"/>
      <c r="M837" s="264"/>
      <c r="N837" s="264"/>
      <c r="O837" s="264"/>
      <c r="P837" s="264"/>
      <c r="Q837" s="264"/>
      <c r="R837" s="264"/>
      <c r="S837" s="264"/>
      <c r="T837" s="264" t="s">
        <v>185</v>
      </c>
      <c r="U837" s="264"/>
      <c r="V837" s="264"/>
      <c r="W837" s="264"/>
      <c r="X837" s="264"/>
      <c r="Y837" s="267"/>
      <c r="Z837" s="6" t="s">
        <v>1034</v>
      </c>
      <c r="AA837" s="264"/>
      <c r="AB837" s="264"/>
      <c r="AC837" s="264"/>
      <c r="AD837" s="10"/>
    </row>
    <row r="838" spans="1:30" s="9" customFormat="1" x14ac:dyDescent="0.2">
      <c r="A838" s="28"/>
      <c r="B838" s="16" t="s">
        <v>36</v>
      </c>
      <c r="C838" s="16" t="s">
        <v>133</v>
      </c>
      <c r="D838" s="7" t="s">
        <v>1008</v>
      </c>
      <c r="E838" s="7"/>
      <c r="F838" s="6" t="s">
        <v>1009</v>
      </c>
      <c r="G838" s="6"/>
      <c r="H838" s="17">
        <v>28671.91</v>
      </c>
      <c r="I838" s="39" t="s">
        <v>139</v>
      </c>
      <c r="J838" s="7">
        <v>37700</v>
      </c>
      <c r="K838" s="7"/>
      <c r="L838" s="23">
        <f>90+J838</f>
        <v>37790</v>
      </c>
      <c r="M838" s="18" t="s">
        <v>41</v>
      </c>
      <c r="N838" s="6" t="s">
        <v>42</v>
      </c>
      <c r="O838" s="6"/>
      <c r="P838" s="6"/>
      <c r="Q838" s="6"/>
      <c r="R838" s="6"/>
      <c r="S838" s="23">
        <v>37768</v>
      </c>
      <c r="T838" s="23">
        <v>37774</v>
      </c>
      <c r="U838" s="23"/>
      <c r="V838" s="6" t="s">
        <v>1038</v>
      </c>
      <c r="W838" s="6">
        <v>884</v>
      </c>
      <c r="X838" s="6" t="s">
        <v>47</v>
      </c>
      <c r="Y838" s="59"/>
      <c r="Z838" s="6" t="s">
        <v>1035</v>
      </c>
      <c r="AA838" s="6"/>
      <c r="AB838" s="6" t="s">
        <v>47</v>
      </c>
      <c r="AC838" s="507"/>
      <c r="AD838" s="10" t="str">
        <f>IF(T838&lt;=L838,"en término","atrasado")</f>
        <v>en término</v>
      </c>
    </row>
    <row r="839" spans="1:30" s="9" customFormat="1" ht="12" thickBot="1" x14ac:dyDescent="0.25">
      <c r="A839" s="28"/>
      <c r="B839" s="19"/>
      <c r="C839" s="19"/>
      <c r="D839" s="5"/>
      <c r="E839" s="5"/>
      <c r="F839" s="5" t="s">
        <v>1039</v>
      </c>
      <c r="G839" s="5"/>
      <c r="H839" s="105"/>
      <c r="I839" s="21"/>
      <c r="J839" s="5"/>
      <c r="K839" s="5"/>
      <c r="L839" s="127"/>
      <c r="M839" s="5"/>
      <c r="N839" s="5"/>
      <c r="O839" s="5"/>
      <c r="P839" s="5"/>
      <c r="Q839" s="5"/>
      <c r="R839" s="5"/>
      <c r="S839" s="27"/>
      <c r="T839" s="19" t="s">
        <v>1037</v>
      </c>
      <c r="U839" s="19"/>
      <c r="V839" s="5"/>
      <c r="W839" s="5"/>
      <c r="X839" s="5"/>
      <c r="Y839" s="61"/>
      <c r="Z839" s="5"/>
      <c r="AA839" s="5"/>
      <c r="AB839" s="5"/>
      <c r="AC839" s="5"/>
      <c r="AD839" s="10"/>
    </row>
    <row r="840" spans="1:30" s="9" customFormat="1" x14ac:dyDescent="0.2">
      <c r="A840" s="28"/>
      <c r="B840" s="16"/>
      <c r="C840" s="16"/>
      <c r="D840" s="7"/>
      <c r="E840" s="7"/>
      <c r="F840" s="6"/>
      <c r="G840" s="6"/>
      <c r="H840" s="17"/>
      <c r="I840" s="17"/>
      <c r="J840" s="7"/>
      <c r="K840" s="7"/>
      <c r="L840" s="23"/>
      <c r="M840" s="6"/>
      <c r="N840" s="6"/>
      <c r="O840" s="6"/>
      <c r="P840" s="6"/>
      <c r="Q840" s="6"/>
      <c r="R840" s="6"/>
      <c r="S840" s="6"/>
      <c r="T840" s="12" t="s">
        <v>185</v>
      </c>
      <c r="U840" s="6"/>
      <c r="V840" s="6"/>
      <c r="W840" s="6"/>
      <c r="X840" s="12"/>
      <c r="Y840" s="59"/>
      <c r="Z840" s="6" t="s">
        <v>1034</v>
      </c>
      <c r="AA840" s="6"/>
      <c r="AB840" s="6"/>
      <c r="AC840" s="6"/>
      <c r="AD840" s="10"/>
    </row>
    <row r="841" spans="1:30" s="9" customFormat="1" x14ac:dyDescent="0.2">
      <c r="A841" s="28"/>
      <c r="B841" s="16" t="s">
        <v>36</v>
      </c>
      <c r="C841" s="16" t="s">
        <v>133</v>
      </c>
      <c r="D841" s="7" t="s">
        <v>1008</v>
      </c>
      <c r="E841" s="7"/>
      <c r="F841" s="6" t="s">
        <v>1009</v>
      </c>
      <c r="G841" s="6"/>
      <c r="H841" s="17">
        <v>31607.14</v>
      </c>
      <c r="I841" s="39" t="s">
        <v>139</v>
      </c>
      <c r="J841" s="7">
        <v>37700</v>
      </c>
      <c r="K841" s="7"/>
      <c r="L841" s="23">
        <f>90+J841</f>
        <v>37790</v>
      </c>
      <c r="M841" s="18" t="s">
        <v>41</v>
      </c>
      <c r="N841" s="6" t="s">
        <v>42</v>
      </c>
      <c r="O841" s="6"/>
      <c r="P841" s="6"/>
      <c r="Q841" s="6"/>
      <c r="R841" s="6"/>
      <c r="S841" s="23">
        <v>37768</v>
      </c>
      <c r="T841" s="23">
        <v>37774</v>
      </c>
      <c r="U841" s="23"/>
      <c r="V841" s="6" t="s">
        <v>780</v>
      </c>
      <c r="W841" s="6">
        <v>885</v>
      </c>
      <c r="X841" s="6" t="s">
        <v>47</v>
      </c>
      <c r="Y841" s="59"/>
      <c r="Z841" s="6" t="s">
        <v>1035</v>
      </c>
      <c r="AA841" s="6"/>
      <c r="AB841" s="6" t="s">
        <v>47</v>
      </c>
      <c r="AC841" s="507"/>
      <c r="AD841" s="10" t="str">
        <f>IF(T841&lt;=L841,"en término","atrasado")</f>
        <v>en término</v>
      </c>
    </row>
    <row r="842" spans="1:30" s="9" customFormat="1" ht="12" thickBot="1" x14ac:dyDescent="0.25">
      <c r="A842" s="28"/>
      <c r="B842" s="19"/>
      <c r="C842" s="19"/>
      <c r="D842" s="5"/>
      <c r="E842" s="5"/>
      <c r="F842" s="5" t="s">
        <v>1040</v>
      </c>
      <c r="G842" s="5"/>
      <c r="H842" s="105"/>
      <c r="I842" s="21"/>
      <c r="J842" s="5"/>
      <c r="K842" s="5"/>
      <c r="L842" s="127"/>
      <c r="M842" s="5"/>
      <c r="N842" s="5"/>
      <c r="O842" s="5"/>
      <c r="P842" s="5"/>
      <c r="Q842" s="5"/>
      <c r="R842" s="5"/>
      <c r="S842" s="27"/>
      <c r="T842" s="19" t="s">
        <v>1037</v>
      </c>
      <c r="U842" s="19"/>
      <c r="V842" s="5"/>
      <c r="W842" s="5"/>
      <c r="X842" s="5"/>
      <c r="Y842" s="61"/>
      <c r="Z842" s="5"/>
      <c r="AA842" s="5"/>
      <c r="AB842" s="5"/>
      <c r="AC842" s="5"/>
      <c r="AD842" s="10"/>
    </row>
    <row r="843" spans="1:30" s="9" customFormat="1" x14ac:dyDescent="0.2">
      <c r="A843" s="28"/>
      <c r="B843" s="16"/>
      <c r="C843" s="16"/>
      <c r="D843" s="7"/>
      <c r="E843" s="7"/>
      <c r="F843" s="6"/>
      <c r="G843" s="6"/>
      <c r="H843" s="17"/>
      <c r="I843" s="17"/>
      <c r="J843" s="7"/>
      <c r="K843" s="7"/>
      <c r="L843" s="23"/>
      <c r="M843" s="6"/>
      <c r="N843" s="6"/>
      <c r="O843" s="6"/>
      <c r="P843" s="6"/>
      <c r="Q843" s="6"/>
      <c r="R843" s="6"/>
      <c r="S843" s="6"/>
      <c r="T843" s="12" t="s">
        <v>185</v>
      </c>
      <c r="U843" s="6"/>
      <c r="V843" s="6"/>
      <c r="W843" s="6"/>
      <c r="X843" s="12"/>
      <c r="Y843" s="59"/>
      <c r="Z843" s="6" t="s">
        <v>1034</v>
      </c>
      <c r="AA843" s="6"/>
      <c r="AB843" s="6"/>
      <c r="AC843" s="6"/>
      <c r="AD843" s="10"/>
    </row>
    <row r="844" spans="1:30" s="9" customFormat="1" x14ac:dyDescent="0.2">
      <c r="A844" s="28"/>
      <c r="B844" s="16" t="s">
        <v>36</v>
      </c>
      <c r="C844" s="16" t="s">
        <v>133</v>
      </c>
      <c r="D844" s="7" t="s">
        <v>1008</v>
      </c>
      <c r="E844" s="7"/>
      <c r="F844" s="6" t="s">
        <v>1009</v>
      </c>
      <c r="G844" s="6"/>
      <c r="H844" s="17">
        <v>1529.68</v>
      </c>
      <c r="I844" s="39" t="s">
        <v>52</v>
      </c>
      <c r="J844" s="7">
        <v>37711</v>
      </c>
      <c r="K844" s="7"/>
      <c r="L844" s="23">
        <f>90+J844</f>
        <v>37801</v>
      </c>
      <c r="M844" s="18" t="s">
        <v>41</v>
      </c>
      <c r="N844" s="6" t="s">
        <v>42</v>
      </c>
      <c r="O844" s="6"/>
      <c r="P844" s="6"/>
      <c r="Q844" s="6"/>
      <c r="R844" s="6"/>
      <c r="S844" s="23">
        <v>37768</v>
      </c>
      <c r="T844" s="23">
        <v>37774</v>
      </c>
      <c r="U844" s="23"/>
      <c r="V844" s="6" t="s">
        <v>73</v>
      </c>
      <c r="W844" s="6">
        <v>886</v>
      </c>
      <c r="X844" s="6" t="s">
        <v>47</v>
      </c>
      <c r="Y844" s="59"/>
      <c r="Z844" s="6" t="s">
        <v>1035</v>
      </c>
      <c r="AA844" s="6"/>
      <c r="AB844" s="6" t="s">
        <v>47</v>
      </c>
      <c r="AC844" s="507"/>
      <c r="AD844" s="10" t="str">
        <f>IF(T844&lt;=L844,"en término","atrasado")</f>
        <v>en término</v>
      </c>
    </row>
    <row r="845" spans="1:30" s="9" customFormat="1" ht="12" thickBot="1" x14ac:dyDescent="0.25">
      <c r="A845" s="28"/>
      <c r="B845" s="19"/>
      <c r="C845" s="19"/>
      <c r="D845" s="5"/>
      <c r="E845" s="5"/>
      <c r="F845" s="5" t="s">
        <v>1041</v>
      </c>
      <c r="G845" s="5"/>
      <c r="H845" s="105"/>
      <c r="I845" s="21"/>
      <c r="J845" s="27"/>
      <c r="K845" s="27"/>
      <c r="L845" s="127"/>
      <c r="M845" s="5"/>
      <c r="N845" s="5"/>
      <c r="O845" s="5"/>
      <c r="P845" s="5"/>
      <c r="Q845" s="5"/>
      <c r="R845" s="5"/>
      <c r="S845" s="27"/>
      <c r="T845" s="19" t="s">
        <v>1037</v>
      </c>
      <c r="U845" s="19"/>
      <c r="V845" s="5"/>
      <c r="W845" s="5"/>
      <c r="X845" s="5"/>
      <c r="Y845" s="61"/>
      <c r="Z845" s="5"/>
      <c r="AA845" s="5"/>
      <c r="AB845" s="5"/>
      <c r="AC845" s="5"/>
      <c r="AD845" s="10"/>
    </row>
    <row r="846" spans="1:30" s="9" customFormat="1" x14ac:dyDescent="0.2">
      <c r="A846" s="28"/>
      <c r="B846" s="16"/>
      <c r="C846" s="16"/>
      <c r="D846" s="7"/>
      <c r="E846" s="7"/>
      <c r="F846" s="6"/>
      <c r="G846" s="6"/>
      <c r="H846" s="17"/>
      <c r="I846" s="17"/>
      <c r="J846" s="7"/>
      <c r="K846" s="7"/>
      <c r="L846" s="23"/>
      <c r="M846" s="6"/>
      <c r="N846" s="6"/>
      <c r="O846" s="6"/>
      <c r="P846" s="6"/>
      <c r="Q846" s="6"/>
      <c r="R846" s="6"/>
      <c r="S846" s="6"/>
      <c r="T846" s="12" t="s">
        <v>185</v>
      </c>
      <c r="U846" s="6"/>
      <c r="V846" s="6"/>
      <c r="W846" s="6"/>
      <c r="X846" s="6"/>
      <c r="Y846" s="59"/>
      <c r="Z846" s="6"/>
      <c r="AA846" s="6"/>
      <c r="AB846" s="6"/>
      <c r="AC846" s="6"/>
    </row>
    <row r="847" spans="1:30" s="9" customFormat="1" x14ac:dyDescent="0.2">
      <c r="A847" s="28"/>
      <c r="B847" s="16" t="s">
        <v>36</v>
      </c>
      <c r="C847" s="16" t="s">
        <v>37</v>
      </c>
      <c r="D847" s="7" t="s">
        <v>1025</v>
      </c>
      <c r="E847" s="7"/>
      <c r="F847" s="6" t="s">
        <v>1042</v>
      </c>
      <c r="G847" s="6"/>
      <c r="H847" s="17">
        <f>1400+2730+900+60+360+330</f>
        <v>5780</v>
      </c>
      <c r="I847" s="39" t="s">
        <v>52</v>
      </c>
      <c r="J847" s="7">
        <v>37735</v>
      </c>
      <c r="K847" s="7"/>
      <c r="L847" s="23">
        <f>90+J847</f>
        <v>37825</v>
      </c>
      <c r="M847" s="18" t="s">
        <v>41</v>
      </c>
      <c r="N847" s="6" t="s">
        <v>42</v>
      </c>
      <c r="O847" s="6"/>
      <c r="P847" s="6"/>
      <c r="Q847" s="6"/>
      <c r="R847" s="6"/>
      <c r="S847" s="23">
        <v>37768</v>
      </c>
      <c r="T847" s="23">
        <v>37774</v>
      </c>
      <c r="U847" s="23"/>
      <c r="V847" s="6" t="s">
        <v>1043</v>
      </c>
      <c r="W847" s="6">
        <v>887</v>
      </c>
      <c r="X847" s="6"/>
      <c r="Y847" s="59"/>
      <c r="Z847" s="6">
        <v>9051564071</v>
      </c>
      <c r="AA847" s="6"/>
      <c r="AB847" s="6" t="s">
        <v>47</v>
      </c>
      <c r="AC847" s="507"/>
      <c r="AD847" s="10" t="str">
        <f>IF(T847&lt;=L847,"en término","atrasado")</f>
        <v>en término</v>
      </c>
    </row>
    <row r="848" spans="1:30" s="9" customFormat="1" ht="12" thickBot="1" x14ac:dyDescent="0.25">
      <c r="A848" s="28"/>
      <c r="B848" s="19"/>
      <c r="C848" s="19"/>
      <c r="D848" s="5"/>
      <c r="E848" s="5"/>
      <c r="F848" s="5" t="s">
        <v>1029</v>
      </c>
      <c r="G848" s="5"/>
      <c r="H848" s="105"/>
      <c r="I848" s="21"/>
      <c r="J848" s="5"/>
      <c r="K848" s="5"/>
      <c r="L848" s="127"/>
      <c r="M848" s="5"/>
      <c r="N848" s="5"/>
      <c r="O848" s="5"/>
      <c r="P848" s="5"/>
      <c r="Q848" s="5"/>
      <c r="R848" s="5"/>
      <c r="S848" s="27"/>
      <c r="T848" s="19" t="s">
        <v>1037</v>
      </c>
      <c r="U848" s="19"/>
      <c r="V848" s="224" t="s">
        <v>1044</v>
      </c>
      <c r="W848" s="5"/>
      <c r="X848" s="5"/>
      <c r="Y848" s="61"/>
      <c r="Z848" s="5"/>
      <c r="AA848" s="5"/>
      <c r="AB848" s="5"/>
      <c r="AC848" s="5"/>
    </row>
    <row r="849" spans="1:30" s="9" customFormat="1" x14ac:dyDescent="0.2">
      <c r="A849" s="28"/>
      <c r="B849" s="16"/>
      <c r="C849" s="16"/>
      <c r="D849" s="7"/>
      <c r="E849" s="7"/>
      <c r="F849" s="6"/>
      <c r="G849" s="6"/>
      <c r="H849" s="17"/>
      <c r="I849" s="17"/>
      <c r="J849" s="7"/>
      <c r="K849" s="7"/>
      <c r="L849" s="23"/>
      <c r="M849" s="6"/>
      <c r="N849" s="6"/>
      <c r="O849" s="6"/>
      <c r="P849" s="6"/>
      <c r="Q849" s="6"/>
      <c r="R849" s="6"/>
      <c r="S849" s="6"/>
      <c r="T849" s="12" t="s">
        <v>185</v>
      </c>
      <c r="U849" s="6"/>
      <c r="V849" s="6"/>
      <c r="W849" s="6"/>
      <c r="X849" s="6"/>
      <c r="Y849" s="59"/>
      <c r="Z849" s="6"/>
      <c r="AA849" s="6"/>
      <c r="AB849" s="6"/>
      <c r="AC849" s="6"/>
    </row>
    <row r="850" spans="1:30" s="9" customFormat="1" x14ac:dyDescent="0.2">
      <c r="A850" s="28"/>
      <c r="B850" s="16" t="s">
        <v>36</v>
      </c>
      <c r="C850" s="16" t="s">
        <v>37</v>
      </c>
      <c r="D850" s="7" t="s">
        <v>1045</v>
      </c>
      <c r="E850" s="7"/>
      <c r="F850" s="6" t="s">
        <v>1042</v>
      </c>
      <c r="G850" s="6"/>
      <c r="H850" s="17">
        <f>9.2*25</f>
        <v>229.99999999999997</v>
      </c>
      <c r="I850" s="39" t="s">
        <v>142</v>
      </c>
      <c r="J850" s="7">
        <v>37764</v>
      </c>
      <c r="K850" s="7"/>
      <c r="L850" s="23">
        <f>+J850+60</f>
        <v>37824</v>
      </c>
      <c r="M850" s="18" t="s">
        <v>41</v>
      </c>
      <c r="N850" s="6" t="s">
        <v>42</v>
      </c>
      <c r="O850" s="6"/>
      <c r="P850" s="6"/>
      <c r="Q850" s="6"/>
      <c r="R850" s="6"/>
      <c r="S850" s="23">
        <v>37768</v>
      </c>
      <c r="T850" s="23">
        <v>37774</v>
      </c>
      <c r="U850" s="23"/>
      <c r="V850" s="6" t="s">
        <v>1046</v>
      </c>
      <c r="W850" s="6">
        <v>887</v>
      </c>
      <c r="X850" s="6"/>
      <c r="Y850" s="59"/>
      <c r="Z850" s="6">
        <v>9051564071</v>
      </c>
      <c r="AA850" s="6"/>
      <c r="AB850" s="6" t="s">
        <v>47</v>
      </c>
      <c r="AC850" s="507"/>
      <c r="AD850" s="10" t="str">
        <f>IF(T850&lt;=L850,"en término","atrasado")</f>
        <v>en término</v>
      </c>
    </row>
    <row r="851" spans="1:30" s="9" customFormat="1" ht="12" thickBot="1" x14ac:dyDescent="0.25">
      <c r="A851" s="28"/>
      <c r="B851" s="19"/>
      <c r="C851" s="19"/>
      <c r="D851" s="5"/>
      <c r="E851" s="5"/>
      <c r="F851" s="5" t="s">
        <v>1047</v>
      </c>
      <c r="G851" s="5"/>
      <c r="H851" s="105"/>
      <c r="I851" s="21"/>
      <c r="J851" s="5"/>
      <c r="K851" s="5"/>
      <c r="L851" s="127"/>
      <c r="M851" s="5"/>
      <c r="N851" s="5"/>
      <c r="O851" s="5"/>
      <c r="P851" s="5"/>
      <c r="Q851" s="5"/>
      <c r="R851" s="5"/>
      <c r="S851" s="27"/>
      <c r="T851" s="19" t="s">
        <v>1037</v>
      </c>
      <c r="U851" s="19"/>
      <c r="V851" s="224"/>
      <c r="W851" s="5"/>
      <c r="X851" s="5"/>
      <c r="Y851" s="61"/>
      <c r="Z851" s="5"/>
      <c r="AA851" s="5"/>
      <c r="AB851" s="5"/>
      <c r="AC851" s="5"/>
    </row>
    <row r="852" spans="1:30" s="9" customFormat="1" x14ac:dyDescent="0.2">
      <c r="A852" s="28"/>
      <c r="B852" s="11"/>
      <c r="C852" s="11"/>
      <c r="D852" s="91"/>
      <c r="E852" s="91"/>
      <c r="F852" s="12"/>
      <c r="G852" s="12"/>
      <c r="H852" s="13"/>
      <c r="I852" s="13"/>
      <c r="J852" s="91"/>
      <c r="K852" s="91"/>
      <c r="L852" s="134"/>
      <c r="M852" s="12"/>
      <c r="N852" s="12"/>
      <c r="O852" s="12"/>
      <c r="P852" s="12"/>
      <c r="Q852" s="12"/>
      <c r="R852" s="12"/>
      <c r="S852" s="12"/>
      <c r="T852" s="12"/>
      <c r="U852" s="12"/>
      <c r="V852" s="244" t="s">
        <v>347</v>
      </c>
      <c r="W852" s="12"/>
      <c r="X852" s="12"/>
      <c r="Y852" s="57"/>
      <c r="Z852" s="12"/>
      <c r="AA852" s="12"/>
      <c r="AB852" s="12"/>
      <c r="AC852" s="12"/>
    </row>
    <row r="853" spans="1:30" s="9" customFormat="1" x14ac:dyDescent="0.2">
      <c r="A853" s="28"/>
      <c r="B853" s="16" t="s">
        <v>36</v>
      </c>
      <c r="C853" s="16" t="s">
        <v>37</v>
      </c>
      <c r="D853" s="7" t="s">
        <v>1048</v>
      </c>
      <c r="E853" s="7"/>
      <c r="F853" s="6" t="s">
        <v>1049</v>
      </c>
      <c r="G853" s="6"/>
      <c r="H853" s="17">
        <v>1380</v>
      </c>
      <c r="I853" s="39" t="s">
        <v>142</v>
      </c>
      <c r="J853" s="7">
        <v>37754</v>
      </c>
      <c r="K853" s="7"/>
      <c r="L853" s="23">
        <f>+J853+60</f>
        <v>37814</v>
      </c>
      <c r="M853" s="18" t="s">
        <v>41</v>
      </c>
      <c r="N853" s="6" t="s">
        <v>42</v>
      </c>
      <c r="O853" s="6"/>
      <c r="P853" s="6"/>
      <c r="Q853" s="6"/>
      <c r="R853" s="6"/>
      <c r="S853" s="23">
        <v>37774</v>
      </c>
      <c r="T853" s="23">
        <v>37775</v>
      </c>
      <c r="U853" s="23"/>
      <c r="V853" s="6" t="s">
        <v>1050</v>
      </c>
      <c r="W853" s="6" t="s">
        <v>1051</v>
      </c>
      <c r="X853" s="6"/>
      <c r="Y853" s="59"/>
      <c r="Z853" s="6"/>
      <c r="AA853" s="6"/>
      <c r="AB853" s="6"/>
      <c r="AC853" s="511"/>
      <c r="AD853" s="10" t="str">
        <f>IF(T853&lt;=L853,"en término","atrasado")</f>
        <v>en término</v>
      </c>
    </row>
    <row r="854" spans="1:30" s="9" customFormat="1" ht="12" thickBot="1" x14ac:dyDescent="0.25">
      <c r="A854" s="28"/>
      <c r="B854" s="19"/>
      <c r="C854" s="19"/>
      <c r="D854" s="5"/>
      <c r="E854" s="5"/>
      <c r="F854" s="5" t="s">
        <v>1052</v>
      </c>
      <c r="G854" s="5"/>
      <c r="H854" s="105"/>
      <c r="I854" s="21"/>
      <c r="J854" s="5"/>
      <c r="K854" s="5"/>
      <c r="L854" s="127"/>
      <c r="M854" s="5"/>
      <c r="N854" s="5"/>
      <c r="O854" s="5"/>
      <c r="P854" s="5"/>
      <c r="Q854" s="5"/>
      <c r="R854" s="5"/>
      <c r="S854" s="27"/>
      <c r="T854" s="19"/>
      <c r="U854" s="19"/>
      <c r="V854" s="224"/>
      <c r="W854" s="5"/>
      <c r="X854" s="5"/>
      <c r="Y854" s="61"/>
      <c r="Z854" s="5"/>
      <c r="AA854" s="5"/>
      <c r="AB854" s="5"/>
      <c r="AC854" s="5"/>
    </row>
    <row r="855" spans="1:30" s="9" customFormat="1" x14ac:dyDescent="0.2">
      <c r="A855" s="28"/>
      <c r="B855" s="16"/>
      <c r="C855" s="16"/>
      <c r="D855" s="7"/>
      <c r="E855" s="7"/>
      <c r="F855" s="6"/>
      <c r="G855" s="6"/>
      <c r="H855" s="17"/>
      <c r="I855" s="17"/>
      <c r="J855" s="7"/>
      <c r="K855" s="7"/>
      <c r="L855" s="23"/>
      <c r="M855" s="6"/>
      <c r="N855" s="6"/>
      <c r="O855" s="6"/>
      <c r="P855" s="6"/>
      <c r="Q855" s="6"/>
      <c r="R855" s="6"/>
      <c r="S855" s="6"/>
      <c r="T855" s="12" t="s">
        <v>1053</v>
      </c>
      <c r="U855" s="6"/>
      <c r="V855" s="138" t="s">
        <v>1054</v>
      </c>
      <c r="W855" s="6"/>
      <c r="X855" s="12"/>
      <c r="Y855" s="59"/>
      <c r="Z855" s="6" t="s">
        <v>1055</v>
      </c>
      <c r="AA855" s="6"/>
      <c r="AB855" s="6"/>
      <c r="AC855" s="6"/>
      <c r="AD855" s="10"/>
    </row>
    <row r="856" spans="1:30" s="9" customFormat="1" x14ac:dyDescent="0.2">
      <c r="A856" s="28"/>
      <c r="B856" s="16" t="s">
        <v>36</v>
      </c>
      <c r="C856" s="16" t="s">
        <v>133</v>
      </c>
      <c r="D856" s="7" t="s">
        <v>1056</v>
      </c>
      <c r="E856" s="7"/>
      <c r="F856" s="6" t="s">
        <v>1057</v>
      </c>
      <c r="G856" s="6"/>
      <c r="H856" s="17">
        <v>120210</v>
      </c>
      <c r="I856" s="39" t="s">
        <v>40</v>
      </c>
      <c r="J856" s="7">
        <v>37743</v>
      </c>
      <c r="K856" s="7"/>
      <c r="L856" s="23">
        <f>45+J856</f>
        <v>37788</v>
      </c>
      <c r="M856" s="18" t="s">
        <v>782</v>
      </c>
      <c r="N856" s="6" t="s">
        <v>42</v>
      </c>
      <c r="O856" s="6"/>
      <c r="P856" s="6"/>
      <c r="Q856" s="6"/>
      <c r="R856" s="6"/>
      <c r="S856" s="23">
        <v>37790</v>
      </c>
      <c r="T856" s="23">
        <v>37794</v>
      </c>
      <c r="U856" s="23"/>
      <c r="V856" s="6" t="s">
        <v>1058</v>
      </c>
      <c r="W856" s="6">
        <v>900</v>
      </c>
      <c r="X856" s="6" t="s">
        <v>47</v>
      </c>
      <c r="Y856" s="59"/>
      <c r="Z856" s="6" t="s">
        <v>1059</v>
      </c>
      <c r="AA856" s="6"/>
      <c r="AB856" s="6" t="s">
        <v>47</v>
      </c>
      <c r="AC856" s="507"/>
      <c r="AD856" s="10" t="str">
        <f>IF(T856&lt;=L856,"en término","atrasado")</f>
        <v>atrasado</v>
      </c>
    </row>
    <row r="857" spans="1:30" s="9" customFormat="1" ht="12" thickBot="1" x14ac:dyDescent="0.25">
      <c r="A857" s="28"/>
      <c r="B857" s="19"/>
      <c r="C857" s="19"/>
      <c r="D857" s="5"/>
      <c r="E857" s="5"/>
      <c r="F857" s="5"/>
      <c r="G857" s="5"/>
      <c r="H857" s="105"/>
      <c r="I857" s="21"/>
      <c r="J857" s="27"/>
      <c r="K857" s="27"/>
      <c r="L857" s="127"/>
      <c r="M857" s="5"/>
      <c r="N857" s="5"/>
      <c r="O857" s="5"/>
      <c r="P857" s="5"/>
      <c r="Q857" s="5"/>
      <c r="R857" s="5"/>
      <c r="S857" s="27"/>
      <c r="T857" s="19" t="s">
        <v>1060</v>
      </c>
      <c r="U857" s="19"/>
      <c r="V857" s="5"/>
      <c r="W857" s="5"/>
      <c r="X857" s="5"/>
      <c r="Y857" s="61"/>
      <c r="Z857" s="5"/>
      <c r="AA857" s="5"/>
      <c r="AB857" s="5" t="s">
        <v>1061</v>
      </c>
      <c r="AC857" s="5"/>
      <c r="AD857" s="10"/>
    </row>
    <row r="858" spans="1:30" s="9" customFormat="1" x14ac:dyDescent="0.2">
      <c r="A858" s="28"/>
      <c r="B858" s="16"/>
      <c r="C858" s="16"/>
      <c r="D858" s="7"/>
      <c r="E858" s="7"/>
      <c r="F858" s="6"/>
      <c r="G858" s="6"/>
      <c r="H858" s="17"/>
      <c r="I858" s="17"/>
      <c r="J858" s="7"/>
      <c r="K858" s="7"/>
      <c r="L858" s="23"/>
      <c r="M858" s="6"/>
      <c r="N858" s="6"/>
      <c r="O858" s="6"/>
      <c r="P858" s="6"/>
      <c r="Q858" s="6"/>
      <c r="R858" s="6"/>
      <c r="S858" s="6"/>
      <c r="T858" s="6"/>
      <c r="U858" s="6"/>
      <c r="V858" s="138" t="s">
        <v>347</v>
      </c>
      <c r="W858" s="6"/>
      <c r="X858" s="6"/>
      <c r="Y858" s="59"/>
      <c r="Z858" s="6"/>
      <c r="AA858" s="6"/>
      <c r="AB858" s="6"/>
      <c r="AC858" s="6"/>
      <c r="AD858" s="10"/>
    </row>
    <row r="859" spans="1:30" s="9" customFormat="1" x14ac:dyDescent="0.2">
      <c r="A859" s="28"/>
      <c r="B859" s="16" t="s">
        <v>36</v>
      </c>
      <c r="C859" s="16" t="s">
        <v>37</v>
      </c>
      <c r="D859" s="7" t="s">
        <v>1062</v>
      </c>
      <c r="E859" s="7"/>
      <c r="F859" s="6" t="s">
        <v>1063</v>
      </c>
      <c r="G859" s="6"/>
      <c r="H859" s="17">
        <f>645+197</f>
        <v>842</v>
      </c>
      <c r="I859" s="39" t="s">
        <v>52</v>
      </c>
      <c r="J859" s="7">
        <v>37760</v>
      </c>
      <c r="K859" s="7"/>
      <c r="L859" s="23">
        <f>+J859+60</f>
        <v>37820</v>
      </c>
      <c r="M859" s="18" t="s">
        <v>41</v>
      </c>
      <c r="N859" s="6" t="s">
        <v>42</v>
      </c>
      <c r="O859" s="6"/>
      <c r="P859" s="6"/>
      <c r="Q859" s="6"/>
      <c r="R859" s="6"/>
      <c r="S859" s="23">
        <v>37777</v>
      </c>
      <c r="T859" s="23">
        <v>37784</v>
      </c>
      <c r="U859" s="23"/>
      <c r="V859" s="6" t="s">
        <v>1064</v>
      </c>
      <c r="W859" s="6" t="s">
        <v>1065</v>
      </c>
      <c r="X859" s="6"/>
      <c r="Y859" s="59"/>
      <c r="Z859" s="6"/>
      <c r="AA859" s="6"/>
      <c r="AB859" s="6"/>
      <c r="AC859" s="6"/>
      <c r="AD859" s="10" t="str">
        <f>IF(T859&lt;=L859,"en término","atrasado")</f>
        <v>en término</v>
      </c>
    </row>
    <row r="860" spans="1:30" s="9" customFormat="1" ht="12" thickBot="1" x14ac:dyDescent="0.25">
      <c r="A860" s="28"/>
      <c r="B860" s="19"/>
      <c r="C860" s="19"/>
      <c r="D860" s="5"/>
      <c r="E860" s="5"/>
      <c r="F860" s="5" t="s">
        <v>1066</v>
      </c>
      <c r="G860" s="5"/>
      <c r="H860" s="105"/>
      <c r="I860" s="21"/>
      <c r="J860" s="5"/>
      <c r="K860" s="5"/>
      <c r="L860" s="127"/>
      <c r="M860" s="5"/>
      <c r="N860" s="5"/>
      <c r="O860" s="5"/>
      <c r="P860" s="5"/>
      <c r="Q860" s="5"/>
      <c r="R860" s="5"/>
      <c r="S860" s="27"/>
      <c r="T860" s="19"/>
      <c r="U860" s="19"/>
      <c r="V860" s="224"/>
      <c r="W860" s="5"/>
      <c r="X860" s="5"/>
      <c r="Y860" s="61"/>
      <c r="Z860" s="5"/>
      <c r="AA860" s="5"/>
      <c r="AB860" s="5"/>
      <c r="AC860" s="5"/>
    </row>
    <row r="861" spans="1:30" s="9" customFormat="1" x14ac:dyDescent="0.2">
      <c r="A861" s="28"/>
      <c r="B861" s="16"/>
      <c r="C861" s="16"/>
      <c r="D861" s="7"/>
      <c r="E861" s="7"/>
      <c r="F861" s="6"/>
      <c r="G861" s="6"/>
      <c r="H861" s="17"/>
      <c r="I861" s="17"/>
      <c r="J861" s="7"/>
      <c r="K861" s="7"/>
      <c r="L861" s="23"/>
      <c r="M861" s="6"/>
      <c r="N861" s="6"/>
      <c r="O861" s="6"/>
      <c r="P861" s="6"/>
      <c r="Q861" s="6"/>
      <c r="R861" s="6"/>
      <c r="S861" s="6"/>
      <c r="T861" s="12" t="s">
        <v>1067</v>
      </c>
      <c r="U861" s="6"/>
      <c r="V861" s="6"/>
      <c r="W861" s="12"/>
      <c r="X861" s="59"/>
      <c r="Y861" s="59"/>
      <c r="Z861" s="6"/>
      <c r="AA861" s="6"/>
      <c r="AB861" s="6"/>
      <c r="AC861" s="6"/>
    </row>
    <row r="862" spans="1:30" s="9" customFormat="1" x14ac:dyDescent="0.2">
      <c r="A862" s="28"/>
      <c r="B862" s="16" t="s">
        <v>36</v>
      </c>
      <c r="C862" s="16" t="s">
        <v>37</v>
      </c>
      <c r="D862" s="7" t="s">
        <v>1048</v>
      </c>
      <c r="E862" s="7"/>
      <c r="F862" s="6" t="s">
        <v>1068</v>
      </c>
      <c r="G862" s="6"/>
      <c r="H862" s="17">
        <v>307.2</v>
      </c>
      <c r="I862" s="39" t="s">
        <v>142</v>
      </c>
      <c r="J862" s="7">
        <v>37754</v>
      </c>
      <c r="K862" s="7"/>
      <c r="L862" s="23">
        <f>+J862+60</f>
        <v>37814</v>
      </c>
      <c r="M862" s="18" t="s">
        <v>41</v>
      </c>
      <c r="N862" s="6" t="s">
        <v>42</v>
      </c>
      <c r="O862" s="6"/>
      <c r="P862" s="6"/>
      <c r="Q862" s="6"/>
      <c r="R862" s="6"/>
      <c r="S862" s="23">
        <v>37793</v>
      </c>
      <c r="T862" s="23">
        <v>37806</v>
      </c>
      <c r="U862" s="23"/>
      <c r="V862" s="6" t="s">
        <v>1069</v>
      </c>
      <c r="W862" s="6">
        <v>899</v>
      </c>
      <c r="X862" s="59"/>
      <c r="Y862" s="59"/>
      <c r="Z862" s="6">
        <v>9025376953</v>
      </c>
      <c r="AA862" s="6"/>
      <c r="AB862" s="6" t="s">
        <v>47</v>
      </c>
      <c r="AC862" s="507"/>
      <c r="AD862" s="10" t="str">
        <f>IF(T862&lt;=L862,"en término","atrasado")</f>
        <v>en término</v>
      </c>
    </row>
    <row r="863" spans="1:30" s="9" customFormat="1" ht="12" thickBot="1" x14ac:dyDescent="0.25">
      <c r="A863" s="28"/>
      <c r="B863" s="19"/>
      <c r="C863" s="19"/>
      <c r="D863" s="5"/>
      <c r="E863" s="5"/>
      <c r="F863" s="5" t="s">
        <v>1052</v>
      </c>
      <c r="G863" s="5"/>
      <c r="H863" s="105"/>
      <c r="I863" s="21"/>
      <c r="J863" s="5"/>
      <c r="K863" s="5"/>
      <c r="L863" s="127"/>
      <c r="M863" s="5"/>
      <c r="N863" s="5"/>
      <c r="O863" s="5"/>
      <c r="P863" s="5"/>
      <c r="Q863" s="5"/>
      <c r="R863" s="5"/>
      <c r="S863" s="27"/>
      <c r="T863" s="19"/>
      <c r="U863" s="19"/>
      <c r="V863" s="224"/>
      <c r="W863" s="5"/>
      <c r="X863" s="61"/>
      <c r="Y863" s="61"/>
      <c r="Z863" s="5"/>
      <c r="AA863" s="5"/>
      <c r="AB863" s="5"/>
      <c r="AC863" s="5"/>
    </row>
    <row r="864" spans="1:30" s="9" customFormat="1" x14ac:dyDescent="0.2">
      <c r="A864" s="28"/>
      <c r="B864" s="16"/>
      <c r="C864" s="16"/>
      <c r="D864" s="7"/>
      <c r="E864" s="7"/>
      <c r="F864" s="6"/>
      <c r="G864" s="6"/>
      <c r="H864" s="17"/>
      <c r="I864" s="17"/>
      <c r="J864" s="7"/>
      <c r="K864" s="7"/>
      <c r="L864" s="23"/>
      <c r="M864" s="6"/>
      <c r="N864" s="6"/>
      <c r="O864" s="6"/>
      <c r="P864" s="6"/>
      <c r="Q864" s="6"/>
      <c r="R864" s="6"/>
      <c r="S864" s="6"/>
      <c r="T864" s="12" t="s">
        <v>1067</v>
      </c>
      <c r="U864" s="6"/>
      <c r="V864" s="6"/>
      <c r="W864" s="6"/>
      <c r="X864" s="59"/>
      <c r="Y864" s="59"/>
      <c r="Z864" s="6"/>
      <c r="AA864" s="6"/>
      <c r="AB864" s="6"/>
      <c r="AC864" s="6"/>
    </row>
    <row r="865" spans="1:30" s="9" customFormat="1" x14ac:dyDescent="0.2">
      <c r="A865" s="28"/>
      <c r="B865" s="16" t="s">
        <v>36</v>
      </c>
      <c r="C865" s="16" t="s">
        <v>37</v>
      </c>
      <c r="D865" s="7" t="s">
        <v>1062</v>
      </c>
      <c r="E865" s="7"/>
      <c r="F865" s="6" t="s">
        <v>1070</v>
      </c>
      <c r="G865" s="6"/>
      <c r="H865" s="17">
        <f>34.95+151+190.03+894+552.5+495+105.5+805.2+1022+434.1+700+80.4+37.5</f>
        <v>5502.18</v>
      </c>
      <c r="I865" s="39" t="s">
        <v>52</v>
      </c>
      <c r="J865" s="7">
        <v>37760</v>
      </c>
      <c r="K865" s="7"/>
      <c r="L865" s="23">
        <f>+J865+60</f>
        <v>37820</v>
      </c>
      <c r="M865" s="18" t="s">
        <v>41</v>
      </c>
      <c r="N865" s="6" t="s">
        <v>42</v>
      </c>
      <c r="O865" s="6"/>
      <c r="P865" s="6"/>
      <c r="Q865" s="6"/>
      <c r="R865" s="6"/>
      <c r="S865" s="23">
        <v>37793</v>
      </c>
      <c r="T865" s="23">
        <v>37806</v>
      </c>
      <c r="U865" s="23"/>
      <c r="V865" s="6" t="s">
        <v>1071</v>
      </c>
      <c r="W865" s="6">
        <v>899</v>
      </c>
      <c r="X865" s="59"/>
      <c r="Y865" s="59"/>
      <c r="Z865" s="6">
        <v>9025376953</v>
      </c>
      <c r="AA865" s="6"/>
      <c r="AB865" s="6" t="s">
        <v>47</v>
      </c>
      <c r="AC865" s="507"/>
      <c r="AD865" s="10" t="str">
        <f>IF(T865&lt;=L865,"en término","atrasado")</f>
        <v>en término</v>
      </c>
    </row>
    <row r="866" spans="1:30" s="9" customFormat="1" ht="12" thickBot="1" x14ac:dyDescent="0.25">
      <c r="A866" s="28"/>
      <c r="B866" s="19"/>
      <c r="C866" s="19"/>
      <c r="D866" s="5"/>
      <c r="E866" s="5"/>
      <c r="F866" s="5" t="s">
        <v>1066</v>
      </c>
      <c r="G866" s="5"/>
      <c r="H866" s="105"/>
      <c r="I866" s="21"/>
      <c r="J866" s="5"/>
      <c r="K866" s="5"/>
      <c r="L866" s="127"/>
      <c r="M866" s="5"/>
      <c r="N866" s="5"/>
      <c r="O866" s="5"/>
      <c r="P866" s="5"/>
      <c r="Q866" s="5"/>
      <c r="R866" s="5"/>
      <c r="S866" s="27"/>
      <c r="T866" s="19"/>
      <c r="U866" s="19"/>
      <c r="V866" s="224"/>
      <c r="W866" s="5"/>
      <c r="X866" s="61"/>
      <c r="Y866" s="61"/>
      <c r="Z866" s="5"/>
      <c r="AA866" s="5"/>
      <c r="AB866" s="5"/>
      <c r="AC866" s="5"/>
    </row>
    <row r="867" spans="1:30" s="9" customFormat="1" x14ac:dyDescent="0.2">
      <c r="A867" s="28"/>
      <c r="B867" s="16"/>
      <c r="C867" s="16"/>
      <c r="D867" s="7"/>
      <c r="E867" s="7"/>
      <c r="F867" s="6"/>
      <c r="G867" s="6"/>
      <c r="H867" s="17"/>
      <c r="I867" s="17"/>
      <c r="J867" s="7"/>
      <c r="K867" s="7"/>
      <c r="L867" s="23"/>
      <c r="M867" s="6"/>
      <c r="N867" s="6"/>
      <c r="O867" s="6"/>
      <c r="P867" s="6"/>
      <c r="Q867" s="6"/>
      <c r="R867" s="6"/>
      <c r="S867" s="6"/>
      <c r="T867" s="12" t="s">
        <v>1067</v>
      </c>
      <c r="U867" s="6"/>
      <c r="V867" s="6"/>
      <c r="W867" s="6"/>
      <c r="X867" s="59"/>
      <c r="Y867" s="59"/>
      <c r="Z867" s="6"/>
      <c r="AA867" s="6"/>
      <c r="AB867" s="6"/>
      <c r="AC867" s="6"/>
    </row>
    <row r="868" spans="1:30" s="9" customFormat="1" x14ac:dyDescent="0.2">
      <c r="A868" s="28"/>
      <c r="B868" s="16" t="s">
        <v>36</v>
      </c>
      <c r="C868" s="16" t="s">
        <v>37</v>
      </c>
      <c r="D868" s="7" t="s">
        <v>1072</v>
      </c>
      <c r="E868" s="7"/>
      <c r="F868" s="6" t="s">
        <v>1073</v>
      </c>
      <c r="G868" s="6"/>
      <c r="H868" s="17">
        <v>4130</v>
      </c>
      <c r="I868" s="39" t="s">
        <v>142</v>
      </c>
      <c r="J868" s="7">
        <v>37770</v>
      </c>
      <c r="K868" s="7"/>
      <c r="L868" s="23">
        <f>+J868+50</f>
        <v>37820</v>
      </c>
      <c r="M868" s="18" t="s">
        <v>41</v>
      </c>
      <c r="N868" s="6" t="s">
        <v>42</v>
      </c>
      <c r="O868" s="6"/>
      <c r="P868" s="6"/>
      <c r="Q868" s="6"/>
      <c r="R868" s="6"/>
      <c r="S868" s="23">
        <v>37793</v>
      </c>
      <c r="T868" s="23">
        <v>37806</v>
      </c>
      <c r="U868" s="23"/>
      <c r="V868" s="6" t="s">
        <v>948</v>
      </c>
      <c r="W868" s="6">
        <v>899</v>
      </c>
      <c r="X868" s="59"/>
      <c r="Y868" s="59"/>
      <c r="Z868" s="6">
        <v>9025376953</v>
      </c>
      <c r="AA868" s="6"/>
      <c r="AB868" s="6" t="s">
        <v>47</v>
      </c>
      <c r="AC868" s="507"/>
      <c r="AD868" s="10" t="str">
        <f>IF(T868&lt;=L868,"en término","atrasado")</f>
        <v>en término</v>
      </c>
    </row>
    <row r="869" spans="1:30" s="9" customFormat="1" ht="12" thickBot="1" x14ac:dyDescent="0.25">
      <c r="A869" s="28"/>
      <c r="B869" s="19"/>
      <c r="C869" s="19"/>
      <c r="D869" s="5"/>
      <c r="E869" s="5"/>
      <c r="F869" s="5" t="s">
        <v>1074</v>
      </c>
      <c r="G869" s="5"/>
      <c r="H869" s="105"/>
      <c r="I869" s="21"/>
      <c r="J869" s="5"/>
      <c r="K869" s="5"/>
      <c r="L869" s="127"/>
      <c r="M869" s="5"/>
      <c r="N869" s="5"/>
      <c r="O869" s="5"/>
      <c r="P869" s="5"/>
      <c r="Q869" s="5"/>
      <c r="R869" s="5"/>
      <c r="S869" s="27"/>
      <c r="T869" s="19"/>
      <c r="U869" s="19"/>
      <c r="V869" s="224"/>
      <c r="W869" s="5"/>
      <c r="X869" s="61"/>
      <c r="Y869" s="61"/>
      <c r="Z869" s="5"/>
      <c r="AA869" s="5"/>
      <c r="AB869" s="5"/>
      <c r="AC869" s="5"/>
    </row>
    <row r="870" spans="1:30" s="9" customFormat="1" x14ac:dyDescent="0.2">
      <c r="A870" s="28"/>
      <c r="B870" s="16"/>
      <c r="C870" s="16"/>
      <c r="D870" s="7"/>
      <c r="E870" s="7"/>
      <c r="F870" s="6"/>
      <c r="G870" s="6"/>
      <c r="H870" s="17"/>
      <c r="I870" s="17"/>
      <c r="J870" s="7"/>
      <c r="K870" s="7"/>
      <c r="L870" s="23"/>
      <c r="M870" s="6"/>
      <c r="N870" s="6"/>
      <c r="O870" s="6"/>
      <c r="P870" s="6"/>
      <c r="Q870" s="6"/>
      <c r="R870" s="6"/>
      <c r="S870" s="6"/>
      <c r="T870" s="12" t="s">
        <v>1075</v>
      </c>
      <c r="U870" s="6"/>
      <c r="V870" s="6"/>
      <c r="W870" s="6"/>
      <c r="X870" s="59"/>
      <c r="Y870" s="59"/>
      <c r="Z870" s="6"/>
      <c r="AA870" s="6"/>
      <c r="AB870" s="6"/>
      <c r="AC870" s="6"/>
    </row>
    <row r="871" spans="1:30" s="9" customFormat="1" x14ac:dyDescent="0.2">
      <c r="A871" s="28"/>
      <c r="B871" s="16" t="s">
        <v>36</v>
      </c>
      <c r="C871" s="16" t="s">
        <v>37</v>
      </c>
      <c r="D871" s="7" t="s">
        <v>1076</v>
      </c>
      <c r="E871" s="7"/>
      <c r="F871" s="6" t="s">
        <v>1077</v>
      </c>
      <c r="G871" s="6"/>
      <c r="H871" s="17">
        <v>1192</v>
      </c>
      <c r="I871" s="39" t="s">
        <v>52</v>
      </c>
      <c r="J871" s="7">
        <v>37784</v>
      </c>
      <c r="K871" s="7"/>
      <c r="L871" s="23">
        <f>+J871+60</f>
        <v>37844</v>
      </c>
      <c r="M871" s="18" t="s">
        <v>41</v>
      </c>
      <c r="N871" s="6" t="s">
        <v>42</v>
      </c>
      <c r="O871" s="6"/>
      <c r="P871" s="6"/>
      <c r="Q871" s="6"/>
      <c r="R871" s="6"/>
      <c r="S871" s="23">
        <v>37810</v>
      </c>
      <c r="T871" s="23">
        <v>37821</v>
      </c>
      <c r="U871" s="23"/>
      <c r="V871" s="6" t="s">
        <v>1078</v>
      </c>
      <c r="W871" s="6">
        <v>906</v>
      </c>
      <c r="X871" s="59"/>
      <c r="Y871" s="59"/>
      <c r="Z871" s="6" t="s">
        <v>1079</v>
      </c>
      <c r="AA871" s="6"/>
      <c r="AB871" s="6" t="s">
        <v>47</v>
      </c>
      <c r="AC871" s="507"/>
      <c r="AD871" s="10" t="str">
        <f>IF(T871&lt;=L871,"en término","atrasado")</f>
        <v>en término</v>
      </c>
    </row>
    <row r="872" spans="1:30" s="9" customFormat="1" ht="12" thickBot="1" x14ac:dyDescent="0.25">
      <c r="A872" s="28"/>
      <c r="B872" s="19"/>
      <c r="C872" s="19"/>
      <c r="D872" s="5"/>
      <c r="E872" s="5"/>
      <c r="F872" s="5" t="s">
        <v>1080</v>
      </c>
      <c r="G872" s="5"/>
      <c r="H872" s="105"/>
      <c r="I872" s="21"/>
      <c r="J872" s="5"/>
      <c r="K872" s="5"/>
      <c r="L872" s="127"/>
      <c r="M872" s="5"/>
      <c r="N872" s="5"/>
      <c r="O872" s="5"/>
      <c r="P872" s="5"/>
      <c r="Q872" s="5"/>
      <c r="R872" s="5"/>
      <c r="S872" s="27"/>
      <c r="T872" s="19"/>
      <c r="U872" s="19"/>
      <c r="V872" s="224"/>
      <c r="W872" s="5"/>
      <c r="X872" s="61"/>
      <c r="Y872" s="61"/>
      <c r="Z872" s="5"/>
      <c r="AA872" s="5"/>
      <c r="AB872" s="5"/>
      <c r="AC872" s="5"/>
    </row>
    <row r="873" spans="1:30" s="9" customFormat="1" x14ac:dyDescent="0.2">
      <c r="A873" s="28"/>
      <c r="B873" s="16"/>
      <c r="C873" s="16"/>
      <c r="D873" s="7"/>
      <c r="E873" s="7"/>
      <c r="F873" s="6"/>
      <c r="G873" s="6"/>
      <c r="H873" s="17"/>
      <c r="I873" s="17"/>
      <c r="J873" s="7"/>
      <c r="K873" s="7"/>
      <c r="L873" s="23"/>
      <c r="M873" s="6"/>
      <c r="N873" s="6"/>
      <c r="O873" s="6"/>
      <c r="P873" s="6"/>
      <c r="Q873" s="6"/>
      <c r="R873" s="6"/>
      <c r="S873" s="6"/>
      <c r="T873" s="15" t="s">
        <v>1081</v>
      </c>
      <c r="U873" s="40"/>
      <c r="V873" s="6"/>
      <c r="W873" s="6"/>
      <c r="X873" s="12"/>
      <c r="Y873" s="59"/>
      <c r="Z873" s="6" t="s">
        <v>1082</v>
      </c>
      <c r="AA873" s="6"/>
      <c r="AB873" s="6"/>
      <c r="AC873" s="6"/>
      <c r="AD873" s="10"/>
    </row>
    <row r="874" spans="1:30" s="9" customFormat="1" x14ac:dyDescent="0.2">
      <c r="A874" s="28"/>
      <c r="B874" s="16" t="s">
        <v>36</v>
      </c>
      <c r="C874" s="16" t="s">
        <v>133</v>
      </c>
      <c r="D874" s="7" t="s">
        <v>1008</v>
      </c>
      <c r="E874" s="7"/>
      <c r="F874" s="6" t="s">
        <v>1009</v>
      </c>
      <c r="G874" s="6"/>
      <c r="H874" s="17">
        <v>4588.9799999999996</v>
      </c>
      <c r="I874" s="39" t="s">
        <v>52</v>
      </c>
      <c r="J874" s="7">
        <v>37748</v>
      </c>
      <c r="K874" s="7"/>
      <c r="L874" s="23">
        <f>90+J874</f>
        <v>37838</v>
      </c>
      <c r="M874" s="18" t="s">
        <v>41</v>
      </c>
      <c r="N874" s="6" t="s">
        <v>42</v>
      </c>
      <c r="O874" s="6"/>
      <c r="P874" s="6"/>
      <c r="Q874" s="6"/>
      <c r="R874" s="6"/>
      <c r="S874" s="23">
        <v>37827</v>
      </c>
      <c r="T874" s="23">
        <v>37836</v>
      </c>
      <c r="U874" s="23"/>
      <c r="V874" s="6" t="s">
        <v>378</v>
      </c>
      <c r="W874" s="6">
        <v>911</v>
      </c>
      <c r="X874" s="6" t="s">
        <v>47</v>
      </c>
      <c r="Y874" s="59"/>
      <c r="Z874" s="6" t="s">
        <v>1083</v>
      </c>
      <c r="AA874" s="6"/>
      <c r="AB874" s="6" t="s">
        <v>47</v>
      </c>
      <c r="AC874" s="507"/>
      <c r="AD874" s="10" t="str">
        <f>IF(T874&lt;=L874,"en término","atrasado")</f>
        <v>en término</v>
      </c>
    </row>
    <row r="875" spans="1:30" s="9" customFormat="1" ht="12" thickBot="1" x14ac:dyDescent="0.25">
      <c r="A875" s="28"/>
      <c r="B875" s="19"/>
      <c r="C875" s="19"/>
      <c r="D875" s="5"/>
      <c r="E875" s="5"/>
      <c r="F875" s="5" t="s">
        <v>1084</v>
      </c>
      <c r="G875" s="5"/>
      <c r="H875" s="105"/>
      <c r="I875" s="21"/>
      <c r="J875" s="27"/>
      <c r="K875" s="27"/>
      <c r="L875" s="127"/>
      <c r="M875" s="5"/>
      <c r="N875" s="5"/>
      <c r="O875" s="5"/>
      <c r="P875" s="5"/>
      <c r="Q875" s="5"/>
      <c r="R875" s="5"/>
      <c r="S875" s="27"/>
      <c r="T875" s="127" t="s">
        <v>1085</v>
      </c>
      <c r="U875" s="127"/>
      <c r="V875" s="183" t="s">
        <v>1086</v>
      </c>
      <c r="W875" s="5"/>
      <c r="X875" s="5"/>
      <c r="Y875" s="61"/>
      <c r="Z875" s="5"/>
      <c r="AA875" s="5"/>
      <c r="AB875" s="5"/>
      <c r="AC875" s="5"/>
      <c r="AD875" s="10"/>
    </row>
    <row r="876" spans="1:30" s="9" customFormat="1" x14ac:dyDescent="0.2">
      <c r="A876" s="28"/>
      <c r="B876" s="16"/>
      <c r="C876" s="16"/>
      <c r="D876" s="7"/>
      <c r="E876" s="7"/>
      <c r="F876" s="6"/>
      <c r="G876" s="6"/>
      <c r="H876" s="17"/>
      <c r="I876" s="17"/>
      <c r="J876" s="7"/>
      <c r="K876" s="7"/>
      <c r="L876" s="23"/>
      <c r="M876" s="6"/>
      <c r="N876" s="6"/>
      <c r="O876" s="6"/>
      <c r="P876" s="6"/>
      <c r="Q876" s="6"/>
      <c r="R876" s="6"/>
      <c r="S876" s="6"/>
      <c r="T876" s="15" t="s">
        <v>1081</v>
      </c>
      <c r="U876" s="40"/>
      <c r="V876" s="6"/>
      <c r="W876" s="6"/>
      <c r="X876" s="12"/>
      <c r="Y876" s="59"/>
      <c r="Z876" s="6" t="s">
        <v>1082</v>
      </c>
      <c r="AA876" s="6"/>
      <c r="AB876" s="6"/>
      <c r="AC876" s="6"/>
      <c r="AD876" s="10"/>
    </row>
    <row r="877" spans="1:30" s="9" customFormat="1" x14ac:dyDescent="0.2">
      <c r="A877" s="28"/>
      <c r="B877" s="16" t="s">
        <v>36</v>
      </c>
      <c r="C877" s="16" t="s">
        <v>133</v>
      </c>
      <c r="D877" s="7" t="s">
        <v>1008</v>
      </c>
      <c r="E877" s="7"/>
      <c r="F877" s="6" t="s">
        <v>1009</v>
      </c>
      <c r="G877" s="6"/>
      <c r="H877" s="17">
        <v>19292.86</v>
      </c>
      <c r="I877" s="39" t="s">
        <v>62</v>
      </c>
      <c r="J877" s="7">
        <v>37756</v>
      </c>
      <c r="K877" s="7"/>
      <c r="L877" s="23">
        <f>90+J877</f>
        <v>37846</v>
      </c>
      <c r="M877" s="18" t="s">
        <v>41</v>
      </c>
      <c r="N877" s="6" t="s">
        <v>42</v>
      </c>
      <c r="O877" s="6"/>
      <c r="P877" s="6"/>
      <c r="Q877" s="6"/>
      <c r="R877" s="6"/>
      <c r="S877" s="23">
        <v>37827</v>
      </c>
      <c r="T877" s="23">
        <v>37836</v>
      </c>
      <c r="U877" s="23"/>
      <c r="V877" s="6" t="s">
        <v>1087</v>
      </c>
      <c r="W877" s="6">
        <v>910</v>
      </c>
      <c r="X877" s="6" t="s">
        <v>47</v>
      </c>
      <c r="Y877" s="59"/>
      <c r="Z877" s="6" t="s">
        <v>1083</v>
      </c>
      <c r="AA877" s="6"/>
      <c r="AB877" s="6" t="s">
        <v>47</v>
      </c>
      <c r="AC877" s="507"/>
      <c r="AD877" s="10" t="str">
        <f>IF(T877&lt;=L877,"en término","atrasado")</f>
        <v>en término</v>
      </c>
    </row>
    <row r="878" spans="1:30" s="9" customFormat="1" ht="12" thickBot="1" x14ac:dyDescent="0.25">
      <c r="A878" s="28"/>
      <c r="B878" s="19"/>
      <c r="C878" s="19"/>
      <c r="D878" s="5"/>
      <c r="E878" s="5"/>
      <c r="F878" s="5" t="s">
        <v>1088</v>
      </c>
      <c r="G878" s="5"/>
      <c r="H878" s="105"/>
      <c r="I878" s="21"/>
      <c r="J878" s="27"/>
      <c r="K878" s="27"/>
      <c r="L878" s="127"/>
      <c r="M878" s="5"/>
      <c r="N878" s="5"/>
      <c r="O878" s="5"/>
      <c r="P878" s="5"/>
      <c r="Q878" s="5"/>
      <c r="R878" s="5"/>
      <c r="S878" s="27"/>
      <c r="T878" s="127" t="s">
        <v>1085</v>
      </c>
      <c r="U878" s="127"/>
      <c r="V878" s="183" t="s">
        <v>1086</v>
      </c>
      <c r="W878" s="5"/>
      <c r="X878" s="5"/>
      <c r="Y878" s="61"/>
      <c r="Z878" s="5"/>
      <c r="AA878" s="5"/>
      <c r="AB878" s="5"/>
      <c r="AC878" s="5"/>
      <c r="AD878" s="10"/>
    </row>
    <row r="879" spans="1:30" s="9" customFormat="1" x14ac:dyDescent="0.2">
      <c r="A879" s="28"/>
      <c r="B879" s="16"/>
      <c r="C879" s="16"/>
      <c r="D879" s="7"/>
      <c r="E879" s="7"/>
      <c r="F879" s="6"/>
      <c r="G879" s="6"/>
      <c r="H879" s="17"/>
      <c r="I879" s="17"/>
      <c r="J879" s="7"/>
      <c r="K879" s="7"/>
      <c r="L879" s="23"/>
      <c r="M879" s="6"/>
      <c r="N879" s="6"/>
      <c r="O879" s="6"/>
      <c r="P879" s="6"/>
      <c r="Q879" s="6"/>
      <c r="R879" s="6"/>
      <c r="S879" s="6"/>
      <c r="T879" s="12"/>
      <c r="U879" s="6"/>
      <c r="V879" s="6"/>
      <c r="W879" s="6"/>
      <c r="X879" s="12"/>
      <c r="Y879" s="59"/>
      <c r="Z879" s="6" t="s">
        <v>1089</v>
      </c>
      <c r="AA879" s="6"/>
      <c r="AB879" s="6"/>
      <c r="AC879" s="6"/>
      <c r="AD879" s="10"/>
    </row>
    <row r="880" spans="1:30" s="9" customFormat="1" x14ac:dyDescent="0.2">
      <c r="A880" s="28"/>
      <c r="B880" s="16" t="s">
        <v>36</v>
      </c>
      <c r="C880" s="16" t="s">
        <v>133</v>
      </c>
      <c r="D880" s="7" t="s">
        <v>1008</v>
      </c>
      <c r="E880" s="7"/>
      <c r="F880" s="6" t="s">
        <v>1009</v>
      </c>
      <c r="G880" s="6"/>
      <c r="H880" s="17">
        <v>38947.089999999997</v>
      </c>
      <c r="I880" s="39" t="s">
        <v>52</v>
      </c>
      <c r="J880" s="7">
        <v>37775</v>
      </c>
      <c r="K880" s="7"/>
      <c r="L880" s="23">
        <f>90+J880</f>
        <v>37865</v>
      </c>
      <c r="M880" s="18" t="s">
        <v>41</v>
      </c>
      <c r="N880" s="6" t="s">
        <v>42</v>
      </c>
      <c r="O880" s="6"/>
      <c r="P880" s="6"/>
      <c r="Q880" s="6"/>
      <c r="R880" s="6"/>
      <c r="S880" s="23">
        <v>37855</v>
      </c>
      <c r="T880" s="23">
        <v>37859</v>
      </c>
      <c r="U880" s="23"/>
      <c r="V880" s="6" t="s">
        <v>1090</v>
      </c>
      <c r="W880" s="6">
        <v>918</v>
      </c>
      <c r="X880" s="6" t="s">
        <v>47</v>
      </c>
      <c r="Y880" s="59"/>
      <c r="Z880" s="6" t="s">
        <v>1091</v>
      </c>
      <c r="AA880" s="6"/>
      <c r="AB880" s="6" t="s">
        <v>47</v>
      </c>
      <c r="AC880" s="507"/>
      <c r="AD880" s="10" t="str">
        <f>IF(T880&lt;=L880,"en término","atrasado")</f>
        <v>en término</v>
      </c>
    </row>
    <row r="881" spans="1:30" s="9" customFormat="1" ht="12" thickBot="1" x14ac:dyDescent="0.25">
      <c r="A881" s="28"/>
      <c r="B881" s="19"/>
      <c r="C881" s="19"/>
      <c r="D881" s="5"/>
      <c r="E881" s="5"/>
      <c r="F881" s="5" t="s">
        <v>1092</v>
      </c>
      <c r="G881" s="5"/>
      <c r="H881" s="105"/>
      <c r="I881" s="21"/>
      <c r="J881" s="27"/>
      <c r="K881" s="27"/>
      <c r="L881" s="127"/>
      <c r="M881" s="5"/>
      <c r="N881" s="5"/>
      <c r="O881" s="5"/>
      <c r="P881" s="5"/>
      <c r="Q881" s="5"/>
      <c r="R881" s="5"/>
      <c r="S881" s="27"/>
      <c r="T881" s="19" t="s">
        <v>1093</v>
      </c>
      <c r="U881" s="19"/>
      <c r="V881" s="5"/>
      <c r="W881" s="5"/>
      <c r="X881" s="5"/>
      <c r="Y881" s="61"/>
      <c r="Z881" s="5"/>
      <c r="AA881" s="5"/>
      <c r="AB881" s="5"/>
      <c r="AC881" s="5"/>
      <c r="AD881" s="10"/>
    </row>
    <row r="882" spans="1:30" s="9" customFormat="1" x14ac:dyDescent="0.2">
      <c r="A882" s="28"/>
      <c r="B882" s="16"/>
      <c r="C882" s="16"/>
      <c r="D882" s="7"/>
      <c r="E882" s="7"/>
      <c r="F882" s="6"/>
      <c r="G882" s="6"/>
      <c r="H882" s="17"/>
      <c r="I882" s="17"/>
      <c r="J882" s="7"/>
      <c r="K882" s="7"/>
      <c r="L882" s="23"/>
      <c r="M882" s="6"/>
      <c r="N882" s="6"/>
      <c r="O882" s="6"/>
      <c r="P882" s="6"/>
      <c r="Q882" s="6"/>
      <c r="R882" s="6"/>
      <c r="S882" s="6"/>
      <c r="T882" s="12"/>
      <c r="U882" s="6"/>
      <c r="V882" s="6"/>
      <c r="W882" s="6"/>
      <c r="X882" s="59"/>
      <c r="Y882" s="59"/>
      <c r="Z882" s="6"/>
      <c r="AA882" s="6"/>
      <c r="AB882" s="6"/>
      <c r="AC882" s="6"/>
    </row>
    <row r="883" spans="1:30" s="9" customFormat="1" x14ac:dyDescent="0.2">
      <c r="A883" s="28"/>
      <c r="B883" s="16" t="s">
        <v>36</v>
      </c>
      <c r="C883" s="16" t="s">
        <v>37</v>
      </c>
      <c r="D883" s="7" t="s">
        <v>1094</v>
      </c>
      <c r="E883" s="7"/>
      <c r="F883" s="6" t="s">
        <v>1095</v>
      </c>
      <c r="G883" s="6"/>
      <c r="H883" s="17">
        <v>3526</v>
      </c>
      <c r="I883" s="39" t="s">
        <v>52</v>
      </c>
      <c r="J883" s="7">
        <v>37833</v>
      </c>
      <c r="K883" s="7"/>
      <c r="L883" s="23">
        <f>+J883+70</f>
        <v>37903</v>
      </c>
      <c r="M883" s="18" t="s">
        <v>41</v>
      </c>
      <c r="N883" s="6" t="s">
        <v>42</v>
      </c>
      <c r="O883" s="6"/>
      <c r="P883" s="6"/>
      <c r="Q883" s="6"/>
      <c r="R883" s="6"/>
      <c r="S883" s="23">
        <v>37855</v>
      </c>
      <c r="T883" s="23">
        <v>37859</v>
      </c>
      <c r="U883" s="23"/>
      <c r="V883" s="6" t="s">
        <v>597</v>
      </c>
      <c r="W883" s="6">
        <v>919</v>
      </c>
      <c r="X883" s="59"/>
      <c r="Y883" s="59"/>
      <c r="Z883" s="6">
        <v>9025376861</v>
      </c>
      <c r="AA883" s="6"/>
      <c r="AB883" s="6" t="s">
        <v>47</v>
      </c>
      <c r="AC883" s="507"/>
      <c r="AD883" s="10" t="str">
        <f>IF(T883&lt;=L883,"en término","atrasado")</f>
        <v>en término</v>
      </c>
    </row>
    <row r="884" spans="1:30" s="9" customFormat="1" ht="12" thickBot="1" x14ac:dyDescent="0.25">
      <c r="A884" s="28"/>
      <c r="B884" s="19"/>
      <c r="C884" s="19"/>
      <c r="D884" s="5"/>
      <c r="E884" s="5"/>
      <c r="F884" s="5" t="s">
        <v>1096</v>
      </c>
      <c r="G884" s="5"/>
      <c r="H884" s="105"/>
      <c r="I884" s="21"/>
      <c r="J884" s="5"/>
      <c r="K884" s="5"/>
      <c r="L884" s="127"/>
      <c r="M884" s="5"/>
      <c r="N884" s="5"/>
      <c r="O884" s="5"/>
      <c r="P884" s="5"/>
      <c r="Q884" s="5"/>
      <c r="R884" s="5"/>
      <c r="S884" s="27"/>
      <c r="T884" s="19" t="s">
        <v>1093</v>
      </c>
      <c r="U884" s="19"/>
      <c r="V884" s="224"/>
      <c r="W884" s="5"/>
      <c r="X884" s="61"/>
      <c r="Y884" s="61"/>
      <c r="Z884" s="5"/>
      <c r="AA884" s="5"/>
      <c r="AB884" s="5"/>
      <c r="AC884" s="5"/>
    </row>
    <row r="885" spans="1:30" s="9" customFormat="1" x14ac:dyDescent="0.2">
      <c r="A885" s="28"/>
      <c r="B885" s="16"/>
      <c r="C885" s="16"/>
      <c r="D885" s="7"/>
      <c r="E885" s="7"/>
      <c r="F885" s="6"/>
      <c r="G885" s="6"/>
      <c r="H885" s="17"/>
      <c r="I885" s="17"/>
      <c r="J885" s="7"/>
      <c r="K885" s="7"/>
      <c r="L885" s="23"/>
      <c r="M885" s="6"/>
      <c r="N885" s="6"/>
      <c r="O885" s="6"/>
      <c r="P885" s="6"/>
      <c r="Q885" s="6"/>
      <c r="R885" s="6"/>
      <c r="S885" s="6"/>
      <c r="T885" s="12"/>
      <c r="U885" s="6"/>
      <c r="V885" s="6"/>
      <c r="W885" s="6"/>
      <c r="X885" s="59"/>
      <c r="Y885" s="59"/>
      <c r="Z885" s="6"/>
      <c r="AA885" s="6"/>
      <c r="AB885" s="6"/>
      <c r="AC885" s="6"/>
    </row>
    <row r="886" spans="1:30" s="9" customFormat="1" x14ac:dyDescent="0.2">
      <c r="A886" s="28"/>
      <c r="B886" s="16" t="s">
        <v>36</v>
      </c>
      <c r="C886" s="16" t="s">
        <v>37</v>
      </c>
      <c r="D886" s="7" t="s">
        <v>1097</v>
      </c>
      <c r="E886" s="7"/>
      <c r="F886" s="6" t="s">
        <v>1098</v>
      </c>
      <c r="G886" s="6"/>
      <c r="H886" s="17">
        <v>1456</v>
      </c>
      <c r="I886" s="39" t="s">
        <v>52</v>
      </c>
      <c r="J886" s="7">
        <v>37833</v>
      </c>
      <c r="K886" s="7"/>
      <c r="L886" s="23">
        <f>+J886+70</f>
        <v>37903</v>
      </c>
      <c r="M886" s="18" t="s">
        <v>41</v>
      </c>
      <c r="N886" s="6" t="s">
        <v>42</v>
      </c>
      <c r="O886" s="6"/>
      <c r="P886" s="6"/>
      <c r="Q886" s="6"/>
      <c r="R886" s="6"/>
      <c r="S886" s="23">
        <v>37855</v>
      </c>
      <c r="T886" s="23">
        <v>37859</v>
      </c>
      <c r="U886" s="23"/>
      <c r="V886" s="6" t="s">
        <v>597</v>
      </c>
      <c r="W886" s="6">
        <v>919</v>
      </c>
      <c r="X886" s="59"/>
      <c r="Y886" s="59"/>
      <c r="Z886" s="6">
        <v>9025376861</v>
      </c>
      <c r="AA886" s="6"/>
      <c r="AB886" s="6" t="s">
        <v>47</v>
      </c>
      <c r="AC886" s="507"/>
      <c r="AD886" s="10" t="str">
        <f>IF(T886&lt;=L886,"en término","atrasado")</f>
        <v>en término</v>
      </c>
    </row>
    <row r="887" spans="1:30" s="9" customFormat="1" ht="12" thickBot="1" x14ac:dyDescent="0.25">
      <c r="A887" s="28"/>
      <c r="B887" s="19"/>
      <c r="C887" s="19"/>
      <c r="D887" s="5"/>
      <c r="E887" s="5"/>
      <c r="F887" s="5" t="s">
        <v>1099</v>
      </c>
      <c r="G887" s="5"/>
      <c r="H887" s="105"/>
      <c r="I887" s="21"/>
      <c r="J887" s="27"/>
      <c r="K887" s="27"/>
      <c r="L887" s="127"/>
      <c r="M887" s="5"/>
      <c r="N887" s="5"/>
      <c r="O887" s="5"/>
      <c r="P887" s="5"/>
      <c r="Q887" s="5"/>
      <c r="R887" s="5"/>
      <c r="S887" s="27"/>
      <c r="T887" s="19" t="s">
        <v>1093</v>
      </c>
      <c r="U887" s="19"/>
      <c r="V887" s="224"/>
      <c r="W887" s="5"/>
      <c r="X887" s="61"/>
      <c r="Y887" s="61"/>
      <c r="Z887" s="5"/>
      <c r="AA887" s="5"/>
      <c r="AB887" s="5"/>
      <c r="AC887" s="5"/>
    </row>
    <row r="888" spans="1:30" s="9" customFormat="1" x14ac:dyDescent="0.2">
      <c r="A888" s="28"/>
      <c r="B888" s="11"/>
      <c r="C888" s="11"/>
      <c r="D888" s="91"/>
      <c r="E888" s="91"/>
      <c r="F888" s="12"/>
      <c r="G888" s="12"/>
      <c r="H888" s="13"/>
      <c r="I888" s="13"/>
      <c r="J888" s="91"/>
      <c r="K888" s="91"/>
      <c r="L888" s="134"/>
      <c r="M888" s="12"/>
      <c r="N888" s="12"/>
      <c r="O888" s="12"/>
      <c r="P888" s="12"/>
      <c r="Q888" s="12"/>
      <c r="R888" s="12"/>
      <c r="S888" s="12"/>
      <c r="T888" s="12"/>
      <c r="U888" s="12"/>
      <c r="V888" s="12"/>
      <c r="W888" s="12"/>
      <c r="X888" s="57"/>
      <c r="Y888" s="57"/>
      <c r="Z888" s="12"/>
      <c r="AA888" s="12"/>
      <c r="AB888" s="12"/>
      <c r="AC888" s="12"/>
    </row>
    <row r="889" spans="1:30" s="9" customFormat="1" x14ac:dyDescent="0.2">
      <c r="A889" s="28"/>
      <c r="B889" s="16" t="s">
        <v>36</v>
      </c>
      <c r="C889" s="16" t="s">
        <v>37</v>
      </c>
      <c r="D889" s="7" t="s">
        <v>1094</v>
      </c>
      <c r="E889" s="7"/>
      <c r="F889" s="6" t="s">
        <v>1100</v>
      </c>
      <c r="G889" s="6"/>
      <c r="H889" s="17">
        <v>9340</v>
      </c>
      <c r="I889" s="39" t="s">
        <v>52</v>
      </c>
      <c r="J889" s="7">
        <v>37833</v>
      </c>
      <c r="K889" s="7"/>
      <c r="L889" s="23">
        <f>+J889+70</f>
        <v>37903</v>
      </c>
      <c r="M889" s="18" t="s">
        <v>41</v>
      </c>
      <c r="N889" s="6" t="s">
        <v>42</v>
      </c>
      <c r="O889" s="6"/>
      <c r="P889" s="6"/>
      <c r="Q889" s="6"/>
      <c r="R889" s="6"/>
      <c r="S889" s="23">
        <v>37862</v>
      </c>
      <c r="T889" s="23">
        <v>37869</v>
      </c>
      <c r="U889" s="23"/>
      <c r="V889" s="6" t="s">
        <v>597</v>
      </c>
      <c r="W889" s="6" t="s">
        <v>1101</v>
      </c>
      <c r="X889" s="59"/>
      <c r="Y889" s="59"/>
      <c r="Z889" s="6"/>
      <c r="AA889" s="6"/>
      <c r="AB889" s="6"/>
      <c r="AC889" s="511"/>
      <c r="AD889" s="10" t="str">
        <f>IF(T889&lt;=L889,"en término","atrasado")</f>
        <v>en término</v>
      </c>
    </row>
    <row r="890" spans="1:30" s="9" customFormat="1" ht="12" thickBot="1" x14ac:dyDescent="0.25">
      <c r="A890" s="28"/>
      <c r="B890" s="19"/>
      <c r="C890" s="19"/>
      <c r="D890" s="5"/>
      <c r="E890" s="5"/>
      <c r="F890" s="5" t="s">
        <v>1096</v>
      </c>
      <c r="G890" s="5"/>
      <c r="H890" s="105"/>
      <c r="I890" s="21"/>
      <c r="J890" s="5"/>
      <c r="K890" s="5"/>
      <c r="L890" s="127"/>
      <c r="M890" s="5"/>
      <c r="N890" s="5"/>
      <c r="O890" s="5"/>
      <c r="P890" s="5"/>
      <c r="Q890" s="5"/>
      <c r="R890" s="5"/>
      <c r="S890" s="27"/>
      <c r="T890" s="19"/>
      <c r="U890" s="19"/>
      <c r="V890" s="224" t="s">
        <v>1102</v>
      </c>
      <c r="W890" s="5"/>
      <c r="X890" s="61"/>
      <c r="Y890" s="61"/>
      <c r="Z890" s="5"/>
      <c r="AA890" s="5"/>
      <c r="AB890" s="5"/>
      <c r="AC890" s="5"/>
    </row>
    <row r="891" spans="1:30" s="9" customFormat="1" x14ac:dyDescent="0.2">
      <c r="A891" s="28"/>
      <c r="B891" s="16"/>
      <c r="C891" s="16"/>
      <c r="D891" s="7"/>
      <c r="E891" s="7"/>
      <c r="F891" s="6"/>
      <c r="G891" s="6"/>
      <c r="H891" s="17"/>
      <c r="I891" s="17"/>
      <c r="J891" s="7"/>
      <c r="K891" s="7"/>
      <c r="L891" s="23"/>
      <c r="M891" s="6"/>
      <c r="N891" s="6"/>
      <c r="O891" s="6"/>
      <c r="P891" s="6"/>
      <c r="Q891" s="6"/>
      <c r="R891" s="6"/>
      <c r="S891" s="6"/>
      <c r="T891" s="12"/>
      <c r="U891" s="6"/>
      <c r="V891" s="6"/>
      <c r="W891" s="6"/>
      <c r="X891" s="12"/>
      <c r="Y891" s="59"/>
      <c r="Z891" s="6" t="s">
        <v>1103</v>
      </c>
      <c r="AA891" s="6"/>
      <c r="AB891" s="6"/>
      <c r="AC891" s="6"/>
      <c r="AD891" s="10"/>
    </row>
    <row r="892" spans="1:30" s="9" customFormat="1" x14ac:dyDescent="0.2">
      <c r="A892" s="28"/>
      <c r="B892" s="16" t="s">
        <v>36</v>
      </c>
      <c r="C892" s="16" t="s">
        <v>133</v>
      </c>
      <c r="D892" s="7" t="s">
        <v>1104</v>
      </c>
      <c r="E892" s="7"/>
      <c r="F892" s="6" t="s">
        <v>1105</v>
      </c>
      <c r="G892" s="6"/>
      <c r="H892" s="17">
        <v>10000</v>
      </c>
      <c r="I892" s="39" t="s">
        <v>139</v>
      </c>
      <c r="J892" s="7">
        <v>37868</v>
      </c>
      <c r="K892" s="7"/>
      <c r="L892" s="23">
        <f>+J892+45</f>
        <v>37913</v>
      </c>
      <c r="M892" s="18" t="s">
        <v>1106</v>
      </c>
      <c r="N892" s="6" t="s">
        <v>110</v>
      </c>
      <c r="O892" s="6"/>
      <c r="P892" s="6"/>
      <c r="Q892" s="6"/>
      <c r="R892" s="6"/>
      <c r="S892" s="23">
        <v>37883</v>
      </c>
      <c r="T892" s="23">
        <v>37891</v>
      </c>
      <c r="U892" s="23"/>
      <c r="V892" s="6" t="s">
        <v>419</v>
      </c>
      <c r="W892" s="6">
        <v>923</v>
      </c>
      <c r="X892" s="6" t="s">
        <v>47</v>
      </c>
      <c r="Y892" s="59"/>
      <c r="Z892" s="6" t="s">
        <v>1107</v>
      </c>
      <c r="AA892" s="6"/>
      <c r="AB892" s="6" t="s">
        <v>47</v>
      </c>
      <c r="AC892" s="507"/>
      <c r="AD892" s="10" t="str">
        <f>IF(T892&lt;=L892,"en término","atrasado")</f>
        <v>en término</v>
      </c>
    </row>
    <row r="893" spans="1:30" s="9" customFormat="1" ht="12" thickBot="1" x14ac:dyDescent="0.25">
      <c r="A893" s="28"/>
      <c r="B893" s="19"/>
      <c r="C893" s="19"/>
      <c r="D893" s="5"/>
      <c r="E893" s="5"/>
      <c r="F893" s="5" t="s">
        <v>1108</v>
      </c>
      <c r="G893" s="5"/>
      <c r="H893" s="105"/>
      <c r="I893" s="21"/>
      <c r="J893" s="27"/>
      <c r="K893" s="27"/>
      <c r="L893" s="127"/>
      <c r="M893" s="5" t="s">
        <v>1109</v>
      </c>
      <c r="N893" s="5"/>
      <c r="O893" s="5"/>
      <c r="P893" s="5"/>
      <c r="Q893" s="5"/>
      <c r="R893" s="5"/>
      <c r="S893" s="27"/>
      <c r="T893" s="19"/>
      <c r="U893" s="19"/>
      <c r="V893" s="5"/>
      <c r="W893" s="5" t="s">
        <v>1110</v>
      </c>
      <c r="X893" s="5"/>
      <c r="Y893" s="61"/>
      <c r="Z893" s="5"/>
      <c r="AA893" s="5"/>
      <c r="AB893" s="5"/>
      <c r="AC893" s="5"/>
      <c r="AD893" s="10"/>
    </row>
    <row r="894" spans="1:30" s="9" customFormat="1" x14ac:dyDescent="0.2">
      <c r="A894" s="28"/>
      <c r="B894" s="16"/>
      <c r="C894" s="16"/>
      <c r="D894" s="7"/>
      <c r="E894" s="7"/>
      <c r="F894" s="6"/>
      <c r="G894" s="6"/>
      <c r="H894" s="17"/>
      <c r="I894" s="17"/>
      <c r="J894" s="7"/>
      <c r="K894" s="7"/>
      <c r="L894" s="23"/>
      <c r="M894" s="6"/>
      <c r="N894" s="6"/>
      <c r="O894" s="6"/>
      <c r="P894" s="6"/>
      <c r="Q894" s="6"/>
      <c r="R894" s="6"/>
      <c r="S894" s="6"/>
      <c r="T894" s="12"/>
      <c r="U894" s="6"/>
      <c r="V894" s="6"/>
      <c r="W894" s="6"/>
      <c r="X894" s="12"/>
      <c r="Y894" s="59"/>
      <c r="Z894" s="6" t="s">
        <v>1111</v>
      </c>
      <c r="AA894" s="6"/>
      <c r="AB894" s="6"/>
      <c r="AC894" s="6"/>
      <c r="AD894" s="10"/>
    </row>
    <row r="895" spans="1:30" s="9" customFormat="1" x14ac:dyDescent="0.2">
      <c r="A895" s="28"/>
      <c r="B895" s="16" t="s">
        <v>36</v>
      </c>
      <c r="C895" s="16" t="s">
        <v>133</v>
      </c>
      <c r="D895" s="7" t="s">
        <v>1008</v>
      </c>
      <c r="E895" s="7"/>
      <c r="F895" s="6" t="s">
        <v>1009</v>
      </c>
      <c r="G895" s="6"/>
      <c r="H895" s="17">
        <v>24728.15</v>
      </c>
      <c r="I895" s="39" t="s">
        <v>142</v>
      </c>
      <c r="J895" s="7">
        <v>37855</v>
      </c>
      <c r="K895" s="7"/>
      <c r="L895" s="23">
        <f>30+J895</f>
        <v>37885</v>
      </c>
      <c r="M895" s="18" t="s">
        <v>41</v>
      </c>
      <c r="N895" s="6" t="s">
        <v>42</v>
      </c>
      <c r="O895" s="6"/>
      <c r="P895" s="6"/>
      <c r="Q895" s="6"/>
      <c r="R895" s="6"/>
      <c r="S895" s="23">
        <v>37880</v>
      </c>
      <c r="T895" s="23">
        <v>37882</v>
      </c>
      <c r="U895" s="23"/>
      <c r="V895" s="6" t="s">
        <v>892</v>
      </c>
      <c r="W895" s="6">
        <v>921</v>
      </c>
      <c r="X895" s="6" t="s">
        <v>47</v>
      </c>
      <c r="Y895" s="59"/>
      <c r="Z895" s="6" t="s">
        <v>1112</v>
      </c>
      <c r="AA895" s="6"/>
      <c r="AB895" s="6" t="s">
        <v>47</v>
      </c>
      <c r="AC895" s="507"/>
      <c r="AD895" s="10" t="str">
        <f>IF(T895&lt;=L895,"en término","atrasado")</f>
        <v>en término</v>
      </c>
    </row>
    <row r="896" spans="1:30" s="9" customFormat="1" ht="12" thickBot="1" x14ac:dyDescent="0.25">
      <c r="A896" s="28"/>
      <c r="B896" s="19"/>
      <c r="C896" s="19"/>
      <c r="D896" s="5"/>
      <c r="E896" s="5"/>
      <c r="F896" s="5" t="s">
        <v>1113</v>
      </c>
      <c r="G896" s="5"/>
      <c r="H896" s="105"/>
      <c r="I896" s="21"/>
      <c r="J896" s="27"/>
      <c r="K896" s="27"/>
      <c r="L896" s="127"/>
      <c r="M896" s="5"/>
      <c r="N896" s="5"/>
      <c r="O896" s="5"/>
      <c r="P896" s="5"/>
      <c r="Q896" s="5"/>
      <c r="R896" s="5"/>
      <c r="S896" s="27"/>
      <c r="T896" s="19"/>
      <c r="U896" s="19"/>
      <c r="V896" s="5"/>
      <c r="W896" s="5"/>
      <c r="X896" s="5"/>
      <c r="Y896" s="61"/>
      <c r="Z896" s="5"/>
      <c r="AA896" s="5"/>
      <c r="AB896" s="5"/>
      <c r="AC896" s="5"/>
      <c r="AD896" s="10"/>
    </row>
    <row r="897" spans="1:30" s="9" customFormat="1" x14ac:dyDescent="0.2">
      <c r="A897" s="28"/>
      <c r="B897" s="16"/>
      <c r="C897" s="16"/>
      <c r="D897" s="7"/>
      <c r="E897" s="7"/>
      <c r="F897" s="6"/>
      <c r="G897" s="6"/>
      <c r="H897" s="17"/>
      <c r="I897" s="17"/>
      <c r="J897" s="7"/>
      <c r="K897" s="7"/>
      <c r="L897" s="23"/>
      <c r="M897" s="6"/>
      <c r="N897" s="6"/>
      <c r="O897" s="6"/>
      <c r="P897" s="6"/>
      <c r="Q897" s="6"/>
      <c r="R897" s="6"/>
      <c r="S897" s="6"/>
      <c r="T897" s="12"/>
      <c r="U897" s="6"/>
      <c r="V897" s="6"/>
      <c r="W897" s="6"/>
      <c r="X897" s="59"/>
      <c r="Y897" s="59"/>
      <c r="Z897" s="6"/>
      <c r="AA897" s="6"/>
      <c r="AB897" s="6"/>
      <c r="AC897" s="6"/>
    </row>
    <row r="898" spans="1:30" s="9" customFormat="1" x14ac:dyDescent="0.2">
      <c r="A898" s="28"/>
      <c r="B898" s="16" t="s">
        <v>36</v>
      </c>
      <c r="C898" s="16" t="s">
        <v>37</v>
      </c>
      <c r="D898" s="7" t="s">
        <v>1114</v>
      </c>
      <c r="E898" s="7"/>
      <c r="F898" s="6" t="s">
        <v>1115</v>
      </c>
      <c r="G898" s="6"/>
      <c r="H898" s="17">
        <v>2567.25</v>
      </c>
      <c r="I898" s="39" t="s">
        <v>52</v>
      </c>
      <c r="J898" s="7">
        <v>37855</v>
      </c>
      <c r="K898" s="7"/>
      <c r="L898" s="23">
        <f>+J898+65</f>
        <v>37920</v>
      </c>
      <c r="M898" s="18" t="s">
        <v>41</v>
      </c>
      <c r="N898" s="6" t="s">
        <v>42</v>
      </c>
      <c r="O898" s="6"/>
      <c r="P898" s="6"/>
      <c r="Q898" s="6"/>
      <c r="R898" s="6"/>
      <c r="S898" s="23">
        <v>37880</v>
      </c>
      <c r="T898" s="23">
        <v>37882</v>
      </c>
      <c r="U898" s="23"/>
      <c r="V898" s="6" t="s">
        <v>597</v>
      </c>
      <c r="W898" s="6">
        <v>924</v>
      </c>
      <c r="X898" s="59"/>
      <c r="Y898" s="59"/>
      <c r="Z898" s="6" t="s">
        <v>1116</v>
      </c>
      <c r="AA898" s="6"/>
      <c r="AB898" s="6" t="s">
        <v>47</v>
      </c>
      <c r="AC898" s="507"/>
      <c r="AD898" s="10" t="str">
        <f>IF(T898&lt;=L898,"en término","atrasado")</f>
        <v>en término</v>
      </c>
    </row>
    <row r="899" spans="1:30" s="9" customFormat="1" ht="12" thickBot="1" x14ac:dyDescent="0.25">
      <c r="A899" s="28"/>
      <c r="B899" s="19"/>
      <c r="C899" s="19"/>
      <c r="D899" s="5"/>
      <c r="E899" s="5"/>
      <c r="F899" s="5" t="s">
        <v>1117</v>
      </c>
      <c r="G899" s="5"/>
      <c r="H899" s="105"/>
      <c r="I899" s="21"/>
      <c r="J899" s="5"/>
      <c r="K899" s="5"/>
      <c r="L899" s="27" t="s">
        <v>1118</v>
      </c>
      <c r="M899" s="5"/>
      <c r="N899" s="5"/>
      <c r="O899" s="5"/>
      <c r="P899" s="5"/>
      <c r="Q899" s="5"/>
      <c r="R899" s="5"/>
      <c r="S899" s="27"/>
      <c r="T899" s="19"/>
      <c r="U899" s="19"/>
      <c r="V899" s="224"/>
      <c r="W899" s="5"/>
      <c r="X899" s="61"/>
      <c r="Y899" s="61"/>
      <c r="Z899" s="5"/>
      <c r="AA899" s="5"/>
      <c r="AB899" s="5"/>
      <c r="AC899" s="5"/>
    </row>
    <row r="900" spans="1:30" s="9" customFormat="1" x14ac:dyDescent="0.2">
      <c r="A900" s="28"/>
      <c r="B900" s="16"/>
      <c r="C900" s="16"/>
      <c r="D900" s="7"/>
      <c r="E900" s="7"/>
      <c r="F900" s="6"/>
      <c r="G900" s="6"/>
      <c r="H900" s="17"/>
      <c r="I900" s="17"/>
      <c r="J900" s="7"/>
      <c r="K900" s="7"/>
      <c r="L900" s="23"/>
      <c r="M900" s="6"/>
      <c r="N900" s="6"/>
      <c r="O900" s="6"/>
      <c r="P900" s="6"/>
      <c r="Q900" s="6"/>
      <c r="R900" s="6"/>
      <c r="S900" s="6"/>
      <c r="T900" s="12" t="s">
        <v>1119</v>
      </c>
      <c r="U900" s="6"/>
      <c r="V900" s="6"/>
      <c r="W900" s="6"/>
      <c r="X900" s="59"/>
      <c r="Y900" s="59"/>
      <c r="Z900" s="6"/>
      <c r="AA900" s="6"/>
      <c r="AB900" s="6"/>
      <c r="AC900" s="6"/>
      <c r="AD900" s="10"/>
    </row>
    <row r="901" spans="1:30" s="9" customFormat="1" x14ac:dyDescent="0.2">
      <c r="A901" s="28"/>
      <c r="B901" s="16" t="s">
        <v>36</v>
      </c>
      <c r="C901" s="16" t="s">
        <v>37</v>
      </c>
      <c r="D901" s="7" t="s">
        <v>1120</v>
      </c>
      <c r="E901" s="7"/>
      <c r="F901" s="6" t="s">
        <v>1121</v>
      </c>
      <c r="G901" s="6"/>
      <c r="H901" s="17">
        <v>87608</v>
      </c>
      <c r="I901" s="39" t="s">
        <v>52</v>
      </c>
      <c r="J901" s="7">
        <v>37832</v>
      </c>
      <c r="K901" s="7"/>
      <c r="L901" s="23">
        <f>+J901+120</f>
        <v>37952</v>
      </c>
      <c r="M901" s="18" t="s">
        <v>41</v>
      </c>
      <c r="N901" s="6" t="s">
        <v>42</v>
      </c>
      <c r="O901" s="6"/>
      <c r="P901" s="6"/>
      <c r="Q901" s="6"/>
      <c r="R901" s="6"/>
      <c r="S901" s="23">
        <v>37917</v>
      </c>
      <c r="T901" s="23">
        <v>37922</v>
      </c>
      <c r="U901" s="23"/>
      <c r="V901" s="6" t="s">
        <v>1122</v>
      </c>
      <c r="W901" s="6">
        <v>931</v>
      </c>
      <c r="X901" s="59"/>
      <c r="Y901" s="59"/>
      <c r="Z901" s="6">
        <v>6626629984</v>
      </c>
      <c r="AA901" s="6"/>
      <c r="AB901" s="6" t="s">
        <v>47</v>
      </c>
      <c r="AC901" s="507"/>
      <c r="AD901" s="10" t="str">
        <f>IF(T901&lt;=L901,"en término","atrasado")</f>
        <v>en término</v>
      </c>
    </row>
    <row r="902" spans="1:30" s="9" customFormat="1" ht="12" thickBot="1" x14ac:dyDescent="0.25">
      <c r="A902" s="28"/>
      <c r="B902" s="19"/>
      <c r="C902" s="19"/>
      <c r="D902" s="5"/>
      <c r="E902" s="5"/>
      <c r="F902" s="5" t="s">
        <v>1123</v>
      </c>
      <c r="G902" s="5"/>
      <c r="H902" s="105"/>
      <c r="I902" s="21"/>
      <c r="J902" s="27"/>
      <c r="K902" s="27"/>
      <c r="L902" s="127"/>
      <c r="M902" s="5"/>
      <c r="N902" s="5"/>
      <c r="O902" s="5"/>
      <c r="P902" s="5"/>
      <c r="Q902" s="5"/>
      <c r="R902" s="5"/>
      <c r="S902" s="27"/>
      <c r="T902" s="5" t="s">
        <v>868</v>
      </c>
      <c r="U902" s="5"/>
      <c r="V902" s="5"/>
      <c r="W902" s="5"/>
      <c r="X902" s="61"/>
      <c r="Y902" s="61"/>
      <c r="Z902" s="5"/>
      <c r="AA902" s="5"/>
      <c r="AB902" s="5"/>
      <c r="AC902" s="5"/>
      <c r="AD902" s="10"/>
    </row>
    <row r="903" spans="1:30" s="9" customFormat="1" x14ac:dyDescent="0.2">
      <c r="A903" s="28"/>
      <c r="B903" s="16"/>
      <c r="C903" s="16"/>
      <c r="D903" s="7"/>
      <c r="E903" s="7"/>
      <c r="F903" s="6"/>
      <c r="G903" s="6"/>
      <c r="H903" s="17"/>
      <c r="I903" s="17"/>
      <c r="J903" s="7"/>
      <c r="K903" s="7"/>
      <c r="L903" s="23"/>
      <c r="M903" s="6"/>
      <c r="N903" s="6"/>
      <c r="O903" s="6"/>
      <c r="P903" s="6"/>
      <c r="Q903" s="6"/>
      <c r="R903" s="6"/>
      <c r="S903" s="6"/>
      <c r="T903" s="12" t="s">
        <v>1119</v>
      </c>
      <c r="U903" s="6"/>
      <c r="V903" s="6"/>
      <c r="W903" s="6"/>
      <c r="X903" s="12"/>
      <c r="Y903" s="59"/>
      <c r="Z903" s="6" t="s">
        <v>1124</v>
      </c>
      <c r="AA903" s="6"/>
      <c r="AB903" s="6"/>
      <c r="AC903" s="6"/>
      <c r="AD903" s="10"/>
    </row>
    <row r="904" spans="1:30" s="9" customFormat="1" x14ac:dyDescent="0.2">
      <c r="A904" s="28"/>
      <c r="B904" s="16" t="s">
        <v>36</v>
      </c>
      <c r="C904" s="16" t="s">
        <v>133</v>
      </c>
      <c r="D904" s="7" t="s">
        <v>1125</v>
      </c>
      <c r="E904" s="7"/>
      <c r="F904" s="6" t="s">
        <v>1126</v>
      </c>
      <c r="G904" s="6"/>
      <c r="H904" s="17">
        <v>89977.39</v>
      </c>
      <c r="I904" s="39" t="s">
        <v>139</v>
      </c>
      <c r="J904" s="7">
        <v>37865</v>
      </c>
      <c r="K904" s="7"/>
      <c r="L904" s="23">
        <f>+J904+75</f>
        <v>37940</v>
      </c>
      <c r="M904" s="18" t="s">
        <v>41</v>
      </c>
      <c r="N904" s="6" t="s">
        <v>42</v>
      </c>
      <c r="O904" s="6"/>
      <c r="P904" s="6"/>
      <c r="Q904" s="6"/>
      <c r="R904" s="6"/>
      <c r="S904" s="23">
        <v>37917</v>
      </c>
      <c r="T904" s="23">
        <v>37922</v>
      </c>
      <c r="U904" s="23"/>
      <c r="V904" s="6" t="s">
        <v>1127</v>
      </c>
      <c r="W904" s="6">
        <v>930</v>
      </c>
      <c r="X904" s="6" t="s">
        <v>47</v>
      </c>
      <c r="Y904" s="59"/>
      <c r="Z904" s="6" t="s">
        <v>1128</v>
      </c>
      <c r="AA904" s="6"/>
      <c r="AB904" s="6" t="s">
        <v>47</v>
      </c>
      <c r="AC904" s="507"/>
      <c r="AD904" s="10" t="str">
        <f>IF(T904&lt;=L904,"en término","atrasado")</f>
        <v>en término</v>
      </c>
    </row>
    <row r="905" spans="1:30" s="9" customFormat="1" ht="12" thickBot="1" x14ac:dyDescent="0.25">
      <c r="A905" s="28"/>
      <c r="B905" s="19"/>
      <c r="C905" s="19"/>
      <c r="D905" s="5"/>
      <c r="E905" s="5"/>
      <c r="F905" s="5" t="s">
        <v>1129</v>
      </c>
      <c r="G905" s="5"/>
      <c r="H905" s="105"/>
      <c r="I905" s="21"/>
      <c r="J905" s="27"/>
      <c r="K905" s="27"/>
      <c r="L905" s="127"/>
      <c r="M905" s="5"/>
      <c r="N905" s="5"/>
      <c r="O905" s="5"/>
      <c r="P905" s="5"/>
      <c r="Q905" s="5"/>
      <c r="R905" s="5"/>
      <c r="S905" s="27"/>
      <c r="T905" s="5" t="s">
        <v>868</v>
      </c>
      <c r="U905" s="5"/>
      <c r="V905" s="5"/>
      <c r="W905" s="5"/>
      <c r="X905" s="5"/>
      <c r="Y905" s="61"/>
      <c r="Z905" s="5"/>
      <c r="AA905" s="5"/>
      <c r="AB905" s="5"/>
      <c r="AC905" s="5"/>
      <c r="AD905" s="10"/>
    </row>
    <row r="906" spans="1:30" s="9" customFormat="1" x14ac:dyDescent="0.2">
      <c r="A906" s="28"/>
      <c r="B906" s="16"/>
      <c r="C906" s="16"/>
      <c r="D906" s="7"/>
      <c r="E906" s="7"/>
      <c r="F906" s="6"/>
      <c r="G906" s="6"/>
      <c r="H906" s="17"/>
      <c r="I906" s="17"/>
      <c r="J906" s="7"/>
      <c r="K906" s="7"/>
      <c r="L906" s="23"/>
      <c r="M906" s="6"/>
      <c r="N906" s="6"/>
      <c r="O906" s="6"/>
      <c r="P906" s="6"/>
      <c r="Q906" s="6"/>
      <c r="R906" s="6"/>
      <c r="S906" s="6"/>
      <c r="T906" s="12" t="s">
        <v>1119</v>
      </c>
      <c r="U906" s="6"/>
      <c r="V906" s="6"/>
      <c r="W906" s="6"/>
      <c r="X906" s="59"/>
      <c r="Y906" s="59"/>
      <c r="Z906" s="6"/>
      <c r="AA906" s="6"/>
      <c r="AB906" s="6"/>
      <c r="AC906" s="6"/>
    </row>
    <row r="907" spans="1:30" s="9" customFormat="1" x14ac:dyDescent="0.2">
      <c r="A907" s="28"/>
      <c r="B907" s="16" t="s">
        <v>36</v>
      </c>
      <c r="C907" s="16" t="s">
        <v>37</v>
      </c>
      <c r="D907" s="7" t="s">
        <v>1130</v>
      </c>
      <c r="E907" s="7"/>
      <c r="F907" s="6" t="s">
        <v>1131</v>
      </c>
      <c r="G907" s="6"/>
      <c r="H907" s="17">
        <v>595.79999999999995</v>
      </c>
      <c r="I907" s="39" t="s">
        <v>1132</v>
      </c>
      <c r="J907" s="7">
        <v>37876</v>
      </c>
      <c r="K907" s="7"/>
      <c r="L907" s="23">
        <f>+J907+90</f>
        <v>37966</v>
      </c>
      <c r="M907" s="18" t="s">
        <v>41</v>
      </c>
      <c r="N907" s="6" t="s">
        <v>42</v>
      </c>
      <c r="O907" s="6"/>
      <c r="P907" s="6"/>
      <c r="Q907" s="6"/>
      <c r="R907" s="6"/>
      <c r="S907" s="23">
        <v>37917</v>
      </c>
      <c r="T907" s="23">
        <v>37922</v>
      </c>
      <c r="U907" s="23"/>
      <c r="V907" s="6" t="s">
        <v>597</v>
      </c>
      <c r="W907" s="6">
        <v>932</v>
      </c>
      <c r="X907" s="59"/>
      <c r="Y907" s="59"/>
      <c r="Z907" s="6" t="s">
        <v>1116</v>
      </c>
      <c r="AA907" s="6"/>
      <c r="AB907" s="56" t="s">
        <v>753</v>
      </c>
      <c r="AC907" s="511"/>
      <c r="AD907" s="10" t="str">
        <f>IF(T907&lt;=L907,"en término","atrasado")</f>
        <v>en término</v>
      </c>
    </row>
    <row r="908" spans="1:30" s="9" customFormat="1" ht="12" thickBot="1" x14ac:dyDescent="0.25">
      <c r="A908" s="28"/>
      <c r="B908" s="19"/>
      <c r="C908" s="19"/>
      <c r="D908" s="5"/>
      <c r="E908" s="5"/>
      <c r="F908" s="5" t="s">
        <v>1133</v>
      </c>
      <c r="G908" s="5"/>
      <c r="H908" s="105"/>
      <c r="I908" s="21"/>
      <c r="J908" s="5"/>
      <c r="K908" s="5"/>
      <c r="L908" s="27"/>
      <c r="M908" s="5"/>
      <c r="N908" s="5"/>
      <c r="O908" s="5"/>
      <c r="P908" s="5"/>
      <c r="Q908" s="5"/>
      <c r="R908" s="5"/>
      <c r="S908" s="27"/>
      <c r="T908" s="5" t="s">
        <v>868</v>
      </c>
      <c r="U908" s="5"/>
      <c r="V908" s="224"/>
      <c r="W908" s="5"/>
      <c r="X908" s="61"/>
      <c r="Y908" s="61"/>
      <c r="Z908" s="5"/>
      <c r="AA908" s="5"/>
      <c r="AB908" s="65"/>
      <c r="AC908" s="5"/>
    </row>
    <row r="909" spans="1:30" s="9" customFormat="1" x14ac:dyDescent="0.2">
      <c r="A909" s="28"/>
      <c r="B909" s="16"/>
      <c r="C909" s="16"/>
      <c r="D909" s="7"/>
      <c r="E909" s="7"/>
      <c r="F909" s="6"/>
      <c r="G909" s="6"/>
      <c r="H909" s="17"/>
      <c r="I909" s="17"/>
      <c r="J909" s="7"/>
      <c r="K909" s="7"/>
      <c r="L909" s="23"/>
      <c r="M909" s="6"/>
      <c r="N909" s="6"/>
      <c r="O909" s="6"/>
      <c r="P909" s="6"/>
      <c r="Q909" s="6"/>
      <c r="R909" s="6"/>
      <c r="S909" s="6"/>
      <c r="T909" s="12" t="s">
        <v>1119</v>
      </c>
      <c r="U909" s="6"/>
      <c r="V909" s="6"/>
      <c r="W909" s="6"/>
      <c r="X909" s="59"/>
      <c r="Y909" s="59"/>
      <c r="Z909" s="6"/>
      <c r="AA909" s="6"/>
      <c r="AB909" s="56"/>
      <c r="AC909" s="6"/>
    </row>
    <row r="910" spans="1:30" s="9" customFormat="1" x14ac:dyDescent="0.2">
      <c r="A910" s="28"/>
      <c r="B910" s="16" t="s">
        <v>36</v>
      </c>
      <c r="C910" s="16" t="s">
        <v>37</v>
      </c>
      <c r="D910" s="7" t="s">
        <v>1134</v>
      </c>
      <c r="E910" s="7"/>
      <c r="F910" s="6" t="s">
        <v>1135</v>
      </c>
      <c r="G910" s="6"/>
      <c r="H910" s="17">
        <v>4182.3599999999997</v>
      </c>
      <c r="I910" s="39" t="s">
        <v>52</v>
      </c>
      <c r="J910" s="7">
        <v>37881</v>
      </c>
      <c r="K910" s="7"/>
      <c r="L910" s="23">
        <f>+J910+65</f>
        <v>37946</v>
      </c>
      <c r="M910" s="18" t="s">
        <v>41</v>
      </c>
      <c r="N910" s="6" t="s">
        <v>42</v>
      </c>
      <c r="O910" s="6"/>
      <c r="P910" s="6"/>
      <c r="Q910" s="6"/>
      <c r="R910" s="6"/>
      <c r="S910" s="23">
        <v>37917</v>
      </c>
      <c r="T910" s="23">
        <v>37922</v>
      </c>
      <c r="U910" s="23"/>
      <c r="V910" s="6" t="s">
        <v>597</v>
      </c>
      <c r="W910" s="6">
        <v>933</v>
      </c>
      <c r="X910" s="59"/>
      <c r="Y910" s="59"/>
      <c r="Z910" s="6" t="s">
        <v>1116</v>
      </c>
      <c r="AA910" s="6"/>
      <c r="AB910" s="56" t="s">
        <v>753</v>
      </c>
      <c r="AC910" s="511"/>
      <c r="AD910" s="10" t="str">
        <f>IF(T910&lt;=L910,"en término","atrasado")</f>
        <v>en término</v>
      </c>
    </row>
    <row r="911" spans="1:30" s="9" customFormat="1" ht="12" thickBot="1" x14ac:dyDescent="0.25">
      <c r="A911" s="28"/>
      <c r="B911" s="19"/>
      <c r="C911" s="19"/>
      <c r="D911" s="5"/>
      <c r="E911" s="5"/>
      <c r="F911" s="5" t="s">
        <v>1136</v>
      </c>
      <c r="G911" s="5"/>
      <c r="H911" s="105"/>
      <c r="I911" s="21"/>
      <c r="J911" s="5"/>
      <c r="K911" s="5"/>
      <c r="L911" s="27"/>
      <c r="M911" s="5"/>
      <c r="N911" s="5"/>
      <c r="O911" s="5"/>
      <c r="P911" s="5"/>
      <c r="Q911" s="5"/>
      <c r="R911" s="5"/>
      <c r="S911" s="27"/>
      <c r="T911" s="5" t="s">
        <v>868</v>
      </c>
      <c r="U911" s="5"/>
      <c r="V911" s="224"/>
      <c r="W911" s="5"/>
      <c r="X911" s="61"/>
      <c r="Y911" s="61"/>
      <c r="Z911" s="5"/>
      <c r="AA911" s="5"/>
      <c r="AB911" s="5"/>
      <c r="AC911" s="5"/>
    </row>
    <row r="912" spans="1:30" s="9" customFormat="1" x14ac:dyDescent="0.2">
      <c r="A912" s="28"/>
      <c r="B912" s="16"/>
      <c r="C912" s="16"/>
      <c r="D912" s="7"/>
      <c r="E912" s="7"/>
      <c r="F912" s="6"/>
      <c r="G912" s="6"/>
      <c r="H912" s="17"/>
      <c r="I912" s="17"/>
      <c r="J912" s="7"/>
      <c r="K912" s="7"/>
      <c r="L912" s="23"/>
      <c r="M912" s="6"/>
      <c r="N912" s="6"/>
      <c r="O912" s="6"/>
      <c r="P912" s="6"/>
      <c r="Q912" s="6"/>
      <c r="R912" s="6"/>
      <c r="S912" s="6"/>
      <c r="T912" s="6"/>
      <c r="U912" s="6"/>
      <c r="V912" s="6"/>
      <c r="W912" s="6"/>
      <c r="X912" s="59"/>
      <c r="Y912" s="59"/>
      <c r="Z912" s="6" t="s">
        <v>1137</v>
      </c>
      <c r="AA912" s="6"/>
      <c r="AB912" s="6"/>
      <c r="AC912" s="6"/>
    </row>
    <row r="913" spans="1:30" s="9" customFormat="1" x14ac:dyDescent="0.2">
      <c r="A913" s="28"/>
      <c r="B913" s="16" t="s">
        <v>36</v>
      </c>
      <c r="C913" s="16" t="s">
        <v>37</v>
      </c>
      <c r="D913" s="7" t="s">
        <v>1138</v>
      </c>
      <c r="E913" s="7"/>
      <c r="F913" s="6" t="s">
        <v>1139</v>
      </c>
      <c r="G913" s="6"/>
      <c r="H913" s="17">
        <v>1560</v>
      </c>
      <c r="I913" s="39" t="s">
        <v>142</v>
      </c>
      <c r="J913" s="7">
        <v>37914</v>
      </c>
      <c r="K913" s="7"/>
      <c r="L913" s="23">
        <f>+J913+60</f>
        <v>37974</v>
      </c>
      <c r="M913" s="18" t="s">
        <v>41</v>
      </c>
      <c r="N913" s="6"/>
      <c r="O913" s="6"/>
      <c r="P913" s="6"/>
      <c r="Q913" s="6"/>
      <c r="R913" s="6"/>
      <c r="S913" s="23" t="s">
        <v>1140</v>
      </c>
      <c r="T913" s="23">
        <v>37936</v>
      </c>
      <c r="U913" s="23"/>
      <c r="V913" s="6" t="s">
        <v>1141</v>
      </c>
      <c r="W913" s="6" t="s">
        <v>1142</v>
      </c>
      <c r="X913" s="59"/>
      <c r="Y913" s="59"/>
      <c r="Z913" s="6" t="s">
        <v>1143</v>
      </c>
      <c r="AA913" s="6"/>
      <c r="AB913" s="6"/>
      <c r="AC913" s="6"/>
      <c r="AD913" s="10" t="str">
        <f>IF(T913&lt;=L913,"en término","atrasado")</f>
        <v>en término</v>
      </c>
    </row>
    <row r="914" spans="1:30" s="9" customFormat="1" ht="12" thickBot="1" x14ac:dyDescent="0.25">
      <c r="A914" s="28"/>
      <c r="B914" s="19"/>
      <c r="C914" s="19"/>
      <c r="D914" s="5"/>
      <c r="E914" s="5"/>
      <c r="F914" s="5" t="s">
        <v>1144</v>
      </c>
      <c r="G914" s="5"/>
      <c r="H914" s="105"/>
      <c r="I914" s="21"/>
      <c r="J914" s="5"/>
      <c r="K914" s="5"/>
      <c r="L914" s="27"/>
      <c r="M914" s="5"/>
      <c r="N914" s="5"/>
      <c r="O914" s="5"/>
      <c r="P914" s="5"/>
      <c r="Q914" s="5"/>
      <c r="R914" s="5"/>
      <c r="S914" s="27"/>
      <c r="T914" s="19"/>
      <c r="U914" s="19"/>
      <c r="V914" s="224" t="s">
        <v>1102</v>
      </c>
      <c r="W914" s="5"/>
      <c r="X914" s="61"/>
      <c r="Y914" s="61"/>
      <c r="Z914" s="5"/>
      <c r="AA914" s="5"/>
      <c r="AB914" s="5"/>
      <c r="AC914" s="5"/>
    </row>
    <row r="915" spans="1:30" s="9" customFormat="1" x14ac:dyDescent="0.2">
      <c r="A915" s="28"/>
      <c r="B915" s="16"/>
      <c r="C915" s="16"/>
      <c r="D915" s="7"/>
      <c r="E915" s="7"/>
      <c r="F915" s="6"/>
      <c r="G915" s="6"/>
      <c r="H915" s="17"/>
      <c r="I915" s="17"/>
      <c r="J915" s="7"/>
      <c r="K915" s="7"/>
      <c r="L915" s="23"/>
      <c r="M915" s="6"/>
      <c r="N915" s="6"/>
      <c r="O915" s="6"/>
      <c r="P915" s="6"/>
      <c r="Q915" s="6"/>
      <c r="R915" s="6"/>
      <c r="S915" s="6"/>
      <c r="T915" s="12" t="s">
        <v>1145</v>
      </c>
      <c r="U915" s="6"/>
      <c r="V915" s="6"/>
      <c r="W915" s="6"/>
      <c r="X915" s="59"/>
      <c r="Y915" s="59"/>
      <c r="Z915" s="6"/>
      <c r="AA915" s="6"/>
      <c r="AB915" s="56"/>
      <c r="AC915" s="6"/>
    </row>
    <row r="916" spans="1:30" s="9" customFormat="1" x14ac:dyDescent="0.2">
      <c r="A916" s="28"/>
      <c r="B916" s="16" t="s">
        <v>36</v>
      </c>
      <c r="C916" s="16" t="s">
        <v>37</v>
      </c>
      <c r="D916" s="7" t="s">
        <v>1146</v>
      </c>
      <c r="E916" s="7"/>
      <c r="F916" s="6" t="s">
        <v>1147</v>
      </c>
      <c r="G916" s="6"/>
      <c r="H916" s="17">
        <v>4933.34</v>
      </c>
      <c r="I916" s="39" t="s">
        <v>52</v>
      </c>
      <c r="J916" s="7">
        <v>37900</v>
      </c>
      <c r="K916" s="7"/>
      <c r="L916" s="23">
        <f>+J916+65</f>
        <v>37965</v>
      </c>
      <c r="M916" s="18" t="s">
        <v>41</v>
      </c>
      <c r="N916" s="6" t="s">
        <v>42</v>
      </c>
      <c r="O916" s="6"/>
      <c r="P916" s="6"/>
      <c r="Q916" s="6"/>
      <c r="R916" s="6"/>
      <c r="S916" s="23">
        <v>37949</v>
      </c>
      <c r="T916" s="23">
        <v>37961</v>
      </c>
      <c r="U916" s="23"/>
      <c r="V916" s="6" t="s">
        <v>597</v>
      </c>
      <c r="W916" s="6">
        <v>942</v>
      </c>
      <c r="X916" s="59"/>
      <c r="Y916" s="59"/>
      <c r="Z916" s="6">
        <v>6626629984</v>
      </c>
      <c r="AA916" s="6"/>
      <c r="AB916" s="56" t="s">
        <v>753</v>
      </c>
      <c r="AC916" s="511"/>
      <c r="AD916" s="10" t="str">
        <f>IF(T916&lt;=L916,"en término","atrasado")</f>
        <v>en término</v>
      </c>
    </row>
    <row r="917" spans="1:30" s="9" customFormat="1" ht="12" thickBot="1" x14ac:dyDescent="0.25">
      <c r="A917" s="28"/>
      <c r="B917" s="19"/>
      <c r="C917" s="19"/>
      <c r="D917" s="5"/>
      <c r="E917" s="5"/>
      <c r="F917" s="5" t="s">
        <v>1148</v>
      </c>
      <c r="G917" s="5"/>
      <c r="H917" s="105"/>
      <c r="I917" s="21"/>
      <c r="J917" s="5"/>
      <c r="K917" s="5"/>
      <c r="L917" s="27"/>
      <c r="M917" s="5"/>
      <c r="N917" s="5"/>
      <c r="O917" s="5"/>
      <c r="P917" s="5"/>
      <c r="Q917" s="5"/>
      <c r="R917" s="5"/>
      <c r="S917" s="27"/>
      <c r="T917" s="5" t="s">
        <v>1149</v>
      </c>
      <c r="U917" s="5"/>
      <c r="V917" s="224"/>
      <c r="W917" s="5"/>
      <c r="X917" s="61"/>
      <c r="Y917" s="61"/>
      <c r="Z917" s="5"/>
      <c r="AA917" s="5"/>
      <c r="AB917" s="65"/>
      <c r="AC917" s="5"/>
    </row>
    <row r="918" spans="1:30" s="9" customFormat="1" x14ac:dyDescent="0.2">
      <c r="A918" s="28"/>
      <c r="B918" s="16"/>
      <c r="C918" s="16"/>
      <c r="D918" s="7"/>
      <c r="E918" s="7"/>
      <c r="F918" s="6"/>
      <c r="G918" s="6"/>
      <c r="H918" s="17"/>
      <c r="I918" s="17"/>
      <c r="J918" s="7"/>
      <c r="K918" s="7"/>
      <c r="L918" s="23"/>
      <c r="M918" s="6"/>
      <c r="N918" s="6"/>
      <c r="O918" s="6"/>
      <c r="P918" s="6"/>
      <c r="Q918" s="6"/>
      <c r="R918" s="6"/>
      <c r="S918" s="6"/>
      <c r="T918" s="12" t="s">
        <v>1145</v>
      </c>
      <c r="U918" s="6"/>
      <c r="V918" s="6"/>
      <c r="W918" s="6"/>
      <c r="X918" s="59"/>
      <c r="Y918" s="59"/>
      <c r="Z918" s="6"/>
      <c r="AA918" s="6"/>
      <c r="AB918" s="56"/>
      <c r="AC918" s="6"/>
    </row>
    <row r="919" spans="1:30" s="9" customFormat="1" x14ac:dyDescent="0.2">
      <c r="A919" s="28"/>
      <c r="B919" s="16" t="s">
        <v>36</v>
      </c>
      <c r="C919" s="16" t="s">
        <v>37</v>
      </c>
      <c r="D919" s="7" t="s">
        <v>1150</v>
      </c>
      <c r="E919" s="7"/>
      <c r="F919" s="6" t="s">
        <v>1151</v>
      </c>
      <c r="G919" s="6"/>
      <c r="H919" s="17">
        <v>1075.25</v>
      </c>
      <c r="I919" s="39" t="s">
        <v>52</v>
      </c>
      <c r="J919" s="7">
        <v>37922</v>
      </c>
      <c r="K919" s="7"/>
      <c r="L919" s="23">
        <f>+J919+60</f>
        <v>37982</v>
      </c>
      <c r="M919" s="18" t="s">
        <v>41</v>
      </c>
      <c r="N919" s="6" t="s">
        <v>42</v>
      </c>
      <c r="O919" s="6"/>
      <c r="P919" s="6"/>
      <c r="Q919" s="6"/>
      <c r="R919" s="6"/>
      <c r="S919" s="23">
        <v>37949</v>
      </c>
      <c r="T919" s="23">
        <v>37961</v>
      </c>
      <c r="U919" s="23"/>
      <c r="V919" s="6" t="s">
        <v>597</v>
      </c>
      <c r="W919" s="6">
        <v>942</v>
      </c>
      <c r="X919" s="59"/>
      <c r="Y919" s="59"/>
      <c r="Z919" s="6">
        <v>6626629984</v>
      </c>
      <c r="AA919" s="6"/>
      <c r="AB919" s="56" t="s">
        <v>753</v>
      </c>
      <c r="AC919" s="511"/>
      <c r="AD919" s="10" t="str">
        <f>IF(T919&lt;=L919,"en término","atrasado")</f>
        <v>en término</v>
      </c>
    </row>
    <row r="920" spans="1:30" s="9" customFormat="1" ht="12" thickBot="1" x14ac:dyDescent="0.25">
      <c r="A920" s="28"/>
      <c r="B920" s="19"/>
      <c r="C920" s="19"/>
      <c r="D920" s="5"/>
      <c r="E920" s="5"/>
      <c r="F920" s="5" t="s">
        <v>1152</v>
      </c>
      <c r="G920" s="5"/>
      <c r="H920" s="105"/>
      <c r="I920" s="21"/>
      <c r="J920" s="5"/>
      <c r="K920" s="5"/>
      <c r="L920" s="27">
        <v>37950</v>
      </c>
      <c r="M920" s="5"/>
      <c r="N920" s="5"/>
      <c r="O920" s="5"/>
      <c r="P920" s="5"/>
      <c r="Q920" s="5"/>
      <c r="R920" s="5"/>
      <c r="S920" s="27"/>
      <c r="T920" s="5" t="s">
        <v>1149</v>
      </c>
      <c r="U920" s="5"/>
      <c r="V920" s="224"/>
      <c r="W920" s="5"/>
      <c r="X920" s="61"/>
      <c r="Y920" s="61"/>
      <c r="Z920" s="5"/>
      <c r="AA920" s="5"/>
      <c r="AB920" s="5"/>
      <c r="AC920" s="5"/>
    </row>
    <row r="921" spans="1:30" s="9" customFormat="1" x14ac:dyDescent="0.2">
      <c r="A921" s="28"/>
      <c r="B921" s="16"/>
      <c r="C921" s="16"/>
      <c r="D921" s="7"/>
      <c r="E921" s="7"/>
      <c r="F921" s="6"/>
      <c r="G921" s="6"/>
      <c r="H921" s="17"/>
      <c r="I921" s="17"/>
      <c r="J921" s="7"/>
      <c r="K921" s="7"/>
      <c r="L921" s="23"/>
      <c r="M921" s="6"/>
      <c r="N921" s="6"/>
      <c r="O921" s="6"/>
      <c r="P921" s="6"/>
      <c r="Q921" s="6"/>
      <c r="R921" s="6"/>
      <c r="S921" s="6"/>
      <c r="T921" s="12" t="s">
        <v>1153</v>
      </c>
      <c r="U921" s="6"/>
      <c r="V921" s="138" t="s">
        <v>999</v>
      </c>
      <c r="W921" s="6"/>
      <c r="X921" s="12"/>
      <c r="Y921" s="59"/>
      <c r="Z921" s="6" t="s">
        <v>1154</v>
      </c>
      <c r="AA921" s="6"/>
      <c r="AB921" s="6"/>
      <c r="AC921" s="6"/>
      <c r="AD921" s="10"/>
    </row>
    <row r="922" spans="1:30" s="9" customFormat="1" x14ac:dyDescent="0.2">
      <c r="A922" s="28"/>
      <c r="B922" s="16" t="s">
        <v>36</v>
      </c>
      <c r="C922" s="16" t="s">
        <v>133</v>
      </c>
      <c r="D922" s="7" t="s">
        <v>1155</v>
      </c>
      <c r="E922" s="7"/>
      <c r="F922" s="6" t="s">
        <v>1156</v>
      </c>
      <c r="G922" s="6"/>
      <c r="H922" s="17">
        <v>167261</v>
      </c>
      <c r="I922" s="39" t="s">
        <v>40</v>
      </c>
      <c r="J922" s="7">
        <v>37923</v>
      </c>
      <c r="K922" s="7"/>
      <c r="L922" s="23">
        <f>+J922+60</f>
        <v>37983</v>
      </c>
      <c r="M922" s="18" t="s">
        <v>782</v>
      </c>
      <c r="N922" s="6" t="s">
        <v>42</v>
      </c>
      <c r="O922" s="6"/>
      <c r="P922" s="6"/>
      <c r="Q922" s="6"/>
      <c r="R922" s="6"/>
      <c r="S922" s="23">
        <v>37961</v>
      </c>
      <c r="T922" s="23">
        <v>37966</v>
      </c>
      <c r="U922" s="23"/>
      <c r="V922" s="6" t="s">
        <v>1157</v>
      </c>
      <c r="W922" s="6">
        <v>947</v>
      </c>
      <c r="X922" s="6" t="s">
        <v>47</v>
      </c>
      <c r="Y922" s="59"/>
      <c r="Z922" s="6" t="s">
        <v>1158</v>
      </c>
      <c r="AA922" s="6"/>
      <c r="AB922" s="6" t="s">
        <v>47</v>
      </c>
      <c r="AC922" s="507"/>
      <c r="AD922" s="10" t="str">
        <f>IF(T922&lt;=L922,"en término","atrasado")</f>
        <v>en término</v>
      </c>
    </row>
    <row r="923" spans="1:30" s="9" customFormat="1" ht="12" thickBot="1" x14ac:dyDescent="0.25">
      <c r="A923" s="28"/>
      <c r="B923" s="19"/>
      <c r="C923" s="19"/>
      <c r="D923" s="5"/>
      <c r="E923" s="5"/>
      <c r="F923" s="5" t="s">
        <v>1159</v>
      </c>
      <c r="G923" s="5"/>
      <c r="H923" s="105"/>
      <c r="I923" s="21"/>
      <c r="J923" s="27"/>
      <c r="K923" s="27"/>
      <c r="L923" s="127"/>
      <c r="M923" s="5"/>
      <c r="N923" s="5"/>
      <c r="O923" s="5"/>
      <c r="P923" s="5"/>
      <c r="Q923" s="5"/>
      <c r="R923" s="5"/>
      <c r="S923" s="27"/>
      <c r="T923" s="5"/>
      <c r="U923" s="5"/>
      <c r="V923" s="183" t="s">
        <v>1160</v>
      </c>
      <c r="W923" s="5"/>
      <c r="X923" s="5"/>
      <c r="Y923" s="61"/>
      <c r="Z923" s="5"/>
      <c r="AA923" s="5"/>
      <c r="AB923" s="5"/>
      <c r="AC923" s="5"/>
      <c r="AD923" s="10"/>
    </row>
    <row r="924" spans="1:30" s="9" customFormat="1" x14ac:dyDescent="0.2">
      <c r="A924" s="28"/>
      <c r="B924" s="16"/>
      <c r="C924" s="16"/>
      <c r="D924" s="7"/>
      <c r="E924" s="7"/>
      <c r="F924" s="6"/>
      <c r="G924" s="6"/>
      <c r="H924" s="17"/>
      <c r="I924" s="17"/>
      <c r="J924" s="7"/>
      <c r="K924" s="7"/>
      <c r="L924" s="23"/>
      <c r="M924" s="6"/>
      <c r="N924" s="6"/>
      <c r="O924" s="6"/>
      <c r="P924" s="6"/>
      <c r="Q924" s="6"/>
      <c r="R924" s="6"/>
      <c r="S924" s="6"/>
      <c r="T924" s="12" t="s">
        <v>1161</v>
      </c>
      <c r="U924" s="6"/>
      <c r="V924" s="6"/>
      <c r="W924" s="6"/>
      <c r="X924" s="59"/>
      <c r="Y924" s="59"/>
      <c r="Z924" s="6"/>
      <c r="AA924" s="6"/>
      <c r="AB924" s="6"/>
      <c r="AC924" s="6"/>
    </row>
    <row r="925" spans="1:30" s="9" customFormat="1" x14ac:dyDescent="0.2">
      <c r="A925" s="28"/>
      <c r="B925" s="16" t="s">
        <v>36</v>
      </c>
      <c r="C925" s="16" t="s">
        <v>37</v>
      </c>
      <c r="D925" s="7" t="s">
        <v>1162</v>
      </c>
      <c r="E925" s="7"/>
      <c r="F925" s="6" t="s">
        <v>1163</v>
      </c>
      <c r="G925" s="6"/>
      <c r="H925" s="17">
        <v>7210</v>
      </c>
      <c r="I925" s="39" t="s">
        <v>142</v>
      </c>
      <c r="J925" s="7">
        <v>37942</v>
      </c>
      <c r="K925" s="7"/>
      <c r="L925" s="23">
        <f>+J925+60</f>
        <v>38002</v>
      </c>
      <c r="M925" s="18" t="s">
        <v>41</v>
      </c>
      <c r="N925" s="6" t="s">
        <v>42</v>
      </c>
      <c r="O925" s="6"/>
      <c r="P925" s="6"/>
      <c r="Q925" s="6"/>
      <c r="R925" s="6"/>
      <c r="S925" s="23">
        <v>37972</v>
      </c>
      <c r="T925" s="23">
        <v>37983</v>
      </c>
      <c r="U925" s="23"/>
      <c r="V925" s="6" t="s">
        <v>597</v>
      </c>
      <c r="W925" s="6">
        <v>946</v>
      </c>
      <c r="X925" s="59"/>
      <c r="Y925" s="59"/>
      <c r="Z925" s="6">
        <v>6626629870</v>
      </c>
      <c r="AA925" s="6"/>
      <c r="AB925" s="6" t="s">
        <v>47</v>
      </c>
      <c r="AC925" s="507"/>
      <c r="AD925" s="10" t="str">
        <f>IF(T925&lt;=L925,"en término","atrasado")</f>
        <v>en término</v>
      </c>
    </row>
    <row r="926" spans="1:30" s="9" customFormat="1" ht="12" thickBot="1" x14ac:dyDescent="0.25">
      <c r="A926" s="28"/>
      <c r="B926" s="19"/>
      <c r="C926" s="19"/>
      <c r="D926" s="5"/>
      <c r="E926" s="5"/>
      <c r="F926" s="5" t="s">
        <v>1164</v>
      </c>
      <c r="G926" s="5"/>
      <c r="H926" s="105"/>
      <c r="I926" s="21"/>
      <c r="J926" s="5"/>
      <c r="K926" s="5"/>
      <c r="L926" s="27"/>
      <c r="M926" s="5"/>
      <c r="N926" s="5"/>
      <c r="O926" s="5"/>
      <c r="P926" s="5"/>
      <c r="Q926" s="5"/>
      <c r="R926" s="5"/>
      <c r="S926" s="27"/>
      <c r="T926" s="19" t="s">
        <v>1165</v>
      </c>
      <c r="U926" s="19"/>
      <c r="V926" s="224"/>
      <c r="W926" s="5"/>
      <c r="X926" s="61"/>
      <c r="Y926" s="61"/>
      <c r="Z926" s="5"/>
      <c r="AA926" s="5"/>
      <c r="AB926" s="5"/>
      <c r="AC926" s="5"/>
    </row>
    <row r="927" spans="1:30" s="9" customFormat="1" x14ac:dyDescent="0.2">
      <c r="A927" s="28"/>
      <c r="B927" s="16"/>
      <c r="C927" s="16"/>
      <c r="D927" s="7"/>
      <c r="E927" s="7"/>
      <c r="F927" s="6"/>
      <c r="G927" s="6"/>
      <c r="H927" s="17"/>
      <c r="I927" s="17"/>
      <c r="J927" s="7"/>
      <c r="K927" s="7"/>
      <c r="L927" s="23"/>
      <c r="M927" s="6"/>
      <c r="N927" s="6"/>
      <c r="O927" s="6"/>
      <c r="P927" s="6"/>
      <c r="Q927" s="6"/>
      <c r="R927" s="6"/>
      <c r="S927" s="6"/>
      <c r="T927" s="12" t="s">
        <v>1161</v>
      </c>
      <c r="U927" s="6"/>
      <c r="V927" s="138" t="s">
        <v>1166</v>
      </c>
      <c r="W927" s="6"/>
      <c r="X927" s="59"/>
      <c r="Y927" s="59"/>
      <c r="Z927" s="6"/>
      <c r="AA927" s="6"/>
      <c r="AB927" s="6"/>
      <c r="AC927" s="6"/>
    </row>
    <row r="928" spans="1:30" s="9" customFormat="1" x14ac:dyDescent="0.2">
      <c r="A928" s="28"/>
      <c r="B928" s="16" t="s">
        <v>36</v>
      </c>
      <c r="C928" s="16" t="s">
        <v>37</v>
      </c>
      <c r="D928" s="7" t="s">
        <v>1167</v>
      </c>
      <c r="E928" s="7"/>
      <c r="F928" s="6" t="s">
        <v>1168</v>
      </c>
      <c r="G928" s="6"/>
      <c r="H928" s="17">
        <v>86.4</v>
      </c>
      <c r="I928" s="39" t="s">
        <v>142</v>
      </c>
      <c r="J928" s="7">
        <v>37960</v>
      </c>
      <c r="K928" s="7"/>
      <c r="L928" s="23">
        <v>38019</v>
      </c>
      <c r="M928" s="18" t="s">
        <v>41</v>
      </c>
      <c r="N928" s="6" t="s">
        <v>42</v>
      </c>
      <c r="O928" s="6"/>
      <c r="P928" s="6"/>
      <c r="Q928" s="6"/>
      <c r="R928" s="6"/>
      <c r="S928" s="23">
        <v>37974</v>
      </c>
      <c r="T928" s="23">
        <v>37983</v>
      </c>
      <c r="U928" s="23"/>
      <c r="V928" s="6" t="s">
        <v>1169</v>
      </c>
      <c r="W928" s="6">
        <v>946</v>
      </c>
      <c r="X928" s="59"/>
      <c r="Y928" s="59"/>
      <c r="Z928" s="6">
        <v>6626629870</v>
      </c>
      <c r="AA928" s="6"/>
      <c r="AB928" s="6" t="s">
        <v>47</v>
      </c>
      <c r="AC928" s="507"/>
      <c r="AD928" s="10" t="str">
        <f>IF(T928&lt;=L928,"en término","atrasado")</f>
        <v>en término</v>
      </c>
    </row>
    <row r="929" spans="1:39" s="9" customFormat="1" ht="12" thickBot="1" x14ac:dyDescent="0.25">
      <c r="A929" s="28"/>
      <c r="B929" s="19"/>
      <c r="C929" s="19"/>
      <c r="D929" s="5"/>
      <c r="E929" s="5"/>
      <c r="F929" s="5" t="s">
        <v>1170</v>
      </c>
      <c r="G929" s="5"/>
      <c r="H929" s="105"/>
      <c r="I929" s="21"/>
      <c r="J929" s="5"/>
      <c r="K929" s="5"/>
      <c r="L929" s="27"/>
      <c r="M929" s="5"/>
      <c r="N929" s="5"/>
      <c r="O929" s="5"/>
      <c r="P929" s="5"/>
      <c r="Q929" s="5"/>
      <c r="R929" s="5"/>
      <c r="S929" s="27"/>
      <c r="T929" s="19" t="s">
        <v>1165</v>
      </c>
      <c r="U929" s="19"/>
      <c r="V929" s="224"/>
      <c r="W929" s="5"/>
      <c r="X929" s="61"/>
      <c r="Y929" s="61"/>
      <c r="Z929" s="5"/>
      <c r="AA929" s="5"/>
      <c r="AB929" s="5"/>
      <c r="AC929" s="5"/>
    </row>
    <row r="931" spans="1:39" ht="12.75" x14ac:dyDescent="0.2">
      <c r="AA931" s="1">
        <v>2003</v>
      </c>
      <c r="AB931" s="1047"/>
    </row>
    <row r="932" spans="1:39" ht="12.75" x14ac:dyDescent="0.2">
      <c r="AA932" s="945" t="s">
        <v>813</v>
      </c>
      <c r="AB932" s="1048">
        <f>COUNTA(AD781:AD928)</f>
        <v>50</v>
      </c>
    </row>
    <row r="933" spans="1:39" ht="12.75" x14ac:dyDescent="0.2">
      <c r="AA933" s="945" t="s">
        <v>815</v>
      </c>
      <c r="AB933" s="1048">
        <f>COUNTIF(AD781:AD928,"en término")</f>
        <v>46</v>
      </c>
    </row>
    <row r="934" spans="1:39" ht="12.75" x14ac:dyDescent="0.2">
      <c r="AA934" s="945" t="s">
        <v>817</v>
      </c>
      <c r="AB934" s="557">
        <f>+AB933/AB932</f>
        <v>0.92</v>
      </c>
    </row>
    <row r="935" spans="1:39" ht="12" thickBot="1" x14ac:dyDescent="0.25">
      <c r="AA935" s="24"/>
      <c r="AB935" s="24"/>
      <c r="AC935" s="506"/>
    </row>
    <row r="936" spans="1:39" s="553" customFormat="1" ht="39.950000000000003" customHeight="1" thickBot="1" x14ac:dyDescent="0.25">
      <c r="B936" s="1611">
        <v>2004</v>
      </c>
      <c r="C936" s="1612"/>
      <c r="D936" s="1612"/>
      <c r="E936" s="1612"/>
      <c r="F936" s="1612"/>
      <c r="G936" s="1612"/>
      <c r="H936" s="1612"/>
      <c r="I936" s="1612"/>
      <c r="J936" s="1612"/>
      <c r="K936" s="1612"/>
      <c r="L936" s="1612"/>
      <c r="M936" s="1612"/>
      <c r="N936" s="1612"/>
      <c r="O936" s="1612"/>
      <c r="P936" s="1612"/>
      <c r="Q936" s="1612"/>
      <c r="R936" s="1612"/>
      <c r="S936" s="1612"/>
      <c r="T936" s="1612"/>
      <c r="U936" s="1612"/>
      <c r="V936" s="1612"/>
      <c r="W936" s="1612"/>
      <c r="X936" s="1612"/>
      <c r="Y936" s="1612"/>
      <c r="Z936" s="1612"/>
      <c r="AA936" s="1612"/>
      <c r="AB936" s="1612"/>
      <c r="AC936" s="1613"/>
    </row>
    <row r="937" spans="1:39" s="441" customFormat="1" ht="60" customHeight="1" thickBot="1" x14ac:dyDescent="0.25">
      <c r="A937" s="438"/>
      <c r="B937" s="451" t="s">
        <v>130</v>
      </c>
      <c r="C937" s="451" t="s">
        <v>4</v>
      </c>
      <c r="D937" s="451" t="s">
        <v>5</v>
      </c>
      <c r="E937" s="451" t="s">
        <v>6</v>
      </c>
      <c r="F937" s="451" t="s">
        <v>7</v>
      </c>
      <c r="G937" s="451" t="s">
        <v>8</v>
      </c>
      <c r="H937" s="453" t="s">
        <v>9</v>
      </c>
      <c r="I937" s="453" t="s">
        <v>10</v>
      </c>
      <c r="J937" s="451" t="s">
        <v>11</v>
      </c>
      <c r="K937" s="451" t="s">
        <v>12</v>
      </c>
      <c r="L937" s="451" t="s">
        <v>13</v>
      </c>
      <c r="M937" s="451" t="s">
        <v>14</v>
      </c>
      <c r="N937" s="451" t="s">
        <v>15</v>
      </c>
      <c r="O937" s="452" t="s">
        <v>16</v>
      </c>
      <c r="P937" s="454" t="s">
        <v>17</v>
      </c>
      <c r="Q937" s="451" t="s">
        <v>18</v>
      </c>
      <c r="R937" s="452" t="s">
        <v>19</v>
      </c>
      <c r="S937" s="451" t="s">
        <v>20</v>
      </c>
      <c r="T937" s="451" t="s">
        <v>21</v>
      </c>
      <c r="U937" s="452" t="s">
        <v>22</v>
      </c>
      <c r="V937" s="451" t="s">
        <v>131</v>
      </c>
      <c r="W937" s="451" t="s">
        <v>24</v>
      </c>
      <c r="X937" s="451" t="s">
        <v>132</v>
      </c>
      <c r="Y937" s="451" t="s">
        <v>26</v>
      </c>
      <c r="Z937" s="451" t="s">
        <v>27</v>
      </c>
      <c r="AA937" s="451" t="s">
        <v>28</v>
      </c>
      <c r="AB937" s="451" t="s">
        <v>29</v>
      </c>
      <c r="AC937" s="451" t="s">
        <v>30</v>
      </c>
      <c r="AD937" s="439"/>
      <c r="AE937" s="440"/>
      <c r="AF937" s="440"/>
      <c r="AG937" s="440"/>
      <c r="AH937" s="440"/>
      <c r="AI937" s="440"/>
      <c r="AJ937" s="440"/>
      <c r="AK937" s="440"/>
      <c r="AL937" s="440"/>
      <c r="AM937" s="440"/>
    </row>
    <row r="938" spans="1:39" s="9" customFormat="1" x14ac:dyDescent="0.2">
      <c r="A938" s="28"/>
      <c r="B938" s="16"/>
      <c r="C938" s="16"/>
      <c r="D938" s="7"/>
      <c r="E938" s="7"/>
      <c r="F938" s="6"/>
      <c r="G938" s="6"/>
      <c r="H938" s="17"/>
      <c r="I938" s="17"/>
      <c r="J938" s="7"/>
      <c r="K938" s="7"/>
      <c r="L938" s="23"/>
      <c r="M938" s="6"/>
      <c r="N938" s="6"/>
      <c r="O938" s="6"/>
      <c r="P938" s="6"/>
      <c r="Q938" s="6"/>
      <c r="R938" s="6"/>
      <c r="S938" s="6"/>
      <c r="T938" s="6"/>
      <c r="U938" s="6"/>
      <c r="V938" s="138" t="s">
        <v>1171</v>
      </c>
      <c r="W938" s="6"/>
      <c r="X938" s="59"/>
      <c r="Y938" s="59"/>
      <c r="Z938" s="6"/>
      <c r="AA938" s="6"/>
      <c r="AB938" s="6"/>
      <c r="AC938" s="6"/>
    </row>
    <row r="939" spans="1:39" s="9" customFormat="1" x14ac:dyDescent="0.2">
      <c r="A939" s="28"/>
      <c r="B939" s="16" t="s">
        <v>36</v>
      </c>
      <c r="C939" s="16" t="s">
        <v>37</v>
      </c>
      <c r="D939" s="7" t="s">
        <v>1162</v>
      </c>
      <c r="E939" s="7"/>
      <c r="F939" s="6" t="s">
        <v>1172</v>
      </c>
      <c r="G939" s="6" t="s">
        <v>1173</v>
      </c>
      <c r="H939" s="17">
        <v>5344.63</v>
      </c>
      <c r="I939" s="39" t="s">
        <v>142</v>
      </c>
      <c r="J939" s="7">
        <v>37949</v>
      </c>
      <c r="K939" s="7"/>
      <c r="L939" s="23">
        <v>37637</v>
      </c>
      <c r="M939" s="18" t="s">
        <v>41</v>
      </c>
      <c r="N939" s="6" t="s">
        <v>110</v>
      </c>
      <c r="O939" s="7">
        <v>38001</v>
      </c>
      <c r="P939" s="7"/>
      <c r="Q939" s="7"/>
      <c r="R939" s="7"/>
      <c r="S939" s="23">
        <v>38002</v>
      </c>
      <c r="T939" s="23">
        <v>38005</v>
      </c>
      <c r="U939" s="23"/>
      <c r="V939" s="6" t="s">
        <v>597</v>
      </c>
      <c r="W939" s="6" t="s">
        <v>1174</v>
      </c>
      <c r="X939" s="59"/>
      <c r="Y939" s="59"/>
      <c r="Z939" s="6" t="s">
        <v>1175</v>
      </c>
      <c r="AA939" s="6"/>
      <c r="AB939" s="6"/>
      <c r="AC939" s="6"/>
    </row>
    <row r="940" spans="1:39" s="9" customFormat="1" ht="12" thickBot="1" x14ac:dyDescent="0.25">
      <c r="A940" s="28"/>
      <c r="B940" s="19"/>
      <c r="C940" s="19"/>
      <c r="D940" s="5"/>
      <c r="E940" s="5"/>
      <c r="F940" s="5" t="s">
        <v>1164</v>
      </c>
      <c r="G940" s="5"/>
      <c r="H940" s="105"/>
      <c r="I940" s="21"/>
      <c r="J940" s="5"/>
      <c r="K940" s="5"/>
      <c r="L940" s="27"/>
      <c r="M940" s="5"/>
      <c r="N940" s="5"/>
      <c r="O940" s="27"/>
      <c r="P940" s="27"/>
      <c r="Q940" s="27"/>
      <c r="R940" s="27"/>
      <c r="S940" s="27" t="s">
        <v>1176</v>
      </c>
      <c r="T940" s="127"/>
      <c r="U940" s="127"/>
      <c r="V940" s="139" t="s">
        <v>1177</v>
      </c>
      <c r="W940" s="5"/>
      <c r="X940" s="61"/>
      <c r="Y940" s="61"/>
      <c r="Z940" s="5" t="s">
        <v>1178</v>
      </c>
      <c r="AA940" s="5"/>
      <c r="AB940" s="5"/>
      <c r="AC940" s="5"/>
    </row>
    <row r="941" spans="1:39" s="9" customFormat="1" x14ac:dyDescent="0.2">
      <c r="A941" s="28"/>
      <c r="B941" s="16"/>
      <c r="C941" s="16"/>
      <c r="D941" s="7"/>
      <c r="E941" s="7"/>
      <c r="F941" s="6"/>
      <c r="G941" s="6"/>
      <c r="H941" s="17"/>
      <c r="I941" s="17"/>
      <c r="J941" s="7"/>
      <c r="K941" s="7"/>
      <c r="L941" s="23"/>
      <c r="M941" s="6"/>
      <c r="N941" s="6"/>
      <c r="O941" s="6"/>
      <c r="P941" s="6"/>
      <c r="Q941" s="6"/>
      <c r="R941" s="6"/>
      <c r="S941" s="6"/>
      <c r="T941" s="12"/>
      <c r="U941" s="6"/>
      <c r="V941" s="138" t="s">
        <v>1102</v>
      </c>
      <c r="W941" s="6"/>
      <c r="X941" s="59"/>
      <c r="Y941" s="59"/>
      <c r="Z941" s="6"/>
      <c r="AA941" s="6"/>
      <c r="AB941" s="6"/>
      <c r="AC941" s="6"/>
    </row>
    <row r="942" spans="1:39" s="9" customFormat="1" x14ac:dyDescent="0.2">
      <c r="A942" s="28"/>
      <c r="B942" s="16" t="s">
        <v>36</v>
      </c>
      <c r="C942" s="16" t="s">
        <v>37</v>
      </c>
      <c r="D942" s="7" t="s">
        <v>1179</v>
      </c>
      <c r="E942" s="7"/>
      <c r="F942" s="6" t="s">
        <v>1180</v>
      </c>
      <c r="G942" s="6" t="s">
        <v>1173</v>
      </c>
      <c r="H942" s="17">
        <v>5447.9</v>
      </c>
      <c r="I942" s="39" t="s">
        <v>52</v>
      </c>
      <c r="J942" s="7">
        <v>37993</v>
      </c>
      <c r="K942" s="7"/>
      <c r="L942" s="23">
        <f>+J942+70</f>
        <v>38063</v>
      </c>
      <c r="M942" s="18" t="s">
        <v>41</v>
      </c>
      <c r="N942" s="6" t="s">
        <v>42</v>
      </c>
      <c r="O942" s="7">
        <v>38013</v>
      </c>
      <c r="P942" s="7"/>
      <c r="Q942" s="7"/>
      <c r="R942" s="7"/>
      <c r="S942" s="23">
        <v>38023</v>
      </c>
      <c r="T942" s="23"/>
      <c r="U942" s="23"/>
      <c r="V942" s="6" t="s">
        <v>53</v>
      </c>
      <c r="W942" s="6" t="s">
        <v>1181</v>
      </c>
      <c r="X942" s="59"/>
      <c r="Y942" s="59"/>
      <c r="Z942" s="6" t="s">
        <v>1182</v>
      </c>
      <c r="AA942" s="6"/>
      <c r="AB942" s="6"/>
      <c r="AC942" s="6"/>
    </row>
    <row r="943" spans="1:39" s="9" customFormat="1" ht="12" thickBot="1" x14ac:dyDescent="0.25">
      <c r="A943" s="28"/>
      <c r="B943" s="19"/>
      <c r="C943" s="19"/>
      <c r="D943" s="5"/>
      <c r="E943" s="5"/>
      <c r="F943" s="5" t="s">
        <v>1183</v>
      </c>
      <c r="G943" s="5"/>
      <c r="H943" s="105"/>
      <c r="I943" s="21"/>
      <c r="J943" s="5"/>
      <c r="K943" s="5"/>
      <c r="L943" s="27"/>
      <c r="M943" s="5"/>
      <c r="N943" s="5"/>
      <c r="O943" s="27"/>
      <c r="P943" s="27"/>
      <c r="Q943" s="27"/>
      <c r="R943" s="27"/>
      <c r="S943" s="19"/>
      <c r="T943" s="19"/>
      <c r="U943" s="19"/>
      <c r="V943" s="224"/>
      <c r="W943" s="5"/>
      <c r="X943" s="61"/>
      <c r="Y943" s="61"/>
      <c r="Z943" s="5"/>
      <c r="AA943" s="5"/>
      <c r="AB943" s="5"/>
      <c r="AC943" s="5"/>
    </row>
    <row r="944" spans="1:39" s="9" customFormat="1" x14ac:dyDescent="0.2">
      <c r="A944" s="28"/>
      <c r="B944" s="16"/>
      <c r="C944" s="16"/>
      <c r="D944" s="7"/>
      <c r="E944" s="7"/>
      <c r="F944" s="6"/>
      <c r="G944" s="6"/>
      <c r="H944" s="17"/>
      <c r="I944" s="17"/>
      <c r="J944" s="7"/>
      <c r="K944" s="7"/>
      <c r="L944" s="23"/>
      <c r="M944" s="6"/>
      <c r="N944" s="6"/>
      <c r="O944" s="6"/>
      <c r="P944" s="6"/>
      <c r="Q944" s="6"/>
      <c r="R944" s="6"/>
      <c r="S944" s="12"/>
      <c r="T944" s="12"/>
      <c r="U944" s="6"/>
      <c r="V944" s="138" t="s">
        <v>1102</v>
      </c>
      <c r="W944" s="6"/>
      <c r="X944" s="59"/>
      <c r="Y944" s="59"/>
      <c r="Z944" s="6"/>
      <c r="AA944" s="6"/>
      <c r="AB944" s="6"/>
      <c r="AC944" s="6"/>
    </row>
    <row r="945" spans="1:30" s="9" customFormat="1" x14ac:dyDescent="0.2">
      <c r="A945" s="28"/>
      <c r="B945" s="16" t="s">
        <v>36</v>
      </c>
      <c r="C945" s="16" t="s">
        <v>37</v>
      </c>
      <c r="D945" s="7" t="s">
        <v>1184</v>
      </c>
      <c r="E945" s="7"/>
      <c r="F945" s="6" t="s">
        <v>1185</v>
      </c>
      <c r="G945" s="6" t="s">
        <v>1173</v>
      </c>
      <c r="H945" s="17">
        <v>1280</v>
      </c>
      <c r="I945" s="39" t="s">
        <v>142</v>
      </c>
      <c r="J945" s="7">
        <v>38009</v>
      </c>
      <c r="K945" s="7"/>
      <c r="L945" s="23">
        <f>+J945+60</f>
        <v>38069</v>
      </c>
      <c r="M945" s="18" t="s">
        <v>41</v>
      </c>
      <c r="N945" s="6" t="s">
        <v>42</v>
      </c>
      <c r="O945" s="7">
        <v>38019</v>
      </c>
      <c r="P945" s="7"/>
      <c r="Q945" s="7"/>
      <c r="R945" s="7"/>
      <c r="S945" s="23">
        <v>38023</v>
      </c>
      <c r="T945" s="23"/>
      <c r="U945" s="23"/>
      <c r="V945" s="6" t="s">
        <v>53</v>
      </c>
      <c r="W945" s="6" t="s">
        <v>1186</v>
      </c>
      <c r="X945" s="59"/>
      <c r="Y945" s="59"/>
      <c r="Z945" s="6" t="s">
        <v>1182</v>
      </c>
      <c r="AA945" s="6"/>
      <c r="AB945" s="6"/>
      <c r="AC945" s="6"/>
    </row>
    <row r="946" spans="1:30" s="9" customFormat="1" ht="12" thickBot="1" x14ac:dyDescent="0.25">
      <c r="A946" s="28"/>
      <c r="B946" s="19"/>
      <c r="C946" s="19"/>
      <c r="D946" s="5"/>
      <c r="E946" s="5"/>
      <c r="F946" s="5" t="s">
        <v>1187</v>
      </c>
      <c r="G946" s="5"/>
      <c r="H946" s="105"/>
      <c r="I946" s="21"/>
      <c r="J946" s="5"/>
      <c r="K946" s="5"/>
      <c r="L946" s="27"/>
      <c r="M946" s="5"/>
      <c r="N946" s="5"/>
      <c r="O946" s="27"/>
      <c r="P946" s="27"/>
      <c r="Q946" s="27"/>
      <c r="R946" s="27"/>
      <c r="S946" s="27"/>
      <c r="T946" s="19"/>
      <c r="U946" s="19"/>
      <c r="V946" s="224"/>
      <c r="W946" s="5"/>
      <c r="X946" s="61"/>
      <c r="Y946" s="61"/>
      <c r="Z946" s="5"/>
      <c r="AA946" s="5"/>
      <c r="AB946" s="5"/>
      <c r="AC946" s="5"/>
    </row>
    <row r="947" spans="1:30" s="9" customFormat="1" x14ac:dyDescent="0.2">
      <c r="A947" s="28"/>
      <c r="B947" s="16"/>
      <c r="C947" s="16"/>
      <c r="D947" s="7"/>
      <c r="E947" s="7"/>
      <c r="F947" s="6"/>
      <c r="G947" s="6"/>
      <c r="H947" s="17"/>
      <c r="I947" s="17"/>
      <c r="J947" s="7"/>
      <c r="K947" s="7"/>
      <c r="L947" s="23"/>
      <c r="M947" s="6"/>
      <c r="N947" s="6"/>
      <c r="O947" s="6"/>
      <c r="P947" s="6"/>
      <c r="Q947" s="6"/>
      <c r="R947" s="6"/>
      <c r="S947" s="6"/>
      <c r="T947" s="12"/>
      <c r="U947" s="6"/>
      <c r="V947" s="138" t="s">
        <v>1188</v>
      </c>
      <c r="W947" s="6"/>
      <c r="X947" s="12"/>
      <c r="Y947" s="59"/>
      <c r="Z947" s="6" t="s">
        <v>1189</v>
      </c>
      <c r="AA947" s="6"/>
      <c r="AB947" s="6"/>
      <c r="AC947" s="6"/>
    </row>
    <row r="948" spans="1:30" s="9" customFormat="1" x14ac:dyDescent="0.2">
      <c r="A948" s="28"/>
      <c r="B948" s="16" t="s">
        <v>36</v>
      </c>
      <c r="C948" s="16" t="s">
        <v>133</v>
      </c>
      <c r="D948" s="7" t="s">
        <v>1190</v>
      </c>
      <c r="E948" s="7"/>
      <c r="F948" s="6" t="s">
        <v>1191</v>
      </c>
      <c r="G948" s="6" t="s">
        <v>1192</v>
      </c>
      <c r="H948" s="17">
        <v>21866</v>
      </c>
      <c r="I948" s="39" t="s">
        <v>139</v>
      </c>
      <c r="J948" s="7">
        <v>37923</v>
      </c>
      <c r="K948" s="7"/>
      <c r="L948" s="23">
        <v>38011</v>
      </c>
      <c r="M948" s="18" t="s">
        <v>41</v>
      </c>
      <c r="N948" s="6" t="s">
        <v>42</v>
      </c>
      <c r="O948" s="7">
        <v>38006</v>
      </c>
      <c r="P948" s="7"/>
      <c r="Q948" s="7"/>
      <c r="R948" s="7"/>
      <c r="S948" s="23">
        <v>38009</v>
      </c>
      <c r="T948" s="23">
        <f>+S948+30</f>
        <v>38039</v>
      </c>
      <c r="U948" s="23"/>
      <c r="V948" s="6" t="s">
        <v>1193</v>
      </c>
      <c r="W948" s="6">
        <v>956</v>
      </c>
      <c r="X948" s="6" t="s">
        <v>47</v>
      </c>
      <c r="Y948" s="59"/>
      <c r="Z948" s="6" t="s">
        <v>1194</v>
      </c>
      <c r="AA948" s="6"/>
      <c r="AB948" s="6" t="s">
        <v>47</v>
      </c>
      <c r="AC948" s="507"/>
      <c r="AD948" s="10" t="str">
        <f>IF(S948&lt;=L948,"en término","atrasado")</f>
        <v>en término</v>
      </c>
    </row>
    <row r="949" spans="1:30" s="9" customFormat="1" ht="12" thickBot="1" x14ac:dyDescent="0.25">
      <c r="A949" s="28"/>
      <c r="B949" s="19"/>
      <c r="C949" s="19"/>
      <c r="D949" s="5"/>
      <c r="E949" s="5"/>
      <c r="F949" s="5" t="s">
        <v>1129</v>
      </c>
      <c r="G949" s="5"/>
      <c r="H949" s="105"/>
      <c r="I949" s="21"/>
      <c r="J949" s="27"/>
      <c r="K949" s="27"/>
      <c r="L949" s="127"/>
      <c r="M949" s="5"/>
      <c r="N949" s="5"/>
      <c r="O949" s="27"/>
      <c r="P949" s="27"/>
      <c r="Q949" s="27"/>
      <c r="R949" s="27"/>
      <c r="S949" s="5" t="s">
        <v>257</v>
      </c>
      <c r="T949" s="5"/>
      <c r="U949" s="5"/>
      <c r="V949" s="5"/>
      <c r="W949" s="5"/>
      <c r="X949" s="5"/>
      <c r="Y949" s="61"/>
      <c r="Z949" s="5"/>
      <c r="AA949" s="5"/>
      <c r="AB949" s="5"/>
      <c r="AC949" s="5"/>
    </row>
    <row r="950" spans="1:30" s="9" customFormat="1" x14ac:dyDescent="0.2">
      <c r="A950" s="28"/>
      <c r="B950" s="16"/>
      <c r="C950" s="16"/>
      <c r="D950" s="7"/>
      <c r="E950" s="7"/>
      <c r="F950" s="6"/>
      <c r="G950" s="6"/>
      <c r="H950" s="17"/>
      <c r="I950" s="17"/>
      <c r="J950" s="7"/>
      <c r="K950" s="7"/>
      <c r="L950" s="23"/>
      <c r="M950" s="6"/>
      <c r="N950" s="6"/>
      <c r="O950" s="6"/>
      <c r="P950" s="6"/>
      <c r="Q950" s="6"/>
      <c r="R950" s="6"/>
      <c r="S950" s="6"/>
      <c r="T950" s="12"/>
      <c r="U950" s="6"/>
      <c r="V950" s="138"/>
      <c r="W950" s="6"/>
      <c r="X950" s="12"/>
      <c r="Y950" s="59"/>
      <c r="Z950" s="6" t="s">
        <v>1189</v>
      </c>
      <c r="AA950" s="6"/>
      <c r="AB950" s="6"/>
      <c r="AC950" s="6"/>
    </row>
    <row r="951" spans="1:30" s="9" customFormat="1" x14ac:dyDescent="0.2">
      <c r="A951" s="28"/>
      <c r="B951" s="16" t="s">
        <v>36</v>
      </c>
      <c r="C951" s="16" t="s">
        <v>133</v>
      </c>
      <c r="D951" s="7" t="s">
        <v>1195</v>
      </c>
      <c r="E951" s="7"/>
      <c r="F951" s="6" t="s">
        <v>1196</v>
      </c>
      <c r="G951" s="6" t="s">
        <v>1192</v>
      </c>
      <c r="H951" s="17">
        <v>170006</v>
      </c>
      <c r="I951" s="39" t="s">
        <v>139</v>
      </c>
      <c r="J951" s="7">
        <v>37932</v>
      </c>
      <c r="K951" s="7"/>
      <c r="L951" s="23">
        <v>38014</v>
      </c>
      <c r="M951" s="18" t="s">
        <v>41</v>
      </c>
      <c r="N951" s="6" t="s">
        <v>42</v>
      </c>
      <c r="O951" s="7">
        <v>38006</v>
      </c>
      <c r="P951" s="7"/>
      <c r="Q951" s="7"/>
      <c r="R951" s="7"/>
      <c r="S951" s="23">
        <v>38009</v>
      </c>
      <c r="T951" s="23">
        <f>+S951+30</f>
        <v>38039</v>
      </c>
      <c r="U951" s="23"/>
      <c r="V951" s="6" t="s">
        <v>1197</v>
      </c>
      <c r="W951" s="6">
        <v>955</v>
      </c>
      <c r="X951" s="6" t="s">
        <v>47</v>
      </c>
      <c r="Y951" s="59"/>
      <c r="Z951" s="6" t="s">
        <v>1194</v>
      </c>
      <c r="AA951" s="6"/>
      <c r="AB951" s="6" t="s">
        <v>47</v>
      </c>
      <c r="AC951" s="507"/>
      <c r="AD951" s="10" t="str">
        <f>IF(S951&lt;=L951,"en término","atrasado")</f>
        <v>en término</v>
      </c>
    </row>
    <row r="952" spans="1:30" s="9" customFormat="1" ht="12" thickBot="1" x14ac:dyDescent="0.25">
      <c r="A952" s="28"/>
      <c r="B952" s="19"/>
      <c r="C952" s="19"/>
      <c r="D952" s="5"/>
      <c r="E952" s="5"/>
      <c r="F952" s="5" t="s">
        <v>1198</v>
      </c>
      <c r="G952" s="5"/>
      <c r="H952" s="105"/>
      <c r="I952" s="21"/>
      <c r="J952" s="27"/>
      <c r="K952" s="27"/>
      <c r="L952" s="127"/>
      <c r="M952" s="5"/>
      <c r="N952" s="5"/>
      <c r="O952" s="27"/>
      <c r="P952" s="27"/>
      <c r="Q952" s="27"/>
      <c r="R952" s="27"/>
      <c r="S952" s="5" t="s">
        <v>257</v>
      </c>
      <c r="T952" s="5"/>
      <c r="U952" s="5"/>
      <c r="V952" s="5"/>
      <c r="W952" s="5"/>
      <c r="X952" s="5"/>
      <c r="Y952" s="61"/>
      <c r="Z952" s="5"/>
      <c r="AA952" s="5"/>
      <c r="AB952" s="5"/>
      <c r="AC952" s="5"/>
    </row>
    <row r="953" spans="1:30" s="9" customFormat="1" x14ac:dyDescent="0.2">
      <c r="A953" s="28"/>
      <c r="B953" s="16"/>
      <c r="C953" s="16"/>
      <c r="D953" s="7"/>
      <c r="E953" s="7"/>
      <c r="F953" s="6"/>
      <c r="G953" s="6"/>
      <c r="H953" s="17"/>
      <c r="I953" s="17"/>
      <c r="J953" s="7"/>
      <c r="K953" s="7"/>
      <c r="L953" s="23"/>
      <c r="M953" s="6"/>
      <c r="N953" s="6"/>
      <c r="O953" s="6"/>
      <c r="P953" s="6"/>
      <c r="Q953" s="6"/>
      <c r="R953" s="6"/>
      <c r="S953" s="12"/>
      <c r="T953" s="12"/>
      <c r="U953" s="6"/>
      <c r="V953" s="138"/>
      <c r="W953" s="6"/>
      <c r="X953" s="59"/>
      <c r="Y953" s="59"/>
      <c r="Z953" s="6"/>
      <c r="AA953" s="6"/>
      <c r="AB953" s="6"/>
      <c r="AC953" s="6"/>
    </row>
    <row r="954" spans="1:30" s="9" customFormat="1" x14ac:dyDescent="0.2">
      <c r="A954" s="28"/>
      <c r="B954" s="16" t="s">
        <v>36</v>
      </c>
      <c r="C954" s="16" t="s">
        <v>37</v>
      </c>
      <c r="D954" s="7" t="s">
        <v>1199</v>
      </c>
      <c r="E954" s="7"/>
      <c r="F954" s="6" t="s">
        <v>1200</v>
      </c>
      <c r="G954" s="6" t="s">
        <v>1173</v>
      </c>
      <c r="H954" s="17">
        <v>2921</v>
      </c>
      <c r="I954" s="39" t="s">
        <v>52</v>
      </c>
      <c r="J954" s="7">
        <v>37974</v>
      </c>
      <c r="K954" s="7"/>
      <c r="L954" s="23">
        <f>+J954+60</f>
        <v>38034</v>
      </c>
      <c r="M954" s="18" t="s">
        <v>41</v>
      </c>
      <c r="N954" s="6" t="s">
        <v>42</v>
      </c>
      <c r="O954" s="7">
        <v>38006</v>
      </c>
      <c r="P954" s="7"/>
      <c r="Q954" s="7"/>
      <c r="R954" s="7"/>
      <c r="S954" s="23">
        <v>38009</v>
      </c>
      <c r="T954" s="23">
        <f>+S954+30</f>
        <v>38039</v>
      </c>
      <c r="U954" s="23"/>
      <c r="V954" s="6" t="s">
        <v>53</v>
      </c>
      <c r="W954" s="6">
        <v>959</v>
      </c>
      <c r="X954" s="59"/>
      <c r="Y954" s="59"/>
      <c r="Z954" s="6">
        <v>6642683165</v>
      </c>
      <c r="AA954" s="6"/>
      <c r="AB954" s="56" t="s">
        <v>753</v>
      </c>
      <c r="AC954" s="511"/>
      <c r="AD954" s="10" t="str">
        <f>IF(T954&lt;=L954,"en término","atrasado")</f>
        <v>atrasado</v>
      </c>
    </row>
    <row r="955" spans="1:30" s="9" customFormat="1" ht="12" thickBot="1" x14ac:dyDescent="0.25">
      <c r="A955" s="28"/>
      <c r="B955" s="19"/>
      <c r="C955" s="19"/>
      <c r="D955" s="5"/>
      <c r="E955" s="5"/>
      <c r="F955" s="5" t="s">
        <v>1201</v>
      </c>
      <c r="G955" s="5"/>
      <c r="H955" s="105"/>
      <c r="I955" s="21"/>
      <c r="J955" s="5"/>
      <c r="K955" s="5"/>
      <c r="L955" s="27"/>
      <c r="M955" s="5"/>
      <c r="N955" s="5"/>
      <c r="O955" s="27"/>
      <c r="P955" s="27"/>
      <c r="Q955" s="27"/>
      <c r="R955" s="27"/>
      <c r="S955" s="5" t="s">
        <v>257</v>
      </c>
      <c r="T955" s="5"/>
      <c r="U955" s="5"/>
      <c r="V955" s="224"/>
      <c r="W955" s="5"/>
      <c r="X955" s="61"/>
      <c r="Y955" s="61"/>
      <c r="Z955" s="5"/>
      <c r="AA955" s="5"/>
      <c r="AB955" s="65"/>
      <c r="AC955" s="5"/>
    </row>
    <row r="956" spans="1:30" s="9" customFormat="1" x14ac:dyDescent="0.2">
      <c r="A956" s="28"/>
      <c r="B956" s="16"/>
      <c r="C956" s="16"/>
      <c r="D956" s="7"/>
      <c r="E956" s="7"/>
      <c r="F956" s="6"/>
      <c r="G956" s="6"/>
      <c r="H956" s="17"/>
      <c r="I956" s="17"/>
      <c r="J956" s="7"/>
      <c r="K956" s="7"/>
      <c r="L956" s="23"/>
      <c r="M956" s="6"/>
      <c r="N956" s="6"/>
      <c r="O956" s="6"/>
      <c r="P956" s="6"/>
      <c r="Q956" s="6"/>
      <c r="R956" s="6"/>
      <c r="S956" s="12" t="s">
        <v>1202</v>
      </c>
      <c r="T956" s="12"/>
      <c r="U956" s="6"/>
      <c r="V956" s="138"/>
      <c r="W956" s="6"/>
      <c r="X956" s="59"/>
      <c r="Y956" s="59"/>
      <c r="Z956" s="6"/>
      <c r="AA956" s="6"/>
      <c r="AB956" s="56"/>
      <c r="AC956" s="6"/>
    </row>
    <row r="957" spans="1:30" s="9" customFormat="1" x14ac:dyDescent="0.2">
      <c r="A957" s="28"/>
      <c r="B957" s="16" t="s">
        <v>36</v>
      </c>
      <c r="C957" s="16" t="s">
        <v>37</v>
      </c>
      <c r="D957" s="7" t="s">
        <v>1179</v>
      </c>
      <c r="E957" s="7"/>
      <c r="F957" s="6" t="s">
        <v>1203</v>
      </c>
      <c r="G957" s="6" t="s">
        <v>1173</v>
      </c>
      <c r="H957" s="17">
        <v>6157.47</v>
      </c>
      <c r="I957" s="39" t="s">
        <v>52</v>
      </c>
      <c r="J957" s="7">
        <v>37993</v>
      </c>
      <c r="K957" s="7"/>
      <c r="L957" s="23">
        <f>+J957+70</f>
        <v>38063</v>
      </c>
      <c r="M957" s="18" t="s">
        <v>41</v>
      </c>
      <c r="N957" s="6" t="s">
        <v>42</v>
      </c>
      <c r="O957" s="7">
        <v>38016</v>
      </c>
      <c r="P957" s="7"/>
      <c r="Q957" s="7"/>
      <c r="R957" s="7"/>
      <c r="S957" s="23">
        <v>38031</v>
      </c>
      <c r="T957" s="23">
        <f>+S957+30</f>
        <v>38061</v>
      </c>
      <c r="U957" s="23"/>
      <c r="V957" s="6" t="s">
        <v>53</v>
      </c>
      <c r="W957" s="6">
        <v>960</v>
      </c>
      <c r="X957" s="59"/>
      <c r="Y957" s="59"/>
      <c r="Z957" s="6">
        <v>6642683213</v>
      </c>
      <c r="AA957" s="6"/>
      <c r="AB957" s="56" t="s">
        <v>753</v>
      </c>
      <c r="AC957" s="511"/>
      <c r="AD957" s="10" t="str">
        <f>IF(T957&lt;=L957,"en término","atrasado")</f>
        <v>en término</v>
      </c>
    </row>
    <row r="958" spans="1:30" s="9" customFormat="1" ht="12" thickBot="1" x14ac:dyDescent="0.25">
      <c r="A958" s="28"/>
      <c r="B958" s="19"/>
      <c r="C958" s="19"/>
      <c r="D958" s="5"/>
      <c r="E958" s="5"/>
      <c r="F958" s="5" t="s">
        <v>1183</v>
      </c>
      <c r="G958" s="5"/>
      <c r="H958" s="105"/>
      <c r="I958" s="21"/>
      <c r="J958" s="5"/>
      <c r="K958" s="5"/>
      <c r="L958" s="27"/>
      <c r="M958" s="5"/>
      <c r="N958" s="5"/>
      <c r="O958" s="27"/>
      <c r="P958" s="27"/>
      <c r="Q958" s="27"/>
      <c r="R958" s="27"/>
      <c r="S958" s="5" t="s">
        <v>1149</v>
      </c>
      <c r="T958" s="5"/>
      <c r="U958" s="5"/>
      <c r="V958" s="224"/>
      <c r="W958" s="5"/>
      <c r="X958" s="61"/>
      <c r="Y958" s="61"/>
      <c r="Z958" s="5"/>
      <c r="AA958" s="5"/>
      <c r="AB958" s="65"/>
      <c r="AC958" s="5"/>
    </row>
    <row r="959" spans="1:30" s="9" customFormat="1" x14ac:dyDescent="0.2">
      <c r="A959" s="28"/>
      <c r="B959" s="16"/>
      <c r="C959" s="16"/>
      <c r="D959" s="7"/>
      <c r="E959" s="7"/>
      <c r="F959" s="6"/>
      <c r="G959" s="6"/>
      <c r="H959" s="17"/>
      <c r="I959" s="17"/>
      <c r="J959" s="7"/>
      <c r="K959" s="7"/>
      <c r="L959" s="23"/>
      <c r="M959" s="6"/>
      <c r="N959" s="6"/>
      <c r="O959" s="6"/>
      <c r="P959" s="6"/>
      <c r="Q959" s="6"/>
      <c r="R959" s="6"/>
      <c r="S959" s="12" t="s">
        <v>1202</v>
      </c>
      <c r="T959" s="12"/>
      <c r="U959" s="6"/>
      <c r="V959" s="138"/>
      <c r="W959" s="6"/>
      <c r="X959" s="59"/>
      <c r="Y959" s="59"/>
      <c r="Z959" s="6"/>
      <c r="AA959" s="6"/>
      <c r="AB959" s="56"/>
      <c r="AC959" s="6"/>
    </row>
    <row r="960" spans="1:30" s="9" customFormat="1" x14ac:dyDescent="0.2">
      <c r="A960" s="28"/>
      <c r="B960" s="16" t="s">
        <v>36</v>
      </c>
      <c r="C960" s="16" t="s">
        <v>37</v>
      </c>
      <c r="D960" s="7" t="s">
        <v>1204</v>
      </c>
      <c r="E960" s="7"/>
      <c r="F960" s="6" t="s">
        <v>1205</v>
      </c>
      <c r="G960" s="6" t="s">
        <v>1173</v>
      </c>
      <c r="H960" s="17">
        <v>1502.5</v>
      </c>
      <c r="I960" s="39" t="s">
        <v>52</v>
      </c>
      <c r="J960" s="7">
        <v>37999</v>
      </c>
      <c r="K960" s="7"/>
      <c r="L960" s="23">
        <f>+J960+60</f>
        <v>38059</v>
      </c>
      <c r="M960" s="18" t="s">
        <v>41</v>
      </c>
      <c r="N960" s="6" t="s">
        <v>42</v>
      </c>
      <c r="O960" s="7">
        <v>38016</v>
      </c>
      <c r="P960" s="7"/>
      <c r="Q960" s="7"/>
      <c r="R960" s="7"/>
      <c r="S960" s="23">
        <v>38031</v>
      </c>
      <c r="T960" s="23">
        <f>+S960+30</f>
        <v>38061</v>
      </c>
      <c r="U960" s="23"/>
      <c r="V960" s="6" t="s">
        <v>53</v>
      </c>
      <c r="W960" s="6">
        <v>960</v>
      </c>
      <c r="X960" s="59"/>
      <c r="Y960" s="59"/>
      <c r="Z960" s="6">
        <v>6642683213</v>
      </c>
      <c r="AA960" s="6"/>
      <c r="AB960" s="56" t="s">
        <v>753</v>
      </c>
      <c r="AC960" s="511"/>
      <c r="AD960" s="10" t="str">
        <f>IF(T960&lt;=L960,"en término","atrasado")</f>
        <v>atrasado</v>
      </c>
    </row>
    <row r="961" spans="1:30" s="9" customFormat="1" ht="12" thickBot="1" x14ac:dyDescent="0.25">
      <c r="A961" s="28"/>
      <c r="B961" s="19"/>
      <c r="C961" s="19"/>
      <c r="D961" s="5"/>
      <c r="E961" s="5"/>
      <c r="F961" s="5" t="s">
        <v>1206</v>
      </c>
      <c r="G961" s="5"/>
      <c r="H961" s="105"/>
      <c r="I961" s="21"/>
      <c r="J961" s="5"/>
      <c r="K961" s="5"/>
      <c r="L961" s="27"/>
      <c r="M961" s="5"/>
      <c r="N961" s="5"/>
      <c r="O961" s="27"/>
      <c r="P961" s="27"/>
      <c r="Q961" s="27"/>
      <c r="R961" s="27"/>
      <c r="S961" s="5" t="s">
        <v>1149</v>
      </c>
      <c r="T961" s="5"/>
      <c r="U961" s="5"/>
      <c r="V961" s="224"/>
      <c r="W961" s="5"/>
      <c r="X961" s="61"/>
      <c r="Y961" s="61"/>
      <c r="Z961" s="5"/>
      <c r="AA961" s="5"/>
      <c r="AB961" s="65"/>
      <c r="AC961" s="5"/>
    </row>
    <row r="962" spans="1:30" s="9" customFormat="1" x14ac:dyDescent="0.2">
      <c r="A962" s="28"/>
      <c r="B962" s="16"/>
      <c r="C962" s="16"/>
      <c r="D962" s="7"/>
      <c r="E962" s="7"/>
      <c r="F962" s="6"/>
      <c r="G962" s="6"/>
      <c r="H962" s="17"/>
      <c r="I962" s="17"/>
      <c r="J962" s="7"/>
      <c r="K962" s="7"/>
      <c r="L962" s="23"/>
      <c r="M962" s="6"/>
      <c r="N962" s="6"/>
      <c r="O962" s="6"/>
      <c r="P962" s="6"/>
      <c r="Q962" s="6"/>
      <c r="R962" s="6"/>
      <c r="S962" s="12" t="s">
        <v>1202</v>
      </c>
      <c r="T962" s="12"/>
      <c r="U962" s="6"/>
      <c r="V962" s="138"/>
      <c r="W962" s="6"/>
      <c r="X962" s="59"/>
      <c r="Y962" s="59"/>
      <c r="Z962" s="6"/>
      <c r="AA962" s="6"/>
      <c r="AB962" s="56"/>
      <c r="AC962" s="6"/>
    </row>
    <row r="963" spans="1:30" s="9" customFormat="1" x14ac:dyDescent="0.2">
      <c r="A963" s="28"/>
      <c r="B963" s="16" t="s">
        <v>36</v>
      </c>
      <c r="C963" s="16" t="s">
        <v>37</v>
      </c>
      <c r="D963" s="7" t="s">
        <v>1207</v>
      </c>
      <c r="E963" s="7"/>
      <c r="F963" s="6" t="s">
        <v>1208</v>
      </c>
      <c r="G963" s="6" t="s">
        <v>1173</v>
      </c>
      <c r="H963" s="17">
        <v>15000</v>
      </c>
      <c r="I963" s="39"/>
      <c r="J963" s="7">
        <v>38001</v>
      </c>
      <c r="K963" s="7"/>
      <c r="L963" s="23">
        <v>38016</v>
      </c>
      <c r="M963" s="18" t="s">
        <v>41</v>
      </c>
      <c r="N963" s="6" t="s">
        <v>42</v>
      </c>
      <c r="O963" s="7">
        <v>38016</v>
      </c>
      <c r="P963" s="7"/>
      <c r="Q963" s="7"/>
      <c r="R963" s="7"/>
      <c r="S963" s="23">
        <v>38031</v>
      </c>
      <c r="T963" s="23">
        <f>+S963+30</f>
        <v>38061</v>
      </c>
      <c r="U963" s="23"/>
      <c r="V963" s="6" t="s">
        <v>1209</v>
      </c>
      <c r="W963" s="6">
        <v>960</v>
      </c>
      <c r="X963" s="59"/>
      <c r="Y963" s="59"/>
      <c r="Z963" s="6">
        <v>6642683213</v>
      </c>
      <c r="AA963" s="6"/>
      <c r="AB963" s="56" t="s">
        <v>753</v>
      </c>
      <c r="AC963" s="511"/>
      <c r="AD963" s="10" t="str">
        <f>IF(T963&lt;=L963,"en término","atrasado")</f>
        <v>atrasado</v>
      </c>
    </row>
    <row r="964" spans="1:30" s="9" customFormat="1" ht="12" thickBot="1" x14ac:dyDescent="0.25">
      <c r="A964" s="28"/>
      <c r="B964" s="19"/>
      <c r="C964" s="19"/>
      <c r="D964" s="5"/>
      <c r="E964" s="5"/>
      <c r="F964" s="5" t="s">
        <v>1210</v>
      </c>
      <c r="G964" s="5"/>
      <c r="H964" s="105"/>
      <c r="I964" s="21"/>
      <c r="J964" s="5"/>
      <c r="K964" s="5"/>
      <c r="L964" s="27"/>
      <c r="M964" s="5"/>
      <c r="N964" s="5"/>
      <c r="O964" s="27"/>
      <c r="P964" s="27"/>
      <c r="Q964" s="27"/>
      <c r="R964" s="27"/>
      <c r="S964" s="5" t="s">
        <v>1149</v>
      </c>
      <c r="T964" s="5"/>
      <c r="U964" s="5"/>
      <c r="V964" s="224"/>
      <c r="W964" s="5"/>
      <c r="X964" s="61"/>
      <c r="Y964" s="61"/>
      <c r="Z964" s="5"/>
      <c r="AA964" s="5"/>
      <c r="AB964" s="5"/>
      <c r="AC964" s="5"/>
    </row>
    <row r="965" spans="1:30" s="9" customFormat="1" x14ac:dyDescent="0.2">
      <c r="A965" s="28"/>
      <c r="B965" s="16"/>
      <c r="C965" s="16"/>
      <c r="D965" s="7"/>
      <c r="E965" s="7"/>
      <c r="F965" s="6"/>
      <c r="G965" s="6"/>
      <c r="H965" s="17"/>
      <c r="I965" s="17"/>
      <c r="J965" s="7"/>
      <c r="K965" s="7"/>
      <c r="L965" s="23"/>
      <c r="M965" s="6"/>
      <c r="N965" s="6"/>
      <c r="O965" s="6"/>
      <c r="P965" s="6"/>
      <c r="Q965" s="6"/>
      <c r="R965" s="6"/>
      <c r="S965" s="12" t="s">
        <v>1202</v>
      </c>
      <c r="T965" s="12"/>
      <c r="U965" s="6"/>
      <c r="V965" s="138"/>
      <c r="W965" s="6"/>
      <c r="X965" s="59"/>
      <c r="Y965" s="59"/>
      <c r="Z965" s="6"/>
      <c r="AA965" s="6"/>
      <c r="AB965" s="6"/>
      <c r="AC965" s="6"/>
    </row>
    <row r="966" spans="1:30" s="9" customFormat="1" x14ac:dyDescent="0.2">
      <c r="A966" s="28"/>
      <c r="B966" s="16" t="s">
        <v>36</v>
      </c>
      <c r="C966" s="16" t="s">
        <v>37</v>
      </c>
      <c r="D966" s="7" t="s">
        <v>1211</v>
      </c>
      <c r="E966" s="7"/>
      <c r="F966" s="6" t="s">
        <v>1212</v>
      </c>
      <c r="G966" s="6" t="s">
        <v>1173</v>
      </c>
      <c r="H966" s="17">
        <v>1060</v>
      </c>
      <c r="I966" s="39" t="s">
        <v>142</v>
      </c>
      <c r="J966" s="7">
        <v>38009</v>
      </c>
      <c r="K966" s="7"/>
      <c r="L966" s="23">
        <f>+J966+60</f>
        <v>38069</v>
      </c>
      <c r="M966" s="18" t="s">
        <v>41</v>
      </c>
      <c r="N966" s="6" t="s">
        <v>42</v>
      </c>
      <c r="O966" s="7">
        <v>38016</v>
      </c>
      <c r="P966" s="7"/>
      <c r="Q966" s="7"/>
      <c r="R966" s="7"/>
      <c r="S966" s="23">
        <v>38031</v>
      </c>
      <c r="T966" s="23">
        <f>+S966+30</f>
        <v>38061</v>
      </c>
      <c r="U966" s="23"/>
      <c r="V966" s="6" t="s">
        <v>53</v>
      </c>
      <c r="W966" s="6">
        <v>960</v>
      </c>
      <c r="X966" s="59"/>
      <c r="Y966" s="59"/>
      <c r="Z966" s="6">
        <v>6642683213</v>
      </c>
      <c r="AA966" s="6"/>
      <c r="AB966" s="56" t="s">
        <v>753</v>
      </c>
      <c r="AC966" s="511"/>
      <c r="AD966" s="10" t="str">
        <f>IF(T966&lt;=L966,"en término","atrasado")</f>
        <v>en término</v>
      </c>
    </row>
    <row r="967" spans="1:30" s="9" customFormat="1" ht="12" thickBot="1" x14ac:dyDescent="0.25">
      <c r="A967" s="28"/>
      <c r="B967" s="19"/>
      <c r="C967" s="19"/>
      <c r="D967" s="5"/>
      <c r="E967" s="5"/>
      <c r="F967" s="5" t="s">
        <v>1187</v>
      </c>
      <c r="G967" s="5"/>
      <c r="H967" s="105"/>
      <c r="I967" s="21"/>
      <c r="J967" s="5"/>
      <c r="K967" s="5"/>
      <c r="L967" s="27"/>
      <c r="M967" s="5"/>
      <c r="N967" s="5"/>
      <c r="O967" s="27"/>
      <c r="P967" s="27"/>
      <c r="Q967" s="27"/>
      <c r="R967" s="27"/>
      <c r="S967" s="5" t="s">
        <v>1149</v>
      </c>
      <c r="T967" s="5"/>
      <c r="U967" s="5"/>
      <c r="V967" s="224"/>
      <c r="W967" s="5"/>
      <c r="X967" s="61"/>
      <c r="Y967" s="61"/>
      <c r="Z967" s="5"/>
      <c r="AA967" s="5"/>
      <c r="AB967" s="5"/>
      <c r="AC967" s="5"/>
    </row>
    <row r="968" spans="1:30" s="9" customFormat="1" x14ac:dyDescent="0.2">
      <c r="A968" s="28"/>
      <c r="B968" s="16"/>
      <c r="C968" s="16"/>
      <c r="D968" s="7"/>
      <c r="E968" s="7"/>
      <c r="F968" s="6"/>
      <c r="G968" s="6"/>
      <c r="H968" s="17"/>
      <c r="I968" s="17"/>
      <c r="J968" s="7"/>
      <c r="K968" s="7"/>
      <c r="L968" s="23"/>
      <c r="M968" s="6"/>
      <c r="N968" s="6"/>
      <c r="O968" s="6"/>
      <c r="P968" s="6"/>
      <c r="Q968" s="6"/>
      <c r="R968" s="6"/>
      <c r="S968" s="6"/>
      <c r="T968" s="6"/>
      <c r="U968" s="6"/>
      <c r="V968" s="138" t="s">
        <v>1102</v>
      </c>
      <c r="W968" s="6"/>
      <c r="X968" s="59"/>
      <c r="Y968" s="59"/>
      <c r="Z968" s="6"/>
      <c r="AA968" s="6"/>
      <c r="AB968" s="6"/>
      <c r="AC968" s="6"/>
    </row>
    <row r="969" spans="1:30" s="9" customFormat="1" x14ac:dyDescent="0.2">
      <c r="A969" s="28"/>
      <c r="B969" s="16" t="s">
        <v>36</v>
      </c>
      <c r="C969" s="16" t="s">
        <v>37</v>
      </c>
      <c r="D969" s="7" t="s">
        <v>1213</v>
      </c>
      <c r="E969" s="7"/>
      <c r="F969" s="6" t="s">
        <v>1214</v>
      </c>
      <c r="G969" s="6" t="s">
        <v>1173</v>
      </c>
      <c r="H969" s="17">
        <f>49*30</f>
        <v>1470</v>
      </c>
      <c r="I969" s="39" t="s">
        <v>142</v>
      </c>
      <c r="J969" s="7">
        <v>38026</v>
      </c>
      <c r="K969" s="7"/>
      <c r="L969" s="23">
        <f>+J969+45</f>
        <v>38071</v>
      </c>
      <c r="M969" s="18" t="s">
        <v>41</v>
      </c>
      <c r="N969" s="6" t="s">
        <v>42</v>
      </c>
      <c r="O969" s="7">
        <v>38054</v>
      </c>
      <c r="P969" s="7"/>
      <c r="Q969" s="7"/>
      <c r="R969" s="7"/>
      <c r="S969" s="23">
        <v>38056</v>
      </c>
      <c r="T969" s="23"/>
      <c r="U969" s="23"/>
      <c r="V969" s="6" t="s">
        <v>1215</v>
      </c>
      <c r="W969" s="6" t="s">
        <v>1216</v>
      </c>
      <c r="X969" s="59"/>
      <c r="Y969" s="59"/>
      <c r="Z969" s="6"/>
      <c r="AA969" s="6"/>
      <c r="AB969" s="6"/>
      <c r="AC969" s="6"/>
    </row>
    <row r="970" spans="1:30" s="9" customFormat="1" ht="12" thickBot="1" x14ac:dyDescent="0.25">
      <c r="A970" s="28"/>
      <c r="B970" s="19"/>
      <c r="C970" s="19"/>
      <c r="D970" s="5"/>
      <c r="E970" s="5"/>
      <c r="F970" s="5" t="s">
        <v>1217</v>
      </c>
      <c r="G970" s="5"/>
      <c r="H970" s="105"/>
      <c r="I970" s="21"/>
      <c r="J970" s="5"/>
      <c r="K970" s="5"/>
      <c r="L970" s="27"/>
      <c r="M970" s="5"/>
      <c r="N970" s="5"/>
      <c r="O970" s="27"/>
      <c r="P970" s="27"/>
      <c r="Q970" s="27"/>
      <c r="R970" s="27"/>
      <c r="S970" s="27"/>
      <c r="T970" s="5"/>
      <c r="U970" s="5"/>
      <c r="V970" s="224"/>
      <c r="W970" s="5"/>
      <c r="X970" s="61"/>
      <c r="Y970" s="61"/>
      <c r="Z970" s="5"/>
      <c r="AA970" s="5"/>
      <c r="AB970" s="5"/>
      <c r="AC970" s="5"/>
    </row>
    <row r="971" spans="1:30" s="9" customFormat="1" x14ac:dyDescent="0.2">
      <c r="A971" s="28"/>
      <c r="B971" s="16"/>
      <c r="C971" s="16"/>
      <c r="D971" s="7"/>
      <c r="E971" s="7"/>
      <c r="F971" s="6"/>
      <c r="G971" s="6"/>
      <c r="H971" s="17"/>
      <c r="I971" s="17"/>
      <c r="J971" s="7"/>
      <c r="K971" s="7"/>
      <c r="L971" s="23"/>
      <c r="M971" s="6"/>
      <c r="N971" s="6"/>
      <c r="O971" s="6"/>
      <c r="P971" s="6"/>
      <c r="Q971" s="6"/>
      <c r="R971" s="6"/>
      <c r="S971" s="6"/>
      <c r="T971" s="7"/>
      <c r="U971" s="7"/>
      <c r="V971" s="138"/>
      <c r="W971" s="6"/>
      <c r="X971" s="59"/>
      <c r="Y971" s="59"/>
      <c r="Z971" s="6"/>
      <c r="AA971" s="6"/>
      <c r="AB971" s="6"/>
      <c r="AC971" s="6"/>
    </row>
    <row r="972" spans="1:30" s="9" customFormat="1" x14ac:dyDescent="0.2">
      <c r="A972" s="28"/>
      <c r="B972" s="16" t="s">
        <v>36</v>
      </c>
      <c r="C972" s="16" t="s">
        <v>37</v>
      </c>
      <c r="D972" s="7" t="s">
        <v>1218</v>
      </c>
      <c r="E972" s="7"/>
      <c r="F972" s="6" t="s">
        <v>1219</v>
      </c>
      <c r="G972" s="6" t="s">
        <v>1173</v>
      </c>
      <c r="H972" s="17">
        <v>6457.02</v>
      </c>
      <c r="I972" s="39" t="s">
        <v>52</v>
      </c>
      <c r="J972" s="7">
        <v>38001</v>
      </c>
      <c r="K972" s="7"/>
      <c r="L972" s="23">
        <f>+J972+90</f>
        <v>38091</v>
      </c>
      <c r="M972" s="18" t="s">
        <v>41</v>
      </c>
      <c r="N972" s="6" t="s">
        <v>42</v>
      </c>
      <c r="O972" s="7">
        <v>38051</v>
      </c>
      <c r="P972" s="7"/>
      <c r="Q972" s="7"/>
      <c r="R972" s="7"/>
      <c r="S972" s="23">
        <v>38056</v>
      </c>
      <c r="T972" s="23">
        <v>38077</v>
      </c>
      <c r="U972" s="23"/>
      <c r="V972" s="6" t="s">
        <v>53</v>
      </c>
      <c r="W972" s="6">
        <v>963</v>
      </c>
      <c r="X972" s="59"/>
      <c r="Y972" s="59"/>
      <c r="Z972" s="6">
        <v>6642683434</v>
      </c>
      <c r="AA972" s="6"/>
      <c r="AB972" s="56" t="s">
        <v>753</v>
      </c>
      <c r="AC972" s="511"/>
      <c r="AD972" s="10" t="str">
        <f>IF(T972&lt;=L972,"en término","atrasado")</f>
        <v>en término</v>
      </c>
    </row>
    <row r="973" spans="1:30" s="9" customFormat="1" ht="12" thickBot="1" x14ac:dyDescent="0.25">
      <c r="A973" s="28"/>
      <c r="B973" s="19"/>
      <c r="C973" s="19"/>
      <c r="D973" s="5"/>
      <c r="E973" s="5"/>
      <c r="F973" s="5" t="s">
        <v>1220</v>
      </c>
      <c r="G973" s="5"/>
      <c r="H973" s="105"/>
      <c r="I973" s="21"/>
      <c r="J973" s="5"/>
      <c r="K973" s="5"/>
      <c r="L973" s="27"/>
      <c r="M973" s="5"/>
      <c r="N973" s="5"/>
      <c r="O973" s="27"/>
      <c r="P973" s="27"/>
      <c r="Q973" s="27"/>
      <c r="R973" s="27"/>
      <c r="S973" s="27"/>
      <c r="T973" s="5"/>
      <c r="U973" s="5"/>
      <c r="V973" s="224"/>
      <c r="W973" s="5"/>
      <c r="X973" s="61"/>
      <c r="Y973" s="61"/>
      <c r="Z973" s="5"/>
      <c r="AA973" s="5"/>
      <c r="AB973" s="5"/>
      <c r="AC973" s="5"/>
    </row>
    <row r="974" spans="1:30" s="9" customFormat="1" x14ac:dyDescent="0.2">
      <c r="A974" s="28"/>
      <c r="B974" s="16"/>
      <c r="C974" s="16"/>
      <c r="D974" s="7"/>
      <c r="E974" s="7"/>
      <c r="F974" s="6"/>
      <c r="G974" s="6"/>
      <c r="H974" s="17"/>
      <c r="I974" s="17"/>
      <c r="J974" s="7"/>
      <c r="K974" s="7"/>
      <c r="L974" s="23"/>
      <c r="M974" s="6"/>
      <c r="N974" s="6"/>
      <c r="O974" s="6"/>
      <c r="P974" s="6"/>
      <c r="Q974" s="6"/>
      <c r="R974" s="6"/>
      <c r="S974" s="6"/>
      <c r="T974" s="91"/>
      <c r="U974" s="7"/>
      <c r="V974" s="138"/>
      <c r="W974" s="47"/>
      <c r="X974" s="12"/>
      <c r="Y974" s="177"/>
      <c r="Z974" s="6"/>
      <c r="AA974" s="6"/>
      <c r="AB974" s="6"/>
      <c r="AC974" s="6"/>
    </row>
    <row r="975" spans="1:30" s="9" customFormat="1" x14ac:dyDescent="0.2">
      <c r="A975" s="28"/>
      <c r="B975" s="16" t="s">
        <v>36</v>
      </c>
      <c r="C975" s="16" t="s">
        <v>133</v>
      </c>
      <c r="D975" s="7" t="s">
        <v>1221</v>
      </c>
      <c r="E975" s="7"/>
      <c r="F975" s="6" t="s">
        <v>1222</v>
      </c>
      <c r="G975" s="6" t="s">
        <v>1192</v>
      </c>
      <c r="H975" s="17">
        <v>39105.230000000003</v>
      </c>
      <c r="I975" s="39" t="s">
        <v>52</v>
      </c>
      <c r="J975" s="7">
        <v>38047</v>
      </c>
      <c r="K975" s="7"/>
      <c r="L975" s="23">
        <f>+J975+90</f>
        <v>38137</v>
      </c>
      <c r="M975" s="18" t="s">
        <v>41</v>
      </c>
      <c r="N975" s="6" t="s">
        <v>42</v>
      </c>
      <c r="O975" s="7">
        <v>38051</v>
      </c>
      <c r="P975" s="7"/>
      <c r="Q975" s="7"/>
      <c r="R975" s="7"/>
      <c r="S975" s="23">
        <v>38056</v>
      </c>
      <c r="T975" s="23">
        <v>38077</v>
      </c>
      <c r="U975" s="23"/>
      <c r="V975" s="6" t="s">
        <v>1223</v>
      </c>
      <c r="W975" s="47">
        <v>965</v>
      </c>
      <c r="X975" s="6" t="s">
        <v>47</v>
      </c>
      <c r="Y975" s="177"/>
      <c r="Z975" s="6">
        <v>6642683434</v>
      </c>
      <c r="AA975" s="6"/>
      <c r="AB975" s="6" t="s">
        <v>47</v>
      </c>
      <c r="AC975" s="507"/>
      <c r="AD975" s="10" t="str">
        <f>IF(S975&lt;=L975,"en término","atrasado")</f>
        <v>en término</v>
      </c>
    </row>
    <row r="976" spans="1:30" s="9" customFormat="1" ht="12" thickBot="1" x14ac:dyDescent="0.25">
      <c r="A976" s="28"/>
      <c r="B976" s="19"/>
      <c r="C976" s="19"/>
      <c r="D976" s="5"/>
      <c r="E976" s="5"/>
      <c r="F976" s="5" t="s">
        <v>1224</v>
      </c>
      <c r="G976" s="5"/>
      <c r="H976" s="105"/>
      <c r="I976" s="21"/>
      <c r="J976" s="5"/>
      <c r="K976" s="5"/>
      <c r="L976" s="27"/>
      <c r="M976" s="5"/>
      <c r="N976" s="5"/>
      <c r="O976" s="27"/>
      <c r="P976" s="27"/>
      <c r="Q976" s="27"/>
      <c r="R976" s="27"/>
      <c r="S976" s="27"/>
      <c r="T976" s="5"/>
      <c r="U976" s="5"/>
      <c r="V976" s="224"/>
      <c r="W976" s="36"/>
      <c r="X976" s="5"/>
      <c r="Y976" s="182"/>
      <c r="Z976" s="5"/>
      <c r="AA976" s="5"/>
      <c r="AB976" s="183" t="s">
        <v>1225</v>
      </c>
      <c r="AC976" s="183"/>
    </row>
    <row r="977" spans="1:30" s="9" customFormat="1" x14ac:dyDescent="0.2">
      <c r="A977" s="28"/>
      <c r="B977" s="16"/>
      <c r="C977" s="16"/>
      <c r="D977" s="7"/>
      <c r="E977" s="7"/>
      <c r="F977" s="6"/>
      <c r="G977" s="6"/>
      <c r="H977" s="17"/>
      <c r="I977" s="17"/>
      <c r="J977" s="7"/>
      <c r="K977" s="7"/>
      <c r="L977" s="23"/>
      <c r="M977" s="6"/>
      <c r="N977" s="6"/>
      <c r="O977" s="6"/>
      <c r="P977" s="6"/>
      <c r="Q977" s="6"/>
      <c r="R977" s="6"/>
      <c r="S977" s="6"/>
      <c r="T977" s="7"/>
      <c r="U977" s="7"/>
      <c r="V977" s="138"/>
      <c r="W977" s="47"/>
      <c r="X977" s="59"/>
      <c r="Y977" s="177"/>
      <c r="Z977" s="6"/>
      <c r="AA977" s="6"/>
      <c r="AB977" s="6"/>
      <c r="AC977" s="6"/>
    </row>
    <row r="978" spans="1:30" s="9" customFormat="1" x14ac:dyDescent="0.2">
      <c r="A978" s="28"/>
      <c r="B978" s="16" t="s">
        <v>36</v>
      </c>
      <c r="C978" s="16" t="s">
        <v>133</v>
      </c>
      <c r="D978" s="7" t="s">
        <v>1226</v>
      </c>
      <c r="E978" s="7"/>
      <c r="F978" s="6" t="s">
        <v>1227</v>
      </c>
      <c r="G978" s="6" t="s">
        <v>1173</v>
      </c>
      <c r="H978" s="17">
        <v>186</v>
      </c>
      <c r="I978" s="39" t="s">
        <v>52</v>
      </c>
      <c r="J978" s="7">
        <v>38089</v>
      </c>
      <c r="K978" s="7"/>
      <c r="L978" s="23">
        <f>+J978+90</f>
        <v>38179</v>
      </c>
      <c r="M978" s="18" t="s">
        <v>41</v>
      </c>
      <c r="N978" s="6" t="s">
        <v>42</v>
      </c>
      <c r="O978" s="7">
        <v>38100</v>
      </c>
      <c r="P978" s="7"/>
      <c r="Q978" s="7"/>
      <c r="R978" s="7"/>
      <c r="S978" s="23">
        <v>38104</v>
      </c>
      <c r="T978" s="23"/>
      <c r="U978" s="23"/>
      <c r="V978" s="6" t="s">
        <v>1228</v>
      </c>
      <c r="W978" s="47" t="s">
        <v>1229</v>
      </c>
      <c r="X978" s="59"/>
      <c r="Y978" s="177"/>
      <c r="Z978" s="6"/>
      <c r="AA978" s="6"/>
      <c r="AB978" s="6"/>
      <c r="AC978" s="6"/>
    </row>
    <row r="979" spans="1:30" s="9" customFormat="1" ht="12" thickBot="1" x14ac:dyDescent="0.25">
      <c r="A979" s="28"/>
      <c r="B979" s="19"/>
      <c r="C979" s="19"/>
      <c r="D979" s="5"/>
      <c r="E979" s="5"/>
      <c r="F979" s="5" t="s">
        <v>1230</v>
      </c>
      <c r="G979" s="5"/>
      <c r="H979" s="105"/>
      <c r="I979" s="21"/>
      <c r="J979" s="5"/>
      <c r="K979" s="5"/>
      <c r="L979" s="27"/>
      <c r="M979" s="5"/>
      <c r="N979" s="5"/>
      <c r="O979" s="27"/>
      <c r="P979" s="27"/>
      <c r="Q979" s="27"/>
      <c r="R979" s="27"/>
      <c r="S979" s="27"/>
      <c r="T979" s="5"/>
      <c r="U979" s="5"/>
      <c r="V979" s="224" t="s">
        <v>1102</v>
      </c>
      <c r="W979" s="36"/>
      <c r="X979" s="61"/>
      <c r="Y979" s="182"/>
      <c r="Z979" s="5"/>
      <c r="AA979" s="5"/>
      <c r="AB979" s="5"/>
      <c r="AC979" s="5"/>
    </row>
    <row r="980" spans="1:30" s="9" customFormat="1" x14ac:dyDescent="0.2">
      <c r="A980" s="28"/>
      <c r="B980" s="16"/>
      <c r="C980" s="16"/>
      <c r="D980" s="7"/>
      <c r="E980" s="7"/>
      <c r="F980" s="6"/>
      <c r="G980" s="6"/>
      <c r="H980" s="17"/>
      <c r="I980" s="17"/>
      <c r="J980" s="7"/>
      <c r="K980" s="7"/>
      <c r="L980" s="23"/>
      <c r="M980" s="6"/>
      <c r="N980" s="6"/>
      <c r="O980" s="6"/>
      <c r="P980" s="6"/>
      <c r="Q980" s="6"/>
      <c r="R980" s="6"/>
      <c r="S980" s="6"/>
      <c r="T980" s="12"/>
      <c r="U980" s="6"/>
      <c r="V980" s="138"/>
      <c r="W980" s="6"/>
      <c r="X980" s="59"/>
      <c r="Y980" s="59"/>
      <c r="Z980" s="6"/>
      <c r="AA980" s="6"/>
      <c r="AB980" s="6"/>
      <c r="AC980" s="6"/>
    </row>
    <row r="981" spans="1:30" s="9" customFormat="1" x14ac:dyDescent="0.2">
      <c r="A981" s="28"/>
      <c r="B981" s="16" t="s">
        <v>36</v>
      </c>
      <c r="C981" s="16" t="s">
        <v>37</v>
      </c>
      <c r="D981" s="7" t="s">
        <v>1231</v>
      </c>
      <c r="E981" s="7"/>
      <c r="F981" s="6" t="s">
        <v>1232</v>
      </c>
      <c r="G981" s="6" t="s">
        <v>1173</v>
      </c>
      <c r="H981" s="17">
        <f>225*10</f>
        <v>2250</v>
      </c>
      <c r="I981" s="39" t="s">
        <v>52</v>
      </c>
      <c r="J981" s="7">
        <v>38005</v>
      </c>
      <c r="K981" s="7"/>
      <c r="L981" s="23">
        <f>+J981+120</f>
        <v>38125</v>
      </c>
      <c r="M981" s="292" t="s">
        <v>782</v>
      </c>
      <c r="N981" s="6" t="s">
        <v>42</v>
      </c>
      <c r="O981" s="7">
        <v>38096</v>
      </c>
      <c r="P981" s="7"/>
      <c r="Q981" s="7"/>
      <c r="R981" s="7"/>
      <c r="S981" s="23">
        <v>38099</v>
      </c>
      <c r="T981" s="23">
        <v>38109</v>
      </c>
      <c r="U981" s="23"/>
      <c r="V981" s="6" t="s">
        <v>53</v>
      </c>
      <c r="W981" s="6">
        <v>971</v>
      </c>
      <c r="X981" s="59"/>
      <c r="Y981" s="59"/>
      <c r="Z981" s="6">
        <v>6642683434</v>
      </c>
      <c r="AA981" s="6"/>
      <c r="AB981" s="56" t="s">
        <v>753</v>
      </c>
      <c r="AC981" s="511"/>
      <c r="AD981" s="10" t="str">
        <f>IF(T981&lt;=L981,"en término","atrasado")</f>
        <v>en término</v>
      </c>
    </row>
    <row r="982" spans="1:30" s="9" customFormat="1" ht="12" thickBot="1" x14ac:dyDescent="0.25">
      <c r="A982" s="28"/>
      <c r="B982" s="19"/>
      <c r="C982" s="19"/>
      <c r="D982" s="5"/>
      <c r="E982" s="5"/>
      <c r="F982" s="5" t="s">
        <v>1233</v>
      </c>
      <c r="G982" s="5"/>
      <c r="H982" s="105"/>
      <c r="I982" s="21"/>
      <c r="J982" s="5"/>
      <c r="K982" s="5"/>
      <c r="L982" s="27"/>
      <c r="M982" s="5"/>
      <c r="N982" s="5"/>
      <c r="O982" s="27"/>
      <c r="P982" s="27"/>
      <c r="Q982" s="27"/>
      <c r="R982" s="27"/>
      <c r="S982" s="27"/>
      <c r="T982" s="5"/>
      <c r="U982" s="5"/>
      <c r="V982" s="224"/>
      <c r="W982" s="5"/>
      <c r="X982" s="61"/>
      <c r="Y982" s="61"/>
      <c r="Z982" s="5"/>
      <c r="AA982" s="5"/>
      <c r="AB982" s="5"/>
      <c r="AC982" s="5"/>
    </row>
    <row r="983" spans="1:30" s="9" customFormat="1" x14ac:dyDescent="0.2">
      <c r="A983" s="28"/>
      <c r="B983" s="16"/>
      <c r="C983" s="16"/>
      <c r="D983" s="7"/>
      <c r="E983" s="7"/>
      <c r="F983" s="6"/>
      <c r="G983" s="6"/>
      <c r="H983" s="17"/>
      <c r="I983" s="17"/>
      <c r="J983" s="7"/>
      <c r="K983" s="7"/>
      <c r="L983" s="23"/>
      <c r="M983" s="6"/>
      <c r="N983" s="6"/>
      <c r="O983" s="6"/>
      <c r="P983" s="6"/>
      <c r="Q983" s="6"/>
      <c r="R983" s="6"/>
      <c r="S983" s="6"/>
      <c r="T983" s="12"/>
      <c r="U983" s="6"/>
      <c r="V983" s="138"/>
      <c r="W983" s="47"/>
      <c r="X983" s="12"/>
      <c r="Y983" s="177"/>
      <c r="Z983" s="6" t="s">
        <v>1234</v>
      </c>
      <c r="AA983" s="6"/>
      <c r="AB983" s="6"/>
      <c r="AC983" s="6"/>
    </row>
    <row r="984" spans="1:30" s="9" customFormat="1" x14ac:dyDescent="0.2">
      <c r="A984" s="28"/>
      <c r="B984" s="16" t="s">
        <v>36</v>
      </c>
      <c r="C984" s="16" t="s">
        <v>133</v>
      </c>
      <c r="D984" s="7" t="s">
        <v>1235</v>
      </c>
      <c r="E984" s="7"/>
      <c r="F984" s="6" t="s">
        <v>1236</v>
      </c>
      <c r="G984" s="6" t="s">
        <v>1192</v>
      </c>
      <c r="H984" s="17">
        <v>302248.63</v>
      </c>
      <c r="I984" s="39" t="s">
        <v>40</v>
      </c>
      <c r="J984" s="7">
        <v>38030</v>
      </c>
      <c r="K984" s="7"/>
      <c r="L984" s="23">
        <f>+J984+75</f>
        <v>38105</v>
      </c>
      <c r="M984" s="292" t="s">
        <v>782</v>
      </c>
      <c r="N984" s="6" t="s">
        <v>42</v>
      </c>
      <c r="O984" s="7">
        <v>38096</v>
      </c>
      <c r="P984" s="7"/>
      <c r="Q984" s="7"/>
      <c r="R984" s="7"/>
      <c r="S984" s="23">
        <v>38099</v>
      </c>
      <c r="T984" s="23">
        <v>38109</v>
      </c>
      <c r="U984" s="23"/>
      <c r="V984" s="6" t="s">
        <v>1237</v>
      </c>
      <c r="W984" s="47">
        <v>970</v>
      </c>
      <c r="X984" s="6" t="s">
        <v>47</v>
      </c>
      <c r="Y984" s="177"/>
      <c r="Z984" s="6" t="s">
        <v>1238</v>
      </c>
      <c r="AA984" s="6"/>
      <c r="AB984" s="6" t="s">
        <v>47</v>
      </c>
      <c r="AC984" s="507"/>
      <c r="AD984" s="10" t="str">
        <f>IF(S984&lt;=L984,"en término","atrasado")</f>
        <v>en término</v>
      </c>
    </row>
    <row r="985" spans="1:30" s="9" customFormat="1" ht="12" thickBot="1" x14ac:dyDescent="0.25">
      <c r="A985" s="28"/>
      <c r="B985" s="19"/>
      <c r="C985" s="19"/>
      <c r="D985" s="5"/>
      <c r="E985" s="5"/>
      <c r="F985" s="5" t="s">
        <v>1239</v>
      </c>
      <c r="G985" s="5"/>
      <c r="H985" s="105"/>
      <c r="I985" s="21"/>
      <c r="J985" s="5"/>
      <c r="K985" s="5"/>
      <c r="L985" s="27"/>
      <c r="M985" s="5"/>
      <c r="N985" s="5"/>
      <c r="O985" s="27"/>
      <c r="P985" s="27"/>
      <c r="Q985" s="27"/>
      <c r="R985" s="27"/>
      <c r="S985" s="27"/>
      <c r="T985" s="5"/>
      <c r="U985" s="5"/>
      <c r="V985" s="224"/>
      <c r="W985" s="36"/>
      <c r="X985" s="5"/>
      <c r="Y985" s="182"/>
      <c r="Z985" s="5"/>
      <c r="AA985" s="5"/>
      <c r="AB985" s="183" t="s">
        <v>1240</v>
      </c>
      <c r="AC985" s="183"/>
    </row>
    <row r="986" spans="1:30" s="9" customFormat="1" x14ac:dyDescent="0.2">
      <c r="A986" s="28"/>
      <c r="B986" s="16"/>
      <c r="C986" s="16"/>
      <c r="D986" s="7"/>
      <c r="E986" s="7"/>
      <c r="F986" s="6"/>
      <c r="G986" s="6"/>
      <c r="H986" s="17"/>
      <c r="I986" s="17"/>
      <c r="J986" s="7"/>
      <c r="K986" s="7"/>
      <c r="L986" s="23"/>
      <c r="M986" s="6"/>
      <c r="N986" s="6"/>
      <c r="O986" s="6"/>
      <c r="P986" s="6"/>
      <c r="Q986" s="6"/>
      <c r="R986" s="6"/>
      <c r="S986" s="91" t="s">
        <v>1241</v>
      </c>
      <c r="T986" s="91"/>
      <c r="U986" s="7"/>
      <c r="V986" s="138"/>
      <c r="W986" s="47"/>
      <c r="X986" s="12"/>
      <c r="Y986" s="177"/>
      <c r="Z986" s="6"/>
      <c r="AA986" s="6"/>
      <c r="AB986" s="6"/>
      <c r="AC986" s="6"/>
    </row>
    <row r="987" spans="1:30" s="9" customFormat="1" x14ac:dyDescent="0.2">
      <c r="A987" s="28"/>
      <c r="B987" s="16" t="s">
        <v>36</v>
      </c>
      <c r="C987" s="16" t="s">
        <v>133</v>
      </c>
      <c r="D987" s="7" t="s">
        <v>1221</v>
      </c>
      <c r="E987" s="7"/>
      <c r="F987" s="6" t="s">
        <v>1222</v>
      </c>
      <c r="G987" s="6" t="s">
        <v>1192</v>
      </c>
      <c r="H987" s="17">
        <v>42179.46</v>
      </c>
      <c r="I987" s="39" t="s">
        <v>62</v>
      </c>
      <c r="J987" s="7">
        <v>38058</v>
      </c>
      <c r="K987" s="7"/>
      <c r="L987" s="23">
        <f>+J987+90</f>
        <v>38148</v>
      </c>
      <c r="M987" s="18" t="s">
        <v>41</v>
      </c>
      <c r="N987" s="6" t="s">
        <v>42</v>
      </c>
      <c r="O987" s="7">
        <v>38114</v>
      </c>
      <c r="P987" s="7"/>
      <c r="Q987" s="7"/>
      <c r="R987" s="7"/>
      <c r="S987" s="23">
        <v>38116</v>
      </c>
      <c r="T987" s="23">
        <v>38153</v>
      </c>
      <c r="U987" s="23"/>
      <c r="V987" s="6" t="s">
        <v>1242</v>
      </c>
      <c r="W987" s="47">
        <v>975</v>
      </c>
      <c r="X987" s="6" t="s">
        <v>47</v>
      </c>
      <c r="Y987" s="177"/>
      <c r="Z987" s="6">
        <v>6651603291</v>
      </c>
      <c r="AA987" s="6"/>
      <c r="AB987" s="6" t="s">
        <v>47</v>
      </c>
      <c r="AC987" s="507"/>
      <c r="AD987" s="10" t="str">
        <f>IF(S987&lt;=L987,"en término","atrasado")</f>
        <v>en término</v>
      </c>
    </row>
    <row r="988" spans="1:30" s="9" customFormat="1" ht="12" thickBot="1" x14ac:dyDescent="0.25">
      <c r="A988" s="28"/>
      <c r="B988" s="19"/>
      <c r="C988" s="19"/>
      <c r="D988" s="5"/>
      <c r="E988" s="5"/>
      <c r="F988" s="5" t="s">
        <v>1243</v>
      </c>
      <c r="G988" s="5"/>
      <c r="H988" s="105"/>
      <c r="I988" s="21"/>
      <c r="J988" s="5"/>
      <c r="K988" s="5"/>
      <c r="L988" s="27"/>
      <c r="M988" s="5"/>
      <c r="N988" s="5"/>
      <c r="O988" s="27"/>
      <c r="P988" s="27"/>
      <c r="Q988" s="27"/>
      <c r="R988" s="27"/>
      <c r="S988" s="27"/>
      <c r="T988" s="5"/>
      <c r="U988" s="5"/>
      <c r="V988" s="224"/>
      <c r="W988" s="36"/>
      <c r="X988" s="5"/>
      <c r="Y988" s="182"/>
      <c r="Z988" s="5"/>
      <c r="AA988" s="5"/>
      <c r="AB988" s="183" t="s">
        <v>1244</v>
      </c>
      <c r="AC988" s="296"/>
    </row>
    <row r="989" spans="1:30" s="9" customFormat="1" x14ac:dyDescent="0.2">
      <c r="A989" s="28"/>
      <c r="B989" s="16"/>
      <c r="C989" s="16"/>
      <c r="D989" s="7"/>
      <c r="E989" s="7"/>
      <c r="F989" s="6"/>
      <c r="G989" s="6"/>
      <c r="H989" s="17"/>
      <c r="I989" s="17"/>
      <c r="J989" s="7"/>
      <c r="K989" s="7"/>
      <c r="L989" s="23"/>
      <c r="M989" s="6"/>
      <c r="N989" s="6"/>
      <c r="O989" s="6"/>
      <c r="P989" s="6"/>
      <c r="Q989" s="6"/>
      <c r="R989" s="6"/>
      <c r="S989" s="91" t="s">
        <v>1241</v>
      </c>
      <c r="T989" s="91"/>
      <c r="U989" s="7"/>
      <c r="V989" s="138" t="s">
        <v>1245</v>
      </c>
      <c r="W989" s="47"/>
      <c r="X989" s="12"/>
      <c r="Y989" s="177"/>
      <c r="Z989" s="6"/>
      <c r="AA989" s="6"/>
      <c r="AB989" s="6"/>
      <c r="AC989" s="6"/>
    </row>
    <row r="990" spans="1:30" s="9" customFormat="1" x14ac:dyDescent="0.2">
      <c r="A990" s="28"/>
      <c r="B990" s="16" t="s">
        <v>36</v>
      </c>
      <c r="C990" s="16" t="s">
        <v>133</v>
      </c>
      <c r="D990" s="7" t="s">
        <v>1221</v>
      </c>
      <c r="E990" s="7"/>
      <c r="F990" s="6" t="s">
        <v>1222</v>
      </c>
      <c r="G990" s="6" t="s">
        <v>1192</v>
      </c>
      <c r="H990" s="17">
        <v>31272.33</v>
      </c>
      <c r="I990" s="39" t="s">
        <v>40</v>
      </c>
      <c r="J990" s="7">
        <v>38061</v>
      </c>
      <c r="K990" s="7"/>
      <c r="L990" s="23">
        <f>+J990+90</f>
        <v>38151</v>
      </c>
      <c r="M990" s="18" t="s">
        <v>41</v>
      </c>
      <c r="N990" s="6" t="s">
        <v>42</v>
      </c>
      <c r="O990" s="7">
        <v>38114</v>
      </c>
      <c r="P990" s="7"/>
      <c r="Q990" s="7"/>
      <c r="R990" s="7"/>
      <c r="S990" s="23">
        <v>38116</v>
      </c>
      <c r="T990" s="23">
        <v>38153</v>
      </c>
      <c r="U990" s="23"/>
      <c r="V990" s="6" t="s">
        <v>1246</v>
      </c>
      <c r="W990" s="47">
        <v>977</v>
      </c>
      <c r="X990" s="6" t="s">
        <v>47</v>
      </c>
      <c r="Y990" s="177"/>
      <c r="Z990" s="6">
        <v>6651603291</v>
      </c>
      <c r="AA990" s="6"/>
      <c r="AB990" s="6" t="s">
        <v>47</v>
      </c>
      <c r="AC990" s="507"/>
      <c r="AD990" s="10" t="str">
        <f>IF(S990&lt;=L990,"en término","atrasado")</f>
        <v>en término</v>
      </c>
    </row>
    <row r="991" spans="1:30" s="9" customFormat="1" ht="12" thickBot="1" x14ac:dyDescent="0.25">
      <c r="A991" s="28"/>
      <c r="B991" s="19"/>
      <c r="C991" s="19"/>
      <c r="D991" s="5"/>
      <c r="E991" s="5"/>
      <c r="F991" s="5" t="s">
        <v>1247</v>
      </c>
      <c r="G991" s="5"/>
      <c r="H991" s="105"/>
      <c r="I991" s="21"/>
      <c r="J991" s="5"/>
      <c r="K991" s="5"/>
      <c r="L991" s="27"/>
      <c r="M991" s="5"/>
      <c r="N991" s="5"/>
      <c r="O991" s="27"/>
      <c r="P991" s="27"/>
      <c r="Q991" s="27"/>
      <c r="R991" s="27"/>
      <c r="S991" s="27"/>
      <c r="T991" s="5"/>
      <c r="U991" s="5"/>
      <c r="V991" s="224"/>
      <c r="W991" s="36"/>
      <c r="X991" s="5"/>
      <c r="Y991" s="182"/>
      <c r="Z991" s="5"/>
      <c r="AA991" s="5"/>
      <c r="AB991" s="183" t="s">
        <v>1244</v>
      </c>
      <c r="AC991" s="296"/>
    </row>
    <row r="992" spans="1:30" s="9" customFormat="1" x14ac:dyDescent="0.2">
      <c r="A992" s="28"/>
      <c r="B992" s="16"/>
      <c r="C992" s="16"/>
      <c r="D992" s="7"/>
      <c r="E992" s="7"/>
      <c r="F992" s="6"/>
      <c r="G992" s="6"/>
      <c r="H992" s="17"/>
      <c r="I992" s="17"/>
      <c r="J992" s="7"/>
      <c r="K992" s="7"/>
      <c r="L992" s="23"/>
      <c r="M992" s="6"/>
      <c r="N992" s="6"/>
      <c r="O992" s="6"/>
      <c r="P992" s="6"/>
      <c r="Q992" s="6"/>
      <c r="R992" s="6"/>
      <c r="S992" s="91" t="s">
        <v>1241</v>
      </c>
      <c r="T992" s="91"/>
      <c r="U992" s="7"/>
      <c r="V992" s="138" t="s">
        <v>1245</v>
      </c>
      <c r="W992" s="47"/>
      <c r="X992" s="12"/>
      <c r="Y992" s="177"/>
      <c r="Z992" s="6"/>
      <c r="AA992" s="6"/>
      <c r="AB992" s="6"/>
      <c r="AC992" s="6"/>
    </row>
    <row r="993" spans="1:30" s="9" customFormat="1" x14ac:dyDescent="0.2">
      <c r="A993" s="28"/>
      <c r="B993" s="16" t="s">
        <v>36</v>
      </c>
      <c r="C993" s="16" t="s">
        <v>133</v>
      </c>
      <c r="D993" s="7" t="s">
        <v>1221</v>
      </c>
      <c r="E993" s="7"/>
      <c r="F993" s="6" t="s">
        <v>1222</v>
      </c>
      <c r="G993" s="6" t="s">
        <v>1192</v>
      </c>
      <c r="H993" s="17">
        <v>80148.240000000005</v>
      </c>
      <c r="I993" s="39" t="s">
        <v>40</v>
      </c>
      <c r="J993" s="7">
        <v>38061</v>
      </c>
      <c r="K993" s="7"/>
      <c r="L993" s="23">
        <f>+J993+90</f>
        <v>38151</v>
      </c>
      <c r="M993" s="18" t="s">
        <v>41</v>
      </c>
      <c r="N993" s="6" t="s">
        <v>42</v>
      </c>
      <c r="O993" s="7">
        <v>38114</v>
      </c>
      <c r="P993" s="7"/>
      <c r="Q993" s="7"/>
      <c r="R993" s="7"/>
      <c r="S993" s="23">
        <v>38116</v>
      </c>
      <c r="T993" s="23">
        <v>38153</v>
      </c>
      <c r="U993" s="23"/>
      <c r="V993" s="6" t="s">
        <v>1248</v>
      </c>
      <c r="W993" s="47">
        <v>976</v>
      </c>
      <c r="X993" s="6" t="s">
        <v>47</v>
      </c>
      <c r="Y993" s="177"/>
      <c r="Z993" s="6">
        <v>6651603291</v>
      </c>
      <c r="AA993" s="6"/>
      <c r="AB993" s="6" t="s">
        <v>47</v>
      </c>
      <c r="AC993" s="507"/>
      <c r="AD993" s="10" t="str">
        <f>IF(S993&lt;=L993,"en término","atrasado")</f>
        <v>en término</v>
      </c>
    </row>
    <row r="994" spans="1:30" s="9" customFormat="1" ht="12" thickBot="1" x14ac:dyDescent="0.25">
      <c r="A994" s="28"/>
      <c r="B994" s="19"/>
      <c r="C994" s="19"/>
      <c r="D994" s="5"/>
      <c r="E994" s="5"/>
      <c r="F994" s="5" t="s">
        <v>1249</v>
      </c>
      <c r="G994" s="5"/>
      <c r="H994" s="105"/>
      <c r="I994" s="21"/>
      <c r="J994" s="5"/>
      <c r="K994" s="5"/>
      <c r="L994" s="27"/>
      <c r="M994" s="5"/>
      <c r="N994" s="5"/>
      <c r="O994" s="27"/>
      <c r="P994" s="27"/>
      <c r="Q994" s="27"/>
      <c r="R994" s="27"/>
      <c r="S994" s="27"/>
      <c r="T994" s="5"/>
      <c r="U994" s="5"/>
      <c r="V994" s="224"/>
      <c r="W994" s="36"/>
      <c r="X994" s="5"/>
      <c r="Y994" s="182"/>
      <c r="Z994" s="5"/>
      <c r="AA994" s="5"/>
      <c r="AB994" s="183" t="s">
        <v>1244</v>
      </c>
      <c r="AC994" s="296"/>
    </row>
    <row r="995" spans="1:30" s="9" customFormat="1" x14ac:dyDescent="0.2">
      <c r="A995" s="28"/>
      <c r="B995" s="16"/>
      <c r="C995" s="16"/>
      <c r="D995" s="7"/>
      <c r="E995" s="7"/>
      <c r="F995" s="6"/>
      <c r="G995" s="6"/>
      <c r="H995" s="17"/>
      <c r="I995" s="17"/>
      <c r="J995" s="7"/>
      <c r="K995" s="7"/>
      <c r="L995" s="23"/>
      <c r="M995" s="6"/>
      <c r="N995" s="6"/>
      <c r="O995" s="6"/>
      <c r="P995" s="6"/>
      <c r="Q995" s="6"/>
      <c r="R995" s="6"/>
      <c r="S995" s="91" t="s">
        <v>1241</v>
      </c>
      <c r="T995" s="91"/>
      <c r="U995" s="7"/>
      <c r="V995" s="138"/>
      <c r="W995" s="47"/>
      <c r="X995" s="12"/>
      <c r="Y995" s="177"/>
      <c r="Z995" s="6"/>
      <c r="AA995" s="6"/>
      <c r="AB995" s="6"/>
      <c r="AC995" s="6"/>
    </row>
    <row r="996" spans="1:30" s="9" customFormat="1" x14ac:dyDescent="0.2">
      <c r="A996" s="28"/>
      <c r="B996" s="16" t="s">
        <v>36</v>
      </c>
      <c r="C996" s="16" t="s">
        <v>133</v>
      </c>
      <c r="D996" s="7" t="s">
        <v>1221</v>
      </c>
      <c r="E996" s="7"/>
      <c r="F996" s="6" t="s">
        <v>1222</v>
      </c>
      <c r="G996" s="6" t="s">
        <v>1192</v>
      </c>
      <c r="H996" s="17">
        <v>33011.269999999997</v>
      </c>
      <c r="I996" s="39" t="s">
        <v>142</v>
      </c>
      <c r="J996" s="7">
        <v>38058</v>
      </c>
      <c r="K996" s="7"/>
      <c r="L996" s="23">
        <f>+J996+90</f>
        <v>38148</v>
      </c>
      <c r="M996" s="18" t="s">
        <v>41</v>
      </c>
      <c r="N996" s="6" t="s">
        <v>42</v>
      </c>
      <c r="O996" s="7">
        <v>38114</v>
      </c>
      <c r="P996" s="331">
        <f>IF(S996="","",+S996-L996)</f>
        <v>-32</v>
      </c>
      <c r="Q996" s="331"/>
      <c r="R996" s="331"/>
      <c r="S996" s="23">
        <v>38116</v>
      </c>
      <c r="T996" s="23">
        <v>38153</v>
      </c>
      <c r="U996" s="23"/>
      <c r="V996" s="6" t="s">
        <v>1250</v>
      </c>
      <c r="W996" s="47">
        <v>974</v>
      </c>
      <c r="X996" s="6" t="s">
        <v>47</v>
      </c>
      <c r="Y996" s="177"/>
      <c r="Z996" s="6">
        <v>6651603291</v>
      </c>
      <c r="AA996" s="6"/>
      <c r="AB996" s="6" t="s">
        <v>47</v>
      </c>
      <c r="AC996" s="507"/>
      <c r="AD996" s="10" t="str">
        <f>IF(S996&lt;=L996,"en término","atrasado")</f>
        <v>en término</v>
      </c>
    </row>
    <row r="997" spans="1:30" s="9" customFormat="1" ht="12" thickBot="1" x14ac:dyDescent="0.25">
      <c r="A997" s="28"/>
      <c r="B997" s="19"/>
      <c r="C997" s="19"/>
      <c r="D997" s="5"/>
      <c r="E997" s="5"/>
      <c r="F997" s="5" t="s">
        <v>1251</v>
      </c>
      <c r="G997" s="5"/>
      <c r="H997" s="105"/>
      <c r="I997" s="21"/>
      <c r="J997" s="5"/>
      <c r="K997" s="5"/>
      <c r="L997" s="27"/>
      <c r="M997" s="5"/>
      <c r="N997" s="5"/>
      <c r="O997" s="27"/>
      <c r="P997" s="27"/>
      <c r="Q997" s="27"/>
      <c r="R997" s="27"/>
      <c r="S997" s="27"/>
      <c r="T997" s="5"/>
      <c r="U997" s="5"/>
      <c r="V997" s="224"/>
      <c r="W997" s="36"/>
      <c r="X997" s="5"/>
      <c r="Y997" s="182"/>
      <c r="Z997" s="5"/>
      <c r="AA997" s="5"/>
      <c r="AB997" s="183" t="s">
        <v>1244</v>
      </c>
      <c r="AC997" s="296"/>
    </row>
    <row r="998" spans="1:30" s="9" customFormat="1" x14ac:dyDescent="0.2">
      <c r="A998" s="28"/>
      <c r="B998" s="16"/>
      <c r="C998" s="16"/>
      <c r="D998" s="7"/>
      <c r="E998" s="7"/>
      <c r="F998" s="6"/>
      <c r="G998" s="6"/>
      <c r="H998" s="17"/>
      <c r="I998" s="17"/>
      <c r="J998" s="7"/>
      <c r="K998" s="7"/>
      <c r="L998" s="23"/>
      <c r="M998" s="6"/>
      <c r="N998" s="6"/>
      <c r="O998" s="6"/>
      <c r="P998" s="6"/>
      <c r="Q998" s="6"/>
      <c r="R998" s="6"/>
      <c r="S998" s="91" t="s">
        <v>1241</v>
      </c>
      <c r="T998" s="91"/>
      <c r="U998" s="7"/>
      <c r="V998" s="138"/>
      <c r="W998" s="47"/>
      <c r="X998" s="12"/>
      <c r="Y998" s="177"/>
      <c r="Z998" s="6"/>
      <c r="AA998" s="6"/>
      <c r="AB998" s="6"/>
      <c r="AC998" s="6"/>
    </row>
    <row r="999" spans="1:30" s="9" customFormat="1" x14ac:dyDescent="0.2">
      <c r="A999" s="28"/>
      <c r="B999" s="16" t="s">
        <v>36</v>
      </c>
      <c r="C999" s="16" t="s">
        <v>133</v>
      </c>
      <c r="D999" s="7" t="s">
        <v>1221</v>
      </c>
      <c r="E999" s="7"/>
      <c r="F999" s="6" t="s">
        <v>1222</v>
      </c>
      <c r="G999" s="6" t="s">
        <v>1192</v>
      </c>
      <c r="H999" s="17">
        <v>109055.71</v>
      </c>
      <c r="I999" s="39" t="s">
        <v>52</v>
      </c>
      <c r="J999" s="7">
        <v>38069</v>
      </c>
      <c r="K999" s="7"/>
      <c r="L999" s="23">
        <f>+J999+90</f>
        <v>38159</v>
      </c>
      <c r="M999" s="18" t="s">
        <v>41</v>
      </c>
      <c r="N999" s="6" t="s">
        <v>42</v>
      </c>
      <c r="O999" s="7">
        <v>38114</v>
      </c>
      <c r="P999" s="331">
        <f>IF(S999="","",+S999-L999)</f>
        <v>-43</v>
      </c>
      <c r="Q999" s="331"/>
      <c r="R999" s="331"/>
      <c r="S999" s="23">
        <v>38116</v>
      </c>
      <c r="T999" s="23">
        <v>38153</v>
      </c>
      <c r="U999" s="23"/>
      <c r="V999" s="6" t="s">
        <v>1252</v>
      </c>
      <c r="W999" s="47">
        <v>978</v>
      </c>
      <c r="X999" s="6" t="s">
        <v>47</v>
      </c>
      <c r="Y999" s="177"/>
      <c r="Z999" s="6">
        <v>6651603291</v>
      </c>
      <c r="AA999" s="6"/>
      <c r="AB999" s="6" t="s">
        <v>47</v>
      </c>
      <c r="AC999" s="507"/>
      <c r="AD999" s="10" t="str">
        <f>IF(S999&lt;=L999,"en término","atrasado")</f>
        <v>en término</v>
      </c>
    </row>
    <row r="1000" spans="1:30" s="9" customFormat="1" ht="12" thickBot="1" x14ac:dyDescent="0.25">
      <c r="A1000" s="28"/>
      <c r="B1000" s="19"/>
      <c r="C1000" s="19"/>
      <c r="D1000" s="5"/>
      <c r="E1000" s="5"/>
      <c r="F1000" s="5" t="s">
        <v>1253</v>
      </c>
      <c r="G1000" s="5"/>
      <c r="H1000" s="105"/>
      <c r="I1000" s="21"/>
      <c r="J1000" s="5"/>
      <c r="K1000" s="5"/>
      <c r="L1000" s="27"/>
      <c r="M1000" s="5"/>
      <c r="N1000" s="5"/>
      <c r="O1000" s="27"/>
      <c r="P1000" s="27"/>
      <c r="Q1000" s="27"/>
      <c r="R1000" s="27"/>
      <c r="S1000" s="27"/>
      <c r="T1000" s="5"/>
      <c r="U1000" s="5"/>
      <c r="V1000" s="224"/>
      <c r="W1000" s="36"/>
      <c r="X1000" s="5"/>
      <c r="Y1000" s="182"/>
      <c r="Z1000" s="5"/>
      <c r="AA1000" s="5"/>
      <c r="AB1000" s="183" t="s">
        <v>1244</v>
      </c>
      <c r="AC1000" s="296"/>
    </row>
    <row r="1001" spans="1:30" s="9" customFormat="1" x14ac:dyDescent="0.2">
      <c r="A1001" s="28"/>
      <c r="B1001" s="16"/>
      <c r="C1001" s="16"/>
      <c r="D1001" s="7"/>
      <c r="E1001" s="7"/>
      <c r="F1001" s="6"/>
      <c r="G1001" s="6"/>
      <c r="H1001" s="17"/>
      <c r="I1001" s="17"/>
      <c r="J1001" s="7"/>
      <c r="K1001" s="7"/>
      <c r="L1001" s="23"/>
      <c r="M1001" s="6"/>
      <c r="N1001" s="6"/>
      <c r="O1001" s="6"/>
      <c r="P1001" s="6"/>
      <c r="Q1001" s="6"/>
      <c r="R1001" s="6"/>
      <c r="S1001" s="91" t="s">
        <v>1241</v>
      </c>
      <c r="T1001" s="91"/>
      <c r="U1001" s="7"/>
      <c r="V1001" s="138"/>
      <c r="W1001" s="47"/>
      <c r="X1001" s="12"/>
      <c r="Y1001" s="177"/>
      <c r="Z1001" s="6"/>
      <c r="AA1001" s="6"/>
      <c r="AB1001" s="6"/>
      <c r="AC1001" s="6"/>
    </row>
    <row r="1002" spans="1:30" s="9" customFormat="1" x14ac:dyDescent="0.2">
      <c r="A1002" s="28"/>
      <c r="B1002" s="16" t="s">
        <v>36</v>
      </c>
      <c r="C1002" s="16" t="s">
        <v>133</v>
      </c>
      <c r="D1002" s="7" t="s">
        <v>1221</v>
      </c>
      <c r="E1002" s="7"/>
      <c r="F1002" s="6" t="s">
        <v>1222</v>
      </c>
      <c r="G1002" s="6" t="s">
        <v>1192</v>
      </c>
      <c r="H1002" s="17">
        <v>3868.82</v>
      </c>
      <c r="I1002" s="39" t="s">
        <v>62</v>
      </c>
      <c r="J1002" s="7">
        <v>38089</v>
      </c>
      <c r="K1002" s="7"/>
      <c r="L1002" s="23">
        <f>+J1002+90</f>
        <v>38179</v>
      </c>
      <c r="M1002" s="18" t="s">
        <v>41</v>
      </c>
      <c r="N1002" s="6" t="s">
        <v>42</v>
      </c>
      <c r="O1002" s="7">
        <v>38114</v>
      </c>
      <c r="P1002" s="331">
        <f>IF(S1002="","",+S1002-L1002)</f>
        <v>-63</v>
      </c>
      <c r="Q1002" s="331"/>
      <c r="R1002" s="331"/>
      <c r="S1002" s="23">
        <v>38116</v>
      </c>
      <c r="T1002" s="23">
        <v>38153</v>
      </c>
      <c r="U1002" s="23"/>
      <c r="V1002" s="6" t="s">
        <v>1254</v>
      </c>
      <c r="W1002" s="47">
        <v>979</v>
      </c>
      <c r="X1002" s="6" t="s">
        <v>47</v>
      </c>
      <c r="Y1002" s="177"/>
      <c r="Z1002" s="6">
        <v>6651603291</v>
      </c>
      <c r="AA1002" s="6"/>
      <c r="AB1002" s="6" t="s">
        <v>47</v>
      </c>
      <c r="AC1002" s="507"/>
      <c r="AD1002" s="10" t="str">
        <f>IF(S1002&lt;=L1002,"en término","atrasado")</f>
        <v>en término</v>
      </c>
    </row>
    <row r="1003" spans="1:30" s="9" customFormat="1" ht="12" thickBot="1" x14ac:dyDescent="0.25">
      <c r="A1003" s="28"/>
      <c r="B1003" s="19"/>
      <c r="C1003" s="19"/>
      <c r="D1003" s="5"/>
      <c r="E1003" s="5"/>
      <c r="F1003" s="5" t="s">
        <v>1255</v>
      </c>
      <c r="G1003" s="5"/>
      <c r="H1003" s="105"/>
      <c r="I1003" s="21"/>
      <c r="J1003" s="27"/>
      <c r="K1003" s="27"/>
      <c r="L1003" s="27"/>
      <c r="M1003" s="5"/>
      <c r="N1003" s="5"/>
      <c r="O1003" s="27"/>
      <c r="P1003" s="27"/>
      <c r="Q1003" s="27"/>
      <c r="R1003" s="27"/>
      <c r="S1003" s="27"/>
      <c r="T1003" s="5"/>
      <c r="U1003" s="5"/>
      <c r="V1003" s="224"/>
      <c r="W1003" s="36"/>
      <c r="X1003" s="5"/>
      <c r="Y1003" s="182"/>
      <c r="Z1003" s="5"/>
      <c r="AA1003" s="5"/>
      <c r="AB1003" s="183" t="s">
        <v>1244</v>
      </c>
      <c r="AC1003" s="296"/>
    </row>
    <row r="1004" spans="1:30" s="9" customFormat="1" x14ac:dyDescent="0.2">
      <c r="A1004" s="28"/>
      <c r="B1004" s="16"/>
      <c r="C1004" s="16"/>
      <c r="D1004" s="7"/>
      <c r="E1004" s="7"/>
      <c r="F1004" s="6"/>
      <c r="G1004" s="6"/>
      <c r="H1004" s="17"/>
      <c r="I1004" s="17"/>
      <c r="J1004" s="7"/>
      <c r="K1004" s="7"/>
      <c r="L1004" s="23"/>
      <c r="M1004" s="6"/>
      <c r="N1004" s="6"/>
      <c r="O1004" s="6"/>
      <c r="P1004" s="6"/>
      <c r="Q1004" s="6"/>
      <c r="R1004" s="6"/>
      <c r="S1004" s="91" t="s">
        <v>1241</v>
      </c>
      <c r="T1004" s="91"/>
      <c r="U1004" s="7"/>
      <c r="V1004" s="138"/>
      <c r="W1004" s="47"/>
      <c r="X1004" s="12"/>
      <c r="Y1004" s="177"/>
      <c r="Z1004" s="6"/>
      <c r="AA1004" s="6"/>
      <c r="AB1004" s="6"/>
      <c r="AC1004" s="6"/>
    </row>
    <row r="1005" spans="1:30" s="9" customFormat="1" x14ac:dyDescent="0.2">
      <c r="A1005" s="28"/>
      <c r="B1005" s="16" t="s">
        <v>36</v>
      </c>
      <c r="C1005" s="16" t="s">
        <v>133</v>
      </c>
      <c r="D1005" s="7" t="s">
        <v>1221</v>
      </c>
      <c r="E1005" s="7"/>
      <c r="F1005" s="6" t="s">
        <v>1222</v>
      </c>
      <c r="G1005" s="6" t="s">
        <v>1192</v>
      </c>
      <c r="H1005" s="17">
        <v>816.12</v>
      </c>
      <c r="I1005" s="39" t="s">
        <v>40</v>
      </c>
      <c r="J1005" s="7">
        <v>38100</v>
      </c>
      <c r="K1005" s="7"/>
      <c r="L1005" s="23">
        <f>+J1005+90</f>
        <v>38190</v>
      </c>
      <c r="M1005" s="18" t="s">
        <v>41</v>
      </c>
      <c r="N1005" s="6" t="s">
        <v>42</v>
      </c>
      <c r="O1005" s="7">
        <v>38114</v>
      </c>
      <c r="P1005" s="331">
        <f>IF(S1005="","",+S1005-L1005)</f>
        <v>-74</v>
      </c>
      <c r="Q1005" s="331"/>
      <c r="R1005" s="331"/>
      <c r="S1005" s="23">
        <v>38116</v>
      </c>
      <c r="T1005" s="23">
        <v>38153</v>
      </c>
      <c r="U1005" s="23"/>
      <c r="V1005" s="6" t="s">
        <v>1256</v>
      </c>
      <c r="W1005" s="47">
        <v>980</v>
      </c>
      <c r="X1005" s="6" t="s">
        <v>47</v>
      </c>
      <c r="Y1005" s="177"/>
      <c r="Z1005" s="6">
        <v>6651603291</v>
      </c>
      <c r="AA1005" s="6"/>
      <c r="AB1005" s="6" t="s">
        <v>47</v>
      </c>
      <c r="AC1005" s="507"/>
      <c r="AD1005" s="10" t="str">
        <f>IF(S1005&lt;=L1005,"en término","atrasado")</f>
        <v>en término</v>
      </c>
    </row>
    <row r="1006" spans="1:30" s="9" customFormat="1" ht="12" thickBot="1" x14ac:dyDescent="0.25">
      <c r="A1006" s="28"/>
      <c r="B1006" s="19"/>
      <c r="C1006" s="19"/>
      <c r="D1006" s="5"/>
      <c r="E1006" s="5"/>
      <c r="F1006" s="5" t="s">
        <v>1257</v>
      </c>
      <c r="G1006" s="5"/>
      <c r="H1006" s="105"/>
      <c r="I1006" s="21"/>
      <c r="J1006" s="27"/>
      <c r="K1006" s="27"/>
      <c r="L1006" s="27"/>
      <c r="M1006" s="5"/>
      <c r="N1006" s="5"/>
      <c r="O1006" s="27"/>
      <c r="P1006" s="27"/>
      <c r="Q1006" s="27"/>
      <c r="R1006" s="27"/>
      <c r="S1006" s="27"/>
      <c r="T1006" s="5"/>
      <c r="U1006" s="5"/>
      <c r="V1006" s="224"/>
      <c r="W1006" s="36"/>
      <c r="X1006" s="5"/>
      <c r="Y1006" s="182"/>
      <c r="Z1006" s="5"/>
      <c r="AA1006" s="5"/>
      <c r="AB1006" s="183" t="s">
        <v>1244</v>
      </c>
      <c r="AC1006" s="296"/>
    </row>
    <row r="1007" spans="1:30" s="9" customFormat="1" x14ac:dyDescent="0.2">
      <c r="A1007" s="28"/>
      <c r="B1007" s="16"/>
      <c r="C1007" s="16"/>
      <c r="D1007" s="7"/>
      <c r="E1007" s="7"/>
      <c r="F1007" s="6"/>
      <c r="G1007" s="6"/>
      <c r="H1007" s="17"/>
      <c r="I1007" s="17"/>
      <c r="J1007" s="7"/>
      <c r="K1007" s="7"/>
      <c r="L1007" s="23"/>
      <c r="M1007" s="6"/>
      <c r="N1007" s="6"/>
      <c r="O1007" s="6"/>
      <c r="P1007" s="6"/>
      <c r="Q1007" s="6"/>
      <c r="R1007" s="6"/>
      <c r="S1007" s="91" t="s">
        <v>1149</v>
      </c>
      <c r="T1007" s="91"/>
      <c r="U1007" s="7"/>
      <c r="V1007" s="138" t="s">
        <v>1245</v>
      </c>
      <c r="W1007" s="47"/>
      <c r="X1007" s="12"/>
      <c r="Y1007" s="177"/>
      <c r="Z1007" s="6"/>
      <c r="AA1007" s="6"/>
      <c r="AB1007" s="6"/>
      <c r="AC1007" s="6"/>
    </row>
    <row r="1008" spans="1:30" s="9" customFormat="1" x14ac:dyDescent="0.2">
      <c r="A1008" s="28"/>
      <c r="B1008" s="16" t="s">
        <v>36</v>
      </c>
      <c r="C1008" s="16" t="s">
        <v>133</v>
      </c>
      <c r="D1008" s="7" t="s">
        <v>1221</v>
      </c>
      <c r="E1008" s="7"/>
      <c r="F1008" s="6" t="s">
        <v>1222</v>
      </c>
      <c r="G1008" s="6" t="s">
        <v>1192</v>
      </c>
      <c r="H1008" s="17">
        <v>46188.69</v>
      </c>
      <c r="I1008" s="39" t="s">
        <v>40</v>
      </c>
      <c r="J1008" s="7">
        <v>38061</v>
      </c>
      <c r="K1008" s="7"/>
      <c r="L1008" s="23">
        <f>+J1008+90</f>
        <v>38151</v>
      </c>
      <c r="M1008" s="18" t="s">
        <v>41</v>
      </c>
      <c r="N1008" s="6" t="s">
        <v>42</v>
      </c>
      <c r="O1008" s="7">
        <v>38153</v>
      </c>
      <c r="P1008" s="331">
        <f>IF(S1008="","",+S1008-L1008)</f>
        <v>15</v>
      </c>
      <c r="Q1008" s="331"/>
      <c r="R1008" s="331"/>
      <c r="S1008" s="23">
        <v>38166</v>
      </c>
      <c r="T1008" s="23">
        <v>38175</v>
      </c>
      <c r="U1008" s="23"/>
      <c r="V1008" s="6" t="s">
        <v>1258</v>
      </c>
      <c r="W1008" s="47">
        <v>1000</v>
      </c>
      <c r="X1008" s="6"/>
      <c r="Y1008" s="177"/>
      <c r="Z1008" s="6">
        <v>6642683342</v>
      </c>
      <c r="AA1008" s="6" t="s">
        <v>47</v>
      </c>
      <c r="AB1008" s="6" t="s">
        <v>47</v>
      </c>
      <c r="AC1008" s="507"/>
      <c r="AD1008" s="10" t="str">
        <f>IF(S1008&lt;=L1008,"en término","atrasado")</f>
        <v>atrasado</v>
      </c>
    </row>
    <row r="1009" spans="1:30" s="9" customFormat="1" ht="12" thickBot="1" x14ac:dyDescent="0.25">
      <c r="A1009" s="28"/>
      <c r="B1009" s="19"/>
      <c r="C1009" s="19"/>
      <c r="D1009" s="5"/>
      <c r="E1009" s="5"/>
      <c r="F1009" s="5" t="s">
        <v>1247</v>
      </c>
      <c r="G1009" s="5"/>
      <c r="H1009" s="105"/>
      <c r="I1009" s="21"/>
      <c r="J1009" s="27"/>
      <c r="K1009" s="27"/>
      <c r="L1009" s="27"/>
      <c r="M1009" s="5"/>
      <c r="N1009" s="5"/>
      <c r="O1009" s="27"/>
      <c r="P1009" s="27"/>
      <c r="Q1009" s="27"/>
      <c r="R1009" s="27"/>
      <c r="S1009" s="27"/>
      <c r="T1009" s="5"/>
      <c r="U1009" s="5"/>
      <c r="V1009" s="224"/>
      <c r="W1009" s="36"/>
      <c r="X1009" s="5"/>
      <c r="Y1009" s="182"/>
      <c r="Z1009" s="5"/>
      <c r="AA1009" s="27">
        <v>38540</v>
      </c>
      <c r="AB1009" s="295" t="s">
        <v>1259</v>
      </c>
      <c r="AC1009" s="296"/>
    </row>
    <row r="1010" spans="1:30" s="9" customFormat="1" x14ac:dyDescent="0.2">
      <c r="A1010" s="28"/>
      <c r="B1010" s="16"/>
      <c r="C1010" s="16"/>
      <c r="D1010" s="7"/>
      <c r="E1010" s="7"/>
      <c r="F1010" s="6"/>
      <c r="G1010" s="6"/>
      <c r="H1010" s="17"/>
      <c r="I1010" s="17"/>
      <c r="J1010" s="7"/>
      <c r="K1010" s="7"/>
      <c r="L1010" s="23"/>
      <c r="M1010" s="6"/>
      <c r="N1010" s="6"/>
      <c r="O1010" s="6"/>
      <c r="P1010" s="6"/>
      <c r="Q1010" s="6"/>
      <c r="R1010" s="6"/>
      <c r="S1010" s="91" t="s">
        <v>1149</v>
      </c>
      <c r="T1010" s="91"/>
      <c r="U1010" s="7"/>
      <c r="V1010" s="138" t="s">
        <v>1245</v>
      </c>
      <c r="W1010" s="47"/>
      <c r="X1010" s="12"/>
      <c r="Y1010" s="177"/>
      <c r="Z1010" s="6"/>
      <c r="AA1010" s="6"/>
      <c r="AB1010" s="6"/>
      <c r="AC1010" s="6"/>
    </row>
    <row r="1011" spans="1:30" s="9" customFormat="1" x14ac:dyDescent="0.2">
      <c r="A1011" s="28"/>
      <c r="B1011" s="16" t="s">
        <v>36</v>
      </c>
      <c r="C1011" s="16" t="s">
        <v>133</v>
      </c>
      <c r="D1011" s="7" t="s">
        <v>1221</v>
      </c>
      <c r="E1011" s="7"/>
      <c r="F1011" s="6" t="s">
        <v>1222</v>
      </c>
      <c r="G1011" s="6" t="s">
        <v>1192</v>
      </c>
      <c r="H1011" s="17">
        <v>86595</v>
      </c>
      <c r="I1011" s="39" t="s">
        <v>40</v>
      </c>
      <c r="J1011" s="7">
        <v>38061</v>
      </c>
      <c r="K1011" s="7"/>
      <c r="L1011" s="23">
        <f>+J1011+90</f>
        <v>38151</v>
      </c>
      <c r="M1011" s="18" t="s">
        <v>41</v>
      </c>
      <c r="N1011" s="6" t="s">
        <v>42</v>
      </c>
      <c r="O1011" s="7">
        <v>38153</v>
      </c>
      <c r="P1011" s="331">
        <f>IF(S1011="","",+S1011-L1011)</f>
        <v>15</v>
      </c>
      <c r="Q1011" s="331"/>
      <c r="R1011" s="331"/>
      <c r="S1011" s="23">
        <v>38166</v>
      </c>
      <c r="T1011" s="23">
        <v>38175</v>
      </c>
      <c r="U1011" s="23"/>
      <c r="V1011" s="6" t="s">
        <v>1260</v>
      </c>
      <c r="W1011" s="47">
        <v>1001</v>
      </c>
      <c r="X1011" s="6"/>
      <c r="Y1011" s="177"/>
      <c r="Z1011" s="6">
        <v>6642683342</v>
      </c>
      <c r="AA1011" s="6" t="s">
        <v>47</v>
      </c>
      <c r="AB1011" s="6" t="s">
        <v>47</v>
      </c>
      <c r="AC1011" s="507"/>
      <c r="AD1011" s="10" t="str">
        <f>IF(S1011&lt;=L1011,"en término","atrasado")</f>
        <v>atrasado</v>
      </c>
    </row>
    <row r="1012" spans="1:30" s="9" customFormat="1" ht="12" thickBot="1" x14ac:dyDescent="0.25">
      <c r="A1012" s="28"/>
      <c r="B1012" s="19"/>
      <c r="C1012" s="19"/>
      <c r="D1012" s="5"/>
      <c r="E1012" s="5"/>
      <c r="F1012" s="5" t="s">
        <v>1249</v>
      </c>
      <c r="G1012" s="5"/>
      <c r="H1012" s="105"/>
      <c r="I1012" s="21"/>
      <c r="J1012" s="5"/>
      <c r="K1012" s="5"/>
      <c r="L1012" s="27"/>
      <c r="M1012" s="5"/>
      <c r="N1012" s="5"/>
      <c r="O1012" s="27"/>
      <c r="P1012" s="27"/>
      <c r="Q1012" s="27"/>
      <c r="R1012" s="27"/>
      <c r="S1012" s="27"/>
      <c r="T1012" s="5"/>
      <c r="U1012" s="5"/>
      <c r="V1012" s="224"/>
      <c r="W1012" s="36"/>
      <c r="X1012" s="5"/>
      <c r="Y1012" s="182"/>
      <c r="Z1012" s="5"/>
      <c r="AA1012" s="27">
        <v>38540</v>
      </c>
      <c r="AB1012" s="295" t="s">
        <v>1259</v>
      </c>
      <c r="AC1012" s="296"/>
    </row>
    <row r="1013" spans="1:30" s="9" customFormat="1" x14ac:dyDescent="0.2">
      <c r="A1013" s="28"/>
      <c r="B1013" s="16"/>
      <c r="C1013" s="16"/>
      <c r="D1013" s="7"/>
      <c r="E1013" s="7"/>
      <c r="F1013" s="6"/>
      <c r="G1013" s="6"/>
      <c r="H1013" s="17"/>
      <c r="I1013" s="17"/>
      <c r="J1013" s="7"/>
      <c r="K1013" s="7"/>
      <c r="L1013" s="23"/>
      <c r="M1013" s="6"/>
      <c r="N1013" s="6"/>
      <c r="O1013" s="6"/>
      <c r="P1013" s="6"/>
      <c r="Q1013" s="6"/>
      <c r="R1013" s="6"/>
      <c r="S1013" s="91" t="s">
        <v>1149</v>
      </c>
      <c r="T1013" s="91"/>
      <c r="U1013" s="7"/>
      <c r="V1013" s="138"/>
      <c r="W1013" s="47"/>
      <c r="X1013" s="12"/>
      <c r="Y1013" s="177"/>
      <c r="Z1013" s="6"/>
      <c r="AA1013" s="6"/>
      <c r="AB1013" s="6"/>
      <c r="AC1013" s="6"/>
    </row>
    <row r="1014" spans="1:30" s="9" customFormat="1" x14ac:dyDescent="0.2">
      <c r="A1014" s="28"/>
      <c r="B1014" s="16" t="s">
        <v>36</v>
      </c>
      <c r="C1014" s="16" t="s">
        <v>133</v>
      </c>
      <c r="D1014" s="7" t="s">
        <v>1221</v>
      </c>
      <c r="E1014" s="7"/>
      <c r="F1014" s="6" t="s">
        <v>1222</v>
      </c>
      <c r="G1014" s="6" t="s">
        <v>1192</v>
      </c>
      <c r="H1014" s="17">
        <v>20113.189999999999</v>
      </c>
      <c r="I1014" s="39" t="s">
        <v>52</v>
      </c>
      <c r="J1014" s="7">
        <v>38085</v>
      </c>
      <c r="K1014" s="7"/>
      <c r="L1014" s="23">
        <f>+J1014+90</f>
        <v>38175</v>
      </c>
      <c r="M1014" s="18" t="s">
        <v>41</v>
      </c>
      <c r="N1014" s="6" t="s">
        <v>42</v>
      </c>
      <c r="O1014" s="7">
        <v>38153</v>
      </c>
      <c r="P1014" s="331">
        <f>IF(S1014="","",+S1014-L1014)</f>
        <v>-9</v>
      </c>
      <c r="Q1014" s="331"/>
      <c r="R1014" s="331"/>
      <c r="S1014" s="23">
        <v>38166</v>
      </c>
      <c r="T1014" s="23">
        <v>38175</v>
      </c>
      <c r="U1014" s="23"/>
      <c r="V1014" s="6" t="s">
        <v>879</v>
      </c>
      <c r="W1014" s="47">
        <v>996</v>
      </c>
      <c r="X1014" s="6" t="s">
        <v>47</v>
      </c>
      <c r="Y1014" s="177"/>
      <c r="Z1014" s="6">
        <v>6642683342</v>
      </c>
      <c r="AA1014" s="6" t="s">
        <v>47</v>
      </c>
      <c r="AB1014" s="6" t="s">
        <v>47</v>
      </c>
      <c r="AC1014" s="507"/>
      <c r="AD1014" s="10" t="str">
        <f>IF(S1014&lt;=L1014,"en término","atrasado")</f>
        <v>en término</v>
      </c>
    </row>
    <row r="1015" spans="1:30" s="9" customFormat="1" ht="12" thickBot="1" x14ac:dyDescent="0.25">
      <c r="A1015" s="28"/>
      <c r="B1015" s="19"/>
      <c r="C1015" s="19"/>
      <c r="D1015" s="5"/>
      <c r="E1015" s="5"/>
      <c r="F1015" s="5" t="s">
        <v>1261</v>
      </c>
      <c r="G1015" s="5"/>
      <c r="H1015" s="105"/>
      <c r="I1015" s="21"/>
      <c r="J1015" s="5"/>
      <c r="K1015" s="5"/>
      <c r="L1015" s="27"/>
      <c r="M1015" s="5"/>
      <c r="N1015" s="5"/>
      <c r="O1015" s="27"/>
      <c r="P1015" s="27"/>
      <c r="Q1015" s="27"/>
      <c r="R1015" s="27"/>
      <c r="S1015" s="27"/>
      <c r="T1015" s="5"/>
      <c r="U1015" s="5"/>
      <c r="V1015" s="224"/>
      <c r="W1015" s="36"/>
      <c r="X1015" s="5"/>
      <c r="Y1015" s="182"/>
      <c r="Z1015" s="5"/>
      <c r="AA1015" s="27">
        <v>38540</v>
      </c>
      <c r="AB1015" s="295" t="s">
        <v>1259</v>
      </c>
      <c r="AC1015" s="296"/>
    </row>
    <row r="1016" spans="1:30" s="9" customFormat="1" x14ac:dyDescent="0.2">
      <c r="A1016" s="28"/>
      <c r="B1016" s="16"/>
      <c r="C1016" s="16"/>
      <c r="D1016" s="7"/>
      <c r="E1016" s="7"/>
      <c r="F1016" s="6"/>
      <c r="G1016" s="6"/>
      <c r="H1016" s="17"/>
      <c r="I1016" s="17"/>
      <c r="J1016" s="7"/>
      <c r="K1016" s="7"/>
      <c r="L1016" s="23"/>
      <c r="M1016" s="6"/>
      <c r="N1016" s="6"/>
      <c r="O1016" s="6"/>
      <c r="P1016" s="6"/>
      <c r="Q1016" s="6"/>
      <c r="R1016" s="6"/>
      <c r="S1016" s="91" t="s">
        <v>1149</v>
      </c>
      <c r="T1016" s="91"/>
      <c r="U1016" s="7"/>
      <c r="V1016" s="138"/>
      <c r="W1016" s="47"/>
      <c r="X1016" s="12"/>
      <c r="Y1016" s="177"/>
      <c r="Z1016" s="6"/>
      <c r="AA1016" s="6"/>
      <c r="AB1016" s="6"/>
      <c r="AC1016" s="6"/>
    </row>
    <row r="1017" spans="1:30" s="9" customFormat="1" x14ac:dyDescent="0.2">
      <c r="A1017" s="28"/>
      <c r="B1017" s="16" t="s">
        <v>36</v>
      </c>
      <c r="C1017" s="16" t="s">
        <v>133</v>
      </c>
      <c r="D1017" s="7" t="s">
        <v>1221</v>
      </c>
      <c r="E1017" s="7"/>
      <c r="F1017" s="6" t="s">
        <v>1222</v>
      </c>
      <c r="G1017" s="6" t="s">
        <v>1192</v>
      </c>
      <c r="H1017" s="17">
        <v>28358.95</v>
      </c>
      <c r="I1017" s="39" t="s">
        <v>62</v>
      </c>
      <c r="J1017" s="7">
        <v>38089</v>
      </c>
      <c r="K1017" s="7"/>
      <c r="L1017" s="23">
        <f>+J1017+90</f>
        <v>38179</v>
      </c>
      <c r="M1017" s="18" t="s">
        <v>41</v>
      </c>
      <c r="N1017" s="6" t="s">
        <v>42</v>
      </c>
      <c r="O1017" s="7">
        <v>38153</v>
      </c>
      <c r="P1017" s="331">
        <f>IF(S1017="","",+S1017-L1017)</f>
        <v>-13</v>
      </c>
      <c r="Q1017" s="331"/>
      <c r="R1017" s="331"/>
      <c r="S1017" s="23">
        <v>38166</v>
      </c>
      <c r="T1017" s="23">
        <v>38175</v>
      </c>
      <c r="U1017" s="23"/>
      <c r="V1017" s="6" t="s">
        <v>750</v>
      </c>
      <c r="W1017" s="47">
        <v>1002</v>
      </c>
      <c r="X1017" s="6" t="s">
        <v>47</v>
      </c>
      <c r="Y1017" s="177"/>
      <c r="Z1017" s="6">
        <v>6642683342</v>
      </c>
      <c r="AA1017" s="6" t="s">
        <v>47</v>
      </c>
      <c r="AB1017" s="6" t="s">
        <v>47</v>
      </c>
      <c r="AC1017" s="507"/>
      <c r="AD1017" s="10" t="str">
        <f>IF(S1017&lt;=L1017,"en término","atrasado")</f>
        <v>en término</v>
      </c>
    </row>
    <row r="1018" spans="1:30" s="9" customFormat="1" ht="12" thickBot="1" x14ac:dyDescent="0.25">
      <c r="A1018" s="28"/>
      <c r="B1018" s="19"/>
      <c r="C1018" s="19"/>
      <c r="D1018" s="5"/>
      <c r="E1018" s="5"/>
      <c r="F1018" s="5" t="s">
        <v>1262</v>
      </c>
      <c r="G1018" s="5"/>
      <c r="H1018" s="105"/>
      <c r="I1018" s="21"/>
      <c r="J1018" s="5"/>
      <c r="K1018" s="5"/>
      <c r="L1018" s="27"/>
      <c r="M1018" s="5"/>
      <c r="N1018" s="5"/>
      <c r="O1018" s="27"/>
      <c r="P1018" s="27"/>
      <c r="Q1018" s="27"/>
      <c r="R1018" s="27"/>
      <c r="S1018" s="27"/>
      <c r="T1018" s="5"/>
      <c r="U1018" s="5"/>
      <c r="V1018" s="224"/>
      <c r="W1018" s="36"/>
      <c r="X1018" s="5"/>
      <c r="Y1018" s="182"/>
      <c r="Z1018" s="5"/>
      <c r="AA1018" s="27">
        <v>38540</v>
      </c>
      <c r="AB1018" s="295" t="s">
        <v>1259</v>
      </c>
      <c r="AC1018" s="296"/>
    </row>
    <row r="1019" spans="1:30" s="9" customFormat="1" x14ac:dyDescent="0.2">
      <c r="A1019" s="28"/>
      <c r="B1019" s="16"/>
      <c r="C1019" s="16"/>
      <c r="D1019" s="7"/>
      <c r="E1019" s="7"/>
      <c r="F1019" s="6"/>
      <c r="G1019" s="6"/>
      <c r="H1019" s="17"/>
      <c r="I1019" s="17"/>
      <c r="J1019" s="7"/>
      <c r="K1019" s="7"/>
      <c r="L1019" s="23"/>
      <c r="M1019" s="6"/>
      <c r="N1019" s="6"/>
      <c r="O1019" s="6"/>
      <c r="P1019" s="6"/>
      <c r="Q1019" s="6"/>
      <c r="R1019" s="6"/>
      <c r="S1019" s="91" t="s">
        <v>1149</v>
      </c>
      <c r="T1019" s="91"/>
      <c r="U1019" s="7"/>
      <c r="V1019" s="138"/>
      <c r="W1019" s="47"/>
      <c r="X1019" s="12"/>
      <c r="Y1019" s="177"/>
      <c r="Z1019" s="6"/>
      <c r="AA1019" s="6"/>
      <c r="AB1019" s="6"/>
      <c r="AC1019" s="6"/>
    </row>
    <row r="1020" spans="1:30" s="9" customFormat="1" x14ac:dyDescent="0.2">
      <c r="A1020" s="28"/>
      <c r="B1020" s="16" t="s">
        <v>36</v>
      </c>
      <c r="C1020" s="16" t="s">
        <v>133</v>
      </c>
      <c r="D1020" s="7" t="s">
        <v>1221</v>
      </c>
      <c r="E1020" s="7"/>
      <c r="F1020" s="6" t="s">
        <v>1222</v>
      </c>
      <c r="G1020" s="6" t="s">
        <v>1192</v>
      </c>
      <c r="H1020" s="17">
        <v>5743.72</v>
      </c>
      <c r="I1020" s="39" t="s">
        <v>52</v>
      </c>
      <c r="J1020" s="7">
        <v>38107</v>
      </c>
      <c r="K1020" s="7"/>
      <c r="L1020" s="23">
        <f>+J1020+90</f>
        <v>38197</v>
      </c>
      <c r="M1020" s="18" t="s">
        <v>41</v>
      </c>
      <c r="N1020" s="6" t="s">
        <v>42</v>
      </c>
      <c r="O1020" s="7">
        <v>38153</v>
      </c>
      <c r="P1020" s="331">
        <f>IF(S1020="","",+S1020-L1020)</f>
        <v>-31</v>
      </c>
      <c r="Q1020" s="331"/>
      <c r="R1020" s="331"/>
      <c r="S1020" s="23">
        <v>38166</v>
      </c>
      <c r="T1020" s="23">
        <v>38175</v>
      </c>
      <c r="U1020" s="23"/>
      <c r="V1020" s="6" t="s">
        <v>1254</v>
      </c>
      <c r="W1020" s="47">
        <v>997</v>
      </c>
      <c r="X1020" s="6" t="s">
        <v>47</v>
      </c>
      <c r="Y1020" s="177"/>
      <c r="Z1020" s="6">
        <v>6642683342</v>
      </c>
      <c r="AA1020" s="6" t="s">
        <v>47</v>
      </c>
      <c r="AB1020" s="6" t="s">
        <v>47</v>
      </c>
      <c r="AC1020" s="507"/>
      <c r="AD1020" s="10" t="str">
        <f>IF(S1020&lt;=L1020,"en término","atrasado")</f>
        <v>en término</v>
      </c>
    </row>
    <row r="1021" spans="1:30" s="9" customFormat="1" ht="12" thickBot="1" x14ac:dyDescent="0.25">
      <c r="A1021" s="28"/>
      <c r="B1021" s="19"/>
      <c r="C1021" s="19"/>
      <c r="D1021" s="5"/>
      <c r="E1021" s="5"/>
      <c r="F1021" s="5" t="s">
        <v>1263</v>
      </c>
      <c r="G1021" s="5"/>
      <c r="H1021" s="105"/>
      <c r="I1021" s="21"/>
      <c r="J1021" s="27"/>
      <c r="K1021" s="27"/>
      <c r="L1021" s="27"/>
      <c r="M1021" s="5"/>
      <c r="N1021" s="5"/>
      <c r="O1021" s="27"/>
      <c r="P1021" s="27"/>
      <c r="Q1021" s="27"/>
      <c r="R1021" s="27"/>
      <c r="S1021" s="27"/>
      <c r="T1021" s="5"/>
      <c r="U1021" s="5"/>
      <c r="V1021" s="224"/>
      <c r="W1021" s="36"/>
      <c r="X1021" s="5"/>
      <c r="Y1021" s="182"/>
      <c r="Z1021" s="5"/>
      <c r="AA1021" s="27">
        <v>38540</v>
      </c>
      <c r="AB1021" s="295" t="s">
        <v>1259</v>
      </c>
      <c r="AC1021" s="296"/>
    </row>
    <row r="1022" spans="1:30" s="9" customFormat="1" x14ac:dyDescent="0.2">
      <c r="A1022" s="28"/>
      <c r="B1022" s="16"/>
      <c r="C1022" s="16"/>
      <c r="D1022" s="7"/>
      <c r="E1022" s="7"/>
      <c r="F1022" s="6"/>
      <c r="G1022" s="6"/>
      <c r="H1022" s="17"/>
      <c r="I1022" s="17"/>
      <c r="J1022" s="7"/>
      <c r="K1022" s="7"/>
      <c r="L1022" s="23"/>
      <c r="M1022" s="6"/>
      <c r="N1022" s="6"/>
      <c r="O1022" s="6"/>
      <c r="P1022" s="6"/>
      <c r="Q1022" s="6"/>
      <c r="R1022" s="6"/>
      <c r="S1022" s="91" t="s">
        <v>1149</v>
      </c>
      <c r="T1022" s="91"/>
      <c r="U1022" s="7"/>
      <c r="V1022" s="138"/>
      <c r="W1022" s="47"/>
      <c r="X1022" s="12"/>
      <c r="Y1022" s="177"/>
      <c r="Z1022" s="6"/>
      <c r="AA1022" s="6"/>
      <c r="AB1022" s="6"/>
      <c r="AC1022" s="6"/>
    </row>
    <row r="1023" spans="1:30" s="9" customFormat="1" x14ac:dyDescent="0.2">
      <c r="A1023" s="28"/>
      <c r="B1023" s="16" t="s">
        <v>36</v>
      </c>
      <c r="C1023" s="16" t="s">
        <v>133</v>
      </c>
      <c r="D1023" s="7" t="s">
        <v>1221</v>
      </c>
      <c r="E1023" s="7"/>
      <c r="F1023" s="6" t="s">
        <v>1222</v>
      </c>
      <c r="G1023" s="6" t="s">
        <v>1192</v>
      </c>
      <c r="H1023" s="17">
        <v>2289.17</v>
      </c>
      <c r="I1023" s="39" t="s">
        <v>52</v>
      </c>
      <c r="J1023" s="7">
        <v>38124</v>
      </c>
      <c r="K1023" s="7"/>
      <c r="L1023" s="23">
        <f>+J1023+90</f>
        <v>38214</v>
      </c>
      <c r="M1023" s="18" t="s">
        <v>41</v>
      </c>
      <c r="N1023" s="6" t="s">
        <v>42</v>
      </c>
      <c r="O1023" s="7">
        <v>38153</v>
      </c>
      <c r="P1023" s="331">
        <f>IF(S1023="","",+S1023-L1023)</f>
        <v>-48</v>
      </c>
      <c r="Q1023" s="331"/>
      <c r="R1023" s="331"/>
      <c r="S1023" s="23">
        <v>38166</v>
      </c>
      <c r="T1023" s="23">
        <v>38175</v>
      </c>
      <c r="U1023" s="23"/>
      <c r="V1023" s="6" t="s">
        <v>1254</v>
      </c>
      <c r="W1023" s="47">
        <v>998</v>
      </c>
      <c r="X1023" s="6" t="s">
        <v>47</v>
      </c>
      <c r="Y1023" s="177"/>
      <c r="Z1023" s="6">
        <v>6642683342</v>
      </c>
      <c r="AA1023" s="6" t="s">
        <v>47</v>
      </c>
      <c r="AB1023" s="6" t="s">
        <v>47</v>
      </c>
      <c r="AC1023" s="507"/>
      <c r="AD1023" s="10" t="str">
        <f>IF(S1023&lt;=L1023,"en término","atrasado")</f>
        <v>en término</v>
      </c>
    </row>
    <row r="1024" spans="1:30" s="9" customFormat="1" ht="12" thickBot="1" x14ac:dyDescent="0.25">
      <c r="A1024" s="28"/>
      <c r="B1024" s="19"/>
      <c r="C1024" s="19"/>
      <c r="D1024" s="5"/>
      <c r="E1024" s="5"/>
      <c r="F1024" s="5" t="s">
        <v>1264</v>
      </c>
      <c r="G1024" s="5"/>
      <c r="H1024" s="105"/>
      <c r="I1024" s="21"/>
      <c r="J1024" s="27"/>
      <c r="K1024" s="27"/>
      <c r="L1024" s="27"/>
      <c r="M1024" s="5"/>
      <c r="N1024" s="5"/>
      <c r="O1024" s="27"/>
      <c r="P1024" s="27"/>
      <c r="Q1024" s="27"/>
      <c r="R1024" s="27"/>
      <c r="S1024" s="27"/>
      <c r="T1024" s="5"/>
      <c r="U1024" s="5"/>
      <c r="V1024" s="224"/>
      <c r="W1024" s="36"/>
      <c r="X1024" s="5"/>
      <c r="Y1024" s="182"/>
      <c r="Z1024" s="5"/>
      <c r="AA1024" s="27">
        <v>38540</v>
      </c>
      <c r="AB1024" s="295" t="s">
        <v>1259</v>
      </c>
      <c r="AC1024" s="296"/>
    </row>
    <row r="1025" spans="1:30" s="9" customFormat="1" x14ac:dyDescent="0.2">
      <c r="A1025" s="28"/>
      <c r="B1025" s="16"/>
      <c r="C1025" s="16"/>
      <c r="D1025" s="7"/>
      <c r="E1025" s="7"/>
      <c r="F1025" s="6"/>
      <c r="G1025" s="6"/>
      <c r="H1025" s="17"/>
      <c r="I1025" s="17"/>
      <c r="J1025" s="7"/>
      <c r="K1025" s="7"/>
      <c r="L1025" s="23"/>
      <c r="M1025" s="6"/>
      <c r="N1025" s="6"/>
      <c r="O1025" s="6"/>
      <c r="P1025" s="6"/>
      <c r="Q1025" s="6"/>
      <c r="R1025" s="6"/>
      <c r="S1025" s="91" t="s">
        <v>1149</v>
      </c>
      <c r="T1025" s="91"/>
      <c r="U1025" s="7"/>
      <c r="V1025" s="138"/>
      <c r="W1025" s="47"/>
      <c r="X1025" s="12"/>
      <c r="Y1025" s="177"/>
      <c r="Z1025" s="6"/>
      <c r="AA1025" s="6"/>
      <c r="AB1025" s="6"/>
      <c r="AC1025" s="6"/>
    </row>
    <row r="1026" spans="1:30" s="9" customFormat="1" x14ac:dyDescent="0.2">
      <c r="A1026" s="28"/>
      <c r="B1026" s="16" t="s">
        <v>36</v>
      </c>
      <c r="C1026" s="16" t="s">
        <v>133</v>
      </c>
      <c r="D1026" s="7" t="s">
        <v>1221</v>
      </c>
      <c r="E1026" s="7"/>
      <c r="F1026" s="6" t="s">
        <v>1222</v>
      </c>
      <c r="G1026" s="6" t="s">
        <v>1192</v>
      </c>
      <c r="H1026" s="17">
        <v>1286.6600000000001</v>
      </c>
      <c r="I1026" s="39" t="s">
        <v>52</v>
      </c>
      <c r="J1026" s="7">
        <v>38142</v>
      </c>
      <c r="K1026" s="7"/>
      <c r="L1026" s="23">
        <f>+J1026+30</f>
        <v>38172</v>
      </c>
      <c r="M1026" s="18" t="s">
        <v>41</v>
      </c>
      <c r="N1026" s="6" t="s">
        <v>42</v>
      </c>
      <c r="O1026" s="7">
        <v>38153</v>
      </c>
      <c r="P1026" s="331">
        <f>IF(S1026="","",+S1026-L1026)</f>
        <v>-6</v>
      </c>
      <c r="Q1026" s="331"/>
      <c r="R1026" s="331"/>
      <c r="S1026" s="23">
        <v>38166</v>
      </c>
      <c r="T1026" s="23">
        <v>38175</v>
      </c>
      <c r="U1026" s="23"/>
      <c r="V1026" s="6" t="s">
        <v>1254</v>
      </c>
      <c r="W1026" s="47">
        <v>999</v>
      </c>
      <c r="X1026" s="6" t="s">
        <v>47</v>
      </c>
      <c r="Y1026" s="177"/>
      <c r="Z1026" s="6">
        <v>6642683342</v>
      </c>
      <c r="AA1026" s="6" t="s">
        <v>47</v>
      </c>
      <c r="AB1026" s="6" t="s">
        <v>47</v>
      </c>
      <c r="AC1026" s="507"/>
      <c r="AD1026" s="10" t="str">
        <f>IF(S1026&lt;=L1026,"en término","atrasado")</f>
        <v>en término</v>
      </c>
    </row>
    <row r="1027" spans="1:30" s="9" customFormat="1" ht="12" thickBot="1" x14ac:dyDescent="0.25">
      <c r="A1027" s="28"/>
      <c r="B1027" s="19"/>
      <c r="C1027" s="19"/>
      <c r="D1027" s="5"/>
      <c r="E1027" s="5"/>
      <c r="F1027" s="5" t="s">
        <v>1265</v>
      </c>
      <c r="G1027" s="5"/>
      <c r="H1027" s="105"/>
      <c r="I1027" s="21"/>
      <c r="J1027" s="27"/>
      <c r="K1027" s="27"/>
      <c r="L1027" s="27"/>
      <c r="M1027" s="5"/>
      <c r="N1027" s="5"/>
      <c r="O1027" s="27"/>
      <c r="P1027" s="27"/>
      <c r="Q1027" s="27"/>
      <c r="R1027" s="27"/>
      <c r="S1027" s="27"/>
      <c r="T1027" s="5"/>
      <c r="U1027" s="5"/>
      <c r="V1027" s="224"/>
      <c r="W1027" s="36"/>
      <c r="X1027" s="5"/>
      <c r="Y1027" s="182"/>
      <c r="Z1027" s="5"/>
      <c r="AA1027" s="27">
        <v>38540</v>
      </c>
      <c r="AB1027" s="27"/>
      <c r="AC1027" s="5"/>
    </row>
    <row r="1028" spans="1:30" s="9" customFormat="1" x14ac:dyDescent="0.2">
      <c r="A1028" s="28"/>
      <c r="B1028" s="16"/>
      <c r="C1028" s="16"/>
      <c r="D1028" s="7"/>
      <c r="E1028" s="7"/>
      <c r="F1028" s="6"/>
      <c r="G1028" s="6"/>
      <c r="H1028" s="17"/>
      <c r="I1028" s="17"/>
      <c r="J1028" s="7"/>
      <c r="K1028" s="7"/>
      <c r="L1028" s="23"/>
      <c r="M1028" s="6"/>
      <c r="N1028" s="6"/>
      <c r="O1028" s="6"/>
      <c r="P1028" s="6"/>
      <c r="Q1028" s="6"/>
      <c r="R1028" s="6"/>
      <c r="S1028" s="91" t="s">
        <v>1266</v>
      </c>
      <c r="T1028" s="91"/>
      <c r="U1028" s="7"/>
      <c r="V1028" s="138"/>
      <c r="W1028" s="47"/>
      <c r="X1028" s="12"/>
      <c r="Y1028" s="177"/>
      <c r="Z1028" s="6"/>
      <c r="AA1028" s="6"/>
      <c r="AB1028" s="6"/>
      <c r="AC1028" s="6"/>
    </row>
    <row r="1029" spans="1:30" s="9" customFormat="1" x14ac:dyDescent="0.2">
      <c r="A1029" s="28"/>
      <c r="B1029" s="16" t="s">
        <v>36</v>
      </c>
      <c r="C1029" s="16" t="s">
        <v>133</v>
      </c>
      <c r="D1029" s="7" t="s">
        <v>1221</v>
      </c>
      <c r="E1029" s="7"/>
      <c r="F1029" s="6" t="s">
        <v>1222</v>
      </c>
      <c r="G1029" s="6" t="s">
        <v>1192</v>
      </c>
      <c r="H1029" s="17">
        <v>70326.53</v>
      </c>
      <c r="I1029" s="39" t="s">
        <v>40</v>
      </c>
      <c r="J1029" s="7">
        <v>38100</v>
      </c>
      <c r="K1029" s="7"/>
      <c r="L1029" s="23">
        <f>+J1029+90</f>
        <v>38190</v>
      </c>
      <c r="M1029" s="18" t="s">
        <v>41</v>
      </c>
      <c r="N1029" s="6" t="s">
        <v>42</v>
      </c>
      <c r="O1029" s="7">
        <v>38181</v>
      </c>
      <c r="P1029" s="331">
        <f>IF(S1029="","",+S1029-L1029)</f>
        <v>-6</v>
      </c>
      <c r="Q1029" s="331"/>
      <c r="R1029" s="331"/>
      <c r="S1029" s="23">
        <v>38184</v>
      </c>
      <c r="T1029" s="23">
        <v>38193</v>
      </c>
      <c r="U1029" s="23"/>
      <c r="V1029" s="6" t="s">
        <v>1267</v>
      </c>
      <c r="W1029" s="47">
        <v>1015</v>
      </c>
      <c r="X1029" s="6" t="s">
        <v>47</v>
      </c>
      <c r="Y1029" s="177"/>
      <c r="Z1029" s="6">
        <v>6657506273</v>
      </c>
      <c r="AA1029" s="6" t="s">
        <v>47</v>
      </c>
      <c r="AB1029" s="6" t="s">
        <v>47</v>
      </c>
      <c r="AC1029" s="507"/>
      <c r="AD1029" s="10" t="str">
        <f>IF(S1029&lt;=L1029,"en término","atrasado")</f>
        <v>en término</v>
      </c>
    </row>
    <row r="1030" spans="1:30" s="9" customFormat="1" ht="12" thickBot="1" x14ac:dyDescent="0.25">
      <c r="A1030" s="28"/>
      <c r="B1030" s="19"/>
      <c r="C1030" s="19"/>
      <c r="D1030" s="5"/>
      <c r="E1030" s="5"/>
      <c r="F1030" s="5" t="s">
        <v>1268</v>
      </c>
      <c r="G1030" s="5"/>
      <c r="H1030" s="105"/>
      <c r="I1030" s="21"/>
      <c r="J1030" s="27"/>
      <c r="K1030" s="27"/>
      <c r="L1030" s="27"/>
      <c r="M1030" s="5"/>
      <c r="N1030" s="5"/>
      <c r="O1030" s="27"/>
      <c r="P1030" s="27"/>
      <c r="Q1030" s="27"/>
      <c r="R1030" s="27"/>
      <c r="S1030" s="27"/>
      <c r="T1030" s="5"/>
      <c r="U1030" s="5"/>
      <c r="V1030" s="224"/>
      <c r="W1030" s="36"/>
      <c r="X1030" s="5"/>
      <c r="Y1030" s="182"/>
      <c r="Z1030" s="5"/>
      <c r="AA1030" s="27">
        <v>38572</v>
      </c>
      <c r="AB1030" s="27"/>
      <c r="AC1030" s="5"/>
    </row>
    <row r="1031" spans="1:30" s="9" customFormat="1" x14ac:dyDescent="0.2">
      <c r="A1031" s="28"/>
      <c r="B1031" s="16"/>
      <c r="C1031" s="16"/>
      <c r="D1031" s="7"/>
      <c r="E1031" s="7"/>
      <c r="F1031" s="6"/>
      <c r="G1031" s="6"/>
      <c r="H1031" s="17"/>
      <c r="I1031" s="17"/>
      <c r="J1031" s="7"/>
      <c r="K1031" s="7"/>
      <c r="L1031" s="23"/>
      <c r="M1031" s="6"/>
      <c r="N1031" s="6"/>
      <c r="O1031" s="6"/>
      <c r="P1031" s="6"/>
      <c r="Q1031" s="6"/>
      <c r="R1031" s="6"/>
      <c r="S1031" s="91" t="s">
        <v>1266</v>
      </c>
      <c r="T1031" s="91"/>
      <c r="U1031" s="7"/>
      <c r="V1031" s="138"/>
      <c r="W1031" s="47"/>
      <c r="X1031" s="12"/>
      <c r="Y1031" s="177"/>
      <c r="Z1031" s="6"/>
      <c r="AA1031" s="6"/>
      <c r="AB1031" s="6"/>
      <c r="AC1031" s="6"/>
    </row>
    <row r="1032" spans="1:30" s="9" customFormat="1" x14ac:dyDescent="0.2">
      <c r="A1032" s="28"/>
      <c r="B1032" s="16" t="s">
        <v>36</v>
      </c>
      <c r="C1032" s="16" t="s">
        <v>133</v>
      </c>
      <c r="D1032" s="7" t="s">
        <v>1221</v>
      </c>
      <c r="E1032" s="7"/>
      <c r="F1032" s="6" t="s">
        <v>1222</v>
      </c>
      <c r="G1032" s="6" t="s">
        <v>1192</v>
      </c>
      <c r="H1032" s="17">
        <v>17671.59</v>
      </c>
      <c r="I1032" s="39" t="s">
        <v>40</v>
      </c>
      <c r="J1032" s="7">
        <v>38117</v>
      </c>
      <c r="K1032" s="7"/>
      <c r="L1032" s="23">
        <f>+J1032+90</f>
        <v>38207</v>
      </c>
      <c r="M1032" s="18" t="s">
        <v>41</v>
      </c>
      <c r="N1032" s="6" t="s">
        <v>42</v>
      </c>
      <c r="O1032" s="7">
        <v>38181</v>
      </c>
      <c r="P1032" s="331">
        <f>IF(S1032="","",+S1032-L1032)</f>
        <v>-23</v>
      </c>
      <c r="Q1032" s="331"/>
      <c r="R1032" s="331"/>
      <c r="S1032" s="23">
        <v>38184</v>
      </c>
      <c r="T1032" s="23">
        <v>38193</v>
      </c>
      <c r="U1032" s="23"/>
      <c r="V1032" s="6" t="s">
        <v>1269</v>
      </c>
      <c r="W1032" s="47">
        <v>1016</v>
      </c>
      <c r="X1032" s="6" t="s">
        <v>47</v>
      </c>
      <c r="Y1032" s="177"/>
      <c r="Z1032" s="6">
        <v>6657506273</v>
      </c>
      <c r="AA1032" s="6" t="s">
        <v>47</v>
      </c>
      <c r="AB1032" s="6" t="s">
        <v>47</v>
      </c>
      <c r="AC1032" s="507"/>
      <c r="AD1032" s="10" t="str">
        <f>IF(S1032&lt;=L1032,"en término","atrasado")</f>
        <v>en término</v>
      </c>
    </row>
    <row r="1033" spans="1:30" s="9" customFormat="1" ht="12" thickBot="1" x14ac:dyDescent="0.25">
      <c r="A1033" s="28"/>
      <c r="B1033" s="19"/>
      <c r="C1033" s="19"/>
      <c r="D1033" s="5"/>
      <c r="E1033" s="5"/>
      <c r="F1033" s="5" t="s">
        <v>1270</v>
      </c>
      <c r="G1033" s="5"/>
      <c r="H1033" s="105"/>
      <c r="I1033" s="21"/>
      <c r="J1033" s="27"/>
      <c r="K1033" s="27"/>
      <c r="L1033" s="27"/>
      <c r="M1033" s="5"/>
      <c r="N1033" s="5"/>
      <c r="O1033" s="27"/>
      <c r="P1033" s="27"/>
      <c r="Q1033" s="27"/>
      <c r="R1033" s="27"/>
      <c r="S1033" s="27"/>
      <c r="T1033" s="5"/>
      <c r="U1033" s="5"/>
      <c r="V1033" s="224"/>
      <c r="W1033" s="36"/>
      <c r="X1033" s="5"/>
      <c r="Y1033" s="182"/>
      <c r="Z1033" s="5"/>
      <c r="AA1033" s="27">
        <v>38572</v>
      </c>
      <c r="AB1033" s="27"/>
      <c r="AC1033" s="5"/>
    </row>
    <row r="1034" spans="1:30" s="9" customFormat="1" x14ac:dyDescent="0.2">
      <c r="A1034" s="28"/>
      <c r="B1034" s="16"/>
      <c r="C1034" s="16"/>
      <c r="D1034" s="7"/>
      <c r="E1034" s="7"/>
      <c r="F1034" s="6"/>
      <c r="G1034" s="6"/>
      <c r="H1034" s="17"/>
      <c r="I1034" s="17"/>
      <c r="J1034" s="7"/>
      <c r="K1034" s="7"/>
      <c r="L1034" s="23"/>
      <c r="M1034" s="6"/>
      <c r="N1034" s="6"/>
      <c r="O1034" s="6"/>
      <c r="P1034" s="6"/>
      <c r="Q1034" s="6"/>
      <c r="R1034" s="6"/>
      <c r="S1034" s="91" t="s">
        <v>1266</v>
      </c>
      <c r="T1034" s="91"/>
      <c r="U1034" s="7"/>
      <c r="V1034" s="138"/>
      <c r="W1034" s="47"/>
      <c r="X1034" s="12"/>
      <c r="Y1034" s="177"/>
      <c r="Z1034" s="6"/>
      <c r="AA1034" s="6"/>
      <c r="AB1034" s="6"/>
      <c r="AC1034" s="6"/>
    </row>
    <row r="1035" spans="1:30" s="9" customFormat="1" x14ac:dyDescent="0.2">
      <c r="A1035" s="28"/>
      <c r="B1035" s="16" t="s">
        <v>36</v>
      </c>
      <c r="C1035" s="16" t="s">
        <v>133</v>
      </c>
      <c r="D1035" s="7" t="s">
        <v>1221</v>
      </c>
      <c r="E1035" s="7"/>
      <c r="F1035" s="6" t="s">
        <v>1222</v>
      </c>
      <c r="G1035" s="6" t="s">
        <v>1192</v>
      </c>
      <c r="H1035" s="17">
        <v>19020.27</v>
      </c>
      <c r="I1035" s="39" t="s">
        <v>40</v>
      </c>
      <c r="J1035" s="7">
        <v>38125</v>
      </c>
      <c r="K1035" s="7"/>
      <c r="L1035" s="23">
        <f>+J1035+90</f>
        <v>38215</v>
      </c>
      <c r="M1035" s="18" t="s">
        <v>41</v>
      </c>
      <c r="N1035" s="6" t="s">
        <v>42</v>
      </c>
      <c r="O1035" s="7">
        <v>38181</v>
      </c>
      <c r="P1035" s="331">
        <f>IF(S1035="","",+S1035-L1035)</f>
        <v>-31</v>
      </c>
      <c r="Q1035" s="331"/>
      <c r="R1035" s="331"/>
      <c r="S1035" s="23">
        <v>38184</v>
      </c>
      <c r="T1035" s="23">
        <v>38193</v>
      </c>
      <c r="U1035" s="23"/>
      <c r="V1035" s="6" t="s">
        <v>892</v>
      </c>
      <c r="W1035" s="47">
        <v>1017</v>
      </c>
      <c r="X1035" s="6" t="s">
        <v>47</v>
      </c>
      <c r="Y1035" s="177"/>
      <c r="Z1035" s="6">
        <v>6657506273</v>
      </c>
      <c r="AA1035" s="6" t="s">
        <v>47</v>
      </c>
      <c r="AB1035" s="6" t="s">
        <v>47</v>
      </c>
      <c r="AC1035" s="507"/>
      <c r="AD1035" s="10" t="str">
        <f>IF(S1035&lt;=L1035,"en término","atrasado")</f>
        <v>en término</v>
      </c>
    </row>
    <row r="1036" spans="1:30" s="9" customFormat="1" ht="12" thickBot="1" x14ac:dyDescent="0.25">
      <c r="A1036" s="28"/>
      <c r="B1036" s="19"/>
      <c r="C1036" s="19"/>
      <c r="D1036" s="5"/>
      <c r="E1036" s="5"/>
      <c r="F1036" s="5" t="s">
        <v>1271</v>
      </c>
      <c r="G1036" s="5"/>
      <c r="H1036" s="105"/>
      <c r="I1036" s="21"/>
      <c r="J1036" s="27"/>
      <c r="K1036" s="27"/>
      <c r="L1036" s="27"/>
      <c r="M1036" s="5"/>
      <c r="N1036" s="5"/>
      <c r="O1036" s="27"/>
      <c r="P1036" s="27"/>
      <c r="Q1036" s="27"/>
      <c r="R1036" s="27"/>
      <c r="S1036" s="27"/>
      <c r="T1036" s="5"/>
      <c r="U1036" s="5"/>
      <c r="V1036" s="224"/>
      <c r="W1036" s="36"/>
      <c r="X1036" s="5"/>
      <c r="Y1036" s="182"/>
      <c r="Z1036" s="5"/>
      <c r="AA1036" s="27">
        <v>38572</v>
      </c>
      <c r="AB1036" s="27"/>
      <c r="AC1036" s="5"/>
    </row>
    <row r="1037" spans="1:30" s="9" customFormat="1" x14ac:dyDescent="0.2">
      <c r="A1037" s="28"/>
      <c r="B1037" s="16"/>
      <c r="C1037" s="16"/>
      <c r="D1037" s="7"/>
      <c r="E1037" s="7"/>
      <c r="F1037" s="6"/>
      <c r="G1037" s="6"/>
      <c r="H1037" s="17"/>
      <c r="I1037" s="17"/>
      <c r="J1037" s="7"/>
      <c r="K1037" s="7"/>
      <c r="L1037" s="23"/>
      <c r="M1037" s="6"/>
      <c r="N1037" s="6"/>
      <c r="O1037" s="6"/>
      <c r="P1037" s="6"/>
      <c r="Q1037" s="6"/>
      <c r="R1037" s="6"/>
      <c r="S1037" s="91" t="s">
        <v>1266</v>
      </c>
      <c r="T1037" s="91"/>
      <c r="U1037" s="7"/>
      <c r="V1037" s="138" t="s">
        <v>1272</v>
      </c>
      <c r="W1037" s="47"/>
      <c r="X1037" s="12"/>
      <c r="Y1037" s="177"/>
      <c r="Z1037" s="6"/>
      <c r="AA1037" s="6"/>
      <c r="AB1037" s="6"/>
      <c r="AC1037" s="6"/>
    </row>
    <row r="1038" spans="1:30" s="9" customFormat="1" x14ac:dyDescent="0.2">
      <c r="A1038" s="28"/>
      <c r="B1038" s="16" t="s">
        <v>36</v>
      </c>
      <c r="C1038" s="16" t="s">
        <v>133</v>
      </c>
      <c r="D1038" s="7" t="s">
        <v>1221</v>
      </c>
      <c r="E1038" s="7"/>
      <c r="F1038" s="6" t="s">
        <v>1222</v>
      </c>
      <c r="G1038" s="6" t="s">
        <v>1192</v>
      </c>
      <c r="H1038" s="17">
        <v>68376.850000000006</v>
      </c>
      <c r="I1038" s="39" t="s">
        <v>62</v>
      </c>
      <c r="J1038" s="7">
        <v>38127</v>
      </c>
      <c r="K1038" s="7"/>
      <c r="L1038" s="23">
        <f>+J1038+90</f>
        <v>38217</v>
      </c>
      <c r="M1038" s="18" t="s">
        <v>41</v>
      </c>
      <c r="N1038" s="6" t="s">
        <v>42</v>
      </c>
      <c r="O1038" s="7">
        <v>38181</v>
      </c>
      <c r="P1038" s="331">
        <f>IF(S1038="","",+S1038-L1038)</f>
        <v>-33</v>
      </c>
      <c r="Q1038" s="331"/>
      <c r="R1038" s="331"/>
      <c r="S1038" s="23">
        <v>38184</v>
      </c>
      <c r="T1038" s="23">
        <v>38193</v>
      </c>
      <c r="U1038" s="23"/>
      <c r="V1038" s="6" t="s">
        <v>1273</v>
      </c>
      <c r="W1038" s="47">
        <v>1013</v>
      </c>
      <c r="X1038" s="6" t="s">
        <v>47</v>
      </c>
      <c r="Y1038" s="177"/>
      <c r="Z1038" s="6">
        <v>6657506273</v>
      </c>
      <c r="AA1038" s="6" t="s">
        <v>47</v>
      </c>
      <c r="AB1038" s="6" t="s">
        <v>47</v>
      </c>
      <c r="AC1038" s="507"/>
      <c r="AD1038" s="10" t="str">
        <f>IF(S1038&lt;=L1038,"en término","atrasado")</f>
        <v>en término</v>
      </c>
    </row>
    <row r="1039" spans="1:30" s="9" customFormat="1" ht="12" thickBot="1" x14ac:dyDescent="0.25">
      <c r="A1039" s="28"/>
      <c r="B1039" s="19"/>
      <c r="C1039" s="19"/>
      <c r="D1039" s="5"/>
      <c r="E1039" s="5"/>
      <c r="F1039" s="5" t="s">
        <v>1274</v>
      </c>
      <c r="G1039" s="5"/>
      <c r="H1039" s="105"/>
      <c r="I1039" s="21"/>
      <c r="J1039" s="27"/>
      <c r="K1039" s="27"/>
      <c r="L1039" s="27"/>
      <c r="M1039" s="5"/>
      <c r="N1039" s="5"/>
      <c r="O1039" s="27"/>
      <c r="P1039" s="27"/>
      <c r="Q1039" s="27"/>
      <c r="R1039" s="27"/>
      <c r="S1039" s="27"/>
      <c r="T1039" s="5"/>
      <c r="U1039" s="5"/>
      <c r="V1039" s="224" t="s">
        <v>1275</v>
      </c>
      <c r="W1039" s="36"/>
      <c r="X1039" s="5"/>
      <c r="Y1039" s="182"/>
      <c r="Z1039" s="5"/>
      <c r="AA1039" s="27">
        <v>38572</v>
      </c>
      <c r="AB1039" s="27"/>
      <c r="AC1039" s="5"/>
    </row>
    <row r="1040" spans="1:30" s="9" customFormat="1" x14ac:dyDescent="0.2">
      <c r="A1040" s="28"/>
      <c r="B1040" s="16"/>
      <c r="C1040" s="16"/>
      <c r="D1040" s="7"/>
      <c r="E1040" s="7"/>
      <c r="F1040" s="6"/>
      <c r="G1040" s="6"/>
      <c r="H1040" s="17"/>
      <c r="I1040" s="17"/>
      <c r="J1040" s="7"/>
      <c r="K1040" s="7"/>
      <c r="L1040" s="23"/>
      <c r="M1040" s="6"/>
      <c r="N1040" s="6"/>
      <c r="O1040" s="6"/>
      <c r="P1040" s="6"/>
      <c r="Q1040" s="6"/>
      <c r="R1040" s="6"/>
      <c r="S1040" s="91" t="s">
        <v>1266</v>
      </c>
      <c r="T1040" s="91"/>
      <c r="U1040" s="7"/>
      <c r="V1040" s="138"/>
      <c r="W1040" s="47"/>
      <c r="X1040" s="12"/>
      <c r="Y1040" s="177"/>
      <c r="Z1040" s="6"/>
      <c r="AA1040" s="6"/>
      <c r="AB1040" s="6"/>
      <c r="AC1040" s="6"/>
    </row>
    <row r="1041" spans="1:30" s="9" customFormat="1" x14ac:dyDescent="0.2">
      <c r="A1041" s="28"/>
      <c r="B1041" s="16" t="s">
        <v>36</v>
      </c>
      <c r="C1041" s="16" t="s">
        <v>133</v>
      </c>
      <c r="D1041" s="7" t="s">
        <v>1221</v>
      </c>
      <c r="E1041" s="7"/>
      <c r="F1041" s="6" t="s">
        <v>1222</v>
      </c>
      <c r="G1041" s="6" t="s">
        <v>1192</v>
      </c>
      <c r="H1041" s="17">
        <v>16646.419999999998</v>
      </c>
      <c r="I1041" s="39" t="s">
        <v>142</v>
      </c>
      <c r="J1041" s="7">
        <v>38135</v>
      </c>
      <c r="K1041" s="7"/>
      <c r="L1041" s="23">
        <f>+J1041+90</f>
        <v>38225</v>
      </c>
      <c r="M1041" s="18" t="s">
        <v>41</v>
      </c>
      <c r="N1041" s="6" t="s">
        <v>42</v>
      </c>
      <c r="O1041" s="7">
        <v>38181</v>
      </c>
      <c r="P1041" s="331">
        <f>IF(S1041="","",+S1041-L1041)</f>
        <v>-41</v>
      </c>
      <c r="Q1041" s="331"/>
      <c r="R1041" s="331"/>
      <c r="S1041" s="23">
        <v>38184</v>
      </c>
      <c r="T1041" s="23">
        <v>38193</v>
      </c>
      <c r="U1041" s="23"/>
      <c r="V1041" s="6" t="s">
        <v>1087</v>
      </c>
      <c r="W1041" s="47">
        <v>1014</v>
      </c>
      <c r="X1041" s="6" t="s">
        <v>47</v>
      </c>
      <c r="Y1041" s="177"/>
      <c r="Z1041" s="6">
        <v>6657506273</v>
      </c>
      <c r="AA1041" s="6" t="s">
        <v>47</v>
      </c>
      <c r="AB1041" s="6" t="s">
        <v>47</v>
      </c>
      <c r="AC1041" s="507"/>
      <c r="AD1041" s="10" t="str">
        <f>IF(S1041&lt;=L1041,"en término","atrasado")</f>
        <v>en término</v>
      </c>
    </row>
    <row r="1042" spans="1:30" s="9" customFormat="1" ht="12" thickBot="1" x14ac:dyDescent="0.25">
      <c r="A1042" s="28"/>
      <c r="B1042" s="19"/>
      <c r="C1042" s="19"/>
      <c r="D1042" s="5"/>
      <c r="E1042" s="5"/>
      <c r="F1042" s="5" t="s">
        <v>1276</v>
      </c>
      <c r="G1042" s="5"/>
      <c r="H1042" s="105"/>
      <c r="I1042" s="21"/>
      <c r="J1042" s="27"/>
      <c r="K1042" s="27"/>
      <c r="L1042" s="27"/>
      <c r="M1042" s="5"/>
      <c r="N1042" s="5"/>
      <c r="O1042" s="27"/>
      <c r="P1042" s="27"/>
      <c r="Q1042" s="27"/>
      <c r="R1042" s="27"/>
      <c r="S1042" s="27"/>
      <c r="T1042" s="5"/>
      <c r="U1042" s="5"/>
      <c r="V1042" s="224"/>
      <c r="W1042" s="36"/>
      <c r="X1042" s="5"/>
      <c r="Y1042" s="182"/>
      <c r="Z1042" s="5"/>
      <c r="AA1042" s="27">
        <v>38572</v>
      </c>
      <c r="AB1042" s="27"/>
      <c r="AC1042" s="5"/>
    </row>
    <row r="1043" spans="1:30" s="9" customFormat="1" x14ac:dyDescent="0.2">
      <c r="A1043" s="28"/>
      <c r="B1043" s="16"/>
      <c r="C1043" s="16"/>
      <c r="D1043" s="7"/>
      <c r="E1043" s="7"/>
      <c r="F1043" s="6"/>
      <c r="G1043" s="6"/>
      <c r="H1043" s="17"/>
      <c r="I1043" s="17"/>
      <c r="J1043" s="7"/>
      <c r="K1043" s="7"/>
      <c r="L1043" s="23"/>
      <c r="M1043" s="6"/>
      <c r="N1043" s="6"/>
      <c r="O1043" s="6"/>
      <c r="P1043" s="6"/>
      <c r="Q1043" s="6"/>
      <c r="R1043" s="6"/>
      <c r="S1043" s="91" t="s">
        <v>1266</v>
      </c>
      <c r="T1043" s="91"/>
      <c r="U1043" s="7"/>
      <c r="V1043" s="138"/>
      <c r="W1043" s="47"/>
      <c r="X1043" s="12"/>
      <c r="Y1043" s="177"/>
      <c r="Z1043" s="6"/>
      <c r="AA1043" s="6"/>
      <c r="AB1043" s="6"/>
      <c r="AC1043" s="6"/>
    </row>
    <row r="1044" spans="1:30" s="9" customFormat="1" x14ac:dyDescent="0.2">
      <c r="A1044" s="28"/>
      <c r="B1044" s="16" t="s">
        <v>36</v>
      </c>
      <c r="C1044" s="16" t="s">
        <v>133</v>
      </c>
      <c r="D1044" s="7" t="s">
        <v>1221</v>
      </c>
      <c r="E1044" s="7"/>
      <c r="F1044" s="6" t="s">
        <v>1222</v>
      </c>
      <c r="G1044" s="6" t="s">
        <v>1192</v>
      </c>
      <c r="H1044" s="17">
        <v>46941.93</v>
      </c>
      <c r="I1044" s="39" t="s">
        <v>52</v>
      </c>
      <c r="J1044" s="7">
        <v>38145</v>
      </c>
      <c r="K1044" s="7"/>
      <c r="L1044" s="23">
        <f>+J1044+90</f>
        <v>38235</v>
      </c>
      <c r="M1044" s="18" t="s">
        <v>41</v>
      </c>
      <c r="N1044" s="6" t="s">
        <v>42</v>
      </c>
      <c r="O1044" s="7">
        <v>38181</v>
      </c>
      <c r="P1044" s="331">
        <f>IF(S1044="","",+S1044-L1044)</f>
        <v>-51</v>
      </c>
      <c r="Q1044" s="331"/>
      <c r="R1044" s="331"/>
      <c r="S1044" s="23">
        <v>38184</v>
      </c>
      <c r="T1044" s="23">
        <v>38193</v>
      </c>
      <c r="U1044" s="23"/>
      <c r="V1044" s="6" t="s">
        <v>784</v>
      </c>
      <c r="W1044" s="47">
        <v>1019</v>
      </c>
      <c r="X1044" s="6" t="s">
        <v>47</v>
      </c>
      <c r="Y1044" s="177"/>
      <c r="Z1044" s="6">
        <v>6657506273</v>
      </c>
      <c r="AA1044" s="6" t="s">
        <v>47</v>
      </c>
      <c r="AB1044" s="6" t="s">
        <v>47</v>
      </c>
      <c r="AC1044" s="507"/>
      <c r="AD1044" s="10" t="str">
        <f>IF(S1044&lt;=L1044,"en término","atrasado")</f>
        <v>en término</v>
      </c>
    </row>
    <row r="1045" spans="1:30" s="9" customFormat="1" ht="12" thickBot="1" x14ac:dyDescent="0.25">
      <c r="A1045" s="28"/>
      <c r="B1045" s="19"/>
      <c r="C1045" s="19"/>
      <c r="D1045" s="5"/>
      <c r="E1045" s="5"/>
      <c r="F1045" s="5" t="s">
        <v>1277</v>
      </c>
      <c r="G1045" s="5"/>
      <c r="H1045" s="105"/>
      <c r="I1045" s="21"/>
      <c r="J1045" s="27"/>
      <c r="K1045" s="27"/>
      <c r="L1045" s="27"/>
      <c r="M1045" s="5"/>
      <c r="N1045" s="5"/>
      <c r="O1045" s="27"/>
      <c r="P1045" s="27"/>
      <c r="Q1045" s="27"/>
      <c r="R1045" s="27"/>
      <c r="S1045" s="27"/>
      <c r="T1045" s="5"/>
      <c r="U1045" s="5"/>
      <c r="V1045" s="224"/>
      <c r="W1045" s="36"/>
      <c r="X1045" s="5"/>
      <c r="Y1045" s="182"/>
      <c r="Z1045" s="5"/>
      <c r="AA1045" s="27">
        <v>38572</v>
      </c>
      <c r="AB1045" s="27"/>
      <c r="AC1045" s="5"/>
    </row>
    <row r="1046" spans="1:30" s="9" customFormat="1" x14ac:dyDescent="0.2">
      <c r="A1046" s="28"/>
      <c r="B1046" s="16"/>
      <c r="C1046" s="16"/>
      <c r="D1046" s="7"/>
      <c r="E1046" s="7"/>
      <c r="F1046" s="6"/>
      <c r="G1046" s="6"/>
      <c r="H1046" s="17"/>
      <c r="I1046" s="17"/>
      <c r="J1046" s="7"/>
      <c r="K1046" s="7"/>
      <c r="L1046" s="23"/>
      <c r="M1046" s="6"/>
      <c r="N1046" s="6"/>
      <c r="O1046" s="6"/>
      <c r="P1046" s="6"/>
      <c r="Q1046" s="6"/>
      <c r="R1046" s="6"/>
      <c r="S1046" s="91" t="s">
        <v>1266</v>
      </c>
      <c r="T1046" s="91"/>
      <c r="U1046" s="7"/>
      <c r="V1046" s="138"/>
      <c r="W1046" s="47"/>
      <c r="X1046" s="12"/>
      <c r="Y1046" s="177"/>
      <c r="Z1046" s="6"/>
      <c r="AA1046" s="6"/>
      <c r="AB1046" s="6"/>
      <c r="AC1046" s="6"/>
    </row>
    <row r="1047" spans="1:30" s="9" customFormat="1" x14ac:dyDescent="0.2">
      <c r="A1047" s="28"/>
      <c r="B1047" s="16" t="s">
        <v>36</v>
      </c>
      <c r="C1047" s="16" t="s">
        <v>133</v>
      </c>
      <c r="D1047" s="7" t="s">
        <v>1221</v>
      </c>
      <c r="E1047" s="7"/>
      <c r="F1047" s="6" t="s">
        <v>1222</v>
      </c>
      <c r="G1047" s="6" t="s">
        <v>1192</v>
      </c>
      <c r="H1047" s="17">
        <v>14631.95</v>
      </c>
      <c r="I1047" s="39" t="s">
        <v>52</v>
      </c>
      <c r="J1047" s="7">
        <v>38147</v>
      </c>
      <c r="K1047" s="7"/>
      <c r="L1047" s="23">
        <f>+J1047+90</f>
        <v>38237</v>
      </c>
      <c r="M1047" s="18" t="s">
        <v>41</v>
      </c>
      <c r="N1047" s="6" t="s">
        <v>42</v>
      </c>
      <c r="O1047" s="7">
        <v>38181</v>
      </c>
      <c r="P1047" s="331">
        <f>IF(S1047="","",+S1047-L1047)</f>
        <v>-53</v>
      </c>
      <c r="Q1047" s="331"/>
      <c r="R1047" s="331"/>
      <c r="S1047" s="23">
        <v>38184</v>
      </c>
      <c r="T1047" s="23">
        <v>38193</v>
      </c>
      <c r="U1047" s="23"/>
      <c r="V1047" s="6" t="s">
        <v>1254</v>
      </c>
      <c r="W1047" s="47">
        <v>1020</v>
      </c>
      <c r="X1047" s="6" t="s">
        <v>47</v>
      </c>
      <c r="Y1047" s="177"/>
      <c r="Z1047" s="6">
        <v>6657506273</v>
      </c>
      <c r="AA1047" s="6" t="s">
        <v>47</v>
      </c>
      <c r="AB1047" s="6" t="s">
        <v>47</v>
      </c>
      <c r="AC1047" s="507"/>
      <c r="AD1047" s="10" t="str">
        <f>IF(S1047&lt;=L1047,"en término","atrasado")</f>
        <v>en término</v>
      </c>
    </row>
    <row r="1048" spans="1:30" s="9" customFormat="1" ht="12" thickBot="1" x14ac:dyDescent="0.25">
      <c r="A1048" s="28"/>
      <c r="B1048" s="19"/>
      <c r="C1048" s="19"/>
      <c r="D1048" s="5"/>
      <c r="E1048" s="5"/>
      <c r="F1048" s="5" t="s">
        <v>1278</v>
      </c>
      <c r="G1048" s="5"/>
      <c r="H1048" s="105"/>
      <c r="I1048" s="21"/>
      <c r="J1048" s="27"/>
      <c r="K1048" s="27"/>
      <c r="L1048" s="27"/>
      <c r="M1048" s="5"/>
      <c r="N1048" s="5"/>
      <c r="O1048" s="27"/>
      <c r="P1048" s="27"/>
      <c r="Q1048" s="27"/>
      <c r="R1048" s="27"/>
      <c r="S1048" s="27"/>
      <c r="T1048" s="5"/>
      <c r="U1048" s="5"/>
      <c r="V1048" s="224"/>
      <c r="W1048" s="36"/>
      <c r="X1048" s="5"/>
      <c r="Y1048" s="182"/>
      <c r="Z1048" s="5"/>
      <c r="AA1048" s="27">
        <v>38572</v>
      </c>
      <c r="AB1048" s="27"/>
      <c r="AC1048" s="5"/>
    </row>
    <row r="1049" spans="1:30" s="9" customFormat="1" x14ac:dyDescent="0.2">
      <c r="A1049" s="28"/>
      <c r="B1049" s="16"/>
      <c r="C1049" s="16"/>
      <c r="D1049" s="7"/>
      <c r="E1049" s="7"/>
      <c r="F1049" s="6"/>
      <c r="G1049" s="6"/>
      <c r="H1049" s="17"/>
      <c r="I1049" s="17"/>
      <c r="J1049" s="7"/>
      <c r="K1049" s="7"/>
      <c r="L1049" s="23"/>
      <c r="M1049" s="6"/>
      <c r="N1049" s="6"/>
      <c r="O1049" s="6"/>
      <c r="P1049" s="6"/>
      <c r="Q1049" s="6"/>
      <c r="R1049" s="6"/>
      <c r="S1049" s="91" t="s">
        <v>1266</v>
      </c>
      <c r="T1049" s="91"/>
      <c r="U1049" s="7"/>
      <c r="V1049" s="138"/>
      <c r="W1049" s="47"/>
      <c r="X1049" s="12"/>
      <c r="Y1049" s="177"/>
      <c r="Z1049" s="6"/>
      <c r="AA1049" s="6"/>
      <c r="AB1049" s="6"/>
      <c r="AC1049" s="6"/>
    </row>
    <row r="1050" spans="1:30" s="9" customFormat="1" x14ac:dyDescent="0.2">
      <c r="A1050" s="28"/>
      <c r="B1050" s="16" t="s">
        <v>36</v>
      </c>
      <c r="C1050" s="16" t="s">
        <v>133</v>
      </c>
      <c r="D1050" s="7" t="s">
        <v>1221</v>
      </c>
      <c r="E1050" s="7"/>
      <c r="F1050" s="6" t="s">
        <v>1222</v>
      </c>
      <c r="G1050" s="6" t="s">
        <v>1192</v>
      </c>
      <c r="H1050" s="17">
        <v>60034.01</v>
      </c>
      <c r="I1050" s="39" t="s">
        <v>40</v>
      </c>
      <c r="J1050" s="7">
        <v>38161</v>
      </c>
      <c r="K1050" s="7"/>
      <c r="L1050" s="23">
        <f>+J1050+30</f>
        <v>38191</v>
      </c>
      <c r="M1050" s="18" t="s">
        <v>41</v>
      </c>
      <c r="N1050" s="6" t="s">
        <v>42</v>
      </c>
      <c r="O1050" s="7">
        <v>38181</v>
      </c>
      <c r="P1050" s="331">
        <f>IF(S1050="","",+S1050-L1050)</f>
        <v>-7</v>
      </c>
      <c r="Q1050" s="331"/>
      <c r="R1050" s="331"/>
      <c r="S1050" s="23">
        <v>38184</v>
      </c>
      <c r="T1050" s="23">
        <v>38193</v>
      </c>
      <c r="U1050" s="23"/>
      <c r="V1050" s="6" t="s">
        <v>1279</v>
      </c>
      <c r="W1050" s="47">
        <v>1021</v>
      </c>
      <c r="X1050" s="6" t="s">
        <v>47</v>
      </c>
      <c r="Y1050" s="177"/>
      <c r="Z1050" s="6">
        <v>6657506273</v>
      </c>
      <c r="AA1050" s="6" t="s">
        <v>47</v>
      </c>
      <c r="AB1050" s="6" t="s">
        <v>47</v>
      </c>
      <c r="AC1050" s="507"/>
      <c r="AD1050" s="10" t="str">
        <f>IF(S1050&lt;=L1050,"en término","atrasado")</f>
        <v>en término</v>
      </c>
    </row>
    <row r="1051" spans="1:30" s="9" customFormat="1" ht="12" thickBot="1" x14ac:dyDescent="0.25">
      <c r="A1051" s="28"/>
      <c r="B1051" s="19"/>
      <c r="C1051" s="19"/>
      <c r="D1051" s="5"/>
      <c r="E1051" s="5"/>
      <c r="F1051" s="5" t="s">
        <v>1280</v>
      </c>
      <c r="G1051" s="5"/>
      <c r="H1051" s="105"/>
      <c r="I1051" s="21"/>
      <c r="J1051" s="27"/>
      <c r="K1051" s="27"/>
      <c r="L1051" s="27"/>
      <c r="M1051" s="5"/>
      <c r="N1051" s="5"/>
      <c r="O1051" s="27"/>
      <c r="P1051" s="27"/>
      <c r="Q1051" s="27"/>
      <c r="R1051" s="27"/>
      <c r="S1051" s="27"/>
      <c r="T1051" s="5"/>
      <c r="U1051" s="5"/>
      <c r="V1051" s="224"/>
      <c r="W1051" s="36"/>
      <c r="X1051" s="5"/>
      <c r="Y1051" s="182"/>
      <c r="Z1051" s="5"/>
      <c r="AA1051" s="27">
        <v>38572</v>
      </c>
      <c r="AB1051" s="27"/>
      <c r="AC1051" s="5"/>
    </row>
    <row r="1052" spans="1:30" s="9" customFormat="1" x14ac:dyDescent="0.2">
      <c r="A1052" s="328"/>
      <c r="B1052" s="11"/>
      <c r="C1052" s="16"/>
      <c r="D1052" s="7"/>
      <c r="E1052" s="7"/>
      <c r="F1052" s="6"/>
      <c r="G1052" s="6"/>
      <c r="H1052" s="17"/>
      <c r="I1052" s="17"/>
      <c r="J1052" s="7"/>
      <c r="K1052" s="7"/>
      <c r="L1052" s="23"/>
      <c r="M1052" s="6"/>
      <c r="N1052" s="6"/>
      <c r="O1052" s="7"/>
      <c r="P1052" s="7"/>
      <c r="Q1052" s="7"/>
      <c r="R1052" s="7"/>
      <c r="S1052" s="7"/>
      <c r="T1052" s="7"/>
      <c r="U1052" s="7"/>
      <c r="V1052" s="138" t="s">
        <v>1102</v>
      </c>
      <c r="W1052" s="47"/>
      <c r="X1052" s="59"/>
      <c r="Y1052" s="177"/>
      <c r="Z1052" s="6"/>
      <c r="AA1052" s="6"/>
      <c r="AB1052" s="6"/>
      <c r="AC1052" s="6"/>
      <c r="AD1052" s="330"/>
    </row>
    <row r="1053" spans="1:30" s="9" customFormat="1" x14ac:dyDescent="0.2">
      <c r="A1053" s="328"/>
      <c r="B1053" s="16" t="s">
        <v>36</v>
      </c>
      <c r="C1053" s="16" t="s">
        <v>37</v>
      </c>
      <c r="D1053" s="7" t="s">
        <v>1281</v>
      </c>
      <c r="E1053" s="7"/>
      <c r="F1053" s="6" t="s">
        <v>1282</v>
      </c>
      <c r="G1053" s="6" t="s">
        <v>39</v>
      </c>
      <c r="H1053" s="17">
        <f>330+1650+615</f>
        <v>2595</v>
      </c>
      <c r="I1053" s="39" t="s">
        <v>142</v>
      </c>
      <c r="J1053" s="7">
        <v>38219</v>
      </c>
      <c r="K1053" s="331">
        <v>30</v>
      </c>
      <c r="L1053" s="23">
        <f>+J1053+K1053</f>
        <v>38249</v>
      </c>
      <c r="M1053" s="18" t="s">
        <v>41</v>
      </c>
      <c r="N1053" s="6" t="s">
        <v>656</v>
      </c>
      <c r="O1053" s="7">
        <v>38257</v>
      </c>
      <c r="P1053" s="331">
        <f>IF(S1053="","",+S1053-L1053)</f>
        <v>12</v>
      </c>
      <c r="Q1053" s="331"/>
      <c r="R1053" s="331"/>
      <c r="S1053" s="7">
        <v>38261</v>
      </c>
      <c r="T1053" s="7">
        <v>38265</v>
      </c>
      <c r="U1053" s="331">
        <f>IF(T1053="","",+T1053-J1053)</f>
        <v>46</v>
      </c>
      <c r="V1053" s="6" t="s">
        <v>1283</v>
      </c>
      <c r="W1053" s="47" t="s">
        <v>1284</v>
      </c>
      <c r="X1053" s="59"/>
      <c r="Y1053" s="177"/>
      <c r="Z1053" s="6" t="s">
        <v>1285</v>
      </c>
      <c r="AA1053" s="6"/>
      <c r="AB1053" s="6"/>
      <c r="AC1053" s="6"/>
      <c r="AD1053" s="330"/>
    </row>
    <row r="1054" spans="1:30" s="9" customFormat="1" ht="12" thickBot="1" x14ac:dyDescent="0.25">
      <c r="A1054" s="328"/>
      <c r="B1054" s="19"/>
      <c r="C1054" s="19"/>
      <c r="D1054" s="5"/>
      <c r="E1054" s="5"/>
      <c r="F1054" s="5" t="s">
        <v>1286</v>
      </c>
      <c r="G1054" s="5"/>
      <c r="H1054" s="105"/>
      <c r="I1054" s="21"/>
      <c r="J1054" s="27"/>
      <c r="K1054" s="27"/>
      <c r="L1054" s="27"/>
      <c r="M1054" s="5"/>
      <c r="N1054" s="5"/>
      <c r="O1054" s="5"/>
      <c r="P1054" s="5"/>
      <c r="Q1054" s="5"/>
      <c r="R1054" s="5"/>
      <c r="S1054" s="5"/>
      <c r="T1054" s="5"/>
      <c r="U1054" s="5"/>
      <c r="V1054" s="224"/>
      <c r="W1054" s="36"/>
      <c r="X1054" s="61"/>
      <c r="Y1054" s="182"/>
      <c r="Z1054" s="5" t="s">
        <v>1143</v>
      </c>
      <c r="AA1054" s="5"/>
      <c r="AB1054" s="5"/>
      <c r="AC1054" s="5"/>
      <c r="AD1054" s="330"/>
    </row>
    <row r="1055" spans="1:30" s="9" customFormat="1" x14ac:dyDescent="0.2">
      <c r="A1055" s="328"/>
      <c r="B1055" s="16"/>
      <c r="C1055" s="16"/>
      <c r="D1055" s="7"/>
      <c r="E1055" s="7"/>
      <c r="F1055" s="6"/>
      <c r="G1055" s="6"/>
      <c r="H1055" s="17"/>
      <c r="I1055" s="17"/>
      <c r="J1055" s="7"/>
      <c r="K1055" s="7"/>
      <c r="L1055" s="23"/>
      <c r="M1055" s="6"/>
      <c r="N1055" s="6"/>
      <c r="O1055" s="91"/>
      <c r="P1055" s="7"/>
      <c r="Q1055" s="7"/>
      <c r="R1055" s="7"/>
      <c r="S1055" s="23"/>
      <c r="T1055" s="23"/>
      <c r="U1055" s="7"/>
      <c r="V1055" s="138"/>
      <c r="W1055" s="47"/>
      <c r="X1055" s="12"/>
      <c r="Y1055" s="177"/>
      <c r="Z1055" s="6"/>
      <c r="AA1055" s="6"/>
      <c r="AB1055" s="6"/>
      <c r="AC1055" s="6"/>
      <c r="AD1055" s="330"/>
    </row>
    <row r="1056" spans="1:30" s="9" customFormat="1" x14ac:dyDescent="0.2">
      <c r="A1056" s="328"/>
      <c r="B1056" s="16" t="s">
        <v>36</v>
      </c>
      <c r="C1056" s="16" t="s">
        <v>133</v>
      </c>
      <c r="D1056" s="7" t="s">
        <v>1221</v>
      </c>
      <c r="E1056" s="7"/>
      <c r="F1056" s="6" t="s">
        <v>1222</v>
      </c>
      <c r="G1056" s="6" t="s">
        <v>39</v>
      </c>
      <c r="H1056" s="17">
        <v>26276.68</v>
      </c>
      <c r="I1056" s="39" t="s">
        <v>62</v>
      </c>
      <c r="J1056" s="7">
        <v>38161</v>
      </c>
      <c r="K1056" s="331">
        <v>90</v>
      </c>
      <c r="L1056" s="23">
        <f>+J1056+K1056</f>
        <v>38251</v>
      </c>
      <c r="M1056" s="18" t="s">
        <v>41</v>
      </c>
      <c r="N1056" s="6" t="s">
        <v>42</v>
      </c>
      <c r="O1056" s="7">
        <v>38208</v>
      </c>
      <c r="P1056" s="331">
        <f>IF(S1056="","",+S1056-L1056)</f>
        <v>-39</v>
      </c>
      <c r="Q1056" s="331"/>
      <c r="R1056" s="331"/>
      <c r="S1056" s="175">
        <v>38212</v>
      </c>
      <c r="T1056" s="175">
        <v>38230</v>
      </c>
      <c r="U1056" s="331">
        <f>IF(T1056="","",+T1056-J1056)</f>
        <v>69</v>
      </c>
      <c r="V1056" s="6" t="s">
        <v>940</v>
      </c>
      <c r="W1056" s="47">
        <v>1030</v>
      </c>
      <c r="X1056" s="6" t="s">
        <v>47</v>
      </c>
      <c r="Y1056" s="177"/>
      <c r="Z1056" s="6" t="s">
        <v>1287</v>
      </c>
      <c r="AA1056" s="7" t="s">
        <v>47</v>
      </c>
      <c r="AB1056" s="7" t="s">
        <v>47</v>
      </c>
      <c r="AC1056" s="7"/>
      <c r="AD1056" s="10" t="str">
        <f>IF(S1056&lt;=L1056,"en término","atrasado")</f>
        <v>en término</v>
      </c>
    </row>
    <row r="1057" spans="1:30" s="9" customFormat="1" ht="12" thickBot="1" x14ac:dyDescent="0.25">
      <c r="A1057" s="328"/>
      <c r="B1057" s="19"/>
      <c r="C1057" s="19"/>
      <c r="D1057" s="5"/>
      <c r="E1057" s="5"/>
      <c r="F1057" s="5" t="s">
        <v>1288</v>
      </c>
      <c r="G1057" s="5"/>
      <c r="H1057" s="105"/>
      <c r="I1057" s="21"/>
      <c r="J1057" s="27"/>
      <c r="K1057" s="27"/>
      <c r="L1057" s="27"/>
      <c r="M1057" s="5"/>
      <c r="N1057" s="5"/>
      <c r="O1057" s="5"/>
      <c r="P1057" s="5"/>
      <c r="Q1057" s="5"/>
      <c r="R1057" s="5"/>
      <c r="S1057" s="22"/>
      <c r="T1057" s="22"/>
      <c r="U1057" s="5"/>
      <c r="V1057" s="224"/>
      <c r="W1057" s="36"/>
      <c r="X1057" s="5"/>
      <c r="Y1057" s="182"/>
      <c r="Z1057" s="5" t="s">
        <v>1289</v>
      </c>
      <c r="AA1057" s="27">
        <v>38594</v>
      </c>
      <c r="AB1057" s="27"/>
      <c r="AC1057" s="5"/>
      <c r="AD1057" s="330"/>
    </row>
    <row r="1058" spans="1:30" s="9" customFormat="1" x14ac:dyDescent="0.2">
      <c r="A1058" s="328"/>
      <c r="B1058" s="16"/>
      <c r="C1058" s="16"/>
      <c r="D1058" s="7"/>
      <c r="E1058" s="7"/>
      <c r="F1058" s="6"/>
      <c r="G1058" s="6"/>
      <c r="H1058" s="17"/>
      <c r="I1058" s="17"/>
      <c r="J1058" s="7"/>
      <c r="K1058" s="7"/>
      <c r="L1058" s="23"/>
      <c r="M1058" s="6"/>
      <c r="N1058" s="6"/>
      <c r="O1058" s="91"/>
      <c r="P1058" s="7"/>
      <c r="Q1058" s="7"/>
      <c r="R1058" s="7"/>
      <c r="S1058" s="23"/>
      <c r="T1058" s="23"/>
      <c r="U1058" s="7"/>
      <c r="V1058" s="138"/>
      <c r="W1058" s="47"/>
      <c r="X1058" s="12"/>
      <c r="Y1058" s="177"/>
      <c r="Z1058" s="6"/>
      <c r="AA1058" s="6"/>
      <c r="AB1058" s="6"/>
      <c r="AC1058" s="6"/>
      <c r="AD1058" s="330"/>
    </row>
    <row r="1059" spans="1:30" s="9" customFormat="1" x14ac:dyDescent="0.2">
      <c r="A1059" s="328"/>
      <c r="B1059" s="16" t="s">
        <v>36</v>
      </c>
      <c r="C1059" s="16" t="s">
        <v>133</v>
      </c>
      <c r="D1059" s="7" t="s">
        <v>1221</v>
      </c>
      <c r="E1059" s="7"/>
      <c r="F1059" s="6" t="s">
        <v>1222</v>
      </c>
      <c r="G1059" s="6" t="s">
        <v>39</v>
      </c>
      <c r="H1059" s="17">
        <v>2577.5100000000002</v>
      </c>
      <c r="I1059" s="39" t="s">
        <v>52</v>
      </c>
      <c r="J1059" s="7">
        <v>38177</v>
      </c>
      <c r="K1059" s="331">
        <v>90</v>
      </c>
      <c r="L1059" s="23">
        <f>+J1059+K1059</f>
        <v>38267</v>
      </c>
      <c r="M1059" s="18" t="s">
        <v>41</v>
      </c>
      <c r="N1059" s="6" t="s">
        <v>42</v>
      </c>
      <c r="O1059" s="7">
        <v>38208</v>
      </c>
      <c r="P1059" s="331">
        <f>IF(S1059="","",+S1059-L1059)</f>
        <v>-55</v>
      </c>
      <c r="Q1059" s="331"/>
      <c r="R1059" s="331"/>
      <c r="S1059" s="175">
        <v>38212</v>
      </c>
      <c r="T1059" s="175">
        <v>38230</v>
      </c>
      <c r="U1059" s="331">
        <f>IF(T1059="","",+T1059-J1059)</f>
        <v>53</v>
      </c>
      <c r="V1059" s="6" t="s">
        <v>1254</v>
      </c>
      <c r="W1059" s="47">
        <v>1033</v>
      </c>
      <c r="X1059" s="6" t="s">
        <v>47</v>
      </c>
      <c r="Y1059" s="177"/>
      <c r="Z1059" s="6" t="s">
        <v>1287</v>
      </c>
      <c r="AA1059" s="7" t="s">
        <v>47</v>
      </c>
      <c r="AB1059" s="7" t="s">
        <v>47</v>
      </c>
      <c r="AC1059" s="7"/>
      <c r="AD1059" s="10" t="str">
        <f>IF(S1059&lt;=L1059,"en término","atrasado")</f>
        <v>en término</v>
      </c>
    </row>
    <row r="1060" spans="1:30" s="9" customFormat="1" ht="12" thickBot="1" x14ac:dyDescent="0.25">
      <c r="A1060" s="328"/>
      <c r="B1060" s="19"/>
      <c r="C1060" s="19"/>
      <c r="D1060" s="5"/>
      <c r="E1060" s="5"/>
      <c r="F1060" s="5" t="s">
        <v>1290</v>
      </c>
      <c r="G1060" s="5"/>
      <c r="H1060" s="105"/>
      <c r="I1060" s="21"/>
      <c r="J1060" s="27"/>
      <c r="K1060" s="27"/>
      <c r="L1060" s="27"/>
      <c r="M1060" s="5"/>
      <c r="N1060" s="5"/>
      <c r="O1060" s="5"/>
      <c r="P1060" s="5"/>
      <c r="Q1060" s="5"/>
      <c r="R1060" s="5"/>
      <c r="S1060" s="22"/>
      <c r="T1060" s="22"/>
      <c r="U1060" s="5"/>
      <c r="V1060" s="224"/>
      <c r="W1060" s="36"/>
      <c r="X1060" s="5"/>
      <c r="Y1060" s="182"/>
      <c r="Z1060" s="5" t="s">
        <v>1289</v>
      </c>
      <c r="AA1060" s="27">
        <v>38594</v>
      </c>
      <c r="AB1060" s="27"/>
      <c r="AC1060" s="5"/>
      <c r="AD1060" s="330"/>
    </row>
    <row r="1061" spans="1:30" s="9" customFormat="1" x14ac:dyDescent="0.2">
      <c r="A1061" s="328"/>
      <c r="B1061" s="16"/>
      <c r="C1061" s="16"/>
      <c r="D1061" s="7"/>
      <c r="E1061" s="7"/>
      <c r="F1061" s="6"/>
      <c r="G1061" s="6"/>
      <c r="H1061" s="17"/>
      <c r="I1061" s="17"/>
      <c r="J1061" s="7"/>
      <c r="K1061" s="7"/>
      <c r="L1061" s="23"/>
      <c r="M1061" s="6"/>
      <c r="N1061" s="6"/>
      <c r="O1061" s="91"/>
      <c r="P1061" s="7"/>
      <c r="Q1061" s="7"/>
      <c r="R1061" s="7"/>
      <c r="S1061" s="23"/>
      <c r="T1061" s="23"/>
      <c r="U1061" s="7"/>
      <c r="V1061" s="138"/>
      <c r="W1061" s="47"/>
      <c r="X1061" s="12"/>
      <c r="Y1061" s="177"/>
      <c r="Z1061" s="6"/>
      <c r="AA1061" s="6"/>
      <c r="AB1061" s="6"/>
      <c r="AC1061" s="6"/>
      <c r="AD1061" s="330"/>
    </row>
    <row r="1062" spans="1:30" s="9" customFormat="1" x14ac:dyDescent="0.2">
      <c r="A1062" s="328"/>
      <c r="B1062" s="16" t="s">
        <v>36</v>
      </c>
      <c r="C1062" s="16" t="s">
        <v>133</v>
      </c>
      <c r="D1062" s="7" t="s">
        <v>1221</v>
      </c>
      <c r="E1062" s="7"/>
      <c r="F1062" s="6" t="s">
        <v>1222</v>
      </c>
      <c r="G1062" s="6" t="s">
        <v>39</v>
      </c>
      <c r="H1062" s="17">
        <v>62349</v>
      </c>
      <c r="I1062" s="39" t="s">
        <v>52</v>
      </c>
      <c r="J1062" s="7">
        <v>38183</v>
      </c>
      <c r="K1062" s="331">
        <v>30</v>
      </c>
      <c r="L1062" s="23">
        <f>+J1062+K1062</f>
        <v>38213</v>
      </c>
      <c r="M1062" s="18" t="s">
        <v>41</v>
      </c>
      <c r="N1062" s="6" t="s">
        <v>42</v>
      </c>
      <c r="O1062" s="7">
        <v>38208</v>
      </c>
      <c r="P1062" s="331">
        <f>IF(S1062="","",+S1062-L1062)</f>
        <v>-1</v>
      </c>
      <c r="Q1062" s="331"/>
      <c r="R1062" s="331"/>
      <c r="S1062" s="175">
        <v>38212</v>
      </c>
      <c r="T1062" s="175">
        <v>38230</v>
      </c>
      <c r="U1062" s="331">
        <f>IF(T1062="","",+T1062-J1062)</f>
        <v>47</v>
      </c>
      <c r="V1062" s="6" t="s">
        <v>1090</v>
      </c>
      <c r="W1062" s="47">
        <v>1032</v>
      </c>
      <c r="X1062" s="6" t="s">
        <v>47</v>
      </c>
      <c r="Y1062" s="177"/>
      <c r="Z1062" s="6" t="s">
        <v>1287</v>
      </c>
      <c r="AA1062" s="7" t="s">
        <v>47</v>
      </c>
      <c r="AB1062" s="7" t="s">
        <v>47</v>
      </c>
      <c r="AC1062" s="7"/>
      <c r="AD1062" s="10" t="str">
        <f>IF(S1062&lt;=L1062,"en término","atrasado")</f>
        <v>en término</v>
      </c>
    </row>
    <row r="1063" spans="1:30" s="9" customFormat="1" ht="12" thickBot="1" x14ac:dyDescent="0.25">
      <c r="A1063" s="328"/>
      <c r="B1063" s="19"/>
      <c r="C1063" s="19"/>
      <c r="D1063" s="5"/>
      <c r="E1063" s="5"/>
      <c r="F1063" s="5" t="s">
        <v>1291</v>
      </c>
      <c r="G1063" s="5"/>
      <c r="H1063" s="105"/>
      <c r="I1063" s="21"/>
      <c r="J1063" s="27"/>
      <c r="K1063" s="27"/>
      <c r="L1063" s="27"/>
      <c r="M1063" s="5"/>
      <c r="N1063" s="5"/>
      <c r="O1063" s="5"/>
      <c r="P1063" s="5"/>
      <c r="Q1063" s="5"/>
      <c r="R1063" s="5"/>
      <c r="S1063" s="22"/>
      <c r="T1063" s="22"/>
      <c r="U1063" s="5"/>
      <c r="V1063" s="224"/>
      <c r="W1063" s="36"/>
      <c r="X1063" s="5"/>
      <c r="Y1063" s="182"/>
      <c r="Z1063" s="5" t="s">
        <v>1289</v>
      </c>
      <c r="AA1063" s="27">
        <v>38594</v>
      </c>
      <c r="AB1063" s="27"/>
      <c r="AC1063" s="5"/>
      <c r="AD1063" s="330"/>
    </row>
    <row r="1064" spans="1:30" s="9" customFormat="1" x14ac:dyDescent="0.2">
      <c r="A1064" s="328"/>
      <c r="B1064" s="16"/>
      <c r="C1064" s="16"/>
      <c r="D1064" s="7"/>
      <c r="E1064" s="7"/>
      <c r="F1064" s="6"/>
      <c r="G1064" s="6"/>
      <c r="H1064" s="17"/>
      <c r="I1064" s="17"/>
      <c r="J1064" s="7"/>
      <c r="K1064" s="7"/>
      <c r="L1064" s="23"/>
      <c r="M1064" s="6"/>
      <c r="N1064" s="6"/>
      <c r="O1064" s="91"/>
      <c r="P1064" s="7"/>
      <c r="Q1064" s="7"/>
      <c r="R1064" s="7"/>
      <c r="S1064" s="23"/>
      <c r="T1064" s="23"/>
      <c r="U1064" s="7"/>
      <c r="V1064" s="138"/>
      <c r="W1064" s="47"/>
      <c r="X1064" s="12"/>
      <c r="Y1064" s="177"/>
      <c r="Z1064" s="6"/>
      <c r="AA1064" s="6"/>
      <c r="AB1064" s="6"/>
      <c r="AC1064" s="338"/>
      <c r="AD1064" s="330"/>
    </row>
    <row r="1065" spans="1:30" s="9" customFormat="1" x14ac:dyDescent="0.2">
      <c r="A1065" s="328"/>
      <c r="B1065" s="16" t="s">
        <v>36</v>
      </c>
      <c r="C1065" s="16" t="s">
        <v>133</v>
      </c>
      <c r="D1065" s="7" t="s">
        <v>1221</v>
      </c>
      <c r="E1065" s="7"/>
      <c r="F1065" s="6" t="s">
        <v>1222</v>
      </c>
      <c r="G1065" s="6" t="s">
        <v>39</v>
      </c>
      <c r="H1065" s="17">
        <v>11222.69</v>
      </c>
      <c r="I1065" s="39" t="s">
        <v>62</v>
      </c>
      <c r="J1065" s="7">
        <v>38184</v>
      </c>
      <c r="K1065" s="331">
        <v>30</v>
      </c>
      <c r="L1065" s="23">
        <f>+J1065+K1065</f>
        <v>38214</v>
      </c>
      <c r="M1065" s="18" t="s">
        <v>41</v>
      </c>
      <c r="N1065" s="6" t="s">
        <v>42</v>
      </c>
      <c r="O1065" s="7">
        <v>38208</v>
      </c>
      <c r="P1065" s="331">
        <f>IF(S1065="","",+S1065-L1065)</f>
        <v>-2</v>
      </c>
      <c r="Q1065" s="331"/>
      <c r="R1065" s="331"/>
      <c r="S1065" s="175">
        <v>38212</v>
      </c>
      <c r="T1065" s="175">
        <v>38230</v>
      </c>
      <c r="U1065" s="331">
        <f>IF(T1065="","",+T1065-J1065)</f>
        <v>46</v>
      </c>
      <c r="V1065" s="6" t="s">
        <v>950</v>
      </c>
      <c r="W1065" s="47">
        <v>1031</v>
      </c>
      <c r="X1065" s="6" t="s">
        <v>47</v>
      </c>
      <c r="Y1065" s="177"/>
      <c r="Z1065" s="6" t="s">
        <v>1287</v>
      </c>
      <c r="AA1065" s="7" t="s">
        <v>47</v>
      </c>
      <c r="AB1065" s="7" t="s">
        <v>47</v>
      </c>
      <c r="AC1065" s="7"/>
      <c r="AD1065" s="10" t="str">
        <f>IF(S1065&lt;=L1065,"en término","atrasado")</f>
        <v>en término</v>
      </c>
    </row>
    <row r="1066" spans="1:30" s="9" customFormat="1" ht="12" thickBot="1" x14ac:dyDescent="0.25">
      <c r="A1066" s="328"/>
      <c r="B1066" s="19"/>
      <c r="C1066" s="19"/>
      <c r="D1066" s="5"/>
      <c r="E1066" s="5"/>
      <c r="F1066" s="5" t="s">
        <v>1292</v>
      </c>
      <c r="G1066" s="5"/>
      <c r="H1066" s="105"/>
      <c r="I1066" s="21"/>
      <c r="J1066" s="27"/>
      <c r="K1066" s="27"/>
      <c r="L1066" s="27"/>
      <c r="M1066" s="5"/>
      <c r="N1066" s="5"/>
      <c r="O1066" s="5"/>
      <c r="P1066" s="5"/>
      <c r="Q1066" s="5"/>
      <c r="R1066" s="5"/>
      <c r="S1066" s="22"/>
      <c r="T1066" s="22"/>
      <c r="U1066" s="5"/>
      <c r="V1066" s="224"/>
      <c r="W1066" s="36"/>
      <c r="X1066" s="5"/>
      <c r="Y1066" s="182"/>
      <c r="Z1066" s="5" t="s">
        <v>1289</v>
      </c>
      <c r="AA1066" s="27">
        <v>38594</v>
      </c>
      <c r="AB1066" s="27"/>
      <c r="AC1066" s="5"/>
      <c r="AD1066" s="330"/>
    </row>
    <row r="1067" spans="1:30" s="9" customFormat="1" x14ac:dyDescent="0.2">
      <c r="A1067" s="328"/>
      <c r="B1067" s="16"/>
      <c r="C1067" s="16"/>
      <c r="D1067" s="7"/>
      <c r="E1067" s="7"/>
      <c r="F1067" s="6"/>
      <c r="G1067" s="6"/>
      <c r="H1067" s="17"/>
      <c r="I1067" s="17"/>
      <c r="J1067" s="7"/>
      <c r="K1067" s="7"/>
      <c r="L1067" s="23"/>
      <c r="M1067" s="6"/>
      <c r="N1067" s="6"/>
      <c r="O1067" s="91"/>
      <c r="P1067" s="7"/>
      <c r="Q1067" s="7"/>
      <c r="R1067" s="7"/>
      <c r="S1067" s="23"/>
      <c r="T1067" s="23"/>
      <c r="U1067" s="7"/>
      <c r="V1067" s="138"/>
      <c r="W1067" s="47"/>
      <c r="X1067" s="12"/>
      <c r="Y1067" s="177"/>
      <c r="Z1067" s="6"/>
      <c r="AA1067" s="6"/>
      <c r="AB1067" s="6"/>
      <c r="AC1067" s="6"/>
      <c r="AD1067" s="330"/>
    </row>
    <row r="1068" spans="1:30" s="9" customFormat="1" x14ac:dyDescent="0.2">
      <c r="A1068" s="328"/>
      <c r="B1068" s="16" t="s">
        <v>36</v>
      </c>
      <c r="C1068" s="16" t="s">
        <v>133</v>
      </c>
      <c r="D1068" s="7" t="s">
        <v>1221</v>
      </c>
      <c r="E1068" s="7"/>
      <c r="F1068" s="6" t="s">
        <v>1222</v>
      </c>
      <c r="G1068" s="6" t="s">
        <v>39</v>
      </c>
      <c r="H1068" s="17">
        <v>40344.959999999999</v>
      </c>
      <c r="I1068" s="39" t="s">
        <v>40</v>
      </c>
      <c r="J1068" s="7">
        <v>38183</v>
      </c>
      <c r="K1068" s="331">
        <v>30</v>
      </c>
      <c r="L1068" s="23">
        <f>+J1068+K1068</f>
        <v>38213</v>
      </c>
      <c r="M1068" s="18" t="s">
        <v>41</v>
      </c>
      <c r="N1068" s="6" t="s">
        <v>42</v>
      </c>
      <c r="O1068" s="7">
        <v>38208</v>
      </c>
      <c r="P1068" s="331">
        <f>IF(S1068="","",+S1068-L1068)</f>
        <v>-1</v>
      </c>
      <c r="Q1068" s="331"/>
      <c r="R1068" s="331"/>
      <c r="S1068" s="175">
        <v>38212</v>
      </c>
      <c r="T1068" s="175">
        <v>38230</v>
      </c>
      <c r="U1068" s="331">
        <f>IF(T1068="","",+T1068-J1068)</f>
        <v>47</v>
      </c>
      <c r="V1068" s="6" t="s">
        <v>1293</v>
      </c>
      <c r="W1068" s="47">
        <v>1034</v>
      </c>
      <c r="X1068" s="6" t="s">
        <v>47</v>
      </c>
      <c r="Y1068" s="177"/>
      <c r="Z1068" s="6" t="s">
        <v>1287</v>
      </c>
      <c r="AA1068" s="7" t="s">
        <v>47</v>
      </c>
      <c r="AB1068" s="7" t="s">
        <v>47</v>
      </c>
      <c r="AC1068" s="7"/>
      <c r="AD1068" s="10" t="str">
        <f>IF(S1068&lt;=L1068,"en término","atrasado")</f>
        <v>en término</v>
      </c>
    </row>
    <row r="1069" spans="1:30" s="9" customFormat="1" ht="12" thickBot="1" x14ac:dyDescent="0.25">
      <c r="A1069" s="328"/>
      <c r="B1069" s="19"/>
      <c r="C1069" s="19"/>
      <c r="D1069" s="5"/>
      <c r="E1069" s="5"/>
      <c r="F1069" s="5" t="s">
        <v>1294</v>
      </c>
      <c r="G1069" s="5"/>
      <c r="H1069" s="105"/>
      <c r="I1069" s="21"/>
      <c r="J1069" s="27"/>
      <c r="K1069" s="27"/>
      <c r="L1069" s="27"/>
      <c r="M1069" s="5"/>
      <c r="N1069" s="5"/>
      <c r="O1069" s="5"/>
      <c r="P1069" s="5"/>
      <c r="Q1069" s="5"/>
      <c r="R1069" s="5"/>
      <c r="S1069" s="5"/>
      <c r="T1069" s="5"/>
      <c r="U1069" s="5"/>
      <c r="V1069" s="224"/>
      <c r="W1069" s="36"/>
      <c r="X1069" s="5"/>
      <c r="Y1069" s="182"/>
      <c r="Z1069" s="5" t="s">
        <v>1289</v>
      </c>
      <c r="AA1069" s="27">
        <v>38594</v>
      </c>
      <c r="AB1069" s="27"/>
      <c r="AC1069" s="5"/>
      <c r="AD1069" s="330"/>
    </row>
    <row r="1070" spans="1:30" s="9" customFormat="1" ht="11.25" customHeight="1" x14ac:dyDescent="0.2">
      <c r="A1070" s="328"/>
      <c r="B1070" s="11"/>
      <c r="C1070" s="16"/>
      <c r="D1070" s="7"/>
      <c r="E1070" s="7"/>
      <c r="F1070" s="6"/>
      <c r="G1070" s="6"/>
      <c r="H1070" s="17"/>
      <c r="I1070" s="17"/>
      <c r="J1070" s="7"/>
      <c r="K1070" s="7"/>
      <c r="L1070" s="23"/>
      <c r="M1070" s="6"/>
      <c r="N1070" s="6"/>
      <c r="O1070" s="91"/>
      <c r="P1070" s="7"/>
      <c r="Q1070" s="7"/>
      <c r="R1070" s="7"/>
      <c r="S1070" s="7"/>
      <c r="T1070" s="7"/>
      <c r="U1070" s="7"/>
      <c r="V1070" s="446" t="s">
        <v>1295</v>
      </c>
      <c r="W1070" s="47"/>
      <c r="X1070" s="12"/>
      <c r="Y1070" s="177"/>
      <c r="Z1070" s="6"/>
      <c r="AA1070" s="6"/>
      <c r="AB1070" s="6"/>
      <c r="AC1070" s="6"/>
      <c r="AD1070" s="330"/>
    </row>
    <row r="1071" spans="1:30" s="9" customFormat="1" ht="12" customHeight="1" x14ac:dyDescent="0.2">
      <c r="A1071" s="328"/>
      <c r="B1071" s="16" t="s">
        <v>36</v>
      </c>
      <c r="C1071" s="16" t="s">
        <v>133</v>
      </c>
      <c r="D1071" s="7" t="s">
        <v>1221</v>
      </c>
      <c r="E1071" s="7"/>
      <c r="F1071" s="6" t="s">
        <v>1222</v>
      </c>
      <c r="G1071" s="6" t="s">
        <v>39</v>
      </c>
      <c r="H1071" s="17">
        <v>68376.850000000006</v>
      </c>
      <c r="I1071" s="39" t="s">
        <v>62</v>
      </c>
      <c r="J1071" s="7">
        <v>38127</v>
      </c>
      <c r="K1071" s="331">
        <v>90</v>
      </c>
      <c r="L1071" s="23">
        <f>+J1071+K1071</f>
        <v>38217</v>
      </c>
      <c r="M1071" s="18" t="s">
        <v>41</v>
      </c>
      <c r="N1071" s="6" t="s">
        <v>42</v>
      </c>
      <c r="O1071" s="7">
        <v>38208</v>
      </c>
      <c r="P1071" s="331">
        <f>IF(S1071="","",+S1071-L1071)</f>
        <v>-5</v>
      </c>
      <c r="Q1071" s="331"/>
      <c r="R1071" s="331"/>
      <c r="S1071" s="175">
        <v>38212</v>
      </c>
      <c r="T1071" s="175">
        <v>38230</v>
      </c>
      <c r="U1071" s="331">
        <f>IF(T1071="","",+T1071-J1071)</f>
        <v>103</v>
      </c>
      <c r="V1071" s="531"/>
      <c r="W1071" s="47">
        <v>1029</v>
      </c>
      <c r="X1071" s="6" t="s">
        <v>47</v>
      </c>
      <c r="Y1071" s="177"/>
      <c r="Z1071" s="6" t="s">
        <v>1287</v>
      </c>
      <c r="AA1071" s="7" t="s">
        <v>47</v>
      </c>
      <c r="AB1071" s="7" t="s">
        <v>47</v>
      </c>
      <c r="AC1071" s="7"/>
      <c r="AD1071" s="10" t="str">
        <f>IF(S1071&lt;=L1071,"en término","atrasado")</f>
        <v>en término</v>
      </c>
    </row>
    <row r="1072" spans="1:30" s="9" customFormat="1" ht="16.5" customHeight="1" thickBot="1" x14ac:dyDescent="0.25">
      <c r="A1072" s="328"/>
      <c r="B1072" s="19"/>
      <c r="C1072" s="19"/>
      <c r="D1072" s="5"/>
      <c r="E1072" s="5"/>
      <c r="F1072" s="5" t="s">
        <v>1274</v>
      </c>
      <c r="G1072" s="5"/>
      <c r="H1072" s="26" t="s">
        <v>1296</v>
      </c>
      <c r="I1072" s="21"/>
      <c r="J1072" s="27"/>
      <c r="K1072" s="27"/>
      <c r="L1072" s="27"/>
      <c r="M1072" s="5"/>
      <c r="N1072" s="5"/>
      <c r="O1072" s="5"/>
      <c r="P1072" s="5"/>
      <c r="Q1072" s="5"/>
      <c r="R1072" s="5"/>
      <c r="S1072" s="22"/>
      <c r="T1072" s="22"/>
      <c r="U1072" s="5"/>
      <c r="V1072" s="532"/>
      <c r="W1072" s="36"/>
      <c r="X1072" s="5"/>
      <c r="Y1072" s="182"/>
      <c r="Z1072" s="5" t="s">
        <v>1289</v>
      </c>
      <c r="AA1072" s="27">
        <v>38594</v>
      </c>
      <c r="AB1072" s="295" t="s">
        <v>1297</v>
      </c>
      <c r="AC1072" s="183"/>
      <c r="AD1072" s="330"/>
    </row>
    <row r="1073" spans="1:30" s="9" customFormat="1" x14ac:dyDescent="0.2">
      <c r="A1073" s="328"/>
      <c r="B1073" s="16"/>
      <c r="C1073" s="16"/>
      <c r="D1073" s="7"/>
      <c r="E1073" s="7"/>
      <c r="F1073" s="6"/>
      <c r="G1073" s="6"/>
      <c r="H1073" s="17"/>
      <c r="I1073" s="17"/>
      <c r="J1073" s="7"/>
      <c r="K1073" s="7"/>
      <c r="L1073" s="23"/>
      <c r="M1073" s="6"/>
      <c r="N1073" s="6"/>
      <c r="O1073" s="91"/>
      <c r="P1073" s="7"/>
      <c r="Q1073" s="7"/>
      <c r="R1073" s="7"/>
      <c r="S1073" s="7"/>
      <c r="T1073" s="7"/>
      <c r="U1073" s="7"/>
      <c r="V1073" s="138"/>
      <c r="W1073" s="47"/>
      <c r="X1073" s="12"/>
      <c r="Y1073" s="177"/>
      <c r="Z1073" s="6"/>
      <c r="AA1073" s="6"/>
      <c r="AB1073" s="6"/>
      <c r="AC1073" s="6"/>
      <c r="AD1073" s="330"/>
    </row>
    <row r="1074" spans="1:30" s="9" customFormat="1" x14ac:dyDescent="0.2">
      <c r="A1074" s="328"/>
      <c r="B1074" s="16" t="s">
        <v>36</v>
      </c>
      <c r="C1074" s="16" t="s">
        <v>133</v>
      </c>
      <c r="D1074" s="7" t="s">
        <v>1221</v>
      </c>
      <c r="E1074" s="7"/>
      <c r="F1074" s="6" t="s">
        <v>1222</v>
      </c>
      <c r="G1074" s="6" t="s">
        <v>39</v>
      </c>
      <c r="H1074" s="17">
        <v>2353.71</v>
      </c>
      <c r="I1074" s="39" t="s">
        <v>142</v>
      </c>
      <c r="J1074" s="7">
        <v>38219</v>
      </c>
      <c r="K1074" s="331">
        <v>90</v>
      </c>
      <c r="L1074" s="23">
        <f>+J1074+K1074</f>
        <v>38309</v>
      </c>
      <c r="M1074" s="18" t="s">
        <v>41</v>
      </c>
      <c r="N1074" s="6" t="s">
        <v>42</v>
      </c>
      <c r="O1074" s="7">
        <v>38245</v>
      </c>
      <c r="P1074" s="331">
        <f>IF(S1074="","",+S1074-L1074)</f>
        <v>-57</v>
      </c>
      <c r="Q1074" s="331"/>
      <c r="R1074" s="331"/>
      <c r="S1074" s="175">
        <v>38252</v>
      </c>
      <c r="T1074" s="175">
        <v>38263</v>
      </c>
      <c r="U1074" s="331">
        <f>IF(T1074="","",+T1074-J1074)</f>
        <v>44</v>
      </c>
      <c r="V1074" s="6" t="s">
        <v>1254</v>
      </c>
      <c r="W1074" s="47">
        <v>1044</v>
      </c>
      <c r="X1074" s="6" t="s">
        <v>47</v>
      </c>
      <c r="Y1074" s="177"/>
      <c r="Z1074" s="6">
        <v>6657506144</v>
      </c>
      <c r="AA1074" s="6" t="s">
        <v>47</v>
      </c>
      <c r="AB1074" s="6" t="s">
        <v>47</v>
      </c>
      <c r="AC1074" s="7"/>
      <c r="AD1074" s="10" t="str">
        <f>IF(S1074&lt;=L1074,"en término","atrasado")</f>
        <v>en término</v>
      </c>
    </row>
    <row r="1075" spans="1:30" s="9" customFormat="1" ht="12" thickBot="1" x14ac:dyDescent="0.25">
      <c r="A1075" s="328"/>
      <c r="B1075" s="19"/>
      <c r="C1075" s="19"/>
      <c r="D1075" s="5"/>
      <c r="E1075" s="5"/>
      <c r="F1075" s="5" t="s">
        <v>1298</v>
      </c>
      <c r="G1075" s="5"/>
      <c r="H1075" s="105"/>
      <c r="I1075" s="21"/>
      <c r="J1075" s="27"/>
      <c r="K1075" s="27"/>
      <c r="L1075" s="27"/>
      <c r="M1075" s="5"/>
      <c r="N1075" s="5"/>
      <c r="O1075" s="5"/>
      <c r="P1075" s="5"/>
      <c r="Q1075" s="5"/>
      <c r="R1075" s="5"/>
      <c r="S1075" s="5"/>
      <c r="T1075" s="5"/>
      <c r="U1075" s="5"/>
      <c r="V1075" s="224"/>
      <c r="W1075" s="36"/>
      <c r="X1075" s="5"/>
      <c r="Y1075" s="182"/>
      <c r="Z1075" s="5"/>
      <c r="AA1075" s="27">
        <v>38639</v>
      </c>
      <c r="AB1075" s="27"/>
      <c r="AC1075" s="5"/>
      <c r="AD1075" s="330"/>
    </row>
    <row r="1076" spans="1:30" s="9" customFormat="1" x14ac:dyDescent="0.2">
      <c r="A1076" s="328"/>
      <c r="B1076" s="16"/>
      <c r="C1076" s="16"/>
      <c r="D1076" s="7"/>
      <c r="E1076" s="7"/>
      <c r="F1076" s="6"/>
      <c r="G1076" s="6"/>
      <c r="H1076" s="17"/>
      <c r="I1076" s="17"/>
      <c r="J1076" s="7"/>
      <c r="K1076" s="7"/>
      <c r="L1076" s="23"/>
      <c r="M1076" s="6"/>
      <c r="N1076" s="6"/>
      <c r="O1076" s="91"/>
      <c r="P1076" s="7"/>
      <c r="Q1076" s="7"/>
      <c r="R1076" s="7"/>
      <c r="S1076" s="7"/>
      <c r="T1076" s="7"/>
      <c r="U1076" s="7"/>
      <c r="V1076" s="138"/>
      <c r="W1076" s="47"/>
      <c r="X1076" s="12"/>
      <c r="Y1076" s="177"/>
      <c r="Z1076" s="6"/>
      <c r="AA1076" s="6"/>
      <c r="AB1076" s="6"/>
      <c r="AC1076" s="6"/>
      <c r="AD1076" s="330"/>
    </row>
    <row r="1077" spans="1:30" s="9" customFormat="1" x14ac:dyDescent="0.2">
      <c r="A1077" s="328"/>
      <c r="B1077" s="16" t="s">
        <v>36</v>
      </c>
      <c r="C1077" s="16" t="s">
        <v>133</v>
      </c>
      <c r="D1077" s="7" t="s">
        <v>1221</v>
      </c>
      <c r="E1077" s="7"/>
      <c r="F1077" s="6" t="s">
        <v>1222</v>
      </c>
      <c r="G1077" s="6" t="s">
        <v>39</v>
      </c>
      <c r="H1077" s="17">
        <v>43280.99</v>
      </c>
      <c r="I1077" s="39" t="s">
        <v>52</v>
      </c>
      <c r="J1077" s="7">
        <v>38222</v>
      </c>
      <c r="K1077" s="331">
        <v>30</v>
      </c>
      <c r="L1077" s="23">
        <f>+J1077+K1077</f>
        <v>38252</v>
      </c>
      <c r="M1077" s="18" t="s">
        <v>41</v>
      </c>
      <c r="N1077" s="6" t="s">
        <v>42</v>
      </c>
      <c r="O1077" s="7">
        <v>38245</v>
      </c>
      <c r="P1077" s="331">
        <f>IF(S1077="","",+S1077-L1077)</f>
        <v>0</v>
      </c>
      <c r="Q1077" s="331"/>
      <c r="R1077" s="331"/>
      <c r="S1077" s="175">
        <v>38252</v>
      </c>
      <c r="T1077" s="175">
        <v>38263</v>
      </c>
      <c r="U1077" s="331">
        <f>IF(T1077="","",+T1077-J1077)</f>
        <v>41</v>
      </c>
      <c r="V1077" s="6" t="s">
        <v>955</v>
      </c>
      <c r="W1077" s="47">
        <v>1042</v>
      </c>
      <c r="X1077" s="6" t="s">
        <v>47</v>
      </c>
      <c r="Y1077" s="177"/>
      <c r="Z1077" s="6">
        <v>6657506144</v>
      </c>
      <c r="AA1077" s="6" t="s">
        <v>47</v>
      </c>
      <c r="AB1077" s="6" t="s">
        <v>47</v>
      </c>
      <c r="AC1077" s="7"/>
      <c r="AD1077" s="10" t="str">
        <f>IF(S1077&lt;=L1077,"en término","atrasado")</f>
        <v>en término</v>
      </c>
    </row>
    <row r="1078" spans="1:30" s="9" customFormat="1" ht="12" thickBot="1" x14ac:dyDescent="0.25">
      <c r="A1078" s="328"/>
      <c r="B1078" s="19"/>
      <c r="C1078" s="19"/>
      <c r="D1078" s="5"/>
      <c r="E1078" s="5"/>
      <c r="F1078" s="5" t="s">
        <v>1299</v>
      </c>
      <c r="G1078" s="5"/>
      <c r="H1078" s="105"/>
      <c r="I1078" s="21"/>
      <c r="J1078" s="27"/>
      <c r="K1078" s="27"/>
      <c r="L1078" s="27"/>
      <c r="M1078" s="5"/>
      <c r="N1078" s="5"/>
      <c r="O1078" s="5"/>
      <c r="P1078" s="5"/>
      <c r="Q1078" s="5"/>
      <c r="R1078" s="5"/>
      <c r="S1078" s="5"/>
      <c r="T1078" s="5"/>
      <c r="U1078" s="5"/>
      <c r="V1078" s="224"/>
      <c r="W1078" s="36"/>
      <c r="X1078" s="5"/>
      <c r="Y1078" s="182"/>
      <c r="Z1078" s="5"/>
      <c r="AA1078" s="5" t="s">
        <v>1300</v>
      </c>
      <c r="AB1078" s="5"/>
      <c r="AC1078" s="5"/>
      <c r="AD1078" s="330"/>
    </row>
    <row r="1079" spans="1:30" s="9" customFormat="1" x14ac:dyDescent="0.2">
      <c r="A1079" s="328"/>
      <c r="B1079" s="16"/>
      <c r="C1079" s="16"/>
      <c r="D1079" s="7"/>
      <c r="E1079" s="7"/>
      <c r="F1079" s="6"/>
      <c r="G1079" s="6"/>
      <c r="H1079" s="17"/>
      <c r="I1079" s="17"/>
      <c r="J1079" s="7"/>
      <c r="K1079" s="7"/>
      <c r="L1079" s="23"/>
      <c r="M1079" s="6"/>
      <c r="N1079" s="6"/>
      <c r="O1079" s="91"/>
      <c r="P1079" s="7"/>
      <c r="Q1079" s="7"/>
      <c r="R1079" s="7"/>
      <c r="S1079" s="7"/>
      <c r="T1079" s="7"/>
      <c r="U1079" s="7"/>
      <c r="V1079" s="138"/>
      <c r="W1079" s="47"/>
      <c r="X1079" s="12"/>
      <c r="Y1079" s="177"/>
      <c r="Z1079" s="6"/>
      <c r="AA1079" s="6"/>
      <c r="AB1079" s="6"/>
      <c r="AC1079" s="6"/>
      <c r="AD1079" s="330"/>
    </row>
    <row r="1080" spans="1:30" s="9" customFormat="1" x14ac:dyDescent="0.2">
      <c r="A1080" s="328"/>
      <c r="B1080" s="16" t="s">
        <v>36</v>
      </c>
      <c r="C1080" s="16" t="s">
        <v>133</v>
      </c>
      <c r="D1080" s="7" t="s">
        <v>1221</v>
      </c>
      <c r="E1080" s="7"/>
      <c r="F1080" s="6" t="s">
        <v>1222</v>
      </c>
      <c r="G1080" s="6" t="s">
        <v>39</v>
      </c>
      <c r="H1080" s="17">
        <v>40344.959999999999</v>
      </c>
      <c r="I1080" s="39" t="s">
        <v>40</v>
      </c>
      <c r="J1080" s="7">
        <v>38231</v>
      </c>
      <c r="K1080" s="331">
        <v>30</v>
      </c>
      <c r="L1080" s="23">
        <f>+J1080+K1080</f>
        <v>38261</v>
      </c>
      <c r="M1080" s="18" t="s">
        <v>41</v>
      </c>
      <c r="N1080" s="6" t="s">
        <v>42</v>
      </c>
      <c r="O1080" s="7">
        <v>38245</v>
      </c>
      <c r="P1080" s="331">
        <f>IF(S1080="","",+S1080-L1080)</f>
        <v>-9</v>
      </c>
      <c r="Q1080" s="331"/>
      <c r="R1080" s="331"/>
      <c r="S1080" s="175">
        <v>38252</v>
      </c>
      <c r="T1080" s="175">
        <v>38263</v>
      </c>
      <c r="U1080" s="331">
        <f>IF(T1080="","",+T1080-J1080)</f>
        <v>32</v>
      </c>
      <c r="V1080" s="6" t="s">
        <v>1293</v>
      </c>
      <c r="W1080" s="47">
        <v>1043</v>
      </c>
      <c r="X1080" s="6" t="s">
        <v>47</v>
      </c>
      <c r="Y1080" s="177"/>
      <c r="Z1080" s="6">
        <v>6657506144</v>
      </c>
      <c r="AA1080" s="6" t="s">
        <v>47</v>
      </c>
      <c r="AB1080" s="6" t="s">
        <v>47</v>
      </c>
      <c r="AC1080" s="7"/>
      <c r="AD1080" s="10" t="str">
        <f>IF(S1080&lt;=L1080,"en término","atrasado")</f>
        <v>en término</v>
      </c>
    </row>
    <row r="1081" spans="1:30" s="9" customFormat="1" ht="12" thickBot="1" x14ac:dyDescent="0.25">
      <c r="A1081" s="328"/>
      <c r="B1081" s="19"/>
      <c r="C1081" s="19"/>
      <c r="D1081" s="5"/>
      <c r="E1081" s="5"/>
      <c r="F1081" s="5" t="s">
        <v>1301</v>
      </c>
      <c r="G1081" s="5"/>
      <c r="H1081" s="105"/>
      <c r="I1081" s="21"/>
      <c r="J1081" s="27"/>
      <c r="K1081" s="27"/>
      <c r="L1081" s="27"/>
      <c r="M1081" s="5"/>
      <c r="N1081" s="5"/>
      <c r="O1081" s="5"/>
      <c r="P1081" s="5"/>
      <c r="Q1081" s="5"/>
      <c r="R1081" s="5"/>
      <c r="S1081" s="5"/>
      <c r="T1081" s="5"/>
      <c r="U1081" s="5"/>
      <c r="V1081" s="224"/>
      <c r="W1081" s="36"/>
      <c r="X1081" s="5"/>
      <c r="Y1081" s="182"/>
      <c r="Z1081" s="5"/>
      <c r="AA1081" s="27">
        <v>38639</v>
      </c>
      <c r="AB1081" s="27"/>
      <c r="AC1081" s="5"/>
      <c r="AD1081" s="330"/>
    </row>
    <row r="1082" spans="1:30" s="9" customFormat="1" x14ac:dyDescent="0.2">
      <c r="A1082" s="328"/>
      <c r="B1082" s="16"/>
      <c r="C1082" s="16"/>
      <c r="D1082" s="7"/>
      <c r="E1082" s="7"/>
      <c r="F1082" s="6"/>
      <c r="G1082" s="6"/>
      <c r="H1082" s="17"/>
      <c r="I1082" s="17"/>
      <c r="J1082" s="7"/>
      <c r="K1082" s="7"/>
      <c r="L1082" s="23"/>
      <c r="M1082" s="6"/>
      <c r="N1082" s="6"/>
      <c r="O1082" s="91"/>
      <c r="P1082" s="7"/>
      <c r="Q1082" s="7"/>
      <c r="R1082" s="7"/>
      <c r="S1082" s="7"/>
      <c r="T1082" s="7"/>
      <c r="U1082" s="7"/>
      <c r="V1082" s="138"/>
      <c r="W1082" s="47"/>
      <c r="X1082" s="12"/>
      <c r="Y1082" s="177"/>
      <c r="Z1082" s="6"/>
      <c r="AA1082" s="6"/>
      <c r="AB1082" s="6"/>
      <c r="AC1082" s="6"/>
      <c r="AD1082" s="330"/>
    </row>
    <row r="1083" spans="1:30" s="9" customFormat="1" x14ac:dyDescent="0.2">
      <c r="A1083" s="328"/>
      <c r="B1083" s="16" t="s">
        <v>36</v>
      </c>
      <c r="C1083" s="16" t="s">
        <v>133</v>
      </c>
      <c r="D1083" s="7" t="s">
        <v>1221</v>
      </c>
      <c r="E1083" s="7"/>
      <c r="F1083" s="6" t="s">
        <v>1222</v>
      </c>
      <c r="G1083" s="6" t="s">
        <v>39</v>
      </c>
      <c r="H1083" s="17">
        <v>15736.32</v>
      </c>
      <c r="I1083" s="39" t="s">
        <v>142</v>
      </c>
      <c r="J1083" s="7">
        <v>38202</v>
      </c>
      <c r="K1083" s="331">
        <v>90</v>
      </c>
      <c r="L1083" s="23">
        <f>+J1083+K1083</f>
        <v>38292</v>
      </c>
      <c r="M1083" s="18" t="s">
        <v>41</v>
      </c>
      <c r="N1083" s="6" t="s">
        <v>42</v>
      </c>
      <c r="O1083" s="7">
        <v>38245</v>
      </c>
      <c r="P1083" s="331">
        <f>IF(S1083="","",+S1083-L1083)</f>
        <v>-40</v>
      </c>
      <c r="Q1083" s="331"/>
      <c r="R1083" s="331"/>
      <c r="S1083" s="175">
        <v>38252</v>
      </c>
      <c r="T1083" s="175">
        <v>38263</v>
      </c>
      <c r="U1083" s="331">
        <f>IF(T1083="","",+T1083-J1083)</f>
        <v>61</v>
      </c>
      <c r="V1083" s="6" t="s">
        <v>1193</v>
      </c>
      <c r="W1083" s="47">
        <v>1041</v>
      </c>
      <c r="X1083" s="6" t="s">
        <v>47</v>
      </c>
      <c r="Y1083" s="177"/>
      <c r="Z1083" s="6">
        <v>6657506144</v>
      </c>
      <c r="AA1083" s="6" t="s">
        <v>47</v>
      </c>
      <c r="AB1083" s="6" t="s">
        <v>47</v>
      </c>
      <c r="AC1083" s="7"/>
      <c r="AD1083" s="10" t="str">
        <f>IF(S1083&lt;=L1083,"en término","atrasado")</f>
        <v>en término</v>
      </c>
    </row>
    <row r="1084" spans="1:30" s="9" customFormat="1" ht="12" thickBot="1" x14ac:dyDescent="0.25">
      <c r="A1084" s="328"/>
      <c r="B1084" s="19"/>
      <c r="C1084" s="19"/>
      <c r="D1084" s="5"/>
      <c r="E1084" s="5"/>
      <c r="F1084" s="5" t="s">
        <v>1302</v>
      </c>
      <c r="G1084" s="5"/>
      <c r="H1084" s="105"/>
      <c r="I1084" s="21"/>
      <c r="J1084" s="27"/>
      <c r="K1084" s="27"/>
      <c r="L1084" s="27"/>
      <c r="M1084" s="5"/>
      <c r="N1084" s="5"/>
      <c r="O1084" s="5"/>
      <c r="P1084" s="5"/>
      <c r="Q1084" s="5"/>
      <c r="R1084" s="5"/>
      <c r="S1084" s="27"/>
      <c r="T1084" s="5"/>
      <c r="U1084" s="5"/>
      <c r="V1084" s="224"/>
      <c r="W1084" s="36"/>
      <c r="X1084" s="5"/>
      <c r="Y1084" s="182"/>
      <c r="Z1084" s="5"/>
      <c r="AA1084" s="5" t="s">
        <v>1303</v>
      </c>
      <c r="AB1084" s="5">
        <v>38399</v>
      </c>
      <c r="AC1084" s="27"/>
      <c r="AD1084" s="330"/>
    </row>
    <row r="1085" spans="1:30" s="9" customFormat="1" x14ac:dyDescent="0.2">
      <c r="A1085" s="328"/>
      <c r="B1085" s="16"/>
      <c r="C1085" s="16"/>
      <c r="D1085" s="7"/>
      <c r="E1085" s="7"/>
      <c r="F1085" s="6"/>
      <c r="G1085" s="6"/>
      <c r="H1085" s="17"/>
      <c r="I1085" s="17"/>
      <c r="J1085" s="7"/>
      <c r="K1085" s="7"/>
      <c r="L1085" s="348"/>
      <c r="M1085" s="6"/>
      <c r="N1085" s="6"/>
      <c r="O1085" s="189"/>
      <c r="P1085" s="7"/>
      <c r="Q1085" s="7"/>
      <c r="R1085" s="7"/>
      <c r="S1085" s="7"/>
      <c r="T1085" s="18"/>
      <c r="U1085" s="7"/>
      <c r="V1085" s="138"/>
      <c r="W1085" s="47"/>
      <c r="X1085" s="57"/>
      <c r="Y1085" s="177"/>
      <c r="Z1085" s="6"/>
      <c r="AA1085" s="6"/>
      <c r="AB1085" s="6"/>
      <c r="AC1085" s="6"/>
      <c r="AD1085" s="330"/>
    </row>
    <row r="1086" spans="1:30" s="9" customFormat="1" x14ac:dyDescent="0.2">
      <c r="A1086" s="328"/>
      <c r="B1086" s="16" t="s">
        <v>36</v>
      </c>
      <c r="C1086" s="16" t="s">
        <v>37</v>
      </c>
      <c r="D1086" s="7" t="s">
        <v>1281</v>
      </c>
      <c r="E1086" s="7"/>
      <c r="F1086" s="6" t="s">
        <v>1304</v>
      </c>
      <c r="G1086" s="6" t="s">
        <v>39</v>
      </c>
      <c r="H1086" s="17">
        <v>3145.5</v>
      </c>
      <c r="I1086" s="39" t="s">
        <v>142</v>
      </c>
      <c r="J1086" s="18">
        <v>38219</v>
      </c>
      <c r="K1086" s="331">
        <v>30</v>
      </c>
      <c r="L1086" s="348">
        <f>+J1086+K1086</f>
        <v>38249</v>
      </c>
      <c r="M1086" s="18" t="s">
        <v>41</v>
      </c>
      <c r="N1086" s="6" t="s">
        <v>42</v>
      </c>
      <c r="O1086" s="18">
        <v>38245</v>
      </c>
      <c r="P1086" s="331">
        <f>IF(S1086="","",+S1086-L1086)</f>
        <v>3</v>
      </c>
      <c r="Q1086" s="331"/>
      <c r="R1086" s="331"/>
      <c r="S1086" s="349">
        <v>38252</v>
      </c>
      <c r="T1086" s="349">
        <v>38263</v>
      </c>
      <c r="U1086" s="331">
        <f>IF(T1086="","",+T1086-J1086)</f>
        <v>44</v>
      </c>
      <c r="V1086" s="6" t="s">
        <v>53</v>
      </c>
      <c r="W1086" s="47">
        <v>1045</v>
      </c>
      <c r="X1086" s="59"/>
      <c r="Y1086" s="177"/>
      <c r="Z1086" s="6">
        <v>6657506144</v>
      </c>
      <c r="AA1086" s="6" t="s">
        <v>47</v>
      </c>
      <c r="AB1086" s="6" t="s">
        <v>47</v>
      </c>
      <c r="AC1086" s="18"/>
      <c r="AD1086" s="10" t="str">
        <f>IF(S1086&lt;=L1086,"en término","atrasado")</f>
        <v>atrasado</v>
      </c>
    </row>
    <row r="1087" spans="1:30" s="9" customFormat="1" ht="12" thickBot="1" x14ac:dyDescent="0.25">
      <c r="A1087" s="328"/>
      <c r="B1087" s="19"/>
      <c r="C1087" s="19"/>
      <c r="D1087" s="5"/>
      <c r="E1087" s="5"/>
      <c r="F1087" s="5" t="s">
        <v>1286</v>
      </c>
      <c r="G1087" s="5"/>
      <c r="H1087" s="105"/>
      <c r="I1087" s="21"/>
      <c r="J1087" s="27"/>
      <c r="K1087" s="27"/>
      <c r="L1087" s="187"/>
      <c r="M1087" s="5"/>
      <c r="N1087" s="5"/>
      <c r="O1087" s="187"/>
      <c r="P1087" s="5"/>
      <c r="Q1087" s="5"/>
      <c r="R1087" s="5"/>
      <c r="S1087" s="27"/>
      <c r="T1087" s="187"/>
      <c r="U1087" s="5"/>
      <c r="V1087" s="224"/>
      <c r="W1087" s="36"/>
      <c r="X1087" s="61"/>
      <c r="Y1087" s="182"/>
      <c r="Z1087" s="5"/>
      <c r="AA1087" s="5"/>
      <c r="AB1087" s="5">
        <v>38324</v>
      </c>
      <c r="AC1087" s="27"/>
      <c r="AD1087" s="330"/>
    </row>
    <row r="1088" spans="1:30" s="9" customFormat="1" x14ac:dyDescent="0.2">
      <c r="A1088" s="328"/>
      <c r="B1088" s="11"/>
      <c r="C1088" s="16"/>
      <c r="D1088" s="7"/>
      <c r="E1088" s="7"/>
      <c r="F1088" s="6"/>
      <c r="G1088" s="6"/>
      <c r="H1088" s="17"/>
      <c r="I1088" s="17"/>
      <c r="J1088" s="7"/>
      <c r="K1088" s="7"/>
      <c r="L1088" s="23"/>
      <c r="M1088" s="6"/>
      <c r="N1088" s="6"/>
      <c r="O1088" s="91"/>
      <c r="P1088" s="7"/>
      <c r="Q1088" s="7"/>
      <c r="R1088" s="7"/>
      <c r="S1088" s="7" t="s">
        <v>1305</v>
      </c>
      <c r="T1088" s="7"/>
      <c r="U1088" s="7"/>
      <c r="V1088" s="220"/>
      <c r="W1088" s="47"/>
      <c r="X1088" s="12"/>
      <c r="Y1088" s="177"/>
      <c r="Z1088" s="6"/>
      <c r="AA1088" s="6"/>
      <c r="AB1088" s="6"/>
      <c r="AC1088" s="6"/>
      <c r="AD1088" s="330"/>
    </row>
    <row r="1089" spans="1:30" s="9" customFormat="1" x14ac:dyDescent="0.2">
      <c r="A1089" s="328"/>
      <c r="B1089" s="16" t="s">
        <v>36</v>
      </c>
      <c r="C1089" s="16" t="s">
        <v>133</v>
      </c>
      <c r="D1089" s="7" t="s">
        <v>1221</v>
      </c>
      <c r="E1089" s="7"/>
      <c r="F1089" s="6" t="s">
        <v>1222</v>
      </c>
      <c r="G1089" s="6" t="s">
        <v>39</v>
      </c>
      <c r="H1089" s="17">
        <v>29615.03</v>
      </c>
      <c r="I1089" s="39" t="s">
        <v>52</v>
      </c>
      <c r="J1089" s="7">
        <v>38280</v>
      </c>
      <c r="K1089" s="331">
        <v>30</v>
      </c>
      <c r="L1089" s="23">
        <f>+J1089+K1089</f>
        <v>38310</v>
      </c>
      <c r="M1089" s="18" t="s">
        <v>41</v>
      </c>
      <c r="N1089" s="6" t="s">
        <v>42</v>
      </c>
      <c r="O1089" s="7">
        <v>38274</v>
      </c>
      <c r="P1089" s="331">
        <f>IF(S1089="","",+S1089-L1089)</f>
        <v>-30</v>
      </c>
      <c r="Q1089" s="331"/>
      <c r="R1089" s="331"/>
      <c r="S1089" s="175">
        <v>38280</v>
      </c>
      <c r="T1089" s="175">
        <v>38291</v>
      </c>
      <c r="U1089" s="331">
        <f>IF(T1089="","",+T1089-J1089)</f>
        <v>11</v>
      </c>
      <c r="V1089" s="6" t="s">
        <v>1254</v>
      </c>
      <c r="W1089" s="47">
        <v>1052</v>
      </c>
      <c r="X1089" s="6" t="s">
        <v>47</v>
      </c>
      <c r="Y1089" s="177"/>
      <c r="Z1089" s="6">
        <v>6656007142</v>
      </c>
      <c r="AA1089" s="6" t="s">
        <v>47</v>
      </c>
      <c r="AB1089" s="6" t="s">
        <v>47</v>
      </c>
      <c r="AC1089" s="7"/>
      <c r="AD1089" s="10" t="str">
        <f>IF(S1089&lt;=L1089,"en término","atrasado")</f>
        <v>en término</v>
      </c>
    </row>
    <row r="1090" spans="1:30" s="9" customFormat="1" ht="12" thickBot="1" x14ac:dyDescent="0.25">
      <c r="A1090" s="328"/>
      <c r="B1090" s="19"/>
      <c r="C1090" s="19"/>
      <c r="D1090" s="5"/>
      <c r="E1090" s="5"/>
      <c r="F1090" s="5" t="s">
        <v>1306</v>
      </c>
      <c r="G1090" s="5"/>
      <c r="H1090" s="105"/>
      <c r="I1090" s="21"/>
      <c r="J1090" s="27"/>
      <c r="K1090" s="27"/>
      <c r="L1090" s="27"/>
      <c r="M1090" s="5"/>
      <c r="N1090" s="5"/>
      <c r="O1090" s="5"/>
      <c r="P1090" s="5"/>
      <c r="Q1090" s="5"/>
      <c r="R1090" s="5"/>
      <c r="S1090" s="5"/>
      <c r="T1090" s="5"/>
      <c r="U1090" s="5"/>
      <c r="V1090" s="224"/>
      <c r="W1090" s="36"/>
      <c r="X1090" s="5"/>
      <c r="Y1090" s="182"/>
      <c r="Z1090" s="5"/>
      <c r="AA1090" s="27">
        <v>38662</v>
      </c>
      <c r="AB1090" s="27"/>
      <c r="AC1090" s="5"/>
      <c r="AD1090" s="330"/>
    </row>
    <row r="1091" spans="1:30" s="9" customFormat="1" x14ac:dyDescent="0.2">
      <c r="A1091" s="328"/>
      <c r="B1091" s="11"/>
      <c r="C1091" s="16"/>
      <c r="D1091" s="7"/>
      <c r="E1091" s="7"/>
      <c r="F1091" s="6"/>
      <c r="G1091" s="6"/>
      <c r="H1091" s="17"/>
      <c r="I1091" s="17"/>
      <c r="J1091" s="7"/>
      <c r="K1091" s="7"/>
      <c r="L1091" s="23"/>
      <c r="M1091" s="6"/>
      <c r="N1091" s="6"/>
      <c r="O1091" s="91"/>
      <c r="P1091" s="7"/>
      <c r="Q1091" s="7"/>
      <c r="R1091" s="7"/>
      <c r="S1091" s="7" t="s">
        <v>1305</v>
      </c>
      <c r="T1091" s="7"/>
      <c r="U1091" s="7"/>
      <c r="V1091" s="220"/>
      <c r="W1091" s="47"/>
      <c r="X1091" s="12"/>
      <c r="Y1091" s="177"/>
      <c r="Z1091" s="6"/>
      <c r="AA1091" s="6"/>
      <c r="AB1091" s="6"/>
      <c r="AC1091" s="6"/>
      <c r="AD1091" s="330"/>
    </row>
    <row r="1092" spans="1:30" s="9" customFormat="1" x14ac:dyDescent="0.2">
      <c r="A1092" s="328"/>
      <c r="B1092" s="16" t="s">
        <v>36</v>
      </c>
      <c r="C1092" s="16" t="s">
        <v>133</v>
      </c>
      <c r="D1092" s="7" t="s">
        <v>1221</v>
      </c>
      <c r="E1092" s="7"/>
      <c r="F1092" s="6" t="s">
        <v>1222</v>
      </c>
      <c r="G1092" s="6" t="s">
        <v>39</v>
      </c>
      <c r="H1092" s="17">
        <v>64045.01</v>
      </c>
      <c r="I1092" s="39" t="s">
        <v>52</v>
      </c>
      <c r="J1092" s="7">
        <v>38250</v>
      </c>
      <c r="K1092" s="331">
        <v>30</v>
      </c>
      <c r="L1092" s="23">
        <f>+J1092+K1092</f>
        <v>38280</v>
      </c>
      <c r="M1092" s="18" t="s">
        <v>41</v>
      </c>
      <c r="N1092" s="6" t="s">
        <v>42</v>
      </c>
      <c r="O1092" s="7">
        <v>38274</v>
      </c>
      <c r="P1092" s="331">
        <f>IF(S1092="","",+S1092-L1092)</f>
        <v>0</v>
      </c>
      <c r="Q1092" s="331"/>
      <c r="R1092" s="331"/>
      <c r="S1092" s="175">
        <v>38280</v>
      </c>
      <c r="T1092" s="175">
        <v>38291</v>
      </c>
      <c r="U1092" s="331">
        <f>IF(T1092="","",+T1092-J1092)</f>
        <v>41</v>
      </c>
      <c r="V1092" s="6" t="s">
        <v>1307</v>
      </c>
      <c r="W1092" s="47">
        <v>1051</v>
      </c>
      <c r="X1092" s="6" t="s">
        <v>47</v>
      </c>
      <c r="Y1092" s="177"/>
      <c r="Z1092" s="6">
        <v>6656007142</v>
      </c>
      <c r="AA1092" s="6" t="s">
        <v>47</v>
      </c>
      <c r="AB1092" s="6" t="s">
        <v>47</v>
      </c>
      <c r="AC1092" s="7"/>
      <c r="AD1092" s="10" t="str">
        <f>IF(S1092&lt;=L1092,"en término","atrasado")</f>
        <v>en término</v>
      </c>
    </row>
    <row r="1093" spans="1:30" s="9" customFormat="1" ht="12" thickBot="1" x14ac:dyDescent="0.25">
      <c r="A1093" s="328"/>
      <c r="B1093" s="19"/>
      <c r="C1093" s="19"/>
      <c r="D1093" s="5"/>
      <c r="E1093" s="5"/>
      <c r="F1093" s="5" t="s">
        <v>1308</v>
      </c>
      <c r="G1093" s="5"/>
      <c r="H1093" s="105"/>
      <c r="I1093" s="21"/>
      <c r="J1093" s="27"/>
      <c r="K1093" s="27"/>
      <c r="L1093" s="27"/>
      <c r="M1093" s="5"/>
      <c r="N1093" s="5"/>
      <c r="O1093" s="5"/>
      <c r="P1093" s="5"/>
      <c r="Q1093" s="5"/>
      <c r="R1093" s="5"/>
      <c r="S1093" s="5"/>
      <c r="T1093" s="5"/>
      <c r="U1093" s="5"/>
      <c r="V1093" s="224"/>
      <c r="W1093" s="36"/>
      <c r="X1093" s="5"/>
      <c r="Y1093" s="182"/>
      <c r="Z1093" s="5"/>
      <c r="AA1093" s="27">
        <v>38662</v>
      </c>
      <c r="AB1093" s="27"/>
      <c r="AC1093" s="5"/>
      <c r="AD1093" s="330"/>
    </row>
    <row r="1094" spans="1:30" s="9" customFormat="1" x14ac:dyDescent="0.2">
      <c r="A1094" s="328"/>
      <c r="B1094" s="16"/>
      <c r="C1094" s="16"/>
      <c r="D1094" s="7"/>
      <c r="E1094" s="7"/>
      <c r="F1094" s="6"/>
      <c r="G1094" s="6"/>
      <c r="H1094" s="17"/>
      <c r="I1094" s="17"/>
      <c r="J1094" s="7"/>
      <c r="K1094" s="7"/>
      <c r="L1094" s="23"/>
      <c r="M1094" s="6"/>
      <c r="N1094" s="6"/>
      <c r="O1094" s="91"/>
      <c r="P1094" s="7"/>
      <c r="Q1094" s="7"/>
      <c r="R1094" s="7"/>
      <c r="S1094" s="7" t="s">
        <v>1305</v>
      </c>
      <c r="T1094" s="7"/>
      <c r="U1094" s="7"/>
      <c r="V1094" s="138"/>
      <c r="W1094" s="47"/>
      <c r="X1094" s="12"/>
      <c r="Y1094" s="177"/>
      <c r="Z1094" s="6"/>
      <c r="AA1094" s="6"/>
      <c r="AB1094" s="6"/>
      <c r="AC1094" s="6"/>
      <c r="AD1094" s="330"/>
    </row>
    <row r="1095" spans="1:30" s="9" customFormat="1" x14ac:dyDescent="0.2">
      <c r="A1095" s="328"/>
      <c r="B1095" s="16" t="s">
        <v>36</v>
      </c>
      <c r="C1095" s="16" t="s">
        <v>133</v>
      </c>
      <c r="D1095" s="7" t="s">
        <v>1221</v>
      </c>
      <c r="E1095" s="7"/>
      <c r="F1095" s="6" t="s">
        <v>1222</v>
      </c>
      <c r="G1095" s="6" t="s">
        <v>39</v>
      </c>
      <c r="H1095" s="17">
        <v>8093.97</v>
      </c>
      <c r="I1095" s="39" t="s">
        <v>142</v>
      </c>
      <c r="J1095" s="7">
        <v>38197</v>
      </c>
      <c r="K1095" s="331">
        <v>90</v>
      </c>
      <c r="L1095" s="23">
        <f>+J1095+K1095</f>
        <v>38287</v>
      </c>
      <c r="M1095" s="18" t="s">
        <v>41</v>
      </c>
      <c r="N1095" s="6" t="s">
        <v>42</v>
      </c>
      <c r="O1095" s="7">
        <v>38274</v>
      </c>
      <c r="P1095" s="331">
        <f>IF(S1095="","",+S1095-L1095)</f>
        <v>-7</v>
      </c>
      <c r="Q1095" s="331"/>
      <c r="R1095" s="331"/>
      <c r="S1095" s="175">
        <v>38280</v>
      </c>
      <c r="T1095" s="175">
        <v>38291</v>
      </c>
      <c r="U1095" s="331">
        <f>IF(T1095="","",+T1095-J1095)</f>
        <v>94</v>
      </c>
      <c r="V1095" s="6" t="s">
        <v>378</v>
      </c>
      <c r="W1095" s="47">
        <v>1049</v>
      </c>
      <c r="X1095" s="6" t="s">
        <v>47</v>
      </c>
      <c r="Y1095" s="177"/>
      <c r="Z1095" s="6">
        <v>6656007142</v>
      </c>
      <c r="AA1095" s="6" t="s">
        <v>47</v>
      </c>
      <c r="AB1095" s="6" t="s">
        <v>47</v>
      </c>
      <c r="AC1095" s="7"/>
      <c r="AD1095" s="10" t="str">
        <f>IF(S1095&lt;=L1095,"en término","atrasado")</f>
        <v>en término</v>
      </c>
    </row>
    <row r="1096" spans="1:30" s="9" customFormat="1" ht="12" thickBot="1" x14ac:dyDescent="0.25">
      <c r="A1096" s="328"/>
      <c r="B1096" s="19"/>
      <c r="C1096" s="19"/>
      <c r="D1096" s="5"/>
      <c r="E1096" s="5"/>
      <c r="F1096" s="5" t="s">
        <v>1309</v>
      </c>
      <c r="G1096" s="5"/>
      <c r="H1096" s="105"/>
      <c r="I1096" s="21"/>
      <c r="J1096" s="27"/>
      <c r="K1096" s="27"/>
      <c r="L1096" s="27"/>
      <c r="M1096" s="5"/>
      <c r="N1096" s="5"/>
      <c r="O1096" s="5"/>
      <c r="P1096" s="5"/>
      <c r="Q1096" s="5"/>
      <c r="R1096" s="5"/>
      <c r="S1096" s="27"/>
      <c r="T1096" s="5"/>
      <c r="U1096" s="5"/>
      <c r="V1096" s="224"/>
      <c r="W1096" s="36"/>
      <c r="X1096" s="5"/>
      <c r="Y1096" s="182"/>
      <c r="Z1096" s="5"/>
      <c r="AA1096" s="27">
        <v>38662</v>
      </c>
      <c r="AB1096" s="27">
        <v>38400</v>
      </c>
      <c r="AC1096" s="27"/>
      <c r="AD1096" s="330"/>
    </row>
    <row r="1097" spans="1:30" s="9" customFormat="1" x14ac:dyDescent="0.2">
      <c r="A1097" s="328"/>
      <c r="B1097" s="16"/>
      <c r="C1097" s="16"/>
      <c r="D1097" s="7"/>
      <c r="E1097" s="7"/>
      <c r="F1097" s="6"/>
      <c r="G1097" s="6"/>
      <c r="H1097" s="17"/>
      <c r="I1097" s="17"/>
      <c r="J1097" s="7"/>
      <c r="K1097" s="7"/>
      <c r="L1097" s="23"/>
      <c r="M1097" s="6"/>
      <c r="N1097" s="6"/>
      <c r="O1097" s="91"/>
      <c r="P1097" s="7"/>
      <c r="Q1097" s="7"/>
      <c r="R1097" s="7"/>
      <c r="S1097" s="7" t="s">
        <v>1305</v>
      </c>
      <c r="T1097" s="7"/>
      <c r="U1097" s="7"/>
      <c r="V1097" s="138"/>
      <c r="W1097" s="47"/>
      <c r="X1097" s="12"/>
      <c r="Y1097" s="177"/>
      <c r="Z1097" s="6"/>
      <c r="AA1097" s="6"/>
      <c r="AB1097" s="6"/>
      <c r="AC1097" s="6"/>
      <c r="AD1097" s="330"/>
    </row>
    <row r="1098" spans="1:30" s="9" customFormat="1" x14ac:dyDescent="0.2">
      <c r="A1098" s="328"/>
      <c r="B1098" s="16" t="s">
        <v>36</v>
      </c>
      <c r="C1098" s="16" t="s">
        <v>133</v>
      </c>
      <c r="D1098" s="7" t="s">
        <v>1221</v>
      </c>
      <c r="E1098" s="7"/>
      <c r="F1098" s="6" t="s">
        <v>1222</v>
      </c>
      <c r="G1098" s="6" t="s">
        <v>39</v>
      </c>
      <c r="H1098" s="17">
        <v>34568.58</v>
      </c>
      <c r="I1098" s="39" t="s">
        <v>62</v>
      </c>
      <c r="J1098" s="7">
        <v>38219</v>
      </c>
      <c r="K1098" s="331">
        <v>90</v>
      </c>
      <c r="L1098" s="23">
        <f>+J1098+K1098</f>
        <v>38309</v>
      </c>
      <c r="M1098" s="18" t="s">
        <v>41</v>
      </c>
      <c r="N1098" s="6" t="s">
        <v>42</v>
      </c>
      <c r="O1098" s="7">
        <v>38274</v>
      </c>
      <c r="P1098" s="331">
        <f>IF(S1098="","",+S1098-L1098)</f>
        <v>-29</v>
      </c>
      <c r="Q1098" s="331"/>
      <c r="R1098" s="331"/>
      <c r="S1098" s="175">
        <v>38280</v>
      </c>
      <c r="T1098" s="175">
        <v>38291</v>
      </c>
      <c r="U1098" s="331">
        <f>IF(T1098="","",+T1098-J1098)</f>
        <v>72</v>
      </c>
      <c r="V1098" s="6" t="s">
        <v>1250</v>
      </c>
      <c r="W1098" s="47">
        <v>1053</v>
      </c>
      <c r="X1098" s="6" t="s">
        <v>47</v>
      </c>
      <c r="Y1098" s="177"/>
      <c r="Z1098" s="6">
        <v>6656007142</v>
      </c>
      <c r="AA1098" s="6" t="s">
        <v>47</v>
      </c>
      <c r="AB1098" s="6" t="s">
        <v>47</v>
      </c>
      <c r="AC1098" s="7"/>
      <c r="AD1098" s="10" t="str">
        <f>IF(S1098&lt;=L1098,"en término","atrasado")</f>
        <v>en término</v>
      </c>
    </row>
    <row r="1099" spans="1:30" s="9" customFormat="1" ht="12" thickBot="1" x14ac:dyDescent="0.25">
      <c r="A1099" s="328"/>
      <c r="B1099" s="19"/>
      <c r="C1099" s="19"/>
      <c r="D1099" s="5"/>
      <c r="E1099" s="5"/>
      <c r="F1099" s="5" t="s">
        <v>1310</v>
      </c>
      <c r="G1099" s="5"/>
      <c r="H1099" s="105"/>
      <c r="I1099" s="21"/>
      <c r="J1099" s="27"/>
      <c r="K1099" s="27"/>
      <c r="L1099" s="27"/>
      <c r="M1099" s="5"/>
      <c r="N1099" s="5"/>
      <c r="O1099" s="5"/>
      <c r="P1099" s="5"/>
      <c r="Q1099" s="5"/>
      <c r="R1099" s="5"/>
      <c r="S1099" s="27"/>
      <c r="T1099" s="5"/>
      <c r="U1099" s="5"/>
      <c r="V1099" s="224"/>
      <c r="W1099" s="36"/>
      <c r="X1099" s="5"/>
      <c r="Y1099" s="182"/>
      <c r="Z1099" s="5"/>
      <c r="AA1099" s="27">
        <v>38662</v>
      </c>
      <c r="AB1099" s="27">
        <v>38399</v>
      </c>
      <c r="AC1099" s="27"/>
      <c r="AD1099" s="330"/>
    </row>
    <row r="1100" spans="1:30" s="9" customFormat="1" x14ac:dyDescent="0.2">
      <c r="A1100" s="328"/>
      <c r="B1100" s="16"/>
      <c r="C1100" s="16"/>
      <c r="D1100" s="7"/>
      <c r="E1100" s="7"/>
      <c r="F1100" s="6"/>
      <c r="G1100" s="6"/>
      <c r="H1100" s="17"/>
      <c r="I1100" s="17"/>
      <c r="J1100" s="7"/>
      <c r="K1100" s="7"/>
      <c r="L1100" s="23"/>
      <c r="M1100" s="6"/>
      <c r="N1100" s="6"/>
      <c r="O1100" s="91"/>
      <c r="P1100" s="7"/>
      <c r="Q1100" s="7"/>
      <c r="R1100" s="7"/>
      <c r="S1100" s="7" t="s">
        <v>1305</v>
      </c>
      <c r="T1100" s="7"/>
      <c r="U1100" s="7"/>
      <c r="V1100" s="220" t="s">
        <v>1311</v>
      </c>
      <c r="W1100" s="47"/>
      <c r="X1100" s="12"/>
      <c r="Y1100" s="177"/>
      <c r="Z1100" s="6"/>
      <c r="AA1100" s="6"/>
      <c r="AB1100" s="6"/>
      <c r="AC1100" s="6"/>
      <c r="AD1100" s="330"/>
    </row>
    <row r="1101" spans="1:30" s="9" customFormat="1" x14ac:dyDescent="0.2">
      <c r="A1101" s="328"/>
      <c r="B1101" s="16" t="s">
        <v>36</v>
      </c>
      <c r="C1101" s="16" t="s">
        <v>133</v>
      </c>
      <c r="D1101" s="7" t="s">
        <v>1221</v>
      </c>
      <c r="E1101" s="7"/>
      <c r="F1101" s="6" t="s">
        <v>1222</v>
      </c>
      <c r="G1101" s="6" t="s">
        <v>39</v>
      </c>
      <c r="H1101" s="17">
        <f>29376.68+8796.5+20355.77+11066.4+5619.91+7862.53+5213.72</f>
        <v>88291.51</v>
      </c>
      <c r="I1101" s="39" t="s">
        <v>40</v>
      </c>
      <c r="J1101" s="7">
        <v>38231</v>
      </c>
      <c r="K1101" s="331">
        <v>90</v>
      </c>
      <c r="L1101" s="23">
        <f>+J1101+K1101</f>
        <v>38321</v>
      </c>
      <c r="M1101" s="18" t="s">
        <v>41</v>
      </c>
      <c r="N1101" s="6" t="s">
        <v>42</v>
      </c>
      <c r="O1101" s="7">
        <v>38274</v>
      </c>
      <c r="P1101" s="331">
        <f>IF(S1101="","",+S1101-L1101)</f>
        <v>-41</v>
      </c>
      <c r="Q1101" s="331"/>
      <c r="R1101" s="331"/>
      <c r="S1101" s="175">
        <v>38280</v>
      </c>
      <c r="T1101" s="175">
        <v>38291</v>
      </c>
      <c r="U1101" s="331">
        <f>IF(T1101="","",+T1101-J1101)</f>
        <v>60</v>
      </c>
      <c r="V1101" s="6" t="s">
        <v>1312</v>
      </c>
      <c r="W1101" s="47">
        <v>1050</v>
      </c>
      <c r="X1101" s="6" t="s">
        <v>47</v>
      </c>
      <c r="Y1101" s="177"/>
      <c r="Z1101" s="6">
        <v>6656007142</v>
      </c>
      <c r="AA1101" s="6" t="s">
        <v>47</v>
      </c>
      <c r="AB1101" s="6" t="s">
        <v>47</v>
      </c>
      <c r="AC1101" s="7"/>
      <c r="AD1101" s="10" t="str">
        <f>IF(S1101&lt;=L1101,"en término","atrasado")</f>
        <v>en término</v>
      </c>
    </row>
    <row r="1102" spans="1:30" s="9" customFormat="1" ht="12" thickBot="1" x14ac:dyDescent="0.25">
      <c r="A1102" s="328"/>
      <c r="B1102" s="19"/>
      <c r="C1102" s="19"/>
      <c r="D1102" s="5"/>
      <c r="E1102" s="5"/>
      <c r="F1102" s="5" t="s">
        <v>1313</v>
      </c>
      <c r="G1102" s="5"/>
      <c r="H1102" s="105"/>
      <c r="I1102" s="21"/>
      <c r="J1102" s="27"/>
      <c r="K1102" s="27"/>
      <c r="L1102" s="27"/>
      <c r="M1102" s="5"/>
      <c r="N1102" s="5"/>
      <c r="O1102" s="5"/>
      <c r="P1102" s="5"/>
      <c r="Q1102" s="5"/>
      <c r="R1102" s="5"/>
      <c r="S1102" s="27"/>
      <c r="T1102" s="5"/>
      <c r="U1102" s="5"/>
      <c r="V1102" s="224"/>
      <c r="W1102" s="36"/>
      <c r="X1102" s="5"/>
      <c r="Y1102" s="182"/>
      <c r="Z1102" s="5"/>
      <c r="AA1102" s="27">
        <v>38662</v>
      </c>
      <c r="AB1102" s="27"/>
      <c r="AC1102" s="5"/>
      <c r="AD1102" s="330"/>
    </row>
    <row r="1103" spans="1:30" s="9" customFormat="1" x14ac:dyDescent="0.2">
      <c r="A1103" s="328"/>
      <c r="B1103" s="16"/>
      <c r="C1103" s="16"/>
      <c r="D1103" s="7"/>
      <c r="E1103" s="7"/>
      <c r="F1103" s="6"/>
      <c r="G1103" s="6"/>
      <c r="H1103" s="17"/>
      <c r="I1103" s="17"/>
      <c r="J1103" s="7"/>
      <c r="K1103" s="7"/>
      <c r="L1103" s="348"/>
      <c r="M1103" s="6"/>
      <c r="N1103" s="6"/>
      <c r="O1103" s="189"/>
      <c r="P1103" s="7"/>
      <c r="Q1103" s="7"/>
      <c r="R1103" s="7"/>
      <c r="S1103" s="7" t="s">
        <v>1305</v>
      </c>
      <c r="T1103" s="18"/>
      <c r="U1103" s="7"/>
      <c r="V1103" s="138"/>
      <c r="W1103" s="47"/>
      <c r="X1103" s="57"/>
      <c r="Y1103" s="177"/>
      <c r="Z1103" s="6"/>
      <c r="AA1103" s="6"/>
      <c r="AB1103" s="6"/>
      <c r="AC1103" s="6"/>
      <c r="AD1103" s="330"/>
    </row>
    <row r="1104" spans="1:30" s="9" customFormat="1" x14ac:dyDescent="0.2">
      <c r="A1104" s="328"/>
      <c r="B1104" s="16" t="s">
        <v>36</v>
      </c>
      <c r="C1104" s="16" t="s">
        <v>37</v>
      </c>
      <c r="D1104" s="7" t="s">
        <v>1314</v>
      </c>
      <c r="E1104" s="7"/>
      <c r="F1104" s="6" t="s">
        <v>1315</v>
      </c>
      <c r="G1104" s="6" t="s">
        <v>39</v>
      </c>
      <c r="H1104" s="17">
        <v>23110</v>
      </c>
      <c r="I1104" s="39" t="s">
        <v>52</v>
      </c>
      <c r="J1104" s="18">
        <v>38268</v>
      </c>
      <c r="K1104" s="331">
        <v>60</v>
      </c>
      <c r="L1104" s="348">
        <f>+J1104+K1104</f>
        <v>38328</v>
      </c>
      <c r="M1104" s="18" t="s">
        <v>41</v>
      </c>
      <c r="N1104" s="6" t="s">
        <v>42</v>
      </c>
      <c r="O1104" s="18">
        <v>38274</v>
      </c>
      <c r="P1104" s="331">
        <f>IF(S1104="","",+S1104-L1104)</f>
        <v>-48</v>
      </c>
      <c r="Q1104" s="331"/>
      <c r="R1104" s="331"/>
      <c r="S1104" s="349">
        <v>38280</v>
      </c>
      <c r="T1104" s="349">
        <v>38291</v>
      </c>
      <c r="U1104" s="331">
        <f>IF(T1104="","",+T1104-J1104)</f>
        <v>23</v>
      </c>
      <c r="V1104" s="6" t="s">
        <v>600</v>
      </c>
      <c r="W1104" s="47">
        <v>1054</v>
      </c>
      <c r="X1104" s="59"/>
      <c r="Y1104" s="177"/>
      <c r="Z1104" s="6">
        <v>6656007142</v>
      </c>
      <c r="AA1104" s="6" t="s">
        <v>47</v>
      </c>
      <c r="AB1104" s="6" t="s">
        <v>47</v>
      </c>
      <c r="AC1104" s="18"/>
      <c r="AD1104" s="10" t="str">
        <f>IF(S1104&lt;=L1104,"en término","atrasado")</f>
        <v>en término</v>
      </c>
    </row>
    <row r="1105" spans="1:30" s="9" customFormat="1" ht="12" thickBot="1" x14ac:dyDescent="0.25">
      <c r="A1105" s="328"/>
      <c r="B1105" s="19"/>
      <c r="C1105" s="19"/>
      <c r="D1105" s="5"/>
      <c r="E1105" s="5"/>
      <c r="F1105" s="5" t="s">
        <v>1316</v>
      </c>
      <c r="G1105" s="5"/>
      <c r="H1105" s="105"/>
      <c r="I1105" s="21"/>
      <c r="J1105" s="27"/>
      <c r="K1105" s="27"/>
      <c r="L1105" s="187"/>
      <c r="M1105" s="5"/>
      <c r="N1105" s="5"/>
      <c r="O1105" s="187"/>
      <c r="P1105" s="5"/>
      <c r="Q1105" s="5"/>
      <c r="R1105" s="5"/>
      <c r="S1105" s="27"/>
      <c r="T1105" s="187"/>
      <c r="U1105" s="5"/>
      <c r="V1105" s="224"/>
      <c r="W1105" s="36"/>
      <c r="X1105" s="61"/>
      <c r="Y1105" s="182"/>
      <c r="Z1105" s="5"/>
      <c r="AA1105" s="27">
        <v>38305</v>
      </c>
      <c r="AB1105" s="27">
        <v>38434</v>
      </c>
      <c r="AC1105" s="27"/>
      <c r="AD1105" s="330"/>
    </row>
    <row r="1106" spans="1:30" s="9" customFormat="1" x14ac:dyDescent="0.2">
      <c r="A1106" s="328"/>
      <c r="B1106" s="16"/>
      <c r="C1106" s="16"/>
      <c r="D1106" s="7"/>
      <c r="E1106" s="7"/>
      <c r="F1106" s="6"/>
      <c r="G1106" s="6"/>
      <c r="H1106" s="17"/>
      <c r="I1106" s="17"/>
      <c r="J1106" s="7"/>
      <c r="K1106" s="7"/>
      <c r="L1106" s="348"/>
      <c r="M1106" s="6"/>
      <c r="N1106" s="6"/>
      <c r="O1106" s="189"/>
      <c r="P1106" s="7"/>
      <c r="Q1106" s="7"/>
      <c r="R1106" s="7"/>
      <c r="S1106" s="7"/>
      <c r="T1106" s="18"/>
      <c r="U1106" s="7"/>
      <c r="V1106" s="138"/>
      <c r="W1106" s="47"/>
      <c r="X1106" s="57"/>
      <c r="Y1106" s="177"/>
      <c r="Z1106" s="6"/>
      <c r="AA1106" s="6"/>
      <c r="AB1106" s="6"/>
      <c r="AC1106" s="6"/>
      <c r="AD1106" s="330"/>
    </row>
    <row r="1107" spans="1:30" s="9" customFormat="1" x14ac:dyDescent="0.2">
      <c r="A1107" s="328"/>
      <c r="B1107" s="16" t="s">
        <v>36</v>
      </c>
      <c r="C1107" s="16" t="s">
        <v>37</v>
      </c>
      <c r="D1107" s="7" t="s">
        <v>1317</v>
      </c>
      <c r="E1107" s="7"/>
      <c r="F1107" s="6" t="s">
        <v>1318</v>
      </c>
      <c r="G1107" s="6" t="s">
        <v>39</v>
      </c>
      <c r="H1107" s="17">
        <v>2440</v>
      </c>
      <c r="I1107" s="39" t="s">
        <v>142</v>
      </c>
      <c r="J1107" s="18">
        <v>38275</v>
      </c>
      <c r="K1107" s="331">
        <v>45</v>
      </c>
      <c r="L1107" s="348">
        <f>+J1107+K1107</f>
        <v>38320</v>
      </c>
      <c r="M1107" s="18" t="s">
        <v>41</v>
      </c>
      <c r="N1107" s="6" t="s">
        <v>42</v>
      </c>
      <c r="O1107" s="18">
        <v>38302</v>
      </c>
      <c r="P1107" s="331">
        <f>IF(S1107="","",+S1107-L1107)</f>
        <v>-13</v>
      </c>
      <c r="Q1107" s="331"/>
      <c r="R1107" s="331"/>
      <c r="S1107" s="349">
        <v>38307</v>
      </c>
      <c r="T1107" s="349">
        <v>38319</v>
      </c>
      <c r="U1107" s="331">
        <f>IF(T1107="","",+T1107-J1107)</f>
        <v>44</v>
      </c>
      <c r="V1107" s="6" t="s">
        <v>1319</v>
      </c>
      <c r="W1107" s="47">
        <v>1068</v>
      </c>
      <c r="X1107" s="59"/>
      <c r="Y1107" s="177"/>
      <c r="Z1107" s="6">
        <v>6656007234</v>
      </c>
      <c r="AA1107" s="6" t="s">
        <v>47</v>
      </c>
      <c r="AB1107" s="6" t="s">
        <v>47</v>
      </c>
      <c r="AC1107" s="18"/>
      <c r="AD1107" s="10" t="str">
        <f>IF(S1107&lt;=L1107,"en término","atrasado")</f>
        <v>en término</v>
      </c>
    </row>
    <row r="1108" spans="1:30" s="9" customFormat="1" ht="12" thickBot="1" x14ac:dyDescent="0.25">
      <c r="A1108" s="328"/>
      <c r="B1108" s="19"/>
      <c r="C1108" s="19"/>
      <c r="D1108" s="5"/>
      <c r="E1108" s="5"/>
      <c r="F1108" s="5" t="s">
        <v>1320</v>
      </c>
      <c r="G1108" s="5"/>
      <c r="H1108" s="105"/>
      <c r="I1108" s="21"/>
      <c r="J1108" s="27"/>
      <c r="K1108" s="27"/>
      <c r="L1108" s="187"/>
      <c r="M1108" s="5"/>
      <c r="N1108" s="5"/>
      <c r="O1108" s="187"/>
      <c r="P1108" s="5"/>
      <c r="Q1108" s="5"/>
      <c r="R1108" s="5"/>
      <c r="S1108" s="27"/>
      <c r="T1108" s="187"/>
      <c r="U1108" s="5"/>
      <c r="V1108" s="224"/>
      <c r="W1108" s="36"/>
      <c r="X1108" s="61"/>
      <c r="Y1108" s="182"/>
      <c r="Z1108" s="5"/>
      <c r="AA1108" s="27">
        <v>38323</v>
      </c>
      <c r="AB1108" s="27">
        <v>38434</v>
      </c>
      <c r="AC1108" s="27"/>
      <c r="AD1108" s="330"/>
    </row>
    <row r="1109" spans="1:30" s="9" customFormat="1" x14ac:dyDescent="0.2">
      <c r="A1109" s="328"/>
      <c r="B1109" s="11"/>
      <c r="C1109" s="16"/>
      <c r="D1109" s="7"/>
      <c r="E1109" s="7"/>
      <c r="F1109" s="6"/>
      <c r="G1109" s="6"/>
      <c r="H1109" s="17"/>
      <c r="I1109" s="17"/>
      <c r="J1109" s="7"/>
      <c r="K1109" s="7"/>
      <c r="L1109" s="23"/>
      <c r="M1109" s="6"/>
      <c r="N1109" s="6"/>
      <c r="O1109" s="91"/>
      <c r="P1109" s="7"/>
      <c r="Q1109" s="7"/>
      <c r="R1109" s="7"/>
      <c r="S1109" s="7"/>
      <c r="T1109" s="7"/>
      <c r="U1109" s="7"/>
      <c r="V1109" s="220"/>
      <c r="W1109" s="47"/>
      <c r="X1109" s="12"/>
      <c r="Y1109" s="177"/>
      <c r="Z1109" s="6"/>
      <c r="AA1109" s="6"/>
      <c r="AB1109" s="6"/>
      <c r="AC1109" s="6"/>
      <c r="AD1109" s="330"/>
    </row>
    <row r="1110" spans="1:30" s="9" customFormat="1" x14ac:dyDescent="0.2">
      <c r="A1110" s="328"/>
      <c r="B1110" s="16" t="s">
        <v>36</v>
      </c>
      <c r="C1110" s="16" t="s">
        <v>133</v>
      </c>
      <c r="D1110" s="7" t="s">
        <v>1221</v>
      </c>
      <c r="E1110" s="7"/>
      <c r="F1110" s="6" t="s">
        <v>1222</v>
      </c>
      <c r="G1110" s="6" t="s">
        <v>39</v>
      </c>
      <c r="H1110" s="17">
        <v>2579.2399999999998</v>
      </c>
      <c r="I1110" s="39" t="s">
        <v>142</v>
      </c>
      <c r="J1110" s="7">
        <v>38250</v>
      </c>
      <c r="K1110" s="331">
        <v>90</v>
      </c>
      <c r="L1110" s="23">
        <f>+J1110+K1110</f>
        <v>38340</v>
      </c>
      <c r="M1110" s="18" t="s">
        <v>41</v>
      </c>
      <c r="N1110" s="6" t="s">
        <v>42</v>
      </c>
      <c r="O1110" s="7">
        <v>38302</v>
      </c>
      <c r="P1110" s="331">
        <f>IF(S1110="","",+S1110-L1110)</f>
        <v>-33</v>
      </c>
      <c r="Q1110" s="331"/>
      <c r="R1110" s="331"/>
      <c r="S1110" s="175">
        <v>38307</v>
      </c>
      <c r="T1110" s="175">
        <v>38319</v>
      </c>
      <c r="U1110" s="331">
        <f>IF(T1110="","",+T1110-J1110)</f>
        <v>69</v>
      </c>
      <c r="V1110" s="6" t="s">
        <v>1254</v>
      </c>
      <c r="W1110" s="47">
        <v>1064</v>
      </c>
      <c r="X1110" s="6" t="s">
        <v>47</v>
      </c>
      <c r="Y1110" s="177"/>
      <c r="Z1110" s="6">
        <v>6656007234</v>
      </c>
      <c r="AA1110" s="6" t="s">
        <v>47</v>
      </c>
      <c r="AB1110" s="6" t="s">
        <v>47</v>
      </c>
      <c r="AC1110" s="7"/>
      <c r="AD1110" s="10" t="str">
        <f>IF(S1110&lt;=L1110,"en término","atrasado")</f>
        <v>en término</v>
      </c>
    </row>
    <row r="1111" spans="1:30" s="9" customFormat="1" ht="12" thickBot="1" x14ac:dyDescent="0.25">
      <c r="A1111" s="328"/>
      <c r="B1111" s="19"/>
      <c r="C1111" s="19"/>
      <c r="D1111" s="5"/>
      <c r="E1111" s="5"/>
      <c r="F1111" s="5" t="s">
        <v>1321</v>
      </c>
      <c r="G1111" s="5"/>
      <c r="H1111" s="105"/>
      <c r="I1111" s="21"/>
      <c r="J1111" s="27"/>
      <c r="K1111" s="27"/>
      <c r="L1111" s="27"/>
      <c r="M1111" s="5"/>
      <c r="N1111" s="5"/>
      <c r="O1111" s="5"/>
      <c r="P1111" s="5"/>
      <c r="Q1111" s="5"/>
      <c r="R1111" s="5"/>
      <c r="S1111" s="5"/>
      <c r="T1111" s="5"/>
      <c r="U1111" s="5"/>
      <c r="V1111" s="224"/>
      <c r="W1111" s="36"/>
      <c r="X1111" s="5"/>
      <c r="Y1111" s="182"/>
      <c r="Z1111" s="5"/>
      <c r="AA1111" s="27">
        <v>38323</v>
      </c>
      <c r="AB1111" s="27"/>
      <c r="AC1111" s="5"/>
      <c r="AD1111" s="330"/>
    </row>
    <row r="1112" spans="1:30" s="9" customFormat="1" x14ac:dyDescent="0.2">
      <c r="A1112" s="328"/>
      <c r="B1112" s="16"/>
      <c r="C1112" s="16"/>
      <c r="D1112" s="7"/>
      <c r="E1112" s="7"/>
      <c r="F1112" s="6"/>
      <c r="G1112" s="6"/>
      <c r="H1112" s="17"/>
      <c r="I1112" s="17"/>
      <c r="J1112" s="7"/>
      <c r="K1112" s="7"/>
      <c r="L1112" s="23"/>
      <c r="M1112" s="6"/>
      <c r="N1112" s="6"/>
      <c r="O1112" s="91"/>
      <c r="P1112" s="7"/>
      <c r="Q1112" s="7"/>
      <c r="R1112" s="7"/>
      <c r="S1112" s="175"/>
      <c r="T1112" s="175"/>
      <c r="U1112" s="7"/>
      <c r="V1112" s="138"/>
      <c r="W1112" s="47"/>
      <c r="X1112" s="12"/>
      <c r="Y1112" s="177"/>
      <c r="Z1112" s="6"/>
      <c r="AA1112" s="6"/>
      <c r="AB1112" s="6"/>
      <c r="AC1112" s="6"/>
      <c r="AD1112" s="330"/>
    </row>
    <row r="1113" spans="1:30" s="9" customFormat="1" x14ac:dyDescent="0.2">
      <c r="A1113" s="328"/>
      <c r="B1113" s="16" t="s">
        <v>36</v>
      </c>
      <c r="C1113" s="16" t="s">
        <v>133</v>
      </c>
      <c r="D1113" s="7" t="s">
        <v>1221</v>
      </c>
      <c r="E1113" s="7"/>
      <c r="F1113" s="6" t="s">
        <v>1222</v>
      </c>
      <c r="G1113" s="6" t="s">
        <v>39</v>
      </c>
      <c r="H1113" s="17">
        <v>94718.66</v>
      </c>
      <c r="I1113" s="39" t="s">
        <v>52</v>
      </c>
      <c r="J1113" s="7">
        <v>38280</v>
      </c>
      <c r="K1113" s="331">
        <v>30</v>
      </c>
      <c r="L1113" s="23">
        <f>+J1113+K1113</f>
        <v>38310</v>
      </c>
      <c r="M1113" s="18" t="s">
        <v>41</v>
      </c>
      <c r="N1113" s="6" t="s">
        <v>42</v>
      </c>
      <c r="O1113" s="7">
        <v>38302</v>
      </c>
      <c r="P1113" s="331">
        <f>IF(S1113="","",+S1113-L1113)</f>
        <v>-3</v>
      </c>
      <c r="Q1113" s="331"/>
      <c r="R1113" s="331"/>
      <c r="S1113" s="175">
        <v>38307</v>
      </c>
      <c r="T1113" s="175">
        <v>38319</v>
      </c>
      <c r="U1113" s="331">
        <f>IF(T1113="","",+T1113-J1113)</f>
        <v>39</v>
      </c>
      <c r="V1113" s="6" t="s">
        <v>1322</v>
      </c>
      <c r="W1113" s="47">
        <v>1067</v>
      </c>
      <c r="X1113" s="6" t="s">
        <v>47</v>
      </c>
      <c r="Y1113" s="177"/>
      <c r="Z1113" s="6">
        <v>6656007234</v>
      </c>
      <c r="AA1113" s="6" t="s">
        <v>47</v>
      </c>
      <c r="AB1113" s="6" t="s">
        <v>47</v>
      </c>
      <c r="AC1113" s="7"/>
      <c r="AD1113" s="10" t="str">
        <f>IF(S1113&lt;=L1113,"en término","atrasado")</f>
        <v>en término</v>
      </c>
    </row>
    <row r="1114" spans="1:30" s="9" customFormat="1" ht="12" thickBot="1" x14ac:dyDescent="0.25">
      <c r="A1114" s="328"/>
      <c r="B1114" s="19"/>
      <c r="C1114" s="19"/>
      <c r="D1114" s="5"/>
      <c r="E1114" s="5"/>
      <c r="F1114" s="5" t="s">
        <v>1323</v>
      </c>
      <c r="G1114" s="5"/>
      <c r="H1114" s="105"/>
      <c r="I1114" s="21"/>
      <c r="J1114" s="27"/>
      <c r="K1114" s="27"/>
      <c r="L1114" s="27"/>
      <c r="M1114" s="5"/>
      <c r="N1114" s="5"/>
      <c r="O1114" s="5"/>
      <c r="P1114" s="5"/>
      <c r="Q1114" s="5"/>
      <c r="R1114" s="5"/>
      <c r="S1114" s="5"/>
      <c r="T1114" s="5"/>
      <c r="U1114" s="5"/>
      <c r="V1114" s="224"/>
      <c r="W1114" s="36"/>
      <c r="X1114" s="5"/>
      <c r="Y1114" s="182"/>
      <c r="Z1114" s="5"/>
      <c r="AA1114" s="27">
        <v>38323</v>
      </c>
      <c r="AB1114" s="27"/>
      <c r="AC1114" s="5"/>
      <c r="AD1114" s="330"/>
    </row>
    <row r="1115" spans="1:30" s="9" customFormat="1" x14ac:dyDescent="0.2">
      <c r="A1115" s="328"/>
      <c r="B1115" s="11"/>
      <c r="C1115" s="16"/>
      <c r="D1115" s="7"/>
      <c r="E1115" s="7"/>
      <c r="F1115" s="6"/>
      <c r="G1115" s="6"/>
      <c r="H1115" s="17"/>
      <c r="I1115" s="17"/>
      <c r="J1115" s="7"/>
      <c r="K1115" s="7"/>
      <c r="L1115" s="23"/>
      <c r="M1115" s="6"/>
      <c r="N1115" s="6"/>
      <c r="O1115" s="91"/>
      <c r="P1115" s="7"/>
      <c r="Q1115" s="7"/>
      <c r="R1115" s="7"/>
      <c r="S1115" s="7"/>
      <c r="T1115" s="7"/>
      <c r="U1115" s="7"/>
      <c r="V1115" s="220"/>
      <c r="W1115" s="47"/>
      <c r="X1115" s="12"/>
      <c r="Y1115" s="177"/>
      <c r="Z1115" s="6"/>
      <c r="AA1115" s="6"/>
      <c r="AB1115" s="6"/>
      <c r="AC1115" s="6"/>
      <c r="AD1115" s="330"/>
    </row>
    <row r="1116" spans="1:30" s="9" customFormat="1" x14ac:dyDescent="0.2">
      <c r="A1116" s="328"/>
      <c r="B1116" s="16" t="s">
        <v>36</v>
      </c>
      <c r="C1116" s="16" t="s">
        <v>133</v>
      </c>
      <c r="D1116" s="7" t="s">
        <v>1221</v>
      </c>
      <c r="E1116" s="7"/>
      <c r="F1116" s="6" t="s">
        <v>1222</v>
      </c>
      <c r="G1116" s="6" t="s">
        <v>39</v>
      </c>
      <c r="H1116" s="17">
        <v>38963.72</v>
      </c>
      <c r="I1116" s="39" t="s">
        <v>62</v>
      </c>
      <c r="J1116" s="7">
        <v>38252</v>
      </c>
      <c r="K1116" s="331">
        <v>90</v>
      </c>
      <c r="L1116" s="23">
        <f>+J1116+K1116</f>
        <v>38342</v>
      </c>
      <c r="M1116" s="18" t="s">
        <v>41</v>
      </c>
      <c r="N1116" s="6" t="s">
        <v>42</v>
      </c>
      <c r="O1116" s="7">
        <v>38302</v>
      </c>
      <c r="P1116" s="331">
        <f>IF(S1116="","",+S1116-L1116)</f>
        <v>-35</v>
      </c>
      <c r="Q1116" s="331"/>
      <c r="R1116" s="331"/>
      <c r="S1116" s="175">
        <v>38307</v>
      </c>
      <c r="T1116" s="175">
        <v>38319</v>
      </c>
      <c r="U1116" s="331">
        <f>IF(T1116="","",+T1116-J1116)</f>
        <v>67</v>
      </c>
      <c r="V1116" s="6" t="s">
        <v>780</v>
      </c>
      <c r="W1116" s="47">
        <v>1063</v>
      </c>
      <c r="X1116" s="6" t="s">
        <v>47</v>
      </c>
      <c r="Y1116" s="177"/>
      <c r="Z1116" s="6">
        <v>6656007234</v>
      </c>
      <c r="AA1116" s="6" t="s">
        <v>47</v>
      </c>
      <c r="AB1116" s="6" t="s">
        <v>47</v>
      </c>
      <c r="AC1116" s="7"/>
      <c r="AD1116" s="10" t="str">
        <f>IF(S1116&lt;=L1116,"en término","atrasado")</f>
        <v>en término</v>
      </c>
    </row>
    <row r="1117" spans="1:30" s="9" customFormat="1" ht="12" thickBot="1" x14ac:dyDescent="0.25">
      <c r="A1117" s="328"/>
      <c r="B1117" s="19"/>
      <c r="C1117" s="19"/>
      <c r="D1117" s="5"/>
      <c r="E1117" s="5"/>
      <c r="F1117" s="5" t="s">
        <v>1324</v>
      </c>
      <c r="G1117" s="5"/>
      <c r="H1117" s="105"/>
      <c r="I1117" s="21"/>
      <c r="J1117" s="27"/>
      <c r="K1117" s="27"/>
      <c r="L1117" s="27"/>
      <c r="M1117" s="5"/>
      <c r="N1117" s="5"/>
      <c r="O1117" s="5"/>
      <c r="P1117" s="5"/>
      <c r="Q1117" s="5"/>
      <c r="R1117" s="5"/>
      <c r="S1117" s="27"/>
      <c r="T1117" s="5"/>
      <c r="U1117" s="5"/>
      <c r="V1117" s="224"/>
      <c r="W1117" s="36"/>
      <c r="X1117" s="5"/>
      <c r="Y1117" s="182"/>
      <c r="Z1117" s="5"/>
      <c r="AA1117" s="27">
        <v>38323</v>
      </c>
      <c r="AB1117" s="27"/>
      <c r="AC1117" s="5"/>
      <c r="AD1117" s="330"/>
    </row>
    <row r="1118" spans="1:30" s="9" customFormat="1" x14ac:dyDescent="0.2">
      <c r="A1118" s="328"/>
      <c r="B1118" s="16"/>
      <c r="C1118" s="16"/>
      <c r="D1118" s="7"/>
      <c r="E1118" s="7"/>
      <c r="F1118" s="6"/>
      <c r="G1118" s="6"/>
      <c r="H1118" s="17"/>
      <c r="I1118" s="17"/>
      <c r="J1118" s="7"/>
      <c r="K1118" s="7"/>
      <c r="L1118" s="23"/>
      <c r="M1118" s="6"/>
      <c r="N1118" s="6"/>
      <c r="O1118" s="91"/>
      <c r="P1118" s="7"/>
      <c r="Q1118" s="7"/>
      <c r="R1118" s="7"/>
      <c r="S1118" s="175"/>
      <c r="T1118" s="175"/>
      <c r="U1118" s="7"/>
      <c r="V1118" s="138"/>
      <c r="W1118" s="47"/>
      <c r="X1118" s="12"/>
      <c r="Y1118" s="177"/>
      <c r="Z1118" s="6"/>
      <c r="AA1118" s="6"/>
      <c r="AB1118" s="6"/>
      <c r="AC1118" s="6"/>
      <c r="AD1118" s="330"/>
    </row>
    <row r="1119" spans="1:30" s="9" customFormat="1" x14ac:dyDescent="0.2">
      <c r="A1119" s="328"/>
      <c r="B1119" s="16" t="s">
        <v>36</v>
      </c>
      <c r="C1119" s="16" t="s">
        <v>133</v>
      </c>
      <c r="D1119" s="7" t="s">
        <v>1221</v>
      </c>
      <c r="E1119" s="7"/>
      <c r="F1119" s="6" t="s">
        <v>1222</v>
      </c>
      <c r="G1119" s="6" t="s">
        <v>39</v>
      </c>
      <c r="H1119" s="17">
        <v>83186.25</v>
      </c>
      <c r="I1119" s="39" t="s">
        <v>40</v>
      </c>
      <c r="J1119" s="7">
        <v>38231</v>
      </c>
      <c r="K1119" s="331">
        <v>90</v>
      </c>
      <c r="L1119" s="23">
        <f>+J1119+K1119</f>
        <v>38321</v>
      </c>
      <c r="M1119" s="18" t="s">
        <v>41</v>
      </c>
      <c r="N1119" s="6" t="s">
        <v>42</v>
      </c>
      <c r="O1119" s="7">
        <v>38302</v>
      </c>
      <c r="P1119" s="331">
        <f>IF(S1119="","",+S1119-L1119)</f>
        <v>-14</v>
      </c>
      <c r="Q1119" s="331"/>
      <c r="R1119" s="331"/>
      <c r="S1119" s="175">
        <v>38307</v>
      </c>
      <c r="T1119" s="175">
        <v>38319</v>
      </c>
      <c r="U1119" s="331">
        <f>IF(T1119="","",+T1119-J1119)</f>
        <v>88</v>
      </c>
      <c r="V1119" s="6" t="s">
        <v>873</v>
      </c>
      <c r="W1119" s="47">
        <v>1066</v>
      </c>
      <c r="X1119" s="6" t="s">
        <v>47</v>
      </c>
      <c r="Y1119" s="177"/>
      <c r="Z1119" s="6">
        <v>6656007234</v>
      </c>
      <c r="AA1119" s="6" t="s">
        <v>47</v>
      </c>
      <c r="AB1119" s="6" t="s">
        <v>47</v>
      </c>
      <c r="AC1119" s="7"/>
      <c r="AD1119" s="10" t="str">
        <f>IF(S1119&lt;=L1119,"en término","atrasado")</f>
        <v>en término</v>
      </c>
    </row>
    <row r="1120" spans="1:30" s="9" customFormat="1" ht="12" thickBot="1" x14ac:dyDescent="0.25">
      <c r="A1120" s="328"/>
      <c r="B1120" s="19"/>
      <c r="C1120" s="19"/>
      <c r="D1120" s="5"/>
      <c r="E1120" s="5"/>
      <c r="F1120" s="5" t="s">
        <v>1325</v>
      </c>
      <c r="G1120" s="5"/>
      <c r="H1120" s="105"/>
      <c r="I1120" s="21"/>
      <c r="J1120" s="27"/>
      <c r="K1120" s="27"/>
      <c r="L1120" s="27"/>
      <c r="M1120" s="5"/>
      <c r="N1120" s="5"/>
      <c r="O1120" s="5"/>
      <c r="P1120" s="5"/>
      <c r="Q1120" s="5"/>
      <c r="R1120" s="5"/>
      <c r="S1120" s="27"/>
      <c r="T1120" s="5"/>
      <c r="U1120" s="5"/>
      <c r="V1120" s="224"/>
      <c r="W1120" s="36"/>
      <c r="X1120" s="5"/>
      <c r="Y1120" s="182"/>
      <c r="Z1120" s="5"/>
      <c r="AA1120" s="27">
        <v>38323</v>
      </c>
      <c r="AB1120" s="27">
        <v>38441</v>
      </c>
      <c r="AC1120" s="27"/>
      <c r="AD1120" s="330"/>
    </row>
    <row r="1121" spans="1:30" s="9" customFormat="1" x14ac:dyDescent="0.2">
      <c r="A1121" s="328"/>
      <c r="B1121" s="16"/>
      <c r="C1121" s="16"/>
      <c r="D1121" s="7"/>
      <c r="E1121" s="7"/>
      <c r="F1121" s="6"/>
      <c r="G1121" s="6"/>
      <c r="H1121" s="17"/>
      <c r="I1121" s="17"/>
      <c r="J1121" s="7"/>
      <c r="K1121" s="7"/>
      <c r="L1121" s="23"/>
      <c r="M1121" s="6"/>
      <c r="N1121" s="6"/>
      <c r="O1121" s="91"/>
      <c r="P1121" s="7"/>
      <c r="Q1121" s="7"/>
      <c r="R1121" s="7"/>
      <c r="S1121" s="7"/>
      <c r="T1121" s="7"/>
      <c r="U1121" s="7"/>
      <c r="V1121" s="220" t="s">
        <v>1326</v>
      </c>
      <c r="W1121" s="47"/>
      <c r="X1121" s="12"/>
      <c r="Y1121" s="177"/>
      <c r="Z1121" s="6"/>
      <c r="AA1121" s="6"/>
      <c r="AB1121" s="6"/>
      <c r="AC1121" s="6"/>
      <c r="AD1121" s="330"/>
    </row>
    <row r="1122" spans="1:30" s="9" customFormat="1" x14ac:dyDescent="0.2">
      <c r="A1122" s="328"/>
      <c r="B1122" s="16" t="s">
        <v>36</v>
      </c>
      <c r="C1122" s="16" t="s">
        <v>133</v>
      </c>
      <c r="D1122" s="7" t="s">
        <v>1221</v>
      </c>
      <c r="E1122" s="7"/>
      <c r="F1122" s="6" t="s">
        <v>1222</v>
      </c>
      <c r="G1122" s="6" t="s">
        <v>39</v>
      </c>
      <c r="H1122" s="17">
        <f>5980.19+11115.5+8796.5+11066.4+11793.79+7820.58+4294.66</f>
        <v>60867.619999999995</v>
      </c>
      <c r="I1122" s="39" t="s">
        <v>40</v>
      </c>
      <c r="J1122" s="7">
        <v>38231</v>
      </c>
      <c r="K1122" s="331">
        <v>90</v>
      </c>
      <c r="L1122" s="23">
        <f>+J1122+K1122</f>
        <v>38321</v>
      </c>
      <c r="M1122" s="18" t="s">
        <v>41</v>
      </c>
      <c r="N1122" s="6" t="s">
        <v>42</v>
      </c>
      <c r="O1122" s="7">
        <v>38302</v>
      </c>
      <c r="P1122" s="331">
        <f>IF(S1122="","",+S1122-L1122)</f>
        <v>-14</v>
      </c>
      <c r="Q1122" s="331"/>
      <c r="R1122" s="331"/>
      <c r="S1122" s="175">
        <v>38307</v>
      </c>
      <c r="T1122" s="175">
        <v>38319</v>
      </c>
      <c r="U1122" s="331">
        <f>IF(T1122="","",+T1122-J1122)</f>
        <v>88</v>
      </c>
      <c r="V1122" s="6" t="s">
        <v>1327</v>
      </c>
      <c r="W1122" s="47">
        <v>1065</v>
      </c>
      <c r="X1122" s="6" t="s">
        <v>47</v>
      </c>
      <c r="Y1122" s="177"/>
      <c r="Z1122" s="6">
        <v>6656007234</v>
      </c>
      <c r="AA1122" s="6" t="s">
        <v>47</v>
      </c>
      <c r="AB1122" s="6" t="s">
        <v>47</v>
      </c>
      <c r="AC1122" s="7"/>
      <c r="AD1122" s="10" t="str">
        <f>IF(S1122&lt;=L1122,"en término","atrasado")</f>
        <v>en término</v>
      </c>
    </row>
    <row r="1123" spans="1:30" s="9" customFormat="1" ht="12" thickBot="1" x14ac:dyDescent="0.25">
      <c r="A1123" s="328"/>
      <c r="B1123" s="19"/>
      <c r="C1123" s="19"/>
      <c r="D1123" s="5"/>
      <c r="E1123" s="5"/>
      <c r="F1123" s="5" t="s">
        <v>1313</v>
      </c>
      <c r="G1123" s="5"/>
      <c r="H1123" s="105"/>
      <c r="I1123" s="21"/>
      <c r="J1123" s="27"/>
      <c r="K1123" s="27"/>
      <c r="L1123" s="27"/>
      <c r="M1123" s="5"/>
      <c r="N1123" s="5"/>
      <c r="O1123" s="5"/>
      <c r="P1123" s="5"/>
      <c r="Q1123" s="5"/>
      <c r="R1123" s="5"/>
      <c r="S1123" s="27"/>
      <c r="T1123" s="5"/>
      <c r="U1123" s="5"/>
      <c r="V1123" s="224"/>
      <c r="W1123" s="36"/>
      <c r="X1123" s="5"/>
      <c r="Y1123" s="182"/>
      <c r="Z1123" s="5"/>
      <c r="AA1123" s="27">
        <v>38323</v>
      </c>
      <c r="AB1123" s="27">
        <v>38441</v>
      </c>
      <c r="AC1123" s="27"/>
      <c r="AD1123" s="330"/>
    </row>
    <row r="1124" spans="1:30" s="9" customFormat="1" x14ac:dyDescent="0.2">
      <c r="A1124" s="328"/>
      <c r="B1124" s="16"/>
      <c r="C1124" s="16"/>
      <c r="D1124" s="7"/>
      <c r="E1124" s="7"/>
      <c r="F1124" s="6"/>
      <c r="G1124" s="6"/>
      <c r="H1124" s="17"/>
      <c r="I1124" s="17"/>
      <c r="J1124" s="7"/>
      <c r="K1124" s="7"/>
      <c r="L1124" s="23"/>
      <c r="M1124" s="6"/>
      <c r="N1124" s="6"/>
      <c r="O1124" s="91"/>
      <c r="P1124" s="7"/>
      <c r="Q1124" s="7"/>
      <c r="R1124" s="7"/>
      <c r="S1124" s="7" t="s">
        <v>1328</v>
      </c>
      <c r="T1124" s="175"/>
      <c r="U1124" s="7"/>
      <c r="V1124" s="220"/>
      <c r="W1124" s="47"/>
      <c r="X1124" s="12"/>
      <c r="Y1124" s="177"/>
      <c r="Z1124" s="6"/>
      <c r="AA1124" s="6"/>
      <c r="AB1124" s="6"/>
      <c r="AC1124" s="6"/>
      <c r="AD1124" s="330"/>
    </row>
    <row r="1125" spans="1:30" s="9" customFormat="1" x14ac:dyDescent="0.2">
      <c r="A1125" s="328"/>
      <c r="B1125" s="16" t="s">
        <v>36</v>
      </c>
      <c r="C1125" s="16" t="s">
        <v>133</v>
      </c>
      <c r="D1125" s="7" t="s">
        <v>1221</v>
      </c>
      <c r="E1125" s="7"/>
      <c r="F1125" s="6" t="s">
        <v>1222</v>
      </c>
      <c r="G1125" s="6" t="s">
        <v>39</v>
      </c>
      <c r="H1125" s="17">
        <v>91083.66</v>
      </c>
      <c r="I1125" s="39" t="s">
        <v>142</v>
      </c>
      <c r="J1125" s="7">
        <v>38250</v>
      </c>
      <c r="K1125" s="331">
        <v>90</v>
      </c>
      <c r="L1125" s="23">
        <f>+J1125+K1125</f>
        <v>38340</v>
      </c>
      <c r="M1125" s="18" t="s">
        <v>41</v>
      </c>
      <c r="N1125" s="6" t="s">
        <v>42</v>
      </c>
      <c r="O1125" s="7">
        <v>38337</v>
      </c>
      <c r="P1125" s="331">
        <f>IF(S1125="","",+S1125-L1125)</f>
        <v>0</v>
      </c>
      <c r="Q1125" s="331"/>
      <c r="R1125" s="331"/>
      <c r="S1125" s="175">
        <v>38340</v>
      </c>
      <c r="T1125" s="175">
        <v>38353</v>
      </c>
      <c r="U1125" s="331">
        <f>IF(T1125="","",+T1125-J1125)</f>
        <v>103</v>
      </c>
      <c r="V1125" s="6" t="s">
        <v>1267</v>
      </c>
      <c r="W1125" s="47">
        <v>1075</v>
      </c>
      <c r="X1125" s="6" t="s">
        <v>47</v>
      </c>
      <c r="Y1125" s="177"/>
      <c r="Z1125" s="6">
        <v>6656007326</v>
      </c>
      <c r="AA1125" s="6" t="s">
        <v>47</v>
      </c>
      <c r="AB1125" s="6" t="s">
        <v>47</v>
      </c>
      <c r="AC1125" s="7"/>
      <c r="AD1125" s="10" t="str">
        <f>IF(S1125&lt;=L1125,"en término","atrasado")</f>
        <v>en término</v>
      </c>
    </row>
    <row r="1126" spans="1:30" s="9" customFormat="1" ht="12" thickBot="1" x14ac:dyDescent="0.25">
      <c r="A1126" s="328"/>
      <c r="B1126" s="19"/>
      <c r="C1126" s="19"/>
      <c r="D1126" s="5"/>
      <c r="E1126" s="5"/>
      <c r="F1126" s="5" t="s">
        <v>1329</v>
      </c>
      <c r="G1126" s="5"/>
      <c r="H1126" s="105"/>
      <c r="I1126" s="21"/>
      <c r="J1126" s="27"/>
      <c r="K1126" s="27"/>
      <c r="L1126" s="27"/>
      <c r="M1126" s="5"/>
      <c r="N1126" s="5"/>
      <c r="O1126" s="5"/>
      <c r="P1126" s="5"/>
      <c r="Q1126" s="5"/>
      <c r="R1126" s="5"/>
      <c r="S1126" s="27"/>
      <c r="T1126" s="139"/>
      <c r="U1126" s="5"/>
      <c r="V1126" s="224"/>
      <c r="W1126" s="36"/>
      <c r="X1126" s="5"/>
      <c r="Y1126" s="182"/>
      <c r="Z1126" s="5"/>
      <c r="AA1126" s="27">
        <v>38377</v>
      </c>
      <c r="AB1126" s="27"/>
      <c r="AC1126" s="5"/>
      <c r="AD1126" s="330"/>
    </row>
    <row r="1127" spans="1:30" s="9" customFormat="1" x14ac:dyDescent="0.2">
      <c r="A1127" s="328"/>
      <c r="B1127" s="11"/>
      <c r="C1127" s="16"/>
      <c r="D1127" s="7"/>
      <c r="E1127" s="7"/>
      <c r="F1127" s="6"/>
      <c r="G1127" s="6"/>
      <c r="H1127" s="17"/>
      <c r="I1127" s="17"/>
      <c r="J1127" s="7"/>
      <c r="K1127" s="7"/>
      <c r="L1127" s="23"/>
      <c r="M1127" s="6"/>
      <c r="N1127" s="6"/>
      <c r="O1127" s="91"/>
      <c r="P1127" s="7"/>
      <c r="Q1127" s="7"/>
      <c r="R1127" s="7"/>
      <c r="S1127" s="7" t="s">
        <v>1328</v>
      </c>
      <c r="T1127" s="7"/>
      <c r="U1127" s="7"/>
      <c r="V1127" s="220" t="s">
        <v>1311</v>
      </c>
      <c r="W1127" s="47"/>
      <c r="X1127" s="12"/>
      <c r="Y1127" s="177"/>
      <c r="Z1127" s="6"/>
      <c r="AA1127" s="6"/>
      <c r="AB1127" s="6"/>
      <c r="AC1127" s="6"/>
      <c r="AD1127" s="330"/>
    </row>
    <row r="1128" spans="1:30" s="9" customFormat="1" x14ac:dyDescent="0.2">
      <c r="A1128" s="328"/>
      <c r="B1128" s="16" t="s">
        <v>36</v>
      </c>
      <c r="C1128" s="16" t="s">
        <v>133</v>
      </c>
      <c r="D1128" s="7" t="s">
        <v>1221</v>
      </c>
      <c r="E1128" s="7"/>
      <c r="F1128" s="6" t="s">
        <v>1222</v>
      </c>
      <c r="G1128" s="6" t="s">
        <v>39</v>
      </c>
      <c r="H1128" s="17">
        <v>90794.18</v>
      </c>
      <c r="I1128" s="39" t="s">
        <v>40</v>
      </c>
      <c r="J1128" s="7">
        <v>38303</v>
      </c>
      <c r="K1128" s="331">
        <v>90</v>
      </c>
      <c r="L1128" s="23">
        <f>+J1128+K1128</f>
        <v>38393</v>
      </c>
      <c r="M1128" s="18" t="s">
        <v>41</v>
      </c>
      <c r="N1128" s="6" t="s">
        <v>42</v>
      </c>
      <c r="O1128" s="7">
        <v>38337</v>
      </c>
      <c r="P1128" s="331">
        <f>IF(S1128="","",+S1128-L1128)</f>
        <v>-51</v>
      </c>
      <c r="Q1128" s="331"/>
      <c r="R1128" s="331"/>
      <c r="S1128" s="175">
        <v>38342</v>
      </c>
      <c r="T1128" s="175">
        <v>38353</v>
      </c>
      <c r="U1128" s="331">
        <f>IF(T1128="","",+T1128-J1128)</f>
        <v>50</v>
      </c>
      <c r="V1128" s="6" t="s">
        <v>1330</v>
      </c>
      <c r="W1128" s="47">
        <v>1078</v>
      </c>
      <c r="X1128" s="6" t="s">
        <v>47</v>
      </c>
      <c r="Y1128" s="177"/>
      <c r="Z1128" s="6">
        <v>6656007326</v>
      </c>
      <c r="AA1128" s="6" t="s">
        <v>47</v>
      </c>
      <c r="AB1128" s="6" t="s">
        <v>47</v>
      </c>
      <c r="AC1128" s="7"/>
      <c r="AD1128" s="10" t="str">
        <f>IF(S1128&lt;=L1128,"en término","atrasado")</f>
        <v>en término</v>
      </c>
    </row>
    <row r="1129" spans="1:30" s="9" customFormat="1" ht="12" thickBot="1" x14ac:dyDescent="0.25">
      <c r="A1129" s="328"/>
      <c r="B1129" s="19"/>
      <c r="C1129" s="19"/>
      <c r="D1129" s="5"/>
      <c r="E1129" s="5"/>
      <c r="F1129" s="5" t="s">
        <v>1331</v>
      </c>
      <c r="G1129" s="5"/>
      <c r="H1129" s="26">
        <v>38267.449999999997</v>
      </c>
      <c r="I1129" s="21"/>
      <c r="J1129" s="27"/>
      <c r="K1129" s="27"/>
      <c r="L1129" s="27"/>
      <c r="M1129" s="5"/>
      <c r="N1129" s="5"/>
      <c r="O1129" s="5"/>
      <c r="P1129" s="5"/>
      <c r="Q1129" s="5"/>
      <c r="R1129" s="5"/>
      <c r="S1129" s="27"/>
      <c r="T1129" s="139"/>
      <c r="U1129" s="5"/>
      <c r="V1129" s="224"/>
      <c r="W1129" s="36"/>
      <c r="X1129" s="5"/>
      <c r="Y1129" s="182"/>
      <c r="Z1129" s="5"/>
      <c r="AA1129" s="27">
        <v>38377</v>
      </c>
      <c r="AB1129" s="27"/>
      <c r="AC1129" s="5"/>
      <c r="AD1129" s="330"/>
    </row>
    <row r="1130" spans="1:30" s="9" customFormat="1" x14ac:dyDescent="0.2">
      <c r="A1130" s="328"/>
      <c r="B1130" s="11"/>
      <c r="C1130" s="16"/>
      <c r="D1130" s="7"/>
      <c r="E1130" s="7"/>
      <c r="F1130" s="6"/>
      <c r="G1130" s="6"/>
      <c r="H1130" s="17"/>
      <c r="I1130" s="17"/>
      <c r="J1130" s="7"/>
      <c r="K1130" s="7"/>
      <c r="L1130" s="23"/>
      <c r="M1130" s="6"/>
      <c r="N1130" s="6"/>
      <c r="O1130" s="91"/>
      <c r="P1130" s="7"/>
      <c r="Q1130" s="7"/>
      <c r="R1130" s="7"/>
      <c r="S1130" s="7" t="s">
        <v>1328</v>
      </c>
      <c r="T1130" s="175"/>
      <c r="U1130" s="7"/>
      <c r="V1130" s="220" t="s">
        <v>1311</v>
      </c>
      <c r="W1130" s="47"/>
      <c r="X1130" s="12"/>
      <c r="Y1130" s="177"/>
      <c r="Z1130" s="6"/>
      <c r="AA1130" s="6"/>
      <c r="AB1130" s="6"/>
      <c r="AC1130" s="6"/>
      <c r="AD1130" s="330"/>
    </row>
    <row r="1131" spans="1:30" s="9" customFormat="1" x14ac:dyDescent="0.2">
      <c r="A1131" s="328"/>
      <c r="B1131" s="16" t="s">
        <v>36</v>
      </c>
      <c r="C1131" s="16" t="s">
        <v>133</v>
      </c>
      <c r="D1131" s="7" t="s">
        <v>1221</v>
      </c>
      <c r="E1131" s="7"/>
      <c r="F1131" s="6" t="s">
        <v>1222</v>
      </c>
      <c r="G1131" s="6" t="s">
        <v>39</v>
      </c>
      <c r="H1131" s="17">
        <v>100203.95</v>
      </c>
      <c r="I1131" s="39" t="s">
        <v>40</v>
      </c>
      <c r="J1131" s="7">
        <v>38310</v>
      </c>
      <c r="K1131" s="331">
        <v>90</v>
      </c>
      <c r="L1131" s="23">
        <f>+J1131+K1131</f>
        <v>38400</v>
      </c>
      <c r="M1131" s="18" t="s">
        <v>41</v>
      </c>
      <c r="N1131" s="6" t="s">
        <v>42</v>
      </c>
      <c r="O1131" s="7">
        <v>38337</v>
      </c>
      <c r="P1131" s="331">
        <f>IF(S1131="","",+S1131-L1131)</f>
        <v>-60</v>
      </c>
      <c r="Q1131" s="331"/>
      <c r="R1131" s="331"/>
      <c r="S1131" s="175">
        <v>38340</v>
      </c>
      <c r="T1131" s="175">
        <v>38353</v>
      </c>
      <c r="U1131" s="331">
        <f>IF(T1131="","",+T1131-J1131)</f>
        <v>43</v>
      </c>
      <c r="V1131" s="6" t="s">
        <v>1332</v>
      </c>
      <c r="W1131" s="47">
        <v>1079</v>
      </c>
      <c r="X1131" s="6" t="s">
        <v>47</v>
      </c>
      <c r="Y1131" s="177"/>
      <c r="Z1131" s="6">
        <v>6656007326</v>
      </c>
      <c r="AA1131" s="6" t="s">
        <v>47</v>
      </c>
      <c r="AB1131" s="6" t="s">
        <v>47</v>
      </c>
      <c r="AC1131" s="7"/>
      <c r="AD1131" s="10" t="str">
        <f>IF(S1131&lt;=L1131,"en término","atrasado")</f>
        <v>en término</v>
      </c>
    </row>
    <row r="1132" spans="1:30" s="9" customFormat="1" ht="12" thickBot="1" x14ac:dyDescent="0.25">
      <c r="A1132" s="328"/>
      <c r="B1132" s="19"/>
      <c r="C1132" s="19"/>
      <c r="D1132" s="5"/>
      <c r="E1132" s="5"/>
      <c r="F1132" s="5" t="s">
        <v>1333</v>
      </c>
      <c r="G1132" s="5"/>
      <c r="H1132" s="105">
        <v>54064.19</v>
      </c>
      <c r="I1132" s="21"/>
      <c r="J1132" s="27"/>
      <c r="K1132" s="27"/>
      <c r="L1132" s="27"/>
      <c r="M1132" s="5"/>
      <c r="N1132" s="5"/>
      <c r="O1132" s="5"/>
      <c r="P1132" s="5"/>
      <c r="Q1132" s="5"/>
      <c r="R1132" s="5"/>
      <c r="S1132" s="27"/>
      <c r="T1132" s="139"/>
      <c r="U1132" s="5"/>
      <c r="V1132" s="224"/>
      <c r="W1132" s="36"/>
      <c r="X1132" s="5"/>
      <c r="Y1132" s="182"/>
      <c r="Z1132" s="5"/>
      <c r="AA1132" s="27">
        <v>38377</v>
      </c>
      <c r="AB1132" s="27"/>
      <c r="AC1132" s="5"/>
      <c r="AD1132" s="330"/>
    </row>
    <row r="1133" spans="1:30" s="9" customFormat="1" x14ac:dyDescent="0.2">
      <c r="A1133" s="328"/>
      <c r="B1133" s="11"/>
      <c r="C1133" s="16"/>
      <c r="D1133" s="7"/>
      <c r="E1133" s="7"/>
      <c r="F1133" s="6"/>
      <c r="G1133" s="6"/>
      <c r="H1133" s="17"/>
      <c r="I1133" s="17"/>
      <c r="J1133" s="7"/>
      <c r="K1133" s="7"/>
      <c r="L1133" s="348"/>
      <c r="M1133" s="6"/>
      <c r="N1133" s="6"/>
      <c r="O1133" s="189"/>
      <c r="P1133" s="7"/>
      <c r="Q1133" s="7"/>
      <c r="R1133" s="7"/>
      <c r="S1133" s="7" t="s">
        <v>1328</v>
      </c>
      <c r="T1133" s="349"/>
      <c r="U1133" s="7"/>
      <c r="V1133" s="220"/>
      <c r="W1133" s="47"/>
      <c r="X1133" s="12"/>
      <c r="Y1133" s="177"/>
      <c r="Z1133" s="6"/>
      <c r="AA1133" s="6"/>
      <c r="AB1133" s="6"/>
      <c r="AC1133" s="6"/>
      <c r="AD1133" s="330"/>
    </row>
    <row r="1134" spans="1:30" s="9" customFormat="1" x14ac:dyDescent="0.2">
      <c r="A1134" s="328"/>
      <c r="B1134" s="16" t="s">
        <v>36</v>
      </c>
      <c r="C1134" s="16" t="s">
        <v>133</v>
      </c>
      <c r="D1134" s="7" t="s">
        <v>1334</v>
      </c>
      <c r="E1134" s="7"/>
      <c r="F1134" s="6" t="s">
        <v>1335</v>
      </c>
      <c r="G1134" s="6" t="s">
        <v>39</v>
      </c>
      <c r="H1134" s="17">
        <v>18769.25</v>
      </c>
      <c r="I1134" s="39" t="s">
        <v>52</v>
      </c>
      <c r="J1134" s="18">
        <v>38323</v>
      </c>
      <c r="K1134" s="331">
        <v>30</v>
      </c>
      <c r="L1134" s="348">
        <f>+J1134+K1134</f>
        <v>38353</v>
      </c>
      <c r="M1134" s="18" t="s">
        <v>41</v>
      </c>
      <c r="N1134" s="6" t="s">
        <v>42</v>
      </c>
      <c r="O1134" s="18">
        <v>38337</v>
      </c>
      <c r="P1134" s="331">
        <f>IF(S1134="","",+S1134-L1134)</f>
        <v>-13</v>
      </c>
      <c r="Q1134" s="331"/>
      <c r="R1134" s="331"/>
      <c r="S1134" s="349">
        <v>38340</v>
      </c>
      <c r="T1134" s="349">
        <v>38353</v>
      </c>
      <c r="U1134" s="331">
        <f>IF(T1134="","",+T1134-J1134)</f>
        <v>30</v>
      </c>
      <c r="V1134" s="6" t="s">
        <v>1254</v>
      </c>
      <c r="W1134" s="47">
        <v>1077</v>
      </c>
      <c r="X1134" s="6" t="s">
        <v>47</v>
      </c>
      <c r="Y1134" s="177"/>
      <c r="Z1134" s="6">
        <v>6656007326</v>
      </c>
      <c r="AA1134" s="6" t="s">
        <v>47</v>
      </c>
      <c r="AB1134" s="6" t="s">
        <v>47</v>
      </c>
      <c r="AC1134" s="18"/>
      <c r="AD1134" s="10" t="str">
        <f>IF(S1134&lt;=L1134,"en término","atrasado")</f>
        <v>en término</v>
      </c>
    </row>
    <row r="1135" spans="1:30" s="9" customFormat="1" ht="12" thickBot="1" x14ac:dyDescent="0.25">
      <c r="A1135" s="328"/>
      <c r="B1135" s="19"/>
      <c r="C1135" s="19"/>
      <c r="D1135" s="5"/>
      <c r="E1135" s="5"/>
      <c r="F1135" s="5" t="s">
        <v>1336</v>
      </c>
      <c r="G1135" s="5"/>
      <c r="H1135" s="105"/>
      <c r="I1135" s="21"/>
      <c r="J1135" s="27"/>
      <c r="K1135" s="27"/>
      <c r="L1135" s="187"/>
      <c r="M1135" s="5"/>
      <c r="N1135" s="5"/>
      <c r="O1135" s="187"/>
      <c r="P1135" s="5"/>
      <c r="Q1135" s="5"/>
      <c r="R1135" s="5"/>
      <c r="S1135" s="27"/>
      <c r="T1135" s="350"/>
      <c r="U1135" s="5"/>
      <c r="V1135" s="224"/>
      <c r="W1135" s="36"/>
      <c r="X1135" s="5"/>
      <c r="Y1135" s="182"/>
      <c r="Z1135" s="5"/>
      <c r="AA1135" s="27">
        <v>38377</v>
      </c>
      <c r="AB1135" s="27">
        <v>18750.490000000002</v>
      </c>
      <c r="AC1135" s="5"/>
      <c r="AD1135" s="330"/>
    </row>
    <row r="1136" spans="1:30" s="9" customFormat="1" x14ac:dyDescent="0.2">
      <c r="A1136" s="328"/>
      <c r="B1136" s="11"/>
      <c r="C1136" s="16"/>
      <c r="D1136" s="7"/>
      <c r="E1136" s="7"/>
      <c r="F1136" s="6"/>
      <c r="G1136" s="6"/>
      <c r="H1136" s="17"/>
      <c r="I1136" s="17"/>
      <c r="J1136" s="7"/>
      <c r="K1136" s="7"/>
      <c r="L1136" s="348"/>
      <c r="M1136" s="6"/>
      <c r="N1136" s="6"/>
      <c r="O1136" s="189"/>
      <c r="P1136" s="7"/>
      <c r="Q1136" s="7"/>
      <c r="R1136" s="7"/>
      <c r="S1136" s="7" t="s">
        <v>1328</v>
      </c>
      <c r="T1136" s="349"/>
      <c r="U1136" s="7"/>
      <c r="V1136" s="220"/>
      <c r="W1136" s="47"/>
      <c r="X1136" s="12"/>
      <c r="Y1136" s="177"/>
      <c r="Z1136" s="6"/>
      <c r="AA1136" s="6"/>
      <c r="AB1136" s="6"/>
      <c r="AC1136" s="6"/>
      <c r="AD1136" s="330"/>
    </row>
    <row r="1137" spans="1:39" s="9" customFormat="1" x14ac:dyDescent="0.2">
      <c r="A1137" s="328"/>
      <c r="B1137" s="16" t="s">
        <v>36</v>
      </c>
      <c r="C1137" s="16" t="s">
        <v>133</v>
      </c>
      <c r="D1137" s="7" t="s">
        <v>1221</v>
      </c>
      <c r="E1137" s="7"/>
      <c r="F1137" s="6" t="s">
        <v>1222</v>
      </c>
      <c r="G1137" s="6" t="s">
        <v>39</v>
      </c>
      <c r="H1137" s="17">
        <v>71750.990000000005</v>
      </c>
      <c r="I1137" s="39" t="s">
        <v>52</v>
      </c>
      <c r="J1137" s="18">
        <v>38310</v>
      </c>
      <c r="K1137" s="331">
        <v>30</v>
      </c>
      <c r="L1137" s="348">
        <f>+J1137+K1137</f>
        <v>38340</v>
      </c>
      <c r="M1137" s="18" t="s">
        <v>41</v>
      </c>
      <c r="N1137" s="6" t="s">
        <v>42</v>
      </c>
      <c r="O1137" s="18">
        <v>38337</v>
      </c>
      <c r="P1137" s="331">
        <f>IF(S1137="","",+S1137-L1137)</f>
        <v>0</v>
      </c>
      <c r="Q1137" s="331"/>
      <c r="R1137" s="331"/>
      <c r="S1137" s="349">
        <v>38340</v>
      </c>
      <c r="T1137" s="349">
        <v>38353</v>
      </c>
      <c r="U1137" s="331">
        <f>IF(T1137="","",+T1137-J1137)</f>
        <v>43</v>
      </c>
      <c r="V1137" s="6" t="s">
        <v>786</v>
      </c>
      <c r="W1137" s="47">
        <v>1076</v>
      </c>
      <c r="X1137" s="6" t="s">
        <v>47</v>
      </c>
      <c r="Y1137" s="177"/>
      <c r="Z1137" s="6">
        <v>6656007326</v>
      </c>
      <c r="AA1137" s="6" t="s">
        <v>47</v>
      </c>
      <c r="AB1137" s="6" t="s">
        <v>47</v>
      </c>
      <c r="AC1137" s="18"/>
      <c r="AD1137" s="10" t="str">
        <f>IF(S1137&lt;=L1137,"en término","atrasado")</f>
        <v>en término</v>
      </c>
    </row>
    <row r="1138" spans="1:39" s="9" customFormat="1" ht="12" thickBot="1" x14ac:dyDescent="0.25">
      <c r="A1138" s="328"/>
      <c r="B1138" s="19"/>
      <c r="C1138" s="19"/>
      <c r="D1138" s="5"/>
      <c r="E1138" s="5"/>
      <c r="F1138" s="5" t="s">
        <v>1337</v>
      </c>
      <c r="G1138" s="5"/>
      <c r="H1138" s="105"/>
      <c r="I1138" s="21"/>
      <c r="J1138" s="27"/>
      <c r="K1138" s="27"/>
      <c r="L1138" s="187"/>
      <c r="M1138" s="5"/>
      <c r="N1138" s="5"/>
      <c r="O1138" s="187"/>
      <c r="P1138" s="5"/>
      <c r="Q1138" s="5"/>
      <c r="R1138" s="5"/>
      <c r="S1138" s="27"/>
      <c r="T1138" s="350"/>
      <c r="U1138" s="5"/>
      <c r="V1138" s="224"/>
      <c r="W1138" s="36"/>
      <c r="X1138" s="5"/>
      <c r="Y1138" s="182"/>
      <c r="Z1138" s="5"/>
      <c r="AA1138" s="27">
        <v>38377</v>
      </c>
      <c r="AB1138" s="27">
        <v>38593</v>
      </c>
      <c r="AC1138" s="27"/>
      <c r="AD1138" s="330"/>
    </row>
    <row r="1140" spans="1:39" ht="12.75" x14ac:dyDescent="0.2">
      <c r="AA1140" s="1">
        <v>2004</v>
      </c>
      <c r="AB1140" s="1047"/>
    </row>
    <row r="1141" spans="1:39" ht="12.75" x14ac:dyDescent="0.2">
      <c r="AA1141" s="945" t="s">
        <v>813</v>
      </c>
      <c r="AB1141" s="1048">
        <f>COUNTA(AD939:AD1137)</f>
        <v>61</v>
      </c>
    </row>
    <row r="1142" spans="1:39" ht="12.75" x14ac:dyDescent="0.2">
      <c r="AA1142" s="945" t="s">
        <v>815</v>
      </c>
      <c r="AB1142" s="1048">
        <f>COUNTIF(AD939:AD1137,"en término")</f>
        <v>55</v>
      </c>
    </row>
    <row r="1143" spans="1:39" ht="12.75" x14ac:dyDescent="0.2">
      <c r="AA1143" s="945" t="s">
        <v>817</v>
      </c>
      <c r="AB1143" s="557">
        <f>+AB1142/AB1141</f>
        <v>0.90163934426229508</v>
      </c>
    </row>
    <row r="1145" spans="1:39" ht="12" thickBot="1" x14ac:dyDescent="0.25"/>
    <row r="1146" spans="1:39" s="553" customFormat="1" ht="39.950000000000003" customHeight="1" thickBot="1" x14ac:dyDescent="0.25">
      <c r="B1146" s="1611">
        <v>2005</v>
      </c>
      <c r="C1146" s="1612"/>
      <c r="D1146" s="1612"/>
      <c r="E1146" s="1612"/>
      <c r="F1146" s="1612"/>
      <c r="G1146" s="1612"/>
      <c r="H1146" s="1612"/>
      <c r="I1146" s="1612"/>
      <c r="J1146" s="1612"/>
      <c r="K1146" s="1612"/>
      <c r="L1146" s="1612"/>
      <c r="M1146" s="1612"/>
      <c r="N1146" s="1612"/>
      <c r="O1146" s="1612"/>
      <c r="P1146" s="1612"/>
      <c r="Q1146" s="1612"/>
      <c r="R1146" s="1612"/>
      <c r="S1146" s="1612"/>
      <c r="T1146" s="1612"/>
      <c r="U1146" s="1612"/>
      <c r="V1146" s="1612"/>
      <c r="W1146" s="1612"/>
      <c r="X1146" s="1612"/>
      <c r="Y1146" s="1612"/>
      <c r="Z1146" s="1612"/>
      <c r="AA1146" s="1612"/>
      <c r="AB1146" s="1612"/>
      <c r="AC1146" s="1613"/>
    </row>
    <row r="1147" spans="1:39" s="441" customFormat="1" ht="60" customHeight="1" thickBot="1" x14ac:dyDescent="0.25">
      <c r="A1147" s="438"/>
      <c r="B1147" s="451" t="s">
        <v>130</v>
      </c>
      <c r="C1147" s="451" t="s">
        <v>4</v>
      </c>
      <c r="D1147" s="451" t="s">
        <v>5</v>
      </c>
      <c r="E1147" s="451" t="s">
        <v>6</v>
      </c>
      <c r="F1147" s="451" t="s">
        <v>7</v>
      </c>
      <c r="G1147" s="451" t="s">
        <v>8</v>
      </c>
      <c r="H1147" s="453" t="s">
        <v>9</v>
      </c>
      <c r="I1147" s="453" t="s">
        <v>10</v>
      </c>
      <c r="J1147" s="451" t="s">
        <v>11</v>
      </c>
      <c r="K1147" s="451" t="s">
        <v>12</v>
      </c>
      <c r="L1147" s="451" t="s">
        <v>13</v>
      </c>
      <c r="M1147" s="451" t="s">
        <v>14</v>
      </c>
      <c r="N1147" s="451" t="s">
        <v>15</v>
      </c>
      <c r="O1147" s="452" t="s">
        <v>16</v>
      </c>
      <c r="P1147" s="454" t="s">
        <v>17</v>
      </c>
      <c r="Q1147" s="451" t="s">
        <v>18</v>
      </c>
      <c r="R1147" s="452" t="s">
        <v>19</v>
      </c>
      <c r="S1147" s="451" t="s">
        <v>20</v>
      </c>
      <c r="T1147" s="451" t="s">
        <v>21</v>
      </c>
      <c r="U1147" s="452" t="s">
        <v>22</v>
      </c>
      <c r="V1147" s="451" t="s">
        <v>131</v>
      </c>
      <c r="W1147" s="451" t="s">
        <v>24</v>
      </c>
      <c r="X1147" s="451" t="s">
        <v>132</v>
      </c>
      <c r="Y1147" s="451" t="s">
        <v>26</v>
      </c>
      <c r="Z1147" s="451" t="s">
        <v>27</v>
      </c>
      <c r="AA1147" s="451" t="s">
        <v>28</v>
      </c>
      <c r="AB1147" s="451" t="s">
        <v>29</v>
      </c>
      <c r="AC1147" s="451" t="s">
        <v>30</v>
      </c>
      <c r="AD1147" s="439"/>
      <c r="AE1147" s="440"/>
      <c r="AF1147" s="440"/>
      <c r="AG1147" s="440"/>
      <c r="AH1147" s="440"/>
      <c r="AI1147" s="440"/>
      <c r="AJ1147" s="440"/>
      <c r="AK1147" s="440"/>
      <c r="AL1147" s="440"/>
      <c r="AM1147" s="440"/>
    </row>
    <row r="1148" spans="1:39" s="9" customFormat="1" x14ac:dyDescent="0.2">
      <c r="A1148" s="328"/>
      <c r="B1148" s="11"/>
      <c r="C1148" s="16"/>
      <c r="D1148" s="7"/>
      <c r="E1148" s="7"/>
      <c r="F1148" s="6"/>
      <c r="G1148" s="6"/>
      <c r="H1148" s="17"/>
      <c r="I1148" s="17"/>
      <c r="J1148" s="7"/>
      <c r="K1148" s="7"/>
      <c r="L1148" s="23"/>
      <c r="M1148" s="6"/>
      <c r="N1148" s="6"/>
      <c r="O1148" s="91"/>
      <c r="P1148" s="7"/>
      <c r="Q1148" s="7"/>
      <c r="R1148" s="7"/>
      <c r="S1148" s="7" t="s">
        <v>1338</v>
      </c>
      <c r="T1148" s="175"/>
      <c r="U1148" s="7"/>
      <c r="V1148" s="220" t="s">
        <v>1326</v>
      </c>
      <c r="W1148" s="47"/>
      <c r="X1148" s="12"/>
      <c r="Y1148" s="177"/>
      <c r="Z1148" s="6"/>
      <c r="AA1148" s="6"/>
      <c r="AB1148" s="6"/>
      <c r="AC1148" s="6"/>
      <c r="AD1148" s="330"/>
    </row>
    <row r="1149" spans="1:39" s="9" customFormat="1" x14ac:dyDescent="0.2">
      <c r="A1149" s="328"/>
      <c r="B1149" s="16" t="s">
        <v>36</v>
      </c>
      <c r="C1149" s="16" t="s">
        <v>133</v>
      </c>
      <c r="D1149" s="7" t="s">
        <v>1221</v>
      </c>
      <c r="E1149" s="7"/>
      <c r="F1149" s="6" t="s">
        <v>1222</v>
      </c>
      <c r="G1149" s="6" t="s">
        <v>39</v>
      </c>
      <c r="H1149" s="17">
        <v>90794.18</v>
      </c>
      <c r="I1149" s="39" t="s">
        <v>40</v>
      </c>
      <c r="J1149" s="7">
        <v>38303</v>
      </c>
      <c r="K1149" s="331">
        <v>90</v>
      </c>
      <c r="L1149" s="23">
        <f>+J1149+K1149</f>
        <v>38393</v>
      </c>
      <c r="M1149" s="18" t="s">
        <v>41</v>
      </c>
      <c r="N1149" s="6" t="s">
        <v>42</v>
      </c>
      <c r="O1149" s="7">
        <v>38376</v>
      </c>
      <c r="P1149" s="331">
        <f>IF(S1149="","",+S1149-L1149)</f>
        <v>-7</v>
      </c>
      <c r="Q1149" s="331"/>
      <c r="R1149" s="331"/>
      <c r="S1149" s="175">
        <v>38386</v>
      </c>
      <c r="T1149" s="175">
        <v>38399</v>
      </c>
      <c r="U1149" s="331">
        <f>IF(T1149="","",+T1149-J1149)</f>
        <v>96</v>
      </c>
      <c r="V1149" s="6" t="s">
        <v>786</v>
      </c>
      <c r="W1149" s="341" t="s">
        <v>1339</v>
      </c>
      <c r="X1149" s="6" t="s">
        <v>47</v>
      </c>
      <c r="Y1149" s="177"/>
      <c r="Z1149" s="6">
        <v>6673533963</v>
      </c>
      <c r="AA1149" s="6" t="s">
        <v>47</v>
      </c>
      <c r="AB1149" s="6" t="s">
        <v>47</v>
      </c>
      <c r="AC1149" s="7"/>
      <c r="AD1149" s="10" t="str">
        <f>IF(S1149&lt;=L1149,"en término","atrasado")</f>
        <v>en término</v>
      </c>
    </row>
    <row r="1150" spans="1:39" s="9" customFormat="1" ht="12" thickBot="1" x14ac:dyDescent="0.25">
      <c r="A1150" s="328"/>
      <c r="B1150" s="19"/>
      <c r="C1150" s="19"/>
      <c r="D1150" s="5"/>
      <c r="E1150" s="5"/>
      <c r="F1150" s="5" t="s">
        <v>1331</v>
      </c>
      <c r="G1150" s="5"/>
      <c r="H1150" s="105">
        <v>52521.599999999999</v>
      </c>
      <c r="I1150" s="21"/>
      <c r="J1150" s="27"/>
      <c r="K1150" s="27"/>
      <c r="L1150" s="27"/>
      <c r="M1150" s="5"/>
      <c r="N1150" s="5"/>
      <c r="O1150" s="5"/>
      <c r="P1150" s="5"/>
      <c r="Q1150" s="5"/>
      <c r="R1150" s="5"/>
      <c r="S1150" s="27"/>
      <c r="T1150" s="139"/>
      <c r="U1150" s="5"/>
      <c r="V1150" s="224"/>
      <c r="W1150" s="36"/>
      <c r="X1150" s="5"/>
      <c r="Y1150" s="182"/>
      <c r="Z1150" s="5"/>
      <c r="AA1150" s="27">
        <v>38418</v>
      </c>
      <c r="AB1150" s="27"/>
      <c r="AC1150" s="5"/>
      <c r="AD1150" s="330"/>
    </row>
    <row r="1151" spans="1:39" s="9" customFormat="1" x14ac:dyDescent="0.2">
      <c r="A1151" s="328"/>
      <c r="B1151" s="11"/>
      <c r="C1151" s="16"/>
      <c r="D1151" s="7"/>
      <c r="E1151" s="7"/>
      <c r="F1151" s="6"/>
      <c r="G1151" s="6"/>
      <c r="H1151" s="17"/>
      <c r="I1151" s="17"/>
      <c r="J1151" s="7"/>
      <c r="K1151" s="7"/>
      <c r="L1151" s="23"/>
      <c r="M1151" s="6"/>
      <c r="N1151" s="6"/>
      <c r="O1151" s="91"/>
      <c r="P1151" s="7"/>
      <c r="Q1151" s="7"/>
      <c r="R1151" s="7"/>
      <c r="S1151" s="7" t="s">
        <v>1338</v>
      </c>
      <c r="T1151" s="175"/>
      <c r="U1151" s="7"/>
      <c r="V1151" s="220" t="s">
        <v>1326</v>
      </c>
      <c r="W1151" s="47"/>
      <c r="X1151" s="12"/>
      <c r="Y1151" s="177"/>
      <c r="Z1151" s="6"/>
      <c r="AA1151" s="6"/>
      <c r="AB1151" s="6"/>
      <c r="AC1151" s="6"/>
      <c r="AD1151" s="330"/>
    </row>
    <row r="1152" spans="1:39" s="9" customFormat="1" x14ac:dyDescent="0.2">
      <c r="A1152" s="328"/>
      <c r="B1152" s="16" t="s">
        <v>36</v>
      </c>
      <c r="C1152" s="16" t="s">
        <v>133</v>
      </c>
      <c r="D1152" s="7" t="s">
        <v>1221</v>
      </c>
      <c r="E1152" s="7"/>
      <c r="F1152" s="6" t="s">
        <v>1222</v>
      </c>
      <c r="G1152" s="6" t="s">
        <v>39</v>
      </c>
      <c r="H1152" s="17">
        <v>100203.95</v>
      </c>
      <c r="I1152" s="39" t="s">
        <v>40</v>
      </c>
      <c r="J1152" s="7">
        <v>38310</v>
      </c>
      <c r="K1152" s="331">
        <v>90</v>
      </c>
      <c r="L1152" s="23">
        <f>+J1152+K1152</f>
        <v>38400</v>
      </c>
      <c r="M1152" s="18" t="s">
        <v>41</v>
      </c>
      <c r="N1152" s="6" t="s">
        <v>42</v>
      </c>
      <c r="O1152" s="7">
        <v>38376</v>
      </c>
      <c r="P1152" s="331">
        <f>IF(S1152="","",+S1152-L1152)</f>
        <v>-14</v>
      </c>
      <c r="Q1152" s="331"/>
      <c r="R1152" s="331"/>
      <c r="S1152" s="175">
        <v>38386</v>
      </c>
      <c r="T1152" s="175">
        <v>38399</v>
      </c>
      <c r="U1152" s="331">
        <f>IF(T1152="","",+T1152-J1152)</f>
        <v>89</v>
      </c>
      <c r="V1152" s="6" t="s">
        <v>1340</v>
      </c>
      <c r="W1152" s="341" t="s">
        <v>1341</v>
      </c>
      <c r="X1152" s="6" t="s">
        <v>47</v>
      </c>
      <c r="Y1152" s="177"/>
      <c r="Z1152" s="6">
        <v>6673533963</v>
      </c>
      <c r="AA1152" s="6" t="s">
        <v>47</v>
      </c>
      <c r="AB1152" s="6" t="s">
        <v>47</v>
      </c>
      <c r="AC1152" s="7"/>
      <c r="AD1152" s="10" t="str">
        <f>IF(S1152&lt;=L1152,"en término","atrasado")</f>
        <v>en término</v>
      </c>
    </row>
    <row r="1153" spans="1:30" s="9" customFormat="1" ht="12" thickBot="1" x14ac:dyDescent="0.25">
      <c r="A1153" s="328"/>
      <c r="B1153" s="19"/>
      <c r="C1153" s="19"/>
      <c r="D1153" s="5"/>
      <c r="E1153" s="5"/>
      <c r="F1153" s="5" t="s">
        <v>1333</v>
      </c>
      <c r="G1153" s="5"/>
      <c r="H1153" s="105">
        <v>46028.52</v>
      </c>
      <c r="I1153" s="21"/>
      <c r="J1153" s="27"/>
      <c r="K1153" s="27"/>
      <c r="L1153" s="27"/>
      <c r="M1153" s="5"/>
      <c r="N1153" s="5"/>
      <c r="O1153" s="5"/>
      <c r="P1153" s="5"/>
      <c r="Q1153" s="5"/>
      <c r="R1153" s="5"/>
      <c r="S1153" s="27"/>
      <c r="T1153" s="139"/>
      <c r="U1153" s="5"/>
      <c r="V1153" s="224"/>
      <c r="W1153" s="36"/>
      <c r="X1153" s="5"/>
      <c r="Y1153" s="182"/>
      <c r="Z1153" s="5"/>
      <c r="AA1153" s="27">
        <v>38418</v>
      </c>
      <c r="AB1153" s="27"/>
      <c r="AC1153" s="5"/>
      <c r="AD1153" s="330"/>
    </row>
    <row r="1154" spans="1:30" s="9" customFormat="1" x14ac:dyDescent="0.2">
      <c r="A1154" s="328"/>
      <c r="B1154" s="11"/>
      <c r="C1154" s="16"/>
      <c r="D1154" s="7"/>
      <c r="E1154" s="7"/>
      <c r="F1154" s="6"/>
      <c r="G1154" s="6"/>
      <c r="H1154" s="17"/>
      <c r="I1154" s="17"/>
      <c r="J1154" s="7"/>
      <c r="K1154" s="7"/>
      <c r="L1154" s="23"/>
      <c r="M1154" s="6"/>
      <c r="N1154" s="6"/>
      <c r="O1154" s="91"/>
      <c r="P1154" s="7"/>
      <c r="Q1154" s="7"/>
      <c r="R1154" s="7"/>
      <c r="S1154" s="7" t="s">
        <v>1338</v>
      </c>
      <c r="T1154" s="175"/>
      <c r="U1154" s="7"/>
      <c r="V1154" s="220"/>
      <c r="W1154" s="47"/>
      <c r="X1154" s="12"/>
      <c r="Y1154" s="177"/>
      <c r="Z1154" s="6"/>
      <c r="AA1154" s="6"/>
      <c r="AB1154" s="6"/>
      <c r="AC1154" s="6"/>
      <c r="AD1154" s="330"/>
    </row>
    <row r="1155" spans="1:30" s="9" customFormat="1" x14ac:dyDescent="0.2">
      <c r="A1155" s="328"/>
      <c r="B1155" s="16" t="s">
        <v>36</v>
      </c>
      <c r="C1155" s="16" t="s">
        <v>133</v>
      </c>
      <c r="D1155" s="7" t="s">
        <v>1221</v>
      </c>
      <c r="E1155" s="7"/>
      <c r="F1155" s="6" t="s">
        <v>1222</v>
      </c>
      <c r="G1155" s="6" t="s">
        <v>39</v>
      </c>
      <c r="H1155" s="17">
        <v>8676.48</v>
      </c>
      <c r="I1155" s="39" t="s">
        <v>142</v>
      </c>
      <c r="J1155" s="7">
        <v>38301</v>
      </c>
      <c r="K1155" s="331">
        <v>90</v>
      </c>
      <c r="L1155" s="23">
        <f>+J1155+K1155</f>
        <v>38391</v>
      </c>
      <c r="M1155" s="18" t="s">
        <v>41</v>
      </c>
      <c r="N1155" s="6" t="s">
        <v>42</v>
      </c>
      <c r="O1155" s="7">
        <v>38376</v>
      </c>
      <c r="P1155" s="331">
        <f>IF(S1155="","",+S1155-L1155)</f>
        <v>-5</v>
      </c>
      <c r="Q1155" s="331"/>
      <c r="R1155" s="331"/>
      <c r="S1155" s="175">
        <v>38386</v>
      </c>
      <c r="T1155" s="175">
        <v>38399</v>
      </c>
      <c r="U1155" s="331">
        <f>IF(T1155="","",+T1155-J1155)</f>
        <v>98</v>
      </c>
      <c r="V1155" s="6" t="s">
        <v>879</v>
      </c>
      <c r="W1155" s="341" t="s">
        <v>1342</v>
      </c>
      <c r="X1155" s="6" t="s">
        <v>47</v>
      </c>
      <c r="Y1155" s="177"/>
      <c r="Z1155" s="6">
        <v>6673533963</v>
      </c>
      <c r="AA1155" s="6" t="s">
        <v>47</v>
      </c>
      <c r="AB1155" s="6" t="s">
        <v>47</v>
      </c>
      <c r="AC1155" s="7"/>
      <c r="AD1155" s="10" t="str">
        <f>IF(S1155&lt;=L1155,"en término","atrasado")</f>
        <v>en término</v>
      </c>
    </row>
    <row r="1156" spans="1:30" s="9" customFormat="1" ht="12" thickBot="1" x14ac:dyDescent="0.25">
      <c r="A1156" s="328"/>
      <c r="B1156" s="19"/>
      <c r="C1156" s="19"/>
      <c r="D1156" s="5"/>
      <c r="E1156" s="5"/>
      <c r="F1156" s="5" t="s">
        <v>1343</v>
      </c>
      <c r="G1156" s="5"/>
      <c r="H1156" s="105"/>
      <c r="I1156" s="21"/>
      <c r="J1156" s="27"/>
      <c r="K1156" s="27"/>
      <c r="L1156" s="27"/>
      <c r="M1156" s="5"/>
      <c r="N1156" s="5"/>
      <c r="O1156" s="5"/>
      <c r="P1156" s="5"/>
      <c r="Q1156" s="5"/>
      <c r="R1156" s="5"/>
      <c r="S1156" s="27"/>
      <c r="T1156" s="139"/>
      <c r="U1156" s="5"/>
      <c r="V1156" s="224"/>
      <c r="W1156" s="36"/>
      <c r="X1156" s="5"/>
      <c r="Y1156" s="182"/>
      <c r="Z1156" s="5"/>
      <c r="AA1156" s="27">
        <v>38418</v>
      </c>
      <c r="AB1156" s="27"/>
      <c r="AC1156" s="5"/>
      <c r="AD1156" s="330"/>
    </row>
    <row r="1157" spans="1:30" s="9" customFormat="1" x14ac:dyDescent="0.2">
      <c r="A1157" s="328"/>
      <c r="B1157" s="11"/>
      <c r="C1157" s="16"/>
      <c r="D1157" s="7"/>
      <c r="E1157" s="7"/>
      <c r="F1157" s="6"/>
      <c r="G1157" s="6"/>
      <c r="H1157" s="17"/>
      <c r="I1157" s="17"/>
      <c r="J1157" s="7"/>
      <c r="K1157" s="7"/>
      <c r="L1157" s="23"/>
      <c r="M1157" s="6"/>
      <c r="N1157" s="6"/>
      <c r="O1157" s="91"/>
      <c r="P1157" s="7"/>
      <c r="Q1157" s="7"/>
      <c r="R1157" s="7"/>
      <c r="S1157" s="7" t="s">
        <v>1338</v>
      </c>
      <c r="T1157" s="7"/>
      <c r="U1157" s="7"/>
      <c r="V1157" s="220" t="s">
        <v>1344</v>
      </c>
      <c r="W1157" s="47"/>
      <c r="X1157" s="12"/>
      <c r="Y1157" s="177"/>
      <c r="Z1157" s="6"/>
      <c r="AA1157" s="6"/>
      <c r="AB1157" s="6"/>
      <c r="AC1157" s="6"/>
      <c r="AD1157" s="330"/>
    </row>
    <row r="1158" spans="1:30" s="9" customFormat="1" x14ac:dyDescent="0.2">
      <c r="A1158" s="328"/>
      <c r="B1158" s="16" t="s">
        <v>36</v>
      </c>
      <c r="C1158" s="16" t="s">
        <v>133</v>
      </c>
      <c r="D1158" s="7" t="s">
        <v>1221</v>
      </c>
      <c r="E1158" s="7"/>
      <c r="F1158" s="6" t="s">
        <v>1222</v>
      </c>
      <c r="G1158" s="6" t="s">
        <v>39</v>
      </c>
      <c r="H1158" s="17">
        <v>174517.69</v>
      </c>
      <c r="I1158" s="39" t="s">
        <v>40</v>
      </c>
      <c r="J1158" s="7">
        <v>38371</v>
      </c>
      <c r="K1158" s="331">
        <v>90</v>
      </c>
      <c r="L1158" s="23">
        <f>+J1158+K1158</f>
        <v>38461</v>
      </c>
      <c r="M1158" s="18" t="s">
        <v>41</v>
      </c>
      <c r="N1158" s="6" t="s">
        <v>42</v>
      </c>
      <c r="O1158" s="7">
        <v>38376</v>
      </c>
      <c r="P1158" s="331">
        <f>IF(S1158="","",+S1158-L1158)</f>
        <v>-75</v>
      </c>
      <c r="Q1158" s="331"/>
      <c r="R1158" s="331"/>
      <c r="S1158" s="175">
        <v>38386</v>
      </c>
      <c r="T1158" s="175">
        <v>38399</v>
      </c>
      <c r="U1158" s="331">
        <f>IF(T1158="","",+T1158-J1158)</f>
        <v>28</v>
      </c>
      <c r="V1158" s="6" t="s">
        <v>1122</v>
      </c>
      <c r="W1158" s="341" t="s">
        <v>1345</v>
      </c>
      <c r="X1158" s="6" t="s">
        <v>47</v>
      </c>
      <c r="Y1158" s="177"/>
      <c r="Z1158" s="6">
        <v>6673533963</v>
      </c>
      <c r="AA1158" s="6" t="s">
        <v>47</v>
      </c>
      <c r="AB1158" s="6" t="s">
        <v>47</v>
      </c>
      <c r="AC1158" s="7"/>
      <c r="AD1158" s="10" t="str">
        <f>IF(S1158&lt;=L1158,"en término","atrasado")</f>
        <v>en término</v>
      </c>
    </row>
    <row r="1159" spans="1:30" s="9" customFormat="1" ht="12" thickBot="1" x14ac:dyDescent="0.25">
      <c r="A1159" s="328"/>
      <c r="B1159" s="19"/>
      <c r="C1159" s="19"/>
      <c r="D1159" s="5"/>
      <c r="E1159" s="5"/>
      <c r="F1159" s="5" t="s">
        <v>1346</v>
      </c>
      <c r="G1159" s="5"/>
      <c r="H1159" s="105">
        <v>61746.5</v>
      </c>
      <c r="I1159" s="21"/>
      <c r="J1159" s="27"/>
      <c r="K1159" s="27"/>
      <c r="L1159" s="27"/>
      <c r="M1159" s="5"/>
      <c r="N1159" s="5"/>
      <c r="O1159" s="5"/>
      <c r="P1159" s="5"/>
      <c r="Q1159" s="5"/>
      <c r="R1159" s="5"/>
      <c r="S1159" s="5"/>
      <c r="T1159" s="5"/>
      <c r="U1159" s="5"/>
      <c r="V1159" s="224"/>
      <c r="W1159" s="36"/>
      <c r="X1159" s="5"/>
      <c r="Y1159" s="182"/>
      <c r="Z1159" s="5"/>
      <c r="AA1159" s="27">
        <v>38418</v>
      </c>
      <c r="AB1159" s="27"/>
      <c r="AC1159" s="5"/>
      <c r="AD1159" s="330"/>
    </row>
    <row r="1160" spans="1:30" s="9" customFormat="1" x14ac:dyDescent="0.2">
      <c r="A1160" s="328"/>
      <c r="B1160" s="11"/>
      <c r="C1160" s="16"/>
      <c r="D1160" s="7"/>
      <c r="E1160" s="7"/>
      <c r="F1160" s="6"/>
      <c r="G1160" s="6"/>
      <c r="H1160" s="17"/>
      <c r="I1160" s="17"/>
      <c r="J1160" s="7"/>
      <c r="K1160" s="7"/>
      <c r="L1160" s="23"/>
      <c r="M1160" s="6"/>
      <c r="N1160" s="6"/>
      <c r="O1160" s="91"/>
      <c r="P1160" s="7"/>
      <c r="Q1160" s="7"/>
      <c r="R1160" s="7"/>
      <c r="S1160" s="7" t="s">
        <v>1338</v>
      </c>
      <c r="T1160" s="7"/>
      <c r="U1160" s="7"/>
      <c r="V1160" s="220"/>
      <c r="W1160" s="47"/>
      <c r="X1160" s="12"/>
      <c r="Y1160" s="177"/>
      <c r="Z1160" s="6"/>
      <c r="AA1160" s="6"/>
      <c r="AB1160" s="6"/>
      <c r="AC1160" s="6"/>
      <c r="AD1160" s="330"/>
    </row>
    <row r="1161" spans="1:30" s="9" customFormat="1" x14ac:dyDescent="0.2">
      <c r="A1161" s="328"/>
      <c r="B1161" s="16" t="s">
        <v>36</v>
      </c>
      <c r="C1161" s="16" t="s">
        <v>133</v>
      </c>
      <c r="D1161" s="7" t="s">
        <v>1221</v>
      </c>
      <c r="E1161" s="7"/>
      <c r="F1161" s="6" t="s">
        <v>1222</v>
      </c>
      <c r="G1161" s="6" t="s">
        <v>39</v>
      </c>
      <c r="H1161" s="17">
        <v>149480.03</v>
      </c>
      <c r="I1161" s="39" t="s">
        <v>52</v>
      </c>
      <c r="J1161" s="7">
        <v>38341</v>
      </c>
      <c r="K1161" s="331">
        <v>90</v>
      </c>
      <c r="L1161" s="23">
        <f>+J1161+K1161</f>
        <v>38431</v>
      </c>
      <c r="M1161" s="18" t="s">
        <v>41</v>
      </c>
      <c r="N1161" s="6" t="s">
        <v>42</v>
      </c>
      <c r="O1161" s="7">
        <v>38376</v>
      </c>
      <c r="P1161" s="331">
        <f>IF(S1161="","",+S1161-L1161)</f>
        <v>-45</v>
      </c>
      <c r="Q1161" s="331"/>
      <c r="R1161" s="331"/>
      <c r="S1161" s="175">
        <v>38386</v>
      </c>
      <c r="T1161" s="175">
        <v>38399</v>
      </c>
      <c r="U1161" s="331">
        <f>IF(T1161="","",+T1161-J1161)</f>
        <v>58</v>
      </c>
      <c r="V1161" s="6" t="s">
        <v>1347</v>
      </c>
      <c r="W1161" s="341" t="s">
        <v>1348</v>
      </c>
      <c r="X1161" s="6" t="s">
        <v>47</v>
      </c>
      <c r="Y1161" s="177"/>
      <c r="Z1161" s="6">
        <v>6673533963</v>
      </c>
      <c r="AA1161" s="6" t="s">
        <v>47</v>
      </c>
      <c r="AB1161" s="6" t="s">
        <v>47</v>
      </c>
      <c r="AC1161" s="7"/>
      <c r="AD1161" s="10" t="str">
        <f>IF(S1161&lt;=L1161,"en término","atrasado")</f>
        <v>en término</v>
      </c>
    </row>
    <row r="1162" spans="1:30" s="9" customFormat="1" ht="12" thickBot="1" x14ac:dyDescent="0.25">
      <c r="A1162" s="328"/>
      <c r="B1162" s="19"/>
      <c r="C1162" s="19"/>
      <c r="D1162" s="5"/>
      <c r="E1162" s="5"/>
      <c r="F1162" s="5" t="s">
        <v>1349</v>
      </c>
      <c r="G1162" s="5"/>
      <c r="H1162" s="105"/>
      <c r="I1162" s="21"/>
      <c r="J1162" s="27"/>
      <c r="K1162" s="27"/>
      <c r="L1162" s="27"/>
      <c r="M1162" s="5"/>
      <c r="N1162" s="5"/>
      <c r="O1162" s="5"/>
      <c r="P1162" s="5"/>
      <c r="Q1162" s="5"/>
      <c r="R1162" s="5"/>
      <c r="S1162" s="27"/>
      <c r="T1162" s="5"/>
      <c r="U1162" s="5"/>
      <c r="V1162" s="224"/>
      <c r="W1162" s="36"/>
      <c r="X1162" s="5"/>
      <c r="Y1162" s="182"/>
      <c r="Z1162" s="5"/>
      <c r="AA1162" s="27">
        <v>38418</v>
      </c>
      <c r="AB1162" s="27">
        <v>38475</v>
      </c>
      <c r="AC1162" s="27"/>
      <c r="AD1162" s="330"/>
    </row>
    <row r="1163" spans="1:30" s="9" customFormat="1" x14ac:dyDescent="0.2">
      <c r="A1163" s="328"/>
      <c r="B1163" s="11"/>
      <c r="C1163" s="16"/>
      <c r="D1163" s="7"/>
      <c r="E1163" s="7"/>
      <c r="F1163" s="6"/>
      <c r="G1163" s="6"/>
      <c r="H1163" s="17"/>
      <c r="I1163" s="17"/>
      <c r="J1163" s="7"/>
      <c r="K1163" s="7"/>
      <c r="L1163" s="348"/>
      <c r="M1163" s="6"/>
      <c r="N1163" s="6"/>
      <c r="O1163" s="189"/>
      <c r="P1163" s="7"/>
      <c r="Q1163" s="7"/>
      <c r="R1163" s="7"/>
      <c r="S1163" s="7" t="s">
        <v>1338</v>
      </c>
      <c r="T1163" s="349"/>
      <c r="U1163" s="7"/>
      <c r="V1163" s="220" t="s">
        <v>1344</v>
      </c>
      <c r="W1163" s="47"/>
      <c r="X1163" s="12"/>
      <c r="Y1163" s="177"/>
      <c r="Z1163" s="6"/>
      <c r="AA1163" s="6"/>
      <c r="AB1163" s="6"/>
      <c r="AC1163" s="6"/>
      <c r="AD1163" s="330"/>
    </row>
    <row r="1164" spans="1:30" s="9" customFormat="1" x14ac:dyDescent="0.2">
      <c r="A1164" s="328"/>
      <c r="B1164" s="16" t="s">
        <v>36</v>
      </c>
      <c r="C1164" s="16" t="s">
        <v>133</v>
      </c>
      <c r="D1164" s="7" t="s">
        <v>1221</v>
      </c>
      <c r="E1164" s="7"/>
      <c r="F1164" s="6" t="s">
        <v>1222</v>
      </c>
      <c r="G1164" s="6" t="s">
        <v>39</v>
      </c>
      <c r="H1164" s="17">
        <v>72544.59</v>
      </c>
      <c r="I1164" s="39" t="s">
        <v>62</v>
      </c>
      <c r="J1164" s="18">
        <v>38369</v>
      </c>
      <c r="K1164" s="331">
        <v>30</v>
      </c>
      <c r="L1164" s="348">
        <v>38405</v>
      </c>
      <c r="M1164" s="18" t="s">
        <v>41</v>
      </c>
      <c r="N1164" s="6" t="s">
        <v>42</v>
      </c>
      <c r="O1164" s="18">
        <v>38376</v>
      </c>
      <c r="P1164" s="331">
        <f>IF(S1164="","",+S1164-L1164)</f>
        <v>-19</v>
      </c>
      <c r="Q1164" s="331"/>
      <c r="R1164" s="331"/>
      <c r="S1164" s="349">
        <v>38386</v>
      </c>
      <c r="T1164" s="349">
        <v>38399</v>
      </c>
      <c r="U1164" s="331">
        <f>IF(T1164="","",+T1164-J1164)</f>
        <v>30</v>
      </c>
      <c r="V1164" s="6" t="s">
        <v>1330</v>
      </c>
      <c r="W1164" s="341" t="s">
        <v>1350</v>
      </c>
      <c r="X1164" s="6" t="s">
        <v>47</v>
      </c>
      <c r="Y1164" s="177"/>
      <c r="Z1164" s="6">
        <v>6673533963</v>
      </c>
      <c r="AA1164" s="6" t="s">
        <v>47</v>
      </c>
      <c r="AB1164" s="6" t="s">
        <v>47</v>
      </c>
      <c r="AC1164" s="18"/>
      <c r="AD1164" s="10" t="str">
        <f>IF(S1164&lt;=L1164,"en término","atrasado")</f>
        <v>en término</v>
      </c>
    </row>
    <row r="1165" spans="1:30" s="9" customFormat="1" ht="12" thickBot="1" x14ac:dyDescent="0.25">
      <c r="A1165" s="328"/>
      <c r="B1165" s="19"/>
      <c r="C1165" s="19"/>
      <c r="D1165" s="5"/>
      <c r="E1165" s="5"/>
      <c r="F1165" s="5" t="s">
        <v>1351</v>
      </c>
      <c r="G1165" s="5"/>
      <c r="H1165" s="105">
        <f>+H1164-20099.74</f>
        <v>52444.849999999991</v>
      </c>
      <c r="I1165" s="21"/>
      <c r="J1165" s="27"/>
      <c r="K1165" s="27"/>
      <c r="L1165" s="187"/>
      <c r="M1165" s="5"/>
      <c r="N1165" s="5"/>
      <c r="O1165" s="187"/>
      <c r="P1165" s="5"/>
      <c r="Q1165" s="5"/>
      <c r="R1165" s="5"/>
      <c r="S1165" s="27"/>
      <c r="T1165" s="187"/>
      <c r="U1165" s="5"/>
      <c r="V1165" s="224"/>
      <c r="W1165" s="36"/>
      <c r="X1165" s="5"/>
      <c r="Y1165" s="182"/>
      <c r="Z1165" s="5"/>
      <c r="AA1165" s="27">
        <v>38418</v>
      </c>
      <c r="AB1165" s="27">
        <v>38519</v>
      </c>
      <c r="AC1165" s="27"/>
      <c r="AD1165" s="330"/>
    </row>
    <row r="1166" spans="1:30" s="9" customFormat="1" x14ac:dyDescent="0.2">
      <c r="A1166" s="328"/>
      <c r="B1166" s="11"/>
      <c r="C1166" s="16"/>
      <c r="D1166" s="7"/>
      <c r="E1166" s="7"/>
      <c r="F1166" s="6"/>
      <c r="G1166" s="6"/>
      <c r="H1166" s="17"/>
      <c r="I1166" s="17"/>
      <c r="J1166" s="7"/>
      <c r="K1166" s="7"/>
      <c r="L1166" s="348"/>
      <c r="M1166" s="6"/>
      <c r="N1166" s="6"/>
      <c r="O1166" s="189"/>
      <c r="P1166" s="7"/>
      <c r="Q1166" s="7"/>
      <c r="R1166" s="7"/>
      <c r="S1166" s="7" t="s">
        <v>1338</v>
      </c>
      <c r="T1166" s="18"/>
      <c r="U1166" s="7"/>
      <c r="V1166" s="220" t="s">
        <v>1344</v>
      </c>
      <c r="W1166" s="47"/>
      <c r="X1166" s="12"/>
      <c r="Y1166" s="177"/>
      <c r="Z1166" s="6"/>
      <c r="AA1166" s="6"/>
      <c r="AB1166" s="6"/>
      <c r="AC1166" s="6"/>
      <c r="AD1166" s="330"/>
    </row>
    <row r="1167" spans="1:30" s="9" customFormat="1" x14ac:dyDescent="0.2">
      <c r="A1167" s="328"/>
      <c r="B1167" s="16" t="s">
        <v>36</v>
      </c>
      <c r="C1167" s="16" t="s">
        <v>133</v>
      </c>
      <c r="D1167" s="7" t="s">
        <v>1334</v>
      </c>
      <c r="E1167" s="7"/>
      <c r="F1167" s="6" t="s">
        <v>1335</v>
      </c>
      <c r="G1167" s="6" t="s">
        <v>39</v>
      </c>
      <c r="H1167" s="17">
        <v>25300.95</v>
      </c>
      <c r="I1167" s="39" t="s">
        <v>52</v>
      </c>
      <c r="J1167" s="18">
        <v>38327</v>
      </c>
      <c r="K1167" s="331">
        <v>104</v>
      </c>
      <c r="L1167" s="348">
        <f>+J1167+K1167</f>
        <v>38431</v>
      </c>
      <c r="M1167" s="18" t="s">
        <v>41</v>
      </c>
      <c r="N1167" s="6" t="s">
        <v>42</v>
      </c>
      <c r="O1167" s="18">
        <v>38376</v>
      </c>
      <c r="P1167" s="331">
        <f>IF(S1167="","",+S1167-L1167)</f>
        <v>-45</v>
      </c>
      <c r="Q1167" s="331"/>
      <c r="R1167" s="331"/>
      <c r="S1167" s="349">
        <v>38386</v>
      </c>
      <c r="T1167" s="349">
        <v>38399</v>
      </c>
      <c r="U1167" s="331">
        <f>IF(T1167="","",+T1167-J1167)</f>
        <v>72</v>
      </c>
      <c r="V1167" s="6" t="s">
        <v>1254</v>
      </c>
      <c r="W1167" s="341" t="s">
        <v>1352</v>
      </c>
      <c r="X1167" s="6" t="s">
        <v>47</v>
      </c>
      <c r="Y1167" s="177"/>
      <c r="Z1167" s="6">
        <v>6673533963</v>
      </c>
      <c r="AA1167" s="6" t="s">
        <v>47</v>
      </c>
      <c r="AB1167" s="6" t="s">
        <v>47</v>
      </c>
      <c r="AC1167" s="18"/>
      <c r="AD1167" s="10" t="str">
        <f>IF(S1167&lt;=L1167,"en término","atrasado")</f>
        <v>en término</v>
      </c>
    </row>
    <row r="1168" spans="1:30" s="9" customFormat="1" ht="12" thickBot="1" x14ac:dyDescent="0.25">
      <c r="A1168" s="328"/>
      <c r="B1168" s="19"/>
      <c r="C1168" s="19"/>
      <c r="D1168" s="5"/>
      <c r="E1168" s="5"/>
      <c r="F1168" s="5" t="s">
        <v>1353</v>
      </c>
      <c r="G1168" s="5"/>
      <c r="H1168" s="105">
        <v>12870.58</v>
      </c>
      <c r="I1168" s="21"/>
      <c r="J1168" s="27"/>
      <c r="K1168" s="27"/>
      <c r="L1168" s="187"/>
      <c r="M1168" s="5"/>
      <c r="N1168" s="5"/>
      <c r="O1168" s="187"/>
      <c r="P1168" s="5"/>
      <c r="Q1168" s="5"/>
      <c r="R1168" s="5"/>
      <c r="S1168" s="27"/>
      <c r="T1168" s="187"/>
      <c r="U1168" s="5"/>
      <c r="V1168" s="224"/>
      <c r="W1168" s="36"/>
      <c r="X1168" s="5"/>
      <c r="Y1168" s="182"/>
      <c r="Z1168" s="5"/>
      <c r="AA1168" s="27">
        <v>38418</v>
      </c>
      <c r="AB1168" s="27" t="s">
        <v>1354</v>
      </c>
      <c r="AC1168" s="27"/>
      <c r="AD1168" s="330"/>
    </row>
    <row r="1169" spans="1:30" s="9" customFormat="1" x14ac:dyDescent="0.2">
      <c r="A1169" s="328"/>
      <c r="B1169" s="16"/>
      <c r="C1169" s="16"/>
      <c r="D1169" s="7"/>
      <c r="E1169" s="7"/>
      <c r="F1169" s="6"/>
      <c r="G1169" s="6"/>
      <c r="H1169" s="17"/>
      <c r="I1169" s="17"/>
      <c r="J1169" s="7"/>
      <c r="K1169" s="7"/>
      <c r="L1169" s="348"/>
      <c r="M1169" s="6"/>
      <c r="N1169" s="6"/>
      <c r="O1169" s="189"/>
      <c r="P1169" s="7"/>
      <c r="Q1169" s="7"/>
      <c r="R1169" s="7"/>
      <c r="S1169" s="7" t="s">
        <v>1355</v>
      </c>
      <c r="T1169" s="18"/>
      <c r="U1169" s="7"/>
      <c r="V1169" s="138"/>
      <c r="W1169" s="47"/>
      <c r="X1169" s="57"/>
      <c r="Y1169" s="177"/>
      <c r="Z1169" s="6"/>
      <c r="AA1169" s="6"/>
      <c r="AB1169" s="6"/>
      <c r="AC1169" s="6"/>
      <c r="AD1169" s="330"/>
    </row>
    <row r="1170" spans="1:30" s="9" customFormat="1" x14ac:dyDescent="0.2">
      <c r="A1170" s="328"/>
      <c r="B1170" s="16" t="s">
        <v>36</v>
      </c>
      <c r="C1170" s="16" t="s">
        <v>37</v>
      </c>
      <c r="D1170" s="7" t="s">
        <v>1356</v>
      </c>
      <c r="E1170" s="7"/>
      <c r="F1170" s="6" t="s">
        <v>1357</v>
      </c>
      <c r="G1170" s="6" t="s">
        <v>39</v>
      </c>
      <c r="H1170" s="17">
        <f>5950*2</f>
        <v>11900</v>
      </c>
      <c r="I1170" s="39" t="s">
        <v>40</v>
      </c>
      <c r="J1170" s="18">
        <v>38260</v>
      </c>
      <c r="K1170" s="331">
        <v>90</v>
      </c>
      <c r="L1170" s="348">
        <f>+J1170+K1170</f>
        <v>38350</v>
      </c>
      <c r="M1170" s="18" t="s">
        <v>41</v>
      </c>
      <c r="N1170" s="6" t="s">
        <v>42</v>
      </c>
      <c r="O1170" s="18">
        <v>38415</v>
      </c>
      <c r="P1170" s="331">
        <f>IF(S1170="","",+S1170-L1170)</f>
        <v>84</v>
      </c>
      <c r="Q1170" s="331"/>
      <c r="R1170" s="331"/>
      <c r="S1170" s="349">
        <v>38434</v>
      </c>
      <c r="T1170" s="349">
        <v>38450</v>
      </c>
      <c r="U1170" s="331">
        <f>IF(T1170="","",+T1170-J1170)</f>
        <v>190</v>
      </c>
      <c r="V1170" s="6" t="s">
        <v>73</v>
      </c>
      <c r="W1170" s="341" t="s">
        <v>1358</v>
      </c>
      <c r="X1170" s="59"/>
      <c r="Y1170" s="177"/>
      <c r="Z1170" s="6">
        <v>6671346511</v>
      </c>
      <c r="AA1170" s="6" t="s">
        <v>47</v>
      </c>
      <c r="AB1170" s="6" t="s">
        <v>47</v>
      </c>
      <c r="AC1170" s="18"/>
      <c r="AD1170" s="10" t="str">
        <f>IF(S1170&lt;=L1170,"en término","atrasado")</f>
        <v>atrasado</v>
      </c>
    </row>
    <row r="1171" spans="1:30" s="9" customFormat="1" x14ac:dyDescent="0.2">
      <c r="A1171" s="328"/>
      <c r="B1171" s="16"/>
      <c r="C1171" s="16"/>
      <c r="D1171" s="6"/>
      <c r="E1171" s="6"/>
      <c r="F1171" s="6" t="s">
        <v>1359</v>
      </c>
      <c r="G1171" s="6"/>
      <c r="H1171" s="385"/>
      <c r="I1171" s="39"/>
      <c r="J1171" s="7"/>
      <c r="K1171" s="7"/>
      <c r="L1171" s="18"/>
      <c r="M1171" s="6"/>
      <c r="N1171" s="6"/>
      <c r="O1171" s="18"/>
      <c r="P1171" s="6"/>
      <c r="Q1171" s="6"/>
      <c r="R1171" s="6"/>
      <c r="S1171" s="18"/>
      <c r="T1171" s="349"/>
      <c r="U1171" s="6"/>
      <c r="V1171" s="220"/>
      <c r="W1171" s="47"/>
      <c r="X1171" s="59"/>
      <c r="Y1171" s="177"/>
      <c r="Z1171" s="6"/>
      <c r="AA1171" s="7">
        <v>38445</v>
      </c>
      <c r="AB1171" s="7">
        <v>38561</v>
      </c>
      <c r="AC1171" s="7"/>
      <c r="AD1171" s="330"/>
    </row>
    <row r="1172" spans="1:30" s="397" customFormat="1" ht="12" thickBot="1" x14ac:dyDescent="0.25">
      <c r="A1172" s="387"/>
      <c r="B1172" s="388" t="s">
        <v>1360</v>
      </c>
      <c r="C1172" s="389"/>
      <c r="D1172" s="390"/>
      <c r="E1172" s="390"/>
      <c r="F1172" s="390"/>
      <c r="G1172" s="390"/>
      <c r="H1172" s="391"/>
      <c r="I1172" s="392"/>
      <c r="J1172" s="393"/>
      <c r="K1172" s="393"/>
      <c r="L1172" s="394"/>
      <c r="M1172" s="390"/>
      <c r="N1172" s="390"/>
      <c r="O1172" s="394"/>
      <c r="P1172" s="390"/>
      <c r="Q1172" s="390"/>
      <c r="R1172" s="390"/>
      <c r="S1172" s="394"/>
      <c r="T1172" s="386"/>
      <c r="U1172" s="390"/>
      <c r="V1172" s="363"/>
      <c r="W1172" s="390"/>
      <c r="X1172" s="390"/>
      <c r="Y1172" s="390"/>
      <c r="Z1172" s="390"/>
      <c r="AA1172" s="393"/>
      <c r="AB1172" s="393"/>
      <c r="AC1172" s="395"/>
      <c r="AD1172" s="396"/>
    </row>
    <row r="1173" spans="1:30" s="9" customFormat="1" x14ac:dyDescent="0.2">
      <c r="A1173" s="328"/>
      <c r="B1173" s="16"/>
      <c r="C1173" s="16"/>
      <c r="D1173" s="7"/>
      <c r="E1173" s="7"/>
      <c r="F1173" s="6"/>
      <c r="G1173" s="6"/>
      <c r="H1173" s="17"/>
      <c r="I1173" s="17"/>
      <c r="J1173" s="7"/>
      <c r="K1173" s="7"/>
      <c r="L1173" s="348"/>
      <c r="M1173" s="6"/>
      <c r="N1173" s="6"/>
      <c r="O1173" s="18"/>
      <c r="P1173" s="7"/>
      <c r="Q1173" s="7"/>
      <c r="R1173" s="7"/>
      <c r="S1173" s="7" t="s">
        <v>1361</v>
      </c>
      <c r="T1173" s="18"/>
      <c r="U1173" s="7"/>
      <c r="V1173" s="220" t="s">
        <v>1362</v>
      </c>
      <c r="W1173" s="47"/>
      <c r="X1173" s="6"/>
      <c r="Y1173" s="177"/>
      <c r="Z1173" s="6"/>
      <c r="AA1173" s="6"/>
      <c r="AB1173" s="6"/>
      <c r="AC1173" s="6"/>
      <c r="AD1173" s="330"/>
    </row>
    <row r="1174" spans="1:30" s="9" customFormat="1" x14ac:dyDescent="0.2">
      <c r="A1174" s="328"/>
      <c r="B1174" s="16" t="s">
        <v>36</v>
      </c>
      <c r="C1174" s="16" t="s">
        <v>133</v>
      </c>
      <c r="D1174" s="7" t="s">
        <v>1221</v>
      </c>
      <c r="E1174" s="7"/>
      <c r="F1174" s="6" t="s">
        <v>1222</v>
      </c>
      <c r="G1174" s="6" t="s">
        <v>39</v>
      </c>
      <c r="H1174" s="17">
        <v>72544.59</v>
      </c>
      <c r="I1174" s="39" t="s">
        <v>62</v>
      </c>
      <c r="J1174" s="18">
        <v>38369</v>
      </c>
      <c r="K1174" s="331">
        <v>90</v>
      </c>
      <c r="L1174" s="348">
        <v>38462</v>
      </c>
      <c r="M1174" s="18" t="s">
        <v>41</v>
      </c>
      <c r="N1174" s="6" t="s">
        <v>42</v>
      </c>
      <c r="O1174" s="18">
        <v>38442</v>
      </c>
      <c r="P1174" s="331">
        <f>IF(S1174="","",+S1174-L1174)</f>
        <v>-17</v>
      </c>
      <c r="Q1174" s="331"/>
      <c r="R1174" s="331"/>
      <c r="S1174" s="349">
        <v>38445</v>
      </c>
      <c r="T1174" s="349">
        <v>38456</v>
      </c>
      <c r="U1174" s="331">
        <f>IF(T1174="","",+T1174-J1174)</f>
        <v>87</v>
      </c>
      <c r="V1174" s="6" t="s">
        <v>892</v>
      </c>
      <c r="W1174" s="341" t="s">
        <v>1363</v>
      </c>
      <c r="X1174" s="6" t="s">
        <v>47</v>
      </c>
      <c r="Y1174" s="177"/>
      <c r="Z1174" s="6">
        <v>6671346496</v>
      </c>
      <c r="AA1174" s="6" t="s">
        <v>47</v>
      </c>
      <c r="AB1174" s="6" t="s">
        <v>47</v>
      </c>
      <c r="AC1174" s="18"/>
      <c r="AD1174" s="10" t="str">
        <f>IF(S1174&lt;=L1174,"en término","atrasado")</f>
        <v>en término</v>
      </c>
    </row>
    <row r="1175" spans="1:30" s="9" customFormat="1" ht="12" thickBot="1" x14ac:dyDescent="0.25">
      <c r="A1175" s="328"/>
      <c r="B1175" s="19"/>
      <c r="C1175" s="19"/>
      <c r="D1175" s="5"/>
      <c r="E1175" s="5"/>
      <c r="F1175" s="5" t="s">
        <v>1351</v>
      </c>
      <c r="G1175" s="5"/>
      <c r="H1175" s="105">
        <v>20099.740000000002</v>
      </c>
      <c r="I1175" s="21"/>
      <c r="J1175" s="27"/>
      <c r="K1175" s="27"/>
      <c r="L1175" s="187"/>
      <c r="M1175" s="5"/>
      <c r="N1175" s="5"/>
      <c r="O1175" s="187"/>
      <c r="P1175" s="5"/>
      <c r="Q1175" s="5"/>
      <c r="R1175" s="5"/>
      <c r="S1175" s="5"/>
      <c r="T1175" s="187"/>
      <c r="U1175" s="5"/>
      <c r="V1175" s="224"/>
      <c r="W1175" s="36"/>
      <c r="X1175" s="5"/>
      <c r="Y1175" s="182"/>
      <c r="Z1175" s="5"/>
      <c r="AA1175" s="27">
        <v>38465</v>
      </c>
      <c r="AB1175" s="27"/>
      <c r="AC1175" s="5"/>
      <c r="AD1175" s="330"/>
    </row>
    <row r="1176" spans="1:30" s="9" customFormat="1" x14ac:dyDescent="0.2">
      <c r="A1176" s="328"/>
      <c r="B1176" s="11"/>
      <c r="C1176" s="16"/>
      <c r="D1176" s="7"/>
      <c r="E1176" s="7"/>
      <c r="F1176" s="6"/>
      <c r="G1176" s="6"/>
      <c r="H1176" s="17"/>
      <c r="I1176" s="17"/>
      <c r="J1176" s="7"/>
      <c r="K1176" s="7"/>
      <c r="L1176" s="348"/>
      <c r="M1176" s="6"/>
      <c r="N1176" s="6"/>
      <c r="O1176" s="189"/>
      <c r="P1176" s="7"/>
      <c r="Q1176" s="7"/>
      <c r="R1176" s="7"/>
      <c r="S1176" s="7" t="s">
        <v>1361</v>
      </c>
      <c r="T1176" s="18"/>
      <c r="U1176" s="7"/>
      <c r="V1176" s="220"/>
      <c r="W1176" s="47"/>
      <c r="X1176" s="12"/>
      <c r="Y1176" s="177"/>
      <c r="Z1176" s="6"/>
      <c r="AA1176" s="6"/>
      <c r="AB1176" s="6" t="s">
        <v>1364</v>
      </c>
      <c r="AC1176" s="6"/>
      <c r="AD1176" s="330"/>
    </row>
    <row r="1177" spans="1:30" s="9" customFormat="1" x14ac:dyDescent="0.2">
      <c r="A1177" s="328"/>
      <c r="B1177" s="16" t="s">
        <v>36</v>
      </c>
      <c r="C1177" s="16" t="s">
        <v>133</v>
      </c>
      <c r="D1177" s="7" t="s">
        <v>1221</v>
      </c>
      <c r="E1177" s="7"/>
      <c r="F1177" s="6" t="s">
        <v>1222</v>
      </c>
      <c r="G1177" s="6" t="s">
        <v>39</v>
      </c>
      <c r="H1177" s="17">
        <v>17712.59</v>
      </c>
      <c r="I1177" s="39" t="s">
        <v>62</v>
      </c>
      <c r="J1177" s="18">
        <v>38377</v>
      </c>
      <c r="K1177" s="331">
        <v>54</v>
      </c>
      <c r="L1177" s="348">
        <f>+J1177+K1177</f>
        <v>38431</v>
      </c>
      <c r="M1177" s="18" t="s">
        <v>41</v>
      </c>
      <c r="N1177" s="6" t="s">
        <v>42</v>
      </c>
      <c r="O1177" s="18">
        <v>38442</v>
      </c>
      <c r="P1177" s="331">
        <f>IF(S1177="","",+S1177-L1177)</f>
        <v>14</v>
      </c>
      <c r="Q1177" s="331"/>
      <c r="R1177" s="331"/>
      <c r="S1177" s="349">
        <v>38445</v>
      </c>
      <c r="T1177" s="349">
        <v>38456</v>
      </c>
      <c r="U1177" s="331">
        <f>IF(T1177="","",+T1177-J1177)</f>
        <v>79</v>
      </c>
      <c r="V1177" s="6" t="s">
        <v>944</v>
      </c>
      <c r="W1177" s="341" t="s">
        <v>1365</v>
      </c>
      <c r="X1177" s="6" t="s">
        <v>47</v>
      </c>
      <c r="Y1177" s="177"/>
      <c r="Z1177" s="6">
        <v>6671346496</v>
      </c>
      <c r="AA1177" s="6" t="s">
        <v>47</v>
      </c>
      <c r="AB1177" s="6" t="s">
        <v>47</v>
      </c>
      <c r="AC1177" s="18"/>
      <c r="AD1177" s="10" t="str">
        <f>IF(S1177&lt;=L1177,"en término","atrasado")</f>
        <v>atrasado</v>
      </c>
    </row>
    <row r="1178" spans="1:30" s="9" customFormat="1" ht="12" thickBot="1" x14ac:dyDescent="0.25">
      <c r="A1178" s="328"/>
      <c r="B1178" s="19"/>
      <c r="C1178" s="19"/>
      <c r="D1178" s="5"/>
      <c r="E1178" s="5"/>
      <c r="F1178" s="5" t="s">
        <v>1366</v>
      </c>
      <c r="G1178" s="5"/>
      <c r="H1178" s="105"/>
      <c r="I1178" s="21"/>
      <c r="J1178" s="27"/>
      <c r="K1178" s="27"/>
      <c r="L1178" s="187"/>
      <c r="M1178" s="5"/>
      <c r="N1178" s="5"/>
      <c r="O1178" s="187"/>
      <c r="P1178" s="5"/>
      <c r="Q1178" s="5"/>
      <c r="R1178" s="5"/>
      <c r="S1178" s="187"/>
      <c r="T1178" s="187"/>
      <c r="U1178" s="5"/>
      <c r="V1178" s="224"/>
      <c r="W1178" s="36"/>
      <c r="X1178" s="5"/>
      <c r="Y1178" s="182"/>
      <c r="Z1178" s="5"/>
      <c r="AA1178" s="27">
        <v>38465</v>
      </c>
      <c r="AB1178" s="27">
        <v>38546</v>
      </c>
      <c r="AC1178" s="27"/>
      <c r="AD1178" s="330"/>
    </row>
    <row r="1179" spans="1:30" s="9" customFormat="1" x14ac:dyDescent="0.2">
      <c r="A1179" s="328"/>
      <c r="B1179" s="11"/>
      <c r="C1179" s="16"/>
      <c r="D1179" s="7"/>
      <c r="E1179" s="7"/>
      <c r="F1179" s="6"/>
      <c r="G1179" s="6"/>
      <c r="H1179" s="17"/>
      <c r="I1179" s="17"/>
      <c r="J1179" s="7"/>
      <c r="K1179" s="7"/>
      <c r="L1179" s="348"/>
      <c r="M1179" s="6"/>
      <c r="N1179" s="6"/>
      <c r="O1179" s="189"/>
      <c r="P1179" s="7"/>
      <c r="Q1179" s="7"/>
      <c r="R1179" s="7"/>
      <c r="S1179" s="7" t="s">
        <v>1361</v>
      </c>
      <c r="T1179" s="18"/>
      <c r="U1179" s="7"/>
      <c r="V1179" s="220" t="s">
        <v>1362</v>
      </c>
      <c r="W1179" s="47"/>
      <c r="X1179" s="12"/>
      <c r="Y1179" s="177"/>
      <c r="Z1179" s="6"/>
      <c r="AA1179" s="6"/>
      <c r="AB1179" s="6"/>
      <c r="AC1179" s="6"/>
      <c r="AD1179" s="330"/>
    </row>
    <row r="1180" spans="1:30" s="9" customFormat="1" x14ac:dyDescent="0.2">
      <c r="A1180" s="328"/>
      <c r="B1180" s="16" t="s">
        <v>36</v>
      </c>
      <c r="C1180" s="16" t="s">
        <v>133</v>
      </c>
      <c r="D1180" s="7" t="s">
        <v>1221</v>
      </c>
      <c r="E1180" s="7"/>
      <c r="F1180" s="6" t="s">
        <v>1222</v>
      </c>
      <c r="G1180" s="6" t="s">
        <v>39</v>
      </c>
      <c r="H1180" s="17">
        <v>174517.69</v>
      </c>
      <c r="I1180" s="39" t="s">
        <v>40</v>
      </c>
      <c r="J1180" s="18">
        <v>38371</v>
      </c>
      <c r="K1180" s="331">
        <v>90</v>
      </c>
      <c r="L1180" s="348">
        <f>+J1180+K1180</f>
        <v>38461</v>
      </c>
      <c r="M1180" s="18" t="s">
        <v>41</v>
      </c>
      <c r="N1180" s="6" t="s">
        <v>42</v>
      </c>
      <c r="O1180" s="18">
        <v>38442</v>
      </c>
      <c r="P1180" s="331">
        <f>IF(S1180="","",+S1180-L1180)</f>
        <v>-16</v>
      </c>
      <c r="Q1180" s="331"/>
      <c r="R1180" s="331"/>
      <c r="S1180" s="349">
        <v>38445</v>
      </c>
      <c r="T1180" s="349">
        <v>38456</v>
      </c>
      <c r="U1180" s="331">
        <f>IF(T1180="","",+T1180-J1180)</f>
        <v>85</v>
      </c>
      <c r="V1180" s="6" t="s">
        <v>1367</v>
      </c>
      <c r="W1180" s="341" t="s">
        <v>1368</v>
      </c>
      <c r="X1180" s="6" t="s">
        <v>47</v>
      </c>
      <c r="Y1180" s="177"/>
      <c r="Z1180" s="6">
        <v>6671346496</v>
      </c>
      <c r="AA1180" s="6" t="s">
        <v>47</v>
      </c>
      <c r="AB1180" s="6" t="s">
        <v>47</v>
      </c>
      <c r="AC1180" s="18"/>
      <c r="AD1180" s="10" t="str">
        <f>IF(S1180&lt;=L1180,"en término","atrasado")</f>
        <v>en término</v>
      </c>
    </row>
    <row r="1181" spans="1:30" s="9" customFormat="1" ht="12" thickBot="1" x14ac:dyDescent="0.25">
      <c r="A1181" s="328"/>
      <c r="B1181" s="19"/>
      <c r="C1181" s="19"/>
      <c r="D1181" s="5"/>
      <c r="E1181" s="5"/>
      <c r="F1181" s="5" t="s">
        <v>1346</v>
      </c>
      <c r="G1181" s="5"/>
      <c r="H1181" s="105">
        <v>112680.54</v>
      </c>
      <c r="I1181" s="21"/>
      <c r="J1181" s="27"/>
      <c r="K1181" s="27"/>
      <c r="L1181" s="187"/>
      <c r="M1181" s="5"/>
      <c r="N1181" s="5"/>
      <c r="O1181" s="187"/>
      <c r="P1181" s="5"/>
      <c r="Q1181" s="5"/>
      <c r="R1181" s="5"/>
      <c r="S1181" s="187"/>
      <c r="T1181" s="187"/>
      <c r="U1181" s="5"/>
      <c r="V1181" s="224"/>
      <c r="W1181" s="36"/>
      <c r="X1181" s="5"/>
      <c r="Y1181" s="182"/>
      <c r="Z1181" s="5"/>
      <c r="AA1181" s="27">
        <v>38465</v>
      </c>
      <c r="AB1181" s="27">
        <v>38547</v>
      </c>
      <c r="AC1181" s="27"/>
      <c r="AD1181" s="330"/>
    </row>
    <row r="1182" spans="1:30" s="9" customFormat="1" x14ac:dyDescent="0.2">
      <c r="A1182" s="328"/>
      <c r="B1182" s="11"/>
      <c r="C1182" s="16"/>
      <c r="D1182" s="7"/>
      <c r="E1182" s="7"/>
      <c r="F1182" s="6"/>
      <c r="G1182" s="6"/>
      <c r="H1182" s="17"/>
      <c r="I1182" s="17"/>
      <c r="J1182" s="7"/>
      <c r="K1182" s="7"/>
      <c r="L1182" s="348"/>
      <c r="M1182" s="6"/>
      <c r="N1182" s="6"/>
      <c r="O1182" s="189"/>
      <c r="P1182" s="7"/>
      <c r="Q1182" s="7"/>
      <c r="R1182" s="7"/>
      <c r="S1182" s="7" t="s">
        <v>1361</v>
      </c>
      <c r="T1182" s="18"/>
      <c r="U1182" s="7"/>
      <c r="V1182" s="220" t="s">
        <v>1362</v>
      </c>
      <c r="W1182" s="47"/>
      <c r="X1182" s="12"/>
      <c r="Y1182" s="177"/>
      <c r="Z1182" s="6"/>
      <c r="AA1182" s="6"/>
      <c r="AB1182" s="6"/>
      <c r="AC1182" s="6"/>
      <c r="AD1182" s="330"/>
    </row>
    <row r="1183" spans="1:30" s="9" customFormat="1" x14ac:dyDescent="0.2">
      <c r="A1183" s="328"/>
      <c r="B1183" s="16" t="s">
        <v>36</v>
      </c>
      <c r="C1183" s="16" t="s">
        <v>133</v>
      </c>
      <c r="D1183" s="7" t="s">
        <v>1334</v>
      </c>
      <c r="E1183" s="7"/>
      <c r="F1183" s="6" t="s">
        <v>1335</v>
      </c>
      <c r="G1183" s="6" t="s">
        <v>39</v>
      </c>
      <c r="H1183" s="17">
        <v>25300.95</v>
      </c>
      <c r="I1183" s="39" t="s">
        <v>52</v>
      </c>
      <c r="J1183" s="18">
        <v>38327</v>
      </c>
      <c r="K1183" s="331">
        <v>104</v>
      </c>
      <c r="L1183" s="348">
        <f>+J1183+K1183</f>
        <v>38431</v>
      </c>
      <c r="M1183" s="18" t="s">
        <v>41</v>
      </c>
      <c r="N1183" s="6" t="s">
        <v>42</v>
      </c>
      <c r="O1183" s="18">
        <v>38442</v>
      </c>
      <c r="P1183" s="331">
        <f>IF(S1183="","",+S1183-L1183)</f>
        <v>14</v>
      </c>
      <c r="Q1183" s="331"/>
      <c r="R1183" s="331"/>
      <c r="S1183" s="349">
        <v>38445</v>
      </c>
      <c r="T1183" s="349">
        <v>38456</v>
      </c>
      <c r="U1183" s="331">
        <f>IF(T1183="","",+T1183-J1183)</f>
        <v>129</v>
      </c>
      <c r="V1183" s="6" t="s">
        <v>1254</v>
      </c>
      <c r="W1183" s="341" t="s">
        <v>1369</v>
      </c>
      <c r="X1183" s="6" t="s">
        <v>47</v>
      </c>
      <c r="Y1183" s="177"/>
      <c r="Z1183" s="6">
        <v>6671346496</v>
      </c>
      <c r="AA1183" s="6" t="s">
        <v>47</v>
      </c>
      <c r="AB1183" s="6" t="s">
        <v>47</v>
      </c>
      <c r="AC1183" s="18"/>
      <c r="AD1183" s="10" t="str">
        <f>IF(S1183&lt;=L1183,"en término","atrasado")</f>
        <v>atrasado</v>
      </c>
    </row>
    <row r="1184" spans="1:30" s="9" customFormat="1" ht="12" thickBot="1" x14ac:dyDescent="0.25">
      <c r="A1184" s="328"/>
      <c r="B1184" s="19"/>
      <c r="C1184" s="19"/>
      <c r="D1184" s="5"/>
      <c r="E1184" s="5"/>
      <c r="F1184" s="5" t="s">
        <v>1353</v>
      </c>
      <c r="G1184" s="5"/>
      <c r="H1184" s="105">
        <v>11704.24</v>
      </c>
      <c r="I1184" s="21"/>
      <c r="J1184" s="27"/>
      <c r="K1184" s="27"/>
      <c r="L1184" s="187"/>
      <c r="M1184" s="5"/>
      <c r="N1184" s="5"/>
      <c r="O1184" s="187"/>
      <c r="P1184" s="5"/>
      <c r="Q1184" s="5"/>
      <c r="R1184" s="5"/>
      <c r="S1184" s="187"/>
      <c r="T1184" s="187"/>
      <c r="U1184" s="5"/>
      <c r="V1184" s="224"/>
      <c r="W1184" s="36"/>
      <c r="X1184" s="5"/>
      <c r="Y1184" s="182"/>
      <c r="Z1184" s="5"/>
      <c r="AA1184" s="27">
        <v>38465</v>
      </c>
      <c r="AB1184" s="27" t="s">
        <v>1370</v>
      </c>
      <c r="AC1184" s="5"/>
      <c r="AD1184" s="330"/>
    </row>
    <row r="1185" spans="1:30" s="9" customFormat="1" x14ac:dyDescent="0.2">
      <c r="A1185" s="328"/>
      <c r="B1185" s="11"/>
      <c r="C1185" s="16"/>
      <c r="D1185" s="7"/>
      <c r="E1185" s="7"/>
      <c r="F1185" s="6"/>
      <c r="G1185" s="6"/>
      <c r="H1185" s="17"/>
      <c r="I1185" s="17"/>
      <c r="J1185" s="7"/>
      <c r="K1185" s="7"/>
      <c r="L1185" s="348"/>
      <c r="M1185" s="6"/>
      <c r="N1185" s="6"/>
      <c r="O1185" s="189"/>
      <c r="P1185" s="7"/>
      <c r="Q1185" s="7"/>
      <c r="R1185" s="7"/>
      <c r="S1185" s="7" t="s">
        <v>1361</v>
      </c>
      <c r="T1185" s="18"/>
      <c r="U1185" s="7"/>
      <c r="V1185" s="220"/>
      <c r="W1185" s="47"/>
      <c r="X1185" s="12"/>
      <c r="Y1185" s="177"/>
      <c r="Z1185" s="6"/>
      <c r="AA1185" s="6"/>
      <c r="AB1185" s="6"/>
      <c r="AC1185" s="6"/>
      <c r="AD1185" s="330"/>
    </row>
    <row r="1186" spans="1:30" s="9" customFormat="1" x14ac:dyDescent="0.2">
      <c r="A1186" s="328"/>
      <c r="B1186" s="16" t="s">
        <v>36</v>
      </c>
      <c r="C1186" s="16" t="s">
        <v>133</v>
      </c>
      <c r="D1186" s="7" t="s">
        <v>1221</v>
      </c>
      <c r="E1186" s="7"/>
      <c r="F1186" s="6" t="s">
        <v>1222</v>
      </c>
      <c r="G1186" s="6" t="s">
        <v>39</v>
      </c>
      <c r="H1186" s="17">
        <v>191701.76000000001</v>
      </c>
      <c r="I1186" s="39" t="s">
        <v>52</v>
      </c>
      <c r="J1186" s="18">
        <v>38412</v>
      </c>
      <c r="K1186" s="331">
        <v>60</v>
      </c>
      <c r="L1186" s="348">
        <f>+J1186+K1186</f>
        <v>38472</v>
      </c>
      <c r="M1186" s="18" t="s">
        <v>41</v>
      </c>
      <c r="N1186" s="6" t="s">
        <v>42</v>
      </c>
      <c r="O1186" s="18">
        <v>38442</v>
      </c>
      <c r="P1186" s="331">
        <f>IF(S1186="","",+S1186-L1186)</f>
        <v>-27</v>
      </c>
      <c r="Q1186" s="331"/>
      <c r="R1186" s="331"/>
      <c r="S1186" s="349">
        <v>38445</v>
      </c>
      <c r="T1186" s="349">
        <v>38456</v>
      </c>
      <c r="U1186" s="331">
        <f>IF(T1186="","",+T1186-J1186)</f>
        <v>44</v>
      </c>
      <c r="V1186" s="6" t="s">
        <v>1371</v>
      </c>
      <c r="W1186" s="341" t="s">
        <v>1372</v>
      </c>
      <c r="X1186" s="6" t="s">
        <v>47</v>
      </c>
      <c r="Y1186" s="177"/>
      <c r="Z1186" s="6">
        <v>6671346496</v>
      </c>
      <c r="AA1186" s="6" t="s">
        <v>47</v>
      </c>
      <c r="AB1186" s="6" t="s">
        <v>47</v>
      </c>
      <c r="AC1186" s="18"/>
      <c r="AD1186" s="10" t="str">
        <f>IF(S1186&lt;=L1186,"en término","atrasado")</f>
        <v>en término</v>
      </c>
    </row>
    <row r="1187" spans="1:30" s="9" customFormat="1" ht="12" thickBot="1" x14ac:dyDescent="0.25">
      <c r="A1187" s="328"/>
      <c r="B1187" s="19"/>
      <c r="C1187" s="19"/>
      <c r="D1187" s="5"/>
      <c r="E1187" s="5"/>
      <c r="F1187" s="5" t="s">
        <v>1373</v>
      </c>
      <c r="G1187" s="5"/>
      <c r="H1187" s="105"/>
      <c r="I1187" s="21"/>
      <c r="J1187" s="27"/>
      <c r="K1187" s="27"/>
      <c r="L1187" s="187"/>
      <c r="M1187" s="5"/>
      <c r="N1187" s="5"/>
      <c r="O1187" s="187"/>
      <c r="P1187" s="5"/>
      <c r="Q1187" s="5"/>
      <c r="R1187" s="5"/>
      <c r="S1187" s="187"/>
      <c r="T1187" s="187"/>
      <c r="U1187" s="5"/>
      <c r="V1187" s="224"/>
      <c r="W1187" s="36"/>
      <c r="X1187" s="5"/>
      <c r="Y1187" s="182"/>
      <c r="Z1187" s="5"/>
      <c r="AA1187" s="27">
        <v>38465</v>
      </c>
      <c r="AB1187" s="27">
        <v>38553</v>
      </c>
      <c r="AC1187" s="27"/>
      <c r="AD1187" s="330"/>
    </row>
    <row r="1188" spans="1:30" s="9" customFormat="1" x14ac:dyDescent="0.2">
      <c r="A1188" s="328"/>
      <c r="B1188" s="11"/>
      <c r="C1188" s="16"/>
      <c r="D1188" s="7"/>
      <c r="E1188" s="7"/>
      <c r="F1188" s="6"/>
      <c r="G1188" s="6"/>
      <c r="H1188" s="17"/>
      <c r="I1188" s="17"/>
      <c r="J1188" s="7"/>
      <c r="K1188" s="7"/>
      <c r="L1188" s="348"/>
      <c r="M1188" s="6"/>
      <c r="N1188" s="6"/>
      <c r="O1188" s="189"/>
      <c r="P1188" s="7"/>
      <c r="Q1188" s="7"/>
      <c r="R1188" s="7"/>
      <c r="S1188" s="7" t="s">
        <v>1361</v>
      </c>
      <c r="T1188" s="18"/>
      <c r="U1188" s="7"/>
      <c r="V1188" s="220"/>
      <c r="W1188" s="47"/>
      <c r="X1188" s="12"/>
      <c r="Y1188" s="177"/>
      <c r="Z1188" s="6"/>
      <c r="AA1188" s="6"/>
      <c r="AB1188" s="6"/>
      <c r="AC1188" s="6"/>
      <c r="AD1188" s="330"/>
    </row>
    <row r="1189" spans="1:30" s="9" customFormat="1" x14ac:dyDescent="0.2">
      <c r="A1189" s="328"/>
      <c r="B1189" s="16" t="s">
        <v>36</v>
      </c>
      <c r="C1189" s="16" t="s">
        <v>133</v>
      </c>
      <c r="D1189" s="7" t="s">
        <v>1334</v>
      </c>
      <c r="E1189" s="7"/>
      <c r="F1189" s="6" t="s">
        <v>1335</v>
      </c>
      <c r="G1189" s="6" t="s">
        <v>39</v>
      </c>
      <c r="H1189" s="17">
        <v>3208.86</v>
      </c>
      <c r="I1189" s="39" t="s">
        <v>52</v>
      </c>
      <c r="J1189" s="18">
        <v>38377</v>
      </c>
      <c r="K1189" s="331">
        <v>54</v>
      </c>
      <c r="L1189" s="348">
        <f>+J1189+K1189</f>
        <v>38431</v>
      </c>
      <c r="M1189" s="18" t="s">
        <v>41</v>
      </c>
      <c r="N1189" s="6" t="s">
        <v>42</v>
      </c>
      <c r="O1189" s="18">
        <v>38442</v>
      </c>
      <c r="P1189" s="331">
        <f>IF(S1189="","",+S1189-L1189)</f>
        <v>14</v>
      </c>
      <c r="Q1189" s="331"/>
      <c r="R1189" s="331"/>
      <c r="S1189" s="349">
        <v>38445</v>
      </c>
      <c r="T1189" s="349">
        <v>38456</v>
      </c>
      <c r="U1189" s="331">
        <f>IF(T1189="","",+T1189-J1189)</f>
        <v>79</v>
      </c>
      <c r="V1189" s="6" t="s">
        <v>1254</v>
      </c>
      <c r="W1189" s="341" t="s">
        <v>1374</v>
      </c>
      <c r="X1189" s="6" t="s">
        <v>47</v>
      </c>
      <c r="Y1189" s="177"/>
      <c r="Z1189" s="6">
        <v>6671346496</v>
      </c>
      <c r="AA1189" s="6" t="s">
        <v>47</v>
      </c>
      <c r="AB1189" s="6" t="s">
        <v>47</v>
      </c>
      <c r="AC1189" s="18"/>
      <c r="AD1189" s="10" t="str">
        <f>IF(S1189&lt;=L1189,"en término","atrasado")</f>
        <v>atrasado</v>
      </c>
    </row>
    <row r="1190" spans="1:30" s="9" customFormat="1" ht="12" thickBot="1" x14ac:dyDescent="0.25">
      <c r="A1190" s="328"/>
      <c r="B1190" s="19"/>
      <c r="C1190" s="19"/>
      <c r="D1190" s="5"/>
      <c r="E1190" s="5"/>
      <c r="F1190" s="5" t="s">
        <v>1375</v>
      </c>
      <c r="G1190" s="5"/>
      <c r="H1190" s="105"/>
      <c r="I1190" s="21"/>
      <c r="J1190" s="27"/>
      <c r="K1190" s="27"/>
      <c r="L1190" s="187"/>
      <c r="M1190" s="5"/>
      <c r="N1190" s="5"/>
      <c r="O1190" s="187"/>
      <c r="P1190" s="5"/>
      <c r="Q1190" s="5"/>
      <c r="R1190" s="5"/>
      <c r="S1190" s="5"/>
      <c r="T1190" s="187"/>
      <c r="U1190" s="5"/>
      <c r="V1190" s="224"/>
      <c r="W1190" s="36"/>
      <c r="X1190" s="5"/>
      <c r="Y1190" s="182"/>
      <c r="Z1190" s="5"/>
      <c r="AA1190" s="27">
        <v>38465</v>
      </c>
      <c r="AB1190" s="27" t="s">
        <v>1376</v>
      </c>
      <c r="AC1190" s="5"/>
      <c r="AD1190" s="399"/>
    </row>
    <row r="1191" spans="1:30" s="9" customFormat="1" x14ac:dyDescent="0.2">
      <c r="A1191" s="328"/>
      <c r="B1191" s="16"/>
      <c r="C1191" s="16"/>
      <c r="D1191" s="7"/>
      <c r="E1191" s="7"/>
      <c r="F1191" s="6"/>
      <c r="G1191" s="6"/>
      <c r="H1191" s="17"/>
      <c r="I1191" s="17"/>
      <c r="J1191" s="7"/>
      <c r="K1191" s="7"/>
      <c r="L1191" s="348"/>
      <c r="M1191" s="6"/>
      <c r="N1191" s="6"/>
      <c r="O1191" s="189"/>
      <c r="P1191" s="7"/>
      <c r="Q1191" s="7"/>
      <c r="R1191" s="7"/>
      <c r="S1191" s="7" t="s">
        <v>1361</v>
      </c>
      <c r="T1191" s="18"/>
      <c r="U1191" s="7"/>
      <c r="V1191" s="220" t="s">
        <v>1344</v>
      </c>
      <c r="W1191" s="47"/>
      <c r="X1191" s="57"/>
      <c r="Y1191" s="177"/>
      <c r="Z1191" s="6"/>
      <c r="AA1191" s="6"/>
      <c r="AB1191" s="6"/>
      <c r="AC1191" s="6"/>
      <c r="AD1191" s="330"/>
    </row>
    <row r="1192" spans="1:30" s="9" customFormat="1" x14ac:dyDescent="0.2">
      <c r="A1192" s="328"/>
      <c r="B1192" s="16" t="s">
        <v>36</v>
      </c>
      <c r="C1192" s="16" t="s">
        <v>37</v>
      </c>
      <c r="D1192" s="7" t="s">
        <v>1377</v>
      </c>
      <c r="E1192" s="7"/>
      <c r="F1192" s="6" t="s">
        <v>1378</v>
      </c>
      <c r="G1192" s="6" t="s">
        <v>39</v>
      </c>
      <c r="H1192" s="17">
        <v>41360</v>
      </c>
      <c r="I1192" s="39" t="s">
        <v>62</v>
      </c>
      <c r="J1192" s="18">
        <v>38356</v>
      </c>
      <c r="K1192" s="331">
        <v>90</v>
      </c>
      <c r="L1192" s="348">
        <f>+J1192+K1192</f>
        <v>38446</v>
      </c>
      <c r="M1192" s="18" t="s">
        <v>41</v>
      </c>
      <c r="N1192" s="6" t="s">
        <v>42</v>
      </c>
      <c r="O1192" s="18">
        <v>38442</v>
      </c>
      <c r="P1192" s="331">
        <f>IF(S1192="","",+S1192-L1192)</f>
        <v>-1</v>
      </c>
      <c r="Q1192" s="331"/>
      <c r="R1192" s="331"/>
      <c r="S1192" s="349">
        <v>38445</v>
      </c>
      <c r="T1192" s="349">
        <v>38456</v>
      </c>
      <c r="U1192" s="331">
        <f>IF(T1192="","",+T1192-J1192)</f>
        <v>100</v>
      </c>
      <c r="V1192" s="6" t="s">
        <v>892</v>
      </c>
      <c r="W1192" s="341" t="s">
        <v>1379</v>
      </c>
      <c r="X1192" s="59"/>
      <c r="Y1192" s="177"/>
      <c r="Z1192" s="6">
        <v>6671346496</v>
      </c>
      <c r="AA1192" s="6" t="s">
        <v>47</v>
      </c>
      <c r="AB1192" s="6" t="s">
        <v>47</v>
      </c>
      <c r="AC1192" s="18"/>
      <c r="AD1192" s="10" t="str">
        <f>IF(S1192&lt;=L1192,"en término","atrasado")</f>
        <v>en término</v>
      </c>
    </row>
    <row r="1193" spans="1:30" s="9" customFormat="1" ht="12" thickBot="1" x14ac:dyDescent="0.25">
      <c r="A1193" s="328"/>
      <c r="B1193" s="19"/>
      <c r="C1193" s="19"/>
      <c r="D1193" s="5"/>
      <c r="E1193" s="5"/>
      <c r="F1193" s="5" t="s">
        <v>1380</v>
      </c>
      <c r="G1193" s="5"/>
      <c r="H1193" s="105">
        <v>29480</v>
      </c>
      <c r="I1193" s="21"/>
      <c r="J1193" s="27"/>
      <c r="K1193" s="27"/>
      <c r="L1193" s="187"/>
      <c r="M1193" s="5"/>
      <c r="N1193" s="5"/>
      <c r="O1193" s="187"/>
      <c r="P1193" s="5"/>
      <c r="Q1193" s="5"/>
      <c r="R1193" s="5"/>
      <c r="S1193" s="187"/>
      <c r="T1193" s="187"/>
      <c r="U1193" s="5"/>
      <c r="V1193" s="224"/>
      <c r="W1193" s="36"/>
      <c r="X1193" s="61"/>
      <c r="Y1193" s="182"/>
      <c r="Z1193" s="5"/>
      <c r="AA1193" s="27">
        <v>38463</v>
      </c>
      <c r="AB1193" s="27">
        <v>38547</v>
      </c>
      <c r="AC1193" s="27"/>
      <c r="AD1193" s="330"/>
    </row>
    <row r="1194" spans="1:30" s="9" customFormat="1" x14ac:dyDescent="0.2">
      <c r="A1194" s="328"/>
      <c r="B1194" s="16"/>
      <c r="C1194" s="16"/>
      <c r="D1194" s="7"/>
      <c r="E1194" s="7"/>
      <c r="F1194" s="6"/>
      <c r="G1194" s="6"/>
      <c r="H1194" s="17"/>
      <c r="I1194" s="17"/>
      <c r="J1194" s="7"/>
      <c r="K1194" s="7"/>
      <c r="L1194" s="348"/>
      <c r="M1194" s="6"/>
      <c r="N1194" s="6"/>
      <c r="O1194" s="189"/>
      <c r="P1194" s="7"/>
      <c r="Q1194" s="7"/>
      <c r="R1194" s="7"/>
      <c r="S1194" s="18" t="s">
        <v>1381</v>
      </c>
      <c r="T1194" s="18"/>
      <c r="U1194" s="7"/>
      <c r="V1194" s="220" t="s">
        <v>1362</v>
      </c>
      <c r="W1194" s="47"/>
      <c r="X1194" s="57"/>
      <c r="Y1194" s="177"/>
      <c r="Z1194" s="6"/>
      <c r="AA1194" s="6"/>
      <c r="AB1194" s="6"/>
      <c r="AC1194" s="6"/>
      <c r="AD1194" s="330"/>
    </row>
    <row r="1195" spans="1:30" s="9" customFormat="1" x14ac:dyDescent="0.2">
      <c r="A1195" s="328"/>
      <c r="B1195" s="16" t="s">
        <v>36</v>
      </c>
      <c r="C1195" s="16" t="s">
        <v>37</v>
      </c>
      <c r="D1195" s="7" t="s">
        <v>1377</v>
      </c>
      <c r="E1195" s="7"/>
      <c r="F1195" s="6" t="s">
        <v>1378</v>
      </c>
      <c r="G1195" s="6" t="s">
        <v>39</v>
      </c>
      <c r="H1195" s="17">
        <v>41360</v>
      </c>
      <c r="I1195" s="39" t="s">
        <v>62</v>
      </c>
      <c r="J1195" s="18">
        <v>38356</v>
      </c>
      <c r="K1195" s="331">
        <v>90</v>
      </c>
      <c r="L1195" s="348">
        <f>+J1195+K1195</f>
        <v>38446</v>
      </c>
      <c r="M1195" s="18" t="s">
        <v>41</v>
      </c>
      <c r="N1195" s="6" t="s">
        <v>42</v>
      </c>
      <c r="O1195" s="18">
        <v>38470</v>
      </c>
      <c r="P1195" s="331">
        <f>IF(S1195="","",+S1195-L1195)</f>
        <v>22</v>
      </c>
      <c r="Q1195" s="331"/>
      <c r="R1195" s="331"/>
      <c r="S1195" s="349">
        <v>38468</v>
      </c>
      <c r="T1195" s="349">
        <v>38495</v>
      </c>
      <c r="U1195" s="331">
        <f>IF(T1195="","",+T1195-J1195)</f>
        <v>139</v>
      </c>
      <c r="V1195" s="6" t="s">
        <v>378</v>
      </c>
      <c r="W1195" s="341" t="s">
        <v>1382</v>
      </c>
      <c r="X1195" s="59"/>
      <c r="Y1195" s="177"/>
      <c r="Z1195" s="6">
        <v>6668470616</v>
      </c>
      <c r="AA1195" s="6" t="s">
        <v>47</v>
      </c>
      <c r="AB1195" s="6" t="s">
        <v>47</v>
      </c>
      <c r="AC1195" s="18"/>
      <c r="AD1195" s="10" t="str">
        <f>IF(S1195&lt;=L1195,"en término","atrasado")</f>
        <v>atrasado</v>
      </c>
    </row>
    <row r="1196" spans="1:30" s="9" customFormat="1" ht="12" thickBot="1" x14ac:dyDescent="0.25">
      <c r="A1196" s="328"/>
      <c r="B1196" s="19"/>
      <c r="C1196" s="19"/>
      <c r="D1196" s="5"/>
      <c r="E1196" s="5"/>
      <c r="F1196" s="5" t="s">
        <v>1380</v>
      </c>
      <c r="G1196" s="5"/>
      <c r="H1196" s="105">
        <v>11880</v>
      </c>
      <c r="I1196" s="21"/>
      <c r="J1196" s="27"/>
      <c r="K1196" s="27"/>
      <c r="L1196" s="187"/>
      <c r="M1196" s="5"/>
      <c r="N1196" s="5"/>
      <c r="O1196" s="187"/>
      <c r="P1196" s="5"/>
      <c r="Q1196" s="5"/>
      <c r="R1196" s="5"/>
      <c r="S1196" s="5"/>
      <c r="T1196" s="187"/>
      <c r="U1196" s="5"/>
      <c r="V1196" s="224"/>
      <c r="W1196" s="36"/>
      <c r="X1196" s="61"/>
      <c r="Y1196" s="182"/>
      <c r="Z1196" s="5"/>
      <c r="AA1196" s="27">
        <v>38463</v>
      </c>
      <c r="AB1196" s="27">
        <v>38547</v>
      </c>
      <c r="AC1196" s="27"/>
      <c r="AD1196" s="330"/>
    </row>
    <row r="1197" spans="1:30" s="9" customFormat="1" x14ac:dyDescent="0.2">
      <c r="A1197" s="328"/>
      <c r="B1197" s="16"/>
      <c r="C1197" s="16"/>
      <c r="D1197" s="7"/>
      <c r="E1197" s="7"/>
      <c r="F1197" s="6"/>
      <c r="G1197" s="6"/>
      <c r="H1197" s="17"/>
      <c r="I1197" s="17"/>
      <c r="J1197" s="7"/>
      <c r="K1197" s="7"/>
      <c r="L1197" s="348"/>
      <c r="M1197" s="6"/>
      <c r="N1197" s="6"/>
      <c r="O1197" s="189"/>
      <c r="P1197" s="7"/>
      <c r="Q1197" s="7"/>
      <c r="R1197" s="7"/>
      <c r="S1197" s="18" t="s">
        <v>1381</v>
      </c>
      <c r="T1197" s="18"/>
      <c r="U1197" s="7"/>
      <c r="V1197" s="220"/>
      <c r="W1197" s="47"/>
      <c r="X1197" s="57"/>
      <c r="Y1197" s="177"/>
      <c r="Z1197" s="6"/>
      <c r="AA1197" s="6"/>
      <c r="AB1197" s="6"/>
      <c r="AC1197" s="6"/>
      <c r="AD1197" s="330"/>
    </row>
    <row r="1198" spans="1:30" s="9" customFormat="1" x14ac:dyDescent="0.2">
      <c r="A1198" s="328"/>
      <c r="B1198" s="16" t="s">
        <v>36</v>
      </c>
      <c r="C1198" s="16" t="s">
        <v>37</v>
      </c>
      <c r="D1198" s="7" t="s">
        <v>1383</v>
      </c>
      <c r="E1198" s="7"/>
      <c r="F1198" s="6" t="s">
        <v>1384</v>
      </c>
      <c r="G1198" s="6" t="s">
        <v>39</v>
      </c>
      <c r="H1198" s="17">
        <v>10475</v>
      </c>
      <c r="I1198" s="39" t="s">
        <v>52</v>
      </c>
      <c r="J1198" s="18">
        <v>38457</v>
      </c>
      <c r="K1198" s="331">
        <v>30</v>
      </c>
      <c r="L1198" s="348">
        <v>38475</v>
      </c>
      <c r="M1198" s="18" t="s">
        <v>41</v>
      </c>
      <c r="N1198" s="6" t="s">
        <v>42</v>
      </c>
      <c r="O1198" s="18">
        <v>38470</v>
      </c>
      <c r="P1198" s="331">
        <f>IF(S1198="","",+S1198-L1198)</f>
        <v>-7</v>
      </c>
      <c r="Q1198" s="331"/>
      <c r="R1198" s="331"/>
      <c r="S1198" s="349">
        <v>38468</v>
      </c>
      <c r="T1198" s="349">
        <v>38495</v>
      </c>
      <c r="U1198" s="331">
        <f>IF(T1198="","",+T1198-J1198)</f>
        <v>38</v>
      </c>
      <c r="V1198" s="6" t="s">
        <v>600</v>
      </c>
      <c r="W1198" s="341" t="s">
        <v>1382</v>
      </c>
      <c r="X1198" s="59"/>
      <c r="Y1198" s="177"/>
      <c r="Z1198" s="6">
        <v>6668470616</v>
      </c>
      <c r="AA1198" s="6" t="s">
        <v>47</v>
      </c>
      <c r="AB1198" s="6" t="s">
        <v>47</v>
      </c>
      <c r="AC1198" s="18"/>
      <c r="AD1198" s="10" t="str">
        <f>IF(S1198&lt;=L1198,"en término","atrasado")</f>
        <v>en término</v>
      </c>
    </row>
    <row r="1199" spans="1:30" s="9" customFormat="1" ht="12" thickBot="1" x14ac:dyDescent="0.25">
      <c r="A1199" s="328"/>
      <c r="B1199" s="19"/>
      <c r="C1199" s="19"/>
      <c r="D1199" s="5"/>
      <c r="E1199" s="5"/>
      <c r="F1199" s="5" t="s">
        <v>1385</v>
      </c>
      <c r="G1199" s="5"/>
      <c r="H1199" s="105"/>
      <c r="I1199" s="21"/>
      <c r="J1199" s="27"/>
      <c r="K1199" s="27"/>
      <c r="L1199" s="187"/>
      <c r="M1199" s="5"/>
      <c r="N1199" s="5"/>
      <c r="O1199" s="187"/>
      <c r="P1199" s="5"/>
      <c r="Q1199" s="5"/>
      <c r="R1199" s="5"/>
      <c r="S1199" s="187"/>
      <c r="T1199" s="187"/>
      <c r="U1199" s="5"/>
      <c r="V1199" s="224"/>
      <c r="W1199" s="36"/>
      <c r="X1199" s="61"/>
      <c r="Y1199" s="182"/>
      <c r="Z1199" s="5"/>
      <c r="AA1199" s="27">
        <v>38502</v>
      </c>
      <c r="AB1199" s="27">
        <v>38547</v>
      </c>
      <c r="AC1199" s="27"/>
      <c r="AD1199" s="330"/>
    </row>
    <row r="1200" spans="1:30" s="9" customFormat="1" x14ac:dyDescent="0.2">
      <c r="A1200" s="328"/>
      <c r="B1200" s="11"/>
      <c r="C1200" s="16"/>
      <c r="D1200" s="7"/>
      <c r="E1200" s="7"/>
      <c r="F1200" s="6"/>
      <c r="G1200" s="6"/>
      <c r="H1200" s="17"/>
      <c r="I1200" s="17"/>
      <c r="J1200" s="7"/>
      <c r="K1200" s="7"/>
      <c r="L1200" s="348"/>
      <c r="M1200" s="6"/>
      <c r="N1200" s="6"/>
      <c r="O1200" s="189"/>
      <c r="P1200" s="7"/>
      <c r="Q1200" s="7"/>
      <c r="R1200" s="7"/>
      <c r="S1200" s="18" t="s">
        <v>1386</v>
      </c>
      <c r="T1200" s="18"/>
      <c r="U1200" s="7"/>
      <c r="V1200" s="220"/>
      <c r="W1200" s="47"/>
      <c r="X1200" s="12"/>
      <c r="Y1200" s="177"/>
      <c r="Z1200" s="6"/>
      <c r="AA1200" s="6"/>
      <c r="AB1200" s="6"/>
      <c r="AC1200" s="6"/>
      <c r="AD1200" s="330"/>
    </row>
    <row r="1201" spans="1:30" s="9" customFormat="1" x14ac:dyDescent="0.2">
      <c r="A1201" s="328"/>
      <c r="B1201" s="16" t="s">
        <v>36</v>
      </c>
      <c r="C1201" s="16" t="s">
        <v>133</v>
      </c>
      <c r="D1201" s="7" t="s">
        <v>1221</v>
      </c>
      <c r="E1201" s="7"/>
      <c r="F1201" s="6" t="s">
        <v>1222</v>
      </c>
      <c r="G1201" s="6" t="s">
        <v>39</v>
      </c>
      <c r="H1201" s="17">
        <v>49813.55</v>
      </c>
      <c r="I1201" s="39" t="s">
        <v>62</v>
      </c>
      <c r="J1201" s="18">
        <v>38413</v>
      </c>
      <c r="K1201" s="331">
        <v>120</v>
      </c>
      <c r="L1201" s="348">
        <v>38529</v>
      </c>
      <c r="M1201" s="18" t="s">
        <v>41</v>
      </c>
      <c r="N1201" s="6" t="s">
        <v>42</v>
      </c>
      <c r="O1201" s="18">
        <v>38470</v>
      </c>
      <c r="P1201" s="331">
        <f>IF(S1201="","",+S1201-L1201)</f>
        <v>-61</v>
      </c>
      <c r="Q1201" s="331"/>
      <c r="R1201" s="331"/>
      <c r="S1201" s="349">
        <v>38468</v>
      </c>
      <c r="T1201" s="349">
        <v>38495</v>
      </c>
      <c r="U1201" s="331">
        <f>IF(T1201="","",+T1201-J1201)</f>
        <v>82</v>
      </c>
      <c r="V1201" s="6" t="s">
        <v>1387</v>
      </c>
      <c r="W1201" s="341" t="s">
        <v>1388</v>
      </c>
      <c r="X1201" s="6" t="s">
        <v>47</v>
      </c>
      <c r="Y1201" s="177"/>
      <c r="Z1201" s="6">
        <v>6668470616</v>
      </c>
      <c r="AA1201" s="6" t="s">
        <v>47</v>
      </c>
      <c r="AB1201" s="6" t="s">
        <v>47</v>
      </c>
      <c r="AC1201" s="18"/>
      <c r="AD1201" s="10" t="str">
        <f>IF(S1201&lt;=L1201,"en término","atrasado")</f>
        <v>en término</v>
      </c>
    </row>
    <row r="1202" spans="1:30" s="9" customFormat="1" ht="12" thickBot="1" x14ac:dyDescent="0.25">
      <c r="A1202" s="328"/>
      <c r="B1202" s="19"/>
      <c r="C1202" s="19"/>
      <c r="D1202" s="5"/>
      <c r="E1202" s="5"/>
      <c r="F1202" s="5" t="s">
        <v>1389</v>
      </c>
      <c r="G1202" s="5"/>
      <c r="H1202" s="105"/>
      <c r="I1202" s="21"/>
      <c r="J1202" s="27"/>
      <c r="K1202" s="27"/>
      <c r="L1202" s="187"/>
      <c r="M1202" s="5"/>
      <c r="N1202" s="5"/>
      <c r="O1202" s="187"/>
      <c r="P1202" s="5"/>
      <c r="Q1202" s="5"/>
      <c r="R1202" s="5"/>
      <c r="S1202" s="187"/>
      <c r="T1202" s="187"/>
      <c r="U1202" s="5"/>
      <c r="V1202" s="224"/>
      <c r="W1202" s="36"/>
      <c r="X1202" s="5"/>
      <c r="Y1202" s="182"/>
      <c r="Z1202" s="5"/>
      <c r="AA1202" s="27">
        <v>38502</v>
      </c>
      <c r="AB1202" s="27">
        <v>38547</v>
      </c>
      <c r="AC1202" s="27"/>
      <c r="AD1202" s="330"/>
    </row>
    <row r="1203" spans="1:30" s="9" customFormat="1" x14ac:dyDescent="0.2">
      <c r="A1203" s="328"/>
      <c r="B1203" s="11"/>
      <c r="C1203" s="16"/>
      <c r="D1203" s="7"/>
      <c r="E1203" s="7"/>
      <c r="F1203" s="6"/>
      <c r="G1203" s="6"/>
      <c r="H1203" s="17"/>
      <c r="I1203" s="17"/>
      <c r="J1203" s="7"/>
      <c r="K1203" s="7"/>
      <c r="L1203" s="348"/>
      <c r="M1203" s="6"/>
      <c r="N1203" s="6"/>
      <c r="O1203" s="189"/>
      <c r="P1203" s="7"/>
      <c r="Q1203" s="7"/>
      <c r="R1203" s="7"/>
      <c r="S1203" s="18" t="s">
        <v>1386</v>
      </c>
      <c r="T1203" s="18"/>
      <c r="U1203" s="7"/>
      <c r="V1203" s="220"/>
      <c r="W1203" s="47"/>
      <c r="X1203" s="12"/>
      <c r="Y1203" s="177"/>
      <c r="Z1203" s="6"/>
      <c r="AA1203" s="6"/>
      <c r="AB1203" s="6"/>
      <c r="AC1203" s="6"/>
      <c r="AD1203" s="330"/>
    </row>
    <row r="1204" spans="1:30" s="9" customFormat="1" x14ac:dyDescent="0.2">
      <c r="A1204" s="328"/>
      <c r="B1204" s="16" t="s">
        <v>36</v>
      </c>
      <c r="C1204" s="16" t="s">
        <v>133</v>
      </c>
      <c r="D1204" s="7" t="s">
        <v>1221</v>
      </c>
      <c r="E1204" s="7"/>
      <c r="F1204" s="6" t="s">
        <v>1222</v>
      </c>
      <c r="G1204" s="6" t="s">
        <v>39</v>
      </c>
      <c r="H1204" s="17">
        <v>14714.35</v>
      </c>
      <c r="I1204" s="39" t="s">
        <v>142</v>
      </c>
      <c r="J1204" s="18">
        <v>38434</v>
      </c>
      <c r="K1204" s="331">
        <v>90</v>
      </c>
      <c r="L1204" s="348">
        <v>38529</v>
      </c>
      <c r="M1204" s="18" t="s">
        <v>41</v>
      </c>
      <c r="N1204" s="6" t="s">
        <v>42</v>
      </c>
      <c r="O1204" s="18">
        <v>38470</v>
      </c>
      <c r="P1204" s="331">
        <f>IF(S1204="","",+S1204-L1204)</f>
        <v>-61</v>
      </c>
      <c r="Q1204" s="331"/>
      <c r="R1204" s="331"/>
      <c r="S1204" s="349">
        <v>38468</v>
      </c>
      <c r="T1204" s="349">
        <v>38495</v>
      </c>
      <c r="U1204" s="331">
        <f>IF(T1204="","",+T1204-J1204)</f>
        <v>61</v>
      </c>
      <c r="V1204" s="6" t="s">
        <v>921</v>
      </c>
      <c r="W1204" s="341" t="s">
        <v>1390</v>
      </c>
      <c r="X1204" s="6" t="s">
        <v>47</v>
      </c>
      <c r="Y1204" s="177"/>
      <c r="Z1204" s="6">
        <v>6668470616</v>
      </c>
      <c r="AA1204" s="6" t="s">
        <v>47</v>
      </c>
      <c r="AB1204" s="6" t="s">
        <v>47</v>
      </c>
      <c r="AC1204" s="18"/>
      <c r="AD1204" s="10" t="str">
        <f>IF(S1204&lt;=L1204,"en término","atrasado")</f>
        <v>en término</v>
      </c>
    </row>
    <row r="1205" spans="1:30" s="9" customFormat="1" ht="12" thickBot="1" x14ac:dyDescent="0.25">
      <c r="A1205" s="328"/>
      <c r="B1205" s="19"/>
      <c r="C1205" s="19"/>
      <c r="D1205" s="5"/>
      <c r="E1205" s="5"/>
      <c r="F1205" s="5" t="s">
        <v>1391</v>
      </c>
      <c r="G1205" s="5"/>
      <c r="H1205" s="105"/>
      <c r="I1205" s="21"/>
      <c r="J1205" s="27"/>
      <c r="K1205" s="27"/>
      <c r="L1205" s="187"/>
      <c r="M1205" s="5"/>
      <c r="N1205" s="5"/>
      <c r="O1205" s="187"/>
      <c r="P1205" s="5"/>
      <c r="Q1205" s="5"/>
      <c r="R1205" s="5"/>
      <c r="S1205" s="5"/>
      <c r="T1205" s="187"/>
      <c r="U1205" s="5"/>
      <c r="V1205" s="224"/>
      <c r="W1205" s="36"/>
      <c r="X1205" s="5"/>
      <c r="Y1205" s="182"/>
      <c r="Z1205" s="5"/>
      <c r="AA1205" s="27">
        <v>38502</v>
      </c>
      <c r="AB1205" s="27">
        <v>38547</v>
      </c>
      <c r="AC1205" s="27"/>
      <c r="AD1205" s="330"/>
    </row>
    <row r="1206" spans="1:30" s="9" customFormat="1" x14ac:dyDescent="0.2">
      <c r="A1206" s="328"/>
      <c r="B1206" s="11"/>
      <c r="C1206" s="16"/>
      <c r="D1206" s="7"/>
      <c r="E1206" s="7"/>
      <c r="F1206" s="6"/>
      <c r="G1206" s="6"/>
      <c r="H1206" s="17"/>
      <c r="I1206" s="17"/>
      <c r="J1206" s="7"/>
      <c r="K1206" s="7"/>
      <c r="L1206" s="348"/>
      <c r="M1206" s="6"/>
      <c r="N1206" s="6"/>
      <c r="O1206" s="189"/>
      <c r="P1206" s="7"/>
      <c r="Q1206" s="7"/>
      <c r="R1206" s="7"/>
      <c r="S1206" s="18" t="s">
        <v>1381</v>
      </c>
      <c r="T1206" s="18"/>
      <c r="U1206" s="7"/>
      <c r="V1206" s="220"/>
      <c r="W1206" s="47"/>
      <c r="X1206" s="12"/>
      <c r="Y1206" s="177"/>
      <c r="Z1206" s="6"/>
      <c r="AA1206" s="6"/>
      <c r="AB1206" s="6"/>
      <c r="AC1206" s="6"/>
      <c r="AD1206" s="330"/>
    </row>
    <row r="1207" spans="1:30" s="9" customFormat="1" x14ac:dyDescent="0.2">
      <c r="A1207" s="328"/>
      <c r="B1207" s="16" t="s">
        <v>36</v>
      </c>
      <c r="C1207" s="16" t="s">
        <v>133</v>
      </c>
      <c r="D1207" s="7" t="s">
        <v>1334</v>
      </c>
      <c r="E1207" s="7"/>
      <c r="F1207" s="6" t="s">
        <v>1335</v>
      </c>
      <c r="G1207" s="6" t="s">
        <v>39</v>
      </c>
      <c r="H1207" s="17">
        <v>3364.88</v>
      </c>
      <c r="I1207" s="39" t="s">
        <v>52</v>
      </c>
      <c r="J1207" s="18">
        <v>38420</v>
      </c>
      <c r="K1207" s="331">
        <v>48</v>
      </c>
      <c r="L1207" s="348">
        <f>+J1207+K1207</f>
        <v>38468</v>
      </c>
      <c r="M1207" s="18" t="s">
        <v>41</v>
      </c>
      <c r="N1207" s="6" t="s">
        <v>42</v>
      </c>
      <c r="O1207" s="18">
        <v>38470</v>
      </c>
      <c r="P1207" s="331">
        <f>IF(S1207="","",+S1207-L1207)</f>
        <v>0</v>
      </c>
      <c r="Q1207" s="331"/>
      <c r="R1207" s="331"/>
      <c r="S1207" s="349">
        <v>38468</v>
      </c>
      <c r="T1207" s="349">
        <v>38495</v>
      </c>
      <c r="U1207" s="331">
        <f>IF(T1207="","",+T1207-J1207)</f>
        <v>75</v>
      </c>
      <c r="V1207" s="6" t="s">
        <v>1254</v>
      </c>
      <c r="W1207" s="341" t="s">
        <v>1392</v>
      </c>
      <c r="X1207" s="6" t="s">
        <v>47</v>
      </c>
      <c r="Y1207" s="177"/>
      <c r="Z1207" s="6">
        <v>6668470616</v>
      </c>
      <c r="AA1207" s="6" t="s">
        <v>47</v>
      </c>
      <c r="AB1207" s="6" t="s">
        <v>47</v>
      </c>
      <c r="AC1207" s="18"/>
      <c r="AD1207" s="10" t="str">
        <f>IF(S1207&lt;=L1207,"en término","atrasado")</f>
        <v>en término</v>
      </c>
    </row>
    <row r="1208" spans="1:30" s="9" customFormat="1" ht="12" thickBot="1" x14ac:dyDescent="0.25">
      <c r="A1208" s="328"/>
      <c r="B1208" s="19"/>
      <c r="C1208" s="19"/>
      <c r="D1208" s="5"/>
      <c r="E1208" s="5"/>
      <c r="F1208" s="5" t="s">
        <v>1393</v>
      </c>
      <c r="G1208" s="5"/>
      <c r="H1208" s="105"/>
      <c r="I1208" s="21"/>
      <c r="J1208" s="27"/>
      <c r="K1208" s="27"/>
      <c r="L1208" s="187"/>
      <c r="M1208" s="5"/>
      <c r="N1208" s="5"/>
      <c r="O1208" s="187"/>
      <c r="P1208" s="5"/>
      <c r="Q1208" s="5"/>
      <c r="R1208" s="5"/>
      <c r="S1208" s="187"/>
      <c r="T1208" s="187"/>
      <c r="U1208" s="5"/>
      <c r="V1208" s="224"/>
      <c r="W1208" s="36"/>
      <c r="X1208" s="5"/>
      <c r="Y1208" s="182"/>
      <c r="Z1208" s="5"/>
      <c r="AA1208" s="27">
        <v>38502</v>
      </c>
      <c r="AB1208" s="27">
        <v>38583</v>
      </c>
      <c r="AC1208" s="27"/>
      <c r="AD1208" s="330"/>
    </row>
    <row r="1209" spans="1:30" s="9" customFormat="1" x14ac:dyDescent="0.2">
      <c r="A1209" s="328"/>
      <c r="B1209" s="11"/>
      <c r="C1209" s="16"/>
      <c r="D1209" s="7"/>
      <c r="E1209" s="7"/>
      <c r="F1209" s="6"/>
      <c r="G1209" s="6"/>
      <c r="H1209" s="17"/>
      <c r="I1209" s="17"/>
      <c r="J1209" s="7"/>
      <c r="K1209" s="7"/>
      <c r="L1209" s="348"/>
      <c r="M1209" s="6"/>
      <c r="N1209" s="6"/>
      <c r="O1209" s="189"/>
      <c r="P1209" s="7"/>
      <c r="Q1209" s="7"/>
      <c r="R1209" s="7"/>
      <c r="S1209" s="18" t="s">
        <v>1381</v>
      </c>
      <c r="T1209" s="18"/>
      <c r="U1209" s="7"/>
      <c r="V1209" s="220"/>
      <c r="W1209" s="47"/>
      <c r="X1209" s="12"/>
      <c r="Y1209" s="177"/>
      <c r="Z1209" s="6"/>
      <c r="AA1209" s="6"/>
      <c r="AB1209" s="6"/>
      <c r="AC1209" s="6"/>
      <c r="AD1209" s="330"/>
    </row>
    <row r="1210" spans="1:30" s="9" customFormat="1" x14ac:dyDescent="0.2">
      <c r="A1210" s="328"/>
      <c r="B1210" s="16" t="s">
        <v>36</v>
      </c>
      <c r="C1210" s="16" t="s">
        <v>133</v>
      </c>
      <c r="D1210" s="7" t="s">
        <v>1221</v>
      </c>
      <c r="E1210" s="7"/>
      <c r="F1210" s="6" t="s">
        <v>1222</v>
      </c>
      <c r="G1210" s="6" t="s">
        <v>39</v>
      </c>
      <c r="H1210" s="17">
        <v>153706.76999999999</v>
      </c>
      <c r="I1210" s="39" t="s">
        <v>52</v>
      </c>
      <c r="J1210" s="18">
        <v>38439</v>
      </c>
      <c r="K1210" s="331">
        <v>45</v>
      </c>
      <c r="L1210" s="348">
        <v>38477</v>
      </c>
      <c r="M1210" s="18" t="s">
        <v>41</v>
      </c>
      <c r="N1210" s="6" t="s">
        <v>42</v>
      </c>
      <c r="O1210" s="18">
        <v>38470</v>
      </c>
      <c r="P1210" s="331">
        <f>IF(S1210="","",+S1210-L1210)</f>
        <v>-9</v>
      </c>
      <c r="Q1210" s="331"/>
      <c r="R1210" s="331"/>
      <c r="S1210" s="349">
        <v>38468</v>
      </c>
      <c r="T1210" s="349">
        <v>38495</v>
      </c>
      <c r="U1210" s="331">
        <f>IF(T1210="","",+T1210-J1210)</f>
        <v>56</v>
      </c>
      <c r="V1210" s="6" t="s">
        <v>1252</v>
      </c>
      <c r="W1210" s="341" t="s">
        <v>1394</v>
      </c>
      <c r="X1210" s="6" t="s">
        <v>47</v>
      </c>
      <c r="Y1210" s="177"/>
      <c r="Z1210" s="6">
        <v>6668470616</v>
      </c>
      <c r="AA1210" s="6" t="s">
        <v>47</v>
      </c>
      <c r="AB1210" s="6" t="s">
        <v>47</v>
      </c>
      <c r="AC1210" s="18"/>
      <c r="AD1210" s="10" t="str">
        <f>IF(S1210&lt;=L1210,"en término","atrasado")</f>
        <v>en término</v>
      </c>
    </row>
    <row r="1211" spans="1:30" s="9" customFormat="1" ht="12" thickBot="1" x14ac:dyDescent="0.25">
      <c r="A1211" s="328"/>
      <c r="B1211" s="19"/>
      <c r="C1211" s="19"/>
      <c r="D1211" s="5"/>
      <c r="E1211" s="5"/>
      <c r="F1211" s="5" t="s">
        <v>1395</v>
      </c>
      <c r="G1211" s="5"/>
      <c r="H1211" s="105"/>
      <c r="I1211" s="21"/>
      <c r="J1211" s="27"/>
      <c r="K1211" s="27"/>
      <c r="L1211" s="187"/>
      <c r="M1211" s="5"/>
      <c r="N1211" s="5"/>
      <c r="O1211" s="187"/>
      <c r="P1211" s="5"/>
      <c r="Q1211" s="5"/>
      <c r="R1211" s="5"/>
      <c r="S1211" s="187"/>
      <c r="T1211" s="187"/>
      <c r="U1211" s="5"/>
      <c r="V1211" s="224"/>
      <c r="W1211" s="36"/>
      <c r="X1211" s="5"/>
      <c r="Y1211" s="182"/>
      <c r="Z1211" s="5"/>
      <c r="AA1211" s="27">
        <v>38502</v>
      </c>
      <c r="AB1211" s="27">
        <v>38583</v>
      </c>
      <c r="AC1211" s="27"/>
      <c r="AD1211" s="330"/>
    </row>
    <row r="1212" spans="1:30" s="9" customFormat="1" x14ac:dyDescent="0.2">
      <c r="A1212" s="328"/>
      <c r="B1212" s="11"/>
      <c r="C1212" s="16"/>
      <c r="D1212" s="7"/>
      <c r="E1212" s="7"/>
      <c r="F1212" s="6"/>
      <c r="G1212" s="6"/>
      <c r="H1212" s="17"/>
      <c r="I1212" s="17"/>
      <c r="J1212" s="7"/>
      <c r="K1212" s="7"/>
      <c r="L1212" s="348"/>
      <c r="M1212" s="6"/>
      <c r="N1212" s="6"/>
      <c r="O1212" s="189"/>
      <c r="P1212" s="7"/>
      <c r="Q1212" s="7"/>
      <c r="R1212" s="7"/>
      <c r="S1212" s="18" t="s">
        <v>1381</v>
      </c>
      <c r="T1212" s="18"/>
      <c r="U1212" s="7"/>
      <c r="V1212" s="220"/>
      <c r="W1212" s="47"/>
      <c r="X1212" s="12"/>
      <c r="Y1212" s="177"/>
      <c r="Z1212" s="6"/>
      <c r="AA1212" s="6"/>
      <c r="AB1212" s="6"/>
      <c r="AC1212" s="6"/>
      <c r="AD1212" s="330"/>
    </row>
    <row r="1213" spans="1:30" s="9" customFormat="1" x14ac:dyDescent="0.2">
      <c r="A1213" s="328"/>
      <c r="B1213" s="16" t="s">
        <v>36</v>
      </c>
      <c r="C1213" s="16" t="s">
        <v>133</v>
      </c>
      <c r="D1213" s="7" t="s">
        <v>1221</v>
      </c>
      <c r="E1213" s="7"/>
      <c r="F1213" s="6" t="s">
        <v>1222</v>
      </c>
      <c r="G1213" s="6" t="s">
        <v>39</v>
      </c>
      <c r="H1213" s="17">
        <v>9827.9</v>
      </c>
      <c r="I1213" s="39" t="s">
        <v>52</v>
      </c>
      <c r="J1213" s="18">
        <v>38370</v>
      </c>
      <c r="K1213" s="331">
        <v>33</v>
      </c>
      <c r="L1213" s="348">
        <f>+J1213+K1213</f>
        <v>38403</v>
      </c>
      <c r="M1213" s="18" t="s">
        <v>41</v>
      </c>
      <c r="N1213" s="6" t="s">
        <v>42</v>
      </c>
      <c r="O1213" s="18">
        <v>38470</v>
      </c>
      <c r="P1213" s="331">
        <f>IF(S1213="","",+S1213-L1213)</f>
        <v>65</v>
      </c>
      <c r="Q1213" s="331"/>
      <c r="R1213" s="331"/>
      <c r="S1213" s="349">
        <v>38468</v>
      </c>
      <c r="T1213" s="349">
        <v>38495</v>
      </c>
      <c r="U1213" s="331">
        <f>IF(T1213="","",+T1213-J1213)</f>
        <v>125</v>
      </c>
      <c r="V1213" s="6" t="s">
        <v>1254</v>
      </c>
      <c r="W1213" s="341" t="s">
        <v>1396</v>
      </c>
      <c r="X1213" s="6" t="s">
        <v>47</v>
      </c>
      <c r="Y1213" s="177"/>
      <c r="Z1213" s="6">
        <v>6668470616</v>
      </c>
      <c r="AA1213" s="6" t="s">
        <v>47</v>
      </c>
      <c r="AB1213" s="6" t="s">
        <v>47</v>
      </c>
      <c r="AC1213" s="18"/>
      <c r="AD1213" s="10" t="str">
        <f>IF(S1213&lt;=L1213,"en término","atrasado")</f>
        <v>atrasado</v>
      </c>
    </row>
    <row r="1214" spans="1:30" s="9" customFormat="1" ht="12" thickBot="1" x14ac:dyDescent="0.25">
      <c r="A1214" s="328"/>
      <c r="B1214" s="19"/>
      <c r="C1214" s="19"/>
      <c r="D1214" s="5"/>
      <c r="E1214" s="5"/>
      <c r="F1214" s="5" t="s">
        <v>1397</v>
      </c>
      <c r="G1214" s="5"/>
      <c r="H1214" s="105"/>
      <c r="I1214" s="21"/>
      <c r="J1214" s="27"/>
      <c r="K1214" s="27"/>
      <c r="L1214" s="187"/>
      <c r="M1214" s="5"/>
      <c r="N1214" s="5"/>
      <c r="O1214" s="187"/>
      <c r="P1214" s="5"/>
      <c r="Q1214" s="5"/>
      <c r="R1214" s="5"/>
      <c r="S1214" s="187"/>
      <c r="T1214" s="187"/>
      <c r="U1214" s="5"/>
      <c r="V1214" s="224"/>
      <c r="W1214" s="36"/>
      <c r="X1214" s="5"/>
      <c r="Y1214" s="182"/>
      <c r="Z1214" s="5"/>
      <c r="AA1214" s="27">
        <v>38502</v>
      </c>
      <c r="AB1214" s="27" t="s">
        <v>1398</v>
      </c>
      <c r="AC1214" s="5"/>
      <c r="AD1214" s="330"/>
    </row>
    <row r="1215" spans="1:30" s="9" customFormat="1" x14ac:dyDescent="0.2">
      <c r="A1215" s="328"/>
      <c r="B1215" s="11"/>
      <c r="C1215" s="16"/>
      <c r="D1215" s="7"/>
      <c r="E1215" s="7"/>
      <c r="F1215" s="6"/>
      <c r="G1215" s="6"/>
      <c r="H1215" s="17"/>
      <c r="I1215" s="17"/>
      <c r="J1215" s="7"/>
      <c r="K1215" s="7"/>
      <c r="L1215" s="348"/>
      <c r="M1215" s="6"/>
      <c r="N1215" s="6"/>
      <c r="O1215" s="189"/>
      <c r="P1215" s="7"/>
      <c r="Q1215" s="7"/>
      <c r="R1215" s="7"/>
      <c r="S1215" s="18" t="s">
        <v>1381</v>
      </c>
      <c r="T1215" s="18"/>
      <c r="U1215" s="7"/>
      <c r="V1215" s="220"/>
      <c r="W1215" s="47"/>
      <c r="X1215" s="12"/>
      <c r="Y1215" s="177"/>
      <c r="Z1215" s="6"/>
      <c r="AA1215" s="6"/>
      <c r="AB1215" s="6"/>
      <c r="AC1215" s="6"/>
      <c r="AD1215" s="330"/>
    </row>
    <row r="1216" spans="1:30" s="9" customFormat="1" x14ac:dyDescent="0.2">
      <c r="A1216" s="328"/>
      <c r="B1216" s="16" t="s">
        <v>36</v>
      </c>
      <c r="C1216" s="16" t="s">
        <v>133</v>
      </c>
      <c r="D1216" s="7" t="s">
        <v>1221</v>
      </c>
      <c r="E1216" s="7"/>
      <c r="F1216" s="6" t="s">
        <v>1222</v>
      </c>
      <c r="G1216" s="6" t="s">
        <v>39</v>
      </c>
      <c r="H1216" s="17">
        <v>4328.03</v>
      </c>
      <c r="I1216" s="39" t="s">
        <v>52</v>
      </c>
      <c r="J1216" s="18">
        <v>38420</v>
      </c>
      <c r="K1216" s="331">
        <v>30</v>
      </c>
      <c r="L1216" s="348">
        <v>38468</v>
      </c>
      <c r="M1216" s="18" t="s">
        <v>41</v>
      </c>
      <c r="N1216" s="6" t="s">
        <v>42</v>
      </c>
      <c r="O1216" s="18">
        <v>38470</v>
      </c>
      <c r="P1216" s="331">
        <f>IF(S1216="","",+S1216-L1216)</f>
        <v>0</v>
      </c>
      <c r="Q1216" s="331"/>
      <c r="R1216" s="331"/>
      <c r="S1216" s="349">
        <v>38468</v>
      </c>
      <c r="T1216" s="349">
        <v>38495</v>
      </c>
      <c r="U1216" s="331">
        <f>IF(T1216="","",+T1216-J1216)</f>
        <v>75</v>
      </c>
      <c r="V1216" s="6" t="s">
        <v>1254</v>
      </c>
      <c r="W1216" s="341" t="s">
        <v>1399</v>
      </c>
      <c r="X1216" s="6" t="s">
        <v>47</v>
      </c>
      <c r="Y1216" s="177"/>
      <c r="Z1216" s="6">
        <v>6668470616</v>
      </c>
      <c r="AA1216" s="6" t="s">
        <v>47</v>
      </c>
      <c r="AB1216" s="6" t="s">
        <v>47</v>
      </c>
      <c r="AC1216" s="18"/>
      <c r="AD1216" s="10" t="str">
        <f>IF(S1216&lt;=L1216,"en término","atrasado")</f>
        <v>en término</v>
      </c>
    </row>
    <row r="1217" spans="1:30" s="9" customFormat="1" ht="12" thickBot="1" x14ac:dyDescent="0.25">
      <c r="A1217" s="328"/>
      <c r="B1217" s="19"/>
      <c r="C1217" s="19"/>
      <c r="D1217" s="5"/>
      <c r="E1217" s="5"/>
      <c r="F1217" s="5" t="s">
        <v>1400</v>
      </c>
      <c r="G1217" s="5"/>
      <c r="H1217" s="105"/>
      <c r="I1217" s="21"/>
      <c r="J1217" s="27"/>
      <c r="K1217" s="27"/>
      <c r="L1217" s="187"/>
      <c r="M1217" s="5"/>
      <c r="N1217" s="5"/>
      <c r="O1217" s="187"/>
      <c r="P1217" s="5"/>
      <c r="Q1217" s="5"/>
      <c r="R1217" s="5"/>
      <c r="S1217" s="187"/>
      <c r="T1217" s="187"/>
      <c r="U1217" s="5"/>
      <c r="V1217" s="224"/>
      <c r="W1217" s="36"/>
      <c r="X1217" s="5"/>
      <c r="Y1217" s="182"/>
      <c r="Z1217" s="5"/>
      <c r="AA1217" s="27">
        <v>38502</v>
      </c>
      <c r="AB1217" s="27"/>
      <c r="AC1217" s="5"/>
      <c r="AD1217" s="330"/>
    </row>
    <row r="1218" spans="1:30" s="9" customFormat="1" x14ac:dyDescent="0.2">
      <c r="A1218" s="328"/>
      <c r="B1218" s="11"/>
      <c r="C1218" s="16"/>
      <c r="D1218" s="7"/>
      <c r="E1218" s="7"/>
      <c r="F1218" s="6"/>
      <c r="G1218" s="6"/>
      <c r="H1218" s="17"/>
      <c r="I1218" s="17"/>
      <c r="J1218" s="7"/>
      <c r="K1218" s="7"/>
      <c r="L1218" s="348"/>
      <c r="M1218" s="6"/>
      <c r="N1218" s="6"/>
      <c r="O1218" s="189"/>
      <c r="P1218" s="7"/>
      <c r="Q1218" s="7"/>
      <c r="R1218" s="7"/>
      <c r="S1218" s="7" t="s">
        <v>1401</v>
      </c>
      <c r="T1218" s="18"/>
      <c r="U1218" s="7"/>
      <c r="V1218" s="220"/>
      <c r="W1218" s="47"/>
      <c r="X1218" s="12"/>
      <c r="Y1218" s="177"/>
      <c r="Z1218" s="6"/>
      <c r="AA1218" s="6"/>
      <c r="AB1218" s="6"/>
      <c r="AC1218" s="6"/>
      <c r="AD1218" s="330"/>
    </row>
    <row r="1219" spans="1:30" s="9" customFormat="1" x14ac:dyDescent="0.2">
      <c r="A1219" s="328"/>
      <c r="B1219" s="16" t="s">
        <v>36</v>
      </c>
      <c r="C1219" s="16" t="s">
        <v>133</v>
      </c>
      <c r="D1219" s="7" t="s">
        <v>1221</v>
      </c>
      <c r="E1219" s="7"/>
      <c r="F1219" s="6" t="s">
        <v>1222</v>
      </c>
      <c r="G1219" s="6" t="s">
        <v>39</v>
      </c>
      <c r="H1219" s="17">
        <v>48613.35</v>
      </c>
      <c r="I1219" s="39" t="s">
        <v>62</v>
      </c>
      <c r="J1219" s="18">
        <v>38399</v>
      </c>
      <c r="K1219" s="331">
        <v>93</v>
      </c>
      <c r="L1219" s="348">
        <f>+J1219+K1219</f>
        <v>38492</v>
      </c>
      <c r="M1219" s="18" t="s">
        <v>41</v>
      </c>
      <c r="N1219" s="6" t="s">
        <v>42</v>
      </c>
      <c r="O1219" s="18">
        <v>38491</v>
      </c>
      <c r="P1219" s="331">
        <f>IF(S1219="","",+S1219-L1219)</f>
        <v>-3</v>
      </c>
      <c r="Q1219" s="331"/>
      <c r="R1219" s="331"/>
      <c r="S1219" s="349">
        <v>38489</v>
      </c>
      <c r="T1219" s="349">
        <v>38513</v>
      </c>
      <c r="U1219" s="331">
        <f>IF(T1219="","",+T1219-J1219)</f>
        <v>114</v>
      </c>
      <c r="V1219" s="6" t="s">
        <v>1402</v>
      </c>
      <c r="W1219" s="341" t="s">
        <v>1403</v>
      </c>
      <c r="X1219" s="6" t="s">
        <v>47</v>
      </c>
      <c r="Y1219" s="177"/>
      <c r="Z1219" s="6">
        <v>6668410642</v>
      </c>
      <c r="AA1219" s="6" t="s">
        <v>47</v>
      </c>
      <c r="AB1219" s="6" t="s">
        <v>47</v>
      </c>
      <c r="AC1219" s="18"/>
      <c r="AD1219" s="10" t="str">
        <f>IF(S1219&lt;=L1219,"en término","atrasado")</f>
        <v>en término</v>
      </c>
    </row>
    <row r="1220" spans="1:30" s="9" customFormat="1" ht="12" thickBot="1" x14ac:dyDescent="0.25">
      <c r="A1220" s="328"/>
      <c r="B1220" s="19"/>
      <c r="C1220" s="19"/>
      <c r="D1220" s="5"/>
      <c r="E1220" s="5"/>
      <c r="F1220" s="5" t="s">
        <v>1404</v>
      </c>
      <c r="G1220" s="5"/>
      <c r="H1220" s="105"/>
      <c r="I1220" s="21"/>
      <c r="J1220" s="27"/>
      <c r="K1220" s="27"/>
      <c r="L1220" s="187"/>
      <c r="M1220" s="5"/>
      <c r="N1220" s="5"/>
      <c r="O1220" s="187"/>
      <c r="P1220" s="5"/>
      <c r="Q1220" s="5"/>
      <c r="R1220" s="5"/>
      <c r="S1220" s="187"/>
      <c r="T1220" s="187"/>
      <c r="U1220" s="5"/>
      <c r="V1220" s="224"/>
      <c r="W1220" s="36"/>
      <c r="X1220" s="5"/>
      <c r="Y1220" s="182"/>
      <c r="Z1220" s="5"/>
      <c r="AA1220" s="27">
        <v>38528</v>
      </c>
      <c r="AB1220" s="27"/>
      <c r="AC1220" s="5"/>
      <c r="AD1220" s="330"/>
    </row>
    <row r="1221" spans="1:30" s="9" customFormat="1" x14ac:dyDescent="0.2">
      <c r="A1221" s="328"/>
      <c r="B1221" s="11"/>
      <c r="C1221" s="16"/>
      <c r="D1221" s="7"/>
      <c r="E1221" s="7"/>
      <c r="F1221" s="6"/>
      <c r="G1221" s="6"/>
      <c r="H1221" s="17"/>
      <c r="I1221" s="17"/>
      <c r="J1221" s="7"/>
      <c r="K1221" s="7"/>
      <c r="L1221" s="348"/>
      <c r="M1221" s="6"/>
      <c r="N1221" s="6"/>
      <c r="O1221" s="189"/>
      <c r="P1221" s="7"/>
      <c r="Q1221" s="7"/>
      <c r="R1221" s="7"/>
      <c r="S1221" s="7" t="s">
        <v>1401</v>
      </c>
      <c r="T1221" s="18"/>
      <c r="U1221" s="7"/>
      <c r="V1221" s="220"/>
      <c r="W1221" s="47"/>
      <c r="X1221" s="12"/>
      <c r="Y1221" s="177"/>
      <c r="Z1221" s="6"/>
      <c r="AA1221" s="6"/>
      <c r="AB1221" s="6"/>
      <c r="AC1221" s="6"/>
      <c r="AD1221" s="330"/>
    </row>
    <row r="1222" spans="1:30" s="9" customFormat="1" x14ac:dyDescent="0.2">
      <c r="A1222" s="328"/>
      <c r="B1222" s="16" t="s">
        <v>36</v>
      </c>
      <c r="C1222" s="16" t="s">
        <v>133</v>
      </c>
      <c r="D1222" s="7" t="s">
        <v>1221</v>
      </c>
      <c r="E1222" s="7"/>
      <c r="F1222" s="6" t="s">
        <v>1222</v>
      </c>
      <c r="G1222" s="6" t="s">
        <v>39</v>
      </c>
      <c r="H1222" s="17">
        <v>13657.79</v>
      </c>
      <c r="I1222" s="39" t="s">
        <v>62</v>
      </c>
      <c r="J1222" s="18">
        <v>38399</v>
      </c>
      <c r="K1222" s="331">
        <v>90</v>
      </c>
      <c r="L1222" s="348">
        <f>+J1222+K1222</f>
        <v>38489</v>
      </c>
      <c r="M1222" s="18" t="s">
        <v>41</v>
      </c>
      <c r="N1222" s="6" t="s">
        <v>42</v>
      </c>
      <c r="O1222" s="18">
        <v>38491</v>
      </c>
      <c r="P1222" s="331">
        <f>IF(S1222="","",+S1222-L1222)</f>
        <v>0</v>
      </c>
      <c r="Q1222" s="331"/>
      <c r="R1222" s="331"/>
      <c r="S1222" s="349">
        <v>38489</v>
      </c>
      <c r="T1222" s="349">
        <v>38513</v>
      </c>
      <c r="U1222" s="331">
        <f>IF(T1222="","",+T1222-J1222)</f>
        <v>114</v>
      </c>
      <c r="V1222" s="6" t="s">
        <v>70</v>
      </c>
      <c r="W1222" s="341" t="s">
        <v>1405</v>
      </c>
      <c r="X1222" s="6" t="s">
        <v>47</v>
      </c>
      <c r="Y1222" s="177"/>
      <c r="Z1222" s="6">
        <v>6668470642</v>
      </c>
      <c r="AA1222" s="6" t="s">
        <v>47</v>
      </c>
      <c r="AB1222" s="6" t="s">
        <v>47</v>
      </c>
      <c r="AC1222" s="18"/>
      <c r="AD1222" s="10" t="str">
        <f>IF(S1222&lt;=L1222,"en término","atrasado")</f>
        <v>en término</v>
      </c>
    </row>
    <row r="1223" spans="1:30" s="9" customFormat="1" ht="12" thickBot="1" x14ac:dyDescent="0.25">
      <c r="A1223" s="328"/>
      <c r="B1223" s="19"/>
      <c r="C1223" s="19"/>
      <c r="D1223" s="5"/>
      <c r="E1223" s="5"/>
      <c r="F1223" s="5" t="s">
        <v>1406</v>
      </c>
      <c r="G1223" s="5"/>
      <c r="H1223" s="105"/>
      <c r="I1223" s="21"/>
      <c r="J1223" s="27"/>
      <c r="K1223" s="27"/>
      <c r="L1223" s="187"/>
      <c r="M1223" s="5"/>
      <c r="N1223" s="5"/>
      <c r="O1223" s="187"/>
      <c r="P1223" s="5"/>
      <c r="Q1223" s="5"/>
      <c r="R1223" s="5"/>
      <c r="S1223" s="187"/>
      <c r="T1223" s="187"/>
      <c r="U1223" s="5"/>
      <c r="V1223" s="224"/>
      <c r="W1223" s="36"/>
      <c r="X1223" s="5"/>
      <c r="Y1223" s="182"/>
      <c r="Z1223" s="5"/>
      <c r="AA1223" s="27">
        <v>38528</v>
      </c>
      <c r="AB1223" s="27">
        <v>38583</v>
      </c>
      <c r="AC1223" s="27"/>
      <c r="AD1223" s="330"/>
    </row>
    <row r="1224" spans="1:30" s="9" customFormat="1" x14ac:dyDescent="0.2">
      <c r="A1224" s="328"/>
      <c r="B1224" s="11"/>
      <c r="C1224" s="16"/>
      <c r="D1224" s="7"/>
      <c r="E1224" s="7"/>
      <c r="F1224" s="6"/>
      <c r="G1224" s="6"/>
      <c r="H1224" s="17"/>
      <c r="I1224" s="17"/>
      <c r="J1224" s="7"/>
      <c r="K1224" s="7"/>
      <c r="L1224" s="348"/>
      <c r="M1224" s="6"/>
      <c r="N1224" s="6"/>
      <c r="O1224" s="189"/>
      <c r="P1224" s="7"/>
      <c r="Q1224" s="7"/>
      <c r="R1224" s="7"/>
      <c r="S1224" s="7" t="s">
        <v>1401</v>
      </c>
      <c r="T1224" s="18"/>
      <c r="U1224" s="7"/>
      <c r="V1224" s="220"/>
      <c r="W1224" s="47"/>
      <c r="X1224" s="12"/>
      <c r="Y1224" s="177"/>
      <c r="Z1224" s="6"/>
      <c r="AA1224" s="6"/>
      <c r="AB1224" s="6"/>
      <c r="AC1224" s="6"/>
      <c r="AD1224" s="330"/>
    </row>
    <row r="1225" spans="1:30" s="9" customFormat="1" x14ac:dyDescent="0.2">
      <c r="A1225" s="328"/>
      <c r="B1225" s="16" t="s">
        <v>36</v>
      </c>
      <c r="C1225" s="16" t="s">
        <v>133</v>
      </c>
      <c r="D1225" s="7" t="s">
        <v>1221</v>
      </c>
      <c r="E1225" s="7"/>
      <c r="F1225" s="6" t="s">
        <v>1222</v>
      </c>
      <c r="G1225" s="6" t="s">
        <v>39</v>
      </c>
      <c r="H1225" s="17">
        <v>149370.66</v>
      </c>
      <c r="I1225" s="39" t="s">
        <v>52</v>
      </c>
      <c r="J1225" s="18">
        <v>38469</v>
      </c>
      <c r="K1225" s="331">
        <v>33</v>
      </c>
      <c r="L1225" s="348">
        <f>+J1225+K1225</f>
        <v>38502</v>
      </c>
      <c r="M1225" s="18" t="s">
        <v>41</v>
      </c>
      <c r="N1225" s="6" t="s">
        <v>42</v>
      </c>
      <c r="O1225" s="18">
        <v>38491</v>
      </c>
      <c r="P1225" s="331">
        <f>IF(S1225="","",+S1225-L1225)</f>
        <v>-13</v>
      </c>
      <c r="Q1225" s="331"/>
      <c r="R1225" s="331"/>
      <c r="S1225" s="349">
        <v>38489</v>
      </c>
      <c r="T1225" s="349">
        <v>38513</v>
      </c>
      <c r="U1225" s="331">
        <f>IF(T1225="","",+T1225-J1225)</f>
        <v>44</v>
      </c>
      <c r="V1225" s="6" t="s">
        <v>1252</v>
      </c>
      <c r="W1225" s="341" t="s">
        <v>1407</v>
      </c>
      <c r="X1225" s="6" t="s">
        <v>47</v>
      </c>
      <c r="Y1225" s="177"/>
      <c r="Z1225" s="6">
        <v>6668470642</v>
      </c>
      <c r="AA1225" s="6" t="s">
        <v>47</v>
      </c>
      <c r="AB1225" s="6" t="s">
        <v>47</v>
      </c>
      <c r="AC1225" s="18"/>
      <c r="AD1225" s="10" t="str">
        <f>IF(S1225&lt;=L1225,"en término","atrasado")</f>
        <v>en término</v>
      </c>
    </row>
    <row r="1226" spans="1:30" s="9" customFormat="1" ht="12" thickBot="1" x14ac:dyDescent="0.25">
      <c r="A1226" s="328"/>
      <c r="B1226" s="19"/>
      <c r="C1226" s="19"/>
      <c r="D1226" s="5"/>
      <c r="E1226" s="5"/>
      <c r="F1226" s="5" t="s">
        <v>1408</v>
      </c>
      <c r="G1226" s="5"/>
      <c r="H1226" s="105"/>
      <c r="I1226" s="21"/>
      <c r="J1226" s="27"/>
      <c r="K1226" s="27"/>
      <c r="L1226" s="187"/>
      <c r="M1226" s="5"/>
      <c r="N1226" s="5"/>
      <c r="O1226" s="187"/>
      <c r="P1226" s="5"/>
      <c r="Q1226" s="5"/>
      <c r="R1226" s="5"/>
      <c r="S1226" s="187"/>
      <c r="T1226" s="187"/>
      <c r="U1226" s="5"/>
      <c r="V1226" s="224"/>
      <c r="W1226" s="36"/>
      <c r="X1226" s="5"/>
      <c r="Y1226" s="182"/>
      <c r="Z1226" s="5"/>
      <c r="AA1226" s="27">
        <v>38528</v>
      </c>
      <c r="AB1226" s="27"/>
      <c r="AC1226" s="5"/>
      <c r="AD1226" s="330"/>
    </row>
    <row r="1227" spans="1:30" s="9" customFormat="1" x14ac:dyDescent="0.2">
      <c r="A1227" s="328"/>
      <c r="B1227" s="11"/>
      <c r="C1227" s="16"/>
      <c r="D1227" s="7"/>
      <c r="E1227" s="7"/>
      <c r="F1227" s="6"/>
      <c r="G1227" s="6"/>
      <c r="H1227" s="17"/>
      <c r="I1227" s="17"/>
      <c r="J1227" s="7"/>
      <c r="K1227" s="7"/>
      <c r="L1227" s="348"/>
      <c r="M1227" s="6"/>
      <c r="N1227" s="6"/>
      <c r="O1227" s="189"/>
      <c r="P1227" s="7"/>
      <c r="Q1227" s="7"/>
      <c r="R1227" s="7"/>
      <c r="S1227" s="7" t="s">
        <v>1409</v>
      </c>
      <c r="T1227" s="18"/>
      <c r="U1227" s="7"/>
      <c r="V1227" s="220"/>
      <c r="W1227" s="47"/>
      <c r="X1227" s="12"/>
      <c r="Y1227" s="177"/>
      <c r="Z1227" s="6" t="s">
        <v>1410</v>
      </c>
      <c r="AA1227" s="6"/>
      <c r="AB1227" s="6"/>
      <c r="AC1227" s="6"/>
      <c r="AD1227" s="330"/>
    </row>
    <row r="1228" spans="1:30" s="9" customFormat="1" x14ac:dyDescent="0.2">
      <c r="A1228" s="328"/>
      <c r="B1228" s="16" t="s">
        <v>36</v>
      </c>
      <c r="C1228" s="16" t="s">
        <v>133</v>
      </c>
      <c r="D1228" s="7" t="s">
        <v>1221</v>
      </c>
      <c r="E1228" s="7"/>
      <c r="F1228" s="6" t="s">
        <v>1222</v>
      </c>
      <c r="G1228" s="6" t="s">
        <v>39</v>
      </c>
      <c r="H1228" s="17">
        <v>48068.74</v>
      </c>
      <c r="I1228" s="39" t="s">
        <v>62</v>
      </c>
      <c r="J1228" s="18">
        <v>38420</v>
      </c>
      <c r="K1228" s="331">
        <v>90</v>
      </c>
      <c r="L1228" s="348">
        <v>38529</v>
      </c>
      <c r="M1228" s="18" t="s">
        <v>41</v>
      </c>
      <c r="N1228" s="6" t="s">
        <v>42</v>
      </c>
      <c r="O1228" s="18">
        <v>38526</v>
      </c>
      <c r="P1228" s="331">
        <f>IF(S1228="","",+S1228-L1228)</f>
        <v>-2</v>
      </c>
      <c r="Q1228" s="331"/>
      <c r="R1228" s="331"/>
      <c r="S1228" s="349">
        <v>38527</v>
      </c>
      <c r="T1228" s="349">
        <v>38551</v>
      </c>
      <c r="U1228" s="331">
        <f>IF(T1228="","",+T1228-J1228)</f>
        <v>131</v>
      </c>
      <c r="V1228" s="6" t="s">
        <v>1387</v>
      </c>
      <c r="W1228" s="341" t="s">
        <v>1411</v>
      </c>
      <c r="X1228" s="6" t="s">
        <v>47</v>
      </c>
      <c r="Y1228" s="177"/>
      <c r="Z1228" s="6" t="s">
        <v>1412</v>
      </c>
      <c r="AA1228" s="6" t="s">
        <v>47</v>
      </c>
      <c r="AB1228" s="6" t="s">
        <v>47</v>
      </c>
      <c r="AC1228" s="18"/>
      <c r="AD1228" s="10" t="str">
        <f>IF(S1228&lt;=L1228,"en término","atrasado")</f>
        <v>en término</v>
      </c>
    </row>
    <row r="1229" spans="1:30" s="9" customFormat="1" ht="12" thickBot="1" x14ac:dyDescent="0.25">
      <c r="A1229" s="328"/>
      <c r="B1229" s="19"/>
      <c r="C1229" s="19"/>
      <c r="D1229" s="5"/>
      <c r="E1229" s="5"/>
      <c r="F1229" s="5" t="s">
        <v>1413</v>
      </c>
      <c r="G1229" s="5"/>
      <c r="H1229" s="105"/>
      <c r="I1229" s="21"/>
      <c r="J1229" s="27"/>
      <c r="K1229" s="27"/>
      <c r="L1229" s="187"/>
      <c r="M1229" s="5"/>
      <c r="N1229" s="5"/>
      <c r="O1229" s="187"/>
      <c r="P1229" s="5"/>
      <c r="Q1229" s="5"/>
      <c r="R1229" s="5"/>
      <c r="S1229" s="187"/>
      <c r="T1229" s="187"/>
      <c r="U1229" s="5"/>
      <c r="V1229" s="224"/>
      <c r="W1229" s="36"/>
      <c r="X1229" s="5"/>
      <c r="Y1229" s="182"/>
      <c r="Z1229" s="5"/>
      <c r="AA1229" s="27">
        <v>38565</v>
      </c>
      <c r="AB1229" s="27"/>
      <c r="AC1229" s="5"/>
      <c r="AD1229" s="330"/>
    </row>
    <row r="1230" spans="1:30" s="9" customFormat="1" x14ac:dyDescent="0.2">
      <c r="A1230" s="328"/>
      <c r="B1230" s="11"/>
      <c r="C1230" s="16"/>
      <c r="D1230" s="7"/>
      <c r="E1230" s="7"/>
      <c r="F1230" s="6"/>
      <c r="G1230" s="6"/>
      <c r="H1230" s="17"/>
      <c r="I1230" s="17"/>
      <c r="J1230" s="7"/>
      <c r="K1230" s="7"/>
      <c r="L1230" s="348"/>
      <c r="M1230" s="6"/>
      <c r="N1230" s="6"/>
      <c r="O1230" s="189"/>
      <c r="P1230" s="7"/>
      <c r="Q1230" s="7"/>
      <c r="R1230" s="7"/>
      <c r="S1230" s="7" t="s">
        <v>1409</v>
      </c>
      <c r="T1230" s="18"/>
      <c r="U1230" s="7"/>
      <c r="V1230" s="220"/>
      <c r="W1230" s="47"/>
      <c r="X1230" s="12"/>
      <c r="Y1230" s="177"/>
      <c r="Z1230" s="6" t="s">
        <v>1410</v>
      </c>
      <c r="AA1230" s="6"/>
      <c r="AB1230" s="6"/>
      <c r="AC1230" s="6"/>
      <c r="AD1230" s="330"/>
    </row>
    <row r="1231" spans="1:30" s="9" customFormat="1" x14ac:dyDescent="0.2">
      <c r="A1231" s="328"/>
      <c r="B1231" s="16" t="s">
        <v>36</v>
      </c>
      <c r="C1231" s="16" t="s">
        <v>133</v>
      </c>
      <c r="D1231" s="7" t="s">
        <v>1334</v>
      </c>
      <c r="E1231" s="7"/>
      <c r="F1231" s="6" t="s">
        <v>1335</v>
      </c>
      <c r="G1231" s="6" t="s">
        <v>39</v>
      </c>
      <c r="H1231" s="17">
        <v>14333.82</v>
      </c>
      <c r="I1231" s="39" t="s">
        <v>52</v>
      </c>
      <c r="J1231" s="18">
        <v>38497</v>
      </c>
      <c r="K1231" s="331">
        <v>36</v>
      </c>
      <c r="L1231" s="348">
        <f>+J1231+K1231</f>
        <v>38533</v>
      </c>
      <c r="M1231" s="18" t="s">
        <v>41</v>
      </c>
      <c r="N1231" s="6" t="s">
        <v>42</v>
      </c>
      <c r="O1231" s="18">
        <v>38526</v>
      </c>
      <c r="P1231" s="331">
        <f>IF(S1231="","",+S1231-L1231)</f>
        <v>-6</v>
      </c>
      <c r="Q1231" s="331"/>
      <c r="R1231" s="331"/>
      <c r="S1231" s="349">
        <v>38527</v>
      </c>
      <c r="T1231" s="349">
        <v>38551</v>
      </c>
      <c r="U1231" s="331">
        <f>IF(T1231="","",+T1231-J1231)</f>
        <v>54</v>
      </c>
      <c r="V1231" s="6" t="s">
        <v>1254</v>
      </c>
      <c r="W1231" s="341" t="s">
        <v>1414</v>
      </c>
      <c r="X1231" s="6" t="s">
        <v>47</v>
      </c>
      <c r="Y1231" s="177"/>
      <c r="Z1231" s="6" t="s">
        <v>1412</v>
      </c>
      <c r="AA1231" s="6" t="s">
        <v>47</v>
      </c>
      <c r="AB1231" s="6" t="s">
        <v>47</v>
      </c>
      <c r="AC1231" s="18"/>
      <c r="AD1231" s="10" t="str">
        <f>IF(S1231&lt;=L1231,"en término","atrasado")</f>
        <v>en término</v>
      </c>
    </row>
    <row r="1232" spans="1:30" s="9" customFormat="1" ht="12" thickBot="1" x14ac:dyDescent="0.25">
      <c r="A1232" s="328"/>
      <c r="B1232" s="19"/>
      <c r="C1232" s="19"/>
      <c r="D1232" s="5"/>
      <c r="E1232" s="5"/>
      <c r="F1232" s="5" t="s">
        <v>1415</v>
      </c>
      <c r="G1232" s="5"/>
      <c r="H1232" s="105"/>
      <c r="I1232" s="21"/>
      <c r="J1232" s="27"/>
      <c r="K1232" s="27"/>
      <c r="L1232" s="187"/>
      <c r="M1232" s="5"/>
      <c r="N1232" s="5"/>
      <c r="O1232" s="187"/>
      <c r="P1232" s="5"/>
      <c r="Q1232" s="5"/>
      <c r="R1232" s="5"/>
      <c r="S1232" s="5"/>
      <c r="T1232" s="187"/>
      <c r="U1232" s="5"/>
      <c r="V1232" s="224" t="s">
        <v>1344</v>
      </c>
      <c r="W1232" s="36"/>
      <c r="X1232" s="5"/>
      <c r="Y1232" s="182"/>
      <c r="Z1232" s="5"/>
      <c r="AA1232" s="27">
        <v>38565</v>
      </c>
      <c r="AB1232" s="27"/>
      <c r="AC1232" s="5"/>
      <c r="AD1232" s="330"/>
    </row>
    <row r="1233" spans="1:30" s="9" customFormat="1" x14ac:dyDescent="0.2">
      <c r="A1233" s="328"/>
      <c r="B1233" s="11"/>
      <c r="C1233" s="16"/>
      <c r="D1233" s="7"/>
      <c r="E1233" s="7"/>
      <c r="F1233" s="6"/>
      <c r="G1233" s="6"/>
      <c r="H1233" s="17"/>
      <c r="I1233" s="17"/>
      <c r="J1233" s="7"/>
      <c r="K1233" s="7"/>
      <c r="L1233" s="348"/>
      <c r="M1233" s="6"/>
      <c r="N1233" s="6"/>
      <c r="O1233" s="189"/>
      <c r="P1233" s="7"/>
      <c r="Q1233" s="7"/>
      <c r="R1233" s="7"/>
      <c r="S1233" s="7" t="s">
        <v>1409</v>
      </c>
      <c r="T1233" s="18"/>
      <c r="U1233" s="7"/>
      <c r="V1233" s="220"/>
      <c r="W1233" s="47"/>
      <c r="X1233" s="12"/>
      <c r="Y1233" s="177"/>
      <c r="Z1233" s="6" t="s">
        <v>1410</v>
      </c>
      <c r="AA1233" s="6"/>
      <c r="AB1233" s="6"/>
      <c r="AC1233" s="6"/>
      <c r="AD1233" s="330"/>
    </row>
    <row r="1234" spans="1:30" s="9" customFormat="1" x14ac:dyDescent="0.2">
      <c r="A1234" s="328"/>
      <c r="B1234" s="16" t="s">
        <v>36</v>
      </c>
      <c r="C1234" s="16" t="s">
        <v>133</v>
      </c>
      <c r="D1234" s="7" t="s">
        <v>1221</v>
      </c>
      <c r="E1234" s="7"/>
      <c r="F1234" s="6" t="s">
        <v>1222</v>
      </c>
      <c r="G1234" s="6" t="s">
        <v>39</v>
      </c>
      <c r="H1234" s="17">
        <v>9819.26</v>
      </c>
      <c r="I1234" s="39" t="s">
        <v>52</v>
      </c>
      <c r="J1234" s="18">
        <v>38495</v>
      </c>
      <c r="K1234" s="331">
        <v>38</v>
      </c>
      <c r="L1234" s="348">
        <f>+J1234+K1234</f>
        <v>38533</v>
      </c>
      <c r="M1234" s="18" t="s">
        <v>41</v>
      </c>
      <c r="N1234" s="6" t="s">
        <v>42</v>
      </c>
      <c r="O1234" s="18">
        <v>38526</v>
      </c>
      <c r="P1234" s="331">
        <f>IF(S1234="","",+S1234-L1234)</f>
        <v>-6</v>
      </c>
      <c r="Q1234" s="331"/>
      <c r="R1234" s="331"/>
      <c r="S1234" s="349">
        <v>38527</v>
      </c>
      <c r="T1234" s="349">
        <v>38551</v>
      </c>
      <c r="U1234" s="331">
        <f>IF(T1234="","",+T1234-J1234)</f>
        <v>56</v>
      </c>
      <c r="V1234" s="6" t="s">
        <v>1254</v>
      </c>
      <c r="W1234" s="341" t="s">
        <v>1416</v>
      </c>
      <c r="X1234" s="6" t="s">
        <v>47</v>
      </c>
      <c r="Y1234" s="177"/>
      <c r="Z1234" s="6" t="s">
        <v>1412</v>
      </c>
      <c r="AA1234" s="6" t="s">
        <v>47</v>
      </c>
      <c r="AB1234" s="6" t="s">
        <v>47</v>
      </c>
      <c r="AC1234" s="18"/>
      <c r="AD1234" s="10" t="str">
        <f>IF(S1234&lt;=L1234,"en término","atrasado")</f>
        <v>en término</v>
      </c>
    </row>
    <row r="1235" spans="1:30" s="9" customFormat="1" ht="12" thickBot="1" x14ac:dyDescent="0.25">
      <c r="A1235" s="328"/>
      <c r="B1235" s="19"/>
      <c r="C1235" s="19"/>
      <c r="D1235" s="5"/>
      <c r="E1235" s="5"/>
      <c r="F1235" s="5" t="s">
        <v>1417</v>
      </c>
      <c r="G1235" s="5"/>
      <c r="H1235" s="105"/>
      <c r="I1235" s="21"/>
      <c r="J1235" s="27"/>
      <c r="K1235" s="27"/>
      <c r="L1235" s="187"/>
      <c r="M1235" s="5"/>
      <c r="N1235" s="5"/>
      <c r="O1235" s="187"/>
      <c r="P1235" s="5"/>
      <c r="Q1235" s="5"/>
      <c r="R1235" s="5"/>
      <c r="S1235" s="5"/>
      <c r="T1235" s="187"/>
      <c r="U1235" s="5"/>
      <c r="V1235" s="224"/>
      <c r="W1235" s="36"/>
      <c r="X1235" s="5"/>
      <c r="Y1235" s="182"/>
      <c r="Z1235" s="5"/>
      <c r="AA1235" s="27">
        <v>38565</v>
      </c>
      <c r="AB1235" s="27"/>
      <c r="AC1235" s="5"/>
      <c r="AD1235" s="330"/>
    </row>
    <row r="1236" spans="1:30" s="9" customFormat="1" x14ac:dyDescent="0.2">
      <c r="A1236" s="328"/>
      <c r="B1236" s="11"/>
      <c r="C1236" s="16"/>
      <c r="D1236" s="7"/>
      <c r="E1236" s="7"/>
      <c r="F1236" s="6"/>
      <c r="G1236" s="6"/>
      <c r="H1236" s="17"/>
      <c r="I1236" s="17"/>
      <c r="J1236" s="7"/>
      <c r="K1236" s="7"/>
      <c r="L1236" s="348"/>
      <c r="M1236" s="6"/>
      <c r="N1236" s="6"/>
      <c r="O1236" s="189"/>
      <c r="P1236" s="7"/>
      <c r="Q1236" s="7"/>
      <c r="R1236" s="7"/>
      <c r="S1236" s="7" t="s">
        <v>1409</v>
      </c>
      <c r="T1236" s="18"/>
      <c r="U1236" s="7"/>
      <c r="V1236" s="220"/>
      <c r="W1236" s="47"/>
      <c r="X1236" s="12"/>
      <c r="Y1236" s="177"/>
      <c r="Z1236" s="6" t="s">
        <v>1410</v>
      </c>
      <c r="AA1236" s="6"/>
      <c r="AB1236" s="6"/>
      <c r="AC1236" s="6"/>
      <c r="AD1236" s="330"/>
    </row>
    <row r="1237" spans="1:30" s="9" customFormat="1" x14ac:dyDescent="0.2">
      <c r="A1237" s="328"/>
      <c r="B1237" s="16" t="s">
        <v>36</v>
      </c>
      <c r="C1237" s="16" t="s">
        <v>133</v>
      </c>
      <c r="D1237" s="7" t="s">
        <v>1221</v>
      </c>
      <c r="E1237" s="7"/>
      <c r="F1237" s="6" t="s">
        <v>1222</v>
      </c>
      <c r="G1237" s="6" t="s">
        <v>39</v>
      </c>
      <c r="H1237" s="17">
        <v>147894.16</v>
      </c>
      <c r="I1237" s="39" t="s">
        <v>52</v>
      </c>
      <c r="J1237" s="18">
        <v>38492</v>
      </c>
      <c r="K1237" s="331">
        <v>41</v>
      </c>
      <c r="L1237" s="348">
        <f>+J1237+K1237</f>
        <v>38533</v>
      </c>
      <c r="M1237" s="18" t="s">
        <v>41</v>
      </c>
      <c r="N1237" s="6" t="s">
        <v>42</v>
      </c>
      <c r="O1237" s="18">
        <v>38526</v>
      </c>
      <c r="P1237" s="331">
        <f>IF(S1237="","",+S1237-L1237)</f>
        <v>-6</v>
      </c>
      <c r="Q1237" s="331"/>
      <c r="R1237" s="331"/>
      <c r="S1237" s="349">
        <v>38527</v>
      </c>
      <c r="T1237" s="349">
        <v>38551</v>
      </c>
      <c r="U1237" s="331">
        <f>IF(T1237="","",+T1237-J1237)</f>
        <v>59</v>
      </c>
      <c r="V1237" s="6" t="s">
        <v>1418</v>
      </c>
      <c r="W1237" s="341" t="s">
        <v>1419</v>
      </c>
      <c r="X1237" s="6" t="s">
        <v>47</v>
      </c>
      <c r="Y1237" s="177"/>
      <c r="Z1237" s="6" t="s">
        <v>1412</v>
      </c>
      <c r="AA1237" s="6" t="s">
        <v>47</v>
      </c>
      <c r="AB1237" s="6" t="s">
        <v>47</v>
      </c>
      <c r="AC1237" s="18"/>
      <c r="AD1237" s="10" t="str">
        <f>IF(S1237&lt;=L1237,"en término","atrasado")</f>
        <v>en término</v>
      </c>
    </row>
    <row r="1238" spans="1:30" s="9" customFormat="1" ht="12" thickBot="1" x14ac:dyDescent="0.25">
      <c r="A1238" s="328"/>
      <c r="B1238" s="19"/>
      <c r="C1238" s="19"/>
      <c r="D1238" s="5"/>
      <c r="E1238" s="5"/>
      <c r="F1238" s="5" t="s">
        <v>1420</v>
      </c>
      <c r="G1238" s="5"/>
      <c r="H1238" s="105"/>
      <c r="I1238" s="21"/>
      <c r="J1238" s="27"/>
      <c r="K1238" s="27"/>
      <c r="L1238" s="187"/>
      <c r="M1238" s="5"/>
      <c r="N1238" s="5"/>
      <c r="O1238" s="187"/>
      <c r="P1238" s="5"/>
      <c r="Q1238" s="5"/>
      <c r="R1238" s="5"/>
      <c r="S1238" s="5"/>
      <c r="T1238" s="187"/>
      <c r="U1238" s="5"/>
      <c r="V1238" s="224"/>
      <c r="W1238" s="36"/>
      <c r="X1238" s="5"/>
      <c r="Y1238" s="182"/>
      <c r="Z1238" s="5"/>
      <c r="AA1238" s="27">
        <v>38565</v>
      </c>
      <c r="AB1238" s="27"/>
      <c r="AC1238" s="5"/>
      <c r="AD1238" s="330"/>
    </row>
    <row r="1239" spans="1:30" s="9" customFormat="1" x14ac:dyDescent="0.2">
      <c r="A1239" s="328"/>
      <c r="B1239" s="11"/>
      <c r="C1239" s="16"/>
      <c r="D1239" s="7"/>
      <c r="E1239" s="7"/>
      <c r="F1239" s="6"/>
      <c r="G1239" s="6"/>
      <c r="H1239" s="17"/>
      <c r="I1239" s="17"/>
      <c r="J1239" s="7"/>
      <c r="K1239" s="7"/>
      <c r="L1239" s="348"/>
      <c r="M1239" s="6"/>
      <c r="N1239" s="6"/>
      <c r="O1239" s="189"/>
      <c r="P1239" s="7"/>
      <c r="Q1239" s="7"/>
      <c r="R1239" s="7"/>
      <c r="S1239" s="7" t="s">
        <v>1421</v>
      </c>
      <c r="T1239" s="18"/>
      <c r="U1239" s="7"/>
      <c r="V1239" s="220"/>
      <c r="W1239" s="47"/>
      <c r="X1239" s="12"/>
      <c r="Y1239" s="177"/>
      <c r="Z1239" s="6"/>
      <c r="AA1239" s="6"/>
      <c r="AB1239" s="6"/>
      <c r="AC1239" s="6"/>
      <c r="AD1239" s="330"/>
    </row>
    <row r="1240" spans="1:30" s="9" customFormat="1" x14ac:dyDescent="0.2">
      <c r="A1240" s="328"/>
      <c r="B1240" s="16" t="s">
        <v>36</v>
      </c>
      <c r="C1240" s="16" t="s">
        <v>133</v>
      </c>
      <c r="D1240" s="7" t="s">
        <v>1221</v>
      </c>
      <c r="E1240" s="7"/>
      <c r="F1240" s="6" t="s">
        <v>1222</v>
      </c>
      <c r="G1240" s="6" t="s">
        <v>39</v>
      </c>
      <c r="H1240" s="17">
        <v>10502.89</v>
      </c>
      <c r="I1240" s="39" t="s">
        <v>62</v>
      </c>
      <c r="J1240" s="18">
        <v>38457</v>
      </c>
      <c r="K1240" s="331">
        <v>101</v>
      </c>
      <c r="L1240" s="348">
        <f>+J1240+K1240</f>
        <v>38558</v>
      </c>
      <c r="M1240" s="18" t="s">
        <v>41</v>
      </c>
      <c r="N1240" s="6" t="s">
        <v>42</v>
      </c>
      <c r="O1240" s="18">
        <v>38552</v>
      </c>
      <c r="P1240" s="331">
        <f>IF(S1240="","",+S1240-L1240)</f>
        <v>-2</v>
      </c>
      <c r="Q1240" s="331"/>
      <c r="R1240" s="331"/>
      <c r="S1240" s="349">
        <v>38556</v>
      </c>
      <c r="T1240" s="349">
        <v>38568</v>
      </c>
      <c r="U1240" s="331">
        <f>IF(T1240="","",+T1240-J1240)</f>
        <v>111</v>
      </c>
      <c r="V1240" s="6" t="s">
        <v>879</v>
      </c>
      <c r="W1240" s="341" t="s">
        <v>1422</v>
      </c>
      <c r="X1240" s="6" t="s">
        <v>47</v>
      </c>
      <c r="Y1240" s="177"/>
      <c r="Z1240" s="6">
        <v>6505563676</v>
      </c>
      <c r="AA1240" s="6" t="s">
        <v>47</v>
      </c>
      <c r="AB1240" s="6" t="s">
        <v>47</v>
      </c>
      <c r="AC1240" s="18"/>
      <c r="AD1240" s="10" t="str">
        <f>IF(S1240&lt;=L1240,"en término","atrasado")</f>
        <v>en término</v>
      </c>
    </row>
    <row r="1241" spans="1:30" s="9" customFormat="1" ht="12" thickBot="1" x14ac:dyDescent="0.25">
      <c r="A1241" s="328"/>
      <c r="B1241" s="19"/>
      <c r="C1241" s="19"/>
      <c r="D1241" s="5"/>
      <c r="E1241" s="5"/>
      <c r="F1241" s="5" t="s">
        <v>1423</v>
      </c>
      <c r="G1241" s="5"/>
      <c r="H1241" s="105"/>
      <c r="I1241" s="21"/>
      <c r="J1241" s="27"/>
      <c r="K1241" s="27"/>
      <c r="L1241" s="187"/>
      <c r="M1241" s="5"/>
      <c r="N1241" s="5"/>
      <c r="O1241" s="187"/>
      <c r="P1241" s="5"/>
      <c r="Q1241" s="5"/>
      <c r="R1241" s="5"/>
      <c r="S1241" s="5"/>
      <c r="T1241" s="187"/>
      <c r="U1241" s="5"/>
      <c r="V1241" s="224"/>
      <c r="W1241" s="36"/>
      <c r="X1241" s="5"/>
      <c r="Y1241" s="182"/>
      <c r="Z1241" s="5"/>
      <c r="AA1241" s="27">
        <v>38583</v>
      </c>
      <c r="AB1241" s="27"/>
      <c r="AC1241" s="5"/>
      <c r="AD1241" s="330"/>
    </row>
    <row r="1242" spans="1:30" s="9" customFormat="1" x14ac:dyDescent="0.2">
      <c r="A1242" s="328"/>
      <c r="B1242" s="11"/>
      <c r="C1242" s="16"/>
      <c r="D1242" s="7"/>
      <c r="E1242" s="7"/>
      <c r="F1242" s="6"/>
      <c r="G1242" s="6"/>
      <c r="H1242" s="17"/>
      <c r="I1242" s="17"/>
      <c r="J1242" s="7"/>
      <c r="K1242" s="7"/>
      <c r="L1242" s="348"/>
      <c r="M1242" s="6"/>
      <c r="N1242" s="6"/>
      <c r="O1242" s="189"/>
      <c r="P1242" s="7"/>
      <c r="Q1242" s="7"/>
      <c r="R1242" s="7"/>
      <c r="S1242" s="7" t="s">
        <v>1421</v>
      </c>
      <c r="T1242" s="18"/>
      <c r="U1242" s="7"/>
      <c r="V1242" s="220"/>
      <c r="W1242" s="47"/>
      <c r="X1242" s="12"/>
      <c r="Y1242" s="177"/>
      <c r="Z1242" s="6"/>
      <c r="AA1242" s="6"/>
      <c r="AB1242" s="6"/>
      <c r="AC1242" s="6"/>
      <c r="AD1242" s="330"/>
    </row>
    <row r="1243" spans="1:30" s="9" customFormat="1" x14ac:dyDescent="0.2">
      <c r="A1243" s="328"/>
      <c r="B1243" s="16" t="s">
        <v>36</v>
      </c>
      <c r="C1243" s="16" t="s">
        <v>133</v>
      </c>
      <c r="D1243" s="7" t="s">
        <v>1221</v>
      </c>
      <c r="E1243" s="7"/>
      <c r="F1243" s="6" t="s">
        <v>1222</v>
      </c>
      <c r="G1243" s="6" t="s">
        <v>39</v>
      </c>
      <c r="H1243" s="17">
        <v>25350.080000000002</v>
      </c>
      <c r="I1243" s="39" t="s">
        <v>142</v>
      </c>
      <c r="J1243" s="18">
        <v>38489</v>
      </c>
      <c r="K1243" s="331">
        <v>126</v>
      </c>
      <c r="L1243" s="348">
        <f>+J1243+K1243</f>
        <v>38615</v>
      </c>
      <c r="M1243" s="18" t="s">
        <v>41</v>
      </c>
      <c r="N1243" s="6" t="s">
        <v>42</v>
      </c>
      <c r="O1243" s="18">
        <v>38552</v>
      </c>
      <c r="P1243" s="331">
        <f>IF(S1243="","",+S1243-L1243)</f>
        <v>-59</v>
      </c>
      <c r="Q1243" s="331"/>
      <c r="R1243" s="331"/>
      <c r="S1243" s="349">
        <v>38556</v>
      </c>
      <c r="T1243" s="349">
        <v>38568</v>
      </c>
      <c r="U1243" s="331">
        <f>IF(T1243="","",+T1243-J1243)</f>
        <v>79</v>
      </c>
      <c r="V1243" s="6" t="s">
        <v>784</v>
      </c>
      <c r="W1243" s="341" t="s">
        <v>1424</v>
      </c>
      <c r="X1243" s="6" t="s">
        <v>47</v>
      </c>
      <c r="Y1243" s="177"/>
      <c r="Z1243" s="6">
        <v>6505563676</v>
      </c>
      <c r="AA1243" s="6" t="s">
        <v>47</v>
      </c>
      <c r="AB1243" s="6" t="s">
        <v>47</v>
      </c>
      <c r="AC1243" s="18"/>
      <c r="AD1243" s="10" t="str">
        <f>IF(S1243&lt;=L1243,"en término","atrasado")</f>
        <v>en término</v>
      </c>
    </row>
    <row r="1244" spans="1:30" s="9" customFormat="1" ht="12" thickBot="1" x14ac:dyDescent="0.25">
      <c r="A1244" s="328"/>
      <c r="B1244" s="19"/>
      <c r="C1244" s="19"/>
      <c r="D1244" s="5"/>
      <c r="E1244" s="5"/>
      <c r="F1244" s="5" t="s">
        <v>1425</v>
      </c>
      <c r="G1244" s="5"/>
      <c r="H1244" s="105"/>
      <c r="I1244" s="21"/>
      <c r="J1244" s="27"/>
      <c r="K1244" s="27"/>
      <c r="L1244" s="187"/>
      <c r="M1244" s="5"/>
      <c r="N1244" s="5"/>
      <c r="O1244" s="187"/>
      <c r="P1244" s="5"/>
      <c r="Q1244" s="5"/>
      <c r="R1244" s="5"/>
      <c r="S1244" s="5"/>
      <c r="T1244" s="187"/>
      <c r="U1244" s="5"/>
      <c r="V1244" s="224"/>
      <c r="W1244" s="36"/>
      <c r="X1244" s="5"/>
      <c r="Y1244" s="182"/>
      <c r="Z1244" s="5"/>
      <c r="AA1244" s="27">
        <v>38583</v>
      </c>
      <c r="AB1244" s="27"/>
      <c r="AC1244" s="5"/>
      <c r="AD1244" s="330"/>
    </row>
    <row r="1245" spans="1:30" s="9" customFormat="1" x14ac:dyDescent="0.2">
      <c r="A1245" s="328"/>
      <c r="B1245" s="11"/>
      <c r="C1245" s="16"/>
      <c r="D1245" s="7"/>
      <c r="E1245" s="7"/>
      <c r="F1245" s="6"/>
      <c r="G1245" s="6"/>
      <c r="H1245" s="17"/>
      <c r="I1245" s="17"/>
      <c r="J1245" s="7"/>
      <c r="K1245" s="7"/>
      <c r="L1245" s="348"/>
      <c r="M1245" s="6"/>
      <c r="N1245" s="6"/>
      <c r="O1245" s="189"/>
      <c r="P1245" s="7"/>
      <c r="Q1245" s="7"/>
      <c r="R1245" s="7"/>
      <c r="S1245" s="7" t="s">
        <v>1421</v>
      </c>
      <c r="T1245" s="18"/>
      <c r="U1245" s="7"/>
      <c r="V1245" s="220"/>
      <c r="W1245" s="47"/>
      <c r="X1245" s="12"/>
      <c r="Y1245" s="177"/>
      <c r="Z1245" s="6"/>
      <c r="AA1245" s="6"/>
      <c r="AB1245" s="6"/>
      <c r="AC1245" s="6"/>
      <c r="AD1245" s="330"/>
    </row>
    <row r="1246" spans="1:30" s="9" customFormat="1" x14ac:dyDescent="0.2">
      <c r="A1246" s="328"/>
      <c r="B1246" s="16" t="s">
        <v>36</v>
      </c>
      <c r="C1246" s="16" t="s">
        <v>133</v>
      </c>
      <c r="D1246" s="7" t="s">
        <v>1221</v>
      </c>
      <c r="E1246" s="7"/>
      <c r="F1246" s="6" t="s">
        <v>1222</v>
      </c>
      <c r="G1246" s="6" t="s">
        <v>39</v>
      </c>
      <c r="H1246" s="17">
        <v>110634.59</v>
      </c>
      <c r="I1246" s="39" t="s">
        <v>52</v>
      </c>
      <c r="J1246" s="18">
        <v>38539</v>
      </c>
      <c r="K1246" s="331">
        <v>32</v>
      </c>
      <c r="L1246" s="348">
        <f>+J1246+K1246</f>
        <v>38571</v>
      </c>
      <c r="M1246" s="18" t="s">
        <v>41</v>
      </c>
      <c r="N1246" s="6" t="s">
        <v>42</v>
      </c>
      <c r="O1246" s="18">
        <v>38552</v>
      </c>
      <c r="P1246" s="331">
        <f>IF(S1246="","",+S1246-L1246)</f>
        <v>-15</v>
      </c>
      <c r="Q1246" s="331"/>
      <c r="R1246" s="331"/>
      <c r="S1246" s="349">
        <v>38556</v>
      </c>
      <c r="T1246" s="349">
        <v>38568</v>
      </c>
      <c r="U1246" s="331">
        <f>IF(T1246="","",+T1246-J1246)</f>
        <v>29</v>
      </c>
      <c r="V1246" s="6" t="s">
        <v>1426</v>
      </c>
      <c r="W1246" s="341" t="s">
        <v>1427</v>
      </c>
      <c r="X1246" s="6" t="s">
        <v>47</v>
      </c>
      <c r="Y1246" s="177"/>
      <c r="Z1246" s="6">
        <v>6505563676</v>
      </c>
      <c r="AA1246" s="6" t="s">
        <v>47</v>
      </c>
      <c r="AB1246" s="6" t="s">
        <v>47</v>
      </c>
      <c r="AC1246" s="18"/>
      <c r="AD1246" s="10" t="str">
        <f>IF(S1246&lt;=L1246,"en término","atrasado")</f>
        <v>en término</v>
      </c>
    </row>
    <row r="1247" spans="1:30" s="9" customFormat="1" ht="12" thickBot="1" x14ac:dyDescent="0.25">
      <c r="A1247" s="328"/>
      <c r="B1247" s="19"/>
      <c r="C1247" s="19"/>
      <c r="D1247" s="5"/>
      <c r="E1247" s="5"/>
      <c r="F1247" s="5" t="s">
        <v>1428</v>
      </c>
      <c r="G1247" s="5"/>
      <c r="H1247" s="105"/>
      <c r="I1247" s="21"/>
      <c r="J1247" s="27"/>
      <c r="K1247" s="27"/>
      <c r="L1247" s="187"/>
      <c r="M1247" s="5"/>
      <c r="N1247" s="5"/>
      <c r="O1247" s="187"/>
      <c r="P1247" s="5"/>
      <c r="Q1247" s="5"/>
      <c r="R1247" s="5"/>
      <c r="S1247" s="5"/>
      <c r="T1247" s="187"/>
      <c r="U1247" s="5"/>
      <c r="V1247" s="224"/>
      <c r="W1247" s="36"/>
      <c r="X1247" s="5"/>
      <c r="Y1247" s="182"/>
      <c r="Z1247" s="5"/>
      <c r="AA1247" s="27">
        <v>38583</v>
      </c>
      <c r="AB1247" s="27"/>
      <c r="AC1247" s="5"/>
      <c r="AD1247" s="330"/>
    </row>
    <row r="1248" spans="1:30" s="9" customFormat="1" x14ac:dyDescent="0.2">
      <c r="A1248" s="328"/>
      <c r="B1248" s="11"/>
      <c r="C1248" s="16"/>
      <c r="D1248" s="7"/>
      <c r="E1248" s="7"/>
      <c r="F1248" s="6"/>
      <c r="G1248" s="6"/>
      <c r="H1248" s="17"/>
      <c r="I1248" s="17"/>
      <c r="J1248" s="7"/>
      <c r="K1248" s="7"/>
      <c r="L1248" s="348"/>
      <c r="M1248" s="6"/>
      <c r="N1248" s="6"/>
      <c r="O1248" s="189"/>
      <c r="P1248" s="7"/>
      <c r="Q1248" s="7"/>
      <c r="R1248" s="7"/>
      <c r="S1248" s="7" t="s">
        <v>1429</v>
      </c>
      <c r="T1248" s="18"/>
      <c r="U1248" s="7"/>
      <c r="V1248" s="220"/>
      <c r="W1248" s="47"/>
      <c r="X1248" s="12"/>
      <c r="Y1248" s="177"/>
      <c r="Z1248" s="6" t="s">
        <v>1410</v>
      </c>
      <c r="AA1248" s="6"/>
      <c r="AB1248" s="6"/>
      <c r="AC1248" s="6"/>
      <c r="AD1248" s="330"/>
    </row>
    <row r="1249" spans="1:30" s="9" customFormat="1" x14ac:dyDescent="0.2">
      <c r="A1249" s="328"/>
      <c r="B1249" s="16" t="s">
        <v>36</v>
      </c>
      <c r="C1249" s="16" t="s">
        <v>133</v>
      </c>
      <c r="D1249" s="7" t="s">
        <v>1221</v>
      </c>
      <c r="E1249" s="7"/>
      <c r="F1249" s="6" t="s">
        <v>1222</v>
      </c>
      <c r="G1249" s="6" t="s">
        <v>39</v>
      </c>
      <c r="H1249" s="17">
        <v>27744.16</v>
      </c>
      <c r="I1249" s="39" t="s">
        <v>62</v>
      </c>
      <c r="J1249" s="18">
        <v>38511</v>
      </c>
      <c r="K1249" s="331">
        <v>83</v>
      </c>
      <c r="L1249" s="348">
        <f>+J1249+K1249</f>
        <v>38594</v>
      </c>
      <c r="M1249" s="18" t="s">
        <v>41</v>
      </c>
      <c r="N1249" s="6" t="s">
        <v>42</v>
      </c>
      <c r="O1249" s="18">
        <v>38582</v>
      </c>
      <c r="P1249" s="331">
        <f>IF(S1249="","",+S1249-L1249)</f>
        <v>-7</v>
      </c>
      <c r="Q1249" s="331"/>
      <c r="R1249" s="331"/>
      <c r="S1249" s="349">
        <v>38587</v>
      </c>
      <c r="T1249" s="349">
        <v>38603</v>
      </c>
      <c r="U1249" s="331">
        <f>IF(T1249="","",+T1249-J1249)</f>
        <v>92</v>
      </c>
      <c r="V1249" s="6" t="s">
        <v>892</v>
      </c>
      <c r="W1249" s="341" t="s">
        <v>1430</v>
      </c>
      <c r="X1249" s="6" t="s">
        <v>47</v>
      </c>
      <c r="Y1249" s="177"/>
      <c r="Z1249" s="6" t="s">
        <v>1289</v>
      </c>
      <c r="AA1249" s="6" t="s">
        <v>47</v>
      </c>
      <c r="AB1249" s="6" t="s">
        <v>47</v>
      </c>
      <c r="AC1249" s="18"/>
      <c r="AD1249" s="10" t="str">
        <f>IF(S1249&lt;=L1249,"en término","atrasado")</f>
        <v>en término</v>
      </c>
    </row>
    <row r="1250" spans="1:30" s="9" customFormat="1" ht="12" thickBot="1" x14ac:dyDescent="0.25">
      <c r="A1250" s="328"/>
      <c r="B1250" s="19"/>
      <c r="C1250" s="19"/>
      <c r="D1250" s="5"/>
      <c r="E1250" s="5"/>
      <c r="F1250" s="5" t="s">
        <v>1431</v>
      </c>
      <c r="G1250" s="5"/>
      <c r="H1250" s="105"/>
      <c r="I1250" s="21"/>
      <c r="J1250" s="27"/>
      <c r="K1250" s="27"/>
      <c r="L1250" s="187"/>
      <c r="M1250" s="5"/>
      <c r="N1250" s="5"/>
      <c r="O1250" s="187"/>
      <c r="P1250" s="5"/>
      <c r="Q1250" s="5"/>
      <c r="R1250" s="5"/>
      <c r="S1250" s="5"/>
      <c r="T1250" s="187"/>
      <c r="U1250" s="5"/>
      <c r="V1250" s="224"/>
      <c r="W1250" s="36"/>
      <c r="X1250" s="5"/>
      <c r="Y1250" s="182"/>
      <c r="Z1250" s="5"/>
      <c r="AA1250" s="27">
        <v>38611</v>
      </c>
      <c r="AB1250" s="27"/>
      <c r="AC1250" s="5"/>
      <c r="AD1250" s="330"/>
    </row>
    <row r="1251" spans="1:30" s="9" customFormat="1" x14ac:dyDescent="0.2">
      <c r="A1251" s="328"/>
      <c r="B1251" s="11"/>
      <c r="C1251" s="16"/>
      <c r="D1251" s="7"/>
      <c r="E1251" s="7"/>
      <c r="F1251" s="6"/>
      <c r="G1251" s="6"/>
      <c r="H1251" s="17"/>
      <c r="I1251" s="17"/>
      <c r="J1251" s="7"/>
      <c r="K1251" s="7"/>
      <c r="L1251" s="348"/>
      <c r="M1251" s="6"/>
      <c r="N1251" s="6"/>
      <c r="O1251" s="189"/>
      <c r="P1251" s="7"/>
      <c r="Q1251" s="7"/>
      <c r="R1251" s="7"/>
      <c r="S1251" s="7" t="s">
        <v>1429</v>
      </c>
      <c r="T1251" s="18"/>
      <c r="U1251" s="7"/>
      <c r="V1251" s="220"/>
      <c r="W1251" s="47"/>
      <c r="X1251" s="12"/>
      <c r="Y1251" s="177"/>
      <c r="Z1251" s="6" t="s">
        <v>1410</v>
      </c>
      <c r="AA1251" s="6"/>
      <c r="AB1251" s="6"/>
      <c r="AC1251" s="6"/>
      <c r="AD1251" s="330"/>
    </row>
    <row r="1252" spans="1:30" s="9" customFormat="1" x14ac:dyDescent="0.2">
      <c r="A1252" s="328"/>
      <c r="B1252" s="16" t="s">
        <v>36</v>
      </c>
      <c r="C1252" s="16" t="s">
        <v>133</v>
      </c>
      <c r="D1252" s="7" t="s">
        <v>1221</v>
      </c>
      <c r="E1252" s="7"/>
      <c r="F1252" s="6" t="s">
        <v>1222</v>
      </c>
      <c r="G1252" s="6" t="s">
        <v>39</v>
      </c>
      <c r="H1252" s="17">
        <v>14039.81</v>
      </c>
      <c r="I1252" s="39" t="s">
        <v>52</v>
      </c>
      <c r="J1252" s="18">
        <v>38566</v>
      </c>
      <c r="K1252" s="331">
        <v>32</v>
      </c>
      <c r="L1252" s="348">
        <f>+J1252+K1252</f>
        <v>38598</v>
      </c>
      <c r="M1252" s="18" t="s">
        <v>41</v>
      </c>
      <c r="N1252" s="6" t="s">
        <v>42</v>
      </c>
      <c r="O1252" s="18">
        <v>38582</v>
      </c>
      <c r="P1252" s="331">
        <f>IF(S1252="","",+S1252-L1252)</f>
        <v>-11</v>
      </c>
      <c r="Q1252" s="331"/>
      <c r="R1252" s="331"/>
      <c r="S1252" s="349">
        <v>38587</v>
      </c>
      <c r="T1252" s="349">
        <v>38603</v>
      </c>
      <c r="U1252" s="331">
        <f>IF(T1252="","",+T1252-J1252)</f>
        <v>37</v>
      </c>
      <c r="V1252" s="6" t="s">
        <v>1254</v>
      </c>
      <c r="W1252" s="341" t="s">
        <v>1432</v>
      </c>
      <c r="X1252" s="6" t="s">
        <v>47</v>
      </c>
      <c r="Y1252" s="177"/>
      <c r="Z1252" s="6" t="s">
        <v>1289</v>
      </c>
      <c r="AA1252" s="6" t="s">
        <v>47</v>
      </c>
      <c r="AB1252" s="6" t="s">
        <v>47</v>
      </c>
      <c r="AC1252" s="18"/>
      <c r="AD1252" s="10" t="str">
        <f>IF(S1252&lt;=L1252,"en término","atrasado")</f>
        <v>en término</v>
      </c>
    </row>
    <row r="1253" spans="1:30" s="9" customFormat="1" ht="12" thickBot="1" x14ac:dyDescent="0.25">
      <c r="A1253" s="328"/>
      <c r="B1253" s="19"/>
      <c r="C1253" s="19"/>
      <c r="D1253" s="5"/>
      <c r="E1253" s="5"/>
      <c r="F1253" s="5" t="s">
        <v>1433</v>
      </c>
      <c r="G1253" s="5"/>
      <c r="H1253" s="105"/>
      <c r="I1253" s="21"/>
      <c r="J1253" s="27"/>
      <c r="K1253" s="27"/>
      <c r="L1253" s="187"/>
      <c r="M1253" s="5"/>
      <c r="N1253" s="5"/>
      <c r="O1253" s="187"/>
      <c r="P1253" s="5"/>
      <c r="Q1253" s="5"/>
      <c r="R1253" s="5"/>
      <c r="S1253" s="5"/>
      <c r="T1253" s="187"/>
      <c r="U1253" s="5"/>
      <c r="V1253" s="224"/>
      <c r="W1253" s="36"/>
      <c r="X1253" s="5"/>
      <c r="Y1253" s="182"/>
      <c r="Z1253" s="5"/>
      <c r="AA1253" s="27">
        <v>38611</v>
      </c>
      <c r="AB1253" s="27"/>
      <c r="AC1253" s="5"/>
      <c r="AD1253" s="330"/>
    </row>
    <row r="1254" spans="1:30" s="9" customFormat="1" x14ac:dyDescent="0.2">
      <c r="A1254" s="328"/>
      <c r="B1254" s="11"/>
      <c r="C1254" s="16"/>
      <c r="D1254" s="7"/>
      <c r="E1254" s="7"/>
      <c r="F1254" s="6"/>
      <c r="G1254" s="6"/>
      <c r="H1254" s="17"/>
      <c r="I1254" s="17"/>
      <c r="J1254" s="7"/>
      <c r="K1254" s="7"/>
      <c r="L1254" s="348"/>
      <c r="M1254" s="6"/>
      <c r="N1254" s="6"/>
      <c r="O1254" s="189"/>
      <c r="P1254" s="7"/>
      <c r="Q1254" s="7"/>
      <c r="R1254" s="7"/>
      <c r="S1254" s="7" t="s">
        <v>1429</v>
      </c>
      <c r="T1254" s="18"/>
      <c r="U1254" s="7"/>
      <c r="V1254" s="220"/>
      <c r="W1254" s="47"/>
      <c r="X1254" s="12"/>
      <c r="Y1254" s="177"/>
      <c r="Z1254" s="6" t="s">
        <v>1410</v>
      </c>
      <c r="AA1254" s="6"/>
      <c r="AB1254" s="6"/>
      <c r="AC1254" s="6"/>
      <c r="AD1254" s="330"/>
    </row>
    <row r="1255" spans="1:30" s="9" customFormat="1" x14ac:dyDescent="0.2">
      <c r="A1255" s="328"/>
      <c r="B1255" s="16" t="s">
        <v>36</v>
      </c>
      <c r="C1255" s="16" t="s">
        <v>133</v>
      </c>
      <c r="D1255" s="7" t="s">
        <v>1334</v>
      </c>
      <c r="E1255" s="7"/>
      <c r="F1255" s="6" t="s">
        <v>1335</v>
      </c>
      <c r="G1255" s="6" t="s">
        <v>39</v>
      </c>
      <c r="H1255" s="17">
        <v>1128.8599999999999</v>
      </c>
      <c r="I1255" s="39" t="s">
        <v>52</v>
      </c>
      <c r="J1255" s="18">
        <v>38566</v>
      </c>
      <c r="K1255" s="331">
        <v>32</v>
      </c>
      <c r="L1255" s="348">
        <f>+J1255+K1255</f>
        <v>38598</v>
      </c>
      <c r="M1255" s="18" t="s">
        <v>41</v>
      </c>
      <c r="N1255" s="6" t="s">
        <v>42</v>
      </c>
      <c r="O1255" s="18">
        <v>38582</v>
      </c>
      <c r="P1255" s="331">
        <f>IF(S1255="","",+S1255-L1255)</f>
        <v>-11</v>
      </c>
      <c r="Q1255" s="331"/>
      <c r="R1255" s="331"/>
      <c r="S1255" s="349">
        <v>38587</v>
      </c>
      <c r="T1255" s="349">
        <v>38603</v>
      </c>
      <c r="U1255" s="331">
        <f>IF(T1255="","",+T1255-J1255)</f>
        <v>37</v>
      </c>
      <c r="V1255" s="6" t="s">
        <v>1434</v>
      </c>
      <c r="W1255" s="341" t="s">
        <v>1435</v>
      </c>
      <c r="X1255" s="6" t="s">
        <v>47</v>
      </c>
      <c r="Y1255" s="177"/>
      <c r="Z1255" s="6" t="s">
        <v>1289</v>
      </c>
      <c r="AA1255" s="6" t="s">
        <v>47</v>
      </c>
      <c r="AB1255" s="6" t="s">
        <v>47</v>
      </c>
      <c r="AC1255" s="18"/>
      <c r="AD1255" s="10" t="str">
        <f>IF(S1255&lt;=L1255,"en término","atrasado")</f>
        <v>en término</v>
      </c>
    </row>
    <row r="1256" spans="1:30" s="9" customFormat="1" ht="12" thickBot="1" x14ac:dyDescent="0.25">
      <c r="A1256" s="328"/>
      <c r="B1256" s="19"/>
      <c r="C1256" s="19"/>
      <c r="D1256" s="5"/>
      <c r="E1256" s="5"/>
      <c r="F1256" s="5" t="s">
        <v>1436</v>
      </c>
      <c r="G1256" s="5"/>
      <c r="H1256" s="105"/>
      <c r="I1256" s="21"/>
      <c r="J1256" s="27"/>
      <c r="K1256" s="27"/>
      <c r="L1256" s="187"/>
      <c r="M1256" s="5"/>
      <c r="N1256" s="5"/>
      <c r="O1256" s="187"/>
      <c r="P1256" s="5"/>
      <c r="Q1256" s="5"/>
      <c r="R1256" s="5"/>
      <c r="S1256" s="5"/>
      <c r="T1256" s="187"/>
      <c r="U1256" s="5"/>
      <c r="V1256" s="224"/>
      <c r="W1256" s="36"/>
      <c r="X1256" s="5"/>
      <c r="Y1256" s="182"/>
      <c r="Z1256" s="5"/>
      <c r="AA1256" s="27">
        <v>38611</v>
      </c>
      <c r="AB1256" s="27"/>
      <c r="AC1256" s="5"/>
      <c r="AD1256" s="10"/>
    </row>
    <row r="1257" spans="1:30" s="9" customFormat="1" x14ac:dyDescent="0.2">
      <c r="A1257" s="328"/>
      <c r="B1257" s="11"/>
      <c r="C1257" s="16"/>
      <c r="D1257" s="7"/>
      <c r="E1257" s="7"/>
      <c r="F1257" s="6"/>
      <c r="G1257" s="6"/>
      <c r="H1257" s="17"/>
      <c r="I1257" s="17"/>
      <c r="J1257" s="7"/>
      <c r="K1257" s="7"/>
      <c r="L1257" s="348"/>
      <c r="M1257" s="6"/>
      <c r="N1257" s="6"/>
      <c r="O1257" s="189"/>
      <c r="P1257" s="7"/>
      <c r="Q1257" s="7"/>
      <c r="R1257" s="7"/>
      <c r="S1257" s="7" t="s">
        <v>1429</v>
      </c>
      <c r="T1257" s="18"/>
      <c r="U1257" s="7"/>
      <c r="V1257" s="220"/>
      <c r="W1257" s="47"/>
      <c r="X1257" s="12"/>
      <c r="Y1257" s="177"/>
      <c r="Z1257" s="6" t="s">
        <v>1410</v>
      </c>
      <c r="AA1257" s="6"/>
      <c r="AB1257" s="6"/>
      <c r="AC1257" s="6"/>
      <c r="AD1257" s="330"/>
    </row>
    <row r="1258" spans="1:30" s="9" customFormat="1" x14ac:dyDescent="0.2">
      <c r="A1258" s="328"/>
      <c r="B1258" s="16" t="s">
        <v>36</v>
      </c>
      <c r="C1258" s="16" t="s">
        <v>133</v>
      </c>
      <c r="D1258" s="7" t="s">
        <v>1221</v>
      </c>
      <c r="E1258" s="7"/>
      <c r="F1258" s="6" t="s">
        <v>1222</v>
      </c>
      <c r="G1258" s="6" t="s">
        <v>39</v>
      </c>
      <c r="H1258" s="17">
        <v>143111.51999999999</v>
      </c>
      <c r="I1258" s="39" t="s">
        <v>52</v>
      </c>
      <c r="J1258" s="18">
        <v>38566</v>
      </c>
      <c r="K1258" s="331">
        <v>32</v>
      </c>
      <c r="L1258" s="348">
        <f>+J1258+K1258</f>
        <v>38598</v>
      </c>
      <c r="M1258" s="18" t="s">
        <v>41</v>
      </c>
      <c r="N1258" s="6" t="s">
        <v>42</v>
      </c>
      <c r="O1258" s="18">
        <v>38582</v>
      </c>
      <c r="P1258" s="331">
        <f>IF(S1258="","",+S1258-L1258)</f>
        <v>-11</v>
      </c>
      <c r="Q1258" s="331"/>
      <c r="R1258" s="331"/>
      <c r="S1258" s="349">
        <v>38587</v>
      </c>
      <c r="T1258" s="349">
        <v>38603</v>
      </c>
      <c r="U1258" s="331">
        <f>IF(T1258="","",+T1258-J1258)</f>
        <v>37</v>
      </c>
      <c r="V1258" s="6" t="s">
        <v>1437</v>
      </c>
      <c r="W1258" s="341" t="s">
        <v>1438</v>
      </c>
      <c r="X1258" s="6" t="s">
        <v>47</v>
      </c>
      <c r="Y1258" s="177"/>
      <c r="Z1258" s="6" t="s">
        <v>1289</v>
      </c>
      <c r="AA1258" s="6" t="s">
        <v>47</v>
      </c>
      <c r="AB1258" s="6" t="s">
        <v>47</v>
      </c>
      <c r="AC1258" s="6"/>
      <c r="AD1258" s="10" t="str">
        <f>IF(S1258&lt;=L1258,"en término","atrasado")</f>
        <v>en término</v>
      </c>
    </row>
    <row r="1259" spans="1:30" s="9" customFormat="1" ht="12" thickBot="1" x14ac:dyDescent="0.25">
      <c r="A1259" s="328"/>
      <c r="B1259" s="19"/>
      <c r="C1259" s="19"/>
      <c r="D1259" s="5"/>
      <c r="E1259" s="5"/>
      <c r="F1259" s="5" t="s">
        <v>1439</v>
      </c>
      <c r="G1259" s="5"/>
      <c r="H1259" s="105"/>
      <c r="I1259" s="21"/>
      <c r="J1259" s="27"/>
      <c r="K1259" s="27"/>
      <c r="L1259" s="187"/>
      <c r="M1259" s="5"/>
      <c r="N1259" s="5"/>
      <c r="O1259" s="187"/>
      <c r="P1259" s="5"/>
      <c r="Q1259" s="5"/>
      <c r="R1259" s="5"/>
      <c r="S1259" s="5"/>
      <c r="T1259" s="187"/>
      <c r="U1259" s="5"/>
      <c r="V1259" s="224"/>
      <c r="W1259" s="36"/>
      <c r="X1259" s="5"/>
      <c r="Y1259" s="182"/>
      <c r="Z1259" s="5"/>
      <c r="AA1259" s="27">
        <v>38611</v>
      </c>
      <c r="AB1259" s="27"/>
      <c r="AC1259" s="5"/>
      <c r="AD1259" s="330"/>
    </row>
    <row r="1260" spans="1:30" s="9" customFormat="1" x14ac:dyDescent="0.2">
      <c r="A1260" s="328"/>
      <c r="B1260" s="11"/>
      <c r="C1260" s="16"/>
      <c r="D1260" s="7"/>
      <c r="E1260" s="7"/>
      <c r="F1260" s="6"/>
      <c r="G1260" s="6"/>
      <c r="H1260" s="17"/>
      <c r="I1260" s="17"/>
      <c r="J1260" s="7"/>
      <c r="K1260" s="7"/>
      <c r="L1260" s="348"/>
      <c r="M1260" s="6"/>
      <c r="N1260" s="6"/>
      <c r="O1260" s="189"/>
      <c r="P1260" s="7"/>
      <c r="Q1260" s="7"/>
      <c r="R1260" s="7"/>
      <c r="S1260" s="18" t="s">
        <v>1440</v>
      </c>
      <c r="T1260" s="18"/>
      <c r="U1260" s="7"/>
      <c r="V1260" s="220"/>
      <c r="W1260" s="47"/>
      <c r="X1260" s="12"/>
      <c r="Y1260" s="177"/>
      <c r="Z1260" s="6"/>
      <c r="AA1260" s="6"/>
      <c r="AB1260" s="6"/>
      <c r="AC1260" s="12"/>
      <c r="AD1260" s="330"/>
    </row>
    <row r="1261" spans="1:30" s="9" customFormat="1" x14ac:dyDescent="0.2">
      <c r="A1261" s="328"/>
      <c r="B1261" s="16" t="s">
        <v>36</v>
      </c>
      <c r="C1261" s="16" t="s">
        <v>133</v>
      </c>
      <c r="D1261" s="7" t="s">
        <v>1221</v>
      </c>
      <c r="E1261" s="7"/>
      <c r="F1261" s="6" t="s">
        <v>1222</v>
      </c>
      <c r="G1261" s="6" t="s">
        <v>39</v>
      </c>
      <c r="H1261" s="17">
        <v>21526.22</v>
      </c>
      <c r="I1261" s="39" t="s">
        <v>52</v>
      </c>
      <c r="J1261" s="18">
        <v>38587</v>
      </c>
      <c r="K1261" s="331">
        <v>39</v>
      </c>
      <c r="L1261" s="348">
        <f>+J1261+K1261</f>
        <v>38626</v>
      </c>
      <c r="M1261" s="18" t="s">
        <v>41</v>
      </c>
      <c r="N1261" s="6" t="s">
        <v>42</v>
      </c>
      <c r="O1261" s="18">
        <v>38618</v>
      </c>
      <c r="P1261" s="331">
        <f>IF(S1261="","",+S1261-L1261)</f>
        <v>1</v>
      </c>
      <c r="Q1261" s="331"/>
      <c r="R1261" s="331"/>
      <c r="S1261" s="349">
        <v>38627</v>
      </c>
      <c r="T1261" s="349">
        <f>+S1261+7</f>
        <v>38634</v>
      </c>
      <c r="U1261" s="331">
        <f>IF(T1261="","",+T1261-J1261)</f>
        <v>47</v>
      </c>
      <c r="V1261" s="6" t="s">
        <v>1254</v>
      </c>
      <c r="W1261" s="341" t="s">
        <v>1441</v>
      </c>
      <c r="X1261" s="6" t="s">
        <v>47</v>
      </c>
      <c r="Y1261" s="177"/>
      <c r="Z1261" s="6">
        <v>6505563676</v>
      </c>
      <c r="AA1261" s="6" t="s">
        <v>47</v>
      </c>
      <c r="AB1261" s="6" t="s">
        <v>47</v>
      </c>
      <c r="AC1261" s="18"/>
      <c r="AD1261" s="10" t="str">
        <f>IF(S1261&lt;=L1261,"en término","atrasado")</f>
        <v>atrasado</v>
      </c>
    </row>
    <row r="1262" spans="1:30" s="9" customFormat="1" ht="12" thickBot="1" x14ac:dyDescent="0.25">
      <c r="A1262" s="328"/>
      <c r="B1262" s="19"/>
      <c r="C1262" s="19"/>
      <c r="D1262" s="5"/>
      <c r="E1262" s="5"/>
      <c r="F1262" s="5" t="s">
        <v>1442</v>
      </c>
      <c r="G1262" s="5"/>
      <c r="H1262" s="105"/>
      <c r="I1262" s="21"/>
      <c r="J1262" s="27"/>
      <c r="K1262" s="27"/>
      <c r="L1262" s="187"/>
      <c r="M1262" s="5"/>
      <c r="N1262" s="5"/>
      <c r="O1262" s="187"/>
      <c r="P1262" s="5"/>
      <c r="Q1262" s="5"/>
      <c r="R1262" s="5"/>
      <c r="S1262" s="5"/>
      <c r="T1262" s="187"/>
      <c r="U1262" s="5"/>
      <c r="V1262" s="224"/>
      <c r="W1262" s="36"/>
      <c r="X1262" s="5"/>
      <c r="Y1262" s="182"/>
      <c r="Z1262" s="5"/>
      <c r="AA1262" s="27">
        <v>38635</v>
      </c>
      <c r="AB1262" s="5">
        <v>-21.53</v>
      </c>
      <c r="AC1262" s="19"/>
      <c r="AD1262" s="330"/>
    </row>
    <row r="1263" spans="1:30" s="9" customFormat="1" x14ac:dyDescent="0.2">
      <c r="A1263" s="328"/>
      <c r="B1263" s="11"/>
      <c r="C1263" s="16"/>
      <c r="D1263" s="7"/>
      <c r="E1263" s="7"/>
      <c r="F1263" s="6"/>
      <c r="G1263" s="6"/>
      <c r="H1263" s="17"/>
      <c r="I1263" s="17"/>
      <c r="J1263" s="7"/>
      <c r="K1263" s="7"/>
      <c r="L1263" s="348"/>
      <c r="M1263" s="6"/>
      <c r="N1263" s="6"/>
      <c r="O1263" s="189"/>
      <c r="P1263" s="7"/>
      <c r="Q1263" s="7"/>
      <c r="R1263" s="7"/>
      <c r="S1263" s="18" t="s">
        <v>1440</v>
      </c>
      <c r="T1263" s="18"/>
      <c r="U1263" s="7"/>
      <c r="V1263" s="220"/>
      <c r="W1263" s="47"/>
      <c r="X1263" s="12"/>
      <c r="Y1263" s="177"/>
      <c r="Z1263" s="6"/>
      <c r="AA1263" s="6"/>
      <c r="AB1263" s="6"/>
      <c r="AC1263" s="12"/>
      <c r="AD1263" s="330"/>
    </row>
    <row r="1264" spans="1:30" s="9" customFormat="1" x14ac:dyDescent="0.2">
      <c r="A1264" s="328"/>
      <c r="B1264" s="16" t="s">
        <v>36</v>
      </c>
      <c r="C1264" s="16" t="s">
        <v>133</v>
      </c>
      <c r="D1264" s="7" t="s">
        <v>1221</v>
      </c>
      <c r="E1264" s="7"/>
      <c r="F1264" s="6" t="s">
        <v>1222</v>
      </c>
      <c r="G1264" s="6" t="s">
        <v>39</v>
      </c>
      <c r="H1264" s="17">
        <v>159772.03</v>
      </c>
      <c r="I1264" s="39" t="s">
        <v>52</v>
      </c>
      <c r="J1264" s="18">
        <v>38587</v>
      </c>
      <c r="K1264" s="331">
        <v>39</v>
      </c>
      <c r="L1264" s="348">
        <f>+J1264+K1264</f>
        <v>38626</v>
      </c>
      <c r="M1264" s="18" t="s">
        <v>41</v>
      </c>
      <c r="N1264" s="6" t="s">
        <v>42</v>
      </c>
      <c r="O1264" s="18">
        <v>38618</v>
      </c>
      <c r="P1264" s="331">
        <f>IF(S1264="","",+S1264-L1264)</f>
        <v>1</v>
      </c>
      <c r="Q1264" s="331"/>
      <c r="R1264" s="331"/>
      <c r="S1264" s="349">
        <v>38627</v>
      </c>
      <c r="T1264" s="349">
        <f>+S1264+7</f>
        <v>38634</v>
      </c>
      <c r="U1264" s="331">
        <f>IF(T1264="","",+T1264-J1264)</f>
        <v>47</v>
      </c>
      <c r="V1264" s="6" t="s">
        <v>1443</v>
      </c>
      <c r="W1264" s="341" t="s">
        <v>1444</v>
      </c>
      <c r="X1264" s="6" t="s">
        <v>47</v>
      </c>
      <c r="Y1264" s="177"/>
      <c r="Z1264" s="6">
        <v>6505563676</v>
      </c>
      <c r="AA1264" s="6" t="s">
        <v>47</v>
      </c>
      <c r="AB1264" s="6" t="s">
        <v>47</v>
      </c>
      <c r="AC1264" s="18"/>
      <c r="AD1264" s="10" t="str">
        <f>IF(S1264&lt;=L1264,"en término","atrasado")</f>
        <v>atrasado</v>
      </c>
    </row>
    <row r="1265" spans="1:30" s="9" customFormat="1" ht="12" thickBot="1" x14ac:dyDescent="0.25">
      <c r="A1265" s="328"/>
      <c r="B1265" s="19"/>
      <c r="C1265" s="19"/>
      <c r="D1265" s="5"/>
      <c r="E1265" s="5"/>
      <c r="F1265" s="5" t="s">
        <v>1445</v>
      </c>
      <c r="G1265" s="5"/>
      <c r="H1265" s="105"/>
      <c r="I1265" s="21"/>
      <c r="J1265" s="27"/>
      <c r="K1265" s="27"/>
      <c r="L1265" s="187"/>
      <c r="M1265" s="5"/>
      <c r="N1265" s="5"/>
      <c r="O1265" s="187"/>
      <c r="P1265" s="5"/>
      <c r="Q1265" s="5"/>
      <c r="R1265" s="5"/>
      <c r="S1265" s="5"/>
      <c r="T1265" s="187"/>
      <c r="U1265" s="5"/>
      <c r="V1265" s="224"/>
      <c r="W1265" s="36"/>
      <c r="X1265" s="5"/>
      <c r="Y1265" s="182"/>
      <c r="Z1265" s="5"/>
      <c r="AA1265" s="27">
        <v>38635</v>
      </c>
      <c r="AB1265" s="5">
        <v>-159.77000000000001</v>
      </c>
      <c r="AC1265" s="19"/>
      <c r="AD1265" s="330"/>
    </row>
    <row r="1266" spans="1:30" s="9" customFormat="1" x14ac:dyDescent="0.2">
      <c r="A1266" s="328"/>
      <c r="B1266" s="16"/>
      <c r="C1266" s="16"/>
      <c r="D1266" s="7"/>
      <c r="E1266" s="7"/>
      <c r="F1266" s="6"/>
      <c r="G1266" s="6"/>
      <c r="H1266" s="17"/>
      <c r="I1266" s="17"/>
      <c r="J1266" s="7"/>
      <c r="K1266" s="7"/>
      <c r="L1266" s="348"/>
      <c r="M1266" s="6"/>
      <c r="N1266" s="6"/>
      <c r="O1266" s="189"/>
      <c r="P1266" s="7"/>
      <c r="Q1266" s="7"/>
      <c r="R1266" s="7"/>
      <c r="S1266" s="18" t="s">
        <v>1440</v>
      </c>
      <c r="T1266" s="18"/>
      <c r="U1266" s="7"/>
      <c r="V1266" s="220"/>
      <c r="W1266" s="47"/>
      <c r="X1266" s="57"/>
      <c r="Y1266" s="177"/>
      <c r="Z1266" s="6"/>
      <c r="AA1266" s="6"/>
      <c r="AB1266" s="6" t="s">
        <v>1446</v>
      </c>
      <c r="AC1266" s="6"/>
      <c r="AD1266" s="330"/>
    </row>
    <row r="1267" spans="1:30" s="9" customFormat="1" x14ac:dyDescent="0.2">
      <c r="A1267" s="328"/>
      <c r="B1267" s="16" t="s">
        <v>36</v>
      </c>
      <c r="C1267" s="16" t="s">
        <v>37</v>
      </c>
      <c r="D1267" s="7" t="s">
        <v>1447</v>
      </c>
      <c r="E1267" s="7"/>
      <c r="F1267" s="6" t="s">
        <v>1448</v>
      </c>
      <c r="G1267" s="6" t="s">
        <v>39</v>
      </c>
      <c r="H1267" s="17">
        <v>5373</v>
      </c>
      <c r="I1267" s="39"/>
      <c r="J1267" s="18">
        <v>38566</v>
      </c>
      <c r="K1267" s="331">
        <v>84</v>
      </c>
      <c r="L1267" s="348">
        <v>38645</v>
      </c>
      <c r="M1267" s="18" t="s">
        <v>41</v>
      </c>
      <c r="N1267" s="6" t="s">
        <v>42</v>
      </c>
      <c r="O1267" s="18">
        <v>38618</v>
      </c>
      <c r="P1267" s="331">
        <f>IF(S1267="","",+S1267-L1267)</f>
        <v>-18</v>
      </c>
      <c r="Q1267" s="331"/>
      <c r="R1267" s="331"/>
      <c r="S1267" s="349">
        <v>38627</v>
      </c>
      <c r="T1267" s="349">
        <f>+S1267+7</f>
        <v>38634</v>
      </c>
      <c r="U1267" s="331">
        <f>IF(T1267="","",+T1267-J1267)</f>
        <v>68</v>
      </c>
      <c r="V1267" s="6" t="s">
        <v>1449</v>
      </c>
      <c r="W1267" s="341" t="s">
        <v>1450</v>
      </c>
      <c r="X1267" s="59"/>
      <c r="Y1267" s="177"/>
      <c r="Z1267" s="6">
        <v>6505563676</v>
      </c>
      <c r="AA1267" s="6" t="s">
        <v>47</v>
      </c>
      <c r="AB1267" s="6" t="s">
        <v>47</v>
      </c>
      <c r="AC1267" s="18"/>
      <c r="AD1267" s="10" t="str">
        <f>IF(S1267&lt;=L1267,"en término","atrasado")</f>
        <v>en término</v>
      </c>
    </row>
    <row r="1268" spans="1:30" s="9" customFormat="1" ht="12" thickBot="1" x14ac:dyDescent="0.25">
      <c r="A1268" s="328"/>
      <c r="B1268" s="19"/>
      <c r="C1268" s="19"/>
      <c r="D1268" s="5"/>
      <c r="E1268" s="5"/>
      <c r="F1268" s="5" t="s">
        <v>1451</v>
      </c>
      <c r="G1268" s="5"/>
      <c r="H1268" s="105"/>
      <c r="I1268" s="21"/>
      <c r="J1268" s="27"/>
      <c r="K1268" s="27"/>
      <c r="L1268" s="187"/>
      <c r="M1268" s="5"/>
      <c r="N1268" s="5"/>
      <c r="O1268" s="187"/>
      <c r="P1268" s="5"/>
      <c r="Q1268" s="5"/>
      <c r="R1268" s="5"/>
      <c r="S1268" s="5"/>
      <c r="T1268" s="187"/>
      <c r="U1268" s="5"/>
      <c r="V1268" s="224"/>
      <c r="W1268" s="36"/>
      <c r="X1268" s="61"/>
      <c r="Y1268" s="182"/>
      <c r="Z1268" s="5"/>
      <c r="AA1268" s="27">
        <v>38635</v>
      </c>
      <c r="AB1268" s="27">
        <v>38685</v>
      </c>
      <c r="AC1268" s="27"/>
      <c r="AD1268" s="330"/>
    </row>
    <row r="1269" spans="1:30" s="9" customFormat="1" x14ac:dyDescent="0.2">
      <c r="A1269" s="328"/>
      <c r="B1269" s="16"/>
      <c r="C1269" s="16"/>
      <c r="D1269" s="7"/>
      <c r="E1269" s="7"/>
      <c r="F1269" s="6"/>
      <c r="G1269" s="6"/>
      <c r="H1269" s="17"/>
      <c r="I1269" s="17"/>
      <c r="J1269" s="7"/>
      <c r="K1269" s="7"/>
      <c r="L1269" s="348"/>
      <c r="M1269" s="6"/>
      <c r="N1269" s="6"/>
      <c r="O1269" s="189"/>
      <c r="P1269" s="7"/>
      <c r="Q1269" s="7"/>
      <c r="R1269" s="7"/>
      <c r="S1269" s="18" t="s">
        <v>1440</v>
      </c>
      <c r="T1269" s="18"/>
      <c r="U1269" s="7"/>
      <c r="V1269" s="220"/>
      <c r="W1269" s="47"/>
      <c r="X1269" s="57"/>
      <c r="Y1269" s="177"/>
      <c r="Z1269" s="6"/>
      <c r="AA1269" s="6"/>
      <c r="AB1269" s="6" t="s">
        <v>1446</v>
      </c>
      <c r="AC1269" s="6"/>
      <c r="AD1269" s="330"/>
    </row>
    <row r="1270" spans="1:30" s="9" customFormat="1" x14ac:dyDescent="0.2">
      <c r="A1270" s="328"/>
      <c r="B1270" s="16" t="s">
        <v>36</v>
      </c>
      <c r="C1270" s="16" t="s">
        <v>37</v>
      </c>
      <c r="D1270" s="7" t="s">
        <v>1452</v>
      </c>
      <c r="E1270" s="7"/>
      <c r="F1270" s="6" t="s">
        <v>1453</v>
      </c>
      <c r="G1270" s="6" t="s">
        <v>39</v>
      </c>
      <c r="H1270" s="17">
        <v>21190</v>
      </c>
      <c r="I1270" s="39"/>
      <c r="J1270" s="18">
        <v>38566</v>
      </c>
      <c r="K1270" s="331">
        <v>60</v>
      </c>
      <c r="L1270" s="348">
        <f>+J1270+K1270</f>
        <v>38626</v>
      </c>
      <c r="M1270" s="18" t="s">
        <v>41</v>
      </c>
      <c r="N1270" s="6" t="s">
        <v>42</v>
      </c>
      <c r="O1270" s="18">
        <v>38618</v>
      </c>
      <c r="P1270" s="331">
        <f>IF(S1270="","",+S1270-L1270)</f>
        <v>1</v>
      </c>
      <c r="Q1270" s="331"/>
      <c r="R1270" s="331"/>
      <c r="S1270" s="349">
        <v>38627</v>
      </c>
      <c r="T1270" s="349">
        <f>+S1270+7</f>
        <v>38634</v>
      </c>
      <c r="U1270" s="331">
        <f>IF(T1270="","",+T1270-J1270)</f>
        <v>68</v>
      </c>
      <c r="V1270" s="6" t="s">
        <v>1454</v>
      </c>
      <c r="W1270" s="341" t="s">
        <v>1450</v>
      </c>
      <c r="X1270" s="59"/>
      <c r="Y1270" s="177"/>
      <c r="Z1270" s="6">
        <v>6505563676</v>
      </c>
      <c r="AA1270" s="6" t="s">
        <v>47</v>
      </c>
      <c r="AB1270" s="6" t="s">
        <v>47</v>
      </c>
      <c r="AC1270" s="18"/>
      <c r="AD1270" s="10" t="str">
        <f>IF(S1270&lt;=L1270,"en término","atrasado")</f>
        <v>atrasado</v>
      </c>
    </row>
    <row r="1271" spans="1:30" s="9" customFormat="1" ht="12" thickBot="1" x14ac:dyDescent="0.25">
      <c r="A1271" s="328"/>
      <c r="B1271" s="19"/>
      <c r="C1271" s="19"/>
      <c r="D1271" s="5"/>
      <c r="E1271" s="5"/>
      <c r="F1271" s="5" t="s">
        <v>1455</v>
      </c>
      <c r="G1271" s="5"/>
      <c r="H1271" s="105"/>
      <c r="I1271" s="21"/>
      <c r="J1271" s="27"/>
      <c r="K1271" s="27"/>
      <c r="L1271" s="187"/>
      <c r="M1271" s="5"/>
      <c r="N1271" s="5"/>
      <c r="O1271" s="187"/>
      <c r="P1271" s="5"/>
      <c r="Q1271" s="5"/>
      <c r="R1271" s="5"/>
      <c r="S1271" s="5"/>
      <c r="T1271" s="187"/>
      <c r="U1271" s="5"/>
      <c r="V1271" s="224" t="s">
        <v>1021</v>
      </c>
      <c r="W1271" s="36"/>
      <c r="X1271" s="61"/>
      <c r="Y1271" s="182"/>
      <c r="Z1271" s="5"/>
      <c r="AA1271" s="27">
        <v>38635</v>
      </c>
      <c r="AB1271" s="27">
        <v>38685</v>
      </c>
      <c r="AC1271" s="27"/>
      <c r="AD1271" s="330"/>
    </row>
    <row r="1272" spans="1:30" s="9" customFormat="1" x14ac:dyDescent="0.2">
      <c r="A1272" s="328"/>
      <c r="B1272" s="16"/>
      <c r="C1272" s="16"/>
      <c r="D1272" s="7"/>
      <c r="E1272" s="7"/>
      <c r="F1272" s="6"/>
      <c r="G1272" s="6"/>
      <c r="H1272" s="17"/>
      <c r="I1272" s="17"/>
      <c r="J1272" s="7"/>
      <c r="K1272" s="7"/>
      <c r="L1272" s="348"/>
      <c r="M1272" s="6"/>
      <c r="N1272" s="6"/>
      <c r="O1272" s="189"/>
      <c r="P1272" s="7"/>
      <c r="Q1272" s="7"/>
      <c r="R1272" s="7"/>
      <c r="S1272" s="18" t="s">
        <v>1440</v>
      </c>
      <c r="T1272" s="18"/>
      <c r="U1272" s="7"/>
      <c r="V1272" s="220"/>
      <c r="W1272" s="47"/>
      <c r="X1272" s="57"/>
      <c r="Y1272" s="177"/>
      <c r="Z1272" s="6"/>
      <c r="AA1272" s="6"/>
      <c r="AB1272" s="6" t="s">
        <v>1446</v>
      </c>
      <c r="AC1272" s="6"/>
      <c r="AD1272" s="330"/>
    </row>
    <row r="1273" spans="1:30" s="9" customFormat="1" x14ac:dyDescent="0.2">
      <c r="A1273" s="328"/>
      <c r="B1273" s="16" t="s">
        <v>36</v>
      </c>
      <c r="C1273" s="16" t="s">
        <v>37</v>
      </c>
      <c r="D1273" s="7" t="s">
        <v>1456</v>
      </c>
      <c r="E1273" s="7"/>
      <c r="F1273" s="6" t="s">
        <v>1457</v>
      </c>
      <c r="G1273" s="6" t="s">
        <v>39</v>
      </c>
      <c r="H1273" s="17">
        <v>980</v>
      </c>
      <c r="I1273" s="39" t="s">
        <v>142</v>
      </c>
      <c r="J1273" s="18">
        <v>38588</v>
      </c>
      <c r="K1273" s="331">
        <v>93</v>
      </c>
      <c r="L1273" s="348">
        <f>+J1273+K1273</f>
        <v>38681</v>
      </c>
      <c r="M1273" s="18" t="s">
        <v>41</v>
      </c>
      <c r="N1273" s="6" t="s">
        <v>42</v>
      </c>
      <c r="O1273" s="18">
        <v>38618</v>
      </c>
      <c r="P1273" s="331">
        <f>IF(S1273="","",+S1273-L1273)</f>
        <v>-54</v>
      </c>
      <c r="Q1273" s="331"/>
      <c r="R1273" s="331"/>
      <c r="S1273" s="349">
        <v>38627</v>
      </c>
      <c r="T1273" s="349">
        <f>+S1273+7</f>
        <v>38634</v>
      </c>
      <c r="U1273" s="331">
        <f>IF(T1273="","",+T1273-J1273)</f>
        <v>46</v>
      </c>
      <c r="V1273" s="6" t="s">
        <v>535</v>
      </c>
      <c r="W1273" s="341" t="s">
        <v>1450</v>
      </c>
      <c r="X1273" s="59"/>
      <c r="Y1273" s="177"/>
      <c r="Z1273" s="6">
        <v>6505563676</v>
      </c>
      <c r="AA1273" s="6" t="s">
        <v>47</v>
      </c>
      <c r="AB1273" s="6" t="s">
        <v>47</v>
      </c>
      <c r="AC1273" s="18"/>
      <c r="AD1273" s="10" t="str">
        <f>IF(S1273&lt;=L1273,"en término","atrasado")</f>
        <v>en término</v>
      </c>
    </row>
    <row r="1274" spans="1:30" s="9" customFormat="1" ht="12" thickBot="1" x14ac:dyDescent="0.25">
      <c r="A1274" s="328"/>
      <c r="B1274" s="19"/>
      <c r="C1274" s="19"/>
      <c r="D1274" s="5"/>
      <c r="E1274" s="5"/>
      <c r="F1274" s="5" t="s">
        <v>1458</v>
      </c>
      <c r="G1274" s="5"/>
      <c r="H1274" s="105"/>
      <c r="I1274" s="21"/>
      <c r="J1274" s="27"/>
      <c r="K1274" s="27"/>
      <c r="L1274" s="187"/>
      <c r="M1274" s="5"/>
      <c r="N1274" s="5"/>
      <c r="O1274" s="187"/>
      <c r="P1274" s="5"/>
      <c r="Q1274" s="5"/>
      <c r="R1274" s="5"/>
      <c r="S1274" s="5"/>
      <c r="T1274" s="187"/>
      <c r="U1274" s="5"/>
      <c r="V1274" s="224"/>
      <c r="W1274" s="36"/>
      <c r="X1274" s="61"/>
      <c r="Y1274" s="182"/>
      <c r="Z1274" s="5"/>
      <c r="AA1274" s="27">
        <v>38635</v>
      </c>
      <c r="AB1274" s="27">
        <v>38685</v>
      </c>
      <c r="AC1274" s="27"/>
      <c r="AD1274" s="330"/>
    </row>
    <row r="1275" spans="1:30" s="9" customFormat="1" x14ac:dyDescent="0.2">
      <c r="A1275" s="328"/>
      <c r="B1275" s="16"/>
      <c r="C1275" s="16"/>
      <c r="D1275" s="7"/>
      <c r="E1275" s="7"/>
      <c r="F1275" s="6"/>
      <c r="G1275" s="6"/>
      <c r="H1275" s="17"/>
      <c r="I1275" s="17"/>
      <c r="J1275" s="7"/>
      <c r="K1275" s="7"/>
      <c r="L1275" s="348"/>
      <c r="M1275" s="6"/>
      <c r="N1275" s="6"/>
      <c r="O1275" s="189"/>
      <c r="P1275" s="7"/>
      <c r="Q1275" s="7"/>
      <c r="R1275" s="7"/>
      <c r="S1275" s="18" t="s">
        <v>1440</v>
      </c>
      <c r="T1275" s="18"/>
      <c r="U1275" s="7"/>
      <c r="V1275" s="220"/>
      <c r="W1275" s="47"/>
      <c r="X1275" s="57"/>
      <c r="Y1275" s="177"/>
      <c r="Z1275" s="6"/>
      <c r="AA1275" s="6"/>
      <c r="AB1275" s="6" t="s">
        <v>1446</v>
      </c>
      <c r="AC1275" s="6"/>
      <c r="AD1275" s="330"/>
    </row>
    <row r="1276" spans="1:30" s="9" customFormat="1" x14ac:dyDescent="0.2">
      <c r="A1276" s="328"/>
      <c r="B1276" s="16" t="s">
        <v>36</v>
      </c>
      <c r="C1276" s="16" t="s">
        <v>37</v>
      </c>
      <c r="D1276" s="7" t="s">
        <v>1459</v>
      </c>
      <c r="E1276" s="7"/>
      <c r="F1276" s="6" t="s">
        <v>1460</v>
      </c>
      <c r="G1276" s="6" t="s">
        <v>39</v>
      </c>
      <c r="H1276" s="17">
        <v>5200</v>
      </c>
      <c r="I1276" s="39"/>
      <c r="J1276" s="18">
        <v>38597</v>
      </c>
      <c r="K1276" s="331"/>
      <c r="L1276" s="348">
        <v>38620</v>
      </c>
      <c r="M1276" s="18" t="s">
        <v>41</v>
      </c>
      <c r="N1276" s="6" t="s">
        <v>42</v>
      </c>
      <c r="O1276" s="18">
        <v>38618</v>
      </c>
      <c r="P1276" s="331">
        <f>IF(S1276="","",+S1276-L1276)</f>
        <v>7</v>
      </c>
      <c r="Q1276" s="331"/>
      <c r="R1276" s="331"/>
      <c r="S1276" s="349">
        <v>38627</v>
      </c>
      <c r="T1276" s="349">
        <f>+S1276+7</f>
        <v>38634</v>
      </c>
      <c r="U1276" s="331">
        <f>IF(T1276="","",+T1276-J1276)</f>
        <v>37</v>
      </c>
      <c r="V1276" s="6" t="s">
        <v>1461</v>
      </c>
      <c r="W1276" s="341" t="s">
        <v>1450</v>
      </c>
      <c r="X1276" s="59"/>
      <c r="Y1276" s="177"/>
      <c r="Z1276" s="6">
        <v>6505563676</v>
      </c>
      <c r="AA1276" s="6" t="s">
        <v>47</v>
      </c>
      <c r="AB1276" s="6" t="s">
        <v>47</v>
      </c>
      <c r="AC1276" s="18"/>
      <c r="AD1276" s="10" t="str">
        <f>IF(S1276&lt;=L1276,"en término","atrasado")</f>
        <v>atrasado</v>
      </c>
    </row>
    <row r="1277" spans="1:30" s="9" customFormat="1" ht="12" thickBot="1" x14ac:dyDescent="0.25">
      <c r="A1277" s="328"/>
      <c r="B1277" s="19"/>
      <c r="C1277" s="19"/>
      <c r="D1277" s="5"/>
      <c r="E1277" s="5"/>
      <c r="F1277" s="5"/>
      <c r="G1277" s="5"/>
      <c r="H1277" s="105"/>
      <c r="I1277" s="21"/>
      <c r="J1277" s="27"/>
      <c r="K1277" s="27"/>
      <c r="L1277" s="187"/>
      <c r="M1277" s="5"/>
      <c r="N1277" s="5"/>
      <c r="O1277" s="187"/>
      <c r="P1277" s="5"/>
      <c r="Q1277" s="5"/>
      <c r="R1277" s="5"/>
      <c r="S1277" s="5"/>
      <c r="T1277" s="187"/>
      <c r="U1277" s="5"/>
      <c r="V1277" s="224" t="s">
        <v>1462</v>
      </c>
      <c r="W1277" s="36"/>
      <c r="X1277" s="61"/>
      <c r="Y1277" s="182"/>
      <c r="Z1277" s="5"/>
      <c r="AA1277" s="27">
        <v>38635</v>
      </c>
      <c r="AB1277" s="27">
        <v>38685</v>
      </c>
      <c r="AC1277" s="27"/>
      <c r="AD1277" s="330"/>
    </row>
    <row r="1278" spans="1:30" s="9" customFormat="1" x14ac:dyDescent="0.2">
      <c r="A1278" s="328"/>
      <c r="B1278" s="11"/>
      <c r="C1278" s="16"/>
      <c r="D1278" s="7"/>
      <c r="E1278" s="7"/>
      <c r="F1278" s="6"/>
      <c r="G1278" s="6"/>
      <c r="H1278" s="17"/>
      <c r="I1278" s="17"/>
      <c r="J1278" s="7"/>
      <c r="K1278" s="7"/>
      <c r="L1278" s="348"/>
      <c r="M1278" s="6"/>
      <c r="N1278" s="6"/>
      <c r="O1278" s="189"/>
      <c r="P1278" s="7"/>
      <c r="Q1278" s="7"/>
      <c r="R1278" s="7"/>
      <c r="S1278" s="18" t="s">
        <v>1440</v>
      </c>
      <c r="T1278" s="18"/>
      <c r="U1278" s="7"/>
      <c r="V1278" s="220"/>
      <c r="W1278" s="47"/>
      <c r="X1278" s="12"/>
      <c r="Y1278" s="177"/>
      <c r="Z1278" s="6"/>
      <c r="AA1278" s="6"/>
      <c r="AB1278" s="6"/>
      <c r="AC1278" s="6"/>
      <c r="AD1278" s="330"/>
    </row>
    <row r="1279" spans="1:30" s="9" customFormat="1" x14ac:dyDescent="0.2">
      <c r="A1279" s="328"/>
      <c r="B1279" s="16" t="s">
        <v>36</v>
      </c>
      <c r="C1279" s="16" t="s">
        <v>133</v>
      </c>
      <c r="D1279" s="7" t="s">
        <v>1334</v>
      </c>
      <c r="E1279" s="7"/>
      <c r="F1279" s="6" t="s">
        <v>1335</v>
      </c>
      <c r="G1279" s="6" t="s">
        <v>39</v>
      </c>
      <c r="H1279" s="17">
        <v>5600.72</v>
      </c>
      <c r="I1279" s="39" t="s">
        <v>52</v>
      </c>
      <c r="J1279" s="18">
        <v>38587</v>
      </c>
      <c r="K1279" s="331">
        <v>39</v>
      </c>
      <c r="L1279" s="348">
        <f>+J1279+K1279</f>
        <v>38626</v>
      </c>
      <c r="M1279" s="18" t="s">
        <v>41</v>
      </c>
      <c r="N1279" s="6" t="s">
        <v>42</v>
      </c>
      <c r="O1279" s="18">
        <v>38618</v>
      </c>
      <c r="P1279" s="331">
        <f>IF(S1279="","",+S1279-L1279)</f>
        <v>1</v>
      </c>
      <c r="Q1279" s="331"/>
      <c r="R1279" s="331"/>
      <c r="S1279" s="349">
        <v>38627</v>
      </c>
      <c r="T1279" s="349">
        <f>+S1279+7</f>
        <v>38634</v>
      </c>
      <c r="U1279" s="331">
        <f>IF(T1279="","",+T1279-J1279)</f>
        <v>47</v>
      </c>
      <c r="V1279" s="6" t="s">
        <v>1463</v>
      </c>
      <c r="W1279" s="341" t="s">
        <v>1464</v>
      </c>
      <c r="X1279" s="6" t="s">
        <v>47</v>
      </c>
      <c r="Y1279" s="177"/>
      <c r="Z1279" s="6">
        <v>6505563676</v>
      </c>
      <c r="AA1279" s="6" t="s">
        <v>47</v>
      </c>
      <c r="AB1279" s="6" t="s">
        <v>47</v>
      </c>
      <c r="AC1279" s="18"/>
      <c r="AD1279" s="10" t="str">
        <f>IF(S1279&lt;=L1279,"en término","atrasado")</f>
        <v>atrasado</v>
      </c>
    </row>
    <row r="1280" spans="1:30" s="9" customFormat="1" ht="12" thickBot="1" x14ac:dyDescent="0.25">
      <c r="A1280" s="328"/>
      <c r="B1280" s="19"/>
      <c r="C1280" s="19"/>
      <c r="D1280" s="5"/>
      <c r="E1280" s="5"/>
      <c r="F1280" s="5" t="s">
        <v>1465</v>
      </c>
      <c r="G1280" s="5"/>
      <c r="H1280" s="105"/>
      <c r="I1280" s="21"/>
      <c r="J1280" s="27"/>
      <c r="K1280" s="27"/>
      <c r="L1280" s="187"/>
      <c r="M1280" s="5"/>
      <c r="N1280" s="5"/>
      <c r="O1280" s="187"/>
      <c r="P1280" s="5"/>
      <c r="Q1280" s="5"/>
      <c r="R1280" s="5"/>
      <c r="S1280" s="5"/>
      <c r="T1280" s="187"/>
      <c r="U1280" s="5"/>
      <c r="V1280" s="224"/>
      <c r="W1280" s="36"/>
      <c r="X1280" s="5"/>
      <c r="Y1280" s="182"/>
      <c r="Z1280" s="5"/>
      <c r="AA1280" s="27">
        <v>38635</v>
      </c>
      <c r="AB1280" s="27">
        <v>38695</v>
      </c>
      <c r="AC1280" s="27"/>
      <c r="AD1280" s="330"/>
    </row>
    <row r="1281" spans="1:30" s="9" customFormat="1" x14ac:dyDescent="0.2">
      <c r="A1281" s="328"/>
      <c r="B1281" s="11"/>
      <c r="C1281" s="16"/>
      <c r="D1281" s="7"/>
      <c r="E1281" s="7"/>
      <c r="F1281" s="6"/>
      <c r="G1281" s="6"/>
      <c r="H1281" s="17"/>
      <c r="I1281" s="17"/>
      <c r="J1281" s="7"/>
      <c r="K1281" s="7"/>
      <c r="L1281" s="348"/>
      <c r="M1281" s="6"/>
      <c r="N1281" s="6"/>
      <c r="O1281" s="189"/>
      <c r="P1281" s="7"/>
      <c r="Q1281" s="7"/>
      <c r="R1281" s="7"/>
      <c r="S1281" s="18" t="s">
        <v>1440</v>
      </c>
      <c r="T1281" s="18"/>
      <c r="U1281" s="7"/>
      <c r="V1281" s="220"/>
      <c r="W1281" s="47"/>
      <c r="X1281" s="12"/>
      <c r="Y1281" s="177"/>
      <c r="Z1281" s="6"/>
      <c r="AA1281" s="6"/>
      <c r="AB1281" s="6">
        <v>38805</v>
      </c>
      <c r="AC1281" s="7"/>
      <c r="AD1281" s="330"/>
    </row>
    <row r="1282" spans="1:30" s="9" customFormat="1" x14ac:dyDescent="0.2">
      <c r="A1282" s="328"/>
      <c r="B1282" s="16" t="s">
        <v>36</v>
      </c>
      <c r="C1282" s="16" t="s">
        <v>133</v>
      </c>
      <c r="D1282" s="7" t="s">
        <v>1221</v>
      </c>
      <c r="E1282" s="7"/>
      <c r="F1282" s="6" t="s">
        <v>1222</v>
      </c>
      <c r="G1282" s="6" t="s">
        <v>39</v>
      </c>
      <c r="H1282" s="17">
        <v>19665.400000000001</v>
      </c>
      <c r="I1282" s="39" t="s">
        <v>62</v>
      </c>
      <c r="J1282" s="18">
        <v>38587</v>
      </c>
      <c r="K1282" s="331">
        <v>34</v>
      </c>
      <c r="L1282" s="348">
        <f>+J1282+K1282</f>
        <v>38621</v>
      </c>
      <c r="M1282" s="18" t="s">
        <v>41</v>
      </c>
      <c r="N1282" s="6" t="s">
        <v>42</v>
      </c>
      <c r="O1282" s="18">
        <v>38618</v>
      </c>
      <c r="P1282" s="331">
        <f>IF(S1282="","",+S1282-L1282)</f>
        <v>6</v>
      </c>
      <c r="Q1282" s="331"/>
      <c r="R1282" s="331"/>
      <c r="S1282" s="349">
        <v>38627</v>
      </c>
      <c r="T1282" s="349">
        <f>+S1282+7</f>
        <v>38634</v>
      </c>
      <c r="U1282" s="331">
        <f>IF(T1282="","",+T1282-J1282)</f>
        <v>47</v>
      </c>
      <c r="V1282" s="6" t="s">
        <v>1466</v>
      </c>
      <c r="W1282" s="341" t="s">
        <v>1467</v>
      </c>
      <c r="X1282" s="6" t="s">
        <v>47</v>
      </c>
      <c r="Y1282" s="177"/>
      <c r="Z1282" s="6">
        <v>6505563676</v>
      </c>
      <c r="AA1282" s="6" t="s">
        <v>47</v>
      </c>
      <c r="AB1282" s="6" t="s">
        <v>47</v>
      </c>
      <c r="AC1282" s="18"/>
      <c r="AD1282" s="10" t="str">
        <f>IF(S1282&lt;=L1282,"en término","atrasado")</f>
        <v>atrasado</v>
      </c>
    </row>
    <row r="1283" spans="1:30" s="9" customFormat="1" ht="12" thickBot="1" x14ac:dyDescent="0.25">
      <c r="A1283" s="328"/>
      <c r="B1283" s="19"/>
      <c r="C1283" s="19"/>
      <c r="D1283" s="5"/>
      <c r="E1283" s="5"/>
      <c r="F1283" s="5" t="s">
        <v>1468</v>
      </c>
      <c r="G1283" s="5"/>
      <c r="H1283" s="105"/>
      <c r="I1283" s="21"/>
      <c r="J1283" s="27"/>
      <c r="K1283" s="27"/>
      <c r="L1283" s="187"/>
      <c r="M1283" s="5"/>
      <c r="N1283" s="5"/>
      <c r="O1283" s="187"/>
      <c r="P1283" s="5"/>
      <c r="Q1283" s="5"/>
      <c r="R1283" s="5"/>
      <c r="S1283" s="5"/>
      <c r="T1283" s="187"/>
      <c r="U1283" s="5"/>
      <c r="V1283" s="224"/>
      <c r="W1283" s="36"/>
      <c r="X1283" s="5"/>
      <c r="Y1283" s="182"/>
      <c r="Z1283" s="5"/>
      <c r="AA1283" s="27">
        <v>38635</v>
      </c>
      <c r="AB1283" s="27" t="s">
        <v>1469</v>
      </c>
      <c r="AC1283" s="5"/>
      <c r="AD1283" s="330"/>
    </row>
    <row r="1284" spans="1:30" s="9" customFormat="1" x14ac:dyDescent="0.2">
      <c r="A1284" s="328"/>
      <c r="B1284" s="11"/>
      <c r="C1284" s="16"/>
      <c r="D1284" s="7"/>
      <c r="E1284" s="7"/>
      <c r="F1284" s="6"/>
      <c r="G1284" s="6"/>
      <c r="H1284" s="17"/>
      <c r="I1284" s="17"/>
      <c r="J1284" s="7"/>
      <c r="K1284" s="7"/>
      <c r="L1284" s="348"/>
      <c r="M1284" s="6"/>
      <c r="N1284" s="6"/>
      <c r="O1284" s="189"/>
      <c r="P1284" s="7"/>
      <c r="Q1284" s="7"/>
      <c r="R1284" s="7"/>
      <c r="S1284" s="18" t="s">
        <v>1440</v>
      </c>
      <c r="T1284" s="18"/>
      <c r="U1284" s="7"/>
      <c r="V1284" s="220"/>
      <c r="W1284" s="47"/>
      <c r="X1284" s="12"/>
      <c r="Y1284" s="177"/>
      <c r="Z1284" s="6"/>
      <c r="AA1284" s="6"/>
      <c r="AB1284" s="6" t="s">
        <v>1470</v>
      </c>
      <c r="AC1284" s="6"/>
      <c r="AD1284" s="330"/>
    </row>
    <row r="1285" spans="1:30" s="9" customFormat="1" x14ac:dyDescent="0.2">
      <c r="A1285" s="328"/>
      <c r="B1285" s="16" t="s">
        <v>36</v>
      </c>
      <c r="C1285" s="16" t="s">
        <v>133</v>
      </c>
      <c r="D1285" s="7" t="s">
        <v>1221</v>
      </c>
      <c r="E1285" s="7"/>
      <c r="F1285" s="6" t="s">
        <v>1222</v>
      </c>
      <c r="G1285" s="6" t="s">
        <v>39</v>
      </c>
      <c r="H1285" s="17">
        <v>340.71</v>
      </c>
      <c r="I1285" s="39" t="s">
        <v>142</v>
      </c>
      <c r="J1285" s="18">
        <v>38443</v>
      </c>
      <c r="K1285" s="331">
        <v>181</v>
      </c>
      <c r="L1285" s="348">
        <f>+J1285+K1285</f>
        <v>38624</v>
      </c>
      <c r="M1285" s="18" t="s">
        <v>41</v>
      </c>
      <c r="N1285" s="6" t="s">
        <v>42</v>
      </c>
      <c r="O1285" s="18">
        <v>38618</v>
      </c>
      <c r="P1285" s="331">
        <f>IF(S1285="","",+S1285-L1285)</f>
        <v>3</v>
      </c>
      <c r="Q1285" s="331"/>
      <c r="R1285" s="331"/>
      <c r="S1285" s="349">
        <v>38627</v>
      </c>
      <c r="T1285" s="349">
        <f>+S1285+7</f>
        <v>38634</v>
      </c>
      <c r="U1285" s="331">
        <f>IF(T1285="","",+T1285-J1285)</f>
        <v>191</v>
      </c>
      <c r="V1285" s="6" t="s">
        <v>1254</v>
      </c>
      <c r="W1285" s="341" t="s">
        <v>1471</v>
      </c>
      <c r="X1285" s="6" t="s">
        <v>47</v>
      </c>
      <c r="Y1285" s="177"/>
      <c r="Z1285" s="6">
        <v>6505563676</v>
      </c>
      <c r="AA1285" s="6" t="s">
        <v>47</v>
      </c>
      <c r="AB1285" s="6" t="s">
        <v>47</v>
      </c>
      <c r="AC1285" s="18"/>
      <c r="AD1285" s="10" t="str">
        <f>IF(S1285&lt;=L1285,"en término","atrasado")</f>
        <v>atrasado</v>
      </c>
    </row>
    <row r="1286" spans="1:30" s="9" customFormat="1" ht="12" thickBot="1" x14ac:dyDescent="0.25">
      <c r="A1286" s="328"/>
      <c r="B1286" s="19"/>
      <c r="C1286" s="19"/>
      <c r="D1286" s="5"/>
      <c r="E1286" s="5"/>
      <c r="F1286" s="5" t="s">
        <v>1472</v>
      </c>
      <c r="G1286" s="5"/>
      <c r="H1286" s="105"/>
      <c r="I1286" s="21"/>
      <c r="J1286" s="27"/>
      <c r="K1286" s="27"/>
      <c r="L1286" s="187"/>
      <c r="M1286" s="5"/>
      <c r="N1286" s="5"/>
      <c r="O1286" s="187"/>
      <c r="P1286" s="5"/>
      <c r="Q1286" s="5"/>
      <c r="R1286" s="5"/>
      <c r="S1286" s="187"/>
      <c r="T1286" s="187"/>
      <c r="U1286" s="5"/>
      <c r="V1286" s="224"/>
      <c r="W1286" s="36"/>
      <c r="X1286" s="5"/>
      <c r="Y1286" s="182"/>
      <c r="Z1286" s="5"/>
      <c r="AA1286" s="27">
        <v>38635</v>
      </c>
      <c r="AB1286" s="27">
        <v>38847</v>
      </c>
      <c r="AC1286" s="27"/>
      <c r="AD1286" s="330"/>
    </row>
    <row r="1287" spans="1:30" s="9" customFormat="1" x14ac:dyDescent="0.2">
      <c r="A1287" s="328"/>
      <c r="B1287" s="11"/>
      <c r="C1287" s="16"/>
      <c r="D1287" s="7"/>
      <c r="E1287" s="7"/>
      <c r="F1287" s="6"/>
      <c r="G1287" s="6"/>
      <c r="H1287" s="17"/>
      <c r="I1287" s="17"/>
      <c r="J1287" s="7"/>
      <c r="K1287" s="7"/>
      <c r="L1287" s="348"/>
      <c r="M1287" s="6"/>
      <c r="N1287" s="6"/>
      <c r="O1287" s="189"/>
      <c r="P1287" s="7"/>
      <c r="Q1287" s="7"/>
      <c r="R1287" s="7"/>
      <c r="S1287" s="18" t="s">
        <v>1440</v>
      </c>
      <c r="T1287" s="18"/>
      <c r="U1287" s="7"/>
      <c r="V1287" s="220"/>
      <c r="W1287" s="47"/>
      <c r="X1287" s="12"/>
      <c r="Y1287" s="177"/>
      <c r="Z1287" s="6"/>
      <c r="AA1287" s="6"/>
      <c r="AB1287" s="6" t="s">
        <v>1473</v>
      </c>
      <c r="AC1287" s="6"/>
      <c r="AD1287" s="330"/>
    </row>
    <row r="1288" spans="1:30" s="9" customFormat="1" x14ac:dyDescent="0.2">
      <c r="A1288" s="328"/>
      <c r="B1288" s="16" t="s">
        <v>36</v>
      </c>
      <c r="C1288" s="16" t="s">
        <v>133</v>
      </c>
      <c r="D1288" s="7" t="s">
        <v>1221</v>
      </c>
      <c r="E1288" s="7"/>
      <c r="F1288" s="6" t="s">
        <v>1222</v>
      </c>
      <c r="G1288" s="6" t="s">
        <v>39</v>
      </c>
      <c r="H1288" s="17">
        <v>26612.66</v>
      </c>
      <c r="I1288" s="39" t="s">
        <v>62</v>
      </c>
      <c r="J1288" s="18">
        <v>38540</v>
      </c>
      <c r="K1288" s="331">
        <v>80</v>
      </c>
      <c r="L1288" s="348">
        <f>+J1288+K1288</f>
        <v>38620</v>
      </c>
      <c r="M1288" s="18" t="s">
        <v>41</v>
      </c>
      <c r="N1288" s="6" t="s">
        <v>42</v>
      </c>
      <c r="O1288" s="18">
        <v>38618</v>
      </c>
      <c r="P1288" s="331">
        <f>IF(S1288="","",+S1288-L1288)</f>
        <v>7</v>
      </c>
      <c r="Q1288" s="331"/>
      <c r="R1288" s="331"/>
      <c r="S1288" s="349">
        <v>38627</v>
      </c>
      <c r="T1288" s="349">
        <f>+S1288+7</f>
        <v>38634</v>
      </c>
      <c r="U1288" s="331">
        <f>IF(T1288="","",+T1288-J1288)</f>
        <v>94</v>
      </c>
      <c r="V1288" s="6" t="s">
        <v>784</v>
      </c>
      <c r="W1288" s="341" t="s">
        <v>1474</v>
      </c>
      <c r="X1288" s="6" t="s">
        <v>47</v>
      </c>
      <c r="Y1288" s="177"/>
      <c r="Z1288" s="6">
        <v>6505563676</v>
      </c>
      <c r="AA1288" s="6" t="s">
        <v>47</v>
      </c>
      <c r="AB1288" s="6" t="s">
        <v>47</v>
      </c>
      <c r="AC1288" s="18"/>
      <c r="AD1288" s="10" t="str">
        <f>IF(S1288&lt;=L1288,"en término","atrasado")</f>
        <v>atrasado</v>
      </c>
    </row>
    <row r="1289" spans="1:30" s="9" customFormat="1" ht="12" thickBot="1" x14ac:dyDescent="0.25">
      <c r="A1289" s="328"/>
      <c r="B1289" s="19"/>
      <c r="C1289" s="19"/>
      <c r="D1289" s="5"/>
      <c r="E1289" s="5"/>
      <c r="F1289" s="5" t="s">
        <v>1475</v>
      </c>
      <c r="G1289" s="5"/>
      <c r="H1289" s="105"/>
      <c r="I1289" s="21"/>
      <c r="J1289" s="27"/>
      <c r="K1289" s="27"/>
      <c r="L1289" s="187"/>
      <c r="M1289" s="5"/>
      <c r="N1289" s="5"/>
      <c r="O1289" s="187"/>
      <c r="P1289" s="5"/>
      <c r="Q1289" s="5"/>
      <c r="R1289" s="5"/>
      <c r="S1289" s="5"/>
      <c r="T1289" s="187"/>
      <c r="U1289" s="5"/>
      <c r="V1289" s="224"/>
      <c r="W1289" s="36"/>
      <c r="X1289" s="5"/>
      <c r="Y1289" s="182"/>
      <c r="Z1289" s="5"/>
      <c r="AA1289" s="27">
        <v>38635</v>
      </c>
      <c r="AB1289" s="27">
        <v>38901</v>
      </c>
      <c r="AC1289" s="27"/>
      <c r="AD1289" s="330"/>
    </row>
    <row r="1290" spans="1:30" s="9" customFormat="1" x14ac:dyDescent="0.2">
      <c r="A1290" s="328"/>
      <c r="B1290" s="16"/>
      <c r="C1290" s="16"/>
      <c r="D1290" s="7"/>
      <c r="E1290" s="7"/>
      <c r="F1290" s="6"/>
      <c r="G1290" s="6"/>
      <c r="H1290" s="17"/>
      <c r="I1290" s="17"/>
      <c r="J1290" s="7"/>
      <c r="K1290" s="7"/>
      <c r="L1290" s="348"/>
      <c r="M1290" s="6"/>
      <c r="N1290" s="6"/>
      <c r="O1290" s="18"/>
      <c r="P1290" s="7"/>
      <c r="Q1290" s="7"/>
      <c r="R1290" s="7"/>
      <c r="S1290" s="7"/>
      <c r="T1290" s="18"/>
      <c r="U1290" s="7"/>
      <c r="V1290" s="220"/>
      <c r="W1290" s="47"/>
      <c r="X1290" s="57"/>
      <c r="Y1290" s="177"/>
      <c r="Z1290" s="6"/>
      <c r="AA1290" s="6"/>
      <c r="AB1290" s="6"/>
      <c r="AC1290" s="6"/>
      <c r="AD1290" s="330"/>
    </row>
    <row r="1291" spans="1:30" s="9" customFormat="1" x14ac:dyDescent="0.2">
      <c r="A1291" s="328"/>
      <c r="B1291" s="16" t="s">
        <v>36</v>
      </c>
      <c r="C1291" s="16" t="s">
        <v>133</v>
      </c>
      <c r="D1291" s="7" t="s">
        <v>1476</v>
      </c>
      <c r="E1291" s="7"/>
      <c r="F1291" s="6" t="s">
        <v>1477</v>
      </c>
      <c r="G1291" s="6" t="s">
        <v>39</v>
      </c>
      <c r="H1291" s="17">
        <v>22420.77</v>
      </c>
      <c r="I1291" s="39" t="s">
        <v>40</v>
      </c>
      <c r="J1291" s="18">
        <v>38583</v>
      </c>
      <c r="K1291" s="331">
        <v>126</v>
      </c>
      <c r="L1291" s="348">
        <f>+J1291+K1291</f>
        <v>38709</v>
      </c>
      <c r="M1291" s="18" t="s">
        <v>41</v>
      </c>
      <c r="N1291" s="6" t="s">
        <v>110</v>
      </c>
      <c r="O1291" s="18">
        <v>38624</v>
      </c>
      <c r="P1291" s="331">
        <f>IF(S1291="","",+S1291-L1291)</f>
        <v>-79</v>
      </c>
      <c r="Q1291" s="331"/>
      <c r="R1291" s="331"/>
      <c r="S1291" s="18">
        <v>38630</v>
      </c>
      <c r="T1291" s="18">
        <v>38637</v>
      </c>
      <c r="U1291" s="331">
        <f>IF(T1291="","",+T1291-J1291)</f>
        <v>54</v>
      </c>
      <c r="V1291" s="6" t="s">
        <v>1478</v>
      </c>
      <c r="W1291" s="47" t="s">
        <v>1479</v>
      </c>
      <c r="X1291" s="59"/>
      <c r="Y1291" s="177"/>
      <c r="Z1291" s="6"/>
      <c r="AA1291" s="7" t="s">
        <v>47</v>
      </c>
      <c r="AB1291" s="7" t="s">
        <v>47</v>
      </c>
      <c r="AC1291" s="18"/>
      <c r="AD1291" s="330"/>
    </row>
    <row r="1292" spans="1:30" s="9" customFormat="1" ht="12" thickBot="1" x14ac:dyDescent="0.25">
      <c r="A1292" s="328"/>
      <c r="B1292" s="19"/>
      <c r="C1292" s="19"/>
      <c r="D1292" s="5"/>
      <c r="E1292" s="5"/>
      <c r="F1292" s="5" t="s">
        <v>1480</v>
      </c>
      <c r="G1292" s="5"/>
      <c r="H1292" s="105"/>
      <c r="I1292" s="21"/>
      <c r="J1292" s="27"/>
      <c r="K1292" s="27"/>
      <c r="L1292" s="187"/>
      <c r="M1292" s="5"/>
      <c r="N1292" s="5"/>
      <c r="O1292" s="187"/>
      <c r="P1292" s="5"/>
      <c r="Q1292" s="5"/>
      <c r="R1292" s="5"/>
      <c r="S1292" s="5"/>
      <c r="T1292" s="187"/>
      <c r="U1292" s="5"/>
      <c r="V1292" s="224" t="s">
        <v>1102</v>
      </c>
      <c r="W1292" s="36"/>
      <c r="X1292" s="61"/>
      <c r="Y1292" s="182"/>
      <c r="Z1292" s="5"/>
      <c r="AA1292" s="27">
        <v>38643</v>
      </c>
      <c r="AB1292" s="27">
        <v>38793</v>
      </c>
      <c r="AC1292" s="27"/>
      <c r="AD1292" s="330"/>
    </row>
    <row r="1293" spans="1:30" s="9" customFormat="1" x14ac:dyDescent="0.2">
      <c r="A1293" s="328"/>
      <c r="B1293" s="16"/>
      <c r="C1293" s="16"/>
      <c r="D1293" s="7"/>
      <c r="E1293" s="7"/>
      <c r="F1293" s="6"/>
      <c r="G1293" s="6"/>
      <c r="H1293" s="17"/>
      <c r="I1293" s="17"/>
      <c r="J1293" s="7"/>
      <c r="K1293" s="7"/>
      <c r="L1293" s="348"/>
      <c r="M1293" s="6"/>
      <c r="N1293" s="6"/>
      <c r="O1293" s="18"/>
      <c r="P1293" s="7"/>
      <c r="Q1293" s="7"/>
      <c r="R1293" s="7"/>
      <c r="S1293" s="7"/>
      <c r="T1293" s="18"/>
      <c r="U1293" s="7"/>
      <c r="V1293" s="220"/>
      <c r="W1293" s="47"/>
      <c r="X1293" s="59"/>
      <c r="Y1293" s="177"/>
      <c r="Z1293" s="6"/>
      <c r="AA1293" s="6"/>
      <c r="AB1293" s="6"/>
      <c r="AC1293" s="6"/>
      <c r="AD1293" s="330"/>
    </row>
    <row r="1294" spans="1:30" s="9" customFormat="1" x14ac:dyDescent="0.2">
      <c r="A1294" s="328"/>
      <c r="B1294" s="16" t="s">
        <v>36</v>
      </c>
      <c r="C1294" s="16" t="s">
        <v>133</v>
      </c>
      <c r="D1294" s="7" t="s">
        <v>1481</v>
      </c>
      <c r="E1294" s="7"/>
      <c r="F1294" s="6" t="s">
        <v>1482</v>
      </c>
      <c r="G1294" s="6" t="s">
        <v>39</v>
      </c>
      <c r="H1294" s="17">
        <v>3234</v>
      </c>
      <c r="I1294" s="39" t="s">
        <v>142</v>
      </c>
      <c r="J1294" s="18">
        <v>38588</v>
      </c>
      <c r="K1294" s="331">
        <v>142</v>
      </c>
      <c r="L1294" s="348">
        <f>+J1294+K1294</f>
        <v>38730</v>
      </c>
      <c r="M1294" s="18" t="s">
        <v>41</v>
      </c>
      <c r="N1294" s="6" t="s">
        <v>110</v>
      </c>
      <c r="O1294" s="18">
        <v>38624</v>
      </c>
      <c r="P1294" s="331">
        <f>IF(S1294="","",+S1294-L1294)</f>
        <v>-100</v>
      </c>
      <c r="Q1294" s="331"/>
      <c r="R1294" s="331"/>
      <c r="S1294" s="18">
        <v>38630</v>
      </c>
      <c r="T1294" s="18">
        <v>38637</v>
      </c>
      <c r="U1294" s="331">
        <f>IF(T1294="","",+T1294-J1294)</f>
        <v>49</v>
      </c>
      <c r="V1294" s="6" t="s">
        <v>1483</v>
      </c>
      <c r="W1294" s="47" t="s">
        <v>1484</v>
      </c>
      <c r="X1294" s="59"/>
      <c r="Y1294" s="177"/>
      <c r="Z1294" s="6"/>
      <c r="AA1294" s="7" t="s">
        <v>47</v>
      </c>
      <c r="AB1294" s="7" t="s">
        <v>47</v>
      </c>
      <c r="AC1294" s="18"/>
      <c r="AD1294" s="330"/>
    </row>
    <row r="1295" spans="1:30" s="9" customFormat="1" ht="12" thickBot="1" x14ac:dyDescent="0.25">
      <c r="A1295" s="328"/>
      <c r="B1295" s="19"/>
      <c r="C1295" s="19"/>
      <c r="D1295" s="5"/>
      <c r="E1295" s="5"/>
      <c r="F1295" s="5" t="s">
        <v>1485</v>
      </c>
      <c r="G1295" s="5"/>
      <c r="H1295" s="105"/>
      <c r="I1295" s="21"/>
      <c r="J1295" s="27"/>
      <c r="K1295" s="27"/>
      <c r="L1295" s="187"/>
      <c r="M1295" s="5"/>
      <c r="N1295" s="5"/>
      <c r="O1295" s="187"/>
      <c r="P1295" s="5"/>
      <c r="Q1295" s="5"/>
      <c r="R1295" s="5"/>
      <c r="S1295" s="5"/>
      <c r="T1295" s="187"/>
      <c r="U1295" s="5"/>
      <c r="V1295" s="224" t="s">
        <v>1102</v>
      </c>
      <c r="W1295" s="36"/>
      <c r="X1295" s="61"/>
      <c r="Y1295" s="182"/>
      <c r="Z1295" s="5"/>
      <c r="AA1295" s="27">
        <v>38643</v>
      </c>
      <c r="AB1295" s="27">
        <v>38793</v>
      </c>
      <c r="AC1295" s="27"/>
      <c r="AD1295" s="330"/>
    </row>
    <row r="1296" spans="1:30" s="9" customFormat="1" x14ac:dyDescent="0.2">
      <c r="A1296" s="328"/>
      <c r="B1296" s="16"/>
      <c r="C1296" s="16"/>
      <c r="D1296" s="7"/>
      <c r="E1296" s="7"/>
      <c r="F1296" s="6"/>
      <c r="G1296" s="6"/>
      <c r="H1296" s="17"/>
      <c r="I1296" s="17"/>
      <c r="J1296" s="7"/>
      <c r="K1296" s="7"/>
      <c r="L1296" s="348"/>
      <c r="M1296" s="6"/>
      <c r="N1296" s="6"/>
      <c r="O1296" s="18"/>
      <c r="P1296" s="7"/>
      <c r="Q1296" s="7"/>
      <c r="R1296" s="7"/>
      <c r="S1296" s="7"/>
      <c r="T1296" s="18"/>
      <c r="U1296" s="7"/>
      <c r="V1296" s="220"/>
      <c r="W1296" s="47"/>
      <c r="X1296" s="59"/>
      <c r="Y1296" s="177"/>
      <c r="Z1296" s="6"/>
      <c r="AA1296" s="6"/>
      <c r="AB1296" s="6"/>
      <c r="AC1296" s="6"/>
      <c r="AD1296" s="330"/>
    </row>
    <row r="1297" spans="1:30" s="9" customFormat="1" x14ac:dyDescent="0.2">
      <c r="A1297" s="328"/>
      <c r="B1297" s="16" t="s">
        <v>36</v>
      </c>
      <c r="C1297" s="16" t="s">
        <v>133</v>
      </c>
      <c r="D1297" s="7" t="s">
        <v>1486</v>
      </c>
      <c r="E1297" s="7"/>
      <c r="F1297" s="6" t="s">
        <v>1487</v>
      </c>
      <c r="G1297" s="6" t="s">
        <v>39</v>
      </c>
      <c r="H1297" s="17">
        <v>3264</v>
      </c>
      <c r="I1297" s="39"/>
      <c r="J1297" s="18">
        <v>38614</v>
      </c>
      <c r="K1297" s="331">
        <v>30</v>
      </c>
      <c r="L1297" s="348">
        <f>+J1297+K1297</f>
        <v>38644</v>
      </c>
      <c r="M1297" s="18" t="s">
        <v>41</v>
      </c>
      <c r="N1297" s="6" t="s">
        <v>110</v>
      </c>
      <c r="O1297" s="18">
        <v>38624</v>
      </c>
      <c r="P1297" s="331">
        <f>IF(S1297="","",+S1297-L1297)</f>
        <v>-14</v>
      </c>
      <c r="Q1297" s="331"/>
      <c r="R1297" s="331"/>
      <c r="S1297" s="18">
        <v>38630</v>
      </c>
      <c r="T1297" s="18">
        <v>38637</v>
      </c>
      <c r="U1297" s="331">
        <f>IF(T1297="","",+T1297-J1297)</f>
        <v>23</v>
      </c>
      <c r="V1297" s="6" t="s">
        <v>1488</v>
      </c>
      <c r="W1297" s="47" t="s">
        <v>1489</v>
      </c>
      <c r="X1297" s="59"/>
      <c r="Y1297" s="177"/>
      <c r="Z1297" s="6"/>
      <c r="AA1297" s="7" t="s">
        <v>47</v>
      </c>
      <c r="AB1297" s="7" t="s">
        <v>47</v>
      </c>
      <c r="AC1297" s="18"/>
      <c r="AD1297" s="330"/>
    </row>
    <row r="1298" spans="1:30" s="9" customFormat="1" ht="12" thickBot="1" x14ac:dyDescent="0.25">
      <c r="A1298" s="328"/>
      <c r="B1298" s="19"/>
      <c r="C1298" s="19"/>
      <c r="D1298" s="5"/>
      <c r="E1298" s="5"/>
      <c r="F1298" s="5"/>
      <c r="G1298" s="5"/>
      <c r="H1298" s="105"/>
      <c r="I1298" s="21"/>
      <c r="J1298" s="27"/>
      <c r="K1298" s="27"/>
      <c r="L1298" s="187"/>
      <c r="M1298" s="5"/>
      <c r="N1298" s="5"/>
      <c r="O1298" s="187"/>
      <c r="P1298" s="5"/>
      <c r="Q1298" s="5"/>
      <c r="R1298" s="5"/>
      <c r="S1298" s="5"/>
      <c r="T1298" s="187"/>
      <c r="U1298" s="5"/>
      <c r="V1298" s="224" t="s">
        <v>1102</v>
      </c>
      <c r="W1298" s="36"/>
      <c r="X1298" s="61"/>
      <c r="Y1298" s="182"/>
      <c r="Z1298" s="5"/>
      <c r="AA1298" s="27">
        <v>38643</v>
      </c>
      <c r="AB1298" s="27">
        <v>38793</v>
      </c>
      <c r="AC1298" s="27"/>
      <c r="AD1298" s="330"/>
    </row>
    <row r="1299" spans="1:30" s="9" customFormat="1" x14ac:dyDescent="0.2">
      <c r="A1299" s="328"/>
      <c r="B1299" s="16"/>
      <c r="C1299" s="16"/>
      <c r="D1299" s="7"/>
      <c r="E1299" s="7"/>
      <c r="F1299" s="6"/>
      <c r="G1299" s="6"/>
      <c r="H1299" s="17"/>
      <c r="I1299" s="17"/>
      <c r="J1299" s="7"/>
      <c r="K1299" s="7"/>
      <c r="L1299" s="348"/>
      <c r="M1299" s="6"/>
      <c r="N1299" s="6"/>
      <c r="O1299" s="189"/>
      <c r="P1299" s="7"/>
      <c r="Q1299" s="7"/>
      <c r="R1299" s="7"/>
      <c r="S1299" s="18"/>
      <c r="T1299" s="18"/>
      <c r="U1299" s="7"/>
      <c r="V1299" s="220" t="s">
        <v>1490</v>
      </c>
      <c r="W1299" s="47"/>
      <c r="X1299" s="57"/>
      <c r="Y1299" s="177"/>
      <c r="Z1299" s="6" t="s">
        <v>1491</v>
      </c>
      <c r="AA1299" s="6"/>
      <c r="AB1299" s="6" t="s">
        <v>1492</v>
      </c>
      <c r="AC1299" s="6"/>
      <c r="AD1299" s="330"/>
    </row>
    <row r="1300" spans="1:30" s="9" customFormat="1" x14ac:dyDescent="0.2">
      <c r="A1300" s="328"/>
      <c r="B1300" s="16" t="s">
        <v>36</v>
      </c>
      <c r="C1300" s="16" t="s">
        <v>37</v>
      </c>
      <c r="D1300" s="7" t="s">
        <v>1481</v>
      </c>
      <c r="E1300" s="7"/>
      <c r="F1300" s="6" t="s">
        <v>1493</v>
      </c>
      <c r="G1300" s="6" t="s">
        <v>39</v>
      </c>
      <c r="H1300" s="17">
        <v>930</v>
      </c>
      <c r="I1300" s="39" t="s">
        <v>142</v>
      </c>
      <c r="J1300" s="18">
        <v>38588</v>
      </c>
      <c r="K1300" s="331">
        <v>142</v>
      </c>
      <c r="L1300" s="348">
        <f>+J1300+K1300</f>
        <v>38730</v>
      </c>
      <c r="M1300" s="18" t="s">
        <v>41</v>
      </c>
      <c r="N1300" s="6" t="s">
        <v>110</v>
      </c>
      <c r="O1300" s="18">
        <v>38643</v>
      </c>
      <c r="P1300" s="331">
        <f>IF(S1300="","",+S1300-L1300)</f>
        <v>-80</v>
      </c>
      <c r="Q1300" s="331"/>
      <c r="R1300" s="331"/>
      <c r="S1300" s="349">
        <v>38650</v>
      </c>
      <c r="T1300" s="349">
        <f>+S1300+2</f>
        <v>38652</v>
      </c>
      <c r="U1300" s="331">
        <f>IF(T1300="","",+T1300-J1300)</f>
        <v>64</v>
      </c>
      <c r="V1300" s="6" t="s">
        <v>1494</v>
      </c>
      <c r="W1300" s="341" t="s">
        <v>1495</v>
      </c>
      <c r="X1300" s="59"/>
      <c r="Y1300" s="177"/>
      <c r="Z1300" s="6">
        <v>6505491882</v>
      </c>
      <c r="AA1300" s="6" t="s">
        <v>47</v>
      </c>
      <c r="AB1300" s="6" t="s">
        <v>47</v>
      </c>
      <c r="AC1300" s="18"/>
      <c r="AD1300" s="10" t="str">
        <f>IF(S1300&lt;=L1300,"en término","atrasado")</f>
        <v>en término</v>
      </c>
    </row>
    <row r="1301" spans="1:30" s="9" customFormat="1" ht="12" thickBot="1" x14ac:dyDescent="0.25">
      <c r="A1301" s="328"/>
      <c r="B1301" s="19"/>
      <c r="C1301" s="19"/>
      <c r="D1301" s="5"/>
      <c r="E1301" s="5"/>
      <c r="F1301" s="5" t="s">
        <v>1485</v>
      </c>
      <c r="G1301" s="5"/>
      <c r="H1301" s="105"/>
      <c r="I1301" s="21"/>
      <c r="J1301" s="27"/>
      <c r="K1301" s="27"/>
      <c r="L1301" s="187"/>
      <c r="M1301" s="5"/>
      <c r="N1301" s="5"/>
      <c r="O1301" s="187"/>
      <c r="P1301" s="5"/>
      <c r="Q1301" s="5"/>
      <c r="R1301" s="5"/>
      <c r="S1301" s="5"/>
      <c r="T1301" s="187"/>
      <c r="U1301" s="5"/>
      <c r="V1301" s="224"/>
      <c r="W1301" s="36"/>
      <c r="X1301" s="61"/>
      <c r="Y1301" s="182"/>
      <c r="Z1301" s="5"/>
      <c r="AA1301" s="27">
        <v>38656</v>
      </c>
      <c r="AB1301" s="27">
        <v>38685</v>
      </c>
      <c r="AC1301" s="27"/>
      <c r="AD1301" s="330"/>
    </row>
    <row r="1302" spans="1:30" s="9" customFormat="1" x14ac:dyDescent="0.2">
      <c r="A1302" s="328"/>
      <c r="B1302" s="11"/>
      <c r="C1302" s="16"/>
      <c r="D1302" s="7"/>
      <c r="E1302" s="7"/>
      <c r="F1302" s="6"/>
      <c r="G1302" s="6"/>
      <c r="H1302" s="17"/>
      <c r="I1302" s="17"/>
      <c r="J1302" s="7"/>
      <c r="K1302" s="7"/>
      <c r="L1302" s="348"/>
      <c r="M1302" s="6"/>
      <c r="N1302" s="6"/>
      <c r="O1302" s="189"/>
      <c r="P1302" s="7"/>
      <c r="Q1302" s="7"/>
      <c r="R1302" s="7"/>
      <c r="S1302" s="18"/>
      <c r="T1302" s="18"/>
      <c r="U1302" s="7"/>
      <c r="V1302" s="220"/>
      <c r="W1302" s="47"/>
      <c r="X1302" s="12"/>
      <c r="Y1302" s="177"/>
      <c r="Z1302" s="6" t="s">
        <v>1410</v>
      </c>
      <c r="AA1302" s="6"/>
      <c r="AB1302" s="6"/>
      <c r="AC1302" s="6"/>
      <c r="AD1302" s="330"/>
    </row>
    <row r="1303" spans="1:30" s="9" customFormat="1" x14ac:dyDescent="0.2">
      <c r="A1303" s="328"/>
      <c r="B1303" s="16" t="s">
        <v>36</v>
      </c>
      <c r="C1303" s="16" t="s">
        <v>133</v>
      </c>
      <c r="D1303" s="7" t="s">
        <v>1221</v>
      </c>
      <c r="E1303" s="7"/>
      <c r="F1303" s="6" t="s">
        <v>1222</v>
      </c>
      <c r="G1303" s="6" t="s">
        <v>39</v>
      </c>
      <c r="H1303" s="17">
        <v>110307.74</v>
      </c>
      <c r="I1303" s="39" t="s">
        <v>52</v>
      </c>
      <c r="J1303" s="18">
        <v>38628</v>
      </c>
      <c r="K1303" s="331">
        <v>32</v>
      </c>
      <c r="L1303" s="348">
        <f>+J1303+K1303</f>
        <v>38660</v>
      </c>
      <c r="M1303" s="18" t="s">
        <v>41</v>
      </c>
      <c r="N1303" s="6" t="s">
        <v>42</v>
      </c>
      <c r="O1303" s="18">
        <v>38643</v>
      </c>
      <c r="P1303" s="331">
        <f>IF(S1303="","",+S1303-L1303)</f>
        <v>-13</v>
      </c>
      <c r="Q1303" s="331"/>
      <c r="R1303" s="331"/>
      <c r="S1303" s="349">
        <v>38647</v>
      </c>
      <c r="T1303" s="349">
        <v>38659</v>
      </c>
      <c r="U1303" s="331">
        <f>IF(T1303="","",+T1303-J1303)</f>
        <v>31</v>
      </c>
      <c r="V1303" s="6" t="s">
        <v>1496</v>
      </c>
      <c r="W1303" s="341" t="s">
        <v>1497</v>
      </c>
      <c r="X1303" s="6" t="s">
        <v>47</v>
      </c>
      <c r="Y1303" s="177"/>
      <c r="Z1303" s="6" t="s">
        <v>1289</v>
      </c>
      <c r="AA1303" s="6" t="s">
        <v>47</v>
      </c>
      <c r="AB1303" s="6" t="s">
        <v>47</v>
      </c>
      <c r="AC1303" s="18"/>
      <c r="AD1303" s="10" t="str">
        <f>IF(S1303&lt;=L1303,"en término","atrasado")</f>
        <v>en término</v>
      </c>
    </row>
    <row r="1304" spans="1:30" s="9" customFormat="1" ht="12" thickBot="1" x14ac:dyDescent="0.25">
      <c r="A1304" s="328"/>
      <c r="B1304" s="19"/>
      <c r="C1304" s="19"/>
      <c r="D1304" s="5"/>
      <c r="E1304" s="5"/>
      <c r="F1304" s="5" t="s">
        <v>1498</v>
      </c>
      <c r="G1304" s="5"/>
      <c r="H1304" s="105"/>
      <c r="I1304" s="21"/>
      <c r="J1304" s="27"/>
      <c r="K1304" s="27"/>
      <c r="L1304" s="187"/>
      <c r="M1304" s="5"/>
      <c r="N1304" s="5"/>
      <c r="O1304" s="187"/>
      <c r="P1304" s="5"/>
      <c r="Q1304" s="5"/>
      <c r="R1304" s="5"/>
      <c r="S1304" s="5"/>
      <c r="T1304" s="187"/>
      <c r="U1304" s="5"/>
      <c r="V1304" s="224"/>
      <c r="W1304" s="36"/>
      <c r="X1304" s="5"/>
      <c r="Y1304" s="182"/>
      <c r="Z1304" s="5"/>
      <c r="AA1304" s="27">
        <v>38668</v>
      </c>
      <c r="AB1304" s="27"/>
      <c r="AC1304" s="5"/>
      <c r="AD1304" s="330"/>
    </row>
    <row r="1305" spans="1:30" s="9" customFormat="1" x14ac:dyDescent="0.2">
      <c r="A1305" s="328"/>
      <c r="B1305" s="11"/>
      <c r="C1305" s="16"/>
      <c r="D1305" s="7"/>
      <c r="E1305" s="7"/>
      <c r="F1305" s="6"/>
      <c r="G1305" s="6"/>
      <c r="H1305" s="17"/>
      <c r="I1305" s="17"/>
      <c r="J1305" s="7"/>
      <c r="K1305" s="7"/>
      <c r="L1305" s="348"/>
      <c r="M1305" s="6"/>
      <c r="N1305" s="6"/>
      <c r="O1305" s="189"/>
      <c r="P1305" s="7"/>
      <c r="Q1305" s="7"/>
      <c r="R1305" s="7"/>
      <c r="S1305" s="18" t="s">
        <v>1499</v>
      </c>
      <c r="T1305" s="18"/>
      <c r="U1305" s="7"/>
      <c r="V1305" s="220"/>
      <c r="W1305" s="47"/>
      <c r="X1305" s="12"/>
      <c r="Y1305" s="177"/>
      <c r="Z1305" s="6"/>
      <c r="AA1305" s="6"/>
      <c r="AB1305" s="6"/>
      <c r="AC1305" s="6"/>
      <c r="AD1305" s="330"/>
    </row>
    <row r="1306" spans="1:30" s="9" customFormat="1" x14ac:dyDescent="0.2">
      <c r="A1306" s="328"/>
      <c r="B1306" s="16" t="s">
        <v>36</v>
      </c>
      <c r="C1306" s="16" t="s">
        <v>133</v>
      </c>
      <c r="D1306" s="7" t="s">
        <v>1221</v>
      </c>
      <c r="E1306" s="7"/>
      <c r="F1306" s="6" t="s">
        <v>1222</v>
      </c>
      <c r="G1306" s="6" t="s">
        <v>39</v>
      </c>
      <c r="H1306" s="17">
        <v>9983.7800000000007</v>
      </c>
      <c r="I1306" s="39" t="s">
        <v>62</v>
      </c>
      <c r="J1306" s="18">
        <v>38681</v>
      </c>
      <c r="K1306" s="331">
        <v>34</v>
      </c>
      <c r="L1306" s="348">
        <f>+J1306+K1306</f>
        <v>38715</v>
      </c>
      <c r="M1306" s="18" t="s">
        <v>41</v>
      </c>
      <c r="N1306" s="6" t="s">
        <v>42</v>
      </c>
      <c r="O1306" s="18">
        <v>38706</v>
      </c>
      <c r="P1306" s="331">
        <f>IF(S1306="","",+S1306-L1306)</f>
        <v>1</v>
      </c>
      <c r="Q1306" s="331"/>
      <c r="R1306" s="331"/>
      <c r="S1306" s="349">
        <v>38716</v>
      </c>
      <c r="T1306" s="349">
        <f>+S1306+20</f>
        <v>38736</v>
      </c>
      <c r="U1306" s="331">
        <f>IF(T1306="","",+T1306-J1306)</f>
        <v>55</v>
      </c>
      <c r="V1306" s="6" t="s">
        <v>1500</v>
      </c>
      <c r="W1306" s="341" t="s">
        <v>1501</v>
      </c>
      <c r="X1306" s="6" t="s">
        <v>47</v>
      </c>
      <c r="Y1306" s="177"/>
      <c r="Z1306" s="6">
        <v>6505732306</v>
      </c>
      <c r="AA1306" s="6" t="s">
        <v>47</v>
      </c>
      <c r="AB1306" s="6" t="s">
        <v>47</v>
      </c>
      <c r="AC1306" s="18"/>
      <c r="AD1306" s="10" t="str">
        <f>IF(S1306&lt;=L1306+5,"en término","atrasado")</f>
        <v>en término</v>
      </c>
    </row>
    <row r="1307" spans="1:30" s="9" customFormat="1" ht="12" thickBot="1" x14ac:dyDescent="0.25">
      <c r="A1307" s="328"/>
      <c r="B1307" s="19"/>
      <c r="C1307" s="19"/>
      <c r="D1307" s="5"/>
      <c r="E1307" s="5"/>
      <c r="F1307" s="5" t="s">
        <v>1502</v>
      </c>
      <c r="G1307" s="5"/>
      <c r="H1307" s="105"/>
      <c r="I1307" s="21"/>
      <c r="J1307" s="27"/>
      <c r="K1307" s="27"/>
      <c r="L1307" s="187"/>
      <c r="M1307" s="5"/>
      <c r="N1307" s="5"/>
      <c r="O1307" s="187"/>
      <c r="P1307" s="5"/>
      <c r="Q1307" s="5"/>
      <c r="R1307" s="5"/>
      <c r="S1307" s="5"/>
      <c r="T1307" s="187"/>
      <c r="U1307" s="5"/>
      <c r="V1307" s="224"/>
      <c r="W1307" s="36"/>
      <c r="X1307" s="5"/>
      <c r="Y1307" s="182"/>
      <c r="Z1307" s="5"/>
      <c r="AA1307" s="27">
        <v>38733</v>
      </c>
      <c r="AB1307" s="27">
        <v>38825</v>
      </c>
      <c r="AC1307" s="27"/>
      <c r="AD1307" s="330"/>
    </row>
    <row r="1308" spans="1:30" s="9" customFormat="1" x14ac:dyDescent="0.2">
      <c r="A1308" s="328"/>
      <c r="B1308" s="11"/>
      <c r="C1308" s="16"/>
      <c r="D1308" s="7"/>
      <c r="E1308" s="7"/>
      <c r="F1308" s="6"/>
      <c r="G1308" s="6"/>
      <c r="H1308" s="17"/>
      <c r="I1308" s="17"/>
      <c r="J1308" s="7"/>
      <c r="K1308" s="7"/>
      <c r="L1308" s="348"/>
      <c r="M1308" s="6"/>
      <c r="N1308" s="6"/>
      <c r="O1308" s="189"/>
      <c r="P1308" s="7"/>
      <c r="Q1308" s="7"/>
      <c r="R1308" s="7"/>
      <c r="S1308" s="18" t="s">
        <v>1499</v>
      </c>
      <c r="T1308" s="18"/>
      <c r="U1308" s="7"/>
      <c r="V1308" s="220"/>
      <c r="W1308" s="47"/>
      <c r="X1308" s="12"/>
      <c r="Y1308" s="177"/>
      <c r="Z1308" s="6"/>
      <c r="AA1308" s="6"/>
      <c r="AB1308" s="6"/>
      <c r="AC1308" s="6"/>
      <c r="AD1308" s="330"/>
    </row>
    <row r="1309" spans="1:30" s="9" customFormat="1" x14ac:dyDescent="0.2">
      <c r="A1309" s="328"/>
      <c r="B1309" s="16" t="s">
        <v>36</v>
      </c>
      <c r="C1309" s="16" t="s">
        <v>133</v>
      </c>
      <c r="D1309" s="7" t="s">
        <v>1221</v>
      </c>
      <c r="E1309" s="7"/>
      <c r="F1309" s="6" t="s">
        <v>1222</v>
      </c>
      <c r="G1309" s="6" t="s">
        <v>39</v>
      </c>
      <c r="H1309" s="17">
        <v>80940.289999999994</v>
      </c>
      <c r="I1309" s="39" t="s">
        <v>52</v>
      </c>
      <c r="J1309" s="18">
        <v>38677</v>
      </c>
      <c r="K1309" s="331">
        <v>39</v>
      </c>
      <c r="L1309" s="348">
        <f>+J1309+K1309</f>
        <v>38716</v>
      </c>
      <c r="M1309" s="18" t="s">
        <v>41</v>
      </c>
      <c r="N1309" s="6" t="s">
        <v>42</v>
      </c>
      <c r="O1309" s="18">
        <v>38706</v>
      </c>
      <c r="P1309" s="331">
        <f>IF(S1309="","",+S1309-L1309)</f>
        <v>0</v>
      </c>
      <c r="Q1309" s="331"/>
      <c r="R1309" s="331"/>
      <c r="S1309" s="349">
        <v>38716</v>
      </c>
      <c r="T1309" s="349">
        <f>+S1309+20</f>
        <v>38736</v>
      </c>
      <c r="U1309" s="331">
        <f>IF(T1309="","",+T1309-J1309)</f>
        <v>59</v>
      </c>
      <c r="V1309" s="6" t="s">
        <v>1503</v>
      </c>
      <c r="W1309" s="341" t="s">
        <v>1504</v>
      </c>
      <c r="X1309" s="6" t="s">
        <v>47</v>
      </c>
      <c r="Y1309" s="177"/>
      <c r="Z1309" s="6">
        <v>6505732306</v>
      </c>
      <c r="AA1309" s="6" t="s">
        <v>47</v>
      </c>
      <c r="AB1309" s="6" t="s">
        <v>47</v>
      </c>
      <c r="AC1309" s="18"/>
      <c r="AD1309" s="10" t="str">
        <f>IF(S1309&lt;=L1309+5,"en término","atrasado")</f>
        <v>en término</v>
      </c>
    </row>
    <row r="1310" spans="1:30" s="9" customFormat="1" ht="12" thickBot="1" x14ac:dyDescent="0.25">
      <c r="A1310" s="328"/>
      <c r="B1310" s="19"/>
      <c r="C1310" s="19"/>
      <c r="D1310" s="5"/>
      <c r="E1310" s="5"/>
      <c r="F1310" s="5" t="s">
        <v>1505</v>
      </c>
      <c r="G1310" s="5"/>
      <c r="H1310" s="105"/>
      <c r="I1310" s="21"/>
      <c r="J1310" s="27"/>
      <c r="K1310" s="27"/>
      <c r="L1310" s="187"/>
      <c r="M1310" s="5"/>
      <c r="N1310" s="5"/>
      <c r="O1310" s="187"/>
      <c r="P1310" s="5"/>
      <c r="Q1310" s="5"/>
      <c r="R1310" s="5"/>
      <c r="S1310" s="5"/>
      <c r="T1310" s="187"/>
      <c r="U1310" s="5"/>
      <c r="V1310" s="224"/>
      <c r="W1310" s="36"/>
      <c r="X1310" s="5"/>
      <c r="Y1310" s="182"/>
      <c r="Z1310" s="5"/>
      <c r="AA1310" s="27">
        <v>38733</v>
      </c>
      <c r="AB1310" s="27">
        <v>38832</v>
      </c>
      <c r="AC1310" s="27"/>
      <c r="AD1310" s="330"/>
    </row>
    <row r="1311" spans="1:30" s="9" customFormat="1" x14ac:dyDescent="0.2">
      <c r="A1311" s="328"/>
      <c r="B1311" s="11"/>
      <c r="C1311" s="16"/>
      <c r="D1311" s="7"/>
      <c r="E1311" s="7"/>
      <c r="F1311" s="6"/>
      <c r="G1311" s="6"/>
      <c r="H1311" s="17"/>
      <c r="I1311" s="17"/>
      <c r="J1311" s="7"/>
      <c r="K1311" s="7"/>
      <c r="L1311" s="348"/>
      <c r="M1311" s="6"/>
      <c r="N1311" s="6"/>
      <c r="O1311" s="189"/>
      <c r="P1311" s="7"/>
      <c r="Q1311" s="7"/>
      <c r="R1311" s="7"/>
      <c r="S1311" s="18" t="s">
        <v>1499</v>
      </c>
      <c r="T1311" s="18"/>
      <c r="U1311" s="7"/>
      <c r="V1311" s="220"/>
      <c r="W1311" s="47"/>
      <c r="X1311" s="12"/>
      <c r="Y1311" s="177"/>
      <c r="Z1311" s="6"/>
      <c r="AA1311" s="6"/>
      <c r="AB1311" s="6" t="s">
        <v>1506</v>
      </c>
      <c r="AC1311" s="6"/>
      <c r="AD1311" s="330"/>
    </row>
    <row r="1312" spans="1:30" s="9" customFormat="1" x14ac:dyDescent="0.2">
      <c r="A1312" s="328"/>
      <c r="B1312" s="16" t="s">
        <v>36</v>
      </c>
      <c r="C1312" s="16" t="s">
        <v>133</v>
      </c>
      <c r="D1312" s="7" t="s">
        <v>1334</v>
      </c>
      <c r="E1312" s="7"/>
      <c r="F1312" s="6" t="s">
        <v>1335</v>
      </c>
      <c r="G1312" s="6" t="s">
        <v>39</v>
      </c>
      <c r="H1312" s="17">
        <v>14116.74</v>
      </c>
      <c r="I1312" s="39" t="s">
        <v>52</v>
      </c>
      <c r="J1312" s="18">
        <v>38699</v>
      </c>
      <c r="K1312" s="331">
        <v>48</v>
      </c>
      <c r="L1312" s="348">
        <f>+J1312+K1312</f>
        <v>38747</v>
      </c>
      <c r="M1312" s="18" t="s">
        <v>41</v>
      </c>
      <c r="N1312" s="6" t="s">
        <v>42</v>
      </c>
      <c r="O1312" s="18">
        <v>38706</v>
      </c>
      <c r="P1312" s="331">
        <f>IF(S1312="","",+S1312-L1312)</f>
        <v>-31</v>
      </c>
      <c r="Q1312" s="331"/>
      <c r="R1312" s="331"/>
      <c r="S1312" s="349">
        <v>38716</v>
      </c>
      <c r="T1312" s="349">
        <f>+S1312+20</f>
        <v>38736</v>
      </c>
      <c r="U1312" s="331">
        <f>IF(T1312="","",+T1312-J1312)</f>
        <v>37</v>
      </c>
      <c r="V1312" s="6" t="s">
        <v>1463</v>
      </c>
      <c r="W1312" s="341" t="s">
        <v>1507</v>
      </c>
      <c r="X1312" s="6" t="s">
        <v>47</v>
      </c>
      <c r="Y1312" s="177"/>
      <c r="Z1312" s="6">
        <v>6505732306</v>
      </c>
      <c r="AA1312" s="6" t="s">
        <v>47</v>
      </c>
      <c r="AB1312" s="6" t="s">
        <v>47</v>
      </c>
      <c r="AC1312" s="18"/>
      <c r="AD1312" s="10" t="str">
        <f>IF(S1312&lt;=L1312,"en término","atrasado")</f>
        <v>en término</v>
      </c>
    </row>
    <row r="1313" spans="1:30" s="9" customFormat="1" ht="12" thickBot="1" x14ac:dyDescent="0.25">
      <c r="A1313" s="328"/>
      <c r="B1313" s="19"/>
      <c r="C1313" s="19"/>
      <c r="D1313" s="5"/>
      <c r="E1313" s="5"/>
      <c r="F1313" s="5" t="s">
        <v>1508</v>
      </c>
      <c r="G1313" s="5"/>
      <c r="H1313" s="105"/>
      <c r="I1313" s="21"/>
      <c r="J1313" s="27"/>
      <c r="K1313" s="27"/>
      <c r="L1313" s="187"/>
      <c r="M1313" s="5"/>
      <c r="N1313" s="5"/>
      <c r="O1313" s="187"/>
      <c r="P1313" s="5"/>
      <c r="Q1313" s="5"/>
      <c r="R1313" s="5"/>
      <c r="S1313" s="5"/>
      <c r="T1313" s="187"/>
      <c r="U1313" s="5"/>
      <c r="V1313" s="224"/>
      <c r="W1313" s="36"/>
      <c r="X1313" s="5"/>
      <c r="Y1313" s="182"/>
      <c r="Z1313" s="5"/>
      <c r="AA1313" s="27">
        <v>38733</v>
      </c>
      <c r="AB1313" s="27">
        <v>38832</v>
      </c>
      <c r="AC1313" s="27"/>
      <c r="AD1313" s="330"/>
    </row>
    <row r="1314" spans="1:30" s="9" customFormat="1" x14ac:dyDescent="0.2">
      <c r="A1314" s="328"/>
      <c r="B1314" s="11"/>
      <c r="C1314" s="16"/>
      <c r="D1314" s="7"/>
      <c r="E1314" s="7"/>
      <c r="F1314" s="6"/>
      <c r="G1314" s="6"/>
      <c r="H1314" s="17"/>
      <c r="I1314" s="17"/>
      <c r="J1314" s="7"/>
      <c r="K1314" s="7"/>
      <c r="L1314" s="348"/>
      <c r="M1314" s="6"/>
      <c r="N1314" s="6"/>
      <c r="O1314" s="189"/>
      <c r="P1314" s="7"/>
      <c r="Q1314" s="7"/>
      <c r="R1314" s="7"/>
      <c r="S1314" s="18" t="s">
        <v>1499</v>
      </c>
      <c r="T1314" s="18"/>
      <c r="U1314" s="7"/>
      <c r="V1314" s="220"/>
      <c r="W1314" s="47"/>
      <c r="X1314" s="12"/>
      <c r="Y1314" s="177"/>
      <c r="Z1314" s="6"/>
      <c r="AA1314" s="6"/>
      <c r="AB1314" s="6"/>
      <c r="AC1314" s="6"/>
      <c r="AD1314" s="330"/>
    </row>
    <row r="1315" spans="1:30" s="9" customFormat="1" x14ac:dyDescent="0.2">
      <c r="A1315" s="328"/>
      <c r="B1315" s="16" t="s">
        <v>36</v>
      </c>
      <c r="C1315" s="16" t="s">
        <v>133</v>
      </c>
      <c r="D1315" s="7" t="s">
        <v>1221</v>
      </c>
      <c r="E1315" s="7"/>
      <c r="F1315" s="6" t="s">
        <v>1222</v>
      </c>
      <c r="G1315" s="6" t="s">
        <v>39</v>
      </c>
      <c r="H1315" s="17">
        <v>13854.66</v>
      </c>
      <c r="I1315" s="39" t="s">
        <v>52</v>
      </c>
      <c r="J1315" s="18">
        <v>38699</v>
      </c>
      <c r="K1315" s="331">
        <v>48</v>
      </c>
      <c r="L1315" s="348">
        <f>+J1315+K1315</f>
        <v>38747</v>
      </c>
      <c r="M1315" s="18" t="s">
        <v>41</v>
      </c>
      <c r="N1315" s="6" t="s">
        <v>42</v>
      </c>
      <c r="O1315" s="18">
        <v>38706</v>
      </c>
      <c r="P1315" s="331">
        <f>IF(S1315="","",+S1315-L1315)</f>
        <v>-31</v>
      </c>
      <c r="Q1315" s="331"/>
      <c r="R1315" s="331"/>
      <c r="S1315" s="349">
        <v>38716</v>
      </c>
      <c r="T1315" s="349">
        <f>+S1315+20</f>
        <v>38736</v>
      </c>
      <c r="U1315" s="331">
        <f>IF(T1315="","",+T1315-J1315)</f>
        <v>37</v>
      </c>
      <c r="V1315" s="6" t="s">
        <v>1254</v>
      </c>
      <c r="W1315" s="341" t="s">
        <v>1509</v>
      </c>
      <c r="X1315" s="6" t="s">
        <v>47</v>
      </c>
      <c r="Y1315" s="177"/>
      <c r="Z1315" s="6">
        <v>6505732306</v>
      </c>
      <c r="AA1315" s="6" t="s">
        <v>47</v>
      </c>
      <c r="AB1315" s="6" t="s">
        <v>47</v>
      </c>
      <c r="AC1315" s="18"/>
      <c r="AD1315" s="10" t="str">
        <f>IF(S1315&lt;=L1315+5,"en término","atrasado")</f>
        <v>en término</v>
      </c>
    </row>
    <row r="1316" spans="1:30" s="9" customFormat="1" ht="12" thickBot="1" x14ac:dyDescent="0.25">
      <c r="A1316" s="328"/>
      <c r="B1316" s="19"/>
      <c r="C1316" s="19"/>
      <c r="D1316" s="5"/>
      <c r="E1316" s="5"/>
      <c r="F1316" s="5" t="s">
        <v>1510</v>
      </c>
      <c r="G1316" s="5"/>
      <c r="H1316" s="105"/>
      <c r="I1316" s="21"/>
      <c r="J1316" s="27"/>
      <c r="K1316" s="27"/>
      <c r="L1316" s="187"/>
      <c r="M1316" s="5"/>
      <c r="N1316" s="5"/>
      <c r="O1316" s="187"/>
      <c r="P1316" s="5"/>
      <c r="Q1316" s="5"/>
      <c r="R1316" s="5"/>
      <c r="S1316" s="5"/>
      <c r="T1316" s="187"/>
      <c r="U1316" s="5"/>
      <c r="V1316" s="224"/>
      <c r="W1316" s="36"/>
      <c r="X1316" s="5"/>
      <c r="Y1316" s="182"/>
      <c r="Z1316" s="5"/>
      <c r="AA1316" s="27">
        <v>38733</v>
      </c>
      <c r="AB1316" s="27">
        <v>38832</v>
      </c>
      <c r="AC1316" s="27"/>
      <c r="AD1316" s="330"/>
    </row>
    <row r="1317" spans="1:30" s="9" customFormat="1" x14ac:dyDescent="0.2">
      <c r="A1317" s="328"/>
      <c r="B1317" s="11"/>
      <c r="C1317" s="16"/>
      <c r="D1317" s="7"/>
      <c r="E1317" s="7"/>
      <c r="F1317" s="6"/>
      <c r="G1317" s="6"/>
      <c r="H1317" s="17"/>
      <c r="I1317" s="17"/>
      <c r="J1317" s="7"/>
      <c r="K1317" s="7"/>
      <c r="L1317" s="348"/>
      <c r="M1317" s="6"/>
      <c r="N1317" s="6"/>
      <c r="O1317" s="189"/>
      <c r="P1317" s="7"/>
      <c r="Q1317" s="7"/>
      <c r="R1317" s="7"/>
      <c r="S1317" s="18" t="s">
        <v>1499</v>
      </c>
      <c r="T1317" s="18"/>
      <c r="U1317" s="7"/>
      <c r="V1317" s="220"/>
      <c r="W1317" s="47"/>
      <c r="X1317" s="12"/>
      <c r="Y1317" s="177"/>
      <c r="Z1317" s="6"/>
      <c r="AA1317" s="6"/>
      <c r="AB1317" s="6" t="s">
        <v>1511</v>
      </c>
      <c r="AC1317" s="6"/>
      <c r="AD1317" s="330"/>
    </row>
    <row r="1318" spans="1:30" s="9" customFormat="1" x14ac:dyDescent="0.2">
      <c r="A1318" s="328"/>
      <c r="B1318" s="16" t="s">
        <v>36</v>
      </c>
      <c r="C1318" s="16" t="s">
        <v>133</v>
      </c>
      <c r="D1318" s="7" t="s">
        <v>1221</v>
      </c>
      <c r="E1318" s="7"/>
      <c r="F1318" s="6" t="s">
        <v>1222</v>
      </c>
      <c r="G1318" s="6" t="s">
        <v>39</v>
      </c>
      <c r="H1318" s="17">
        <v>58739.56</v>
      </c>
      <c r="I1318" s="39" t="s">
        <v>40</v>
      </c>
      <c r="J1318" s="18">
        <v>38623</v>
      </c>
      <c r="K1318" s="331">
        <v>92</v>
      </c>
      <c r="L1318" s="348">
        <f>+J1318+K1318</f>
        <v>38715</v>
      </c>
      <c r="M1318" s="18" t="s">
        <v>41</v>
      </c>
      <c r="N1318" s="6" t="s">
        <v>42</v>
      </c>
      <c r="O1318" s="18">
        <v>38706</v>
      </c>
      <c r="P1318" s="331">
        <f>IF(S1318="","",+S1318-L1318)</f>
        <v>1</v>
      </c>
      <c r="Q1318" s="331"/>
      <c r="R1318" s="331"/>
      <c r="S1318" s="349">
        <v>38716</v>
      </c>
      <c r="T1318" s="349">
        <f>+S1318+20</f>
        <v>38736</v>
      </c>
      <c r="U1318" s="331">
        <f>IF(T1318="","",+T1318-J1318)</f>
        <v>113</v>
      </c>
      <c r="V1318" s="6" t="s">
        <v>1512</v>
      </c>
      <c r="W1318" s="341" t="s">
        <v>1513</v>
      </c>
      <c r="X1318" s="6" t="s">
        <v>47</v>
      </c>
      <c r="Y1318" s="177"/>
      <c r="Z1318" s="6">
        <v>6505732306</v>
      </c>
      <c r="AA1318" s="6" t="s">
        <v>47</v>
      </c>
      <c r="AB1318" s="6" t="s">
        <v>47</v>
      </c>
      <c r="AC1318" s="18"/>
      <c r="AD1318" s="10" t="str">
        <f>IF(S1318&lt;=L1318,"en término","atrasado")</f>
        <v>atrasado</v>
      </c>
    </row>
    <row r="1319" spans="1:30" s="9" customFormat="1" ht="12" thickBot="1" x14ac:dyDescent="0.25">
      <c r="A1319" s="328"/>
      <c r="B1319" s="19"/>
      <c r="C1319" s="19"/>
      <c r="D1319" s="5"/>
      <c r="E1319" s="5"/>
      <c r="F1319" s="5" t="s">
        <v>1514</v>
      </c>
      <c r="G1319" s="5"/>
      <c r="H1319" s="105"/>
      <c r="I1319" s="21"/>
      <c r="J1319" s="27"/>
      <c r="K1319" s="27"/>
      <c r="L1319" s="187"/>
      <c r="M1319" s="5"/>
      <c r="N1319" s="5"/>
      <c r="O1319" s="187"/>
      <c r="P1319" s="5"/>
      <c r="Q1319" s="5"/>
      <c r="R1319" s="5"/>
      <c r="S1319" s="5"/>
      <c r="T1319" s="187"/>
      <c r="U1319" s="5"/>
      <c r="V1319" s="224"/>
      <c r="W1319" s="36"/>
      <c r="X1319" s="5"/>
      <c r="Y1319" s="182"/>
      <c r="Z1319" s="5"/>
      <c r="AA1319" s="27">
        <v>38733</v>
      </c>
      <c r="AB1319" s="27">
        <v>38856</v>
      </c>
      <c r="AC1319" s="27"/>
      <c r="AD1319" s="330"/>
    </row>
    <row r="1320" spans="1:30" s="9" customFormat="1" x14ac:dyDescent="0.2">
      <c r="A1320" s="328"/>
      <c r="B1320" s="11"/>
      <c r="C1320" s="16"/>
      <c r="D1320" s="7"/>
      <c r="E1320" s="7"/>
      <c r="F1320" s="6"/>
      <c r="G1320" s="6"/>
      <c r="H1320" s="17"/>
      <c r="I1320" s="17"/>
      <c r="J1320" s="7"/>
      <c r="K1320" s="7"/>
      <c r="L1320" s="348"/>
      <c r="M1320" s="6"/>
      <c r="N1320" s="6"/>
      <c r="O1320" s="189"/>
      <c r="P1320" s="7"/>
      <c r="Q1320" s="7"/>
      <c r="R1320" s="7"/>
      <c r="S1320" s="18" t="s">
        <v>1499</v>
      </c>
      <c r="T1320" s="18"/>
      <c r="U1320" s="7"/>
      <c r="V1320" s="220"/>
      <c r="W1320" s="47"/>
      <c r="X1320" s="12"/>
      <c r="Y1320" s="177"/>
      <c r="Z1320" s="6"/>
      <c r="AA1320" s="6"/>
      <c r="AB1320" s="6" t="s">
        <v>1515</v>
      </c>
      <c r="AC1320" s="6"/>
      <c r="AD1320" s="330"/>
    </row>
    <row r="1321" spans="1:30" s="9" customFormat="1" x14ac:dyDescent="0.2">
      <c r="A1321" s="328"/>
      <c r="B1321" s="16" t="s">
        <v>36</v>
      </c>
      <c r="C1321" s="16" t="s">
        <v>133</v>
      </c>
      <c r="D1321" s="7" t="s">
        <v>1221</v>
      </c>
      <c r="E1321" s="7"/>
      <c r="F1321" s="6" t="s">
        <v>1222</v>
      </c>
      <c r="G1321" s="6" t="s">
        <v>39</v>
      </c>
      <c r="H1321" s="17">
        <v>123640.03</v>
      </c>
      <c r="I1321" s="39" t="s">
        <v>40</v>
      </c>
      <c r="J1321" s="18">
        <v>38623</v>
      </c>
      <c r="K1321" s="331">
        <v>92</v>
      </c>
      <c r="L1321" s="348">
        <f>+J1321+K1321</f>
        <v>38715</v>
      </c>
      <c r="M1321" s="18" t="s">
        <v>41</v>
      </c>
      <c r="N1321" s="6" t="s">
        <v>42</v>
      </c>
      <c r="O1321" s="18">
        <v>38706</v>
      </c>
      <c r="P1321" s="331">
        <f>IF(S1321="","",+S1321-L1321)</f>
        <v>1</v>
      </c>
      <c r="Q1321" s="331"/>
      <c r="R1321" s="331"/>
      <c r="S1321" s="349">
        <v>38716</v>
      </c>
      <c r="T1321" s="349">
        <f>+S1321+20</f>
        <v>38736</v>
      </c>
      <c r="U1321" s="331">
        <f>IF(T1321="","",+T1321-J1321)</f>
        <v>113</v>
      </c>
      <c r="V1321" s="6" t="s">
        <v>1516</v>
      </c>
      <c r="W1321" s="341" t="s">
        <v>1517</v>
      </c>
      <c r="X1321" s="6" t="s">
        <v>47</v>
      </c>
      <c r="Y1321" s="177"/>
      <c r="Z1321" s="6">
        <v>6505732306</v>
      </c>
      <c r="AA1321" s="6" t="s">
        <v>47</v>
      </c>
      <c r="AB1321" s="6" t="s">
        <v>47</v>
      </c>
      <c r="AC1321" s="18"/>
      <c r="AD1321" s="10" t="str">
        <f>IF(S1321&lt;=L1321,"en término","atrasado")</f>
        <v>atrasado</v>
      </c>
    </row>
    <row r="1322" spans="1:30" s="9" customFormat="1" ht="12" thickBot="1" x14ac:dyDescent="0.25">
      <c r="A1322" s="328"/>
      <c r="B1322" s="19"/>
      <c r="C1322" s="19"/>
      <c r="D1322" s="5"/>
      <c r="E1322" s="5"/>
      <c r="F1322" s="5" t="s">
        <v>1518</v>
      </c>
      <c r="G1322" s="5"/>
      <c r="H1322" s="105"/>
      <c r="I1322" s="21"/>
      <c r="J1322" s="27"/>
      <c r="K1322" s="27"/>
      <c r="L1322" s="187"/>
      <c r="M1322" s="5"/>
      <c r="N1322" s="5"/>
      <c r="O1322" s="187"/>
      <c r="P1322" s="5"/>
      <c r="Q1322" s="5"/>
      <c r="R1322" s="5"/>
      <c r="S1322" s="5"/>
      <c r="T1322" s="187"/>
      <c r="U1322" s="5"/>
      <c r="V1322" s="224"/>
      <c r="W1322" s="36"/>
      <c r="X1322" s="5"/>
      <c r="Y1322" s="182"/>
      <c r="Z1322" s="5"/>
      <c r="AA1322" s="27">
        <v>38733</v>
      </c>
      <c r="AB1322" s="27">
        <v>38856</v>
      </c>
      <c r="AC1322" s="27"/>
      <c r="AD1322" s="330"/>
    </row>
    <row r="1323" spans="1:30" s="9" customFormat="1" x14ac:dyDescent="0.2">
      <c r="A1323" s="328"/>
      <c r="B1323" s="16"/>
      <c r="C1323" s="16"/>
      <c r="D1323" s="7"/>
      <c r="E1323" s="7"/>
      <c r="F1323" s="6"/>
      <c r="G1323" s="6"/>
      <c r="H1323" s="17"/>
      <c r="I1323" s="17"/>
      <c r="J1323" s="7"/>
      <c r="K1323" s="7"/>
      <c r="L1323" s="348"/>
      <c r="M1323" s="6"/>
      <c r="N1323" s="6"/>
      <c r="O1323" s="189"/>
      <c r="P1323" s="7"/>
      <c r="Q1323" s="7"/>
      <c r="R1323" s="7"/>
      <c r="S1323" s="18" t="s">
        <v>1499</v>
      </c>
      <c r="T1323" s="18"/>
      <c r="U1323" s="7"/>
      <c r="V1323" s="220"/>
      <c r="W1323" s="47"/>
      <c r="X1323" s="57"/>
      <c r="Y1323" s="177"/>
      <c r="Z1323" s="6"/>
      <c r="AA1323" s="6"/>
      <c r="AB1323" s="6"/>
      <c r="AC1323" s="6"/>
      <c r="AD1323" s="330"/>
    </row>
    <row r="1324" spans="1:30" s="9" customFormat="1" x14ac:dyDescent="0.2">
      <c r="A1324" s="328"/>
      <c r="B1324" s="16" t="s">
        <v>36</v>
      </c>
      <c r="C1324" s="16" t="s">
        <v>37</v>
      </c>
      <c r="D1324" s="7" t="s">
        <v>1519</v>
      </c>
      <c r="E1324" s="7"/>
      <c r="F1324" s="6" t="s">
        <v>1520</v>
      </c>
      <c r="G1324" s="6" t="s">
        <v>39</v>
      </c>
      <c r="H1324" s="17">
        <v>1760</v>
      </c>
      <c r="I1324" s="39"/>
      <c r="J1324" s="18">
        <v>38701</v>
      </c>
      <c r="K1324" s="331">
        <v>30</v>
      </c>
      <c r="L1324" s="348">
        <f>+J1324+K1324</f>
        <v>38731</v>
      </c>
      <c r="M1324" s="18" t="s">
        <v>41</v>
      </c>
      <c r="N1324" s="6" t="s">
        <v>42</v>
      </c>
      <c r="O1324" s="18">
        <v>38706</v>
      </c>
      <c r="P1324" s="331">
        <f>IF(S1324="","",+S1324-L1324)</f>
        <v>-15</v>
      </c>
      <c r="Q1324" s="331"/>
      <c r="R1324" s="331"/>
      <c r="S1324" s="349">
        <v>38716</v>
      </c>
      <c r="T1324" s="349">
        <f>+S1324+20</f>
        <v>38736</v>
      </c>
      <c r="U1324" s="331">
        <f>IF(T1324="","",+T1324-J1324)</f>
        <v>35</v>
      </c>
      <c r="V1324" s="6" t="s">
        <v>535</v>
      </c>
      <c r="W1324" s="341" t="s">
        <v>1521</v>
      </c>
      <c r="X1324" s="59"/>
      <c r="Y1324" s="177"/>
      <c r="Z1324" s="6">
        <v>6505732306</v>
      </c>
      <c r="AA1324" s="6" t="s">
        <v>47</v>
      </c>
      <c r="AB1324" s="6" t="s">
        <v>47</v>
      </c>
      <c r="AC1324" s="18"/>
      <c r="AD1324" s="10" t="str">
        <f>IF(S1324&lt;=L1324,"en término","atrasado")</f>
        <v>en término</v>
      </c>
    </row>
    <row r="1325" spans="1:30" s="9" customFormat="1" ht="12" thickBot="1" x14ac:dyDescent="0.25">
      <c r="A1325" s="328"/>
      <c r="B1325" s="19"/>
      <c r="C1325" s="19"/>
      <c r="D1325" s="5"/>
      <c r="E1325" s="5"/>
      <c r="F1325" s="5"/>
      <c r="G1325" s="5"/>
      <c r="H1325" s="105"/>
      <c r="I1325" s="21"/>
      <c r="J1325" s="27"/>
      <c r="K1325" s="27"/>
      <c r="L1325" s="187"/>
      <c r="M1325" s="5"/>
      <c r="N1325" s="5"/>
      <c r="O1325" s="187"/>
      <c r="P1325" s="5"/>
      <c r="Q1325" s="5"/>
      <c r="R1325" s="5"/>
      <c r="S1325" s="187"/>
      <c r="T1325" s="187"/>
      <c r="U1325" s="5"/>
      <c r="V1325" s="224"/>
      <c r="W1325" s="36"/>
      <c r="X1325" s="61"/>
      <c r="Y1325" s="182"/>
      <c r="Z1325" s="5"/>
      <c r="AA1325" s="27">
        <v>38733</v>
      </c>
      <c r="AB1325" s="27"/>
      <c r="AC1325" s="5"/>
      <c r="AD1325" s="330"/>
    </row>
    <row r="1326" spans="1:30" s="9" customFormat="1" x14ac:dyDescent="0.2">
      <c r="A1326" s="28"/>
      <c r="F1326" s="10"/>
      <c r="G1326" s="10"/>
      <c r="I1326" s="10"/>
      <c r="W1326" s="10"/>
      <c r="X1326" s="10"/>
      <c r="Y1326" s="10"/>
      <c r="AC1326" s="10"/>
      <c r="AD1326" s="10"/>
    </row>
    <row r="1328" spans="1:30" ht="12.75" x14ac:dyDescent="0.2">
      <c r="AA1328" s="1">
        <v>2005</v>
      </c>
      <c r="AB1328" s="1047"/>
    </row>
    <row r="1329" spans="1:39" ht="12.75" x14ac:dyDescent="0.2">
      <c r="I1329" s="353"/>
      <c r="AA1329" s="945" t="s">
        <v>813</v>
      </c>
      <c r="AB1329" s="1048">
        <f>COUNTA(AD1149:AD1325)</f>
        <v>56</v>
      </c>
    </row>
    <row r="1330" spans="1:39" ht="12.75" x14ac:dyDescent="0.2">
      <c r="AA1330" s="945" t="s">
        <v>815</v>
      </c>
      <c r="AB1330" s="1048">
        <f>COUNTIF(AD1155:AD1324,"en término")</f>
        <v>38</v>
      </c>
    </row>
    <row r="1331" spans="1:39" ht="12.75" x14ac:dyDescent="0.2">
      <c r="AA1331" s="945" t="s">
        <v>817</v>
      </c>
      <c r="AB1331" s="557">
        <f>+AB1330/AB1329</f>
        <v>0.6785714285714286</v>
      </c>
    </row>
    <row r="1332" spans="1:39" ht="12.75" x14ac:dyDescent="0.2">
      <c r="AA1332" s="1047"/>
      <c r="AB1332" s="1047"/>
    </row>
    <row r="1333" spans="1:39" ht="12" thickBot="1" x14ac:dyDescent="0.25"/>
    <row r="1334" spans="1:39" s="553" customFormat="1" ht="39.950000000000003" customHeight="1" thickBot="1" x14ac:dyDescent="0.25">
      <c r="B1334" s="1611">
        <v>2006</v>
      </c>
      <c r="C1334" s="1612"/>
      <c r="D1334" s="1612"/>
      <c r="E1334" s="1612"/>
      <c r="F1334" s="1612"/>
      <c r="G1334" s="1612"/>
      <c r="H1334" s="1612"/>
      <c r="I1334" s="1612"/>
      <c r="J1334" s="1612"/>
      <c r="K1334" s="1612"/>
      <c r="L1334" s="1612"/>
      <c r="M1334" s="1612"/>
      <c r="N1334" s="1612"/>
      <c r="O1334" s="1612"/>
      <c r="P1334" s="1612"/>
      <c r="Q1334" s="1612"/>
      <c r="R1334" s="1612"/>
      <c r="S1334" s="1612"/>
      <c r="T1334" s="1612"/>
      <c r="U1334" s="1612"/>
      <c r="V1334" s="1612"/>
      <c r="W1334" s="1612"/>
      <c r="X1334" s="1612"/>
      <c r="Y1334" s="1612"/>
      <c r="Z1334" s="1612"/>
      <c r="AA1334" s="1612"/>
      <c r="AB1334" s="1612"/>
      <c r="AC1334" s="1613"/>
    </row>
    <row r="1335" spans="1:39" s="441" customFormat="1" ht="60" customHeight="1" thickBot="1" x14ac:dyDescent="0.25">
      <c r="A1335" s="438"/>
      <c r="B1335" s="451" t="s">
        <v>130</v>
      </c>
      <c r="C1335" s="451" t="s">
        <v>4</v>
      </c>
      <c r="D1335" s="451" t="s">
        <v>5</v>
      </c>
      <c r="E1335" s="451" t="s">
        <v>6</v>
      </c>
      <c r="F1335" s="451" t="s">
        <v>7</v>
      </c>
      <c r="G1335" s="451" t="s">
        <v>8</v>
      </c>
      <c r="H1335" s="453" t="s">
        <v>9</v>
      </c>
      <c r="I1335" s="453" t="s">
        <v>10</v>
      </c>
      <c r="J1335" s="451" t="s">
        <v>11</v>
      </c>
      <c r="K1335" s="451" t="s">
        <v>12</v>
      </c>
      <c r="L1335" s="451" t="s">
        <v>13</v>
      </c>
      <c r="M1335" s="451" t="s">
        <v>14</v>
      </c>
      <c r="N1335" s="451" t="s">
        <v>15</v>
      </c>
      <c r="O1335" s="452" t="s">
        <v>16</v>
      </c>
      <c r="P1335" s="454" t="s">
        <v>17</v>
      </c>
      <c r="Q1335" s="451" t="s">
        <v>18</v>
      </c>
      <c r="R1335" s="452" t="s">
        <v>19</v>
      </c>
      <c r="S1335" s="451" t="s">
        <v>20</v>
      </c>
      <c r="T1335" s="451" t="s">
        <v>21</v>
      </c>
      <c r="U1335" s="452" t="s">
        <v>22</v>
      </c>
      <c r="V1335" s="451" t="s">
        <v>131</v>
      </c>
      <c r="W1335" s="451" t="s">
        <v>24</v>
      </c>
      <c r="X1335" s="451" t="s">
        <v>132</v>
      </c>
      <c r="Y1335" s="451" t="s">
        <v>26</v>
      </c>
      <c r="Z1335" s="451" t="s">
        <v>27</v>
      </c>
      <c r="AA1335" s="451" t="s">
        <v>28</v>
      </c>
      <c r="AB1335" s="451" t="s">
        <v>29</v>
      </c>
      <c r="AC1335" s="451" t="s">
        <v>30</v>
      </c>
      <c r="AD1335" s="439"/>
      <c r="AE1335" s="440"/>
      <c r="AF1335" s="440"/>
      <c r="AG1335" s="440"/>
      <c r="AH1335" s="440"/>
      <c r="AI1335" s="440"/>
      <c r="AJ1335" s="440"/>
      <c r="AK1335" s="440"/>
      <c r="AL1335" s="440"/>
      <c r="AM1335" s="440"/>
    </row>
    <row r="1336" spans="1:39" s="9" customFormat="1" x14ac:dyDescent="0.2">
      <c r="A1336" s="328"/>
      <c r="B1336" s="11"/>
      <c r="C1336" s="16"/>
      <c r="D1336" s="7"/>
      <c r="E1336" s="7"/>
      <c r="F1336" s="6"/>
      <c r="G1336" s="6"/>
      <c r="H1336" s="17"/>
      <c r="I1336" s="17"/>
      <c r="J1336" s="7"/>
      <c r="K1336" s="7"/>
      <c r="L1336" s="348"/>
      <c r="M1336" s="6"/>
      <c r="N1336" s="6"/>
      <c r="O1336" s="189"/>
      <c r="P1336" s="7"/>
      <c r="Q1336" s="7"/>
      <c r="R1336" s="7"/>
      <c r="S1336" s="18"/>
      <c r="T1336" s="18"/>
      <c r="U1336" s="7"/>
      <c r="V1336" s="220"/>
      <c r="W1336" s="47"/>
      <c r="X1336" s="12"/>
      <c r="Y1336" s="177"/>
      <c r="Z1336" s="6"/>
      <c r="AA1336" s="6"/>
      <c r="AB1336" s="6"/>
      <c r="AC1336" s="6"/>
      <c r="AD1336" s="28"/>
    </row>
    <row r="1337" spans="1:39" s="9" customFormat="1" x14ac:dyDescent="0.2">
      <c r="A1337" s="328"/>
      <c r="B1337" s="16" t="s">
        <v>36</v>
      </c>
      <c r="C1337" s="16" t="s">
        <v>133</v>
      </c>
      <c r="D1337" s="7" t="s">
        <v>1221</v>
      </c>
      <c r="E1337" s="7"/>
      <c r="F1337" s="6" t="s">
        <v>1222</v>
      </c>
      <c r="G1337" s="6" t="s">
        <v>39</v>
      </c>
      <c r="H1337" s="17">
        <v>22476.77</v>
      </c>
      <c r="I1337" s="39" t="s">
        <v>40</v>
      </c>
      <c r="J1337" s="18">
        <v>38685</v>
      </c>
      <c r="K1337" s="331">
        <v>98</v>
      </c>
      <c r="L1337" s="348">
        <f>+J1337+K1337</f>
        <v>38783</v>
      </c>
      <c r="M1337" s="18" t="s">
        <v>41</v>
      </c>
      <c r="N1337" s="6" t="s">
        <v>42</v>
      </c>
      <c r="O1337" s="18">
        <v>38771</v>
      </c>
      <c r="P1337" s="331">
        <f>IF(S1337="","",+S1337-L1337)</f>
        <v>-4</v>
      </c>
      <c r="Q1337" s="331"/>
      <c r="R1337" s="331"/>
      <c r="S1337" s="349">
        <v>38779</v>
      </c>
      <c r="T1337" s="349">
        <f>+S1337+20</f>
        <v>38799</v>
      </c>
      <c r="U1337" s="331">
        <f>IF(T1337="","",+T1337-J1337)</f>
        <v>114</v>
      </c>
      <c r="V1337" s="6" t="s">
        <v>784</v>
      </c>
      <c r="W1337" s="341" t="s">
        <v>1522</v>
      </c>
      <c r="X1337" s="6" t="s">
        <v>47</v>
      </c>
      <c r="Y1337" s="177"/>
      <c r="Z1337" s="6">
        <v>6505491635</v>
      </c>
      <c r="AA1337" s="6"/>
      <c r="AB1337" s="6" t="s">
        <v>47</v>
      </c>
      <c r="AC1337" s="18"/>
      <c r="AD1337" s="10" t="str">
        <f>IF(S1337&lt;=L1337,"en término","atrasado")</f>
        <v>en término</v>
      </c>
    </row>
    <row r="1338" spans="1:39" s="9" customFormat="1" ht="12" thickBot="1" x14ac:dyDescent="0.25">
      <c r="A1338" s="328"/>
      <c r="B1338" s="19"/>
      <c r="C1338" s="19"/>
      <c r="D1338" s="5"/>
      <c r="E1338" s="5"/>
      <c r="F1338" s="5" t="s">
        <v>1523</v>
      </c>
      <c r="G1338" s="5"/>
      <c r="H1338" s="105"/>
      <c r="I1338" s="21"/>
      <c r="J1338" s="27"/>
      <c r="K1338" s="27"/>
      <c r="L1338" s="187"/>
      <c r="M1338" s="5"/>
      <c r="N1338" s="5"/>
      <c r="O1338" s="187"/>
      <c r="P1338" s="5"/>
      <c r="Q1338" s="5"/>
      <c r="R1338" s="5"/>
      <c r="S1338" s="5"/>
      <c r="T1338" s="187"/>
      <c r="U1338" s="5"/>
      <c r="V1338" s="224"/>
      <c r="W1338" s="36"/>
      <c r="X1338" s="5"/>
      <c r="Y1338" s="182"/>
      <c r="Z1338" s="5"/>
      <c r="AA1338" s="5"/>
      <c r="AB1338" s="5">
        <v>38842</v>
      </c>
      <c r="AC1338" s="27"/>
      <c r="AD1338" s="28"/>
    </row>
    <row r="1339" spans="1:39" s="9" customFormat="1" x14ac:dyDescent="0.2">
      <c r="A1339" s="328"/>
      <c r="B1339" s="11"/>
      <c r="C1339" s="16"/>
      <c r="D1339" s="7"/>
      <c r="E1339" s="7"/>
      <c r="F1339" s="6"/>
      <c r="G1339" s="6"/>
      <c r="H1339" s="17"/>
      <c r="I1339" s="17"/>
      <c r="J1339" s="7"/>
      <c r="K1339" s="7"/>
      <c r="L1339" s="348"/>
      <c r="M1339" s="6"/>
      <c r="N1339" s="6"/>
      <c r="O1339" s="189"/>
      <c r="P1339" s="7"/>
      <c r="Q1339" s="7"/>
      <c r="R1339" s="7"/>
      <c r="S1339" s="18"/>
      <c r="T1339" s="18"/>
      <c r="U1339" s="7"/>
      <c r="V1339" s="220"/>
      <c r="W1339" s="47"/>
      <c r="X1339" s="12"/>
      <c r="Y1339" s="177"/>
      <c r="Z1339" s="6"/>
      <c r="AA1339" s="6"/>
      <c r="AB1339" s="6"/>
      <c r="AC1339" s="6"/>
      <c r="AD1339" s="28"/>
    </row>
    <row r="1340" spans="1:39" s="9" customFormat="1" x14ac:dyDescent="0.2">
      <c r="A1340" s="328"/>
      <c r="B1340" s="16" t="s">
        <v>36</v>
      </c>
      <c r="C1340" s="16" t="s">
        <v>133</v>
      </c>
      <c r="D1340" s="7" t="s">
        <v>1221</v>
      </c>
      <c r="E1340" s="7"/>
      <c r="F1340" s="6" t="s">
        <v>1222</v>
      </c>
      <c r="G1340" s="6" t="s">
        <v>39</v>
      </c>
      <c r="H1340" s="17">
        <v>34630.22</v>
      </c>
      <c r="I1340" s="39" t="s">
        <v>142</v>
      </c>
      <c r="J1340" s="18">
        <v>38652</v>
      </c>
      <c r="K1340" s="331">
        <v>134</v>
      </c>
      <c r="L1340" s="348">
        <f>+J1340+K1340</f>
        <v>38786</v>
      </c>
      <c r="M1340" s="18" t="s">
        <v>41</v>
      </c>
      <c r="N1340" s="6" t="s">
        <v>42</v>
      </c>
      <c r="O1340" s="18">
        <v>38771</v>
      </c>
      <c r="P1340" s="331">
        <f>IF(S1340="","",+S1340-L1340)</f>
        <v>-7</v>
      </c>
      <c r="Q1340" s="331"/>
      <c r="R1340" s="331"/>
      <c r="S1340" s="349">
        <v>38779</v>
      </c>
      <c r="T1340" s="349">
        <f>+S1340+20</f>
        <v>38799</v>
      </c>
      <c r="U1340" s="331">
        <f>IF(T1340="","",+T1340-J1340)</f>
        <v>147</v>
      </c>
      <c r="V1340" s="6" t="s">
        <v>1524</v>
      </c>
      <c r="W1340" s="341" t="s">
        <v>1525</v>
      </c>
      <c r="X1340" s="6" t="s">
        <v>47</v>
      </c>
      <c r="Y1340" s="177"/>
      <c r="Z1340" s="6">
        <v>6505491635</v>
      </c>
      <c r="AA1340" s="6"/>
      <c r="AB1340" s="6" t="s">
        <v>47</v>
      </c>
      <c r="AC1340" s="18"/>
      <c r="AD1340" s="10" t="str">
        <f>IF(S1340&lt;=L1340,"en término","atrasado")</f>
        <v>en término</v>
      </c>
    </row>
    <row r="1341" spans="1:39" s="9" customFormat="1" ht="12" thickBot="1" x14ac:dyDescent="0.25">
      <c r="A1341" s="328"/>
      <c r="B1341" s="19"/>
      <c r="C1341" s="19"/>
      <c r="D1341" s="5"/>
      <c r="E1341" s="5"/>
      <c r="F1341" s="5" t="s">
        <v>1526</v>
      </c>
      <c r="G1341" s="5"/>
      <c r="H1341" s="105"/>
      <c r="I1341" s="21"/>
      <c r="J1341" s="27"/>
      <c r="K1341" s="27"/>
      <c r="L1341" s="187"/>
      <c r="M1341" s="5"/>
      <c r="N1341" s="5"/>
      <c r="O1341" s="187"/>
      <c r="P1341" s="5"/>
      <c r="Q1341" s="5"/>
      <c r="R1341" s="5"/>
      <c r="S1341" s="187"/>
      <c r="T1341" s="187"/>
      <c r="U1341" s="5"/>
      <c r="V1341" s="224"/>
      <c r="W1341" s="36"/>
      <c r="X1341" s="5"/>
      <c r="Y1341" s="182"/>
      <c r="Z1341" s="5"/>
      <c r="AA1341" s="5"/>
      <c r="AB1341" s="5">
        <v>38870</v>
      </c>
      <c r="AC1341" s="27"/>
      <c r="AD1341" s="28"/>
    </row>
    <row r="1342" spans="1:39" s="9" customFormat="1" x14ac:dyDescent="0.2">
      <c r="A1342" s="328"/>
      <c r="B1342" s="16"/>
      <c r="C1342" s="16"/>
      <c r="D1342" s="7"/>
      <c r="E1342" s="7"/>
      <c r="F1342" s="6"/>
      <c r="G1342" s="6"/>
      <c r="H1342" s="17"/>
      <c r="I1342" s="17"/>
      <c r="J1342" s="7"/>
      <c r="K1342" s="7"/>
      <c r="L1342" s="348"/>
      <c r="M1342" s="6"/>
      <c r="N1342" s="6"/>
      <c r="O1342" s="189"/>
      <c r="P1342" s="7"/>
      <c r="Q1342" s="7"/>
      <c r="R1342" s="7"/>
      <c r="S1342" s="18"/>
      <c r="T1342" s="18"/>
      <c r="U1342" s="7"/>
      <c r="V1342" s="220"/>
      <c r="W1342" s="47"/>
      <c r="X1342" s="57"/>
      <c r="Y1342" s="177"/>
      <c r="Z1342" s="6"/>
      <c r="AA1342" s="6"/>
      <c r="AB1342" s="6"/>
      <c r="AC1342" s="6"/>
      <c r="AD1342" s="330"/>
    </row>
    <row r="1343" spans="1:39" s="9" customFormat="1" x14ac:dyDescent="0.2">
      <c r="A1343" s="328"/>
      <c r="B1343" s="16" t="s">
        <v>36</v>
      </c>
      <c r="C1343" s="16" t="s">
        <v>37</v>
      </c>
      <c r="D1343" s="7" t="s">
        <v>1527</v>
      </c>
      <c r="E1343" s="7"/>
      <c r="F1343" s="6" t="s">
        <v>1528</v>
      </c>
      <c r="G1343" s="6" t="s">
        <v>39</v>
      </c>
      <c r="H1343" s="17">
        <v>810</v>
      </c>
      <c r="I1343" s="39"/>
      <c r="J1343" s="18">
        <v>38740</v>
      </c>
      <c r="K1343" s="331">
        <v>33</v>
      </c>
      <c r="L1343" s="348">
        <f>+J1343+K1343</f>
        <v>38773</v>
      </c>
      <c r="M1343" s="18" t="s">
        <v>41</v>
      </c>
      <c r="N1343" s="6" t="s">
        <v>42</v>
      </c>
      <c r="O1343" s="18">
        <v>38771</v>
      </c>
      <c r="P1343" s="331">
        <f>IF(S1343="","",+S1343-L1343)</f>
        <v>6</v>
      </c>
      <c r="Q1343" s="331"/>
      <c r="R1343" s="331"/>
      <c r="S1343" s="349">
        <v>38779</v>
      </c>
      <c r="T1343" s="349">
        <f>+S1343+20</f>
        <v>38799</v>
      </c>
      <c r="U1343" s="331">
        <f>IF(T1343="","",+T1343-J1343)</f>
        <v>59</v>
      </c>
      <c r="V1343" s="6" t="s">
        <v>1494</v>
      </c>
      <c r="W1343" s="341" t="s">
        <v>1529</v>
      </c>
      <c r="X1343" s="59"/>
      <c r="Y1343" s="177"/>
      <c r="Z1343" s="6">
        <v>6505491635</v>
      </c>
      <c r="AA1343" s="6" t="s">
        <v>47</v>
      </c>
      <c r="AB1343" s="6" t="s">
        <v>47</v>
      </c>
      <c r="AC1343" s="18"/>
      <c r="AD1343" s="10" t="str">
        <f>IF(S1343&lt;=L1343,"en término","atrasado")</f>
        <v>atrasado</v>
      </c>
    </row>
    <row r="1344" spans="1:39" s="9" customFormat="1" ht="12" thickBot="1" x14ac:dyDescent="0.25">
      <c r="A1344" s="328"/>
      <c r="B1344" s="19"/>
      <c r="C1344" s="19"/>
      <c r="D1344" s="5"/>
      <c r="E1344" s="5"/>
      <c r="F1344" s="5"/>
      <c r="G1344" s="5"/>
      <c r="H1344" s="105"/>
      <c r="I1344" s="21"/>
      <c r="J1344" s="27"/>
      <c r="K1344" s="27"/>
      <c r="L1344" s="187"/>
      <c r="M1344" s="5"/>
      <c r="N1344" s="5"/>
      <c r="O1344" s="187"/>
      <c r="P1344" s="5"/>
      <c r="Q1344" s="5"/>
      <c r="R1344" s="5"/>
      <c r="S1344" s="187"/>
      <c r="T1344" s="187"/>
      <c r="U1344" s="5"/>
      <c r="V1344" s="224"/>
      <c r="W1344" s="36"/>
      <c r="X1344" s="61"/>
      <c r="Y1344" s="182"/>
      <c r="Z1344" s="5"/>
      <c r="AA1344" s="27">
        <v>38800</v>
      </c>
      <c r="AB1344" s="27" t="s">
        <v>1530</v>
      </c>
      <c r="AC1344" s="5"/>
      <c r="AD1344" s="330"/>
    </row>
    <row r="1345" spans="1:30" s="9" customFormat="1" x14ac:dyDescent="0.2">
      <c r="A1345" s="328"/>
      <c r="B1345" s="11"/>
      <c r="C1345" s="16"/>
      <c r="D1345" s="7"/>
      <c r="E1345" s="7"/>
      <c r="F1345" s="6"/>
      <c r="G1345" s="6"/>
      <c r="H1345" s="17"/>
      <c r="I1345" s="17"/>
      <c r="J1345" s="7"/>
      <c r="K1345" s="7"/>
      <c r="L1345" s="348"/>
      <c r="M1345" s="6"/>
      <c r="N1345" s="6"/>
      <c r="O1345" s="189"/>
      <c r="P1345" s="7"/>
      <c r="Q1345" s="7"/>
      <c r="R1345" s="7"/>
      <c r="S1345" s="18" t="s">
        <v>1531</v>
      </c>
      <c r="T1345" s="18" t="s">
        <v>1532</v>
      </c>
      <c r="U1345" s="7"/>
      <c r="V1345" s="220" t="s">
        <v>1533</v>
      </c>
      <c r="W1345" s="47"/>
      <c r="X1345" s="12"/>
      <c r="Y1345" s="177"/>
      <c r="Z1345" s="6">
        <v>6505491624</v>
      </c>
      <c r="AA1345" s="6"/>
      <c r="AB1345" s="6"/>
      <c r="AC1345" s="6"/>
      <c r="AD1345" s="28"/>
    </row>
    <row r="1346" spans="1:30" s="9" customFormat="1" x14ac:dyDescent="0.2">
      <c r="A1346" s="328"/>
      <c r="B1346" s="16" t="s">
        <v>36</v>
      </c>
      <c r="C1346" s="16" t="s">
        <v>133</v>
      </c>
      <c r="D1346" s="7" t="s">
        <v>1534</v>
      </c>
      <c r="E1346" s="7"/>
      <c r="F1346" s="6">
        <v>4500011032</v>
      </c>
      <c r="G1346" s="6" t="s">
        <v>1535</v>
      </c>
      <c r="H1346" s="17">
        <v>5130</v>
      </c>
      <c r="I1346" s="39" t="s">
        <v>142</v>
      </c>
      <c r="J1346" s="18">
        <v>38761</v>
      </c>
      <c r="K1346" s="331">
        <v>48</v>
      </c>
      <c r="L1346" s="348">
        <f>+J1346+K1346</f>
        <v>38809</v>
      </c>
      <c r="M1346" s="18" t="s">
        <v>41</v>
      </c>
      <c r="N1346" s="6" t="s">
        <v>42</v>
      </c>
      <c r="O1346" s="18">
        <v>38800</v>
      </c>
      <c r="P1346" s="331">
        <f>IF(S1346="","",+S1346-L1346)</f>
        <v>5</v>
      </c>
      <c r="Q1346" s="331"/>
      <c r="R1346" s="331"/>
      <c r="S1346" s="349">
        <v>38814</v>
      </c>
      <c r="T1346" s="349">
        <v>38818</v>
      </c>
      <c r="U1346" s="331">
        <f>IF(T1346="","",+T1346-J1346)</f>
        <v>57</v>
      </c>
      <c r="V1346" s="6" t="s">
        <v>119</v>
      </c>
      <c r="W1346" s="341">
        <v>103</v>
      </c>
      <c r="X1346" s="6" t="s">
        <v>47</v>
      </c>
      <c r="Y1346" s="177"/>
      <c r="Z1346" s="6">
        <v>6505491613</v>
      </c>
      <c r="AA1346" s="6"/>
      <c r="AB1346" s="6" t="s">
        <v>47</v>
      </c>
      <c r="AC1346" s="18"/>
      <c r="AD1346" s="10" t="str">
        <f>IF(S1346&lt;=L1346,"en término","atrasado")</f>
        <v>atrasado</v>
      </c>
    </row>
    <row r="1347" spans="1:30" s="9" customFormat="1" ht="16.5" customHeight="1" thickBot="1" x14ac:dyDescent="0.25">
      <c r="A1347" s="328"/>
      <c r="B1347" s="19"/>
      <c r="C1347" s="19"/>
      <c r="D1347" s="5"/>
      <c r="E1347" s="5"/>
      <c r="F1347" s="5"/>
      <c r="G1347" s="5"/>
      <c r="H1347" s="105"/>
      <c r="I1347" s="21"/>
      <c r="J1347" s="27"/>
      <c r="K1347" s="27"/>
      <c r="L1347" s="187"/>
      <c r="M1347" s="5"/>
      <c r="N1347" s="5"/>
      <c r="O1347" s="187"/>
      <c r="P1347" s="5"/>
      <c r="Q1347" s="5"/>
      <c r="R1347" s="5"/>
      <c r="S1347" s="5"/>
      <c r="T1347" s="187"/>
      <c r="U1347" s="5"/>
      <c r="V1347" s="224" t="s">
        <v>1536</v>
      </c>
      <c r="W1347" s="36"/>
      <c r="X1347" s="5"/>
      <c r="Y1347" s="182"/>
      <c r="Z1347" s="5"/>
      <c r="AA1347" s="5"/>
      <c r="AB1347" s="5">
        <v>38826</v>
      </c>
      <c r="AC1347" s="27"/>
      <c r="AD1347" s="28"/>
    </row>
    <row r="1348" spans="1:30" s="9" customFormat="1" ht="15" customHeight="1" x14ac:dyDescent="0.2">
      <c r="A1348" s="328"/>
      <c r="B1348" s="11"/>
      <c r="C1348" s="16"/>
      <c r="D1348" s="7"/>
      <c r="E1348" s="7"/>
      <c r="F1348" s="6"/>
      <c r="G1348" s="6"/>
      <c r="H1348" s="17"/>
      <c r="I1348" s="17"/>
      <c r="J1348" s="7"/>
      <c r="K1348" s="7"/>
      <c r="L1348" s="348"/>
      <c r="M1348" s="6"/>
      <c r="N1348" s="6"/>
      <c r="O1348" s="189"/>
      <c r="P1348" s="7"/>
      <c r="Q1348" s="7"/>
      <c r="R1348" s="7"/>
      <c r="S1348" s="18"/>
      <c r="T1348" s="18"/>
      <c r="U1348" s="7"/>
      <c r="V1348" s="220"/>
      <c r="W1348" s="47"/>
      <c r="X1348" s="12"/>
      <c r="Y1348" s="177"/>
      <c r="Z1348" s="6"/>
      <c r="AA1348" s="6"/>
      <c r="AB1348" s="6" t="s">
        <v>1537</v>
      </c>
      <c r="AC1348" s="1608" t="s">
        <v>1538</v>
      </c>
      <c r="AD1348" s="28"/>
    </row>
    <row r="1349" spans="1:30" s="9" customFormat="1" ht="14.25" customHeight="1" x14ac:dyDescent="0.2">
      <c r="A1349" s="328"/>
      <c r="B1349" s="16" t="s">
        <v>36</v>
      </c>
      <c r="C1349" s="16" t="s">
        <v>133</v>
      </c>
      <c r="D1349" s="7" t="s">
        <v>1221</v>
      </c>
      <c r="E1349" s="7"/>
      <c r="F1349" s="6" t="s">
        <v>1222</v>
      </c>
      <c r="G1349" s="6" t="s">
        <v>39</v>
      </c>
      <c r="H1349" s="17">
        <v>118056.91</v>
      </c>
      <c r="I1349" s="39" t="s">
        <v>40</v>
      </c>
      <c r="J1349" s="18">
        <v>38733</v>
      </c>
      <c r="K1349" s="331">
        <v>92</v>
      </c>
      <c r="L1349" s="348">
        <f>+J1349+K1349</f>
        <v>38825</v>
      </c>
      <c r="M1349" s="18" t="s">
        <v>41</v>
      </c>
      <c r="N1349" s="6" t="s">
        <v>42</v>
      </c>
      <c r="O1349" s="18">
        <v>38826</v>
      </c>
      <c r="P1349" s="331">
        <f>IF(S1349="","",+S1349-L1349)</f>
        <v>24</v>
      </c>
      <c r="Q1349" s="331"/>
      <c r="R1349" s="331"/>
      <c r="S1349" s="349">
        <v>38849</v>
      </c>
      <c r="T1349" s="349">
        <v>38867</v>
      </c>
      <c r="U1349" s="331">
        <f>IF(T1349="","",+T1349-J1349)</f>
        <v>134</v>
      </c>
      <c r="V1349" s="6" t="s">
        <v>1367</v>
      </c>
      <c r="W1349" s="341">
        <v>107</v>
      </c>
      <c r="X1349" s="6" t="s">
        <v>47</v>
      </c>
      <c r="Y1349" s="177"/>
      <c r="Z1349" s="6">
        <v>6505731724</v>
      </c>
      <c r="AA1349" s="6" t="s">
        <v>47</v>
      </c>
      <c r="AB1349" s="6" t="s">
        <v>47</v>
      </c>
      <c r="AC1349" s="1609"/>
      <c r="AD1349" s="10" t="str">
        <f>IF(S1349&lt;=L1349,"en término","atrasado")</f>
        <v>atrasado</v>
      </c>
    </row>
    <row r="1350" spans="1:30" s="9" customFormat="1" ht="15.75" customHeight="1" thickBot="1" x14ac:dyDescent="0.25">
      <c r="A1350" s="328"/>
      <c r="B1350" s="19"/>
      <c r="C1350" s="19"/>
      <c r="D1350" s="5"/>
      <c r="E1350" s="5"/>
      <c r="F1350" s="5" t="s">
        <v>1539</v>
      </c>
      <c r="G1350" s="5"/>
      <c r="H1350" s="352"/>
      <c r="I1350" s="359"/>
      <c r="J1350" s="27"/>
      <c r="K1350" s="27"/>
      <c r="L1350" s="187"/>
      <c r="M1350" s="5"/>
      <c r="N1350" s="5"/>
      <c r="O1350" s="187"/>
      <c r="P1350" s="5"/>
      <c r="Q1350" s="5"/>
      <c r="R1350" s="5"/>
      <c r="S1350" s="5" t="s">
        <v>1149</v>
      </c>
      <c r="T1350" s="187"/>
      <c r="U1350" s="5"/>
      <c r="V1350" s="224"/>
      <c r="W1350" s="36"/>
      <c r="X1350" s="5"/>
      <c r="Y1350" s="182"/>
      <c r="Z1350" s="5"/>
      <c r="AA1350" s="27">
        <v>38867</v>
      </c>
      <c r="AB1350" s="27">
        <v>38910</v>
      </c>
      <c r="AC1350" s="1610"/>
      <c r="AD1350" s="28"/>
    </row>
    <row r="1351" spans="1:30" s="9" customFormat="1" x14ac:dyDescent="0.2">
      <c r="A1351" s="328"/>
      <c r="B1351" s="11"/>
      <c r="C1351" s="16"/>
      <c r="D1351" s="7"/>
      <c r="E1351" s="7"/>
      <c r="F1351" s="6"/>
      <c r="G1351" s="6"/>
      <c r="H1351" s="17"/>
      <c r="I1351" s="17"/>
      <c r="J1351" s="7"/>
      <c r="K1351" s="7"/>
      <c r="L1351" s="348"/>
      <c r="M1351" s="6"/>
      <c r="N1351" s="6"/>
      <c r="O1351" s="189"/>
      <c r="P1351" s="7"/>
      <c r="Q1351" s="7"/>
      <c r="R1351" s="7"/>
      <c r="S1351" s="18"/>
      <c r="T1351" s="18"/>
      <c r="U1351" s="7"/>
      <c r="V1351" s="220"/>
      <c r="W1351" s="47"/>
      <c r="X1351" s="12"/>
      <c r="Y1351" s="177"/>
      <c r="Z1351" s="6"/>
      <c r="AA1351" s="6"/>
      <c r="AB1351" s="6" t="s">
        <v>1540</v>
      </c>
      <c r="AC1351" s="1608" t="s">
        <v>1541</v>
      </c>
      <c r="AD1351" s="28"/>
    </row>
    <row r="1352" spans="1:30" s="9" customFormat="1" x14ac:dyDescent="0.2">
      <c r="A1352" s="328"/>
      <c r="B1352" s="16" t="s">
        <v>36</v>
      </c>
      <c r="C1352" s="16" t="s">
        <v>133</v>
      </c>
      <c r="D1352" s="7" t="s">
        <v>1221</v>
      </c>
      <c r="E1352" s="7"/>
      <c r="F1352" s="6" t="s">
        <v>1222</v>
      </c>
      <c r="G1352" s="6" t="s">
        <v>39</v>
      </c>
      <c r="H1352" s="17">
        <v>103483.22</v>
      </c>
      <c r="I1352" s="39" t="s">
        <v>62</v>
      </c>
      <c r="J1352" s="18">
        <v>38742</v>
      </c>
      <c r="K1352" s="331">
        <v>95</v>
      </c>
      <c r="L1352" s="348">
        <f>+J1352+K1352</f>
        <v>38837</v>
      </c>
      <c r="M1352" s="18" t="s">
        <v>41</v>
      </c>
      <c r="N1352" s="6" t="s">
        <v>42</v>
      </c>
      <c r="O1352" s="18">
        <v>38826</v>
      </c>
      <c r="P1352" s="331">
        <f>IF(S1352="","",+S1352-L1352)</f>
        <v>12</v>
      </c>
      <c r="Q1352" s="331"/>
      <c r="R1352" s="331"/>
      <c r="S1352" s="349">
        <v>38849</v>
      </c>
      <c r="T1352" s="349">
        <v>38867</v>
      </c>
      <c r="U1352" s="331">
        <f>IF(T1352="","",+T1352-J1352)</f>
        <v>125</v>
      </c>
      <c r="V1352" s="6" t="s">
        <v>1542</v>
      </c>
      <c r="W1352" s="341">
        <v>108</v>
      </c>
      <c r="X1352" s="6" t="s">
        <v>47</v>
      </c>
      <c r="Y1352" s="177"/>
      <c r="Z1352" s="6">
        <v>6505731724</v>
      </c>
      <c r="AA1352" s="6" t="s">
        <v>47</v>
      </c>
      <c r="AB1352" s="6" t="s">
        <v>47</v>
      </c>
      <c r="AC1352" s="1609"/>
      <c r="AD1352" s="10" t="str">
        <f>IF(S1352&lt;=L1352,"en término","atrasado")</f>
        <v>atrasado</v>
      </c>
    </row>
    <row r="1353" spans="1:30" s="9" customFormat="1" ht="12" thickBot="1" x14ac:dyDescent="0.25">
      <c r="A1353" s="328"/>
      <c r="B1353" s="19"/>
      <c r="C1353" s="19"/>
      <c r="D1353" s="5"/>
      <c r="E1353" s="5"/>
      <c r="F1353" s="5" t="s">
        <v>1543</v>
      </c>
      <c r="G1353" s="5"/>
      <c r="H1353" s="352"/>
      <c r="I1353" s="359"/>
      <c r="J1353" s="27"/>
      <c r="K1353" s="27"/>
      <c r="L1353" s="187"/>
      <c r="M1353" s="5"/>
      <c r="N1353" s="5"/>
      <c r="O1353" s="187"/>
      <c r="P1353" s="5"/>
      <c r="Q1353" s="5"/>
      <c r="R1353" s="5"/>
      <c r="S1353" s="5" t="s">
        <v>1149</v>
      </c>
      <c r="T1353" s="187"/>
      <c r="U1353" s="5"/>
      <c r="V1353" s="224"/>
      <c r="W1353" s="36"/>
      <c r="X1353" s="5"/>
      <c r="Y1353" s="182"/>
      <c r="Z1353" s="5"/>
      <c r="AA1353" s="27">
        <v>38867</v>
      </c>
      <c r="AB1353" s="27">
        <v>38910</v>
      </c>
      <c r="AC1353" s="1610"/>
      <c r="AD1353" s="28"/>
    </row>
    <row r="1354" spans="1:30" s="9" customFormat="1" ht="15.75" customHeight="1" x14ac:dyDescent="0.2">
      <c r="A1354" s="328"/>
      <c r="B1354" s="11"/>
      <c r="C1354" s="16"/>
      <c r="D1354" s="7"/>
      <c r="E1354" s="7"/>
      <c r="F1354" s="6"/>
      <c r="G1354" s="6"/>
      <c r="H1354" s="193"/>
      <c r="I1354" s="193"/>
      <c r="J1354" s="7"/>
      <c r="K1354" s="7"/>
      <c r="L1354" s="348"/>
      <c r="M1354" s="6"/>
      <c r="N1354" s="6"/>
      <c r="O1354" s="189"/>
      <c r="P1354" s="7"/>
      <c r="Q1354" s="7"/>
      <c r="R1354" s="7"/>
      <c r="S1354" s="18"/>
      <c r="T1354" s="18"/>
      <c r="U1354" s="7"/>
      <c r="V1354" s="220"/>
      <c r="W1354" s="47"/>
      <c r="X1354" s="12"/>
      <c r="Y1354" s="177"/>
      <c r="Z1354" s="6"/>
      <c r="AA1354" s="6"/>
      <c r="AB1354" s="6" t="s">
        <v>1544</v>
      </c>
      <c r="AC1354" s="1608" t="s">
        <v>1538</v>
      </c>
      <c r="AD1354" s="28"/>
    </row>
    <row r="1355" spans="1:30" s="9" customFormat="1" ht="15" customHeight="1" x14ac:dyDescent="0.2">
      <c r="A1355" s="328"/>
      <c r="B1355" s="16" t="s">
        <v>36</v>
      </c>
      <c r="C1355" s="16" t="s">
        <v>133</v>
      </c>
      <c r="D1355" s="7" t="s">
        <v>1221</v>
      </c>
      <c r="E1355" s="7"/>
      <c r="F1355" s="6" t="s">
        <v>1222</v>
      </c>
      <c r="G1355" s="6" t="s">
        <v>39</v>
      </c>
      <c r="H1355" s="17">
        <v>980.89</v>
      </c>
      <c r="I1355" s="39" t="s">
        <v>52</v>
      </c>
      <c r="J1355" s="18">
        <v>38768</v>
      </c>
      <c r="K1355" s="331">
        <v>40</v>
      </c>
      <c r="L1355" s="348">
        <f>+J1355+K1355</f>
        <v>38808</v>
      </c>
      <c r="M1355" s="18" t="s">
        <v>41</v>
      </c>
      <c r="N1355" s="6" t="s">
        <v>42</v>
      </c>
      <c r="O1355" s="18">
        <v>38826</v>
      </c>
      <c r="P1355" s="331">
        <f>IF(S1355="","",+S1355-L1355)</f>
        <v>41</v>
      </c>
      <c r="Q1355" s="331"/>
      <c r="R1355" s="331"/>
      <c r="S1355" s="349">
        <v>38849</v>
      </c>
      <c r="T1355" s="349">
        <v>38867</v>
      </c>
      <c r="U1355" s="331">
        <f>IF(T1355="","",+T1355-J1355)</f>
        <v>99</v>
      </c>
      <c r="V1355" s="6" t="s">
        <v>1463</v>
      </c>
      <c r="W1355" s="341">
        <v>110</v>
      </c>
      <c r="X1355" s="6" t="s">
        <v>47</v>
      </c>
      <c r="Y1355" s="177"/>
      <c r="Z1355" s="6">
        <v>6505731724</v>
      </c>
      <c r="AA1355" s="6" t="s">
        <v>47</v>
      </c>
      <c r="AB1355" s="6" t="s">
        <v>47</v>
      </c>
      <c r="AC1355" s="1609"/>
      <c r="AD1355" s="10" t="str">
        <f>IF(S1355&lt;=L1355,"en término","atrasado")</f>
        <v>atrasado</v>
      </c>
    </row>
    <row r="1356" spans="1:30" s="9" customFormat="1" ht="15.75" customHeight="1" thickBot="1" x14ac:dyDescent="0.25">
      <c r="A1356" s="328"/>
      <c r="B1356" s="19"/>
      <c r="C1356" s="19"/>
      <c r="D1356" s="5"/>
      <c r="E1356" s="5"/>
      <c r="F1356" s="5" t="s">
        <v>1545</v>
      </c>
      <c r="G1356" s="5"/>
      <c r="H1356" s="352"/>
      <c r="I1356" s="359"/>
      <c r="J1356" s="27"/>
      <c r="K1356" s="27"/>
      <c r="L1356" s="360"/>
      <c r="M1356" s="5"/>
      <c r="N1356" s="5"/>
      <c r="O1356" s="187"/>
      <c r="P1356" s="5"/>
      <c r="Q1356" s="5"/>
      <c r="R1356" s="5"/>
      <c r="S1356" s="5" t="s">
        <v>1149</v>
      </c>
      <c r="T1356" s="187"/>
      <c r="U1356" s="5"/>
      <c r="V1356" s="224"/>
      <c r="W1356" s="36"/>
      <c r="X1356" s="5"/>
      <c r="Y1356" s="182"/>
      <c r="Z1356" s="5"/>
      <c r="AA1356" s="27">
        <v>38867</v>
      </c>
      <c r="AB1356" s="27">
        <v>38909</v>
      </c>
      <c r="AC1356" s="1610"/>
      <c r="AD1356" s="28"/>
    </row>
    <row r="1357" spans="1:30" s="9" customFormat="1" ht="13.5" customHeight="1" x14ac:dyDescent="0.2">
      <c r="A1357" s="328"/>
      <c r="B1357" s="11"/>
      <c r="C1357" s="16"/>
      <c r="D1357" s="7"/>
      <c r="E1357" s="7"/>
      <c r="F1357" s="6"/>
      <c r="G1357" s="6"/>
      <c r="H1357" s="17"/>
      <c r="I1357" s="193"/>
      <c r="J1357" s="7"/>
      <c r="K1357" s="7"/>
      <c r="L1357" s="348"/>
      <c r="M1357" s="6"/>
      <c r="N1357" s="6"/>
      <c r="O1357" s="189"/>
      <c r="P1357" s="7"/>
      <c r="Q1357" s="7"/>
      <c r="R1357" s="7"/>
      <c r="S1357" s="18"/>
      <c r="T1357" s="18"/>
      <c r="U1357" s="7"/>
      <c r="V1357" s="220"/>
      <c r="W1357" s="47"/>
      <c r="X1357" s="12"/>
      <c r="Y1357" s="177"/>
      <c r="Z1357" s="6"/>
      <c r="AA1357" s="6"/>
      <c r="AB1357" s="6" t="s">
        <v>1546</v>
      </c>
      <c r="AC1357" s="1608" t="s">
        <v>1538</v>
      </c>
      <c r="AD1357" s="28"/>
    </row>
    <row r="1358" spans="1:30" s="9" customFormat="1" ht="14.25" customHeight="1" x14ac:dyDescent="0.2">
      <c r="A1358" s="328"/>
      <c r="B1358" s="16" t="s">
        <v>36</v>
      </c>
      <c r="C1358" s="16" t="s">
        <v>133</v>
      </c>
      <c r="D1358" s="7" t="s">
        <v>1221</v>
      </c>
      <c r="E1358" s="7"/>
      <c r="F1358" s="6" t="s">
        <v>1222</v>
      </c>
      <c r="G1358" s="6" t="s">
        <v>39</v>
      </c>
      <c r="H1358" s="17">
        <v>684.71</v>
      </c>
      <c r="I1358" s="39" t="s">
        <v>52</v>
      </c>
      <c r="J1358" s="18">
        <v>38796</v>
      </c>
      <c r="K1358" s="331">
        <v>42</v>
      </c>
      <c r="L1358" s="348">
        <f>+J1358+K1358</f>
        <v>38838</v>
      </c>
      <c r="M1358" s="18" t="s">
        <v>41</v>
      </c>
      <c r="N1358" s="6" t="s">
        <v>42</v>
      </c>
      <c r="O1358" s="18">
        <v>38826</v>
      </c>
      <c r="P1358" s="331">
        <f>IF(S1358="","",+S1358-L1358)</f>
        <v>11</v>
      </c>
      <c r="Q1358" s="331"/>
      <c r="R1358" s="331"/>
      <c r="S1358" s="349">
        <v>38849</v>
      </c>
      <c r="T1358" s="349">
        <v>38867</v>
      </c>
      <c r="U1358" s="331">
        <f>IF(T1358="","",+T1358-J1358)</f>
        <v>71</v>
      </c>
      <c r="V1358" s="6" t="s">
        <v>1463</v>
      </c>
      <c r="W1358" s="341">
        <v>111</v>
      </c>
      <c r="X1358" s="6" t="s">
        <v>47</v>
      </c>
      <c r="Y1358" s="177"/>
      <c r="Z1358" s="6">
        <v>6505731724</v>
      </c>
      <c r="AA1358" s="6" t="s">
        <v>47</v>
      </c>
      <c r="AB1358" s="6" t="s">
        <v>47</v>
      </c>
      <c r="AC1358" s="1609"/>
      <c r="AD1358" s="10" t="str">
        <f>IF(S1358&lt;=L1358,"en término","atrasado")</f>
        <v>atrasado</v>
      </c>
    </row>
    <row r="1359" spans="1:30" s="9" customFormat="1" ht="16.5" customHeight="1" thickBot="1" x14ac:dyDescent="0.25">
      <c r="A1359" s="328"/>
      <c r="B1359" s="19"/>
      <c r="C1359" s="19"/>
      <c r="D1359" s="5"/>
      <c r="E1359" s="5"/>
      <c r="F1359" s="5" t="s">
        <v>1547</v>
      </c>
      <c r="G1359" s="5"/>
      <c r="H1359" s="352"/>
      <c r="I1359" s="359"/>
      <c r="J1359" s="27"/>
      <c r="K1359" s="27"/>
      <c r="L1359" s="360"/>
      <c r="M1359" s="5"/>
      <c r="N1359" s="5"/>
      <c r="O1359" s="187"/>
      <c r="P1359" s="5"/>
      <c r="Q1359" s="5"/>
      <c r="R1359" s="5"/>
      <c r="S1359" s="5" t="s">
        <v>1149</v>
      </c>
      <c r="T1359" s="187"/>
      <c r="U1359" s="5"/>
      <c r="V1359" s="224"/>
      <c r="W1359" s="36"/>
      <c r="X1359" s="5"/>
      <c r="Y1359" s="182"/>
      <c r="Z1359" s="5"/>
      <c r="AA1359" s="27">
        <v>38867</v>
      </c>
      <c r="AB1359" s="27">
        <v>38909</v>
      </c>
      <c r="AC1359" s="1610"/>
      <c r="AD1359" s="28"/>
    </row>
    <row r="1360" spans="1:30" s="9" customFormat="1" ht="15" customHeight="1" x14ac:dyDescent="0.2">
      <c r="A1360" s="328"/>
      <c r="B1360" s="11"/>
      <c r="C1360" s="16"/>
      <c r="D1360" s="7"/>
      <c r="E1360" s="7"/>
      <c r="F1360" s="6"/>
      <c r="G1360" s="6"/>
      <c r="H1360" s="17"/>
      <c r="I1360" s="17"/>
      <c r="J1360" s="7"/>
      <c r="K1360" s="7"/>
      <c r="L1360" s="348"/>
      <c r="M1360" s="6"/>
      <c r="N1360" s="6"/>
      <c r="O1360" s="189"/>
      <c r="P1360" s="7"/>
      <c r="Q1360" s="7"/>
      <c r="R1360" s="7"/>
      <c r="S1360" s="18"/>
      <c r="T1360" s="18"/>
      <c r="U1360" s="7"/>
      <c r="V1360" s="220"/>
      <c r="W1360" s="47"/>
      <c r="X1360" s="12"/>
      <c r="Y1360" s="177"/>
      <c r="Z1360" s="6"/>
      <c r="AA1360" s="6"/>
      <c r="AB1360" s="6" t="s">
        <v>1548</v>
      </c>
      <c r="AC1360" s="1608" t="s">
        <v>1538</v>
      </c>
      <c r="AD1360" s="28"/>
    </row>
    <row r="1361" spans="1:30" s="9" customFormat="1" ht="14.25" customHeight="1" x14ac:dyDescent="0.2">
      <c r="A1361" s="328"/>
      <c r="B1361" s="16" t="s">
        <v>36</v>
      </c>
      <c r="C1361" s="16" t="s">
        <v>133</v>
      </c>
      <c r="D1361" s="7" t="s">
        <v>1334</v>
      </c>
      <c r="E1361" s="7"/>
      <c r="F1361" s="6" t="s">
        <v>1335</v>
      </c>
      <c r="G1361" s="6" t="s">
        <v>39</v>
      </c>
      <c r="H1361" s="17">
        <v>7100.52</v>
      </c>
      <c r="I1361" s="39" t="s">
        <v>52</v>
      </c>
      <c r="J1361" s="18">
        <v>38768</v>
      </c>
      <c r="K1361" s="331">
        <v>40</v>
      </c>
      <c r="L1361" s="348">
        <f>+J1361+K1361</f>
        <v>38808</v>
      </c>
      <c r="M1361" s="18" t="s">
        <v>41</v>
      </c>
      <c r="N1361" s="6" t="s">
        <v>42</v>
      </c>
      <c r="O1361" s="18">
        <v>38826</v>
      </c>
      <c r="P1361" s="331">
        <f>IF(S1361="","",+S1361-L1361)</f>
        <v>41</v>
      </c>
      <c r="Q1361" s="331"/>
      <c r="R1361" s="331"/>
      <c r="S1361" s="349">
        <v>38849</v>
      </c>
      <c r="T1361" s="349">
        <v>38867</v>
      </c>
      <c r="U1361" s="331">
        <f>IF(T1361="","",+T1361-J1361)</f>
        <v>99</v>
      </c>
      <c r="V1361" s="6" t="s">
        <v>1463</v>
      </c>
      <c r="W1361" s="341">
        <v>109</v>
      </c>
      <c r="X1361" s="6" t="s">
        <v>47</v>
      </c>
      <c r="Y1361" s="177"/>
      <c r="Z1361" s="6">
        <v>6505731724</v>
      </c>
      <c r="AA1361" s="6" t="s">
        <v>47</v>
      </c>
      <c r="AB1361" s="6" t="s">
        <v>47</v>
      </c>
      <c r="AC1361" s="1609"/>
      <c r="AD1361" s="10" t="str">
        <f>IF(S1361&lt;=L1361,"en término","atrasado")</f>
        <v>atrasado</v>
      </c>
    </row>
    <row r="1362" spans="1:30" s="9" customFormat="1" ht="16.5" customHeight="1" thickBot="1" x14ac:dyDescent="0.25">
      <c r="A1362" s="328"/>
      <c r="B1362" s="19"/>
      <c r="C1362" s="19"/>
      <c r="D1362" s="5"/>
      <c r="E1362" s="5"/>
      <c r="F1362" s="5" t="s">
        <v>1549</v>
      </c>
      <c r="G1362" s="5"/>
      <c r="H1362" s="105"/>
      <c r="I1362" s="21"/>
      <c r="J1362" s="27"/>
      <c r="K1362" s="27"/>
      <c r="L1362" s="187"/>
      <c r="M1362" s="5"/>
      <c r="N1362" s="5"/>
      <c r="O1362" s="187"/>
      <c r="P1362" s="5"/>
      <c r="Q1362" s="5"/>
      <c r="R1362" s="5"/>
      <c r="S1362" s="5" t="s">
        <v>1149</v>
      </c>
      <c r="T1362" s="187"/>
      <c r="U1362" s="5"/>
      <c r="V1362" s="224"/>
      <c r="W1362" s="36"/>
      <c r="X1362" s="5"/>
      <c r="Y1362" s="182"/>
      <c r="Z1362" s="5"/>
      <c r="AA1362" s="27">
        <v>38867</v>
      </c>
      <c r="AB1362" s="27">
        <v>38923</v>
      </c>
      <c r="AC1362" s="1610"/>
      <c r="AD1362" s="28"/>
    </row>
    <row r="1363" spans="1:30" s="9" customFormat="1" ht="11.25" customHeight="1" x14ac:dyDescent="0.2">
      <c r="A1363" s="328"/>
      <c r="B1363" s="11"/>
      <c r="C1363" s="16"/>
      <c r="D1363" s="7"/>
      <c r="E1363" s="7"/>
      <c r="F1363" s="6"/>
      <c r="G1363" s="39"/>
      <c r="H1363" s="17"/>
      <c r="I1363" s="17"/>
      <c r="J1363" s="7"/>
      <c r="K1363" s="7"/>
      <c r="L1363" s="348"/>
      <c r="M1363" s="6"/>
      <c r="N1363" s="6"/>
      <c r="O1363" s="189"/>
      <c r="P1363" s="7"/>
      <c r="Q1363" s="7"/>
      <c r="R1363" s="7"/>
      <c r="S1363" s="18"/>
      <c r="T1363" s="18"/>
      <c r="U1363" s="7"/>
      <c r="V1363" s="220"/>
      <c r="W1363" s="47"/>
      <c r="X1363" s="12"/>
      <c r="Y1363" s="177"/>
      <c r="Z1363" s="6"/>
      <c r="AA1363" s="6"/>
      <c r="AB1363" s="6"/>
      <c r="AC1363" s="1608" t="s">
        <v>1550</v>
      </c>
      <c r="AD1363" s="330"/>
    </row>
    <row r="1364" spans="1:30" s="9" customFormat="1" x14ac:dyDescent="0.2">
      <c r="A1364" s="328"/>
      <c r="B1364" s="16" t="s">
        <v>36</v>
      </c>
      <c r="C1364" s="16" t="s">
        <v>133</v>
      </c>
      <c r="D1364" s="7" t="s">
        <v>1334</v>
      </c>
      <c r="E1364" s="7"/>
      <c r="F1364" s="6" t="s">
        <v>1335</v>
      </c>
      <c r="G1364" s="6" t="s">
        <v>39</v>
      </c>
      <c r="H1364" s="17">
        <v>4617.3100000000004</v>
      </c>
      <c r="I1364" s="39" t="s">
        <v>52</v>
      </c>
      <c r="J1364" s="18">
        <v>38796</v>
      </c>
      <c r="K1364" s="331">
        <v>42</v>
      </c>
      <c r="L1364" s="348">
        <f>+J1364+K1364</f>
        <v>38838</v>
      </c>
      <c r="M1364" s="18" t="s">
        <v>41</v>
      </c>
      <c r="N1364" s="6" t="s">
        <v>42</v>
      </c>
      <c r="O1364" s="18">
        <v>38826</v>
      </c>
      <c r="P1364" s="331">
        <f>IF(S1364="","",+S1364-L1364)</f>
        <v>11</v>
      </c>
      <c r="Q1364" s="331"/>
      <c r="R1364" s="331"/>
      <c r="S1364" s="349">
        <v>38849</v>
      </c>
      <c r="T1364" s="349">
        <v>38867</v>
      </c>
      <c r="U1364" s="331">
        <f>IF(T1364="","",+T1364-J1364)</f>
        <v>71</v>
      </c>
      <c r="V1364" s="6" t="s">
        <v>1463</v>
      </c>
      <c r="W1364" s="341">
        <v>116</v>
      </c>
      <c r="X1364" s="6" t="s">
        <v>47</v>
      </c>
      <c r="Y1364" s="177"/>
      <c r="Z1364" s="6">
        <v>6505731724</v>
      </c>
      <c r="AA1364" s="6" t="s">
        <v>47</v>
      </c>
      <c r="AB1364" s="6" t="s">
        <v>1551</v>
      </c>
      <c r="AC1364" s="1609"/>
      <c r="AD1364" s="10" t="str">
        <f>IF(S1364&lt;=L1364,"en término","atrasado")</f>
        <v>atrasado</v>
      </c>
    </row>
    <row r="1365" spans="1:30" s="9" customFormat="1" ht="12" thickBot="1" x14ac:dyDescent="0.25">
      <c r="A1365" s="328"/>
      <c r="B1365" s="19"/>
      <c r="C1365" s="19"/>
      <c r="D1365" s="5"/>
      <c r="E1365" s="5"/>
      <c r="F1365" s="5" t="s">
        <v>1552</v>
      </c>
      <c r="G1365" s="5"/>
      <c r="H1365" s="105">
        <v>2324.4699999999998</v>
      </c>
      <c r="I1365" s="21"/>
      <c r="J1365" s="27"/>
      <c r="K1365" s="27"/>
      <c r="L1365" s="187"/>
      <c r="M1365" s="5"/>
      <c r="N1365" s="5"/>
      <c r="O1365" s="187"/>
      <c r="P1365" s="5"/>
      <c r="Q1365" s="5"/>
      <c r="R1365" s="5"/>
      <c r="S1365" s="5" t="s">
        <v>1149</v>
      </c>
      <c r="T1365" s="187"/>
      <c r="U1365" s="5"/>
      <c r="V1365" s="224"/>
      <c r="W1365" s="36">
        <v>112</v>
      </c>
      <c r="X1365" s="5"/>
      <c r="Y1365" s="182"/>
      <c r="Z1365" s="5"/>
      <c r="AA1365" s="27">
        <v>38867</v>
      </c>
      <c r="AB1365" s="27" t="s">
        <v>1553</v>
      </c>
      <c r="AC1365" s="1610"/>
      <c r="AD1365" s="330"/>
    </row>
    <row r="1366" spans="1:30" s="9" customFormat="1" x14ac:dyDescent="0.2">
      <c r="A1366" s="328"/>
      <c r="B1366" s="11"/>
      <c r="C1366" s="16"/>
      <c r="D1366" s="7"/>
      <c r="E1366" s="7"/>
      <c r="F1366" s="6"/>
      <c r="G1366" s="6"/>
      <c r="H1366" s="17"/>
      <c r="I1366" s="17"/>
      <c r="J1366" s="7"/>
      <c r="K1366" s="7"/>
      <c r="L1366" s="348"/>
      <c r="M1366" s="6"/>
      <c r="N1366" s="6"/>
      <c r="O1366" s="189"/>
      <c r="P1366" s="7"/>
      <c r="Q1366" s="7"/>
      <c r="R1366" s="7"/>
      <c r="S1366" s="18"/>
      <c r="T1366" s="18"/>
      <c r="U1366" s="7"/>
      <c r="V1366" s="220"/>
      <c r="W1366" s="47"/>
      <c r="X1366" s="57"/>
      <c r="Y1366" s="177"/>
      <c r="Z1366" s="6"/>
      <c r="AA1366" s="6"/>
      <c r="AB1366" s="6"/>
      <c r="AC1366" s="6"/>
      <c r="AD1366" s="330"/>
    </row>
    <row r="1367" spans="1:30" s="9" customFormat="1" x14ac:dyDescent="0.2">
      <c r="A1367" s="328"/>
      <c r="B1367" s="16" t="s">
        <v>36</v>
      </c>
      <c r="C1367" s="16" t="s">
        <v>37</v>
      </c>
      <c r="D1367" s="7" t="s">
        <v>1554</v>
      </c>
      <c r="E1367" s="7"/>
      <c r="F1367" s="6" t="s">
        <v>1555</v>
      </c>
      <c r="G1367" s="6" t="s">
        <v>39</v>
      </c>
      <c r="H1367" s="17">
        <v>84863</v>
      </c>
      <c r="I1367" s="39" t="s">
        <v>1556</v>
      </c>
      <c r="J1367" s="18">
        <v>38807</v>
      </c>
      <c r="K1367" s="331">
        <v>45</v>
      </c>
      <c r="L1367" s="348">
        <f>+J1367+K1367</f>
        <v>38852</v>
      </c>
      <c r="M1367" s="18" t="s">
        <v>41</v>
      </c>
      <c r="N1367" s="6" t="s">
        <v>42</v>
      </c>
      <c r="O1367" s="18">
        <v>38826</v>
      </c>
      <c r="P1367" s="331">
        <f>IF(S1367="","",+S1367-L1367)</f>
        <v>-3</v>
      </c>
      <c r="Q1367" s="331"/>
      <c r="R1367" s="331"/>
      <c r="S1367" s="349">
        <v>38849</v>
      </c>
      <c r="T1367" s="349">
        <v>38867</v>
      </c>
      <c r="U1367" s="331">
        <f>IF(T1367="","",+T1367-J1367)</f>
        <v>60</v>
      </c>
      <c r="V1367" s="6" t="s">
        <v>1557</v>
      </c>
      <c r="W1367" s="341">
        <v>113</v>
      </c>
      <c r="X1367" s="59"/>
      <c r="Y1367" s="177"/>
      <c r="Z1367" s="6">
        <v>6505731724</v>
      </c>
      <c r="AA1367" s="6" t="s">
        <v>47</v>
      </c>
      <c r="AB1367" s="6" t="s">
        <v>47</v>
      </c>
      <c r="AC1367" s="18"/>
      <c r="AD1367" s="10" t="str">
        <f>IF(S1367&lt;=L1367,"en término","atrasado")</f>
        <v>en término</v>
      </c>
    </row>
    <row r="1368" spans="1:30" s="9" customFormat="1" ht="12" thickBot="1" x14ac:dyDescent="0.25">
      <c r="A1368" s="328"/>
      <c r="B1368" s="19"/>
      <c r="C1368" s="19"/>
      <c r="D1368" s="5"/>
      <c r="E1368" s="5"/>
      <c r="F1368" s="5"/>
      <c r="G1368" s="5"/>
      <c r="H1368" s="105"/>
      <c r="I1368" s="21" t="s">
        <v>52</v>
      </c>
      <c r="J1368" s="27"/>
      <c r="K1368" s="27"/>
      <c r="L1368" s="187"/>
      <c r="M1368" s="5"/>
      <c r="N1368" s="5"/>
      <c r="O1368" s="187"/>
      <c r="P1368" s="5"/>
      <c r="Q1368" s="5"/>
      <c r="R1368" s="5"/>
      <c r="S1368" s="5" t="s">
        <v>1149</v>
      </c>
      <c r="T1368" s="187"/>
      <c r="U1368" s="5"/>
      <c r="V1368" s="224" t="s">
        <v>1558</v>
      </c>
      <c r="W1368" s="36"/>
      <c r="X1368" s="61"/>
      <c r="Y1368" s="182"/>
      <c r="Z1368" s="5"/>
      <c r="AA1368" s="27">
        <v>38873</v>
      </c>
      <c r="AB1368" s="27" t="s">
        <v>1530</v>
      </c>
      <c r="AC1368" s="5"/>
      <c r="AD1368" s="330"/>
    </row>
    <row r="1369" spans="1:30" s="9" customFormat="1" x14ac:dyDescent="0.2">
      <c r="A1369" s="328"/>
      <c r="B1369" s="11"/>
      <c r="C1369" s="16"/>
      <c r="D1369" s="7"/>
      <c r="E1369" s="7"/>
      <c r="F1369" s="6"/>
      <c r="G1369" s="6"/>
      <c r="H1369" s="17"/>
      <c r="I1369" s="17"/>
      <c r="J1369" s="7"/>
      <c r="K1369" s="7"/>
      <c r="L1369" s="348"/>
      <c r="M1369" s="6"/>
      <c r="N1369" s="6"/>
      <c r="O1369" s="189"/>
      <c r="P1369" s="7"/>
      <c r="Q1369" s="7"/>
      <c r="R1369" s="7"/>
      <c r="S1369" s="18"/>
      <c r="T1369" s="18"/>
      <c r="U1369" s="7"/>
      <c r="V1369" s="220"/>
      <c r="W1369" s="47"/>
      <c r="X1369" s="12"/>
      <c r="Y1369" s="177"/>
      <c r="Z1369" s="6"/>
      <c r="AA1369" s="6"/>
      <c r="AB1369" s="6"/>
      <c r="AC1369" s="6"/>
      <c r="AD1369" s="28"/>
    </row>
    <row r="1370" spans="1:30" s="9" customFormat="1" x14ac:dyDescent="0.2">
      <c r="A1370" s="328"/>
      <c r="B1370" s="16" t="s">
        <v>36</v>
      </c>
      <c r="C1370" s="16" t="s">
        <v>133</v>
      </c>
      <c r="D1370" s="7" t="s">
        <v>1221</v>
      </c>
      <c r="E1370" s="7"/>
      <c r="F1370" s="6" t="s">
        <v>1222</v>
      </c>
      <c r="G1370" s="6" t="s">
        <v>39</v>
      </c>
      <c r="H1370" s="17">
        <v>103702.53</v>
      </c>
      <c r="I1370" s="39" t="s">
        <v>40</v>
      </c>
      <c r="J1370" s="18">
        <v>38762</v>
      </c>
      <c r="K1370" s="331">
        <v>91</v>
      </c>
      <c r="L1370" s="348">
        <f>+J1370+K1370</f>
        <v>38853</v>
      </c>
      <c r="M1370" s="18" t="s">
        <v>41</v>
      </c>
      <c r="N1370" s="6" t="s">
        <v>42</v>
      </c>
      <c r="O1370" s="18">
        <v>38841</v>
      </c>
      <c r="P1370" s="331">
        <f>IF(S1370="","",+S1370-L1370)</f>
        <v>-4</v>
      </c>
      <c r="Q1370" s="331"/>
      <c r="R1370" s="331"/>
      <c r="S1370" s="349">
        <v>38849</v>
      </c>
      <c r="T1370" s="349">
        <v>38867</v>
      </c>
      <c r="U1370" s="331">
        <f>IF(T1370="","",+T1370-J1370)</f>
        <v>105</v>
      </c>
      <c r="V1370" s="6" t="s">
        <v>1559</v>
      </c>
      <c r="W1370" s="341">
        <v>115</v>
      </c>
      <c r="X1370" s="6" t="s">
        <v>47</v>
      </c>
      <c r="Y1370" s="177"/>
      <c r="Z1370" s="6">
        <v>6505731724</v>
      </c>
      <c r="AA1370" s="6" t="s">
        <v>47</v>
      </c>
      <c r="AB1370" s="6" t="s">
        <v>47</v>
      </c>
      <c r="AC1370" s="18"/>
      <c r="AD1370" s="10" t="str">
        <f>IF(S1370&lt;=L1370,"en término","atrasado")</f>
        <v>en término</v>
      </c>
    </row>
    <row r="1371" spans="1:30" s="9" customFormat="1" ht="12" thickBot="1" x14ac:dyDescent="0.25">
      <c r="A1371" s="328"/>
      <c r="B1371" s="19"/>
      <c r="C1371" s="19"/>
      <c r="D1371" s="5"/>
      <c r="E1371" s="5"/>
      <c r="F1371" s="5" t="s">
        <v>1560</v>
      </c>
      <c r="G1371" s="5"/>
      <c r="H1371" s="105"/>
      <c r="I1371" s="21"/>
      <c r="J1371" s="27"/>
      <c r="K1371" s="27"/>
      <c r="L1371" s="187"/>
      <c r="M1371" s="5"/>
      <c r="N1371" s="5"/>
      <c r="O1371" s="187"/>
      <c r="P1371" s="5"/>
      <c r="Q1371" s="5"/>
      <c r="R1371" s="5"/>
      <c r="S1371" s="5" t="s">
        <v>1149</v>
      </c>
      <c r="T1371" s="187"/>
      <c r="U1371" s="5"/>
      <c r="V1371" s="224"/>
      <c r="W1371" s="36"/>
      <c r="X1371" s="5"/>
      <c r="Y1371" s="182"/>
      <c r="Z1371" s="5"/>
      <c r="AA1371" s="27">
        <v>38867</v>
      </c>
      <c r="AB1371" s="27">
        <v>38910</v>
      </c>
      <c r="AC1371" s="27"/>
      <c r="AD1371" s="28"/>
    </row>
    <row r="1372" spans="1:30" s="9" customFormat="1" x14ac:dyDescent="0.2">
      <c r="A1372" s="328"/>
      <c r="B1372" s="11"/>
      <c r="C1372" s="16"/>
      <c r="D1372" s="7"/>
      <c r="E1372" s="7"/>
      <c r="F1372" s="6"/>
      <c r="G1372" s="6"/>
      <c r="H1372" s="17"/>
      <c r="I1372" s="17"/>
      <c r="J1372" s="7"/>
      <c r="K1372" s="7"/>
      <c r="L1372" s="348"/>
      <c r="M1372" s="6"/>
      <c r="N1372" s="6"/>
      <c r="O1372" s="189"/>
      <c r="P1372" s="7"/>
      <c r="Q1372" s="7"/>
      <c r="R1372" s="7"/>
      <c r="S1372" s="18"/>
      <c r="T1372" s="18"/>
      <c r="U1372" s="7"/>
      <c r="V1372" s="138"/>
      <c r="W1372" s="47"/>
      <c r="X1372" s="57"/>
      <c r="Y1372" s="177"/>
      <c r="Z1372" s="6"/>
      <c r="AA1372" s="6"/>
      <c r="AB1372" s="6"/>
      <c r="AC1372" s="1608" t="s">
        <v>1561</v>
      </c>
      <c r="AD1372" s="28"/>
    </row>
    <row r="1373" spans="1:30" s="9" customFormat="1" x14ac:dyDescent="0.2">
      <c r="A1373" s="328"/>
      <c r="B1373" s="366" t="s">
        <v>36</v>
      </c>
      <c r="C1373" s="366" t="s">
        <v>37</v>
      </c>
      <c r="D1373" s="367" t="s">
        <v>1554</v>
      </c>
      <c r="E1373" s="367"/>
      <c r="F1373" s="92" t="s">
        <v>1562</v>
      </c>
      <c r="G1373" s="92" t="s">
        <v>39</v>
      </c>
      <c r="H1373" s="368">
        <v>11596</v>
      </c>
      <c r="I1373" s="369" t="s">
        <v>1556</v>
      </c>
      <c r="J1373" s="121">
        <v>38840</v>
      </c>
      <c r="K1373" s="370">
        <v>60</v>
      </c>
      <c r="L1373" s="371">
        <f>+J1373+K1373</f>
        <v>38900</v>
      </c>
      <c r="M1373" s="121" t="s">
        <v>41</v>
      </c>
      <c r="N1373" s="92" t="s">
        <v>42</v>
      </c>
      <c r="O1373" s="121">
        <v>38888</v>
      </c>
      <c r="P1373" s="370"/>
      <c r="Q1373" s="370"/>
      <c r="R1373" s="370"/>
      <c r="S1373" s="372" t="s">
        <v>1563</v>
      </c>
      <c r="T1373" s="372" t="s">
        <v>1563</v>
      </c>
      <c r="U1373" s="370"/>
      <c r="V1373" s="92" t="s">
        <v>1564</v>
      </c>
      <c r="W1373" s="373"/>
      <c r="X1373" s="374"/>
      <c r="Y1373" s="375"/>
      <c r="Z1373" s="92"/>
      <c r="AA1373" s="92"/>
      <c r="AB1373" s="447" t="s">
        <v>1563</v>
      </c>
      <c r="AC1373" s="1609"/>
      <c r="AD1373" s="28"/>
    </row>
    <row r="1374" spans="1:30" s="9" customFormat="1" ht="12" thickBot="1" x14ac:dyDescent="0.25">
      <c r="A1374" s="328"/>
      <c r="B1374" s="376"/>
      <c r="C1374" s="376"/>
      <c r="D1374" s="377"/>
      <c r="E1374" s="377"/>
      <c r="F1374" s="377"/>
      <c r="G1374" s="377"/>
      <c r="H1374" s="378"/>
      <c r="I1374" s="379" t="s">
        <v>52</v>
      </c>
      <c r="J1374" s="93"/>
      <c r="K1374" s="93"/>
      <c r="L1374" s="380"/>
      <c r="M1374" s="377"/>
      <c r="N1374" s="377"/>
      <c r="O1374" s="380"/>
      <c r="P1374" s="377"/>
      <c r="Q1374" s="377"/>
      <c r="R1374" s="377"/>
      <c r="S1374" s="377"/>
      <c r="T1374" s="380"/>
      <c r="U1374" s="377"/>
      <c r="V1374" s="381" t="s">
        <v>1565</v>
      </c>
      <c r="W1374" s="382"/>
      <c r="X1374" s="383"/>
      <c r="Y1374" s="384"/>
      <c r="Z1374" s="377"/>
      <c r="AA1374" s="377"/>
      <c r="AB1374" s="377"/>
      <c r="AC1374" s="1610"/>
      <c r="AD1374" s="28"/>
    </row>
    <row r="1375" spans="1:30" s="537" customFormat="1" ht="12" thickBot="1" x14ac:dyDescent="0.25">
      <c r="A1375" s="533"/>
      <c r="B1375" s="534" t="s">
        <v>1566</v>
      </c>
      <c r="C1375" s="534"/>
      <c r="D1375" s="534"/>
      <c r="E1375" s="534"/>
      <c r="F1375" s="535"/>
      <c r="G1375" s="535"/>
      <c r="H1375" s="534"/>
      <c r="I1375" s="535"/>
      <c r="J1375" s="534"/>
      <c r="K1375" s="534"/>
      <c r="L1375" s="534"/>
      <c r="M1375" s="534"/>
      <c r="N1375" s="534"/>
      <c r="O1375" s="534"/>
      <c r="P1375" s="534"/>
      <c r="Q1375" s="534"/>
      <c r="R1375" s="534"/>
      <c r="S1375" s="534"/>
      <c r="T1375" s="534"/>
      <c r="U1375" s="534"/>
      <c r="V1375" s="534"/>
      <c r="W1375" s="535"/>
      <c r="X1375" s="535"/>
      <c r="Y1375" s="535"/>
      <c r="Z1375" s="534"/>
      <c r="AA1375" s="534"/>
      <c r="AB1375" s="534"/>
      <c r="AC1375" s="535"/>
      <c r="AD1375" s="536"/>
    </row>
    <row r="1376" spans="1:30" s="9" customFormat="1" x14ac:dyDescent="0.2">
      <c r="A1376" s="328"/>
      <c r="B1376" s="16"/>
      <c r="C1376" s="16"/>
      <c r="D1376" s="7"/>
      <c r="E1376" s="7"/>
      <c r="F1376" s="6"/>
      <c r="G1376" s="6"/>
      <c r="H1376" s="17"/>
      <c r="I1376" s="17"/>
      <c r="J1376" s="7"/>
      <c r="K1376" s="7"/>
      <c r="L1376" s="348"/>
      <c r="M1376" s="6"/>
      <c r="N1376" s="6"/>
      <c r="O1376" s="18"/>
      <c r="P1376" s="7"/>
      <c r="Q1376" s="7"/>
      <c r="R1376" s="7"/>
      <c r="S1376" s="18"/>
      <c r="T1376" s="18"/>
      <c r="U1376" s="7"/>
      <c r="V1376" s="220" t="s">
        <v>1567</v>
      </c>
      <c r="W1376" s="47"/>
      <c r="X1376" s="6"/>
      <c r="Y1376" s="177"/>
      <c r="Z1376" s="6"/>
      <c r="AA1376" s="6"/>
      <c r="AB1376" s="6" t="s">
        <v>1568</v>
      </c>
      <c r="AC1376" s="1608" t="s">
        <v>1550</v>
      </c>
      <c r="AD1376" s="330"/>
    </row>
    <row r="1377" spans="1:30" s="9" customFormat="1" x14ac:dyDescent="0.2">
      <c r="A1377" s="328"/>
      <c r="B1377" s="16" t="s">
        <v>36</v>
      </c>
      <c r="C1377" s="16" t="s">
        <v>133</v>
      </c>
      <c r="D1377" s="7" t="s">
        <v>1221</v>
      </c>
      <c r="E1377" s="7"/>
      <c r="F1377" s="6" t="s">
        <v>1222</v>
      </c>
      <c r="G1377" s="6" t="s">
        <v>39</v>
      </c>
      <c r="H1377" s="17">
        <v>139701.39000000001</v>
      </c>
      <c r="I1377" s="39" t="s">
        <v>40</v>
      </c>
      <c r="J1377" s="18">
        <v>38827</v>
      </c>
      <c r="K1377" s="331">
        <v>96</v>
      </c>
      <c r="L1377" s="348">
        <f>+J1377+K1377</f>
        <v>38923</v>
      </c>
      <c r="M1377" s="18" t="s">
        <v>41</v>
      </c>
      <c r="N1377" s="6" t="s">
        <v>42</v>
      </c>
      <c r="O1377" s="18">
        <v>38923</v>
      </c>
      <c r="P1377" s="331">
        <f>IF(S1377="","",+S1377-L1377)</f>
        <v>6</v>
      </c>
      <c r="Q1377" s="331"/>
      <c r="R1377" s="331"/>
      <c r="S1377" s="349">
        <v>38929</v>
      </c>
      <c r="T1377" s="349">
        <f>+S1377+30</f>
        <v>38959</v>
      </c>
      <c r="U1377" s="331">
        <f>IF(T1377="","",+T1377-J1377)</f>
        <v>132</v>
      </c>
      <c r="V1377" s="6" t="s">
        <v>1569</v>
      </c>
      <c r="W1377" s="341">
        <v>141</v>
      </c>
      <c r="X1377" s="6" t="s">
        <v>47</v>
      </c>
      <c r="Y1377" s="177"/>
      <c r="Z1377" s="6">
        <v>6631322272</v>
      </c>
      <c r="AA1377" s="6" t="s">
        <v>47</v>
      </c>
      <c r="AB1377" s="6" t="s">
        <v>47</v>
      </c>
      <c r="AC1377" s="1609"/>
      <c r="AD1377" s="10" t="str">
        <f>IF(S1377&lt;=L1377,"en término","atrasado")</f>
        <v>atrasado</v>
      </c>
    </row>
    <row r="1378" spans="1:30" s="9" customFormat="1" ht="12" thickBot="1" x14ac:dyDescent="0.25">
      <c r="A1378" s="328"/>
      <c r="B1378" s="19"/>
      <c r="C1378" s="19"/>
      <c r="D1378" s="5"/>
      <c r="E1378" s="5"/>
      <c r="F1378" s="5" t="s">
        <v>1570</v>
      </c>
      <c r="G1378" s="5"/>
      <c r="H1378" s="105"/>
      <c r="I1378" s="21"/>
      <c r="J1378" s="27"/>
      <c r="K1378" s="27"/>
      <c r="L1378" s="187"/>
      <c r="M1378" s="5"/>
      <c r="N1378" s="5"/>
      <c r="O1378" s="187"/>
      <c r="P1378" s="5"/>
      <c r="Q1378" s="5"/>
      <c r="R1378" s="5"/>
      <c r="S1378" s="5"/>
      <c r="T1378" s="187"/>
      <c r="U1378" s="5"/>
      <c r="V1378" s="224"/>
      <c r="W1378" s="36"/>
      <c r="X1378" s="5"/>
      <c r="Y1378" s="182"/>
      <c r="Z1378" s="5"/>
      <c r="AA1378" s="27">
        <v>38964</v>
      </c>
      <c r="AB1378" s="27">
        <v>39017</v>
      </c>
      <c r="AC1378" s="1610"/>
      <c r="AD1378" s="330"/>
    </row>
    <row r="1379" spans="1:30" s="9" customFormat="1" x14ac:dyDescent="0.2">
      <c r="A1379" s="328"/>
      <c r="B1379" s="11"/>
      <c r="C1379" s="16"/>
      <c r="D1379" s="7"/>
      <c r="E1379" s="7"/>
      <c r="F1379" s="6"/>
      <c r="G1379" s="6"/>
      <c r="H1379" s="17"/>
      <c r="I1379" s="17"/>
      <c r="J1379" s="7"/>
      <c r="K1379" s="7"/>
      <c r="L1379" s="348"/>
      <c r="M1379" s="6"/>
      <c r="N1379" s="6"/>
      <c r="O1379" s="189"/>
      <c r="P1379" s="7"/>
      <c r="Q1379" s="7"/>
      <c r="R1379" s="7"/>
      <c r="S1379" s="18"/>
      <c r="T1379" s="18"/>
      <c r="U1379" s="7"/>
      <c r="V1379" s="220" t="s">
        <v>1567</v>
      </c>
      <c r="W1379" s="47"/>
      <c r="X1379" s="12"/>
      <c r="Y1379" s="177"/>
      <c r="Z1379" s="6"/>
      <c r="AA1379" s="6"/>
      <c r="AB1379" s="6" t="s">
        <v>1571</v>
      </c>
      <c r="AC1379" s="1608" t="s">
        <v>1550</v>
      </c>
      <c r="AD1379" s="330"/>
    </row>
    <row r="1380" spans="1:30" s="9" customFormat="1" x14ac:dyDescent="0.2">
      <c r="A1380" s="328"/>
      <c r="B1380" s="16" t="s">
        <v>36</v>
      </c>
      <c r="C1380" s="16" t="s">
        <v>133</v>
      </c>
      <c r="D1380" s="7" t="s">
        <v>1221</v>
      </c>
      <c r="E1380" s="7"/>
      <c r="F1380" s="6" t="s">
        <v>1222</v>
      </c>
      <c r="G1380" s="6" t="s">
        <v>39</v>
      </c>
      <c r="H1380" s="17">
        <v>40597.11</v>
      </c>
      <c r="I1380" s="39" t="s">
        <v>62</v>
      </c>
      <c r="J1380" s="18">
        <v>38819</v>
      </c>
      <c r="K1380" s="331">
        <v>109</v>
      </c>
      <c r="L1380" s="348">
        <f>+J1380+K1380</f>
        <v>38928</v>
      </c>
      <c r="M1380" s="18" t="s">
        <v>41</v>
      </c>
      <c r="N1380" s="6" t="s">
        <v>42</v>
      </c>
      <c r="O1380" s="18">
        <v>38923</v>
      </c>
      <c r="P1380" s="331">
        <f>IF(S1380="","",+S1380-L1380)</f>
        <v>1</v>
      </c>
      <c r="Q1380" s="331"/>
      <c r="R1380" s="331"/>
      <c r="S1380" s="349">
        <v>38929</v>
      </c>
      <c r="T1380" s="349">
        <f>+S1380+30</f>
        <v>38959</v>
      </c>
      <c r="U1380" s="331">
        <f>IF(T1380="","",+T1380-J1380)</f>
        <v>140</v>
      </c>
      <c r="V1380" s="6" t="s">
        <v>780</v>
      </c>
      <c r="W1380" s="341">
        <v>140</v>
      </c>
      <c r="X1380" s="6" t="s">
        <v>47</v>
      </c>
      <c r="Y1380" s="177"/>
      <c r="Z1380" s="6">
        <v>6631322272</v>
      </c>
      <c r="AA1380" s="6" t="s">
        <v>47</v>
      </c>
      <c r="AB1380" s="6" t="s">
        <v>47</v>
      </c>
      <c r="AC1380" s="1609"/>
      <c r="AD1380" s="10" t="str">
        <f>IF(S1380&lt;=L1380,"en término","atrasado")</f>
        <v>atrasado</v>
      </c>
    </row>
    <row r="1381" spans="1:30" s="9" customFormat="1" ht="12" thickBot="1" x14ac:dyDescent="0.25">
      <c r="A1381" s="328"/>
      <c r="B1381" s="19"/>
      <c r="C1381" s="19"/>
      <c r="D1381" s="5"/>
      <c r="E1381" s="5"/>
      <c r="F1381" s="5" t="s">
        <v>1572</v>
      </c>
      <c r="G1381" s="5"/>
      <c r="H1381" s="105"/>
      <c r="I1381" s="21"/>
      <c r="J1381" s="27"/>
      <c r="K1381" s="27"/>
      <c r="L1381" s="187"/>
      <c r="M1381" s="5"/>
      <c r="N1381" s="5"/>
      <c r="O1381" s="187"/>
      <c r="P1381" s="5"/>
      <c r="Q1381" s="5"/>
      <c r="R1381" s="5"/>
      <c r="S1381" s="5"/>
      <c r="T1381" s="187"/>
      <c r="U1381" s="5"/>
      <c r="V1381" s="224"/>
      <c r="W1381" s="36"/>
      <c r="X1381" s="5"/>
      <c r="Y1381" s="182"/>
      <c r="Z1381" s="5"/>
      <c r="AA1381" s="27">
        <v>38964</v>
      </c>
      <c r="AB1381" s="27">
        <v>39017</v>
      </c>
      <c r="AC1381" s="1610"/>
      <c r="AD1381" s="330"/>
    </row>
    <row r="1382" spans="1:30" s="9" customFormat="1" x14ac:dyDescent="0.2">
      <c r="A1382" s="328"/>
      <c r="B1382" s="11"/>
      <c r="C1382" s="16"/>
      <c r="D1382" s="7"/>
      <c r="E1382" s="7"/>
      <c r="F1382" s="6"/>
      <c r="G1382" s="6"/>
      <c r="H1382" s="17"/>
      <c r="I1382" s="17"/>
      <c r="J1382" s="7"/>
      <c r="K1382" s="7"/>
      <c r="L1382" s="348"/>
      <c r="M1382" s="6"/>
      <c r="N1382" s="6"/>
      <c r="O1382" s="189"/>
      <c r="P1382" s="7"/>
      <c r="Q1382" s="7"/>
      <c r="R1382" s="7"/>
      <c r="S1382" s="18"/>
      <c r="T1382" s="18"/>
      <c r="U1382" s="7"/>
      <c r="V1382" s="220" t="s">
        <v>1567</v>
      </c>
      <c r="W1382" s="47"/>
      <c r="X1382" s="57"/>
      <c r="Y1382" s="177"/>
      <c r="Z1382" s="6"/>
      <c r="AA1382" s="6"/>
      <c r="AB1382" s="6"/>
      <c r="AC1382" s="6"/>
      <c r="AD1382" s="330"/>
    </row>
    <row r="1383" spans="1:30" s="9" customFormat="1" x14ac:dyDescent="0.2">
      <c r="A1383" s="328"/>
      <c r="B1383" s="16" t="s">
        <v>36</v>
      </c>
      <c r="C1383" s="16" t="s">
        <v>37</v>
      </c>
      <c r="D1383" s="7" t="s">
        <v>1573</v>
      </c>
      <c r="E1383" s="7"/>
      <c r="F1383" s="6" t="s">
        <v>1574</v>
      </c>
      <c r="G1383" s="6" t="s">
        <v>39</v>
      </c>
      <c r="H1383" s="17">
        <v>5950</v>
      </c>
      <c r="I1383" s="39"/>
      <c r="J1383" s="18">
        <v>38870</v>
      </c>
      <c r="K1383" s="331">
        <v>45</v>
      </c>
      <c r="L1383" s="348">
        <f>+J1383+K1383</f>
        <v>38915</v>
      </c>
      <c r="M1383" s="18" t="s">
        <v>41</v>
      </c>
      <c r="N1383" s="6" t="s">
        <v>42</v>
      </c>
      <c r="O1383" s="18">
        <v>38923</v>
      </c>
      <c r="P1383" s="331">
        <f>IF(S1383="","",+S1383-L1383)</f>
        <v>14</v>
      </c>
      <c r="Q1383" s="331"/>
      <c r="R1383" s="331"/>
      <c r="S1383" s="349">
        <v>38929</v>
      </c>
      <c r="T1383" s="349">
        <f>+S1383+30</f>
        <v>38959</v>
      </c>
      <c r="U1383" s="331">
        <f>IF(T1383="","",+T1383-J1383)</f>
        <v>89</v>
      </c>
      <c r="V1383" s="6" t="s">
        <v>419</v>
      </c>
      <c r="W1383" s="341">
        <v>142</v>
      </c>
      <c r="X1383" s="59"/>
      <c r="Y1383" s="177"/>
      <c r="Z1383" s="6">
        <v>6631322272</v>
      </c>
      <c r="AA1383" s="6" t="s">
        <v>1575</v>
      </c>
      <c r="AB1383" s="6" t="s">
        <v>47</v>
      </c>
      <c r="AC1383" s="18"/>
      <c r="AD1383" s="10" t="str">
        <f>IF(S1383&lt;=L1383,"en término","atrasado")</f>
        <v>atrasado</v>
      </c>
    </row>
    <row r="1384" spans="1:30" s="9" customFormat="1" ht="12" thickBot="1" x14ac:dyDescent="0.25">
      <c r="A1384" s="328"/>
      <c r="B1384" s="19"/>
      <c r="C1384" s="19"/>
      <c r="D1384" s="5"/>
      <c r="E1384" s="5"/>
      <c r="F1384" s="5"/>
      <c r="G1384" s="5"/>
      <c r="H1384" s="105"/>
      <c r="I1384" s="21"/>
      <c r="J1384" s="27"/>
      <c r="K1384" s="27"/>
      <c r="L1384" s="187"/>
      <c r="M1384" s="5"/>
      <c r="N1384" s="5"/>
      <c r="O1384" s="187"/>
      <c r="P1384" s="5"/>
      <c r="Q1384" s="5"/>
      <c r="R1384" s="5"/>
      <c r="S1384" s="5"/>
      <c r="T1384" s="187"/>
      <c r="U1384" s="5"/>
      <c r="V1384" s="224" t="s">
        <v>1576</v>
      </c>
      <c r="W1384" s="36"/>
      <c r="X1384" s="61"/>
      <c r="Y1384" s="182"/>
      <c r="Z1384" s="5"/>
      <c r="AA1384" s="27">
        <v>38964</v>
      </c>
      <c r="AB1384" s="27" t="s">
        <v>1530</v>
      </c>
      <c r="AC1384" s="5"/>
      <c r="AD1384" s="330"/>
    </row>
    <row r="1385" spans="1:30" s="9" customFormat="1" x14ac:dyDescent="0.2">
      <c r="A1385" s="328"/>
      <c r="B1385" s="11"/>
      <c r="C1385" s="16"/>
      <c r="D1385" s="7"/>
      <c r="E1385" s="7"/>
      <c r="F1385" s="6"/>
      <c r="G1385" s="6"/>
      <c r="H1385" s="17"/>
      <c r="I1385" s="17"/>
      <c r="J1385" s="7"/>
      <c r="K1385" s="7"/>
      <c r="L1385" s="348"/>
      <c r="M1385" s="6"/>
      <c r="N1385" s="6"/>
      <c r="O1385" s="189"/>
      <c r="P1385" s="7"/>
      <c r="Q1385" s="7"/>
      <c r="R1385" s="7"/>
      <c r="S1385" s="18" t="s">
        <v>1577</v>
      </c>
      <c r="T1385" s="18"/>
      <c r="U1385" s="7"/>
      <c r="V1385" s="220"/>
      <c r="W1385" s="47"/>
      <c r="X1385" s="12"/>
      <c r="Y1385" s="177"/>
      <c r="Z1385" s="6"/>
      <c r="AA1385" s="6"/>
      <c r="AB1385" s="6"/>
      <c r="AC1385" s="6"/>
      <c r="AD1385" s="330"/>
    </row>
    <row r="1386" spans="1:30" s="9" customFormat="1" x14ac:dyDescent="0.2">
      <c r="A1386" s="328"/>
      <c r="B1386" s="16" t="s">
        <v>36</v>
      </c>
      <c r="C1386" s="16" t="s">
        <v>133</v>
      </c>
      <c r="D1386" s="7" t="s">
        <v>1221</v>
      </c>
      <c r="E1386" s="7"/>
      <c r="F1386" s="6" t="s">
        <v>1222</v>
      </c>
      <c r="G1386" s="6" t="s">
        <v>39</v>
      </c>
      <c r="H1386" s="17">
        <v>18785.060000000001</v>
      </c>
      <c r="I1386" s="39" t="s">
        <v>52</v>
      </c>
      <c r="J1386" s="18">
        <v>38923</v>
      </c>
      <c r="K1386" s="331">
        <v>67</v>
      </c>
      <c r="L1386" s="348">
        <f>+J1386+K1386</f>
        <v>38990</v>
      </c>
      <c r="M1386" s="18" t="s">
        <v>41</v>
      </c>
      <c r="N1386" s="6" t="s">
        <v>42</v>
      </c>
      <c r="O1386" s="18">
        <v>38952</v>
      </c>
      <c r="P1386" s="331">
        <f>IF(S1386="","",+S1386-L1386)</f>
        <v>-33</v>
      </c>
      <c r="Q1386" s="331"/>
      <c r="R1386" s="331"/>
      <c r="S1386" s="349">
        <v>38957</v>
      </c>
      <c r="T1386" s="349">
        <v>38969</v>
      </c>
      <c r="U1386" s="331">
        <f>IF(T1386="","",+T1386-J1386)</f>
        <v>46</v>
      </c>
      <c r="V1386" s="6" t="s">
        <v>53</v>
      </c>
      <c r="W1386" s="341">
        <v>147</v>
      </c>
      <c r="X1386" s="6" t="s">
        <v>47</v>
      </c>
      <c r="Y1386" s="177"/>
      <c r="Z1386" s="6">
        <v>6631322246</v>
      </c>
      <c r="AA1386" s="6" t="s">
        <v>47</v>
      </c>
      <c r="AB1386" s="6" t="s">
        <v>47</v>
      </c>
      <c r="AC1386" s="18"/>
      <c r="AD1386" s="10" t="str">
        <f>IF(S1386&lt;=L1386,"en término","atrasado")</f>
        <v>en término</v>
      </c>
    </row>
    <row r="1387" spans="1:30" s="9" customFormat="1" ht="12" thickBot="1" x14ac:dyDescent="0.25">
      <c r="A1387" s="328"/>
      <c r="B1387" s="19"/>
      <c r="C1387" s="19"/>
      <c r="D1387" s="5"/>
      <c r="E1387" s="5"/>
      <c r="F1387" s="5" t="s">
        <v>1578</v>
      </c>
      <c r="G1387" s="5"/>
      <c r="H1387" s="105"/>
      <c r="I1387" s="21"/>
      <c r="J1387" s="27"/>
      <c r="K1387" s="27"/>
      <c r="L1387" s="187"/>
      <c r="M1387" s="5"/>
      <c r="N1387" s="5"/>
      <c r="O1387" s="187"/>
      <c r="P1387" s="5"/>
      <c r="Q1387" s="5"/>
      <c r="R1387" s="5"/>
      <c r="S1387" s="5"/>
      <c r="T1387" s="187"/>
      <c r="U1387" s="5"/>
      <c r="V1387" s="224"/>
      <c r="W1387" s="36"/>
      <c r="X1387" s="5"/>
      <c r="Y1387" s="182"/>
      <c r="Z1387" s="5"/>
      <c r="AA1387" s="27">
        <v>38978</v>
      </c>
      <c r="AB1387" s="27">
        <v>39017</v>
      </c>
      <c r="AC1387" s="27"/>
      <c r="AD1387" s="330"/>
    </row>
    <row r="1388" spans="1:30" s="9" customFormat="1" x14ac:dyDescent="0.2">
      <c r="A1388" s="328"/>
      <c r="B1388" s="11"/>
      <c r="C1388" s="16"/>
      <c r="D1388" s="7"/>
      <c r="E1388" s="7"/>
      <c r="F1388" s="6"/>
      <c r="G1388" s="6"/>
      <c r="H1388" s="17"/>
      <c r="I1388" s="17"/>
      <c r="J1388" s="7"/>
      <c r="K1388" s="7"/>
      <c r="L1388" s="348"/>
      <c r="M1388" s="6"/>
      <c r="N1388" s="6"/>
      <c r="O1388" s="189"/>
      <c r="P1388" s="7"/>
      <c r="Q1388" s="7"/>
      <c r="R1388" s="7"/>
      <c r="S1388" s="18" t="s">
        <v>1577</v>
      </c>
      <c r="T1388" s="18"/>
      <c r="U1388" s="7"/>
      <c r="V1388" s="220"/>
      <c r="W1388" s="47"/>
      <c r="X1388" s="12"/>
      <c r="Y1388" s="177"/>
      <c r="Z1388" s="6"/>
      <c r="AA1388" s="6"/>
      <c r="AB1388" s="6"/>
      <c r="AC1388" s="6"/>
      <c r="AD1388" s="330"/>
    </row>
    <row r="1389" spans="1:30" s="9" customFormat="1" x14ac:dyDescent="0.2">
      <c r="A1389" s="328"/>
      <c r="B1389" s="16" t="s">
        <v>36</v>
      </c>
      <c r="C1389" s="16" t="s">
        <v>133</v>
      </c>
      <c r="D1389" s="7" t="s">
        <v>1334</v>
      </c>
      <c r="E1389" s="7"/>
      <c r="F1389" s="6" t="s">
        <v>1335</v>
      </c>
      <c r="G1389" s="6" t="s">
        <v>39</v>
      </c>
      <c r="H1389" s="17">
        <v>17168.22</v>
      </c>
      <c r="I1389" s="39" t="s">
        <v>52</v>
      </c>
      <c r="J1389" s="18">
        <v>38923</v>
      </c>
      <c r="K1389" s="331">
        <v>36</v>
      </c>
      <c r="L1389" s="348">
        <f>+J1389+K1389</f>
        <v>38959</v>
      </c>
      <c r="M1389" s="18" t="s">
        <v>41</v>
      </c>
      <c r="N1389" s="6" t="s">
        <v>42</v>
      </c>
      <c r="O1389" s="18">
        <v>38952</v>
      </c>
      <c r="P1389" s="331">
        <f>IF(S1389="","",+S1389-L1389)</f>
        <v>-2</v>
      </c>
      <c r="Q1389" s="331"/>
      <c r="R1389" s="331"/>
      <c r="S1389" s="349">
        <v>38957</v>
      </c>
      <c r="T1389" s="402">
        <v>38969</v>
      </c>
      <c r="U1389" s="331"/>
      <c r="V1389" s="6" t="s">
        <v>1463</v>
      </c>
      <c r="W1389" s="341">
        <v>148</v>
      </c>
      <c r="X1389" s="6" t="s">
        <v>47</v>
      </c>
      <c r="Y1389" s="177"/>
      <c r="Z1389" s="6">
        <v>6631322246</v>
      </c>
      <c r="AA1389" s="6" t="s">
        <v>47</v>
      </c>
      <c r="AB1389" s="6" t="s">
        <v>47</v>
      </c>
      <c r="AC1389" s="18"/>
      <c r="AD1389" s="10" t="str">
        <f>IF(S1389&lt;=L1389,"en término","atrasado")</f>
        <v>en término</v>
      </c>
    </row>
    <row r="1390" spans="1:30" s="9" customFormat="1" ht="12" thickBot="1" x14ac:dyDescent="0.25">
      <c r="A1390" s="328"/>
      <c r="B1390" s="19"/>
      <c r="C1390" s="19"/>
      <c r="D1390" s="5"/>
      <c r="E1390" s="5"/>
      <c r="F1390" s="5" t="s">
        <v>1579</v>
      </c>
      <c r="G1390" s="5"/>
      <c r="H1390" s="105"/>
      <c r="I1390" s="21"/>
      <c r="J1390" s="27"/>
      <c r="K1390" s="27"/>
      <c r="L1390" s="187"/>
      <c r="M1390" s="5"/>
      <c r="N1390" s="5"/>
      <c r="O1390" s="187"/>
      <c r="P1390" s="5"/>
      <c r="Q1390" s="5"/>
      <c r="R1390" s="5"/>
      <c r="S1390" s="5"/>
      <c r="T1390" s="187"/>
      <c r="U1390" s="5"/>
      <c r="V1390" s="224"/>
      <c r="W1390" s="36"/>
      <c r="X1390" s="5"/>
      <c r="Y1390" s="182"/>
      <c r="Z1390" s="5"/>
      <c r="AA1390" s="27">
        <v>38978</v>
      </c>
      <c r="AB1390" s="27">
        <v>39017</v>
      </c>
      <c r="AC1390" s="27"/>
      <c r="AD1390" s="330"/>
    </row>
    <row r="1391" spans="1:30" s="9" customFormat="1" x14ac:dyDescent="0.2">
      <c r="A1391" s="328"/>
      <c r="B1391" s="11"/>
      <c r="C1391" s="16"/>
      <c r="D1391" s="7"/>
      <c r="E1391" s="7"/>
      <c r="F1391" s="6"/>
      <c r="G1391" s="6"/>
      <c r="H1391" s="17"/>
      <c r="I1391" s="17"/>
      <c r="J1391" s="7"/>
      <c r="K1391" s="7"/>
      <c r="L1391" s="348"/>
      <c r="M1391" s="6"/>
      <c r="N1391" s="6"/>
      <c r="O1391" s="189"/>
      <c r="P1391" s="7"/>
      <c r="Q1391" s="7"/>
      <c r="R1391" s="7"/>
      <c r="S1391" s="18" t="s">
        <v>1577</v>
      </c>
      <c r="T1391" s="18"/>
      <c r="U1391" s="7"/>
      <c r="V1391" s="220"/>
      <c r="W1391" s="47"/>
      <c r="X1391" s="12"/>
      <c r="Y1391" s="177"/>
      <c r="Z1391" s="6"/>
      <c r="AA1391" s="6"/>
      <c r="AB1391" s="6"/>
      <c r="AC1391" s="6"/>
      <c r="AD1391" s="330"/>
    </row>
    <row r="1392" spans="1:30" s="9" customFormat="1" x14ac:dyDescent="0.2">
      <c r="A1392" s="328"/>
      <c r="B1392" s="16" t="s">
        <v>36</v>
      </c>
      <c r="C1392" s="16" t="s">
        <v>133</v>
      </c>
      <c r="D1392" s="7" t="s">
        <v>1221</v>
      </c>
      <c r="E1392" s="7"/>
      <c r="F1392" s="6" t="s">
        <v>1222</v>
      </c>
      <c r="G1392" s="6" t="s">
        <v>39</v>
      </c>
      <c r="H1392" s="17">
        <v>25494.63</v>
      </c>
      <c r="I1392" s="39" t="s">
        <v>62</v>
      </c>
      <c r="J1392" s="18">
        <v>38849</v>
      </c>
      <c r="K1392" s="331">
        <v>110</v>
      </c>
      <c r="L1392" s="348">
        <f>+J1392+K1392</f>
        <v>38959</v>
      </c>
      <c r="M1392" s="18" t="s">
        <v>41</v>
      </c>
      <c r="N1392" s="6" t="s">
        <v>42</v>
      </c>
      <c r="O1392" s="18">
        <v>38952</v>
      </c>
      <c r="P1392" s="331">
        <f>IF(S1392="","",+S1392-L1392)</f>
        <v>-2</v>
      </c>
      <c r="Q1392" s="331"/>
      <c r="R1392" s="331"/>
      <c r="S1392" s="349">
        <v>38957</v>
      </c>
      <c r="T1392" s="349">
        <v>38969</v>
      </c>
      <c r="U1392" s="331">
        <f>IF(T1392="","",+T1392-J1392)</f>
        <v>120</v>
      </c>
      <c r="V1392" s="6" t="s">
        <v>940</v>
      </c>
      <c r="W1392" s="341">
        <v>145</v>
      </c>
      <c r="X1392" s="6" t="s">
        <v>47</v>
      </c>
      <c r="Y1392" s="177"/>
      <c r="Z1392" s="6">
        <v>6631322246</v>
      </c>
      <c r="AA1392" s="6" t="s">
        <v>47</v>
      </c>
      <c r="AB1392" s="6" t="s">
        <v>47</v>
      </c>
      <c r="AC1392" s="18"/>
      <c r="AD1392" s="10" t="str">
        <f>IF(S1392&lt;=L1392,"en término","atrasado")</f>
        <v>en término</v>
      </c>
    </row>
    <row r="1393" spans="1:30" s="9" customFormat="1" ht="12" thickBot="1" x14ac:dyDescent="0.25">
      <c r="A1393" s="328"/>
      <c r="B1393" s="19"/>
      <c r="C1393" s="19"/>
      <c r="D1393" s="5"/>
      <c r="E1393" s="5"/>
      <c r="F1393" s="5" t="s">
        <v>1580</v>
      </c>
      <c r="G1393" s="5"/>
      <c r="H1393" s="105"/>
      <c r="I1393" s="21"/>
      <c r="J1393" s="27"/>
      <c r="K1393" s="27"/>
      <c r="L1393" s="187"/>
      <c r="M1393" s="5"/>
      <c r="N1393" s="5"/>
      <c r="O1393" s="187"/>
      <c r="P1393" s="5"/>
      <c r="Q1393" s="5"/>
      <c r="R1393" s="5"/>
      <c r="S1393" s="5"/>
      <c r="T1393" s="187"/>
      <c r="U1393" s="5"/>
      <c r="V1393" s="224"/>
      <c r="W1393" s="36"/>
      <c r="X1393" s="5"/>
      <c r="Y1393" s="182"/>
      <c r="Z1393" s="5"/>
      <c r="AA1393" s="27">
        <v>38978</v>
      </c>
      <c r="AB1393" s="27">
        <v>39017</v>
      </c>
      <c r="AC1393" s="27"/>
      <c r="AD1393" s="330"/>
    </row>
    <row r="1394" spans="1:30" s="9" customFormat="1" x14ac:dyDescent="0.2">
      <c r="A1394" s="328"/>
      <c r="B1394" s="11"/>
      <c r="C1394" s="16"/>
      <c r="D1394" s="7"/>
      <c r="E1394" s="7"/>
      <c r="F1394" s="6"/>
      <c r="G1394" s="6"/>
      <c r="H1394" s="17"/>
      <c r="I1394" s="17"/>
      <c r="J1394" s="7"/>
      <c r="K1394" s="7"/>
      <c r="L1394" s="348"/>
      <c r="M1394" s="6"/>
      <c r="N1394" s="6"/>
      <c r="O1394" s="189"/>
      <c r="P1394" s="7"/>
      <c r="Q1394" s="7"/>
      <c r="R1394" s="7"/>
      <c r="S1394" s="18" t="s">
        <v>1577</v>
      </c>
      <c r="T1394" s="18"/>
      <c r="U1394" s="7"/>
      <c r="V1394" s="220"/>
      <c r="W1394" s="47"/>
      <c r="X1394" s="12"/>
      <c r="Y1394" s="177"/>
      <c r="Z1394" s="6"/>
      <c r="AA1394" s="6"/>
      <c r="AB1394" s="6"/>
      <c r="AC1394" s="6"/>
      <c r="AD1394" s="330"/>
    </row>
    <row r="1395" spans="1:30" s="9" customFormat="1" x14ac:dyDescent="0.2">
      <c r="A1395" s="328"/>
      <c r="B1395" s="16" t="s">
        <v>36</v>
      </c>
      <c r="C1395" s="16" t="s">
        <v>133</v>
      </c>
      <c r="D1395" s="7" t="s">
        <v>1221</v>
      </c>
      <c r="E1395" s="7"/>
      <c r="F1395" s="6" t="s">
        <v>1222</v>
      </c>
      <c r="G1395" s="6" t="s">
        <v>39</v>
      </c>
      <c r="H1395" s="17">
        <v>64715.89</v>
      </c>
      <c r="I1395" s="39" t="s">
        <v>40</v>
      </c>
      <c r="J1395" s="18">
        <v>38855</v>
      </c>
      <c r="K1395" s="331">
        <v>99</v>
      </c>
      <c r="L1395" s="348">
        <f>+J1395+K1395</f>
        <v>38954</v>
      </c>
      <c r="M1395" s="18" t="s">
        <v>41</v>
      </c>
      <c r="N1395" s="6" t="s">
        <v>42</v>
      </c>
      <c r="O1395" s="18">
        <v>38952</v>
      </c>
      <c r="P1395" s="331">
        <f>IF(S1395="","",+S1395-L1395)</f>
        <v>3</v>
      </c>
      <c r="Q1395" s="331"/>
      <c r="R1395" s="331"/>
      <c r="S1395" s="349">
        <v>38957</v>
      </c>
      <c r="T1395" s="349">
        <v>38969</v>
      </c>
      <c r="U1395" s="331">
        <f>IF(T1395="","",+T1395-J1395)</f>
        <v>114</v>
      </c>
      <c r="V1395" s="6" t="s">
        <v>1581</v>
      </c>
      <c r="W1395" s="341">
        <v>146</v>
      </c>
      <c r="X1395" s="6" t="s">
        <v>47</v>
      </c>
      <c r="Y1395" s="177"/>
      <c r="Z1395" s="6">
        <v>6631322246</v>
      </c>
      <c r="AA1395" s="6" t="s">
        <v>47</v>
      </c>
      <c r="AB1395" s="6" t="s">
        <v>47</v>
      </c>
      <c r="AC1395" s="18"/>
      <c r="AD1395" s="10" t="str">
        <f>IF(S1395&lt;=L1395,"en término","atrasado")</f>
        <v>atrasado</v>
      </c>
    </row>
    <row r="1396" spans="1:30" s="9" customFormat="1" ht="12" thickBot="1" x14ac:dyDescent="0.25">
      <c r="A1396" s="328"/>
      <c r="B1396" s="19"/>
      <c r="C1396" s="19"/>
      <c r="D1396" s="5"/>
      <c r="E1396" s="5"/>
      <c r="F1396" s="5" t="s">
        <v>1582</v>
      </c>
      <c r="G1396" s="5"/>
      <c r="H1396" s="105"/>
      <c r="I1396" s="21"/>
      <c r="J1396" s="27"/>
      <c r="K1396" s="27"/>
      <c r="L1396" s="187"/>
      <c r="M1396" s="5"/>
      <c r="N1396" s="5"/>
      <c r="O1396" s="187"/>
      <c r="P1396" s="5"/>
      <c r="Q1396" s="5"/>
      <c r="R1396" s="5"/>
      <c r="S1396" s="187"/>
      <c r="T1396" s="187"/>
      <c r="U1396" s="5"/>
      <c r="V1396" s="224"/>
      <c r="W1396" s="36"/>
      <c r="X1396" s="5"/>
      <c r="Y1396" s="182"/>
      <c r="Z1396" s="5"/>
      <c r="AA1396" s="27">
        <v>38978</v>
      </c>
      <c r="AB1396" s="27">
        <v>39024</v>
      </c>
      <c r="AC1396" s="27"/>
      <c r="AD1396" s="330"/>
    </row>
    <row r="1397" spans="1:30" s="9" customFormat="1" x14ac:dyDescent="0.2">
      <c r="A1397" s="328"/>
      <c r="B1397" s="11"/>
      <c r="C1397" s="16"/>
      <c r="D1397" s="7"/>
      <c r="E1397" s="7"/>
      <c r="F1397" s="6"/>
      <c r="G1397" s="6"/>
      <c r="H1397" s="17"/>
      <c r="I1397" s="17"/>
      <c r="J1397" s="7"/>
      <c r="K1397" s="7"/>
      <c r="L1397" s="348"/>
      <c r="M1397" s="6"/>
      <c r="N1397" s="6"/>
      <c r="O1397" s="189"/>
      <c r="P1397" s="7"/>
      <c r="Q1397" s="7"/>
      <c r="R1397" s="7"/>
      <c r="S1397" s="18" t="s">
        <v>1577</v>
      </c>
      <c r="T1397" s="18"/>
      <c r="U1397" s="7"/>
      <c r="V1397" s="220"/>
      <c r="W1397" s="47"/>
      <c r="X1397" s="57"/>
      <c r="Y1397" s="177"/>
      <c r="Z1397" s="6"/>
      <c r="AA1397" s="6"/>
      <c r="AB1397" s="6" t="s">
        <v>1530</v>
      </c>
      <c r="AC1397" s="6"/>
      <c r="AD1397" s="330"/>
    </row>
    <row r="1398" spans="1:30" s="9" customFormat="1" x14ac:dyDescent="0.2">
      <c r="A1398" s="328"/>
      <c r="B1398" s="16" t="s">
        <v>36</v>
      </c>
      <c r="C1398" s="16" t="s">
        <v>37</v>
      </c>
      <c r="D1398" s="7" t="s">
        <v>1554</v>
      </c>
      <c r="E1398" s="7"/>
      <c r="F1398" s="6" t="s">
        <v>1583</v>
      </c>
      <c r="G1398" s="6" t="s">
        <v>39</v>
      </c>
      <c r="H1398" s="17">
        <v>24660</v>
      </c>
      <c r="I1398" s="39"/>
      <c r="J1398" s="18">
        <v>38916</v>
      </c>
      <c r="K1398" s="331"/>
      <c r="L1398" s="348">
        <v>38959</v>
      </c>
      <c r="M1398" s="18" t="s">
        <v>41</v>
      </c>
      <c r="N1398" s="6" t="s">
        <v>42</v>
      </c>
      <c r="O1398" s="18">
        <v>38952</v>
      </c>
      <c r="P1398" s="331">
        <f>IF(S1398="","",+S1398-L1398)</f>
        <v>-2</v>
      </c>
      <c r="Q1398" s="331"/>
      <c r="R1398" s="331"/>
      <c r="S1398" s="349">
        <v>38957</v>
      </c>
      <c r="T1398" s="349">
        <v>38969</v>
      </c>
      <c r="U1398" s="331">
        <f>IF(T1398="","",+T1398-J1398)</f>
        <v>53</v>
      </c>
      <c r="V1398" s="6" t="s">
        <v>1584</v>
      </c>
      <c r="W1398" s="341">
        <v>149</v>
      </c>
      <c r="X1398" s="59"/>
      <c r="Y1398" s="177"/>
      <c r="Z1398" s="6">
        <v>6631322246</v>
      </c>
      <c r="AA1398" s="7">
        <v>38978</v>
      </c>
      <c r="AB1398" s="7" t="s">
        <v>47</v>
      </c>
      <c r="AC1398" s="18"/>
      <c r="AD1398" s="10" t="str">
        <f>IF(S1398&lt;=L1398,"en término","atrasado")</f>
        <v>en término</v>
      </c>
    </row>
    <row r="1399" spans="1:30" s="9" customFormat="1" ht="12" thickBot="1" x14ac:dyDescent="0.25">
      <c r="A1399" s="328"/>
      <c r="B1399" s="19"/>
      <c r="C1399" s="19"/>
      <c r="D1399" s="5"/>
      <c r="E1399" s="5"/>
      <c r="F1399" s="5"/>
      <c r="G1399" s="5"/>
      <c r="H1399" s="105">
        <v>450</v>
      </c>
      <c r="I1399" s="21"/>
      <c r="J1399" s="27"/>
      <c r="K1399" s="27"/>
      <c r="L1399" s="187"/>
      <c r="M1399" s="5"/>
      <c r="N1399" s="5"/>
      <c r="O1399" s="187">
        <v>38985</v>
      </c>
      <c r="P1399" s="5"/>
      <c r="Q1399" s="5"/>
      <c r="R1399" s="5"/>
      <c r="S1399" s="407">
        <v>38994</v>
      </c>
      <c r="T1399" s="407">
        <f>+S1399+20</f>
        <v>39014</v>
      </c>
      <c r="U1399" s="5"/>
      <c r="V1399" s="224" t="s">
        <v>1585</v>
      </c>
      <c r="W1399" s="36">
        <v>152</v>
      </c>
      <c r="X1399" s="61"/>
      <c r="Y1399" s="182"/>
      <c r="Z1399" s="5" t="s">
        <v>1412</v>
      </c>
      <c r="AA1399" s="27">
        <v>39030</v>
      </c>
      <c r="AB1399" s="27" t="s">
        <v>47</v>
      </c>
      <c r="AC1399" s="187"/>
      <c r="AD1399" s="330"/>
    </row>
    <row r="1400" spans="1:30" s="9" customFormat="1" x14ac:dyDescent="0.2">
      <c r="A1400" s="328"/>
      <c r="B1400" s="16"/>
      <c r="C1400" s="16"/>
      <c r="D1400" s="7"/>
      <c r="E1400" s="7"/>
      <c r="F1400" s="6"/>
      <c r="G1400" s="6"/>
      <c r="H1400" s="17"/>
      <c r="I1400" s="17"/>
      <c r="J1400" s="7"/>
      <c r="K1400" s="7"/>
      <c r="L1400" s="348"/>
      <c r="M1400" s="6"/>
      <c r="N1400" s="6"/>
      <c r="O1400" s="18"/>
      <c r="P1400" s="7"/>
      <c r="Q1400" s="7"/>
      <c r="R1400" s="7"/>
      <c r="S1400" s="18"/>
      <c r="T1400" s="18"/>
      <c r="U1400" s="7"/>
      <c r="V1400" s="220" t="s">
        <v>1102</v>
      </c>
      <c r="W1400" s="47"/>
      <c r="X1400" s="59"/>
      <c r="Y1400" s="177"/>
      <c r="Z1400" s="6"/>
      <c r="AA1400" s="6"/>
      <c r="AB1400" s="6"/>
      <c r="AC1400" s="6"/>
      <c r="AD1400" s="330"/>
    </row>
    <row r="1401" spans="1:30" s="9" customFormat="1" x14ac:dyDescent="0.2">
      <c r="A1401" s="328"/>
      <c r="B1401" s="16" t="s">
        <v>36</v>
      </c>
      <c r="C1401" s="16" t="s">
        <v>37</v>
      </c>
      <c r="D1401" s="7"/>
      <c r="E1401" s="7"/>
      <c r="F1401" s="6" t="s">
        <v>1586</v>
      </c>
      <c r="G1401" s="6" t="s">
        <v>39</v>
      </c>
      <c r="H1401" s="17">
        <v>3280</v>
      </c>
      <c r="I1401" s="39"/>
      <c r="J1401" s="18">
        <v>38940</v>
      </c>
      <c r="K1401" s="331"/>
      <c r="L1401" s="348">
        <v>38982</v>
      </c>
      <c r="M1401" s="18" t="s">
        <v>41</v>
      </c>
      <c r="N1401" s="6" t="s">
        <v>42</v>
      </c>
      <c r="O1401" s="18">
        <v>38961</v>
      </c>
      <c r="P1401" s="331">
        <f>IF(S1401="","",+S1401-L1401)</f>
        <v>-12</v>
      </c>
      <c r="Q1401" s="331"/>
      <c r="R1401" s="331"/>
      <c r="S1401" s="349">
        <v>38970</v>
      </c>
      <c r="T1401" s="349">
        <v>38972</v>
      </c>
      <c r="U1401" s="331">
        <f>IF(T1401="","",+T1401-J1401)</f>
        <v>32</v>
      </c>
      <c r="V1401" s="6" t="s">
        <v>1587</v>
      </c>
      <c r="W1401" s="47" t="s">
        <v>1588</v>
      </c>
      <c r="X1401" s="59"/>
      <c r="Y1401" s="177"/>
      <c r="Z1401" s="6"/>
      <c r="AA1401" s="6" t="s">
        <v>47</v>
      </c>
      <c r="AB1401" s="6" t="s">
        <v>187</v>
      </c>
      <c r="AC1401" s="18"/>
      <c r="AD1401" s="330"/>
    </row>
    <row r="1402" spans="1:30" s="9" customFormat="1" ht="12" thickBot="1" x14ac:dyDescent="0.25">
      <c r="A1402" s="328"/>
      <c r="B1402" s="19"/>
      <c r="C1402" s="19"/>
      <c r="D1402" s="5"/>
      <c r="E1402" s="5"/>
      <c r="F1402" s="5"/>
      <c r="G1402" s="5"/>
      <c r="H1402" s="105"/>
      <c r="I1402" s="21"/>
      <c r="J1402" s="27"/>
      <c r="K1402" s="27"/>
      <c r="L1402" s="187"/>
      <c r="M1402" s="5"/>
      <c r="N1402" s="5"/>
      <c r="O1402" s="187"/>
      <c r="P1402" s="5"/>
      <c r="Q1402" s="5"/>
      <c r="R1402" s="5"/>
      <c r="S1402" s="5"/>
      <c r="T1402" s="187"/>
      <c r="U1402" s="5"/>
      <c r="V1402" s="224"/>
      <c r="W1402" s="36"/>
      <c r="X1402" s="61"/>
      <c r="Y1402" s="182"/>
      <c r="Z1402" s="5"/>
      <c r="AA1402" s="27">
        <v>38975</v>
      </c>
      <c r="AB1402" s="27"/>
      <c r="AC1402" s="5"/>
      <c r="AD1402" s="330"/>
    </row>
    <row r="1403" spans="1:30" s="9" customFormat="1" x14ac:dyDescent="0.2">
      <c r="A1403" s="328"/>
      <c r="B1403" s="11"/>
      <c r="C1403" s="16"/>
      <c r="D1403" s="7"/>
      <c r="E1403" s="7"/>
      <c r="F1403" s="6"/>
      <c r="G1403" s="6"/>
      <c r="H1403" s="17"/>
      <c r="I1403" s="17"/>
      <c r="J1403" s="7"/>
      <c r="K1403" s="7"/>
      <c r="L1403" s="348"/>
      <c r="M1403" s="6"/>
      <c r="N1403" s="6"/>
      <c r="O1403" s="189"/>
      <c r="P1403" s="7"/>
      <c r="Q1403" s="7"/>
      <c r="R1403" s="7"/>
      <c r="S1403" s="18"/>
      <c r="T1403" s="18"/>
      <c r="U1403" s="7"/>
      <c r="V1403" s="220" t="s">
        <v>1589</v>
      </c>
      <c r="W1403" s="47"/>
      <c r="X1403" s="12"/>
      <c r="Y1403" s="177"/>
      <c r="Z1403" s="6"/>
      <c r="AA1403" s="6"/>
      <c r="AB1403" s="6">
        <v>39101</v>
      </c>
      <c r="AC1403" s="7"/>
      <c r="AD1403" s="330"/>
    </row>
    <row r="1404" spans="1:30" s="9" customFormat="1" x14ac:dyDescent="0.2">
      <c r="A1404" s="328"/>
      <c r="B1404" s="16" t="s">
        <v>36</v>
      </c>
      <c r="C1404" s="16" t="s">
        <v>133</v>
      </c>
      <c r="D1404" s="7" t="s">
        <v>1334</v>
      </c>
      <c r="E1404" s="7"/>
      <c r="F1404" s="6" t="s">
        <v>1335</v>
      </c>
      <c r="G1404" s="6" t="s">
        <v>39</v>
      </c>
      <c r="H1404" s="17">
        <v>7729.09</v>
      </c>
      <c r="I1404" s="39" t="s">
        <v>52</v>
      </c>
      <c r="J1404" s="18">
        <v>38841</v>
      </c>
      <c r="K1404" s="331">
        <v>57</v>
      </c>
      <c r="L1404" s="348">
        <f>+J1404+K1404</f>
        <v>38898</v>
      </c>
      <c r="M1404" s="18" t="s">
        <v>41</v>
      </c>
      <c r="N1404" s="6" t="s">
        <v>42</v>
      </c>
      <c r="O1404" s="18">
        <v>38985</v>
      </c>
      <c r="P1404" s="331">
        <f>IF(S1404="","",+S1404-L1404)</f>
        <v>96</v>
      </c>
      <c r="Q1404" s="331"/>
      <c r="R1404" s="331"/>
      <c r="S1404" s="402">
        <v>38994</v>
      </c>
      <c r="T1404" s="402">
        <f>+S1404+20</f>
        <v>39014</v>
      </c>
      <c r="U1404" s="331"/>
      <c r="V1404" s="6" t="s">
        <v>1463</v>
      </c>
      <c r="W1404" s="341">
        <v>156</v>
      </c>
      <c r="X1404" s="6" t="s">
        <v>47</v>
      </c>
      <c r="Y1404" s="177"/>
      <c r="Z1404" s="6" t="s">
        <v>1410</v>
      </c>
      <c r="AA1404" s="6" t="s">
        <v>47</v>
      </c>
      <c r="AB1404" s="6" t="s">
        <v>47</v>
      </c>
      <c r="AC1404" s="18"/>
      <c r="AD1404" s="10" t="str">
        <f>IF(S1404&lt;=L1404,"en término","atrasado")</f>
        <v>atrasado</v>
      </c>
    </row>
    <row r="1405" spans="1:30" s="9" customFormat="1" ht="12" thickBot="1" x14ac:dyDescent="0.25">
      <c r="A1405" s="328"/>
      <c r="B1405" s="19"/>
      <c r="C1405" s="19"/>
      <c r="D1405" s="5"/>
      <c r="E1405" s="5"/>
      <c r="F1405" s="5" t="s">
        <v>1590</v>
      </c>
      <c r="G1405" s="5"/>
      <c r="H1405" s="105"/>
      <c r="I1405" s="21"/>
      <c r="J1405" s="27"/>
      <c r="K1405" s="354"/>
      <c r="L1405" s="187"/>
      <c r="M1405" s="5"/>
      <c r="N1405" s="5"/>
      <c r="O1405" s="187"/>
      <c r="P1405" s="5"/>
      <c r="Q1405" s="5"/>
      <c r="R1405" s="5"/>
      <c r="S1405" s="5"/>
      <c r="T1405" s="187"/>
      <c r="U1405" s="5"/>
      <c r="V1405" s="224"/>
      <c r="W1405" s="36"/>
      <c r="X1405" s="5"/>
      <c r="Y1405" s="182"/>
      <c r="Z1405" s="5" t="s">
        <v>1412</v>
      </c>
      <c r="AA1405" s="27">
        <v>39030</v>
      </c>
      <c r="AB1405" s="27" t="s">
        <v>1591</v>
      </c>
      <c r="AC1405" s="5"/>
      <c r="AD1405" s="330"/>
    </row>
    <row r="1406" spans="1:30" s="9" customFormat="1" x14ac:dyDescent="0.2">
      <c r="A1406" s="328"/>
      <c r="B1406" s="11"/>
      <c r="C1406" s="16"/>
      <c r="D1406" s="7"/>
      <c r="E1406" s="7"/>
      <c r="F1406" s="6"/>
      <c r="G1406" s="6"/>
      <c r="H1406" s="17"/>
      <c r="I1406" s="193"/>
      <c r="J1406" s="7"/>
      <c r="K1406" s="7"/>
      <c r="L1406" s="348"/>
      <c r="M1406" s="6"/>
      <c r="N1406" s="6"/>
      <c r="O1406" s="189"/>
      <c r="P1406" s="7"/>
      <c r="Q1406" s="7"/>
      <c r="R1406" s="7"/>
      <c r="S1406" s="18"/>
      <c r="T1406" s="18"/>
      <c r="U1406" s="7"/>
      <c r="V1406" s="220"/>
      <c r="W1406" s="47"/>
      <c r="X1406" s="12"/>
      <c r="Y1406" s="177"/>
      <c r="Z1406" s="6"/>
      <c r="AA1406" s="6"/>
      <c r="AB1406" s="6" t="s">
        <v>1592</v>
      </c>
      <c r="AC1406" s="6"/>
      <c r="AD1406" s="330"/>
    </row>
    <row r="1407" spans="1:30" s="9" customFormat="1" x14ac:dyDescent="0.2">
      <c r="A1407" s="328"/>
      <c r="B1407" s="16" t="s">
        <v>36</v>
      </c>
      <c r="C1407" s="16" t="s">
        <v>133</v>
      </c>
      <c r="D1407" s="7" t="s">
        <v>1221</v>
      </c>
      <c r="E1407" s="7"/>
      <c r="F1407" s="6" t="s">
        <v>1222</v>
      </c>
      <c r="G1407" s="6" t="s">
        <v>39</v>
      </c>
      <c r="H1407" s="17">
        <v>25888.63</v>
      </c>
      <c r="I1407" s="39" t="s">
        <v>62</v>
      </c>
      <c r="J1407" s="18">
        <v>38849</v>
      </c>
      <c r="K1407" s="331">
        <v>141</v>
      </c>
      <c r="L1407" s="348">
        <f>+J1407+K1407</f>
        <v>38990</v>
      </c>
      <c r="M1407" s="18" t="s">
        <v>41</v>
      </c>
      <c r="N1407" s="6" t="s">
        <v>42</v>
      </c>
      <c r="O1407" s="18">
        <v>38985</v>
      </c>
      <c r="P1407" s="331">
        <f>IF(S1407="","",+S1407-L1407)</f>
        <v>4</v>
      </c>
      <c r="Q1407" s="331"/>
      <c r="R1407" s="331"/>
      <c r="S1407" s="402">
        <v>38994</v>
      </c>
      <c r="T1407" s="402">
        <f>+S1407+20</f>
        <v>39014</v>
      </c>
      <c r="U1407" s="331">
        <f>IF(T1407="","",+T1407-J1407)</f>
        <v>165</v>
      </c>
      <c r="V1407" s="6" t="s">
        <v>784</v>
      </c>
      <c r="W1407" s="341">
        <v>153</v>
      </c>
      <c r="X1407" s="6" t="s">
        <v>47</v>
      </c>
      <c r="Y1407" s="177"/>
      <c r="Z1407" s="6" t="s">
        <v>1410</v>
      </c>
      <c r="AA1407" s="6" t="s">
        <v>47</v>
      </c>
      <c r="AB1407" s="6" t="s">
        <v>47</v>
      </c>
      <c r="AC1407" s="18"/>
      <c r="AD1407" s="10" t="str">
        <f>IF(S1407&lt;=L1407,"en término","atrasado")</f>
        <v>atrasado</v>
      </c>
    </row>
    <row r="1408" spans="1:30" s="9" customFormat="1" ht="12" thickBot="1" x14ac:dyDescent="0.25">
      <c r="A1408" s="328"/>
      <c r="B1408" s="19"/>
      <c r="C1408" s="19"/>
      <c r="D1408" s="5"/>
      <c r="E1408" s="5"/>
      <c r="F1408" s="5" t="s">
        <v>1593</v>
      </c>
      <c r="G1408" s="5"/>
      <c r="H1408" s="105"/>
      <c r="I1408" s="359"/>
      <c r="J1408" s="27"/>
      <c r="K1408" s="27"/>
      <c r="L1408" s="187"/>
      <c r="M1408" s="5"/>
      <c r="N1408" s="5"/>
      <c r="O1408" s="187"/>
      <c r="P1408" s="5"/>
      <c r="Q1408" s="5"/>
      <c r="R1408" s="5"/>
      <c r="S1408" s="5"/>
      <c r="T1408" s="187"/>
      <c r="U1408" s="5"/>
      <c r="V1408" s="224"/>
      <c r="W1408" s="36"/>
      <c r="X1408" s="5"/>
      <c r="Y1408" s="182"/>
      <c r="Z1408" s="5" t="s">
        <v>1412</v>
      </c>
      <c r="AA1408" s="27">
        <v>39030</v>
      </c>
      <c r="AB1408" s="27">
        <v>39113</v>
      </c>
      <c r="AC1408" s="27"/>
      <c r="AD1408" s="330"/>
    </row>
    <row r="1409" spans="1:30" s="9" customFormat="1" x14ac:dyDescent="0.2">
      <c r="A1409" s="328"/>
      <c r="B1409" s="11"/>
      <c r="C1409" s="16"/>
      <c r="D1409" s="7"/>
      <c r="E1409" s="7"/>
      <c r="F1409" s="6"/>
      <c r="G1409" s="6"/>
      <c r="H1409" s="17"/>
      <c r="I1409" s="193"/>
      <c r="J1409" s="7"/>
      <c r="K1409" s="7"/>
      <c r="L1409" s="348"/>
      <c r="M1409" s="6"/>
      <c r="N1409" s="6"/>
      <c r="O1409" s="189"/>
      <c r="P1409" s="7"/>
      <c r="Q1409" s="7"/>
      <c r="R1409" s="7"/>
      <c r="S1409" s="18"/>
      <c r="T1409" s="18"/>
      <c r="U1409" s="7"/>
      <c r="V1409" s="220"/>
      <c r="W1409" s="47"/>
      <c r="X1409" s="12"/>
      <c r="Y1409" s="177"/>
      <c r="Z1409" s="6"/>
      <c r="AA1409" s="6"/>
      <c r="AB1409" s="6" t="s">
        <v>1594</v>
      </c>
      <c r="AC1409" s="6"/>
      <c r="AD1409" s="330"/>
    </row>
    <row r="1410" spans="1:30" s="9" customFormat="1" x14ac:dyDescent="0.2">
      <c r="A1410" s="328"/>
      <c r="B1410" s="16" t="s">
        <v>36</v>
      </c>
      <c r="C1410" s="16" t="s">
        <v>133</v>
      </c>
      <c r="D1410" s="7" t="s">
        <v>1221</v>
      </c>
      <c r="E1410" s="7"/>
      <c r="F1410" s="6" t="s">
        <v>1222</v>
      </c>
      <c r="G1410" s="6" t="s">
        <v>39</v>
      </c>
      <c r="H1410" s="17">
        <v>860.28</v>
      </c>
      <c r="I1410" s="39" t="s">
        <v>142</v>
      </c>
      <c r="J1410" s="18">
        <v>38854</v>
      </c>
      <c r="K1410" s="331">
        <v>136</v>
      </c>
      <c r="L1410" s="348">
        <f>+J1410+K1410</f>
        <v>38990</v>
      </c>
      <c r="M1410" s="18" t="s">
        <v>41</v>
      </c>
      <c r="N1410" s="6" t="s">
        <v>42</v>
      </c>
      <c r="O1410" s="18">
        <v>38985</v>
      </c>
      <c r="P1410" s="331">
        <f>IF(S1410="","",+S1410-L1410)</f>
        <v>4</v>
      </c>
      <c r="Q1410" s="331"/>
      <c r="R1410" s="331"/>
      <c r="S1410" s="402">
        <v>38994</v>
      </c>
      <c r="T1410" s="402">
        <f>+S1410+20</f>
        <v>39014</v>
      </c>
      <c r="U1410" s="331">
        <f>IF(T1410="","",+T1410-J1410)</f>
        <v>160</v>
      </c>
      <c r="V1410" s="6" t="s">
        <v>53</v>
      </c>
      <c r="W1410" s="341">
        <v>154</v>
      </c>
      <c r="X1410" s="6" t="s">
        <v>47</v>
      </c>
      <c r="Y1410" s="177"/>
      <c r="Z1410" s="6" t="s">
        <v>1410</v>
      </c>
      <c r="AA1410" s="6" t="s">
        <v>47</v>
      </c>
      <c r="AB1410" s="6" t="s">
        <v>47</v>
      </c>
      <c r="AC1410" s="18"/>
      <c r="AD1410" s="10" t="str">
        <f>IF(S1410&lt;=L1410,"en término","atrasado")</f>
        <v>atrasado</v>
      </c>
    </row>
    <row r="1411" spans="1:30" s="9" customFormat="1" ht="12" thickBot="1" x14ac:dyDescent="0.25">
      <c r="A1411" s="328"/>
      <c r="B1411" s="19"/>
      <c r="C1411" s="19"/>
      <c r="D1411" s="5"/>
      <c r="E1411" s="5"/>
      <c r="F1411" s="5" t="s">
        <v>1595</v>
      </c>
      <c r="G1411" s="5"/>
      <c r="H1411" s="105"/>
      <c r="I1411" s="359"/>
      <c r="J1411" s="27"/>
      <c r="K1411" s="27"/>
      <c r="L1411" s="187"/>
      <c r="M1411" s="5"/>
      <c r="N1411" s="5"/>
      <c r="O1411" s="187"/>
      <c r="P1411" s="5"/>
      <c r="Q1411" s="5"/>
      <c r="R1411" s="5"/>
      <c r="S1411" s="5"/>
      <c r="T1411" s="187"/>
      <c r="U1411" s="5"/>
      <c r="V1411" s="224"/>
      <c r="W1411" s="36"/>
      <c r="X1411" s="5"/>
      <c r="Y1411" s="182"/>
      <c r="Z1411" s="5" t="s">
        <v>1412</v>
      </c>
      <c r="AA1411" s="27">
        <v>39030</v>
      </c>
      <c r="AB1411" s="27">
        <v>39113</v>
      </c>
      <c r="AC1411" s="27"/>
      <c r="AD1411" s="330"/>
    </row>
    <row r="1412" spans="1:30" s="9" customFormat="1" x14ac:dyDescent="0.2">
      <c r="A1412" s="328"/>
      <c r="B1412" s="11"/>
      <c r="C1412" s="16"/>
      <c r="D1412" s="7"/>
      <c r="E1412" s="7"/>
      <c r="F1412" s="6"/>
      <c r="G1412" s="6"/>
      <c r="H1412" s="17"/>
      <c r="I1412" s="193"/>
      <c r="J1412" s="7"/>
      <c r="K1412" s="7"/>
      <c r="L1412" s="348"/>
      <c r="M1412" s="6"/>
      <c r="N1412" s="6"/>
      <c r="O1412" s="189"/>
      <c r="P1412" s="7"/>
      <c r="Q1412" s="7"/>
      <c r="R1412" s="7"/>
      <c r="S1412" s="18"/>
      <c r="T1412" s="18"/>
      <c r="U1412" s="7"/>
      <c r="V1412" s="220" t="s">
        <v>1589</v>
      </c>
      <c r="W1412" s="47"/>
      <c r="X1412" s="12"/>
      <c r="Y1412" s="177"/>
      <c r="Z1412" s="6"/>
      <c r="AA1412" s="6"/>
      <c r="AB1412" s="6" t="s">
        <v>1596</v>
      </c>
      <c r="AC1412" s="1608" t="s">
        <v>1597</v>
      </c>
      <c r="AD1412" s="330"/>
    </row>
    <row r="1413" spans="1:30" s="9" customFormat="1" x14ac:dyDescent="0.2">
      <c r="A1413" s="328"/>
      <c r="B1413" s="16" t="s">
        <v>36</v>
      </c>
      <c r="C1413" s="16" t="s">
        <v>133</v>
      </c>
      <c r="D1413" s="7" t="s">
        <v>1221</v>
      </c>
      <c r="E1413" s="7"/>
      <c r="F1413" s="6" t="s">
        <v>1222</v>
      </c>
      <c r="G1413" s="6" t="s">
        <v>39</v>
      </c>
      <c r="H1413" s="17">
        <v>38695.33</v>
      </c>
      <c r="I1413" s="406" t="s">
        <v>62</v>
      </c>
      <c r="J1413" s="18">
        <v>38770</v>
      </c>
      <c r="K1413" s="331">
        <v>62</v>
      </c>
      <c r="L1413" s="348">
        <f>+J1413+K1413</f>
        <v>38832</v>
      </c>
      <c r="M1413" s="18" t="s">
        <v>41</v>
      </c>
      <c r="N1413" s="6" t="s">
        <v>42</v>
      </c>
      <c r="O1413" s="18">
        <v>38985</v>
      </c>
      <c r="P1413" s="331">
        <f>IF(S1413="","",+S1413-L1413)</f>
        <v>162</v>
      </c>
      <c r="Q1413" s="331"/>
      <c r="R1413" s="331"/>
      <c r="S1413" s="402">
        <v>38994</v>
      </c>
      <c r="T1413" s="402">
        <f>+S1413+20</f>
        <v>39014</v>
      </c>
      <c r="U1413" s="331"/>
      <c r="V1413" s="6" t="s">
        <v>780</v>
      </c>
      <c r="W1413" s="341">
        <v>158</v>
      </c>
      <c r="X1413" s="6" t="s">
        <v>47</v>
      </c>
      <c r="Y1413" s="177"/>
      <c r="Z1413" s="6" t="s">
        <v>1410</v>
      </c>
      <c r="AA1413" s="6" t="s">
        <v>47</v>
      </c>
      <c r="AB1413" s="6" t="s">
        <v>47</v>
      </c>
      <c r="AC1413" s="1627"/>
      <c r="AD1413" s="10" t="str">
        <f>IF(S1413&lt;=L1413,"en término","atrasado")</f>
        <v>atrasado</v>
      </c>
    </row>
    <row r="1414" spans="1:30" s="9" customFormat="1" ht="12" thickBot="1" x14ac:dyDescent="0.25">
      <c r="A1414" s="328"/>
      <c r="B1414" s="19"/>
      <c r="C1414" s="19"/>
      <c r="D1414" s="5"/>
      <c r="E1414" s="5"/>
      <c r="F1414" s="5" t="s">
        <v>1598</v>
      </c>
      <c r="G1414" s="5"/>
      <c r="H1414" s="105"/>
      <c r="I1414" s="359"/>
      <c r="J1414" s="27"/>
      <c r="K1414" s="27"/>
      <c r="L1414" s="187"/>
      <c r="M1414" s="5"/>
      <c r="N1414" s="5"/>
      <c r="O1414" s="187"/>
      <c r="P1414" s="5"/>
      <c r="Q1414" s="5"/>
      <c r="R1414" s="5"/>
      <c r="S1414" s="5"/>
      <c r="T1414" s="187"/>
      <c r="U1414" s="5"/>
      <c r="V1414" s="224"/>
      <c r="W1414" s="36"/>
      <c r="X1414" s="5"/>
      <c r="Y1414" s="182"/>
      <c r="Z1414" s="5" t="s">
        <v>1412</v>
      </c>
      <c r="AA1414" s="27">
        <v>39030</v>
      </c>
      <c r="AB1414" s="27">
        <v>39113</v>
      </c>
      <c r="AC1414" s="1628"/>
      <c r="AD1414" s="330"/>
    </row>
    <row r="1415" spans="1:30" s="9" customFormat="1" x14ac:dyDescent="0.2">
      <c r="A1415" s="328"/>
      <c r="B1415" s="11"/>
      <c r="C1415" s="16"/>
      <c r="D1415" s="7"/>
      <c r="E1415" s="7"/>
      <c r="F1415" s="6"/>
      <c r="G1415" s="6"/>
      <c r="H1415" s="17"/>
      <c r="I1415" s="193"/>
      <c r="J1415" s="7"/>
      <c r="K1415" s="7"/>
      <c r="L1415" s="348"/>
      <c r="M1415" s="6"/>
      <c r="N1415" s="6"/>
      <c r="O1415" s="189"/>
      <c r="P1415" s="7"/>
      <c r="Q1415" s="7"/>
      <c r="R1415" s="7"/>
      <c r="S1415" s="18"/>
      <c r="T1415" s="18"/>
      <c r="U1415" s="7"/>
      <c r="V1415" s="220" t="s">
        <v>1589</v>
      </c>
      <c r="W1415" s="47"/>
      <c r="X1415" s="12"/>
      <c r="Y1415" s="177"/>
      <c r="Z1415" s="6"/>
      <c r="AA1415" s="6"/>
      <c r="AB1415" s="6" t="s">
        <v>1599</v>
      </c>
      <c r="AC1415" s="6"/>
      <c r="AD1415" s="330"/>
    </row>
    <row r="1416" spans="1:30" s="9" customFormat="1" x14ac:dyDescent="0.2">
      <c r="A1416" s="328"/>
      <c r="B1416" s="16" t="s">
        <v>36</v>
      </c>
      <c r="C1416" s="16" t="s">
        <v>133</v>
      </c>
      <c r="D1416" s="7" t="s">
        <v>1221</v>
      </c>
      <c r="E1416" s="7"/>
      <c r="F1416" s="6" t="s">
        <v>1222</v>
      </c>
      <c r="G1416" s="6" t="s">
        <v>39</v>
      </c>
      <c r="H1416" s="17">
        <v>24046.37</v>
      </c>
      <c r="I1416" s="39" t="s">
        <v>62</v>
      </c>
      <c r="J1416" s="18">
        <v>38786</v>
      </c>
      <c r="K1416" s="331">
        <v>112</v>
      </c>
      <c r="L1416" s="348">
        <f>+J1416+K1416</f>
        <v>38898</v>
      </c>
      <c r="M1416" s="18" t="s">
        <v>41</v>
      </c>
      <c r="N1416" s="6" t="s">
        <v>42</v>
      </c>
      <c r="O1416" s="18">
        <v>38985</v>
      </c>
      <c r="P1416" s="331">
        <f>IF(S1416="","",+S1416-L1416)</f>
        <v>96</v>
      </c>
      <c r="Q1416" s="331"/>
      <c r="R1416" s="331"/>
      <c r="S1416" s="402">
        <v>38994</v>
      </c>
      <c r="T1416" s="402">
        <f>+S1416+20</f>
        <v>39014</v>
      </c>
      <c r="U1416" s="331"/>
      <c r="V1416" s="6" t="s">
        <v>1269</v>
      </c>
      <c r="W1416" s="341">
        <v>159</v>
      </c>
      <c r="X1416" s="6" t="s">
        <v>47</v>
      </c>
      <c r="Y1416" s="177"/>
      <c r="Z1416" s="6" t="s">
        <v>1410</v>
      </c>
      <c r="AA1416" s="6" t="s">
        <v>47</v>
      </c>
      <c r="AB1416" s="6" t="s">
        <v>47</v>
      </c>
      <c r="AC1416" s="18"/>
      <c r="AD1416" s="10" t="str">
        <f>IF(S1416&lt;=L1416,"en término","atrasado")</f>
        <v>atrasado</v>
      </c>
    </row>
    <row r="1417" spans="1:30" s="9" customFormat="1" ht="12" thickBot="1" x14ac:dyDescent="0.25">
      <c r="A1417" s="328"/>
      <c r="B1417" s="19"/>
      <c r="C1417" s="19"/>
      <c r="D1417" s="5"/>
      <c r="E1417" s="5"/>
      <c r="F1417" s="5" t="s">
        <v>1600</v>
      </c>
      <c r="G1417" s="5"/>
      <c r="H1417" s="105"/>
      <c r="I1417" s="359"/>
      <c r="J1417" s="27"/>
      <c r="K1417" s="27"/>
      <c r="L1417" s="187"/>
      <c r="M1417" s="5"/>
      <c r="N1417" s="5"/>
      <c r="O1417" s="187"/>
      <c r="P1417" s="5"/>
      <c r="Q1417" s="5"/>
      <c r="R1417" s="5"/>
      <c r="S1417" s="5"/>
      <c r="T1417" s="187"/>
      <c r="U1417" s="5"/>
      <c r="V1417" s="224"/>
      <c r="W1417" s="36"/>
      <c r="X1417" s="5"/>
      <c r="Y1417" s="182"/>
      <c r="Z1417" s="5" t="s">
        <v>1412</v>
      </c>
      <c r="AA1417" s="27">
        <v>39030</v>
      </c>
      <c r="AB1417" s="27">
        <v>39113</v>
      </c>
      <c r="AC1417" s="27"/>
      <c r="AD1417" s="330"/>
    </row>
    <row r="1418" spans="1:30" s="9" customFormat="1" x14ac:dyDescent="0.2">
      <c r="A1418" s="328"/>
      <c r="B1418" s="11"/>
      <c r="C1418" s="16"/>
      <c r="D1418" s="7"/>
      <c r="E1418" s="7"/>
      <c r="F1418" s="6"/>
      <c r="G1418" s="6"/>
      <c r="H1418" s="17"/>
      <c r="I1418" s="17"/>
      <c r="J1418" s="594"/>
      <c r="K1418" s="7"/>
      <c r="L1418" s="348"/>
      <c r="M1418" s="6"/>
      <c r="N1418" s="6"/>
      <c r="O1418" s="189"/>
      <c r="P1418" s="7"/>
      <c r="Q1418" s="7"/>
      <c r="R1418" s="7"/>
      <c r="S1418" s="18"/>
      <c r="T1418" s="18"/>
      <c r="U1418" s="7"/>
      <c r="V1418" s="220" t="s">
        <v>1589</v>
      </c>
      <c r="W1418" s="47"/>
      <c r="X1418" s="12"/>
      <c r="Y1418" s="177"/>
      <c r="Z1418" s="6"/>
      <c r="AA1418" s="6"/>
      <c r="AB1418" s="6"/>
      <c r="AC1418" s="6"/>
      <c r="AD1418" s="330"/>
    </row>
    <row r="1419" spans="1:30" s="9" customFormat="1" x14ac:dyDescent="0.2">
      <c r="A1419" s="328"/>
      <c r="B1419" s="16" t="s">
        <v>36</v>
      </c>
      <c r="C1419" s="16" t="s">
        <v>133</v>
      </c>
      <c r="D1419" s="7" t="s">
        <v>1221</v>
      </c>
      <c r="E1419" s="7"/>
      <c r="F1419" s="6" t="s">
        <v>1222</v>
      </c>
      <c r="G1419" s="6" t="s">
        <v>39</v>
      </c>
      <c r="H1419" s="17">
        <v>39345.040000000001</v>
      </c>
      <c r="I1419" s="39" t="s">
        <v>40</v>
      </c>
      <c r="J1419" s="18">
        <v>38796</v>
      </c>
      <c r="K1419" s="331">
        <v>97</v>
      </c>
      <c r="L1419" s="348">
        <f>+J1419+K1419</f>
        <v>38893</v>
      </c>
      <c r="M1419" s="18" t="s">
        <v>41</v>
      </c>
      <c r="N1419" s="6" t="s">
        <v>42</v>
      </c>
      <c r="O1419" s="18">
        <v>38985</v>
      </c>
      <c r="P1419" s="331">
        <f>IF(S1419="","",+S1419-L1419)</f>
        <v>101</v>
      </c>
      <c r="Q1419" s="331"/>
      <c r="R1419" s="331"/>
      <c r="S1419" s="402">
        <v>38994</v>
      </c>
      <c r="T1419" s="402">
        <f>+S1419+20</f>
        <v>39014</v>
      </c>
      <c r="U1419" s="331"/>
      <c r="V1419" s="6" t="s">
        <v>1601</v>
      </c>
      <c r="W1419" s="341">
        <v>157</v>
      </c>
      <c r="X1419" s="6" t="s">
        <v>47</v>
      </c>
      <c r="Y1419" s="177"/>
      <c r="Z1419" s="6" t="s">
        <v>1410</v>
      </c>
      <c r="AA1419" s="6" t="s">
        <v>47</v>
      </c>
      <c r="AB1419" s="6" t="s">
        <v>47</v>
      </c>
      <c r="AC1419" s="18"/>
      <c r="AD1419" s="10" t="str">
        <f>IF(S1419&lt;=L1419,"en término","atrasado")</f>
        <v>atrasado</v>
      </c>
    </row>
    <row r="1420" spans="1:30" s="9" customFormat="1" ht="12" thickBot="1" x14ac:dyDescent="0.25">
      <c r="A1420" s="328"/>
      <c r="B1420" s="19"/>
      <c r="C1420" s="19"/>
      <c r="D1420" s="5"/>
      <c r="E1420" s="5"/>
      <c r="F1420" s="5" t="s">
        <v>1602</v>
      </c>
      <c r="G1420" s="5"/>
      <c r="H1420" s="105"/>
      <c r="I1420" s="21"/>
      <c r="J1420" s="27"/>
      <c r="K1420" s="27"/>
      <c r="L1420" s="187"/>
      <c r="M1420" s="5"/>
      <c r="N1420" s="5"/>
      <c r="O1420" s="187"/>
      <c r="P1420" s="5"/>
      <c r="Q1420" s="5"/>
      <c r="R1420" s="5"/>
      <c r="S1420" s="5"/>
      <c r="T1420" s="187"/>
      <c r="U1420" s="5"/>
      <c r="V1420" s="224"/>
      <c r="W1420" s="36"/>
      <c r="X1420" s="5"/>
      <c r="Y1420" s="182"/>
      <c r="Z1420" s="5" t="s">
        <v>1412</v>
      </c>
      <c r="AA1420" s="27">
        <v>39030</v>
      </c>
      <c r="AB1420" s="27">
        <v>39129</v>
      </c>
      <c r="AC1420" s="27"/>
      <c r="AD1420" s="330"/>
    </row>
    <row r="1421" spans="1:30" s="9" customFormat="1" x14ac:dyDescent="0.2">
      <c r="A1421" s="328"/>
      <c r="B1421" s="11"/>
      <c r="C1421" s="16"/>
      <c r="D1421" s="7"/>
      <c r="E1421" s="7"/>
      <c r="F1421" s="6"/>
      <c r="G1421" s="6"/>
      <c r="H1421" s="17"/>
      <c r="I1421" s="17"/>
      <c r="J1421" s="7"/>
      <c r="K1421" s="7"/>
      <c r="L1421" s="348"/>
      <c r="M1421" s="6"/>
      <c r="N1421" s="6"/>
      <c r="O1421" s="189"/>
      <c r="P1421" s="7"/>
      <c r="Q1421" s="7"/>
      <c r="R1421" s="7"/>
      <c r="S1421" s="18"/>
      <c r="T1421" s="18"/>
      <c r="U1421" s="7"/>
      <c r="V1421" s="220" t="s">
        <v>1589</v>
      </c>
      <c r="W1421" s="47"/>
      <c r="X1421" s="12"/>
      <c r="Y1421" s="177"/>
      <c r="Z1421" s="6"/>
      <c r="AA1421" s="6"/>
      <c r="AB1421" s="6">
        <v>39161</v>
      </c>
      <c r="AC1421" s="7"/>
      <c r="AD1421" s="330"/>
    </row>
    <row r="1422" spans="1:30" s="9" customFormat="1" x14ac:dyDescent="0.2">
      <c r="A1422" s="328"/>
      <c r="B1422" s="16" t="s">
        <v>36</v>
      </c>
      <c r="C1422" s="16" t="s">
        <v>133</v>
      </c>
      <c r="D1422" s="7" t="s">
        <v>1221</v>
      </c>
      <c r="E1422" s="7"/>
      <c r="F1422" s="6" t="s">
        <v>1222</v>
      </c>
      <c r="G1422" s="6" t="s">
        <v>39</v>
      </c>
      <c r="H1422" s="17">
        <v>33102.230000000003</v>
      </c>
      <c r="I1422" s="39" t="s">
        <v>52</v>
      </c>
      <c r="J1422" s="18">
        <v>38841</v>
      </c>
      <c r="K1422" s="331">
        <v>57</v>
      </c>
      <c r="L1422" s="348">
        <f>+J1422+K1422</f>
        <v>38898</v>
      </c>
      <c r="M1422" s="18" t="s">
        <v>41</v>
      </c>
      <c r="N1422" s="6" t="s">
        <v>42</v>
      </c>
      <c r="O1422" s="18">
        <v>38985</v>
      </c>
      <c r="P1422" s="331">
        <f>IF(S1422="","",+S1422-L1422)</f>
        <v>96</v>
      </c>
      <c r="Q1422" s="331"/>
      <c r="R1422" s="331"/>
      <c r="S1422" s="402">
        <v>38994</v>
      </c>
      <c r="T1422" s="402">
        <f>+S1422+20</f>
        <v>39014</v>
      </c>
      <c r="U1422" s="331"/>
      <c r="V1422" s="6" t="s">
        <v>1254</v>
      </c>
      <c r="W1422" s="341">
        <v>155</v>
      </c>
      <c r="X1422" s="6" t="s">
        <v>47</v>
      </c>
      <c r="Y1422" s="177"/>
      <c r="Z1422" s="6" t="s">
        <v>1410</v>
      </c>
      <c r="AA1422" s="6" t="s">
        <v>47</v>
      </c>
      <c r="AB1422" s="6" t="s">
        <v>47</v>
      </c>
      <c r="AC1422" s="18"/>
      <c r="AD1422" s="10" t="str">
        <f>IF(S1422&lt;=L1422,"en término","atrasado")</f>
        <v>atrasado</v>
      </c>
    </row>
    <row r="1423" spans="1:30" s="9" customFormat="1" ht="12" thickBot="1" x14ac:dyDescent="0.25">
      <c r="A1423" s="328"/>
      <c r="B1423" s="19"/>
      <c r="C1423" s="19"/>
      <c r="D1423" s="5"/>
      <c r="E1423" s="5"/>
      <c r="F1423" s="5" t="s">
        <v>1603</v>
      </c>
      <c r="G1423" s="5"/>
      <c r="H1423" s="105"/>
      <c r="I1423" s="21"/>
      <c r="J1423" s="27"/>
      <c r="K1423" s="27"/>
      <c r="L1423" s="187"/>
      <c r="M1423" s="5"/>
      <c r="N1423" s="5"/>
      <c r="O1423" s="187"/>
      <c r="P1423" s="5"/>
      <c r="Q1423" s="5"/>
      <c r="R1423" s="5"/>
      <c r="S1423" s="5"/>
      <c r="T1423" s="187"/>
      <c r="U1423" s="5"/>
      <c r="V1423" s="224"/>
      <c r="W1423" s="36"/>
      <c r="X1423" s="5"/>
      <c r="Y1423" s="182"/>
      <c r="Z1423" s="5" t="s">
        <v>1412</v>
      </c>
      <c r="AA1423" s="27">
        <v>39030</v>
      </c>
      <c r="AB1423" s="27" t="s">
        <v>1604</v>
      </c>
      <c r="AC1423" s="5"/>
      <c r="AD1423" s="330"/>
    </row>
    <row r="1424" spans="1:30" s="9" customFormat="1" x14ac:dyDescent="0.2">
      <c r="A1424" s="328"/>
      <c r="B1424" s="11"/>
      <c r="C1424" s="16"/>
      <c r="D1424" s="7"/>
      <c r="E1424" s="7"/>
      <c r="F1424" s="6"/>
      <c r="G1424" s="6"/>
      <c r="H1424" s="17"/>
      <c r="I1424" s="17"/>
      <c r="J1424" s="7"/>
      <c r="K1424" s="7"/>
      <c r="L1424" s="348"/>
      <c r="M1424" s="6"/>
      <c r="N1424" s="6"/>
      <c r="O1424" s="189"/>
      <c r="P1424" s="7"/>
      <c r="Q1424" s="7"/>
      <c r="R1424" s="7"/>
      <c r="S1424" s="18"/>
      <c r="T1424" s="18"/>
      <c r="U1424" s="7"/>
      <c r="V1424" s="220"/>
      <c r="W1424" s="47"/>
      <c r="X1424" s="57"/>
      <c r="Y1424" s="177"/>
      <c r="Z1424" s="6"/>
      <c r="AA1424" s="6"/>
      <c r="AB1424" s="6"/>
      <c r="AC1424" s="6"/>
      <c r="AD1424" s="330"/>
    </row>
    <row r="1425" spans="1:30" s="9" customFormat="1" x14ac:dyDescent="0.2">
      <c r="A1425" s="328"/>
      <c r="B1425" s="16" t="s">
        <v>36</v>
      </c>
      <c r="C1425" s="16" t="s">
        <v>37</v>
      </c>
      <c r="D1425" s="7" t="s">
        <v>1605</v>
      </c>
      <c r="E1425" s="7"/>
      <c r="F1425" s="6" t="s">
        <v>1606</v>
      </c>
      <c r="G1425" s="6" t="s">
        <v>39</v>
      </c>
      <c r="H1425" s="17">
        <v>19200</v>
      </c>
      <c r="I1425" s="39"/>
      <c r="J1425" s="18">
        <v>38903</v>
      </c>
      <c r="K1425" s="331">
        <v>110</v>
      </c>
      <c r="L1425" s="348">
        <f>+J1425+K1425</f>
        <v>39013</v>
      </c>
      <c r="M1425" s="18" t="s">
        <v>41</v>
      </c>
      <c r="N1425" s="6" t="s">
        <v>42</v>
      </c>
      <c r="O1425" s="18">
        <v>38985</v>
      </c>
      <c r="P1425" s="331">
        <f>IF(S1425="","",+S1425-L1425)</f>
        <v>-19</v>
      </c>
      <c r="Q1425" s="331"/>
      <c r="R1425" s="331"/>
      <c r="S1425" s="402">
        <v>38994</v>
      </c>
      <c r="T1425" s="402">
        <f>+S1425+20</f>
        <v>39014</v>
      </c>
      <c r="U1425" s="331">
        <f>IF(T1425="","",+T1425-J1425)</f>
        <v>111</v>
      </c>
      <c r="V1425" s="6" t="s">
        <v>940</v>
      </c>
      <c r="W1425" s="341">
        <v>152</v>
      </c>
      <c r="X1425" s="59"/>
      <c r="Y1425" s="177"/>
      <c r="Z1425" s="6" t="s">
        <v>1410</v>
      </c>
      <c r="AA1425" s="6" t="s">
        <v>47</v>
      </c>
      <c r="AB1425" s="6" t="s">
        <v>47</v>
      </c>
      <c r="AC1425" s="18"/>
      <c r="AD1425" s="10" t="str">
        <f>IF(S1425&lt;=L1425,"en término","atrasado")</f>
        <v>en término</v>
      </c>
    </row>
    <row r="1426" spans="1:30" s="9" customFormat="1" ht="12" thickBot="1" x14ac:dyDescent="0.25">
      <c r="A1426" s="328"/>
      <c r="B1426" s="19"/>
      <c r="C1426" s="19"/>
      <c r="D1426" s="5"/>
      <c r="E1426" s="5"/>
      <c r="F1426" s="5"/>
      <c r="G1426" s="5"/>
      <c r="H1426" s="105"/>
      <c r="I1426" s="21"/>
      <c r="J1426" s="27"/>
      <c r="K1426" s="27"/>
      <c r="L1426" s="187"/>
      <c r="M1426" s="5"/>
      <c r="N1426" s="5"/>
      <c r="O1426" s="187"/>
      <c r="P1426" s="5"/>
      <c r="Q1426" s="5"/>
      <c r="R1426" s="5"/>
      <c r="S1426" s="5"/>
      <c r="T1426" s="187"/>
      <c r="U1426" s="5"/>
      <c r="V1426" s="224" t="s">
        <v>1021</v>
      </c>
      <c r="W1426" s="36"/>
      <c r="X1426" s="61"/>
      <c r="Y1426" s="182"/>
      <c r="Z1426" s="5" t="s">
        <v>1412</v>
      </c>
      <c r="AA1426" s="27">
        <v>39030</v>
      </c>
      <c r="AB1426" s="27" t="s">
        <v>1530</v>
      </c>
      <c r="AC1426" s="5"/>
      <c r="AD1426" s="330"/>
    </row>
    <row r="1427" spans="1:30" s="9" customFormat="1" x14ac:dyDescent="0.2">
      <c r="A1427" s="328"/>
      <c r="B1427" s="11"/>
      <c r="C1427" s="16"/>
      <c r="D1427" s="7"/>
      <c r="E1427" s="7"/>
      <c r="F1427" s="6"/>
      <c r="G1427" s="6"/>
      <c r="H1427" s="17"/>
      <c r="I1427" s="17"/>
      <c r="J1427" s="7"/>
      <c r="K1427" s="7"/>
      <c r="L1427" s="348"/>
      <c r="M1427" s="6"/>
      <c r="N1427" s="6"/>
      <c r="O1427" s="189"/>
      <c r="P1427" s="7"/>
      <c r="Q1427" s="7"/>
      <c r="R1427" s="7"/>
      <c r="S1427" s="18"/>
      <c r="T1427" s="18"/>
      <c r="U1427" s="7"/>
      <c r="V1427" s="220"/>
      <c r="W1427" s="47"/>
      <c r="X1427" s="57"/>
      <c r="Y1427" s="177"/>
      <c r="Z1427" s="6"/>
      <c r="AA1427" s="6"/>
      <c r="AB1427" s="6"/>
      <c r="AC1427" s="6"/>
      <c r="AD1427" s="330"/>
    </row>
    <row r="1428" spans="1:30" s="9" customFormat="1" x14ac:dyDescent="0.2">
      <c r="A1428" s="328"/>
      <c r="B1428" s="16" t="s">
        <v>36</v>
      </c>
      <c r="C1428" s="16" t="s">
        <v>37</v>
      </c>
      <c r="D1428" s="7" t="s">
        <v>1607</v>
      </c>
      <c r="E1428" s="7"/>
      <c r="F1428" s="6" t="s">
        <v>1608</v>
      </c>
      <c r="G1428" s="6" t="s">
        <v>39</v>
      </c>
      <c r="H1428" s="17">
        <v>3273</v>
      </c>
      <c r="I1428" s="39"/>
      <c r="J1428" s="18">
        <v>38940</v>
      </c>
      <c r="K1428" s="331">
        <v>90</v>
      </c>
      <c r="L1428" s="348">
        <f>+J1428+K1428</f>
        <v>39030</v>
      </c>
      <c r="M1428" s="18" t="s">
        <v>41</v>
      </c>
      <c r="N1428" s="6" t="s">
        <v>42</v>
      </c>
      <c r="O1428" s="18">
        <v>38985</v>
      </c>
      <c r="P1428" s="331">
        <f>IF(S1428="","",+S1428-L1428)</f>
        <v>-36</v>
      </c>
      <c r="Q1428" s="331"/>
      <c r="R1428" s="331"/>
      <c r="S1428" s="402">
        <v>38994</v>
      </c>
      <c r="T1428" s="402">
        <f>+S1428+20</f>
        <v>39014</v>
      </c>
      <c r="U1428" s="331">
        <f>IF(T1428="","",+T1428-J1428)</f>
        <v>74</v>
      </c>
      <c r="V1428" s="6" t="s">
        <v>53</v>
      </c>
      <c r="W1428" s="341">
        <v>152</v>
      </c>
      <c r="X1428" s="59"/>
      <c r="Y1428" s="177"/>
      <c r="Z1428" s="6" t="s">
        <v>1410</v>
      </c>
      <c r="AA1428" s="6" t="s">
        <v>47</v>
      </c>
      <c r="AB1428" s="6" t="s">
        <v>1575</v>
      </c>
      <c r="AC1428" s="18"/>
      <c r="AD1428" s="10" t="str">
        <f>IF(S1428&lt;=L1428,"en término","atrasado")</f>
        <v>en término</v>
      </c>
    </row>
    <row r="1429" spans="1:30" s="9" customFormat="1" ht="12" thickBot="1" x14ac:dyDescent="0.25">
      <c r="A1429" s="328"/>
      <c r="B1429" s="19"/>
      <c r="C1429" s="19"/>
      <c r="D1429" s="5"/>
      <c r="E1429" s="5"/>
      <c r="F1429" s="5"/>
      <c r="G1429" s="5"/>
      <c r="H1429" s="105"/>
      <c r="I1429" s="21"/>
      <c r="J1429" s="27"/>
      <c r="K1429" s="27"/>
      <c r="L1429" s="187"/>
      <c r="M1429" s="5"/>
      <c r="N1429" s="5"/>
      <c r="O1429" s="187"/>
      <c r="P1429" s="5"/>
      <c r="Q1429" s="5"/>
      <c r="R1429" s="5"/>
      <c r="S1429" s="5"/>
      <c r="T1429" s="187"/>
      <c r="U1429" s="5"/>
      <c r="V1429" s="224"/>
      <c r="W1429" s="36"/>
      <c r="X1429" s="61"/>
      <c r="Y1429" s="182"/>
      <c r="Z1429" s="5" t="s">
        <v>1412</v>
      </c>
      <c r="AA1429" s="27">
        <v>39030</v>
      </c>
      <c r="AB1429" s="27" t="s">
        <v>1530</v>
      </c>
      <c r="AC1429" s="5"/>
      <c r="AD1429" s="330"/>
    </row>
    <row r="1430" spans="1:30" s="9" customFormat="1" x14ac:dyDescent="0.2">
      <c r="A1430" s="328"/>
      <c r="B1430" s="11"/>
      <c r="C1430" s="16"/>
      <c r="D1430" s="7"/>
      <c r="E1430" s="7"/>
      <c r="F1430" s="6"/>
      <c r="G1430" s="6"/>
      <c r="H1430" s="17"/>
      <c r="I1430" s="17"/>
      <c r="J1430" s="7"/>
      <c r="K1430" s="7"/>
      <c r="L1430" s="348"/>
      <c r="M1430" s="6"/>
      <c r="N1430" s="6"/>
      <c r="O1430" s="189"/>
      <c r="P1430" s="7"/>
      <c r="Q1430" s="7"/>
      <c r="R1430" s="7"/>
      <c r="S1430" s="18"/>
      <c r="T1430" s="18"/>
      <c r="U1430" s="7"/>
      <c r="V1430" s="220"/>
      <c r="W1430" s="47"/>
      <c r="X1430" s="57"/>
      <c r="Y1430" s="177"/>
      <c r="Z1430" s="6"/>
      <c r="AA1430" s="6"/>
      <c r="AB1430" s="6"/>
      <c r="AC1430" s="6"/>
      <c r="AD1430" s="330"/>
    </row>
    <row r="1431" spans="1:30" s="9" customFormat="1" x14ac:dyDescent="0.2">
      <c r="A1431" s="328"/>
      <c r="B1431" s="16" t="s">
        <v>36</v>
      </c>
      <c r="C1431" s="16" t="s">
        <v>37</v>
      </c>
      <c r="D1431" s="7" t="s">
        <v>1554</v>
      </c>
      <c r="E1431" s="7"/>
      <c r="F1431" s="6" t="s">
        <v>1609</v>
      </c>
      <c r="G1431" s="6" t="s">
        <v>39</v>
      </c>
      <c r="H1431" s="17">
        <v>25230</v>
      </c>
      <c r="I1431" s="39"/>
      <c r="J1431" s="18">
        <v>38952</v>
      </c>
      <c r="K1431" s="331"/>
      <c r="L1431" s="348">
        <v>38990</v>
      </c>
      <c r="M1431" s="18" t="s">
        <v>41</v>
      </c>
      <c r="N1431" s="6" t="s">
        <v>42</v>
      </c>
      <c r="O1431" s="18">
        <v>38985</v>
      </c>
      <c r="P1431" s="331">
        <f>IF(S1431="","",+S1431-L1431)</f>
        <v>4</v>
      </c>
      <c r="Q1431" s="331"/>
      <c r="R1431" s="331"/>
      <c r="S1431" s="402">
        <v>38994</v>
      </c>
      <c r="T1431" s="402">
        <f>+S1431+20</f>
        <v>39014</v>
      </c>
      <c r="U1431" s="331">
        <f>IF(T1431="","",+T1431-J1431)</f>
        <v>62</v>
      </c>
      <c r="V1431" s="6" t="s">
        <v>1610</v>
      </c>
      <c r="W1431" s="341">
        <v>152</v>
      </c>
      <c r="X1431" s="59"/>
      <c r="Y1431" s="177"/>
      <c r="Z1431" s="6" t="s">
        <v>1410</v>
      </c>
      <c r="AA1431" s="6" t="s">
        <v>47</v>
      </c>
      <c r="AB1431" s="6" t="s">
        <v>1575</v>
      </c>
      <c r="AC1431" s="18"/>
      <c r="AD1431" s="10" t="str">
        <f>IF(S1431&lt;=L1431,"en término","atrasado")</f>
        <v>atrasado</v>
      </c>
    </row>
    <row r="1432" spans="1:30" s="9" customFormat="1" ht="12" thickBot="1" x14ac:dyDescent="0.25">
      <c r="A1432" s="328"/>
      <c r="B1432" s="19"/>
      <c r="C1432" s="19"/>
      <c r="D1432" s="5"/>
      <c r="E1432" s="5"/>
      <c r="F1432" s="5"/>
      <c r="G1432" s="5"/>
      <c r="H1432" s="105"/>
      <c r="I1432" s="21"/>
      <c r="J1432" s="27"/>
      <c r="K1432" s="27"/>
      <c r="L1432" s="187"/>
      <c r="M1432" s="5"/>
      <c r="N1432" s="5"/>
      <c r="O1432" s="187"/>
      <c r="P1432" s="5"/>
      <c r="Q1432" s="5"/>
      <c r="R1432" s="5"/>
      <c r="S1432" s="5"/>
      <c r="T1432" s="187"/>
      <c r="U1432" s="5"/>
      <c r="V1432" s="224" t="s">
        <v>1611</v>
      </c>
      <c r="W1432" s="36"/>
      <c r="X1432" s="61"/>
      <c r="Y1432" s="182"/>
      <c r="Z1432" s="5" t="s">
        <v>1412</v>
      </c>
      <c r="AA1432" s="27">
        <v>39030</v>
      </c>
      <c r="AB1432" s="27" t="s">
        <v>1530</v>
      </c>
      <c r="AC1432" s="5"/>
      <c r="AD1432" s="330"/>
    </row>
    <row r="1433" spans="1:30" s="9" customFormat="1" x14ac:dyDescent="0.2">
      <c r="A1433" s="328"/>
      <c r="B1433" s="11"/>
      <c r="C1433" s="16"/>
      <c r="D1433" s="7"/>
      <c r="E1433" s="7"/>
      <c r="F1433" s="6"/>
      <c r="G1433" s="6"/>
      <c r="H1433" s="17"/>
      <c r="I1433" s="17"/>
      <c r="J1433" s="7"/>
      <c r="K1433" s="7"/>
      <c r="L1433" s="348"/>
      <c r="M1433" s="6"/>
      <c r="N1433" s="6"/>
      <c r="O1433" s="189"/>
      <c r="P1433" s="7"/>
      <c r="Q1433" s="7"/>
      <c r="R1433" s="7"/>
      <c r="S1433" s="18"/>
      <c r="T1433" s="18"/>
      <c r="U1433" s="7"/>
      <c r="V1433" s="220"/>
      <c r="W1433" s="47"/>
      <c r="X1433" s="57"/>
      <c r="Y1433" s="177"/>
      <c r="Z1433" s="6"/>
      <c r="AA1433" s="6"/>
      <c r="AB1433" s="6"/>
      <c r="AC1433" s="6"/>
      <c r="AD1433" s="330"/>
    </row>
    <row r="1434" spans="1:30" s="9" customFormat="1" x14ac:dyDescent="0.2">
      <c r="A1434" s="328"/>
      <c r="B1434" s="16" t="s">
        <v>36</v>
      </c>
      <c r="C1434" s="16" t="s">
        <v>37</v>
      </c>
      <c r="D1434" s="7" t="s">
        <v>1612</v>
      </c>
      <c r="E1434" s="7"/>
      <c r="F1434" s="6" t="s">
        <v>1613</v>
      </c>
      <c r="G1434" s="6" t="s">
        <v>39</v>
      </c>
      <c r="H1434" s="17">
        <v>466.6</v>
      </c>
      <c r="I1434" s="39"/>
      <c r="J1434" s="18">
        <v>38974</v>
      </c>
      <c r="K1434" s="331">
        <v>15</v>
      </c>
      <c r="L1434" s="348">
        <f>+J1434+K1434</f>
        <v>38989</v>
      </c>
      <c r="M1434" s="18" t="s">
        <v>41</v>
      </c>
      <c r="N1434" s="6" t="s">
        <v>42</v>
      </c>
      <c r="O1434" s="18">
        <v>38985</v>
      </c>
      <c r="P1434" s="331">
        <f>IF(S1434="","",+S1434-L1434)</f>
        <v>5</v>
      </c>
      <c r="Q1434" s="331"/>
      <c r="R1434" s="331"/>
      <c r="S1434" s="402">
        <v>38994</v>
      </c>
      <c r="T1434" s="402">
        <f>+S1434+20</f>
        <v>39014</v>
      </c>
      <c r="U1434" s="331">
        <f>IF(T1434="","",+T1434-J1434)</f>
        <v>40</v>
      </c>
      <c r="V1434" s="6" t="s">
        <v>1614</v>
      </c>
      <c r="W1434" s="341">
        <v>152</v>
      </c>
      <c r="X1434" s="59"/>
      <c r="Y1434" s="177"/>
      <c r="Z1434" s="6" t="s">
        <v>1410</v>
      </c>
      <c r="AA1434" s="6" t="s">
        <v>47</v>
      </c>
      <c r="AB1434" s="6" t="s">
        <v>1575</v>
      </c>
      <c r="AC1434" s="18"/>
      <c r="AD1434" s="10" t="str">
        <f>IF(S1434&lt;=L1434,"en término","atrasado")</f>
        <v>atrasado</v>
      </c>
    </row>
    <row r="1435" spans="1:30" s="9" customFormat="1" ht="12" thickBot="1" x14ac:dyDescent="0.25">
      <c r="A1435" s="328"/>
      <c r="B1435" s="19"/>
      <c r="C1435" s="19"/>
      <c r="D1435" s="5"/>
      <c r="E1435" s="5"/>
      <c r="F1435" s="5"/>
      <c r="G1435" s="5"/>
      <c r="H1435" s="105"/>
      <c r="I1435" s="21"/>
      <c r="J1435" s="27"/>
      <c r="K1435" s="27"/>
      <c r="L1435" s="187"/>
      <c r="M1435" s="5"/>
      <c r="N1435" s="5"/>
      <c r="O1435" s="187"/>
      <c r="P1435" s="5"/>
      <c r="Q1435" s="5"/>
      <c r="R1435" s="5"/>
      <c r="S1435" s="5"/>
      <c r="T1435" s="187"/>
      <c r="U1435" s="5"/>
      <c r="V1435" s="224"/>
      <c r="W1435" s="36"/>
      <c r="X1435" s="61"/>
      <c r="Y1435" s="182"/>
      <c r="Z1435" s="5" t="s">
        <v>1412</v>
      </c>
      <c r="AA1435" s="27">
        <v>39030</v>
      </c>
      <c r="AB1435" s="27" t="s">
        <v>1530</v>
      </c>
      <c r="AC1435" s="5"/>
      <c r="AD1435" s="330"/>
    </row>
    <row r="1436" spans="1:30" s="9" customFormat="1" x14ac:dyDescent="0.2">
      <c r="A1436" s="328"/>
      <c r="B1436" s="11"/>
      <c r="C1436" s="16"/>
      <c r="D1436" s="7"/>
      <c r="E1436" s="7"/>
      <c r="F1436" s="6"/>
      <c r="G1436" s="6"/>
      <c r="H1436" s="17"/>
      <c r="I1436" s="17"/>
      <c r="J1436" s="7"/>
      <c r="K1436" s="7"/>
      <c r="L1436" s="348"/>
      <c r="M1436" s="6"/>
      <c r="N1436" s="6"/>
      <c r="O1436" s="189"/>
      <c r="P1436" s="7"/>
      <c r="Q1436" s="7"/>
      <c r="R1436" s="7"/>
      <c r="S1436" s="18"/>
      <c r="T1436" s="18"/>
      <c r="U1436" s="7"/>
      <c r="V1436" s="220"/>
      <c r="W1436" s="47"/>
      <c r="X1436" s="57"/>
      <c r="Y1436" s="177"/>
      <c r="Z1436" s="6"/>
      <c r="AA1436" s="6"/>
      <c r="AB1436" s="6"/>
      <c r="AC1436" s="6"/>
      <c r="AD1436" s="330"/>
    </row>
    <row r="1437" spans="1:30" s="9" customFormat="1" x14ac:dyDescent="0.2">
      <c r="A1437" s="328"/>
      <c r="B1437" s="16" t="s">
        <v>36</v>
      </c>
      <c r="C1437" s="16" t="s">
        <v>37</v>
      </c>
      <c r="D1437" s="7" t="s">
        <v>1612</v>
      </c>
      <c r="E1437" s="7"/>
      <c r="F1437" s="6" t="s">
        <v>1615</v>
      </c>
      <c r="G1437" s="6" t="s">
        <v>39</v>
      </c>
      <c r="H1437" s="17">
        <v>610.98</v>
      </c>
      <c r="I1437" s="39"/>
      <c r="J1437" s="18">
        <v>38973</v>
      </c>
      <c r="K1437" s="331">
        <v>15</v>
      </c>
      <c r="L1437" s="348">
        <f>+J1437+K1437</f>
        <v>38988</v>
      </c>
      <c r="M1437" s="18" t="s">
        <v>41</v>
      </c>
      <c r="N1437" s="6" t="s">
        <v>42</v>
      </c>
      <c r="O1437" s="18">
        <v>38987</v>
      </c>
      <c r="P1437" s="331">
        <f>IF(S1437="","",+S1437-L1437)</f>
        <v>1</v>
      </c>
      <c r="Q1437" s="331"/>
      <c r="R1437" s="331"/>
      <c r="S1437" s="402">
        <v>38989</v>
      </c>
      <c r="T1437" s="402">
        <v>38994</v>
      </c>
      <c r="U1437" s="331">
        <f>IF(T1437="","",+T1437-J1437)</f>
        <v>21</v>
      </c>
      <c r="V1437" s="6" t="s">
        <v>1616</v>
      </c>
      <c r="W1437" s="341">
        <v>161</v>
      </c>
      <c r="X1437" s="59"/>
      <c r="Y1437" s="177"/>
      <c r="Z1437" s="6">
        <v>6619839402</v>
      </c>
      <c r="AA1437" s="6" t="s">
        <v>47</v>
      </c>
      <c r="AB1437" s="6" t="s">
        <v>47</v>
      </c>
      <c r="AC1437" s="18"/>
      <c r="AD1437" s="10" t="str">
        <f>IF(S1437&lt;=L1437,"en término","atrasado")</f>
        <v>atrasado</v>
      </c>
    </row>
    <row r="1438" spans="1:30" s="9" customFormat="1" ht="12" thickBot="1" x14ac:dyDescent="0.25">
      <c r="A1438" s="328"/>
      <c r="B1438" s="19"/>
      <c r="C1438" s="19"/>
      <c r="D1438" s="5"/>
      <c r="E1438" s="5"/>
      <c r="F1438" s="5"/>
      <c r="G1438" s="5"/>
      <c r="H1438" s="105"/>
      <c r="I1438" s="21"/>
      <c r="J1438" s="27"/>
      <c r="K1438" s="27"/>
      <c r="L1438" s="187"/>
      <c r="M1438" s="5"/>
      <c r="N1438" s="5"/>
      <c r="O1438" s="187"/>
      <c r="P1438" s="5"/>
      <c r="Q1438" s="5"/>
      <c r="R1438" s="5"/>
      <c r="S1438" s="5"/>
      <c r="T1438" s="187"/>
      <c r="U1438" s="5"/>
      <c r="V1438" s="224"/>
      <c r="W1438" s="36"/>
      <c r="X1438" s="61"/>
      <c r="Y1438" s="182"/>
      <c r="Z1438" s="5"/>
      <c r="AA1438" s="27">
        <v>39008</v>
      </c>
      <c r="AB1438" s="27" t="s">
        <v>1530</v>
      </c>
      <c r="AC1438" s="5"/>
      <c r="AD1438" s="330"/>
    </row>
    <row r="1439" spans="1:30" s="9" customFormat="1" x14ac:dyDescent="0.2">
      <c r="A1439" s="328"/>
      <c r="B1439" s="11"/>
      <c r="C1439" s="16"/>
      <c r="D1439" s="7"/>
      <c r="E1439" s="7"/>
      <c r="F1439" s="6"/>
      <c r="G1439" s="6"/>
      <c r="H1439" s="17"/>
      <c r="I1439" s="17"/>
      <c r="J1439" s="7"/>
      <c r="K1439" s="7"/>
      <c r="L1439" s="348"/>
      <c r="M1439" s="6"/>
      <c r="N1439" s="6"/>
      <c r="O1439" s="189"/>
      <c r="P1439" s="7"/>
      <c r="Q1439" s="7"/>
      <c r="R1439" s="7"/>
      <c r="S1439" s="18" t="s">
        <v>1617</v>
      </c>
      <c r="T1439" s="18"/>
      <c r="U1439" s="7"/>
      <c r="V1439" s="220"/>
      <c r="W1439" s="47"/>
      <c r="X1439" s="57"/>
      <c r="Y1439" s="177"/>
      <c r="Z1439" s="6"/>
      <c r="AA1439" s="6"/>
      <c r="AB1439" s="6"/>
      <c r="AC1439" s="6"/>
      <c r="AD1439" s="330"/>
    </row>
    <row r="1440" spans="1:30" s="9" customFormat="1" x14ac:dyDescent="0.2">
      <c r="A1440" s="328"/>
      <c r="B1440" s="16" t="s">
        <v>36</v>
      </c>
      <c r="C1440" s="16" t="s">
        <v>37</v>
      </c>
      <c r="D1440" s="7" t="s">
        <v>1618</v>
      </c>
      <c r="E1440" s="7"/>
      <c r="F1440" s="6" t="s">
        <v>1619</v>
      </c>
      <c r="G1440" s="6" t="s">
        <v>39</v>
      </c>
      <c r="H1440" s="17">
        <v>23180</v>
      </c>
      <c r="I1440" s="39"/>
      <c r="J1440" s="18">
        <v>38979</v>
      </c>
      <c r="K1440" s="331">
        <v>42</v>
      </c>
      <c r="L1440" s="348">
        <f>+J1440+K1440</f>
        <v>39021</v>
      </c>
      <c r="M1440" s="18" t="s">
        <v>41</v>
      </c>
      <c r="N1440" s="6" t="s">
        <v>42</v>
      </c>
      <c r="O1440" s="18">
        <v>39003</v>
      </c>
      <c r="P1440" s="331">
        <f>IF(S1440="","",+S1440-L1440)</f>
        <v>-5</v>
      </c>
      <c r="Q1440" s="331"/>
      <c r="R1440" s="331"/>
      <c r="S1440" s="402">
        <v>39016</v>
      </c>
      <c r="T1440" s="402">
        <f>+S1440+10</f>
        <v>39026</v>
      </c>
      <c r="U1440" s="331">
        <f>IF(T1440="","",+T1440-J1440)</f>
        <v>47</v>
      </c>
      <c r="V1440" s="6" t="s">
        <v>1620</v>
      </c>
      <c r="W1440" s="341">
        <v>168</v>
      </c>
      <c r="X1440" s="59"/>
      <c r="Y1440" s="177"/>
      <c r="Z1440" s="6" t="s">
        <v>1410</v>
      </c>
      <c r="AA1440" s="6" t="s">
        <v>1575</v>
      </c>
      <c r="AB1440" s="6" t="s">
        <v>47</v>
      </c>
      <c r="AC1440" s="18"/>
      <c r="AD1440" s="10" t="str">
        <f>IF(S1440&lt;=L1440,"en término","atrasado")</f>
        <v>en término</v>
      </c>
    </row>
    <row r="1441" spans="1:30" s="9" customFormat="1" ht="12" thickBot="1" x14ac:dyDescent="0.25">
      <c r="A1441" s="328"/>
      <c r="B1441" s="19"/>
      <c r="C1441" s="19"/>
      <c r="D1441" s="5"/>
      <c r="E1441" s="5"/>
      <c r="F1441" s="5"/>
      <c r="G1441" s="5"/>
      <c r="H1441" s="105"/>
      <c r="I1441" s="21"/>
      <c r="J1441" s="27"/>
      <c r="K1441" s="27"/>
      <c r="L1441" s="187"/>
      <c r="M1441" s="5"/>
      <c r="N1441" s="5"/>
      <c r="O1441" s="187"/>
      <c r="P1441" s="5"/>
      <c r="Q1441" s="5"/>
      <c r="R1441" s="5"/>
      <c r="S1441" s="5"/>
      <c r="T1441" s="187"/>
      <c r="U1441" s="5"/>
      <c r="V1441" s="224"/>
      <c r="W1441" s="36"/>
      <c r="X1441" s="61"/>
      <c r="Y1441" s="182"/>
      <c r="Z1441" s="5" t="s">
        <v>1621</v>
      </c>
      <c r="AA1441" s="27">
        <v>39038</v>
      </c>
      <c r="AB1441" s="27" t="s">
        <v>1530</v>
      </c>
      <c r="AC1441" s="5"/>
      <c r="AD1441" s="330"/>
    </row>
    <row r="1442" spans="1:30" s="9" customFormat="1" x14ac:dyDescent="0.2">
      <c r="A1442" s="328"/>
      <c r="B1442" s="11"/>
      <c r="C1442" s="16"/>
      <c r="D1442" s="7"/>
      <c r="E1442" s="7"/>
      <c r="F1442" s="6"/>
      <c r="G1442" s="6"/>
      <c r="H1442" s="17"/>
      <c r="I1442" s="17"/>
      <c r="J1442" s="7"/>
      <c r="K1442" s="7"/>
      <c r="L1442" s="348"/>
      <c r="M1442" s="6"/>
      <c r="N1442" s="6"/>
      <c r="O1442" s="189"/>
      <c r="P1442" s="7"/>
      <c r="Q1442" s="7"/>
      <c r="R1442" s="7"/>
      <c r="S1442" s="18" t="s">
        <v>1622</v>
      </c>
      <c r="T1442" s="18"/>
      <c r="U1442" s="7"/>
      <c r="V1442" s="220"/>
      <c r="W1442" s="47"/>
      <c r="X1442" s="57"/>
      <c r="Y1442" s="177"/>
      <c r="Z1442" s="6"/>
      <c r="AA1442" s="6"/>
      <c r="AB1442" s="6"/>
      <c r="AC1442" s="6"/>
      <c r="AD1442" s="330"/>
    </row>
    <row r="1443" spans="1:30" s="9" customFormat="1" x14ac:dyDescent="0.2">
      <c r="A1443" s="328"/>
      <c r="B1443" s="16" t="s">
        <v>36</v>
      </c>
      <c r="C1443" s="16" t="s">
        <v>37</v>
      </c>
      <c r="D1443" s="7" t="s">
        <v>1554</v>
      </c>
      <c r="E1443" s="7"/>
      <c r="F1443" s="6" t="s">
        <v>1623</v>
      </c>
      <c r="G1443" s="6" t="s">
        <v>39</v>
      </c>
      <c r="H1443" s="17">
        <v>25715</v>
      </c>
      <c r="I1443" s="39"/>
      <c r="J1443" s="18">
        <v>38982</v>
      </c>
      <c r="K1443" s="331"/>
      <c r="L1443" s="348">
        <f>+J1443+30</f>
        <v>39012</v>
      </c>
      <c r="M1443" s="18" t="s">
        <v>41</v>
      </c>
      <c r="N1443" s="6" t="s">
        <v>42</v>
      </c>
      <c r="O1443" s="18">
        <v>39021</v>
      </c>
      <c r="P1443" s="331">
        <f>IF(S1443="","",+S1443-L1443)</f>
        <v>13</v>
      </c>
      <c r="Q1443" s="331"/>
      <c r="R1443" s="331"/>
      <c r="S1443" s="402">
        <v>39025</v>
      </c>
      <c r="T1443" s="402">
        <v>39038</v>
      </c>
      <c r="U1443" s="331">
        <f>IF(T1443="","",+T1443-J1443)</f>
        <v>56</v>
      </c>
      <c r="V1443" s="6" t="s">
        <v>1624</v>
      </c>
      <c r="W1443" s="341">
        <v>172</v>
      </c>
      <c r="X1443" s="59"/>
      <c r="Y1443" s="177"/>
      <c r="Z1443" s="6" t="s">
        <v>1410</v>
      </c>
      <c r="AA1443" s="6" t="s">
        <v>47</v>
      </c>
      <c r="AB1443" s="6" t="s">
        <v>47</v>
      </c>
      <c r="AC1443" s="18"/>
      <c r="AD1443" s="10" t="str">
        <f>IF(S1443&lt;=L1443,"en término","atrasado")</f>
        <v>atrasado</v>
      </c>
    </row>
    <row r="1444" spans="1:30" s="9" customFormat="1" ht="12" thickBot="1" x14ac:dyDescent="0.25">
      <c r="A1444" s="328"/>
      <c r="B1444" s="19"/>
      <c r="C1444" s="19"/>
      <c r="D1444" s="5"/>
      <c r="E1444" s="5"/>
      <c r="F1444" s="5"/>
      <c r="G1444" s="5"/>
      <c r="H1444" s="105"/>
      <c r="I1444" s="21"/>
      <c r="J1444" s="27"/>
      <c r="K1444" s="27"/>
      <c r="L1444" s="187"/>
      <c r="M1444" s="5"/>
      <c r="N1444" s="5"/>
      <c r="O1444" s="187"/>
      <c r="P1444" s="5"/>
      <c r="Q1444" s="5"/>
      <c r="R1444" s="5"/>
      <c r="S1444" s="5"/>
      <c r="T1444" s="187"/>
      <c r="U1444" s="5"/>
      <c r="V1444" s="224" t="s">
        <v>1625</v>
      </c>
      <c r="W1444" s="36"/>
      <c r="X1444" s="61"/>
      <c r="Y1444" s="182"/>
      <c r="Z1444" s="5" t="s">
        <v>1289</v>
      </c>
      <c r="AA1444" s="27">
        <v>39054</v>
      </c>
      <c r="AB1444" s="27" t="s">
        <v>1530</v>
      </c>
      <c r="AC1444" s="5"/>
      <c r="AD1444" s="330"/>
    </row>
    <row r="1445" spans="1:30" s="9" customFormat="1" x14ac:dyDescent="0.2">
      <c r="A1445" s="328"/>
      <c r="B1445" s="11"/>
      <c r="C1445" s="16"/>
      <c r="D1445" s="7"/>
      <c r="E1445" s="7"/>
      <c r="F1445" s="6"/>
      <c r="G1445" s="6"/>
      <c r="H1445" s="17"/>
      <c r="I1445" s="17"/>
      <c r="J1445" s="7"/>
      <c r="K1445" s="7"/>
      <c r="L1445" s="348"/>
      <c r="M1445" s="6"/>
      <c r="N1445" s="6"/>
      <c r="O1445" s="189"/>
      <c r="P1445" s="7"/>
      <c r="Q1445" s="7"/>
      <c r="R1445" s="7"/>
      <c r="S1445" s="18" t="s">
        <v>1622</v>
      </c>
      <c r="T1445" s="18"/>
      <c r="U1445" s="7"/>
      <c r="V1445" s="220"/>
      <c r="W1445" s="47"/>
      <c r="X1445" s="57"/>
      <c r="Y1445" s="177"/>
      <c r="Z1445" s="6"/>
      <c r="AA1445" s="6"/>
      <c r="AB1445" s="6"/>
      <c r="AC1445" s="6"/>
      <c r="AD1445" s="330"/>
    </row>
    <row r="1446" spans="1:30" s="9" customFormat="1" x14ac:dyDescent="0.2">
      <c r="A1446" s="328"/>
      <c r="B1446" s="16" t="s">
        <v>36</v>
      </c>
      <c r="C1446" s="16" t="s">
        <v>37</v>
      </c>
      <c r="D1446" s="7" t="s">
        <v>1626</v>
      </c>
      <c r="E1446" s="7"/>
      <c r="F1446" s="6" t="s">
        <v>1627</v>
      </c>
      <c r="G1446" s="6" t="s">
        <v>39</v>
      </c>
      <c r="H1446" s="17">
        <v>214730</v>
      </c>
      <c r="I1446" s="39"/>
      <c r="J1446" s="18">
        <v>38982</v>
      </c>
      <c r="K1446" s="331">
        <v>45</v>
      </c>
      <c r="L1446" s="348">
        <f>+J1446+K1446</f>
        <v>39027</v>
      </c>
      <c r="M1446" s="18" t="s">
        <v>41</v>
      </c>
      <c r="N1446" s="6" t="s">
        <v>42</v>
      </c>
      <c r="O1446" s="18">
        <v>39021</v>
      </c>
      <c r="P1446" s="331">
        <f>IF(S1446="","",+S1446-L1446)</f>
        <v>-2</v>
      </c>
      <c r="Q1446" s="331"/>
      <c r="R1446" s="331"/>
      <c r="S1446" s="402">
        <v>39025</v>
      </c>
      <c r="T1446" s="402">
        <v>39038</v>
      </c>
      <c r="U1446" s="331">
        <f>IF(T1446="","",+T1446-J1446)</f>
        <v>56</v>
      </c>
      <c r="V1446" s="6" t="s">
        <v>1628</v>
      </c>
      <c r="W1446" s="341">
        <v>172</v>
      </c>
      <c r="X1446" s="59"/>
      <c r="Y1446" s="177"/>
      <c r="Z1446" s="6" t="s">
        <v>1410</v>
      </c>
      <c r="AA1446" s="6" t="s">
        <v>47</v>
      </c>
      <c r="AB1446" s="6" t="s">
        <v>47</v>
      </c>
      <c r="AC1446" s="18"/>
      <c r="AD1446" s="10" t="str">
        <f>IF(S1446&lt;=L1446,"en término","atrasado")</f>
        <v>en término</v>
      </c>
    </row>
    <row r="1447" spans="1:30" s="9" customFormat="1" ht="12" thickBot="1" x14ac:dyDescent="0.25">
      <c r="A1447" s="328"/>
      <c r="B1447" s="19"/>
      <c r="C1447" s="19"/>
      <c r="D1447" s="5"/>
      <c r="E1447" s="5"/>
      <c r="F1447" s="5"/>
      <c r="G1447" s="5"/>
      <c r="H1447" s="105"/>
      <c r="I1447" s="21"/>
      <c r="J1447" s="27"/>
      <c r="K1447" s="27"/>
      <c r="L1447" s="187"/>
      <c r="M1447" s="5"/>
      <c r="N1447" s="5"/>
      <c r="O1447" s="187"/>
      <c r="P1447" s="5"/>
      <c r="Q1447" s="5"/>
      <c r="R1447" s="5"/>
      <c r="S1447" s="5"/>
      <c r="T1447" s="187"/>
      <c r="U1447" s="5"/>
      <c r="V1447" s="224"/>
      <c r="W1447" s="36"/>
      <c r="X1447" s="61"/>
      <c r="Y1447" s="182"/>
      <c r="Z1447" s="5" t="s">
        <v>1289</v>
      </c>
      <c r="AA1447" s="27">
        <v>39054</v>
      </c>
      <c r="AB1447" s="27" t="s">
        <v>1530</v>
      </c>
      <c r="AC1447" s="5"/>
      <c r="AD1447" s="330"/>
    </row>
    <row r="1448" spans="1:30" s="9" customFormat="1" x14ac:dyDescent="0.2">
      <c r="A1448" s="328"/>
      <c r="B1448" s="11"/>
      <c r="C1448" s="16"/>
      <c r="D1448" s="7"/>
      <c r="E1448" s="7"/>
      <c r="F1448" s="6"/>
      <c r="G1448" s="6"/>
      <c r="H1448" s="17"/>
      <c r="I1448" s="17"/>
      <c r="J1448" s="7"/>
      <c r="K1448" s="7"/>
      <c r="L1448" s="348"/>
      <c r="M1448" s="6"/>
      <c r="N1448" s="6"/>
      <c r="O1448" s="189"/>
      <c r="P1448" s="7"/>
      <c r="Q1448" s="7"/>
      <c r="R1448" s="7"/>
      <c r="S1448" s="18" t="s">
        <v>1629</v>
      </c>
      <c r="T1448" s="18"/>
      <c r="U1448" s="7"/>
      <c r="V1448" s="220"/>
      <c r="W1448" s="47"/>
      <c r="X1448" s="57"/>
      <c r="Y1448" s="177"/>
      <c r="Z1448" s="6"/>
      <c r="AA1448" s="6"/>
      <c r="AB1448" s="6"/>
      <c r="AC1448" s="6"/>
      <c r="AD1448" s="330"/>
    </row>
    <row r="1449" spans="1:30" s="9" customFormat="1" x14ac:dyDescent="0.2">
      <c r="A1449" s="328"/>
      <c r="B1449" s="16" t="s">
        <v>36</v>
      </c>
      <c r="C1449" s="16" t="s">
        <v>37</v>
      </c>
      <c r="D1449" s="7" t="s">
        <v>1630</v>
      </c>
      <c r="E1449" s="7"/>
      <c r="F1449" s="6" t="s">
        <v>1631</v>
      </c>
      <c r="G1449" s="6" t="s">
        <v>39</v>
      </c>
      <c r="H1449" s="17">
        <v>26508.400000000001</v>
      </c>
      <c r="I1449" s="39"/>
      <c r="J1449" s="18">
        <v>39001</v>
      </c>
      <c r="K1449" s="331">
        <v>48</v>
      </c>
      <c r="L1449" s="348">
        <f>+J1449+K1449</f>
        <v>39049</v>
      </c>
      <c r="M1449" s="18" t="s">
        <v>41</v>
      </c>
      <c r="N1449" s="6" t="s">
        <v>42</v>
      </c>
      <c r="O1449" s="18">
        <v>39049</v>
      </c>
      <c r="P1449" s="331">
        <f>IF(S1449="","",+S1449-L1449)</f>
        <v>11</v>
      </c>
      <c r="Q1449" s="331"/>
      <c r="R1449" s="331"/>
      <c r="S1449" s="402">
        <v>39060</v>
      </c>
      <c r="T1449" s="402">
        <f>+S1449+12</f>
        <v>39072</v>
      </c>
      <c r="U1449" s="331">
        <f>IF(T1449="","",+T1449-J1449)</f>
        <v>71</v>
      </c>
      <c r="V1449" s="6" t="s">
        <v>53</v>
      </c>
      <c r="W1449" s="341">
        <v>179</v>
      </c>
      <c r="X1449" s="59"/>
      <c r="Y1449" s="177"/>
      <c r="Z1449" s="6">
        <v>6619839586</v>
      </c>
      <c r="AA1449" s="6" t="s">
        <v>47</v>
      </c>
      <c r="AB1449" s="6" t="s">
        <v>47</v>
      </c>
      <c r="AC1449" s="18"/>
      <c r="AD1449" s="10" t="str">
        <f>IF(S1449&lt;=L1449,"en término","atrasado")</f>
        <v>atrasado</v>
      </c>
    </row>
    <row r="1450" spans="1:30" s="9" customFormat="1" ht="12" thickBot="1" x14ac:dyDescent="0.25">
      <c r="A1450" s="328"/>
      <c r="B1450" s="19"/>
      <c r="C1450" s="19"/>
      <c r="D1450" s="5"/>
      <c r="E1450" s="5"/>
      <c r="F1450" s="5"/>
      <c r="G1450" s="5"/>
      <c r="H1450" s="105"/>
      <c r="I1450" s="21"/>
      <c r="J1450" s="27"/>
      <c r="K1450" s="27"/>
      <c r="L1450" s="187"/>
      <c r="M1450" s="5"/>
      <c r="N1450" s="5"/>
      <c r="O1450" s="187"/>
      <c r="P1450" s="5"/>
      <c r="Q1450" s="5"/>
      <c r="R1450" s="5"/>
      <c r="S1450" s="5"/>
      <c r="T1450" s="187"/>
      <c r="U1450" s="5"/>
      <c r="V1450" s="224"/>
      <c r="W1450" s="36"/>
      <c r="X1450" s="61"/>
      <c r="Y1450" s="182"/>
      <c r="Z1450" s="5"/>
      <c r="AA1450" s="27">
        <v>39090</v>
      </c>
      <c r="AB1450" s="27" t="s">
        <v>1530</v>
      </c>
      <c r="AC1450" s="5"/>
      <c r="AD1450" s="330"/>
    </row>
    <row r="1451" spans="1:30" s="9" customFormat="1" x14ac:dyDescent="0.2">
      <c r="A1451" s="328"/>
      <c r="B1451" s="11"/>
      <c r="C1451" s="16"/>
      <c r="D1451" s="7"/>
      <c r="E1451" s="7"/>
      <c r="F1451" s="6"/>
      <c r="G1451" s="6"/>
      <c r="H1451" s="17"/>
      <c r="I1451" s="17"/>
      <c r="J1451" s="7"/>
      <c r="K1451" s="7"/>
      <c r="L1451" s="348"/>
      <c r="M1451" s="6"/>
      <c r="N1451" s="6"/>
      <c r="O1451" s="189"/>
      <c r="P1451" s="7"/>
      <c r="Q1451" s="7"/>
      <c r="R1451" s="7"/>
      <c r="S1451" s="18" t="s">
        <v>1632</v>
      </c>
      <c r="T1451" s="358"/>
      <c r="U1451" s="7"/>
      <c r="V1451" s="220"/>
      <c r="W1451" s="47"/>
      <c r="X1451" s="12"/>
      <c r="Y1451" s="177"/>
      <c r="Z1451" s="6"/>
      <c r="AA1451" s="6"/>
      <c r="AB1451" s="6">
        <v>39225</v>
      </c>
      <c r="AC1451" s="7"/>
      <c r="AD1451" s="330"/>
    </row>
    <row r="1452" spans="1:30" s="9" customFormat="1" x14ac:dyDescent="0.2">
      <c r="A1452" s="328"/>
      <c r="B1452" s="16" t="s">
        <v>36</v>
      </c>
      <c r="C1452" s="16" t="s">
        <v>133</v>
      </c>
      <c r="D1452" s="7" t="s">
        <v>1334</v>
      </c>
      <c r="E1452" s="7"/>
      <c r="F1452" s="6" t="s">
        <v>1335</v>
      </c>
      <c r="G1452" s="6" t="s">
        <v>39</v>
      </c>
      <c r="H1452" s="17">
        <v>23518.15</v>
      </c>
      <c r="I1452" s="39" t="s">
        <v>52</v>
      </c>
      <c r="J1452" s="18">
        <v>39020</v>
      </c>
      <c r="K1452" s="331">
        <v>36</v>
      </c>
      <c r="L1452" s="348">
        <f>+J1452+K1452</f>
        <v>39056</v>
      </c>
      <c r="M1452" s="18" t="s">
        <v>41</v>
      </c>
      <c r="N1452" s="6" t="s">
        <v>42</v>
      </c>
      <c r="O1452" s="18">
        <v>39080</v>
      </c>
      <c r="P1452" s="331">
        <f>IF(S1452="","",+S1452-L1452)</f>
        <v>46</v>
      </c>
      <c r="Q1452" s="331"/>
      <c r="R1452" s="331"/>
      <c r="S1452" s="402">
        <v>39102</v>
      </c>
      <c r="T1452" s="402">
        <f>+S1452+15</f>
        <v>39117</v>
      </c>
      <c r="U1452" s="331">
        <f>IF(T1452="","",+T1452-J1452)</f>
        <v>97</v>
      </c>
      <c r="V1452" s="6" t="s">
        <v>1463</v>
      </c>
      <c r="W1452" s="341">
        <v>185</v>
      </c>
      <c r="X1452" s="6" t="s">
        <v>47</v>
      </c>
      <c r="Y1452" s="177"/>
      <c r="Z1452" s="6">
        <v>6619840102</v>
      </c>
      <c r="AA1452" s="6" t="s">
        <v>47</v>
      </c>
      <c r="AB1452" s="6" t="s">
        <v>47</v>
      </c>
      <c r="AC1452" s="18"/>
      <c r="AD1452" s="10" t="str">
        <f>IF(S1452&lt;=L1452,"en término","atrasado")</f>
        <v>atrasado</v>
      </c>
    </row>
    <row r="1453" spans="1:30" s="9" customFormat="1" ht="12" thickBot="1" x14ac:dyDescent="0.25">
      <c r="A1453" s="328"/>
      <c r="B1453" s="19"/>
      <c r="C1453" s="19"/>
      <c r="D1453" s="5"/>
      <c r="E1453" s="5"/>
      <c r="F1453" s="5" t="s">
        <v>1633</v>
      </c>
      <c r="G1453" s="5"/>
      <c r="H1453" s="105"/>
      <c r="I1453" s="21"/>
      <c r="J1453" s="27"/>
      <c r="K1453" s="27"/>
      <c r="L1453" s="187"/>
      <c r="M1453" s="5"/>
      <c r="N1453" s="5"/>
      <c r="O1453" s="187" t="s">
        <v>1634</v>
      </c>
      <c r="P1453" s="5"/>
      <c r="Q1453" s="5"/>
      <c r="R1453" s="5"/>
      <c r="S1453" s="187"/>
      <c r="T1453" s="401"/>
      <c r="U1453" s="5"/>
      <c r="V1453" s="224"/>
      <c r="W1453" s="36"/>
      <c r="X1453" s="5"/>
      <c r="Y1453" s="182"/>
      <c r="Z1453" s="5"/>
      <c r="AA1453" s="27">
        <v>39122</v>
      </c>
      <c r="AB1453" s="27" t="s">
        <v>1635</v>
      </c>
      <c r="AC1453" s="5"/>
      <c r="AD1453" s="330"/>
    </row>
    <row r="1454" spans="1:30" s="9" customFormat="1" x14ac:dyDescent="0.2">
      <c r="A1454" s="328"/>
      <c r="B1454" s="11"/>
      <c r="C1454" s="16"/>
      <c r="D1454" s="7"/>
      <c r="E1454" s="7"/>
      <c r="F1454" s="6"/>
      <c r="G1454" s="6"/>
      <c r="H1454" s="17"/>
      <c r="I1454" s="17"/>
      <c r="J1454" s="7"/>
      <c r="K1454" s="7"/>
      <c r="L1454" s="348"/>
      <c r="M1454" s="6"/>
      <c r="N1454" s="6"/>
      <c r="O1454" s="189"/>
      <c r="P1454" s="7"/>
      <c r="Q1454" s="7"/>
      <c r="R1454" s="7"/>
      <c r="S1454" s="18" t="s">
        <v>1632</v>
      </c>
      <c r="T1454" s="358"/>
      <c r="U1454" s="7"/>
      <c r="V1454" s="220"/>
      <c r="W1454" s="47"/>
      <c r="X1454" s="12"/>
      <c r="Y1454" s="177"/>
      <c r="Z1454" s="6"/>
      <c r="AA1454" s="6"/>
      <c r="AB1454" s="6">
        <v>39218</v>
      </c>
      <c r="AC1454" s="7"/>
      <c r="AD1454" s="330"/>
    </row>
    <row r="1455" spans="1:30" s="9" customFormat="1" x14ac:dyDescent="0.2">
      <c r="A1455" s="328"/>
      <c r="B1455" s="16" t="s">
        <v>36</v>
      </c>
      <c r="C1455" s="16" t="s">
        <v>133</v>
      </c>
      <c r="D1455" s="7" t="s">
        <v>1334</v>
      </c>
      <c r="E1455" s="7"/>
      <c r="F1455" s="6" t="s">
        <v>1335</v>
      </c>
      <c r="G1455" s="6" t="s">
        <v>39</v>
      </c>
      <c r="H1455" s="17">
        <v>30764.400000000001</v>
      </c>
      <c r="I1455" s="39" t="s">
        <v>52</v>
      </c>
      <c r="J1455" s="18">
        <v>39049</v>
      </c>
      <c r="K1455" s="331">
        <v>43</v>
      </c>
      <c r="L1455" s="348">
        <f>+J1455+K1455</f>
        <v>39092</v>
      </c>
      <c r="M1455" s="18" t="s">
        <v>41</v>
      </c>
      <c r="N1455" s="6" t="s">
        <v>42</v>
      </c>
      <c r="O1455" s="18">
        <v>39080</v>
      </c>
      <c r="P1455" s="331">
        <f>IF(S1455="","",+S1455-L1455)</f>
        <v>10</v>
      </c>
      <c r="Q1455" s="331"/>
      <c r="R1455" s="331"/>
      <c r="S1455" s="402">
        <v>39102</v>
      </c>
      <c r="T1455" s="402">
        <f>+S1455+15</f>
        <v>39117</v>
      </c>
      <c r="U1455" s="331">
        <f>IF(T1455="","",+T1455-J1455)</f>
        <v>68</v>
      </c>
      <c r="V1455" s="6" t="s">
        <v>1463</v>
      </c>
      <c r="W1455" s="341">
        <v>186</v>
      </c>
      <c r="X1455" s="6" t="s">
        <v>47</v>
      </c>
      <c r="Y1455" s="177"/>
      <c r="Z1455" s="6">
        <v>6619840102</v>
      </c>
      <c r="AA1455" s="6" t="s">
        <v>47</v>
      </c>
      <c r="AB1455" s="6" t="s">
        <v>47</v>
      </c>
      <c r="AC1455" s="18"/>
      <c r="AD1455" s="10" t="str">
        <f>IF(S1455&lt;=L1455,"en término","atrasado")</f>
        <v>atrasado</v>
      </c>
    </row>
    <row r="1456" spans="1:30" s="9" customFormat="1" ht="12" thickBot="1" x14ac:dyDescent="0.25">
      <c r="A1456" s="328"/>
      <c r="B1456" s="19"/>
      <c r="C1456" s="19"/>
      <c r="D1456" s="5"/>
      <c r="E1456" s="5"/>
      <c r="F1456" s="5" t="s">
        <v>1636</v>
      </c>
      <c r="G1456" s="5"/>
      <c r="H1456" s="105"/>
      <c r="I1456" s="21"/>
      <c r="J1456" s="27"/>
      <c r="K1456" s="27"/>
      <c r="L1456" s="187"/>
      <c r="M1456" s="5"/>
      <c r="N1456" s="5"/>
      <c r="O1456" s="187" t="s">
        <v>1634</v>
      </c>
      <c r="P1456" s="5"/>
      <c r="Q1456" s="5"/>
      <c r="R1456" s="5"/>
      <c r="S1456" s="5"/>
      <c r="T1456" s="187"/>
      <c r="U1456" s="5"/>
      <c r="V1456" s="224"/>
      <c r="W1456" s="36"/>
      <c r="X1456" s="5"/>
      <c r="Y1456" s="182"/>
      <c r="Z1456" s="5"/>
      <c r="AA1456" s="27">
        <v>39122</v>
      </c>
      <c r="AB1456" s="27" t="s">
        <v>1637</v>
      </c>
      <c r="AC1456" s="5"/>
      <c r="AD1456" s="330"/>
    </row>
    <row r="1457" spans="1:39" s="587" customFormat="1" ht="54.95" customHeight="1" thickBot="1" x14ac:dyDescent="0.25">
      <c r="A1457" s="584"/>
      <c r="B1457" s="585" t="s">
        <v>36</v>
      </c>
      <c r="C1457" s="455" t="s">
        <v>37</v>
      </c>
      <c r="D1457" s="456" t="s">
        <v>1626</v>
      </c>
      <c r="E1457" s="456"/>
      <c r="F1457" s="457">
        <v>6110002</v>
      </c>
      <c r="G1457" s="457" t="s">
        <v>39</v>
      </c>
      <c r="H1457" s="458">
        <v>37920</v>
      </c>
      <c r="I1457" s="459" t="s">
        <v>40</v>
      </c>
      <c r="J1457" s="460">
        <v>39044</v>
      </c>
      <c r="K1457" s="461">
        <v>45</v>
      </c>
      <c r="L1457" s="462">
        <f>+J1457+K1457</f>
        <v>39089</v>
      </c>
      <c r="M1457" s="460" t="s">
        <v>41</v>
      </c>
      <c r="N1457" s="457" t="s">
        <v>42</v>
      </c>
      <c r="O1457" s="460">
        <v>39080</v>
      </c>
      <c r="P1457" s="461">
        <f>IF(S1457="","",+S1457-L1457)</f>
        <v>13</v>
      </c>
      <c r="Q1457" s="461"/>
      <c r="R1457" s="463">
        <v>39098</v>
      </c>
      <c r="S1457" s="464">
        <v>39102</v>
      </c>
      <c r="T1457" s="464">
        <f>+S1457+15</f>
        <v>39117</v>
      </c>
      <c r="U1457" s="461">
        <f>IF(T1457="","",+T1457-J1457)</f>
        <v>73</v>
      </c>
      <c r="V1457" s="468" t="s">
        <v>1638</v>
      </c>
      <c r="W1457" s="493">
        <v>183</v>
      </c>
      <c r="X1457" s="467"/>
      <c r="Y1457" s="467"/>
      <c r="Z1457" s="457">
        <v>6619840102</v>
      </c>
      <c r="AA1457" s="457" t="s">
        <v>1639</v>
      </c>
      <c r="AB1457" s="460" t="s">
        <v>1640</v>
      </c>
      <c r="AC1457" s="470"/>
      <c r="AD1457" s="10" t="str">
        <f>IF(S1457&lt;=L1457,"en término","atrasado")</f>
        <v>atrasado</v>
      </c>
      <c r="AE1457" s="412"/>
    </row>
    <row r="1458" spans="1:39" x14ac:dyDescent="0.2">
      <c r="H1458" s="223"/>
    </row>
    <row r="1459" spans="1:39" ht="12.75" x14ac:dyDescent="0.2">
      <c r="L1459" s="228"/>
      <c r="AA1459" s="1">
        <v>2006</v>
      </c>
      <c r="AB1459" s="1047"/>
    </row>
    <row r="1460" spans="1:39" ht="12.75" x14ac:dyDescent="0.2">
      <c r="J1460" s="223"/>
      <c r="AA1460" s="945" t="s">
        <v>813</v>
      </c>
      <c r="AB1460" s="1048">
        <f>COUNTA(AD1337:AD1457)</f>
        <v>39</v>
      </c>
    </row>
    <row r="1461" spans="1:39" ht="12.75" x14ac:dyDescent="0.2">
      <c r="J1461" s="223"/>
      <c r="AA1461" s="945" t="s">
        <v>815</v>
      </c>
      <c r="AB1461" s="1048">
        <f>COUNTIF(AD1337:AD1457,"en término")</f>
        <v>12</v>
      </c>
    </row>
    <row r="1462" spans="1:39" ht="12.75" x14ac:dyDescent="0.2">
      <c r="AA1462" s="945" t="s">
        <v>817</v>
      </c>
      <c r="AB1462" s="557">
        <f>+AB1461/AB1460</f>
        <v>0.30769230769230771</v>
      </c>
    </row>
    <row r="1463" spans="1:39" ht="12" thickBot="1" x14ac:dyDescent="0.25"/>
    <row r="1464" spans="1:39" s="556" customFormat="1" ht="39.950000000000003" customHeight="1" thickBot="1" x14ac:dyDescent="0.4">
      <c r="A1464" s="554"/>
      <c r="B1464" s="1611">
        <v>2007</v>
      </c>
      <c r="C1464" s="1612"/>
      <c r="D1464" s="1612"/>
      <c r="E1464" s="1612"/>
      <c r="F1464" s="1612"/>
      <c r="G1464" s="1612"/>
      <c r="H1464" s="1612"/>
      <c r="I1464" s="1612"/>
      <c r="J1464" s="1612"/>
      <c r="K1464" s="1612"/>
      <c r="L1464" s="1612"/>
      <c r="M1464" s="1612"/>
      <c r="N1464" s="1612"/>
      <c r="O1464" s="1612"/>
      <c r="P1464" s="1612"/>
      <c r="Q1464" s="1612"/>
      <c r="R1464" s="1612"/>
      <c r="S1464" s="1612"/>
      <c r="T1464" s="1612"/>
      <c r="U1464" s="1612"/>
      <c r="V1464" s="1612"/>
      <c r="W1464" s="1612"/>
      <c r="X1464" s="1612"/>
      <c r="Y1464" s="1612"/>
      <c r="Z1464" s="1612"/>
      <c r="AA1464" s="1612"/>
      <c r="AB1464" s="1612"/>
      <c r="AC1464" s="1613"/>
      <c r="AD1464" s="555"/>
    </row>
    <row r="1465" spans="1:39" s="441" customFormat="1" ht="60" customHeight="1" thickBot="1" x14ac:dyDescent="0.25">
      <c r="A1465" s="438"/>
      <c r="B1465" s="451" t="s">
        <v>130</v>
      </c>
      <c r="C1465" s="451" t="s">
        <v>4</v>
      </c>
      <c r="D1465" s="451" t="s">
        <v>5</v>
      </c>
      <c r="E1465" s="451" t="s">
        <v>6</v>
      </c>
      <c r="F1465" s="451" t="s">
        <v>7</v>
      </c>
      <c r="G1465" s="451" t="s">
        <v>8</v>
      </c>
      <c r="H1465" s="453" t="s">
        <v>9</v>
      </c>
      <c r="I1465" s="453" t="s">
        <v>10</v>
      </c>
      <c r="J1465" s="451" t="s">
        <v>11</v>
      </c>
      <c r="K1465" s="451" t="s">
        <v>12</v>
      </c>
      <c r="L1465" s="451" t="s">
        <v>13</v>
      </c>
      <c r="M1465" s="451" t="s">
        <v>14</v>
      </c>
      <c r="N1465" s="451" t="s">
        <v>15</v>
      </c>
      <c r="O1465" s="452" t="s">
        <v>16</v>
      </c>
      <c r="P1465" s="454" t="s">
        <v>17</v>
      </c>
      <c r="Q1465" s="451" t="s">
        <v>18</v>
      </c>
      <c r="R1465" s="452" t="s">
        <v>19</v>
      </c>
      <c r="S1465" s="451" t="s">
        <v>20</v>
      </c>
      <c r="T1465" s="451" t="s">
        <v>21</v>
      </c>
      <c r="U1465" s="452" t="s">
        <v>22</v>
      </c>
      <c r="V1465" s="451" t="s">
        <v>131</v>
      </c>
      <c r="W1465" s="451" t="s">
        <v>24</v>
      </c>
      <c r="X1465" s="451" t="s">
        <v>132</v>
      </c>
      <c r="Y1465" s="451" t="s">
        <v>26</v>
      </c>
      <c r="Z1465" s="451" t="s">
        <v>27</v>
      </c>
      <c r="AA1465" s="451" t="s">
        <v>28</v>
      </c>
      <c r="AB1465" s="451" t="s">
        <v>29</v>
      </c>
      <c r="AC1465" s="451" t="s">
        <v>30</v>
      </c>
      <c r="AD1465" s="439"/>
      <c r="AE1465" s="440"/>
      <c r="AF1465" s="440"/>
      <c r="AG1465" s="440"/>
      <c r="AH1465" s="440"/>
      <c r="AI1465" s="440"/>
      <c r="AJ1465" s="440"/>
      <c r="AK1465" s="440"/>
      <c r="AL1465" s="440"/>
      <c r="AM1465" s="440"/>
    </row>
    <row r="1466" spans="1:39" s="587" customFormat="1" ht="54.95" customHeight="1" thickBot="1" x14ac:dyDescent="0.25">
      <c r="A1466" s="584"/>
      <c r="B1466" s="585" t="s">
        <v>36</v>
      </c>
      <c r="C1466" s="455" t="s">
        <v>37</v>
      </c>
      <c r="D1466" s="456" t="s">
        <v>1641</v>
      </c>
      <c r="E1466" s="456"/>
      <c r="F1466" s="457">
        <v>7010001</v>
      </c>
      <c r="G1466" s="457" t="s">
        <v>39</v>
      </c>
      <c r="H1466" s="458">
        <v>3775</v>
      </c>
      <c r="I1466" s="459"/>
      <c r="J1466" s="460">
        <v>39085</v>
      </c>
      <c r="K1466" s="461">
        <v>16</v>
      </c>
      <c r="L1466" s="462">
        <f t="shared" ref="L1466:L1498" si="0">+J1466+K1466</f>
        <v>39101</v>
      </c>
      <c r="M1466" s="460" t="s">
        <v>41</v>
      </c>
      <c r="N1466" s="457" t="s">
        <v>42</v>
      </c>
      <c r="O1466" s="460">
        <v>39100</v>
      </c>
      <c r="P1466" s="461">
        <f t="shared" ref="P1466:P1497" si="1">IF(S1466="","",+S1466-L1466)</f>
        <v>15</v>
      </c>
      <c r="Q1466" s="461"/>
      <c r="R1466" s="463">
        <v>39108</v>
      </c>
      <c r="S1466" s="464">
        <v>39116</v>
      </c>
      <c r="T1466" s="464">
        <f>+S1466+30</f>
        <v>39146</v>
      </c>
      <c r="U1466" s="461">
        <f t="shared" ref="U1466:U1497" si="2">IF(T1466="","",+T1466-J1466)</f>
        <v>61</v>
      </c>
      <c r="V1466" s="468" t="s">
        <v>53</v>
      </c>
      <c r="W1466" s="493">
        <v>195</v>
      </c>
      <c r="X1466" s="467"/>
      <c r="Y1466" s="467"/>
      <c r="Z1466" s="457">
        <v>6619840091</v>
      </c>
      <c r="AA1466" s="457" t="s">
        <v>1642</v>
      </c>
      <c r="AB1466" s="460" t="s">
        <v>1640</v>
      </c>
      <c r="AC1466" s="470"/>
      <c r="AD1466" s="10" t="str">
        <f t="shared" ref="AD1466:AD1486" si="3">IF(S1466&lt;=L1466,"en término","atrasado")</f>
        <v>atrasado</v>
      </c>
      <c r="AE1466" s="412"/>
    </row>
    <row r="1467" spans="1:39" s="9" customFormat="1" ht="68.099999999999994" customHeight="1" thickBot="1" x14ac:dyDescent="0.25">
      <c r="A1467" s="328"/>
      <c r="B1467" s="455" t="s">
        <v>36</v>
      </c>
      <c r="C1467" s="455" t="s">
        <v>133</v>
      </c>
      <c r="D1467" s="456" t="s">
        <v>1643</v>
      </c>
      <c r="E1467" s="456"/>
      <c r="F1467" s="457">
        <v>4500014635</v>
      </c>
      <c r="G1467" s="457" t="s">
        <v>39</v>
      </c>
      <c r="H1467" s="458">
        <v>42823</v>
      </c>
      <c r="I1467" s="459" t="s">
        <v>52</v>
      </c>
      <c r="J1467" s="460">
        <v>39037</v>
      </c>
      <c r="K1467" s="461">
        <v>60</v>
      </c>
      <c r="L1467" s="462">
        <f t="shared" si="0"/>
        <v>39097</v>
      </c>
      <c r="M1467" s="460" t="s">
        <v>41</v>
      </c>
      <c r="N1467" s="457" t="s">
        <v>42</v>
      </c>
      <c r="O1467" s="460">
        <v>39100</v>
      </c>
      <c r="P1467" s="461">
        <f t="shared" si="1"/>
        <v>39</v>
      </c>
      <c r="Q1467" s="461"/>
      <c r="R1467" s="463">
        <v>39133</v>
      </c>
      <c r="S1467" s="464">
        <v>39136</v>
      </c>
      <c r="T1467" s="464">
        <f>+S1467+15</f>
        <v>39151</v>
      </c>
      <c r="U1467" s="461">
        <f t="shared" si="2"/>
        <v>114</v>
      </c>
      <c r="V1467" s="468" t="s">
        <v>1644</v>
      </c>
      <c r="W1467" s="469" t="s">
        <v>1645</v>
      </c>
      <c r="X1467" s="457" t="s">
        <v>47</v>
      </c>
      <c r="Y1467" s="465"/>
      <c r="Z1467" s="468" t="s">
        <v>1646</v>
      </c>
      <c r="AA1467" s="457" t="s">
        <v>1647</v>
      </c>
      <c r="AB1467" s="457" t="s">
        <v>1648</v>
      </c>
      <c r="AC1467" s="470" t="s">
        <v>1649</v>
      </c>
      <c r="AD1467" s="10" t="str">
        <f t="shared" si="3"/>
        <v>atrasado</v>
      </c>
    </row>
    <row r="1468" spans="1:39" s="587" customFormat="1" ht="54.95" customHeight="1" thickBot="1" x14ac:dyDescent="0.25">
      <c r="A1468" s="584"/>
      <c r="B1468" s="585" t="s">
        <v>36</v>
      </c>
      <c r="C1468" s="455" t="s">
        <v>37</v>
      </c>
      <c r="D1468" s="456" t="s">
        <v>1650</v>
      </c>
      <c r="E1468" s="456"/>
      <c r="F1468" s="457">
        <v>7010003</v>
      </c>
      <c r="G1468" s="457" t="s">
        <v>39</v>
      </c>
      <c r="H1468" s="458">
        <v>288570</v>
      </c>
      <c r="I1468" s="459"/>
      <c r="J1468" s="460">
        <v>39086</v>
      </c>
      <c r="K1468" s="461">
        <v>15</v>
      </c>
      <c r="L1468" s="462">
        <f t="shared" si="0"/>
        <v>39101</v>
      </c>
      <c r="M1468" s="460" t="s">
        <v>41</v>
      </c>
      <c r="N1468" s="457" t="s">
        <v>42</v>
      </c>
      <c r="O1468" s="460">
        <v>39100</v>
      </c>
      <c r="P1468" s="461">
        <f t="shared" si="1"/>
        <v>15</v>
      </c>
      <c r="Q1468" s="461"/>
      <c r="R1468" s="463">
        <v>39108</v>
      </c>
      <c r="S1468" s="464">
        <v>39116</v>
      </c>
      <c r="T1468" s="464">
        <f>+S1468+30</f>
        <v>39146</v>
      </c>
      <c r="U1468" s="461">
        <f t="shared" si="2"/>
        <v>60</v>
      </c>
      <c r="V1468" s="468" t="s">
        <v>1651</v>
      </c>
      <c r="W1468" s="493">
        <v>196</v>
      </c>
      <c r="X1468" s="467"/>
      <c r="Y1468" s="467"/>
      <c r="Z1468" s="457">
        <v>6619840091</v>
      </c>
      <c r="AA1468" s="457" t="s">
        <v>1652</v>
      </c>
      <c r="AB1468" s="460" t="s">
        <v>1640</v>
      </c>
      <c r="AC1468" s="470"/>
      <c r="AD1468" s="10" t="str">
        <f t="shared" si="3"/>
        <v>atrasado</v>
      </c>
      <c r="AE1468" s="412"/>
    </row>
    <row r="1469" spans="1:39" s="587" customFormat="1" ht="54.95" customHeight="1" thickBot="1" x14ac:dyDescent="0.25">
      <c r="A1469" s="584"/>
      <c r="B1469" s="585" t="s">
        <v>36</v>
      </c>
      <c r="C1469" s="455" t="s">
        <v>37</v>
      </c>
      <c r="D1469" s="456" t="s">
        <v>1653</v>
      </c>
      <c r="E1469" s="456"/>
      <c r="F1469" s="457">
        <v>6110001</v>
      </c>
      <c r="G1469" s="457" t="s">
        <v>39</v>
      </c>
      <c r="H1469" s="458">
        <v>31827</v>
      </c>
      <c r="I1469" s="459"/>
      <c r="J1469" s="460">
        <v>39027</v>
      </c>
      <c r="K1469" s="461">
        <v>90</v>
      </c>
      <c r="L1469" s="462">
        <f t="shared" si="0"/>
        <v>39117</v>
      </c>
      <c r="M1469" s="460" t="s">
        <v>41</v>
      </c>
      <c r="N1469" s="457" t="s">
        <v>42</v>
      </c>
      <c r="O1469" s="460">
        <v>39100</v>
      </c>
      <c r="P1469" s="461">
        <f t="shared" si="1"/>
        <v>-1</v>
      </c>
      <c r="Q1469" s="461"/>
      <c r="R1469" s="463"/>
      <c r="S1469" s="464">
        <v>39116</v>
      </c>
      <c r="T1469" s="464">
        <f>+S1469+30</f>
        <v>39146</v>
      </c>
      <c r="U1469" s="461">
        <f t="shared" si="2"/>
        <v>119</v>
      </c>
      <c r="V1469" s="468" t="s">
        <v>70</v>
      </c>
      <c r="W1469" s="493">
        <v>194</v>
      </c>
      <c r="X1469" s="467"/>
      <c r="Y1469" s="467"/>
      <c r="Z1469" s="457">
        <v>6619840091</v>
      </c>
      <c r="AA1469" s="457" t="s">
        <v>1652</v>
      </c>
      <c r="AB1469" s="460" t="s">
        <v>1654</v>
      </c>
      <c r="AC1469" s="470"/>
      <c r="AD1469" s="10" t="str">
        <f t="shared" si="3"/>
        <v>en término</v>
      </c>
      <c r="AE1469" s="412"/>
    </row>
    <row r="1470" spans="1:39" s="9" customFormat="1" ht="68.099999999999994" customHeight="1" thickBot="1" x14ac:dyDescent="0.25">
      <c r="A1470" s="328"/>
      <c r="B1470" s="455" t="s">
        <v>36</v>
      </c>
      <c r="C1470" s="455" t="s">
        <v>133</v>
      </c>
      <c r="D1470" s="456" t="s">
        <v>1655</v>
      </c>
      <c r="E1470" s="456"/>
      <c r="F1470" s="457">
        <v>4500014736</v>
      </c>
      <c r="G1470" s="457" t="s">
        <v>39</v>
      </c>
      <c r="H1470" s="458">
        <v>16892</v>
      </c>
      <c r="I1470" s="459" t="s">
        <v>52</v>
      </c>
      <c r="J1470" s="460">
        <v>39050</v>
      </c>
      <c r="K1470" s="461">
        <v>60</v>
      </c>
      <c r="L1470" s="462">
        <f t="shared" si="0"/>
        <v>39110</v>
      </c>
      <c r="M1470" s="460" t="s">
        <v>41</v>
      </c>
      <c r="N1470" s="457" t="s">
        <v>42</v>
      </c>
      <c r="O1470" s="460">
        <v>39100</v>
      </c>
      <c r="P1470" s="461">
        <f t="shared" si="1"/>
        <v>26</v>
      </c>
      <c r="Q1470" s="461"/>
      <c r="R1470" s="463">
        <v>39133</v>
      </c>
      <c r="S1470" s="464">
        <v>39136</v>
      </c>
      <c r="T1470" s="464">
        <f>+S1470+15</f>
        <v>39151</v>
      </c>
      <c r="U1470" s="461">
        <f t="shared" si="2"/>
        <v>101</v>
      </c>
      <c r="V1470" s="468" t="s">
        <v>1644</v>
      </c>
      <c r="W1470" s="469" t="s">
        <v>1656</v>
      </c>
      <c r="X1470" s="457" t="s">
        <v>47</v>
      </c>
      <c r="Y1470" s="465"/>
      <c r="Z1470" s="468" t="s">
        <v>1646</v>
      </c>
      <c r="AA1470" s="457" t="s">
        <v>1647</v>
      </c>
      <c r="AB1470" s="457" t="s">
        <v>1648</v>
      </c>
      <c r="AC1470" s="470" t="s">
        <v>1649</v>
      </c>
      <c r="AD1470" s="10" t="str">
        <f t="shared" si="3"/>
        <v>atrasado</v>
      </c>
    </row>
    <row r="1471" spans="1:39" s="587" customFormat="1" ht="54.95" customHeight="1" thickBot="1" x14ac:dyDescent="0.25">
      <c r="A1471" s="584"/>
      <c r="B1471" s="585" t="s">
        <v>36</v>
      </c>
      <c r="C1471" s="455" t="s">
        <v>37</v>
      </c>
      <c r="D1471" s="456" t="s">
        <v>1554</v>
      </c>
      <c r="E1471" s="456"/>
      <c r="F1471" s="457">
        <v>6120003</v>
      </c>
      <c r="G1471" s="457" t="s">
        <v>39</v>
      </c>
      <c r="H1471" s="458">
        <v>43295</v>
      </c>
      <c r="I1471" s="459"/>
      <c r="J1471" s="460">
        <v>39078</v>
      </c>
      <c r="K1471" s="461">
        <v>63</v>
      </c>
      <c r="L1471" s="462">
        <f t="shared" si="0"/>
        <v>39141</v>
      </c>
      <c r="M1471" s="460" t="s">
        <v>41</v>
      </c>
      <c r="N1471" s="457" t="s">
        <v>42</v>
      </c>
      <c r="O1471" s="460">
        <v>39140</v>
      </c>
      <c r="P1471" s="461">
        <f t="shared" si="1"/>
        <v>31</v>
      </c>
      <c r="Q1471" s="461"/>
      <c r="R1471" s="463">
        <v>39164</v>
      </c>
      <c r="S1471" s="464">
        <v>39172</v>
      </c>
      <c r="T1471" s="464">
        <v>39191</v>
      </c>
      <c r="U1471" s="461">
        <f t="shared" si="2"/>
        <v>113</v>
      </c>
      <c r="V1471" s="468" t="s">
        <v>1657</v>
      </c>
      <c r="W1471" s="493">
        <v>201</v>
      </c>
      <c r="X1471" s="467"/>
      <c r="Y1471" s="467"/>
      <c r="Z1471" s="457">
        <v>6631322946</v>
      </c>
      <c r="AA1471" s="457" t="s">
        <v>1642</v>
      </c>
      <c r="AB1471" s="460" t="s">
        <v>1640</v>
      </c>
      <c r="AC1471" s="470" t="s">
        <v>1658</v>
      </c>
      <c r="AD1471" s="10" t="str">
        <f t="shared" si="3"/>
        <v>atrasado</v>
      </c>
      <c r="AE1471" s="412"/>
    </row>
    <row r="1472" spans="1:39" s="587" customFormat="1" ht="54.95" customHeight="1" thickBot="1" x14ac:dyDescent="0.25">
      <c r="A1472" s="584"/>
      <c r="B1472" s="585" t="s">
        <v>36</v>
      </c>
      <c r="C1472" s="455" t="s">
        <v>37</v>
      </c>
      <c r="D1472" s="456" t="s">
        <v>1659</v>
      </c>
      <c r="E1472" s="456"/>
      <c r="F1472" s="457">
        <v>7010005</v>
      </c>
      <c r="G1472" s="457" t="s">
        <v>39</v>
      </c>
      <c r="H1472" s="458">
        <v>49680</v>
      </c>
      <c r="I1472" s="459"/>
      <c r="J1472" s="460">
        <v>39111</v>
      </c>
      <c r="K1472" s="461">
        <v>45</v>
      </c>
      <c r="L1472" s="462">
        <f t="shared" si="0"/>
        <v>39156</v>
      </c>
      <c r="M1472" s="460" t="s">
        <v>41</v>
      </c>
      <c r="N1472" s="457" t="s">
        <v>42</v>
      </c>
      <c r="O1472" s="460">
        <v>39157</v>
      </c>
      <c r="P1472" s="461">
        <f t="shared" si="1"/>
        <v>16</v>
      </c>
      <c r="Q1472" s="461" t="s">
        <v>1660</v>
      </c>
      <c r="R1472" s="463">
        <v>39164</v>
      </c>
      <c r="S1472" s="464">
        <v>39172</v>
      </c>
      <c r="T1472" s="464">
        <v>39191</v>
      </c>
      <c r="U1472" s="461">
        <f t="shared" si="2"/>
        <v>80</v>
      </c>
      <c r="V1472" s="468" t="s">
        <v>1661</v>
      </c>
      <c r="W1472" s="493">
        <v>204</v>
      </c>
      <c r="X1472" s="467"/>
      <c r="Y1472" s="467"/>
      <c r="Z1472" s="457">
        <v>6631322946</v>
      </c>
      <c r="AA1472" s="457" t="s">
        <v>1652</v>
      </c>
      <c r="AB1472" s="460" t="s">
        <v>1640</v>
      </c>
      <c r="AC1472" s="470"/>
      <c r="AD1472" s="10" t="str">
        <f t="shared" si="3"/>
        <v>atrasado</v>
      </c>
      <c r="AE1472" s="412"/>
    </row>
    <row r="1473" spans="1:31" s="587" customFormat="1" ht="54.95" customHeight="1" thickBot="1" x14ac:dyDescent="0.25">
      <c r="A1473" s="584"/>
      <c r="B1473" s="585" t="s">
        <v>36</v>
      </c>
      <c r="C1473" s="455" t="s">
        <v>37</v>
      </c>
      <c r="D1473" s="456" t="s">
        <v>1662</v>
      </c>
      <c r="E1473" s="456"/>
      <c r="F1473" s="457">
        <v>7020001</v>
      </c>
      <c r="G1473" s="457" t="s">
        <v>39</v>
      </c>
      <c r="H1473" s="458">
        <v>2447</v>
      </c>
      <c r="I1473" s="459"/>
      <c r="J1473" s="460">
        <v>39111</v>
      </c>
      <c r="K1473" s="461">
        <v>45</v>
      </c>
      <c r="L1473" s="462">
        <f t="shared" si="0"/>
        <v>39156</v>
      </c>
      <c r="M1473" s="460" t="s">
        <v>41</v>
      </c>
      <c r="N1473" s="457" t="s">
        <v>42</v>
      </c>
      <c r="O1473" s="460">
        <v>39157</v>
      </c>
      <c r="P1473" s="461">
        <f t="shared" si="1"/>
        <v>16</v>
      </c>
      <c r="Q1473" s="461" t="s">
        <v>1660</v>
      </c>
      <c r="R1473" s="463">
        <v>39164</v>
      </c>
      <c r="S1473" s="464">
        <v>39172</v>
      </c>
      <c r="T1473" s="464">
        <v>39191</v>
      </c>
      <c r="U1473" s="461">
        <f t="shared" si="2"/>
        <v>80</v>
      </c>
      <c r="V1473" s="468" t="s">
        <v>53</v>
      </c>
      <c r="W1473" s="493">
        <v>205</v>
      </c>
      <c r="X1473" s="467"/>
      <c r="Y1473" s="467"/>
      <c r="Z1473" s="457">
        <v>6631322946</v>
      </c>
      <c r="AA1473" s="457" t="s">
        <v>1642</v>
      </c>
      <c r="AB1473" s="460" t="s">
        <v>1640</v>
      </c>
      <c r="AC1473" s="470"/>
      <c r="AD1473" s="10" t="str">
        <f t="shared" si="3"/>
        <v>atrasado</v>
      </c>
      <c r="AE1473" s="412"/>
    </row>
    <row r="1474" spans="1:31" s="9" customFormat="1" ht="54.95" customHeight="1" thickBot="1" x14ac:dyDescent="0.25">
      <c r="A1474" s="328"/>
      <c r="B1474" s="455" t="s">
        <v>36</v>
      </c>
      <c r="C1474" s="455" t="s">
        <v>133</v>
      </c>
      <c r="D1474" s="456" t="s">
        <v>1663</v>
      </c>
      <c r="E1474" s="457" t="s">
        <v>1664</v>
      </c>
      <c r="F1474" s="457">
        <v>4501396608</v>
      </c>
      <c r="G1474" s="457" t="s">
        <v>39</v>
      </c>
      <c r="H1474" s="458">
        <v>237032.4</v>
      </c>
      <c r="I1474" s="459" t="s">
        <v>52</v>
      </c>
      <c r="J1474" s="460">
        <v>39097</v>
      </c>
      <c r="K1474" s="461">
        <v>98</v>
      </c>
      <c r="L1474" s="462">
        <f t="shared" si="0"/>
        <v>39195</v>
      </c>
      <c r="M1474" s="460" t="s">
        <v>41</v>
      </c>
      <c r="N1474" s="457" t="s">
        <v>42</v>
      </c>
      <c r="O1474" s="460">
        <v>39206</v>
      </c>
      <c r="P1474" s="461">
        <f t="shared" si="1"/>
        <v>19</v>
      </c>
      <c r="Q1474" s="461" t="s">
        <v>1665</v>
      </c>
      <c r="R1474" s="463">
        <v>39210</v>
      </c>
      <c r="S1474" s="464">
        <v>39214</v>
      </c>
      <c r="T1474" s="464">
        <f>+S1474+10</f>
        <v>39224</v>
      </c>
      <c r="U1474" s="461">
        <f t="shared" si="2"/>
        <v>127</v>
      </c>
      <c r="V1474" s="468" t="s">
        <v>1666</v>
      </c>
      <c r="W1474" s="466">
        <v>212</v>
      </c>
      <c r="X1474" s="457" t="s">
        <v>47</v>
      </c>
      <c r="Y1474" s="457" t="s">
        <v>1667</v>
      </c>
      <c r="Z1474" s="457">
        <v>6631322600</v>
      </c>
      <c r="AA1474" s="457" t="s">
        <v>1668</v>
      </c>
      <c r="AB1474" s="468" t="s">
        <v>1669</v>
      </c>
      <c r="AC1474" s="470" t="s">
        <v>1670</v>
      </c>
      <c r="AD1474" s="10" t="str">
        <f t="shared" si="3"/>
        <v>atrasado</v>
      </c>
    </row>
    <row r="1475" spans="1:31" s="9" customFormat="1" ht="54.95" customHeight="1" thickBot="1" x14ac:dyDescent="0.25">
      <c r="A1475" s="328"/>
      <c r="B1475" s="455" t="s">
        <v>36</v>
      </c>
      <c r="C1475" s="455" t="s">
        <v>133</v>
      </c>
      <c r="D1475" s="456" t="s">
        <v>1663</v>
      </c>
      <c r="E1475" s="457" t="s">
        <v>1664</v>
      </c>
      <c r="F1475" s="457">
        <v>4501405029</v>
      </c>
      <c r="G1475" s="457" t="s">
        <v>39</v>
      </c>
      <c r="H1475" s="458">
        <v>88226.92</v>
      </c>
      <c r="I1475" s="459" t="s">
        <v>40</v>
      </c>
      <c r="J1475" s="460">
        <v>39101</v>
      </c>
      <c r="K1475" s="461">
        <v>96</v>
      </c>
      <c r="L1475" s="462">
        <f t="shared" si="0"/>
        <v>39197</v>
      </c>
      <c r="M1475" s="460" t="s">
        <v>41</v>
      </c>
      <c r="N1475" s="457" t="s">
        <v>42</v>
      </c>
      <c r="O1475" s="460">
        <v>39206</v>
      </c>
      <c r="P1475" s="461">
        <f t="shared" si="1"/>
        <v>17</v>
      </c>
      <c r="Q1475" s="461" t="s">
        <v>1665</v>
      </c>
      <c r="R1475" s="463">
        <v>39210</v>
      </c>
      <c r="S1475" s="464">
        <v>39214</v>
      </c>
      <c r="T1475" s="464">
        <f>+S1475+10</f>
        <v>39224</v>
      </c>
      <c r="U1475" s="461">
        <f t="shared" si="2"/>
        <v>123</v>
      </c>
      <c r="V1475" s="468" t="s">
        <v>1671</v>
      </c>
      <c r="W1475" s="466">
        <v>211</v>
      </c>
      <c r="X1475" s="457" t="s">
        <v>47</v>
      </c>
      <c r="Y1475" s="457" t="s">
        <v>1667</v>
      </c>
      <c r="Z1475" s="457">
        <v>6631322600</v>
      </c>
      <c r="AA1475" s="457" t="s">
        <v>1668</v>
      </c>
      <c r="AB1475" s="468" t="s">
        <v>1672</v>
      </c>
      <c r="AC1475" s="470" t="s">
        <v>1670</v>
      </c>
      <c r="AD1475" s="10" t="str">
        <f t="shared" si="3"/>
        <v>atrasado</v>
      </c>
    </row>
    <row r="1476" spans="1:31" s="9" customFormat="1" ht="54.95" customHeight="1" thickBot="1" x14ac:dyDescent="0.25">
      <c r="A1476" s="328"/>
      <c r="B1476" s="455" t="s">
        <v>36</v>
      </c>
      <c r="C1476" s="455" t="s">
        <v>133</v>
      </c>
      <c r="D1476" s="456" t="s">
        <v>1334</v>
      </c>
      <c r="E1476" s="457" t="s">
        <v>1335</v>
      </c>
      <c r="F1476" s="457">
        <v>4501459714</v>
      </c>
      <c r="G1476" s="457" t="s">
        <v>39</v>
      </c>
      <c r="H1476" s="458">
        <v>17465.63</v>
      </c>
      <c r="I1476" s="459" t="s">
        <v>52</v>
      </c>
      <c r="J1476" s="460">
        <v>39139</v>
      </c>
      <c r="K1476" s="461">
        <v>59</v>
      </c>
      <c r="L1476" s="462">
        <f t="shared" si="0"/>
        <v>39198</v>
      </c>
      <c r="M1476" s="460" t="s">
        <v>41</v>
      </c>
      <c r="N1476" s="457" t="s">
        <v>42</v>
      </c>
      <c r="O1476" s="460">
        <v>39206</v>
      </c>
      <c r="P1476" s="461">
        <f t="shared" si="1"/>
        <v>16</v>
      </c>
      <c r="Q1476" s="461" t="s">
        <v>1665</v>
      </c>
      <c r="R1476" s="463">
        <v>39210</v>
      </c>
      <c r="S1476" s="464">
        <v>39214</v>
      </c>
      <c r="T1476" s="464">
        <f>+S1476+10</f>
        <v>39224</v>
      </c>
      <c r="U1476" s="461">
        <f t="shared" si="2"/>
        <v>85</v>
      </c>
      <c r="V1476" s="468" t="s">
        <v>1463</v>
      </c>
      <c r="W1476" s="466">
        <v>213</v>
      </c>
      <c r="X1476" s="457" t="s">
        <v>47</v>
      </c>
      <c r="Y1476" s="465"/>
      <c r="Z1476" s="457">
        <v>6631322600</v>
      </c>
      <c r="AA1476" s="457" t="s">
        <v>1668</v>
      </c>
      <c r="AB1476" s="468" t="s">
        <v>1673</v>
      </c>
      <c r="AC1476" s="470" t="s">
        <v>1670</v>
      </c>
      <c r="AD1476" s="10" t="str">
        <f t="shared" si="3"/>
        <v>atrasado</v>
      </c>
    </row>
    <row r="1477" spans="1:31" s="9" customFormat="1" ht="54.95" customHeight="1" thickBot="1" x14ac:dyDescent="0.25">
      <c r="A1477" s="328"/>
      <c r="B1477" s="455" t="s">
        <v>36</v>
      </c>
      <c r="C1477" s="455" t="s">
        <v>37</v>
      </c>
      <c r="D1477" s="456" t="s">
        <v>1674</v>
      </c>
      <c r="E1477" s="456"/>
      <c r="F1477" s="457">
        <v>7040001</v>
      </c>
      <c r="G1477" s="457" t="s">
        <v>39</v>
      </c>
      <c r="H1477" s="458">
        <v>2323</v>
      </c>
      <c r="I1477" s="459" t="s">
        <v>62</v>
      </c>
      <c r="J1477" s="460">
        <v>39184</v>
      </c>
      <c r="K1477" s="461">
        <v>30</v>
      </c>
      <c r="L1477" s="462">
        <f t="shared" si="0"/>
        <v>39214</v>
      </c>
      <c r="M1477" s="460" t="s">
        <v>41</v>
      </c>
      <c r="N1477" s="457" t="s">
        <v>1675</v>
      </c>
      <c r="O1477" s="460">
        <v>39224</v>
      </c>
      <c r="P1477" s="461">
        <f t="shared" si="1"/>
        <v>18</v>
      </c>
      <c r="Q1477" s="461"/>
      <c r="R1477" s="463"/>
      <c r="S1477" s="464">
        <v>39232</v>
      </c>
      <c r="T1477" s="464">
        <v>39237</v>
      </c>
      <c r="U1477" s="461">
        <f t="shared" si="2"/>
        <v>53</v>
      </c>
      <c r="V1477" s="468" t="s">
        <v>1254</v>
      </c>
      <c r="W1477" s="466">
        <v>218</v>
      </c>
      <c r="X1477" s="467"/>
      <c r="Y1477" s="465"/>
      <c r="Z1477" s="457" t="s">
        <v>1676</v>
      </c>
      <c r="AA1477" s="457" t="s">
        <v>1677</v>
      </c>
      <c r="AB1477" s="468" t="s">
        <v>1678</v>
      </c>
      <c r="AC1477" s="470"/>
      <c r="AD1477" s="10" t="str">
        <f t="shared" si="3"/>
        <v>atrasado</v>
      </c>
    </row>
    <row r="1478" spans="1:31" s="9" customFormat="1" ht="54.95" customHeight="1" thickBot="1" x14ac:dyDescent="0.25">
      <c r="A1478" s="328"/>
      <c r="B1478" s="455" t="s">
        <v>36</v>
      </c>
      <c r="C1478" s="455" t="s">
        <v>37</v>
      </c>
      <c r="D1478" s="456" t="s">
        <v>1679</v>
      </c>
      <c r="E1478" s="456"/>
      <c r="F1478" s="457">
        <v>7040004</v>
      </c>
      <c r="G1478" s="457" t="s">
        <v>39</v>
      </c>
      <c r="H1478" s="458">
        <v>2840</v>
      </c>
      <c r="I1478" s="459" t="s">
        <v>62</v>
      </c>
      <c r="J1478" s="460">
        <v>39198</v>
      </c>
      <c r="K1478" s="461">
        <v>30</v>
      </c>
      <c r="L1478" s="462">
        <f t="shared" si="0"/>
        <v>39228</v>
      </c>
      <c r="M1478" s="460" t="s">
        <v>41</v>
      </c>
      <c r="N1478" s="457" t="s">
        <v>1675</v>
      </c>
      <c r="O1478" s="460">
        <v>39224</v>
      </c>
      <c r="P1478" s="461">
        <f t="shared" si="1"/>
        <v>4</v>
      </c>
      <c r="Q1478" s="461"/>
      <c r="R1478" s="463"/>
      <c r="S1478" s="464">
        <v>39232</v>
      </c>
      <c r="T1478" s="464">
        <v>39234</v>
      </c>
      <c r="U1478" s="461">
        <f t="shared" si="2"/>
        <v>36</v>
      </c>
      <c r="V1478" s="468" t="s">
        <v>1680</v>
      </c>
      <c r="W1478" s="466">
        <v>218</v>
      </c>
      <c r="X1478" s="467"/>
      <c r="Y1478" s="465"/>
      <c r="Z1478" s="457" t="s">
        <v>1676</v>
      </c>
      <c r="AA1478" s="457" t="s">
        <v>1681</v>
      </c>
      <c r="AB1478" s="468" t="s">
        <v>1678</v>
      </c>
      <c r="AC1478" s="470"/>
      <c r="AD1478" s="10" t="str">
        <f t="shared" si="3"/>
        <v>atrasado</v>
      </c>
    </row>
    <row r="1479" spans="1:31" s="9" customFormat="1" ht="54.95" customHeight="1" thickBot="1" x14ac:dyDescent="0.25">
      <c r="A1479" s="328"/>
      <c r="B1479" s="455" t="s">
        <v>36</v>
      </c>
      <c r="C1479" s="455" t="s">
        <v>133</v>
      </c>
      <c r="D1479" s="456" t="s">
        <v>1334</v>
      </c>
      <c r="E1479" s="457" t="s">
        <v>1335</v>
      </c>
      <c r="F1479" s="457">
        <v>4501529732</v>
      </c>
      <c r="G1479" s="457" t="s">
        <v>39</v>
      </c>
      <c r="H1479" s="458">
        <v>1803.86</v>
      </c>
      <c r="I1479" s="459" t="s">
        <v>52</v>
      </c>
      <c r="J1479" s="460">
        <v>39182</v>
      </c>
      <c r="K1479" s="461">
        <v>106</v>
      </c>
      <c r="L1479" s="462">
        <f t="shared" si="0"/>
        <v>39288</v>
      </c>
      <c r="M1479" s="460" t="s">
        <v>41</v>
      </c>
      <c r="N1479" s="457" t="s">
        <v>42</v>
      </c>
      <c r="O1479" s="460">
        <v>39259</v>
      </c>
      <c r="P1479" s="461">
        <f t="shared" si="1"/>
        <v>-13</v>
      </c>
      <c r="Q1479" s="461"/>
      <c r="R1479" s="463"/>
      <c r="S1479" s="464">
        <v>39275</v>
      </c>
      <c r="T1479" s="464">
        <f t="shared" ref="T1479:T1485" si="4">+S1479+20</f>
        <v>39295</v>
      </c>
      <c r="U1479" s="461">
        <f t="shared" si="2"/>
        <v>113</v>
      </c>
      <c r="V1479" s="468" t="s">
        <v>1463</v>
      </c>
      <c r="W1479" s="466">
        <v>232</v>
      </c>
      <c r="X1479" s="457" t="s">
        <v>47</v>
      </c>
      <c r="Y1479" s="465"/>
      <c r="Z1479" s="457">
        <v>6651418583</v>
      </c>
      <c r="AA1479" s="457" t="s">
        <v>1682</v>
      </c>
      <c r="AB1479" s="468" t="s">
        <v>1683</v>
      </c>
      <c r="AC1479" s="470" t="s">
        <v>1684</v>
      </c>
      <c r="AD1479" s="10" t="str">
        <f t="shared" si="3"/>
        <v>en término</v>
      </c>
    </row>
    <row r="1480" spans="1:31" s="9" customFormat="1" ht="54.95" customHeight="1" thickBot="1" x14ac:dyDescent="0.25">
      <c r="A1480" s="328"/>
      <c r="B1480" s="455" t="s">
        <v>36</v>
      </c>
      <c r="C1480" s="455" t="s">
        <v>133</v>
      </c>
      <c r="D1480" s="456" t="s">
        <v>1663</v>
      </c>
      <c r="E1480" s="457" t="s">
        <v>1664</v>
      </c>
      <c r="F1480" s="457">
        <v>4501522021</v>
      </c>
      <c r="G1480" s="457" t="s">
        <v>39</v>
      </c>
      <c r="H1480" s="458">
        <v>58015.9</v>
      </c>
      <c r="I1480" s="459" t="s">
        <v>1685</v>
      </c>
      <c r="J1480" s="460">
        <v>39175</v>
      </c>
      <c r="K1480" s="461">
        <v>98</v>
      </c>
      <c r="L1480" s="462">
        <f t="shared" si="0"/>
        <v>39273</v>
      </c>
      <c r="M1480" s="460" t="s">
        <v>41</v>
      </c>
      <c r="N1480" s="457" t="s">
        <v>42</v>
      </c>
      <c r="O1480" s="460">
        <v>39259</v>
      </c>
      <c r="P1480" s="461">
        <f t="shared" si="1"/>
        <v>2</v>
      </c>
      <c r="Q1480" s="461"/>
      <c r="R1480" s="463"/>
      <c r="S1480" s="464">
        <v>39275</v>
      </c>
      <c r="T1480" s="464">
        <f t="shared" si="4"/>
        <v>39295</v>
      </c>
      <c r="U1480" s="461">
        <f t="shared" si="2"/>
        <v>120</v>
      </c>
      <c r="V1480" s="468" t="s">
        <v>1686</v>
      </c>
      <c r="W1480" s="466">
        <v>227</v>
      </c>
      <c r="X1480" s="457" t="s">
        <v>47</v>
      </c>
      <c r="Y1480" s="456">
        <v>39223</v>
      </c>
      <c r="Z1480" s="457">
        <v>6651418583</v>
      </c>
      <c r="AA1480" s="457" t="s">
        <v>1682</v>
      </c>
      <c r="AB1480" s="468" t="s">
        <v>1687</v>
      </c>
      <c r="AC1480" s="470" t="s">
        <v>1684</v>
      </c>
      <c r="AD1480" s="10" t="str">
        <f t="shared" si="3"/>
        <v>atrasado</v>
      </c>
    </row>
    <row r="1481" spans="1:31" s="587" customFormat="1" ht="54.95" customHeight="1" thickBot="1" x14ac:dyDescent="0.25">
      <c r="A1481" s="584"/>
      <c r="B1481" s="585" t="s">
        <v>36</v>
      </c>
      <c r="C1481" s="455" t="s">
        <v>133</v>
      </c>
      <c r="D1481" s="456" t="s">
        <v>1663</v>
      </c>
      <c r="E1481" s="457" t="s">
        <v>1664</v>
      </c>
      <c r="F1481" s="457">
        <v>4501490413</v>
      </c>
      <c r="G1481" s="457" t="s">
        <v>39</v>
      </c>
      <c r="H1481" s="458">
        <v>123169</v>
      </c>
      <c r="I1481" s="459" t="s">
        <v>62</v>
      </c>
      <c r="J1481" s="460">
        <v>39156</v>
      </c>
      <c r="K1481" s="461">
        <v>102</v>
      </c>
      <c r="L1481" s="462">
        <f t="shared" si="0"/>
        <v>39258</v>
      </c>
      <c r="M1481" s="460" t="s">
        <v>41</v>
      </c>
      <c r="N1481" s="457" t="s">
        <v>42</v>
      </c>
      <c r="O1481" s="460">
        <v>39259</v>
      </c>
      <c r="P1481" s="461">
        <f t="shared" si="1"/>
        <v>17</v>
      </c>
      <c r="Q1481" s="461"/>
      <c r="R1481" s="463"/>
      <c r="S1481" s="464">
        <v>39275</v>
      </c>
      <c r="T1481" s="464">
        <f t="shared" si="4"/>
        <v>39295</v>
      </c>
      <c r="U1481" s="461">
        <f t="shared" si="2"/>
        <v>139</v>
      </c>
      <c r="V1481" s="468" t="s">
        <v>1279</v>
      </c>
      <c r="W1481" s="493">
        <v>226</v>
      </c>
      <c r="X1481" s="457" t="s">
        <v>47</v>
      </c>
      <c r="Y1481" s="456">
        <v>39252</v>
      </c>
      <c r="Z1481" s="457">
        <v>6651418583</v>
      </c>
      <c r="AA1481" s="457" t="s">
        <v>1688</v>
      </c>
      <c r="AB1481" s="589" t="s">
        <v>1689</v>
      </c>
      <c r="AC1481" s="476" t="s">
        <v>1690</v>
      </c>
      <c r="AD1481" s="10" t="str">
        <f t="shared" si="3"/>
        <v>atrasado</v>
      </c>
      <c r="AE1481" s="412"/>
    </row>
    <row r="1482" spans="1:31" s="587" customFormat="1" ht="54.95" customHeight="1" thickBot="1" x14ac:dyDescent="0.25">
      <c r="A1482" s="584"/>
      <c r="B1482" s="585" t="s">
        <v>36</v>
      </c>
      <c r="C1482" s="455" t="s">
        <v>133</v>
      </c>
      <c r="D1482" s="456" t="s">
        <v>1663</v>
      </c>
      <c r="E1482" s="457" t="s">
        <v>1664</v>
      </c>
      <c r="F1482" s="457">
        <v>4501496480</v>
      </c>
      <c r="G1482" s="457" t="s">
        <v>39</v>
      </c>
      <c r="H1482" s="458">
        <v>296472.38</v>
      </c>
      <c r="I1482" s="459" t="s">
        <v>52</v>
      </c>
      <c r="J1482" s="460">
        <v>39161</v>
      </c>
      <c r="K1482" s="461">
        <v>97</v>
      </c>
      <c r="L1482" s="462">
        <f t="shared" si="0"/>
        <v>39258</v>
      </c>
      <c r="M1482" s="460" t="s">
        <v>41</v>
      </c>
      <c r="N1482" s="457" t="s">
        <v>42</v>
      </c>
      <c r="O1482" s="460">
        <v>39259</v>
      </c>
      <c r="P1482" s="461">
        <f t="shared" si="1"/>
        <v>17</v>
      </c>
      <c r="Q1482" s="461"/>
      <c r="R1482" s="463"/>
      <c r="S1482" s="464">
        <v>39275</v>
      </c>
      <c r="T1482" s="464">
        <f t="shared" si="4"/>
        <v>39295</v>
      </c>
      <c r="U1482" s="461">
        <f t="shared" si="2"/>
        <v>134</v>
      </c>
      <c r="V1482" s="468" t="s">
        <v>1691</v>
      </c>
      <c r="W1482" s="493">
        <v>229</v>
      </c>
      <c r="X1482" s="457" t="s">
        <v>47</v>
      </c>
      <c r="Y1482" s="456">
        <v>39252</v>
      </c>
      <c r="Z1482" s="457">
        <v>6651418583</v>
      </c>
      <c r="AA1482" s="457" t="s">
        <v>1688</v>
      </c>
      <c r="AB1482" s="589" t="s">
        <v>1692</v>
      </c>
      <c r="AC1482" s="470" t="s">
        <v>1693</v>
      </c>
      <c r="AD1482" s="10" t="str">
        <f t="shared" si="3"/>
        <v>atrasado</v>
      </c>
      <c r="AE1482" s="412"/>
    </row>
    <row r="1483" spans="1:31" s="587" customFormat="1" ht="54.95" customHeight="1" thickBot="1" x14ac:dyDescent="0.25">
      <c r="A1483" s="584"/>
      <c r="B1483" s="585" t="s">
        <v>36</v>
      </c>
      <c r="C1483" s="455" t="s">
        <v>133</v>
      </c>
      <c r="D1483" s="456" t="s">
        <v>1663</v>
      </c>
      <c r="E1483" s="457" t="s">
        <v>1664</v>
      </c>
      <c r="F1483" s="457">
        <v>4501507591</v>
      </c>
      <c r="G1483" s="457" t="s">
        <v>39</v>
      </c>
      <c r="H1483" s="458">
        <v>93586.59</v>
      </c>
      <c r="I1483" s="459" t="s">
        <v>40</v>
      </c>
      <c r="J1483" s="460">
        <v>39169</v>
      </c>
      <c r="K1483" s="461">
        <v>93</v>
      </c>
      <c r="L1483" s="462">
        <f t="shared" si="0"/>
        <v>39262</v>
      </c>
      <c r="M1483" s="460" t="s">
        <v>41</v>
      </c>
      <c r="N1483" s="457" t="s">
        <v>42</v>
      </c>
      <c r="O1483" s="460">
        <v>39259</v>
      </c>
      <c r="P1483" s="461">
        <f t="shared" si="1"/>
        <v>13</v>
      </c>
      <c r="Q1483" s="461"/>
      <c r="R1483" s="463"/>
      <c r="S1483" s="464">
        <v>39275</v>
      </c>
      <c r="T1483" s="464">
        <f t="shared" si="4"/>
        <v>39295</v>
      </c>
      <c r="U1483" s="461">
        <f t="shared" si="2"/>
        <v>126</v>
      </c>
      <c r="V1483" s="468" t="s">
        <v>1694</v>
      </c>
      <c r="W1483" s="493">
        <v>228</v>
      </c>
      <c r="X1483" s="457" t="s">
        <v>47</v>
      </c>
      <c r="Y1483" s="456">
        <v>39252</v>
      </c>
      <c r="Z1483" s="457">
        <v>6651418583</v>
      </c>
      <c r="AA1483" s="457" t="s">
        <v>1688</v>
      </c>
      <c r="AB1483" s="589" t="s">
        <v>1695</v>
      </c>
      <c r="AC1483" s="470" t="s">
        <v>1690</v>
      </c>
      <c r="AD1483" s="10" t="str">
        <f t="shared" si="3"/>
        <v>atrasado</v>
      </c>
      <c r="AE1483" s="412"/>
    </row>
    <row r="1484" spans="1:31" s="587" customFormat="1" ht="54.95" customHeight="1" thickBot="1" x14ac:dyDescent="0.25">
      <c r="A1484" s="584"/>
      <c r="B1484" s="585" t="s">
        <v>36</v>
      </c>
      <c r="C1484" s="455" t="s">
        <v>37</v>
      </c>
      <c r="D1484" s="456" t="s">
        <v>1696</v>
      </c>
      <c r="E1484" s="456"/>
      <c r="F1484" s="457">
        <v>7060001</v>
      </c>
      <c r="G1484" s="457" t="s">
        <v>39</v>
      </c>
      <c r="H1484" s="458">
        <v>960</v>
      </c>
      <c r="I1484" s="459"/>
      <c r="J1484" s="460">
        <v>39234</v>
      </c>
      <c r="K1484" s="461">
        <v>30</v>
      </c>
      <c r="L1484" s="462">
        <f t="shared" si="0"/>
        <v>39264</v>
      </c>
      <c r="M1484" s="460" t="s">
        <v>41</v>
      </c>
      <c r="N1484" s="457" t="s">
        <v>42</v>
      </c>
      <c r="O1484" s="460">
        <v>39259</v>
      </c>
      <c r="P1484" s="461">
        <f t="shared" si="1"/>
        <v>11</v>
      </c>
      <c r="Q1484" s="461"/>
      <c r="R1484" s="463"/>
      <c r="S1484" s="464">
        <v>39275</v>
      </c>
      <c r="T1484" s="464">
        <f t="shared" si="4"/>
        <v>39295</v>
      </c>
      <c r="U1484" s="461">
        <f t="shared" si="2"/>
        <v>61</v>
      </c>
      <c r="V1484" s="468" t="s">
        <v>1697</v>
      </c>
      <c r="W1484" s="493">
        <v>225</v>
      </c>
      <c r="X1484" s="467"/>
      <c r="Y1484" s="467"/>
      <c r="Z1484" s="457">
        <v>6651418583</v>
      </c>
      <c r="AA1484" s="457" t="s">
        <v>1688</v>
      </c>
      <c r="AB1484" s="460" t="s">
        <v>1640</v>
      </c>
      <c r="AC1484" s="476" t="s">
        <v>1698</v>
      </c>
      <c r="AD1484" s="10" t="str">
        <f t="shared" si="3"/>
        <v>atrasado</v>
      </c>
      <c r="AE1484" s="412"/>
    </row>
    <row r="1485" spans="1:31" s="587" customFormat="1" ht="54.95" customHeight="1" thickBot="1" x14ac:dyDescent="0.25">
      <c r="A1485" s="584"/>
      <c r="B1485" s="585" t="s">
        <v>36</v>
      </c>
      <c r="C1485" s="455" t="s">
        <v>37</v>
      </c>
      <c r="D1485" s="456" t="s">
        <v>1699</v>
      </c>
      <c r="E1485" s="456"/>
      <c r="F1485" s="457">
        <v>7050005</v>
      </c>
      <c r="G1485" s="457" t="s">
        <v>39</v>
      </c>
      <c r="H1485" s="458">
        <v>15050</v>
      </c>
      <c r="I1485" s="459" t="s">
        <v>62</v>
      </c>
      <c r="J1485" s="460">
        <v>39210</v>
      </c>
      <c r="K1485" s="461">
        <v>60</v>
      </c>
      <c r="L1485" s="462">
        <f t="shared" si="0"/>
        <v>39270</v>
      </c>
      <c r="M1485" s="460" t="s">
        <v>41</v>
      </c>
      <c r="N1485" s="457" t="s">
        <v>42</v>
      </c>
      <c r="O1485" s="460">
        <v>39259</v>
      </c>
      <c r="P1485" s="461">
        <f t="shared" si="1"/>
        <v>5</v>
      </c>
      <c r="Q1485" s="461"/>
      <c r="R1485" s="463"/>
      <c r="S1485" s="464">
        <v>39275</v>
      </c>
      <c r="T1485" s="464">
        <f t="shared" si="4"/>
        <v>39295</v>
      </c>
      <c r="U1485" s="461">
        <f t="shared" si="2"/>
        <v>85</v>
      </c>
      <c r="V1485" s="468" t="s">
        <v>1700</v>
      </c>
      <c r="W1485" s="493">
        <v>225</v>
      </c>
      <c r="X1485" s="467"/>
      <c r="Y1485" s="467"/>
      <c r="Z1485" s="457">
        <v>6651418583</v>
      </c>
      <c r="AA1485" s="457" t="s">
        <v>1688</v>
      </c>
      <c r="AB1485" s="460" t="s">
        <v>1640</v>
      </c>
      <c r="AC1485" s="476" t="s">
        <v>1698</v>
      </c>
      <c r="AD1485" s="10" t="str">
        <f t="shared" si="3"/>
        <v>atrasado</v>
      </c>
      <c r="AE1485" s="412"/>
    </row>
    <row r="1486" spans="1:31" s="587" customFormat="1" ht="54.95" customHeight="1" thickBot="1" x14ac:dyDescent="0.25">
      <c r="A1486" s="584"/>
      <c r="B1486" s="585" t="s">
        <v>36</v>
      </c>
      <c r="C1486" s="455" t="s">
        <v>37</v>
      </c>
      <c r="D1486" s="456" t="s">
        <v>1701</v>
      </c>
      <c r="E1486" s="456"/>
      <c r="F1486" s="457">
        <v>7070001</v>
      </c>
      <c r="G1486" s="457" t="s">
        <v>39</v>
      </c>
      <c r="H1486" s="458">
        <v>1058</v>
      </c>
      <c r="I1486" s="459"/>
      <c r="J1486" s="460">
        <v>39266</v>
      </c>
      <c r="K1486" s="461">
        <v>15</v>
      </c>
      <c r="L1486" s="462">
        <f t="shared" si="0"/>
        <v>39281</v>
      </c>
      <c r="M1486" s="460" t="s">
        <v>41</v>
      </c>
      <c r="N1486" s="457" t="s">
        <v>110</v>
      </c>
      <c r="O1486" s="460">
        <v>39273</v>
      </c>
      <c r="P1486" s="461">
        <f t="shared" si="1"/>
        <v>3</v>
      </c>
      <c r="Q1486" s="461"/>
      <c r="R1486" s="463"/>
      <c r="S1486" s="464">
        <v>39284</v>
      </c>
      <c r="T1486" s="464">
        <v>39286</v>
      </c>
      <c r="U1486" s="461">
        <f t="shared" si="2"/>
        <v>20</v>
      </c>
      <c r="V1486" s="468" t="s">
        <v>1702</v>
      </c>
      <c r="W1486" s="493">
        <v>237</v>
      </c>
      <c r="X1486" s="467"/>
      <c r="Y1486" s="467"/>
      <c r="Z1486" s="457" t="s">
        <v>1676</v>
      </c>
      <c r="AA1486" s="456" t="s">
        <v>1703</v>
      </c>
      <c r="AB1486" s="460" t="s">
        <v>1640</v>
      </c>
      <c r="AC1486" s="470"/>
      <c r="AD1486" s="10" t="str">
        <f t="shared" si="3"/>
        <v>atrasado</v>
      </c>
      <c r="AE1486" s="412"/>
    </row>
    <row r="1487" spans="1:31" s="587" customFormat="1" ht="54.95" customHeight="1" thickBot="1" x14ac:dyDescent="0.25">
      <c r="A1487" s="584"/>
      <c r="B1487" s="585" t="s">
        <v>36</v>
      </c>
      <c r="C1487" s="455" t="s">
        <v>37</v>
      </c>
      <c r="D1487" s="456" t="s">
        <v>1704</v>
      </c>
      <c r="E1487" s="456"/>
      <c r="F1487" s="457">
        <v>7070002</v>
      </c>
      <c r="G1487" s="457" t="s">
        <v>39</v>
      </c>
      <c r="H1487" s="458">
        <v>7832</v>
      </c>
      <c r="I1487" s="459"/>
      <c r="J1487" s="460">
        <v>39274</v>
      </c>
      <c r="K1487" s="461">
        <v>28</v>
      </c>
      <c r="L1487" s="462">
        <f t="shared" si="0"/>
        <v>39302</v>
      </c>
      <c r="M1487" s="460" t="s">
        <v>41</v>
      </c>
      <c r="N1487" s="457" t="s">
        <v>1705</v>
      </c>
      <c r="O1487" s="460">
        <v>39281</v>
      </c>
      <c r="P1487" s="461">
        <f t="shared" si="1"/>
        <v>-16</v>
      </c>
      <c r="Q1487" s="461"/>
      <c r="R1487" s="463"/>
      <c r="S1487" s="464">
        <v>39286</v>
      </c>
      <c r="T1487" s="464">
        <v>39292</v>
      </c>
      <c r="U1487" s="461">
        <f t="shared" si="2"/>
        <v>18</v>
      </c>
      <c r="V1487" s="468" t="s">
        <v>1706</v>
      </c>
      <c r="W1487" s="457" t="s">
        <v>1707</v>
      </c>
      <c r="X1487" s="467"/>
      <c r="Y1487" s="467"/>
      <c r="Z1487" s="457" t="s">
        <v>1708</v>
      </c>
      <c r="AA1487" s="457" t="s">
        <v>1709</v>
      </c>
      <c r="AB1487" s="460" t="s">
        <v>47</v>
      </c>
      <c r="AC1487" s="470"/>
      <c r="AD1487" s="586"/>
    </row>
    <row r="1488" spans="1:31" s="587" customFormat="1" ht="54.95" customHeight="1" thickBot="1" x14ac:dyDescent="0.25">
      <c r="A1488" s="584"/>
      <c r="B1488" s="585" t="s">
        <v>36</v>
      </c>
      <c r="C1488" s="455" t="s">
        <v>133</v>
      </c>
      <c r="D1488" s="456" t="s">
        <v>1663</v>
      </c>
      <c r="E1488" s="457" t="s">
        <v>1664</v>
      </c>
      <c r="F1488" s="457">
        <v>4501539152</v>
      </c>
      <c r="G1488" s="457" t="s">
        <v>39</v>
      </c>
      <c r="H1488" s="458">
        <v>116132.94</v>
      </c>
      <c r="I1488" s="459" t="s">
        <v>62</v>
      </c>
      <c r="J1488" s="460">
        <v>39189</v>
      </c>
      <c r="K1488" s="461">
        <v>99</v>
      </c>
      <c r="L1488" s="462">
        <f t="shared" si="0"/>
        <v>39288</v>
      </c>
      <c r="M1488" s="460" t="s">
        <v>41</v>
      </c>
      <c r="N1488" s="457" t="s">
        <v>42</v>
      </c>
      <c r="O1488" s="460">
        <v>39283</v>
      </c>
      <c r="P1488" s="461">
        <f t="shared" si="1"/>
        <v>22</v>
      </c>
      <c r="Q1488" s="457" t="s">
        <v>1710</v>
      </c>
      <c r="R1488" s="463">
        <v>39293</v>
      </c>
      <c r="S1488" s="464">
        <v>39310</v>
      </c>
      <c r="T1488" s="464">
        <f>+S1488+20</f>
        <v>39330</v>
      </c>
      <c r="U1488" s="461">
        <f t="shared" si="2"/>
        <v>141</v>
      </c>
      <c r="V1488" s="468" t="s">
        <v>1340</v>
      </c>
      <c r="W1488" s="493">
        <v>238</v>
      </c>
      <c r="X1488" s="457" t="s">
        <v>47</v>
      </c>
      <c r="Y1488" s="456">
        <v>39252</v>
      </c>
      <c r="Z1488" s="457">
        <v>6656530042</v>
      </c>
      <c r="AA1488" s="457" t="s">
        <v>1711</v>
      </c>
      <c r="AB1488" s="589" t="s">
        <v>1712</v>
      </c>
      <c r="AC1488" s="476" t="s">
        <v>1713</v>
      </c>
      <c r="AD1488" s="10" t="str">
        <f t="shared" ref="AD1488:AD1498" si="5">IF(S1488&lt;=L1488,"en término","atrasado")</f>
        <v>atrasado</v>
      </c>
      <c r="AE1488" s="412"/>
    </row>
    <row r="1489" spans="1:31" s="587" customFormat="1" ht="54.95" customHeight="1" thickBot="1" x14ac:dyDescent="0.25">
      <c r="A1489" s="584"/>
      <c r="B1489" s="585" t="s">
        <v>36</v>
      </c>
      <c r="C1489" s="455" t="s">
        <v>133</v>
      </c>
      <c r="D1489" s="456" t="s">
        <v>1663</v>
      </c>
      <c r="E1489" s="457" t="s">
        <v>1664</v>
      </c>
      <c r="F1489" s="457">
        <v>4501547359</v>
      </c>
      <c r="G1489" s="457" t="s">
        <v>39</v>
      </c>
      <c r="H1489" s="458">
        <v>82766.09</v>
      </c>
      <c r="I1489" s="459" t="s">
        <v>40</v>
      </c>
      <c r="J1489" s="460">
        <v>39195</v>
      </c>
      <c r="K1489" s="461">
        <v>93</v>
      </c>
      <c r="L1489" s="462">
        <f t="shared" si="0"/>
        <v>39288</v>
      </c>
      <c r="M1489" s="460" t="s">
        <v>41</v>
      </c>
      <c r="N1489" s="457" t="s">
        <v>42</v>
      </c>
      <c r="O1489" s="460">
        <v>39283</v>
      </c>
      <c r="P1489" s="461">
        <f t="shared" si="1"/>
        <v>22</v>
      </c>
      <c r="Q1489" s="457" t="s">
        <v>1710</v>
      </c>
      <c r="R1489" s="463">
        <v>39293</v>
      </c>
      <c r="S1489" s="464">
        <v>39310</v>
      </c>
      <c r="T1489" s="464">
        <f>+S1489+20</f>
        <v>39330</v>
      </c>
      <c r="U1489" s="461">
        <f t="shared" si="2"/>
        <v>135</v>
      </c>
      <c r="V1489" s="468" t="s">
        <v>1332</v>
      </c>
      <c r="W1489" s="493">
        <v>239</v>
      </c>
      <c r="X1489" s="457" t="s">
        <v>47</v>
      </c>
      <c r="Y1489" s="457" t="s">
        <v>1714</v>
      </c>
      <c r="Z1489" s="457">
        <v>6656530042</v>
      </c>
      <c r="AA1489" s="457" t="s">
        <v>1711</v>
      </c>
      <c r="AB1489" s="589" t="s">
        <v>1715</v>
      </c>
      <c r="AC1489" s="476" t="s">
        <v>1716</v>
      </c>
      <c r="AD1489" s="10" t="str">
        <f t="shared" si="5"/>
        <v>atrasado</v>
      </c>
      <c r="AE1489" s="412"/>
    </row>
    <row r="1490" spans="1:31" s="587" customFormat="1" ht="54.95" customHeight="1" thickBot="1" x14ac:dyDescent="0.25">
      <c r="A1490" s="584"/>
      <c r="B1490" s="585" t="s">
        <v>36</v>
      </c>
      <c r="C1490" s="455" t="s">
        <v>133</v>
      </c>
      <c r="D1490" s="456" t="s">
        <v>1663</v>
      </c>
      <c r="E1490" s="457" t="s">
        <v>1664</v>
      </c>
      <c r="F1490" s="457">
        <v>4501578323</v>
      </c>
      <c r="G1490" s="457" t="s">
        <v>39</v>
      </c>
      <c r="H1490" s="458">
        <v>7778.75</v>
      </c>
      <c r="I1490" s="459" t="s">
        <v>62</v>
      </c>
      <c r="J1490" s="460">
        <v>39211</v>
      </c>
      <c r="K1490" s="461">
        <v>110</v>
      </c>
      <c r="L1490" s="462">
        <f t="shared" si="0"/>
        <v>39321</v>
      </c>
      <c r="M1490" s="460" t="s">
        <v>41</v>
      </c>
      <c r="N1490" s="457" t="s">
        <v>42</v>
      </c>
      <c r="O1490" s="460">
        <v>39283</v>
      </c>
      <c r="P1490" s="461">
        <f t="shared" si="1"/>
        <v>-11</v>
      </c>
      <c r="Q1490" s="457" t="s">
        <v>1710</v>
      </c>
      <c r="R1490" s="463">
        <v>39293</v>
      </c>
      <c r="S1490" s="464">
        <v>39310</v>
      </c>
      <c r="T1490" s="464">
        <f>+S1490+20</f>
        <v>39330</v>
      </c>
      <c r="U1490" s="461">
        <f t="shared" si="2"/>
        <v>119</v>
      </c>
      <c r="V1490" s="468" t="s">
        <v>1717</v>
      </c>
      <c r="W1490" s="493">
        <v>240</v>
      </c>
      <c r="X1490" s="457" t="s">
        <v>47</v>
      </c>
      <c r="Y1490" s="467"/>
      <c r="Z1490" s="457">
        <v>6656530042</v>
      </c>
      <c r="AA1490" s="457" t="s">
        <v>1711</v>
      </c>
      <c r="AB1490" s="589" t="s">
        <v>1718</v>
      </c>
      <c r="AC1490" s="476" t="s">
        <v>1719</v>
      </c>
      <c r="AD1490" s="10" t="str">
        <f t="shared" si="5"/>
        <v>en término</v>
      </c>
      <c r="AE1490" s="412"/>
    </row>
    <row r="1491" spans="1:31" s="587" customFormat="1" ht="54.95" customHeight="1" thickBot="1" x14ac:dyDescent="0.25">
      <c r="A1491" s="584"/>
      <c r="B1491" s="585" t="s">
        <v>36</v>
      </c>
      <c r="C1491" s="455" t="s">
        <v>37</v>
      </c>
      <c r="D1491" s="456" t="s">
        <v>1720</v>
      </c>
      <c r="E1491" s="456"/>
      <c r="F1491" s="457">
        <v>7040003</v>
      </c>
      <c r="G1491" s="457" t="s">
        <v>39</v>
      </c>
      <c r="H1491" s="458">
        <v>23550</v>
      </c>
      <c r="I1491" s="459" t="s">
        <v>62</v>
      </c>
      <c r="J1491" s="460">
        <v>39191</v>
      </c>
      <c r="K1491" s="461">
        <v>137</v>
      </c>
      <c r="L1491" s="462">
        <f t="shared" si="0"/>
        <v>39328</v>
      </c>
      <c r="M1491" s="460" t="s">
        <v>41</v>
      </c>
      <c r="N1491" s="457" t="s">
        <v>42</v>
      </c>
      <c r="O1491" s="460">
        <v>39283</v>
      </c>
      <c r="P1491" s="461">
        <f t="shared" si="1"/>
        <v>-18</v>
      </c>
      <c r="Q1491" s="457" t="s">
        <v>1710</v>
      </c>
      <c r="R1491" s="463">
        <v>39293</v>
      </c>
      <c r="S1491" s="464">
        <v>39310</v>
      </c>
      <c r="T1491" s="464">
        <f>+S1491+20</f>
        <v>39330</v>
      </c>
      <c r="U1491" s="461">
        <f t="shared" si="2"/>
        <v>139</v>
      </c>
      <c r="V1491" s="468" t="s">
        <v>1087</v>
      </c>
      <c r="W1491" s="493">
        <v>241</v>
      </c>
      <c r="X1491" s="467"/>
      <c r="Y1491" s="457" t="s">
        <v>1721</v>
      </c>
      <c r="Z1491" s="457">
        <v>6656530042</v>
      </c>
      <c r="AA1491" s="457" t="s">
        <v>1711</v>
      </c>
      <c r="AB1491" s="460" t="s">
        <v>1640</v>
      </c>
      <c r="AC1491" s="476" t="s">
        <v>1722</v>
      </c>
      <c r="AD1491" s="10" t="str">
        <f t="shared" si="5"/>
        <v>en término</v>
      </c>
      <c r="AE1491" s="412"/>
    </row>
    <row r="1492" spans="1:31" s="587" customFormat="1" ht="54.95" customHeight="1" thickBot="1" x14ac:dyDescent="0.25">
      <c r="A1492" s="584"/>
      <c r="B1492" s="585" t="s">
        <v>36</v>
      </c>
      <c r="C1492" s="455" t="s">
        <v>37</v>
      </c>
      <c r="D1492" s="456" t="s">
        <v>1723</v>
      </c>
      <c r="E1492" s="456"/>
      <c r="F1492" s="457">
        <v>7050006</v>
      </c>
      <c r="G1492" s="457" t="s">
        <v>39</v>
      </c>
      <c r="H1492" s="458">
        <f>540+1400+3920+1815+5390+945+3150+4898+1920+4525+800+1777.67</f>
        <v>31080.67</v>
      </c>
      <c r="I1492" s="459"/>
      <c r="J1492" s="460">
        <v>39224</v>
      </c>
      <c r="K1492" s="461">
        <v>90</v>
      </c>
      <c r="L1492" s="462">
        <f t="shared" si="0"/>
        <v>39314</v>
      </c>
      <c r="M1492" s="460" t="s">
        <v>41</v>
      </c>
      <c r="N1492" s="457" t="s">
        <v>42</v>
      </c>
      <c r="O1492" s="460">
        <v>39283</v>
      </c>
      <c r="P1492" s="461">
        <f t="shared" si="1"/>
        <v>-4</v>
      </c>
      <c r="Q1492" s="457" t="s">
        <v>1710</v>
      </c>
      <c r="R1492" s="463">
        <v>39293</v>
      </c>
      <c r="S1492" s="464">
        <v>39310</v>
      </c>
      <c r="T1492" s="464">
        <f>+S1492+20</f>
        <v>39330</v>
      </c>
      <c r="U1492" s="461">
        <f t="shared" si="2"/>
        <v>106</v>
      </c>
      <c r="V1492" s="468" t="s">
        <v>1724</v>
      </c>
      <c r="W1492" s="493">
        <v>241</v>
      </c>
      <c r="X1492" s="467"/>
      <c r="Y1492" s="467"/>
      <c r="Z1492" s="457">
        <v>6656530042</v>
      </c>
      <c r="AA1492" s="457" t="s">
        <v>1711</v>
      </c>
      <c r="AB1492" s="460" t="s">
        <v>1640</v>
      </c>
      <c r="AC1492" s="476" t="s">
        <v>1722</v>
      </c>
      <c r="AD1492" s="10" t="str">
        <f t="shared" si="5"/>
        <v>en término</v>
      </c>
      <c r="AE1492" s="412"/>
    </row>
    <row r="1493" spans="1:31" s="587" customFormat="1" ht="54.95" customHeight="1" thickBot="1" x14ac:dyDescent="0.25">
      <c r="A1493" s="584"/>
      <c r="B1493" s="585" t="s">
        <v>36</v>
      </c>
      <c r="C1493" s="455" t="s">
        <v>133</v>
      </c>
      <c r="D1493" s="456" t="s">
        <v>1334</v>
      </c>
      <c r="E1493" s="457" t="s">
        <v>1335</v>
      </c>
      <c r="F1493" s="457">
        <v>4501642732</v>
      </c>
      <c r="G1493" s="457" t="s">
        <v>39</v>
      </c>
      <c r="H1493" s="458">
        <v>3950.36</v>
      </c>
      <c r="I1493" s="459" t="s">
        <v>52</v>
      </c>
      <c r="J1493" s="460">
        <v>39252</v>
      </c>
      <c r="K1493" s="461">
        <v>93</v>
      </c>
      <c r="L1493" s="462">
        <f t="shared" si="0"/>
        <v>39345</v>
      </c>
      <c r="M1493" s="460" t="s">
        <v>41</v>
      </c>
      <c r="N1493" s="457" t="s">
        <v>42</v>
      </c>
      <c r="O1493" s="460">
        <v>39311</v>
      </c>
      <c r="P1493" s="461">
        <f t="shared" si="1"/>
        <v>-28</v>
      </c>
      <c r="Q1493" s="461" t="s">
        <v>1725</v>
      </c>
      <c r="R1493" s="463">
        <v>39315</v>
      </c>
      <c r="S1493" s="464">
        <v>39317</v>
      </c>
      <c r="T1493" s="464">
        <v>39336</v>
      </c>
      <c r="U1493" s="461">
        <f t="shared" si="2"/>
        <v>84</v>
      </c>
      <c r="V1493" s="468" t="s">
        <v>1463</v>
      </c>
      <c r="W1493" s="493">
        <v>244</v>
      </c>
      <c r="X1493" s="457" t="s">
        <v>47</v>
      </c>
      <c r="Y1493" s="467"/>
      <c r="Z1493" s="457">
        <v>6656530031</v>
      </c>
      <c r="AA1493" s="457" t="s">
        <v>1726</v>
      </c>
      <c r="AB1493" s="589" t="s">
        <v>1718</v>
      </c>
      <c r="AC1493" s="470"/>
      <c r="AD1493" s="10" t="str">
        <f t="shared" si="5"/>
        <v>en término</v>
      </c>
      <c r="AE1493" s="412"/>
    </row>
    <row r="1494" spans="1:31" s="587" customFormat="1" ht="54.95" customHeight="1" thickBot="1" x14ac:dyDescent="0.25">
      <c r="A1494" s="584"/>
      <c r="B1494" s="585" t="s">
        <v>36</v>
      </c>
      <c r="C1494" s="455" t="s">
        <v>133</v>
      </c>
      <c r="D1494" s="456" t="s">
        <v>1663</v>
      </c>
      <c r="E1494" s="457" t="s">
        <v>1664</v>
      </c>
      <c r="F1494" s="457">
        <v>4501516889</v>
      </c>
      <c r="G1494" s="457" t="s">
        <v>39</v>
      </c>
      <c r="H1494" s="458">
        <v>9274.41</v>
      </c>
      <c r="I1494" s="459" t="s">
        <v>52</v>
      </c>
      <c r="J1494" s="460">
        <v>39171</v>
      </c>
      <c r="K1494" s="461">
        <v>166</v>
      </c>
      <c r="L1494" s="462">
        <f t="shared" si="0"/>
        <v>39337</v>
      </c>
      <c r="M1494" s="460" t="s">
        <v>41</v>
      </c>
      <c r="N1494" s="457" t="s">
        <v>1705</v>
      </c>
      <c r="O1494" s="460">
        <v>39318</v>
      </c>
      <c r="P1494" s="461">
        <f t="shared" si="1"/>
        <v>-15</v>
      </c>
      <c r="Q1494" s="461"/>
      <c r="R1494" s="463"/>
      <c r="S1494" s="464">
        <v>39322</v>
      </c>
      <c r="T1494" s="464">
        <v>39329</v>
      </c>
      <c r="U1494" s="461">
        <f t="shared" si="2"/>
        <v>158</v>
      </c>
      <c r="V1494" s="468" t="s">
        <v>1727</v>
      </c>
      <c r="W1494" s="493">
        <v>245</v>
      </c>
      <c r="X1494" s="457" t="s">
        <v>47</v>
      </c>
      <c r="Y1494" s="467"/>
      <c r="Z1494" s="457">
        <v>6656530031</v>
      </c>
      <c r="AA1494" s="457" t="s">
        <v>1728</v>
      </c>
      <c r="AB1494" s="589" t="s">
        <v>1718</v>
      </c>
      <c r="AC1494" s="470"/>
      <c r="AD1494" s="10" t="str">
        <f t="shared" si="5"/>
        <v>en término</v>
      </c>
      <c r="AE1494" s="412"/>
    </row>
    <row r="1495" spans="1:31" s="587" customFormat="1" ht="54.95" customHeight="1" thickBot="1" x14ac:dyDescent="0.25">
      <c r="A1495" s="584"/>
      <c r="B1495" s="585" t="s">
        <v>36</v>
      </c>
      <c r="C1495" s="455" t="s">
        <v>37</v>
      </c>
      <c r="D1495" s="456" t="s">
        <v>1729</v>
      </c>
      <c r="E1495" s="456"/>
      <c r="F1495" s="457">
        <v>7050002</v>
      </c>
      <c r="G1495" s="457" t="s">
        <v>39</v>
      </c>
      <c r="H1495" s="458">
        <v>120250</v>
      </c>
      <c r="I1495" s="459" t="s">
        <v>40</v>
      </c>
      <c r="J1495" s="460">
        <v>39205</v>
      </c>
      <c r="K1495" s="461">
        <v>150</v>
      </c>
      <c r="L1495" s="462">
        <f t="shared" si="0"/>
        <v>39355</v>
      </c>
      <c r="M1495" s="460" t="s">
        <v>41</v>
      </c>
      <c r="N1495" s="457" t="s">
        <v>42</v>
      </c>
      <c r="O1495" s="460">
        <v>39311</v>
      </c>
      <c r="P1495" s="461">
        <f t="shared" si="1"/>
        <v>-38</v>
      </c>
      <c r="Q1495" s="461" t="s">
        <v>1725</v>
      </c>
      <c r="R1495" s="463">
        <v>39315</v>
      </c>
      <c r="S1495" s="464">
        <v>39317</v>
      </c>
      <c r="T1495" s="464">
        <v>39336</v>
      </c>
      <c r="U1495" s="461">
        <f t="shared" si="2"/>
        <v>131</v>
      </c>
      <c r="V1495" s="468" t="s">
        <v>1279</v>
      </c>
      <c r="W1495" s="493">
        <v>247</v>
      </c>
      <c r="X1495" s="467"/>
      <c r="Y1495" s="456">
        <v>39308</v>
      </c>
      <c r="Z1495" s="457">
        <v>6656530031</v>
      </c>
      <c r="AA1495" s="457" t="s">
        <v>1726</v>
      </c>
      <c r="AB1495" s="460" t="s">
        <v>1640</v>
      </c>
      <c r="AC1495" s="476" t="s">
        <v>1730</v>
      </c>
      <c r="AD1495" s="10" t="str">
        <f t="shared" si="5"/>
        <v>en término</v>
      </c>
      <c r="AE1495" s="412"/>
    </row>
    <row r="1496" spans="1:31" s="587" customFormat="1" ht="54.95" customHeight="1" thickBot="1" x14ac:dyDescent="0.25">
      <c r="A1496" s="584"/>
      <c r="B1496" s="585" t="s">
        <v>36</v>
      </c>
      <c r="C1496" s="455" t="s">
        <v>37</v>
      </c>
      <c r="D1496" s="456" t="s">
        <v>1731</v>
      </c>
      <c r="E1496" s="456"/>
      <c r="F1496" s="457">
        <v>7070003</v>
      </c>
      <c r="G1496" s="457" t="s">
        <v>39</v>
      </c>
      <c r="H1496" s="458">
        <v>3345</v>
      </c>
      <c r="I1496" s="459"/>
      <c r="J1496" s="460">
        <v>39274</v>
      </c>
      <c r="K1496" s="461">
        <v>35</v>
      </c>
      <c r="L1496" s="462">
        <f t="shared" si="0"/>
        <v>39309</v>
      </c>
      <c r="M1496" s="460" t="s">
        <v>41</v>
      </c>
      <c r="N1496" s="457" t="s">
        <v>42</v>
      </c>
      <c r="O1496" s="460">
        <v>39311</v>
      </c>
      <c r="P1496" s="461">
        <f t="shared" si="1"/>
        <v>8</v>
      </c>
      <c r="Q1496" s="461" t="s">
        <v>1725</v>
      </c>
      <c r="R1496" s="463">
        <v>39315</v>
      </c>
      <c r="S1496" s="464">
        <v>39317</v>
      </c>
      <c r="T1496" s="464">
        <v>39336</v>
      </c>
      <c r="U1496" s="461">
        <f t="shared" si="2"/>
        <v>62</v>
      </c>
      <c r="V1496" s="468" t="s">
        <v>1732</v>
      </c>
      <c r="W1496" s="493">
        <v>247</v>
      </c>
      <c r="X1496" s="467"/>
      <c r="Y1496" s="467"/>
      <c r="Z1496" s="457">
        <v>6656530031</v>
      </c>
      <c r="AA1496" s="457" t="s">
        <v>1726</v>
      </c>
      <c r="AB1496" s="460" t="s">
        <v>1640</v>
      </c>
      <c r="AC1496" s="470"/>
      <c r="AD1496" s="10" t="str">
        <f t="shared" si="5"/>
        <v>atrasado</v>
      </c>
      <c r="AE1496" s="412"/>
    </row>
    <row r="1497" spans="1:31" s="587" customFormat="1" ht="54.95" customHeight="1" thickBot="1" x14ac:dyDescent="0.25">
      <c r="A1497" s="584"/>
      <c r="B1497" s="585" t="s">
        <v>36</v>
      </c>
      <c r="C1497" s="455" t="s">
        <v>133</v>
      </c>
      <c r="D1497" s="456" t="s">
        <v>1663</v>
      </c>
      <c r="E1497" s="457" t="s">
        <v>1664</v>
      </c>
      <c r="F1497" s="457">
        <v>4501454521</v>
      </c>
      <c r="G1497" s="457" t="s">
        <v>39</v>
      </c>
      <c r="H1497" s="458">
        <v>51062.85</v>
      </c>
      <c r="I1497" s="459" t="s">
        <v>40</v>
      </c>
      <c r="J1497" s="460">
        <v>39135</v>
      </c>
      <c r="K1497" s="461">
        <v>93</v>
      </c>
      <c r="L1497" s="462">
        <f t="shared" si="0"/>
        <v>39228</v>
      </c>
      <c r="M1497" s="460" t="s">
        <v>41</v>
      </c>
      <c r="N1497" s="457" t="s">
        <v>42</v>
      </c>
      <c r="O1497" s="460">
        <v>39311</v>
      </c>
      <c r="P1497" s="461">
        <f t="shared" si="1"/>
        <v>89</v>
      </c>
      <c r="Q1497" s="461" t="s">
        <v>1725</v>
      </c>
      <c r="R1497" s="463">
        <v>39315</v>
      </c>
      <c r="S1497" s="464">
        <v>39317</v>
      </c>
      <c r="T1497" s="464">
        <v>39336</v>
      </c>
      <c r="U1497" s="461">
        <f t="shared" si="2"/>
        <v>201</v>
      </c>
      <c r="V1497" s="468" t="s">
        <v>1223</v>
      </c>
      <c r="W1497" s="493">
        <v>243</v>
      </c>
      <c r="X1497" s="457" t="s">
        <v>47</v>
      </c>
      <c r="Y1497" s="456">
        <v>39308</v>
      </c>
      <c r="Z1497" s="457">
        <v>6656530031</v>
      </c>
      <c r="AA1497" s="457" t="s">
        <v>1726</v>
      </c>
      <c r="AB1497" s="589" t="s">
        <v>1733</v>
      </c>
      <c r="AC1497" s="476" t="s">
        <v>1734</v>
      </c>
      <c r="AD1497" s="10" t="str">
        <f t="shared" si="5"/>
        <v>atrasado</v>
      </c>
      <c r="AE1497" s="412"/>
    </row>
    <row r="1498" spans="1:31" s="587" customFormat="1" ht="54.95" customHeight="1" thickBot="1" x14ac:dyDescent="0.25">
      <c r="A1498" s="584"/>
      <c r="B1498" s="585" t="s">
        <v>36</v>
      </c>
      <c r="C1498" s="455" t="s">
        <v>133</v>
      </c>
      <c r="D1498" s="456" t="s">
        <v>1663</v>
      </c>
      <c r="E1498" s="457" t="s">
        <v>1664</v>
      </c>
      <c r="F1498" s="457">
        <v>4501659707</v>
      </c>
      <c r="G1498" s="457" t="s">
        <v>39</v>
      </c>
      <c r="H1498" s="458">
        <v>967.62</v>
      </c>
      <c r="I1498" s="459" t="s">
        <v>52</v>
      </c>
      <c r="J1498" s="460">
        <v>39261</v>
      </c>
      <c r="K1498" s="461">
        <v>102</v>
      </c>
      <c r="L1498" s="462">
        <f t="shared" si="0"/>
        <v>39363</v>
      </c>
      <c r="M1498" s="460" t="s">
        <v>41</v>
      </c>
      <c r="N1498" s="457" t="s">
        <v>110</v>
      </c>
      <c r="O1498" s="460">
        <v>39318</v>
      </c>
      <c r="P1498" s="461">
        <f t="shared" ref="P1498:P1529" si="6">IF(S1498="","",+S1498-L1498)</f>
        <v>-41</v>
      </c>
      <c r="Q1498" s="461"/>
      <c r="R1498" s="463"/>
      <c r="S1498" s="464">
        <v>39322</v>
      </c>
      <c r="T1498" s="464">
        <v>39329</v>
      </c>
      <c r="U1498" s="461">
        <f t="shared" ref="U1498:U1529" si="7">IF(T1498="","",+T1498-J1498)</f>
        <v>68</v>
      </c>
      <c r="V1498" s="468" t="s">
        <v>1735</v>
      </c>
      <c r="W1498" s="493">
        <v>246</v>
      </c>
      <c r="X1498" s="457" t="s">
        <v>47</v>
      </c>
      <c r="Y1498" s="467"/>
      <c r="Z1498" s="457">
        <v>6656530031</v>
      </c>
      <c r="AA1498" s="457" t="s">
        <v>1728</v>
      </c>
      <c r="AB1498" s="589" t="s">
        <v>1718</v>
      </c>
      <c r="AC1498" s="470"/>
      <c r="AD1498" s="10" t="str">
        <f t="shared" si="5"/>
        <v>en término</v>
      </c>
      <c r="AE1498" s="412"/>
    </row>
    <row r="1499" spans="1:31" s="587" customFormat="1" ht="54.95" customHeight="1" thickBot="1" x14ac:dyDescent="0.25">
      <c r="A1499" s="584"/>
      <c r="B1499" s="585" t="s">
        <v>36</v>
      </c>
      <c r="C1499" s="455" t="s">
        <v>37</v>
      </c>
      <c r="D1499" s="456" t="s">
        <v>1736</v>
      </c>
      <c r="E1499" s="456"/>
      <c r="F1499" s="457">
        <v>7080006</v>
      </c>
      <c r="G1499" s="457" t="s">
        <v>39</v>
      </c>
      <c r="H1499" s="458">
        <v>8010</v>
      </c>
      <c r="I1499" s="459"/>
      <c r="J1499" s="460">
        <v>39325</v>
      </c>
      <c r="K1499" s="461">
        <v>28</v>
      </c>
      <c r="L1499" s="462">
        <v>39444</v>
      </c>
      <c r="M1499" s="460" t="s">
        <v>41</v>
      </c>
      <c r="N1499" s="457" t="s">
        <v>1705</v>
      </c>
      <c r="O1499" s="460">
        <v>39342</v>
      </c>
      <c r="P1499" s="461">
        <f t="shared" si="6"/>
        <v>-99</v>
      </c>
      <c r="Q1499" s="461"/>
      <c r="R1499" s="463"/>
      <c r="S1499" s="464">
        <v>39345</v>
      </c>
      <c r="T1499" s="464">
        <v>39349</v>
      </c>
      <c r="U1499" s="461">
        <f t="shared" si="7"/>
        <v>24</v>
      </c>
      <c r="V1499" s="468" t="s">
        <v>1737</v>
      </c>
      <c r="W1499" s="457" t="s">
        <v>1738</v>
      </c>
      <c r="X1499" s="467"/>
      <c r="Y1499" s="467"/>
      <c r="Z1499" s="457" t="s">
        <v>1708</v>
      </c>
      <c r="AA1499" s="457" t="s">
        <v>1739</v>
      </c>
      <c r="AB1499" s="460" t="s">
        <v>47</v>
      </c>
      <c r="AC1499" s="470"/>
      <c r="AD1499" s="586"/>
    </row>
    <row r="1500" spans="1:31" s="587" customFormat="1" ht="54.95" customHeight="1" thickBot="1" x14ac:dyDescent="0.25">
      <c r="A1500" s="584"/>
      <c r="B1500" s="585" t="s">
        <v>36</v>
      </c>
      <c r="C1500" s="455" t="s">
        <v>133</v>
      </c>
      <c r="D1500" s="456" t="s">
        <v>1663</v>
      </c>
      <c r="E1500" s="457" t="s">
        <v>1664</v>
      </c>
      <c r="F1500" s="457">
        <v>4501666150</v>
      </c>
      <c r="G1500" s="457" t="s">
        <v>39</v>
      </c>
      <c r="H1500" s="458">
        <v>325320.26</v>
      </c>
      <c r="I1500" s="459" t="s">
        <v>52</v>
      </c>
      <c r="J1500" s="460">
        <v>39262</v>
      </c>
      <c r="K1500" s="461">
        <v>100</v>
      </c>
      <c r="L1500" s="462">
        <f t="shared" ref="L1500:L1529" si="8">+J1500+K1500</f>
        <v>39362</v>
      </c>
      <c r="M1500" s="460" t="s">
        <v>41</v>
      </c>
      <c r="N1500" s="457" t="s">
        <v>42</v>
      </c>
      <c r="O1500" s="460">
        <v>39346</v>
      </c>
      <c r="P1500" s="461">
        <f t="shared" si="6"/>
        <v>4</v>
      </c>
      <c r="Q1500" s="457" t="s">
        <v>1740</v>
      </c>
      <c r="R1500" s="463"/>
      <c r="S1500" s="464">
        <v>39366</v>
      </c>
      <c r="T1500" s="464">
        <v>39374</v>
      </c>
      <c r="U1500" s="461">
        <f t="shared" si="7"/>
        <v>112</v>
      </c>
      <c r="V1500" s="468" t="s">
        <v>1741</v>
      </c>
      <c r="W1500" s="493">
        <v>253</v>
      </c>
      <c r="X1500" s="457" t="s">
        <v>47</v>
      </c>
      <c r="Y1500" s="456">
        <v>39338</v>
      </c>
      <c r="Z1500" s="457">
        <v>6651418255</v>
      </c>
      <c r="AA1500" s="457" t="s">
        <v>1742</v>
      </c>
      <c r="AB1500" s="589" t="s">
        <v>1743</v>
      </c>
      <c r="AC1500" s="476" t="s">
        <v>1744</v>
      </c>
      <c r="AD1500" s="10" t="str">
        <f t="shared" ref="AD1500:AD1527" si="9">IF(S1500&lt;=L1500,"en término","atrasado")</f>
        <v>atrasado</v>
      </c>
      <c r="AE1500" s="412"/>
    </row>
    <row r="1501" spans="1:31" s="587" customFormat="1" ht="54.95" customHeight="1" thickBot="1" x14ac:dyDescent="0.25">
      <c r="A1501" s="584"/>
      <c r="B1501" s="585" t="s">
        <v>36</v>
      </c>
      <c r="C1501" s="455" t="s">
        <v>133</v>
      </c>
      <c r="D1501" s="456" t="s">
        <v>1663</v>
      </c>
      <c r="E1501" s="457" t="s">
        <v>1664</v>
      </c>
      <c r="F1501" s="457">
        <v>4501637614</v>
      </c>
      <c r="G1501" s="457" t="s">
        <v>39</v>
      </c>
      <c r="H1501" s="458">
        <v>182786.15</v>
      </c>
      <c r="I1501" s="459" t="s">
        <v>40</v>
      </c>
      <c r="J1501" s="460">
        <v>39248</v>
      </c>
      <c r="K1501" s="461">
        <v>102</v>
      </c>
      <c r="L1501" s="462">
        <f t="shared" si="8"/>
        <v>39350</v>
      </c>
      <c r="M1501" s="460" t="s">
        <v>41</v>
      </c>
      <c r="N1501" s="457" t="s">
        <v>42</v>
      </c>
      <c r="O1501" s="460">
        <v>39346</v>
      </c>
      <c r="P1501" s="461">
        <f t="shared" si="6"/>
        <v>16</v>
      </c>
      <c r="Q1501" s="457" t="s">
        <v>1740</v>
      </c>
      <c r="R1501" s="463"/>
      <c r="S1501" s="464">
        <v>39366</v>
      </c>
      <c r="T1501" s="464">
        <v>39374</v>
      </c>
      <c r="U1501" s="461">
        <f t="shared" si="7"/>
        <v>126</v>
      </c>
      <c r="V1501" s="468" t="s">
        <v>1745</v>
      </c>
      <c r="W1501" s="493">
        <v>252</v>
      </c>
      <c r="X1501" s="457" t="s">
        <v>47</v>
      </c>
      <c r="Y1501" s="456">
        <v>39338</v>
      </c>
      <c r="Z1501" s="457">
        <v>6651418255</v>
      </c>
      <c r="AA1501" s="457" t="s">
        <v>1746</v>
      </c>
      <c r="AB1501" s="589" t="s">
        <v>1747</v>
      </c>
      <c r="AC1501" s="476" t="s">
        <v>1744</v>
      </c>
      <c r="AD1501" s="10" t="str">
        <f t="shared" si="9"/>
        <v>atrasado</v>
      </c>
      <c r="AE1501" s="412"/>
    </row>
    <row r="1502" spans="1:31" s="587" customFormat="1" ht="54.95" customHeight="1" thickBot="1" x14ac:dyDescent="0.25">
      <c r="A1502" s="584"/>
      <c r="B1502" s="585" t="s">
        <v>36</v>
      </c>
      <c r="C1502" s="455" t="s">
        <v>133</v>
      </c>
      <c r="D1502" s="456" t="s">
        <v>1663</v>
      </c>
      <c r="E1502" s="457" t="s">
        <v>1664</v>
      </c>
      <c r="F1502" s="457">
        <v>4501634870</v>
      </c>
      <c r="G1502" s="457" t="s">
        <v>39</v>
      </c>
      <c r="H1502" s="458">
        <v>12274.73</v>
      </c>
      <c r="I1502" s="459" t="s">
        <v>62</v>
      </c>
      <c r="J1502" s="460">
        <v>39247</v>
      </c>
      <c r="K1502" s="461">
        <v>114</v>
      </c>
      <c r="L1502" s="462">
        <f t="shared" si="8"/>
        <v>39361</v>
      </c>
      <c r="M1502" s="460" t="s">
        <v>41</v>
      </c>
      <c r="N1502" s="457" t="s">
        <v>1748</v>
      </c>
      <c r="O1502" s="460">
        <v>39346</v>
      </c>
      <c r="P1502" s="461">
        <f t="shared" si="6"/>
        <v>5</v>
      </c>
      <c r="Q1502" s="457" t="s">
        <v>1740</v>
      </c>
      <c r="R1502" s="463"/>
      <c r="S1502" s="464">
        <v>39366</v>
      </c>
      <c r="T1502" s="464">
        <v>39374</v>
      </c>
      <c r="U1502" s="461">
        <f t="shared" si="7"/>
        <v>127</v>
      </c>
      <c r="V1502" s="468" t="s">
        <v>879</v>
      </c>
      <c r="W1502" s="493">
        <v>254</v>
      </c>
      <c r="X1502" s="457" t="s">
        <v>47</v>
      </c>
      <c r="Y1502" s="456">
        <v>39338</v>
      </c>
      <c r="Z1502" s="457">
        <v>6651418255</v>
      </c>
      <c r="AA1502" s="457" t="s">
        <v>1742</v>
      </c>
      <c r="AB1502" s="589" t="s">
        <v>1749</v>
      </c>
      <c r="AC1502" s="476" t="s">
        <v>1744</v>
      </c>
      <c r="AD1502" s="10" t="str">
        <f t="shared" si="9"/>
        <v>atrasado</v>
      </c>
      <c r="AE1502" s="412"/>
    </row>
    <row r="1503" spans="1:31" s="587" customFormat="1" ht="54.95" customHeight="1" thickBot="1" x14ac:dyDescent="0.25">
      <c r="A1503" s="584"/>
      <c r="B1503" s="585" t="s">
        <v>36</v>
      </c>
      <c r="C1503" s="455" t="s">
        <v>37</v>
      </c>
      <c r="D1503" s="456" t="s">
        <v>1554</v>
      </c>
      <c r="E1503" s="456"/>
      <c r="F1503" s="457">
        <v>7080003</v>
      </c>
      <c r="G1503" s="457" t="s">
        <v>39</v>
      </c>
      <c r="H1503" s="458">
        <f>150+2910+700+6080+8370+8586</f>
        <v>26796</v>
      </c>
      <c r="I1503" s="459"/>
      <c r="J1503" s="460">
        <v>39310</v>
      </c>
      <c r="K1503" s="461">
        <v>30</v>
      </c>
      <c r="L1503" s="462">
        <f t="shared" si="8"/>
        <v>39340</v>
      </c>
      <c r="M1503" s="460" t="s">
        <v>41</v>
      </c>
      <c r="N1503" s="457" t="s">
        <v>1750</v>
      </c>
      <c r="O1503" s="460">
        <v>39346</v>
      </c>
      <c r="P1503" s="461">
        <f t="shared" si="6"/>
        <v>26</v>
      </c>
      <c r="Q1503" s="457" t="s">
        <v>1740</v>
      </c>
      <c r="R1503" s="463"/>
      <c r="S1503" s="464">
        <v>39366</v>
      </c>
      <c r="T1503" s="464">
        <v>39374</v>
      </c>
      <c r="U1503" s="461">
        <f t="shared" si="7"/>
        <v>64</v>
      </c>
      <c r="V1503" s="468" t="s">
        <v>1751</v>
      </c>
      <c r="W1503" s="493">
        <v>256</v>
      </c>
      <c r="X1503" s="467"/>
      <c r="Y1503" s="467"/>
      <c r="Z1503" s="457">
        <v>6651418255</v>
      </c>
      <c r="AA1503" s="457" t="s">
        <v>1742</v>
      </c>
      <c r="AB1503" s="460" t="s">
        <v>1752</v>
      </c>
      <c r="AC1503" s="476" t="s">
        <v>1744</v>
      </c>
      <c r="AD1503" s="645" t="str">
        <f t="shared" si="9"/>
        <v>atrasado</v>
      </c>
    </row>
    <row r="1504" spans="1:31" s="587" customFormat="1" ht="54.95" customHeight="1" thickBot="1" x14ac:dyDescent="0.25">
      <c r="A1504" s="584"/>
      <c r="B1504" s="585" t="s">
        <v>36</v>
      </c>
      <c r="C1504" s="455" t="s">
        <v>37</v>
      </c>
      <c r="D1504" s="456" t="s">
        <v>1753</v>
      </c>
      <c r="E1504" s="456"/>
      <c r="F1504" s="457">
        <v>7080004</v>
      </c>
      <c r="G1504" s="457" t="s">
        <v>39</v>
      </c>
      <c r="H1504" s="458">
        <v>8540</v>
      </c>
      <c r="I1504" s="459"/>
      <c r="J1504" s="460">
        <v>39317</v>
      </c>
      <c r="K1504" s="461">
        <v>30</v>
      </c>
      <c r="L1504" s="462">
        <f t="shared" si="8"/>
        <v>39347</v>
      </c>
      <c r="M1504" s="460" t="s">
        <v>41</v>
      </c>
      <c r="N1504" s="457" t="s">
        <v>1750</v>
      </c>
      <c r="O1504" s="460">
        <v>39346</v>
      </c>
      <c r="P1504" s="461">
        <f t="shared" si="6"/>
        <v>19</v>
      </c>
      <c r="Q1504" s="457" t="s">
        <v>1740</v>
      </c>
      <c r="R1504" s="463"/>
      <c r="S1504" s="464">
        <v>39366</v>
      </c>
      <c r="T1504" s="464">
        <v>39374</v>
      </c>
      <c r="U1504" s="461">
        <f t="shared" si="7"/>
        <v>57</v>
      </c>
      <c r="V1504" s="468" t="s">
        <v>73</v>
      </c>
      <c r="W1504" s="493">
        <v>256</v>
      </c>
      <c r="X1504" s="467"/>
      <c r="Y1504" s="456">
        <v>39338</v>
      </c>
      <c r="Z1504" s="457">
        <v>6651418255</v>
      </c>
      <c r="AA1504" s="457" t="s">
        <v>1742</v>
      </c>
      <c r="AB1504" s="460" t="s">
        <v>1752</v>
      </c>
      <c r="AC1504" s="476" t="s">
        <v>1744</v>
      </c>
      <c r="AD1504" s="645" t="str">
        <f t="shared" si="9"/>
        <v>atrasado</v>
      </c>
    </row>
    <row r="1505" spans="1:34" s="587" customFormat="1" ht="54.95" customHeight="1" thickBot="1" x14ac:dyDescent="0.25">
      <c r="A1505" s="584"/>
      <c r="B1505" s="585" t="s">
        <v>36</v>
      </c>
      <c r="C1505" s="455" t="s">
        <v>37</v>
      </c>
      <c r="D1505" s="456" t="s">
        <v>1736</v>
      </c>
      <c r="E1505" s="456"/>
      <c r="F1505" s="457">
        <v>7090001</v>
      </c>
      <c r="G1505" s="457" t="s">
        <v>39</v>
      </c>
      <c r="H1505" s="458">
        <f>2900+616.5</f>
        <v>3516.5</v>
      </c>
      <c r="I1505" s="459"/>
      <c r="J1505" s="460">
        <v>39331</v>
      </c>
      <c r="K1505" s="461">
        <v>113</v>
      </c>
      <c r="L1505" s="462">
        <f t="shared" si="8"/>
        <v>39444</v>
      </c>
      <c r="M1505" s="460" t="s">
        <v>41</v>
      </c>
      <c r="N1505" s="457" t="s">
        <v>1750</v>
      </c>
      <c r="O1505" s="460">
        <v>39346</v>
      </c>
      <c r="P1505" s="461">
        <f t="shared" si="6"/>
        <v>-78</v>
      </c>
      <c r="Q1505" s="457" t="s">
        <v>1740</v>
      </c>
      <c r="R1505" s="463"/>
      <c r="S1505" s="464">
        <v>39366</v>
      </c>
      <c r="T1505" s="464">
        <v>39374</v>
      </c>
      <c r="U1505" s="461">
        <f t="shared" si="7"/>
        <v>43</v>
      </c>
      <c r="V1505" s="468" t="s">
        <v>1754</v>
      </c>
      <c r="W1505" s="493">
        <v>256</v>
      </c>
      <c r="X1505" s="467"/>
      <c r="Y1505" s="467"/>
      <c r="Z1505" s="457">
        <v>6651418255</v>
      </c>
      <c r="AA1505" s="457" t="s">
        <v>1742</v>
      </c>
      <c r="AB1505" s="460" t="s">
        <v>1752</v>
      </c>
      <c r="AC1505" s="476" t="s">
        <v>1744</v>
      </c>
      <c r="AD1505" s="645" t="str">
        <f t="shared" si="9"/>
        <v>en término</v>
      </c>
    </row>
    <row r="1506" spans="1:34" s="587" customFormat="1" ht="54.95" customHeight="1" thickBot="1" x14ac:dyDescent="0.25">
      <c r="A1506" s="584"/>
      <c r="B1506" s="585" t="s">
        <v>36</v>
      </c>
      <c r="C1506" s="455" t="s">
        <v>37</v>
      </c>
      <c r="D1506" s="456" t="s">
        <v>1755</v>
      </c>
      <c r="E1506" s="457" t="s">
        <v>1756</v>
      </c>
      <c r="F1506" s="457">
        <v>7080002</v>
      </c>
      <c r="G1506" s="457" t="s">
        <v>39</v>
      </c>
      <c r="H1506" s="458">
        <v>380</v>
      </c>
      <c r="I1506" s="459" t="s">
        <v>40</v>
      </c>
      <c r="J1506" s="460">
        <v>39310</v>
      </c>
      <c r="K1506" s="461">
        <v>30</v>
      </c>
      <c r="L1506" s="462">
        <f t="shared" si="8"/>
        <v>39340</v>
      </c>
      <c r="M1506" s="460" t="s">
        <v>41</v>
      </c>
      <c r="N1506" s="457" t="s">
        <v>1750</v>
      </c>
      <c r="O1506" s="460">
        <v>39346</v>
      </c>
      <c r="P1506" s="461">
        <f t="shared" si="6"/>
        <v>26</v>
      </c>
      <c r="Q1506" s="457" t="s">
        <v>1740</v>
      </c>
      <c r="R1506" s="463"/>
      <c r="S1506" s="464">
        <v>39366</v>
      </c>
      <c r="T1506" s="464">
        <v>39374</v>
      </c>
      <c r="U1506" s="461">
        <f t="shared" si="7"/>
        <v>64</v>
      </c>
      <c r="V1506" s="468" t="s">
        <v>1757</v>
      </c>
      <c r="W1506" s="493">
        <v>256</v>
      </c>
      <c r="X1506" s="467"/>
      <c r="Y1506" s="467"/>
      <c r="Z1506" s="457">
        <v>6651418255</v>
      </c>
      <c r="AA1506" s="457" t="s">
        <v>1742</v>
      </c>
      <c r="AB1506" s="460" t="s">
        <v>1752</v>
      </c>
      <c r="AC1506" s="476" t="s">
        <v>1744</v>
      </c>
      <c r="AD1506" s="645" t="str">
        <f t="shared" si="9"/>
        <v>atrasado</v>
      </c>
    </row>
    <row r="1507" spans="1:34" s="587" customFormat="1" ht="54.95" customHeight="1" thickBot="1" x14ac:dyDescent="0.25">
      <c r="A1507" s="584"/>
      <c r="B1507" s="585" t="s">
        <v>36</v>
      </c>
      <c r="C1507" s="455" t="s">
        <v>37</v>
      </c>
      <c r="D1507" s="456" t="s">
        <v>1758</v>
      </c>
      <c r="E1507" s="456"/>
      <c r="F1507" s="457">
        <v>7070005</v>
      </c>
      <c r="G1507" s="457" t="s">
        <v>39</v>
      </c>
      <c r="H1507" s="458">
        <v>7850</v>
      </c>
      <c r="I1507" s="459"/>
      <c r="J1507" s="460">
        <v>39290</v>
      </c>
      <c r="K1507" s="461">
        <v>60</v>
      </c>
      <c r="L1507" s="462">
        <f t="shared" si="8"/>
        <v>39350</v>
      </c>
      <c r="M1507" s="460" t="s">
        <v>41</v>
      </c>
      <c r="N1507" s="457" t="s">
        <v>1750</v>
      </c>
      <c r="O1507" s="460">
        <v>39346</v>
      </c>
      <c r="P1507" s="461">
        <f t="shared" si="6"/>
        <v>16</v>
      </c>
      <c r="Q1507" s="457" t="s">
        <v>1740</v>
      </c>
      <c r="R1507" s="463"/>
      <c r="S1507" s="464">
        <v>39366</v>
      </c>
      <c r="T1507" s="464">
        <v>39374</v>
      </c>
      <c r="U1507" s="461">
        <f t="shared" si="7"/>
        <v>84</v>
      </c>
      <c r="V1507" s="468" t="s">
        <v>1759</v>
      </c>
      <c r="W1507" s="493">
        <v>256</v>
      </c>
      <c r="X1507" s="467"/>
      <c r="Y1507" s="467"/>
      <c r="Z1507" s="457">
        <v>6651418255</v>
      </c>
      <c r="AA1507" s="457" t="s">
        <v>1742</v>
      </c>
      <c r="AB1507" s="460" t="s">
        <v>1752</v>
      </c>
      <c r="AC1507" s="476" t="s">
        <v>1744</v>
      </c>
      <c r="AD1507" s="645" t="str">
        <f t="shared" si="9"/>
        <v>atrasado</v>
      </c>
    </row>
    <row r="1508" spans="1:34" s="587" customFormat="1" ht="54.95" customHeight="1" thickBot="1" x14ac:dyDescent="0.25">
      <c r="A1508" s="584"/>
      <c r="B1508" s="585" t="s">
        <v>36</v>
      </c>
      <c r="C1508" s="455" t="s">
        <v>37</v>
      </c>
      <c r="D1508" s="456" t="s">
        <v>1723</v>
      </c>
      <c r="E1508" s="456"/>
      <c r="F1508" s="457">
        <v>7050006</v>
      </c>
      <c r="G1508" s="457" t="s">
        <v>39</v>
      </c>
      <c r="H1508" s="458">
        <v>6414.33</v>
      </c>
      <c r="I1508" s="459" t="s">
        <v>52</v>
      </c>
      <c r="J1508" s="460">
        <v>39224</v>
      </c>
      <c r="K1508" s="461">
        <v>90</v>
      </c>
      <c r="L1508" s="462">
        <f t="shared" si="8"/>
        <v>39314</v>
      </c>
      <c r="M1508" s="460" t="s">
        <v>41</v>
      </c>
      <c r="N1508" s="457" t="s">
        <v>1750</v>
      </c>
      <c r="O1508" s="460">
        <v>39346</v>
      </c>
      <c r="P1508" s="461">
        <f t="shared" si="6"/>
        <v>52</v>
      </c>
      <c r="Q1508" s="457" t="s">
        <v>1740</v>
      </c>
      <c r="R1508" s="463"/>
      <c r="S1508" s="464">
        <v>39366</v>
      </c>
      <c r="T1508" s="464">
        <v>39374</v>
      </c>
      <c r="U1508" s="461">
        <f t="shared" si="7"/>
        <v>150</v>
      </c>
      <c r="V1508" s="468" t="s">
        <v>1760</v>
      </c>
      <c r="W1508" s="493">
        <v>256</v>
      </c>
      <c r="X1508" s="467"/>
      <c r="Y1508" s="467"/>
      <c r="Z1508" s="457">
        <v>6651418255</v>
      </c>
      <c r="AA1508" s="457" t="s">
        <v>1746</v>
      </c>
      <c r="AB1508" s="460" t="s">
        <v>1752</v>
      </c>
      <c r="AC1508" s="476" t="s">
        <v>1744</v>
      </c>
      <c r="AD1508" s="645" t="str">
        <f t="shared" si="9"/>
        <v>atrasado</v>
      </c>
    </row>
    <row r="1509" spans="1:34" s="587" customFormat="1" ht="54.95" customHeight="1" thickBot="1" x14ac:dyDescent="0.25">
      <c r="A1509" s="584"/>
      <c r="B1509" s="585" t="s">
        <v>36</v>
      </c>
      <c r="C1509" s="455" t="s">
        <v>37</v>
      </c>
      <c r="D1509" s="456" t="s">
        <v>1761</v>
      </c>
      <c r="E1509" s="457" t="s">
        <v>1762</v>
      </c>
      <c r="F1509" s="457">
        <v>7060005</v>
      </c>
      <c r="G1509" s="457" t="s">
        <v>39</v>
      </c>
      <c r="H1509" s="458">
        <v>5060</v>
      </c>
      <c r="I1509" s="459"/>
      <c r="J1509" s="460">
        <v>39256</v>
      </c>
      <c r="K1509" s="461">
        <v>70</v>
      </c>
      <c r="L1509" s="462">
        <f t="shared" si="8"/>
        <v>39326</v>
      </c>
      <c r="M1509" s="460" t="s">
        <v>41</v>
      </c>
      <c r="N1509" s="457" t="s">
        <v>1750</v>
      </c>
      <c r="O1509" s="460">
        <v>39346</v>
      </c>
      <c r="P1509" s="461">
        <f t="shared" si="6"/>
        <v>40</v>
      </c>
      <c r="Q1509" s="457" t="s">
        <v>1740</v>
      </c>
      <c r="R1509" s="463"/>
      <c r="S1509" s="464">
        <v>39366</v>
      </c>
      <c r="T1509" s="464">
        <v>39374</v>
      </c>
      <c r="U1509" s="461">
        <f t="shared" si="7"/>
        <v>118</v>
      </c>
      <c r="V1509" s="468" t="s">
        <v>119</v>
      </c>
      <c r="W1509" s="493">
        <v>256</v>
      </c>
      <c r="X1509" s="467"/>
      <c r="Y1509" s="456">
        <v>39338</v>
      </c>
      <c r="Z1509" s="457">
        <v>6651418255</v>
      </c>
      <c r="AA1509" s="457" t="s">
        <v>1742</v>
      </c>
      <c r="AB1509" s="460" t="s">
        <v>1752</v>
      </c>
      <c r="AC1509" s="476" t="s">
        <v>1744</v>
      </c>
      <c r="AD1509" s="645" t="str">
        <f t="shared" si="9"/>
        <v>atrasado</v>
      </c>
    </row>
    <row r="1510" spans="1:34" s="587" customFormat="1" ht="54.95" customHeight="1" thickBot="1" x14ac:dyDescent="0.25">
      <c r="A1510" s="584"/>
      <c r="B1510" s="585" t="s">
        <v>36</v>
      </c>
      <c r="C1510" s="455" t="s">
        <v>37</v>
      </c>
      <c r="D1510" s="456" t="s">
        <v>1763</v>
      </c>
      <c r="E1510" s="457" t="s">
        <v>1764</v>
      </c>
      <c r="F1510" s="457">
        <v>7100002</v>
      </c>
      <c r="G1510" s="457" t="s">
        <v>39</v>
      </c>
      <c r="H1510" s="458">
        <v>303</v>
      </c>
      <c r="I1510" s="459" t="s">
        <v>142</v>
      </c>
      <c r="J1510" s="460">
        <v>39353</v>
      </c>
      <c r="K1510" s="461">
        <v>30</v>
      </c>
      <c r="L1510" s="462">
        <f t="shared" si="8"/>
        <v>39383</v>
      </c>
      <c r="M1510" s="460" t="s">
        <v>41</v>
      </c>
      <c r="N1510" s="457" t="s">
        <v>110</v>
      </c>
      <c r="O1510" s="460">
        <v>39360</v>
      </c>
      <c r="P1510" s="461">
        <f t="shared" si="6"/>
        <v>-18</v>
      </c>
      <c r="Q1510" s="461"/>
      <c r="R1510" s="463"/>
      <c r="S1510" s="464">
        <v>39365</v>
      </c>
      <c r="T1510" s="464">
        <v>39367</v>
      </c>
      <c r="U1510" s="461">
        <f t="shared" si="7"/>
        <v>14</v>
      </c>
      <c r="V1510" s="468" t="s">
        <v>53</v>
      </c>
      <c r="W1510" s="493">
        <v>258</v>
      </c>
      <c r="X1510" s="467"/>
      <c r="Y1510" s="467"/>
      <c r="Z1510" s="457" t="s">
        <v>1765</v>
      </c>
      <c r="AA1510" s="457" t="s">
        <v>1766</v>
      </c>
      <c r="AB1510" s="589" t="s">
        <v>1767</v>
      </c>
      <c r="AC1510" s="476" t="s">
        <v>1768</v>
      </c>
      <c r="AD1510" s="10" t="str">
        <f t="shared" si="9"/>
        <v>en término</v>
      </c>
      <c r="AE1510" s="412"/>
      <c r="AG1510" s="590"/>
      <c r="AH1510" s="629"/>
    </row>
    <row r="1511" spans="1:34" s="587" customFormat="1" ht="54.95" customHeight="1" thickBot="1" x14ac:dyDescent="0.25">
      <c r="A1511" s="584"/>
      <c r="B1511" s="585" t="s">
        <v>36</v>
      </c>
      <c r="C1511" s="455" t="s">
        <v>133</v>
      </c>
      <c r="D1511" s="456" t="s">
        <v>1663</v>
      </c>
      <c r="E1511" s="457" t="s">
        <v>1664</v>
      </c>
      <c r="F1511" s="457">
        <v>4501590872</v>
      </c>
      <c r="G1511" s="457" t="s">
        <v>39</v>
      </c>
      <c r="H1511" s="458">
        <v>20681.07</v>
      </c>
      <c r="I1511" s="459" t="s">
        <v>142</v>
      </c>
      <c r="J1511" s="460">
        <v>39219</v>
      </c>
      <c r="K1511" s="461">
        <v>126</v>
      </c>
      <c r="L1511" s="462">
        <f t="shared" si="8"/>
        <v>39345</v>
      </c>
      <c r="M1511" s="460" t="s">
        <v>41</v>
      </c>
      <c r="N1511" s="457" t="s">
        <v>1748</v>
      </c>
      <c r="O1511" s="460">
        <v>39365</v>
      </c>
      <c r="P1511" s="461">
        <f t="shared" si="6"/>
        <v>30</v>
      </c>
      <c r="Q1511" s="460" t="s">
        <v>1769</v>
      </c>
      <c r="R1511" s="463">
        <v>39370</v>
      </c>
      <c r="S1511" s="464">
        <v>39375</v>
      </c>
      <c r="T1511" s="464">
        <v>39386</v>
      </c>
      <c r="U1511" s="461">
        <f t="shared" si="7"/>
        <v>167</v>
      </c>
      <c r="V1511" s="468" t="s">
        <v>1770</v>
      </c>
      <c r="W1511" s="493">
        <v>259</v>
      </c>
      <c r="X1511" s="457" t="s">
        <v>47</v>
      </c>
      <c r="Y1511" s="457" t="s">
        <v>1771</v>
      </c>
      <c r="Z1511" s="457">
        <v>6651418266</v>
      </c>
      <c r="AA1511" s="457" t="s">
        <v>1746</v>
      </c>
      <c r="AB1511" s="589" t="s">
        <v>1772</v>
      </c>
      <c r="AC1511" s="476" t="s">
        <v>1773</v>
      </c>
      <c r="AD1511" s="10" t="str">
        <f t="shared" si="9"/>
        <v>atrasado</v>
      </c>
      <c r="AE1511" s="412"/>
      <c r="AF1511" s="593"/>
    </row>
    <row r="1512" spans="1:34" s="587" customFormat="1" ht="54.95" customHeight="1" thickBot="1" x14ac:dyDescent="0.25">
      <c r="A1512" s="584"/>
      <c r="B1512" s="585" t="s">
        <v>36</v>
      </c>
      <c r="C1512" s="455" t="s">
        <v>133</v>
      </c>
      <c r="D1512" s="456" t="s">
        <v>1663</v>
      </c>
      <c r="E1512" s="457" t="s">
        <v>1664</v>
      </c>
      <c r="F1512" s="457">
        <v>4501693931</v>
      </c>
      <c r="G1512" s="457" t="s">
        <v>39</v>
      </c>
      <c r="H1512" s="458">
        <v>117425</v>
      </c>
      <c r="I1512" s="459" t="s">
        <v>40</v>
      </c>
      <c r="J1512" s="460">
        <v>39282</v>
      </c>
      <c r="K1512" s="461">
        <v>98</v>
      </c>
      <c r="L1512" s="462">
        <f t="shared" si="8"/>
        <v>39380</v>
      </c>
      <c r="M1512" s="460" t="s">
        <v>41</v>
      </c>
      <c r="N1512" s="457" t="s">
        <v>1748</v>
      </c>
      <c r="O1512" s="460">
        <v>39374</v>
      </c>
      <c r="P1512" s="461">
        <f t="shared" si="6"/>
        <v>10</v>
      </c>
      <c r="Q1512" s="457" t="s">
        <v>1774</v>
      </c>
      <c r="R1512" s="463">
        <v>39388</v>
      </c>
      <c r="S1512" s="464">
        <v>39390</v>
      </c>
      <c r="T1512" s="464">
        <v>39399</v>
      </c>
      <c r="U1512" s="461">
        <f t="shared" si="7"/>
        <v>117</v>
      </c>
      <c r="V1512" s="468" t="s">
        <v>1775</v>
      </c>
      <c r="W1512" s="493">
        <v>262</v>
      </c>
      <c r="X1512" s="457" t="s">
        <v>47</v>
      </c>
      <c r="Y1512" s="457" t="s">
        <v>1771</v>
      </c>
      <c r="Z1512" s="457">
        <v>6651418292</v>
      </c>
      <c r="AA1512" s="468" t="s">
        <v>1776</v>
      </c>
      <c r="AB1512" s="468" t="s">
        <v>1777</v>
      </c>
      <c r="AC1512" s="470" t="s">
        <v>1778</v>
      </c>
      <c r="AD1512" s="10" t="str">
        <f t="shared" si="9"/>
        <v>atrasado</v>
      </c>
      <c r="AE1512" s="412"/>
    </row>
    <row r="1513" spans="1:34" s="587" customFormat="1" ht="54.95" customHeight="1" thickBot="1" x14ac:dyDescent="0.25">
      <c r="A1513" s="584"/>
      <c r="B1513" s="585" t="s">
        <v>36</v>
      </c>
      <c r="C1513" s="455" t="s">
        <v>37</v>
      </c>
      <c r="D1513" s="456" t="s">
        <v>1779</v>
      </c>
      <c r="E1513" s="457" t="s">
        <v>1780</v>
      </c>
      <c r="F1513" s="457">
        <v>7060004</v>
      </c>
      <c r="G1513" s="457" t="s">
        <v>39</v>
      </c>
      <c r="H1513" s="458">
        <v>139860</v>
      </c>
      <c r="I1513" s="459" t="s">
        <v>40</v>
      </c>
      <c r="J1513" s="460">
        <v>39256</v>
      </c>
      <c r="K1513" s="461">
        <v>176</v>
      </c>
      <c r="L1513" s="462">
        <f t="shared" si="8"/>
        <v>39432</v>
      </c>
      <c r="M1513" s="460" t="s">
        <v>41</v>
      </c>
      <c r="N1513" s="457" t="s">
        <v>1750</v>
      </c>
      <c r="O1513" s="460">
        <v>39374</v>
      </c>
      <c r="P1513" s="461">
        <f t="shared" si="6"/>
        <v>-42</v>
      </c>
      <c r="Q1513" s="457" t="s">
        <v>1774</v>
      </c>
      <c r="R1513" s="463">
        <v>39388</v>
      </c>
      <c r="S1513" s="464">
        <v>39390</v>
      </c>
      <c r="T1513" s="464">
        <v>39399</v>
      </c>
      <c r="U1513" s="461">
        <f t="shared" si="7"/>
        <v>143</v>
      </c>
      <c r="V1513" s="468" t="s">
        <v>1671</v>
      </c>
      <c r="W1513" s="493">
        <v>261</v>
      </c>
      <c r="X1513" s="467"/>
      <c r="Y1513" s="457" t="s">
        <v>1771</v>
      </c>
      <c r="Z1513" s="457">
        <v>6651418292</v>
      </c>
      <c r="AA1513" s="457" t="s">
        <v>1776</v>
      </c>
      <c r="AB1513" s="460" t="s">
        <v>1752</v>
      </c>
      <c r="AC1513" s="470" t="s">
        <v>1778</v>
      </c>
      <c r="AD1513" s="645" t="str">
        <f t="shared" si="9"/>
        <v>en término</v>
      </c>
    </row>
    <row r="1514" spans="1:34" s="587" customFormat="1" ht="54.95" customHeight="1" thickBot="1" x14ac:dyDescent="0.25">
      <c r="A1514" s="584"/>
      <c r="B1514" s="585" t="s">
        <v>36</v>
      </c>
      <c r="C1514" s="455" t="s">
        <v>37</v>
      </c>
      <c r="D1514" s="456" t="s">
        <v>1781</v>
      </c>
      <c r="E1514" s="457" t="s">
        <v>1782</v>
      </c>
      <c r="F1514" s="457">
        <v>7080001</v>
      </c>
      <c r="G1514" s="457" t="s">
        <v>39</v>
      </c>
      <c r="H1514" s="458">
        <v>78093.460000000006</v>
      </c>
      <c r="I1514" s="459" t="s">
        <v>40</v>
      </c>
      <c r="J1514" s="460">
        <v>39293</v>
      </c>
      <c r="K1514" s="461">
        <v>90</v>
      </c>
      <c r="L1514" s="462">
        <f t="shared" si="8"/>
        <v>39383</v>
      </c>
      <c r="M1514" s="460" t="s">
        <v>41</v>
      </c>
      <c r="N1514" s="457" t="s">
        <v>1750</v>
      </c>
      <c r="O1514" s="460">
        <v>39374</v>
      </c>
      <c r="P1514" s="461">
        <f t="shared" si="6"/>
        <v>7</v>
      </c>
      <c r="Q1514" s="457" t="s">
        <v>1774</v>
      </c>
      <c r="R1514" s="463">
        <v>39388</v>
      </c>
      <c r="S1514" s="464">
        <v>39390</v>
      </c>
      <c r="T1514" s="464">
        <v>39399</v>
      </c>
      <c r="U1514" s="461">
        <f t="shared" si="7"/>
        <v>106</v>
      </c>
      <c r="V1514" s="468" t="s">
        <v>1783</v>
      </c>
      <c r="W1514" s="493">
        <v>261</v>
      </c>
      <c r="X1514" s="467"/>
      <c r="Y1514" s="457" t="s">
        <v>1771</v>
      </c>
      <c r="Z1514" s="457">
        <v>6651418292</v>
      </c>
      <c r="AA1514" s="457" t="s">
        <v>1776</v>
      </c>
      <c r="AB1514" s="460" t="s">
        <v>1752</v>
      </c>
      <c r="AC1514" s="470" t="s">
        <v>1778</v>
      </c>
      <c r="AD1514" s="645" t="str">
        <f t="shared" si="9"/>
        <v>atrasado</v>
      </c>
    </row>
    <row r="1515" spans="1:34" s="587" customFormat="1" ht="54.95" customHeight="1" thickBot="1" x14ac:dyDescent="0.25">
      <c r="A1515" s="584"/>
      <c r="B1515" s="585" t="s">
        <v>36</v>
      </c>
      <c r="C1515" s="455" t="s">
        <v>37</v>
      </c>
      <c r="D1515" s="456" t="s">
        <v>1784</v>
      </c>
      <c r="E1515" s="456"/>
      <c r="F1515" s="457">
        <v>7090002</v>
      </c>
      <c r="G1515" s="457" t="s">
        <v>39</v>
      </c>
      <c r="H1515" s="458">
        <v>19150</v>
      </c>
      <c r="I1515" s="459"/>
      <c r="J1515" s="460">
        <v>39331</v>
      </c>
      <c r="K1515" s="461">
        <v>60</v>
      </c>
      <c r="L1515" s="462">
        <f t="shared" si="8"/>
        <v>39391</v>
      </c>
      <c r="M1515" s="460" t="s">
        <v>41</v>
      </c>
      <c r="N1515" s="457" t="s">
        <v>1750</v>
      </c>
      <c r="O1515" s="460">
        <v>39374</v>
      </c>
      <c r="P1515" s="461">
        <f t="shared" si="6"/>
        <v>-1</v>
      </c>
      <c r="Q1515" s="457" t="s">
        <v>1774</v>
      </c>
      <c r="R1515" s="463">
        <v>39388</v>
      </c>
      <c r="S1515" s="464">
        <v>39390</v>
      </c>
      <c r="T1515" s="464">
        <v>39399</v>
      </c>
      <c r="U1515" s="461">
        <f t="shared" si="7"/>
        <v>68</v>
      </c>
      <c r="V1515" s="468" t="s">
        <v>1785</v>
      </c>
      <c r="W1515" s="493">
        <v>261</v>
      </c>
      <c r="X1515" s="467"/>
      <c r="Y1515" s="467"/>
      <c r="Z1515" s="457">
        <v>6651418292</v>
      </c>
      <c r="AA1515" s="457" t="s">
        <v>1776</v>
      </c>
      <c r="AB1515" s="460" t="s">
        <v>1752</v>
      </c>
      <c r="AC1515" s="470" t="s">
        <v>1778</v>
      </c>
      <c r="AD1515" s="645" t="str">
        <f t="shared" si="9"/>
        <v>en término</v>
      </c>
    </row>
    <row r="1516" spans="1:34" s="587" customFormat="1" ht="54.95" customHeight="1" thickBot="1" x14ac:dyDescent="0.25">
      <c r="A1516" s="584"/>
      <c r="B1516" s="585" t="s">
        <v>36</v>
      </c>
      <c r="C1516" s="455" t="s">
        <v>133</v>
      </c>
      <c r="D1516" s="456" t="s">
        <v>1663</v>
      </c>
      <c r="E1516" s="457" t="s">
        <v>1664</v>
      </c>
      <c r="F1516" s="457">
        <v>4501656095</v>
      </c>
      <c r="G1516" s="457" t="s">
        <v>39</v>
      </c>
      <c r="H1516" s="458">
        <v>616.70000000000005</v>
      </c>
      <c r="I1516" s="459" t="s">
        <v>142</v>
      </c>
      <c r="J1516" s="460">
        <v>39260</v>
      </c>
      <c r="K1516" s="461">
        <v>119</v>
      </c>
      <c r="L1516" s="462">
        <f t="shared" si="8"/>
        <v>39379</v>
      </c>
      <c r="M1516" s="460" t="s">
        <v>41</v>
      </c>
      <c r="N1516" s="457" t="s">
        <v>1748</v>
      </c>
      <c r="O1516" s="460">
        <v>39346</v>
      </c>
      <c r="P1516" s="461">
        <f t="shared" si="6"/>
        <v>16</v>
      </c>
      <c r="Q1516" s="457" t="s">
        <v>1769</v>
      </c>
      <c r="R1516" s="463">
        <v>39392</v>
      </c>
      <c r="S1516" s="464">
        <v>39395</v>
      </c>
      <c r="T1516" s="464">
        <f>+S1516+10</f>
        <v>39405</v>
      </c>
      <c r="U1516" s="461">
        <f t="shared" si="7"/>
        <v>145</v>
      </c>
      <c r="V1516" s="468" t="s">
        <v>1786</v>
      </c>
      <c r="W1516" s="493">
        <v>268</v>
      </c>
      <c r="X1516" s="457" t="s">
        <v>47</v>
      </c>
      <c r="Y1516" s="467"/>
      <c r="Z1516" s="457">
        <v>6651418281</v>
      </c>
      <c r="AA1516" s="457" t="s">
        <v>1787</v>
      </c>
      <c r="AB1516" s="589" t="s">
        <v>1788</v>
      </c>
      <c r="AC1516" s="476" t="s">
        <v>1744</v>
      </c>
      <c r="AD1516" s="10" t="str">
        <f t="shared" si="9"/>
        <v>atrasado</v>
      </c>
      <c r="AE1516" s="412"/>
    </row>
    <row r="1517" spans="1:34" s="587" customFormat="1" ht="54.95" customHeight="1" thickBot="1" x14ac:dyDescent="0.25">
      <c r="A1517" s="584"/>
      <c r="B1517" s="585" t="s">
        <v>36</v>
      </c>
      <c r="C1517" s="455" t="s">
        <v>37</v>
      </c>
      <c r="D1517" s="456" t="s">
        <v>1789</v>
      </c>
      <c r="E1517" s="457" t="s">
        <v>1790</v>
      </c>
      <c r="F1517" s="457">
        <v>7080005</v>
      </c>
      <c r="G1517" s="457" t="s">
        <v>39</v>
      </c>
      <c r="H1517" s="458">
        <v>78915.179999999993</v>
      </c>
      <c r="I1517" s="459" t="s">
        <v>40</v>
      </c>
      <c r="J1517" s="460">
        <v>39310</v>
      </c>
      <c r="K1517" s="461">
        <v>90</v>
      </c>
      <c r="L1517" s="462">
        <f t="shared" si="8"/>
        <v>39400</v>
      </c>
      <c r="M1517" s="460" t="s">
        <v>41</v>
      </c>
      <c r="N1517" s="457" t="s">
        <v>1750</v>
      </c>
      <c r="O1517" s="460">
        <v>39388</v>
      </c>
      <c r="P1517" s="461">
        <f t="shared" si="6"/>
        <v>-5</v>
      </c>
      <c r="Q1517" s="457" t="s">
        <v>1769</v>
      </c>
      <c r="R1517" s="463">
        <v>39392</v>
      </c>
      <c r="S1517" s="464">
        <v>39395</v>
      </c>
      <c r="T1517" s="464">
        <v>39409</v>
      </c>
      <c r="U1517" s="461">
        <f t="shared" si="7"/>
        <v>99</v>
      </c>
      <c r="V1517" s="468" t="s">
        <v>1791</v>
      </c>
      <c r="W1517" s="493">
        <v>265</v>
      </c>
      <c r="X1517" s="467"/>
      <c r="Y1517" s="456">
        <v>39386</v>
      </c>
      <c r="Z1517" s="457">
        <v>6651418281</v>
      </c>
      <c r="AA1517" s="457" t="s">
        <v>1792</v>
      </c>
      <c r="AB1517" s="460" t="s">
        <v>1752</v>
      </c>
      <c r="AC1517" s="470"/>
      <c r="AD1517" s="645" t="str">
        <f t="shared" si="9"/>
        <v>en término</v>
      </c>
    </row>
    <row r="1518" spans="1:34" s="587" customFormat="1" ht="54.95" customHeight="1" thickBot="1" x14ac:dyDescent="0.25">
      <c r="A1518" s="584"/>
      <c r="B1518" s="585" t="s">
        <v>36</v>
      </c>
      <c r="C1518" s="455" t="s">
        <v>133</v>
      </c>
      <c r="D1518" s="456" t="s">
        <v>1663</v>
      </c>
      <c r="E1518" s="457" t="s">
        <v>1664</v>
      </c>
      <c r="F1518" s="457">
        <v>4501741667</v>
      </c>
      <c r="G1518" s="457" t="s">
        <v>39</v>
      </c>
      <c r="H1518" s="458">
        <v>86850.39</v>
      </c>
      <c r="I1518" s="459" t="s">
        <v>40</v>
      </c>
      <c r="J1518" s="460">
        <v>39310</v>
      </c>
      <c r="K1518" s="461">
        <v>102</v>
      </c>
      <c r="L1518" s="462">
        <f t="shared" si="8"/>
        <v>39412</v>
      </c>
      <c r="M1518" s="460" t="s">
        <v>41</v>
      </c>
      <c r="N1518" s="457" t="s">
        <v>1748</v>
      </c>
      <c r="O1518" s="460">
        <v>39388</v>
      </c>
      <c r="P1518" s="461">
        <f t="shared" si="6"/>
        <v>-17</v>
      </c>
      <c r="Q1518" s="457" t="s">
        <v>1769</v>
      </c>
      <c r="R1518" s="463">
        <v>39392</v>
      </c>
      <c r="S1518" s="464">
        <v>39395</v>
      </c>
      <c r="T1518" s="464">
        <v>39409</v>
      </c>
      <c r="U1518" s="461">
        <f t="shared" si="7"/>
        <v>99</v>
      </c>
      <c r="V1518" s="468" t="s">
        <v>1322</v>
      </c>
      <c r="W1518" s="493">
        <v>266</v>
      </c>
      <c r="X1518" s="457" t="s">
        <v>47</v>
      </c>
      <c r="Y1518" s="456">
        <v>39386</v>
      </c>
      <c r="Z1518" s="457">
        <v>6651418281</v>
      </c>
      <c r="AA1518" s="457" t="s">
        <v>1793</v>
      </c>
      <c r="AB1518" s="460" t="s">
        <v>1794</v>
      </c>
      <c r="AC1518" s="470"/>
      <c r="AD1518" s="10" t="str">
        <f t="shared" si="9"/>
        <v>en término</v>
      </c>
      <c r="AE1518" s="412"/>
    </row>
    <row r="1519" spans="1:34" s="587" customFormat="1" ht="54.95" customHeight="1" thickBot="1" x14ac:dyDescent="0.25">
      <c r="A1519" s="584"/>
      <c r="B1519" s="585" t="s">
        <v>36</v>
      </c>
      <c r="C1519" s="455" t="s">
        <v>133</v>
      </c>
      <c r="D1519" s="456" t="s">
        <v>1663</v>
      </c>
      <c r="E1519" s="457" t="s">
        <v>1664</v>
      </c>
      <c r="F1519" s="457">
        <v>4501743373</v>
      </c>
      <c r="G1519" s="457" t="s">
        <v>39</v>
      </c>
      <c r="H1519" s="458">
        <v>11678.03</v>
      </c>
      <c r="I1519" s="459" t="s">
        <v>52</v>
      </c>
      <c r="J1519" s="460">
        <v>39311</v>
      </c>
      <c r="K1519" s="461">
        <v>104</v>
      </c>
      <c r="L1519" s="462">
        <f t="shared" si="8"/>
        <v>39415</v>
      </c>
      <c r="M1519" s="460" t="s">
        <v>41</v>
      </c>
      <c r="N1519" s="457" t="s">
        <v>1748</v>
      </c>
      <c r="O1519" s="460">
        <v>39388</v>
      </c>
      <c r="P1519" s="461">
        <f t="shared" si="6"/>
        <v>-20</v>
      </c>
      <c r="Q1519" s="457" t="s">
        <v>1769</v>
      </c>
      <c r="R1519" s="463">
        <v>39392</v>
      </c>
      <c r="S1519" s="464">
        <v>39395</v>
      </c>
      <c r="T1519" s="464">
        <v>39409</v>
      </c>
      <c r="U1519" s="461">
        <f t="shared" si="7"/>
        <v>98</v>
      </c>
      <c r="V1519" s="468" t="s">
        <v>1795</v>
      </c>
      <c r="W1519" s="493">
        <v>267</v>
      </c>
      <c r="X1519" s="457" t="s">
        <v>47</v>
      </c>
      <c r="Y1519" s="456">
        <v>39386</v>
      </c>
      <c r="Z1519" s="457">
        <v>6651418281</v>
      </c>
      <c r="AA1519" s="457" t="s">
        <v>1793</v>
      </c>
      <c r="AB1519" s="460" t="s">
        <v>1796</v>
      </c>
      <c r="AC1519" s="470"/>
      <c r="AD1519" s="10" t="str">
        <f t="shared" si="9"/>
        <v>en término</v>
      </c>
      <c r="AE1519" s="412"/>
    </row>
    <row r="1520" spans="1:34" s="587" customFormat="1" ht="54.95" customHeight="1" thickBot="1" x14ac:dyDescent="0.25">
      <c r="A1520" s="584"/>
      <c r="B1520" s="585" t="s">
        <v>36</v>
      </c>
      <c r="C1520" s="455" t="s">
        <v>133</v>
      </c>
      <c r="D1520" s="456" t="s">
        <v>1663</v>
      </c>
      <c r="E1520" s="457" t="s">
        <v>1664</v>
      </c>
      <c r="F1520" s="457">
        <v>4501681660</v>
      </c>
      <c r="G1520" s="457" t="s">
        <v>39</v>
      </c>
      <c r="H1520" s="458">
        <v>1012</v>
      </c>
      <c r="I1520" s="459" t="s">
        <v>142</v>
      </c>
      <c r="J1520" s="460">
        <v>39274</v>
      </c>
      <c r="K1520" s="461">
        <v>106</v>
      </c>
      <c r="L1520" s="462">
        <f t="shared" si="8"/>
        <v>39380</v>
      </c>
      <c r="M1520" s="460" t="s">
        <v>41</v>
      </c>
      <c r="N1520" s="457" t="s">
        <v>110</v>
      </c>
      <c r="O1520" s="460">
        <v>39402</v>
      </c>
      <c r="P1520" s="461">
        <f t="shared" si="6"/>
        <v>27</v>
      </c>
      <c r="Q1520" s="461" t="s">
        <v>1797</v>
      </c>
      <c r="R1520" s="463"/>
      <c r="S1520" s="464">
        <v>39407</v>
      </c>
      <c r="T1520" s="464">
        <f>+S1520+10</f>
        <v>39417</v>
      </c>
      <c r="U1520" s="461">
        <f t="shared" si="7"/>
        <v>143</v>
      </c>
      <c r="V1520" s="468" t="s">
        <v>1798</v>
      </c>
      <c r="W1520" s="493">
        <v>269</v>
      </c>
      <c r="X1520" s="457" t="s">
        <v>47</v>
      </c>
      <c r="Y1520" s="467"/>
      <c r="Z1520" s="457" t="s">
        <v>1676</v>
      </c>
      <c r="AA1520" s="468" t="s">
        <v>1799</v>
      </c>
      <c r="AB1520" s="589" t="s">
        <v>1800</v>
      </c>
      <c r="AC1520" s="476" t="s">
        <v>1801</v>
      </c>
      <c r="AD1520" s="10" t="str">
        <f t="shared" si="9"/>
        <v>atrasado</v>
      </c>
      <c r="AE1520" s="412"/>
      <c r="AG1520" s="590"/>
      <c r="AH1520" s="590"/>
    </row>
    <row r="1521" spans="1:31" s="587" customFormat="1" ht="54.95" customHeight="1" thickBot="1" x14ac:dyDescent="0.25">
      <c r="A1521" s="584"/>
      <c r="B1521" s="585" t="s">
        <v>36</v>
      </c>
      <c r="C1521" s="455" t="s">
        <v>133</v>
      </c>
      <c r="D1521" s="456" t="s">
        <v>1802</v>
      </c>
      <c r="E1521" s="457" t="s">
        <v>1803</v>
      </c>
      <c r="F1521" s="457">
        <v>4501856775</v>
      </c>
      <c r="G1521" s="457" t="s">
        <v>39</v>
      </c>
      <c r="H1521" s="458">
        <v>8432.24</v>
      </c>
      <c r="I1521" s="459" t="s">
        <v>52</v>
      </c>
      <c r="J1521" s="460">
        <v>39379</v>
      </c>
      <c r="K1521" s="461">
        <v>66</v>
      </c>
      <c r="L1521" s="462">
        <f t="shared" si="8"/>
        <v>39445</v>
      </c>
      <c r="M1521" s="460" t="s">
        <v>41</v>
      </c>
      <c r="N1521" s="457" t="s">
        <v>42</v>
      </c>
      <c r="O1521" s="460">
        <v>39413</v>
      </c>
      <c r="P1521" s="461">
        <f t="shared" si="6"/>
        <v>-29</v>
      </c>
      <c r="Q1521" s="461" t="s">
        <v>1804</v>
      </c>
      <c r="R1521" s="463">
        <v>39416</v>
      </c>
      <c r="S1521" s="464">
        <v>39416</v>
      </c>
      <c r="T1521" s="464">
        <v>39434</v>
      </c>
      <c r="U1521" s="461">
        <f t="shared" si="7"/>
        <v>55</v>
      </c>
      <c r="V1521" s="468" t="s">
        <v>1805</v>
      </c>
      <c r="W1521" s="493">
        <v>275</v>
      </c>
      <c r="X1521" s="457" t="s">
        <v>47</v>
      </c>
      <c r="Y1521" s="467"/>
      <c r="Z1521" s="457">
        <v>6656530005</v>
      </c>
      <c r="AA1521" s="457" t="s">
        <v>1806</v>
      </c>
      <c r="AB1521" s="460" t="s">
        <v>1807</v>
      </c>
      <c r="AC1521" s="470"/>
      <c r="AD1521" s="10" t="str">
        <f t="shared" si="9"/>
        <v>en término</v>
      </c>
      <c r="AE1521" s="412"/>
    </row>
    <row r="1522" spans="1:31" s="587" customFormat="1" ht="54.95" customHeight="1" thickBot="1" x14ac:dyDescent="0.25">
      <c r="A1522" s="584"/>
      <c r="B1522" s="585" t="s">
        <v>36</v>
      </c>
      <c r="C1522" s="455" t="s">
        <v>133</v>
      </c>
      <c r="D1522" s="456" t="s">
        <v>1663</v>
      </c>
      <c r="E1522" s="457" t="s">
        <v>1664</v>
      </c>
      <c r="F1522" s="457">
        <v>4501808848</v>
      </c>
      <c r="G1522" s="457" t="s">
        <v>39</v>
      </c>
      <c r="H1522" s="458">
        <v>7764.87</v>
      </c>
      <c r="I1522" s="459" t="s">
        <v>142</v>
      </c>
      <c r="J1522" s="460">
        <v>39351</v>
      </c>
      <c r="K1522" s="461">
        <v>102</v>
      </c>
      <c r="L1522" s="462">
        <f t="shared" si="8"/>
        <v>39453</v>
      </c>
      <c r="M1522" s="460" t="s">
        <v>41</v>
      </c>
      <c r="N1522" s="457" t="s">
        <v>1748</v>
      </c>
      <c r="O1522" s="460">
        <v>39413</v>
      </c>
      <c r="P1522" s="461">
        <f t="shared" si="6"/>
        <v>-37</v>
      </c>
      <c r="Q1522" s="461" t="s">
        <v>1804</v>
      </c>
      <c r="R1522" s="463">
        <v>39416</v>
      </c>
      <c r="S1522" s="464">
        <v>39416</v>
      </c>
      <c r="T1522" s="464">
        <v>39434</v>
      </c>
      <c r="U1522" s="461">
        <f t="shared" si="7"/>
        <v>83</v>
      </c>
      <c r="V1522" s="468" t="s">
        <v>1808</v>
      </c>
      <c r="W1522" s="493">
        <v>271</v>
      </c>
      <c r="X1522" s="457" t="s">
        <v>47</v>
      </c>
      <c r="Y1522" s="457" t="s">
        <v>1809</v>
      </c>
      <c r="Z1522" s="457">
        <v>6656530005</v>
      </c>
      <c r="AA1522" s="457" t="s">
        <v>1810</v>
      </c>
      <c r="AB1522" s="460" t="s">
        <v>1811</v>
      </c>
      <c r="AC1522" s="470"/>
      <c r="AD1522" s="10" t="str">
        <f t="shared" si="9"/>
        <v>en término</v>
      </c>
      <c r="AE1522" s="412"/>
    </row>
    <row r="1523" spans="1:31" s="587" customFormat="1" ht="54.95" customHeight="1" thickBot="1" x14ac:dyDescent="0.25">
      <c r="A1523" s="584"/>
      <c r="B1523" s="585" t="s">
        <v>36</v>
      </c>
      <c r="C1523" s="455" t="s">
        <v>133</v>
      </c>
      <c r="D1523" s="456" t="s">
        <v>1663</v>
      </c>
      <c r="E1523" s="457" t="s">
        <v>1664</v>
      </c>
      <c r="F1523" s="457">
        <v>4501806419</v>
      </c>
      <c r="G1523" s="457" t="s">
        <v>39</v>
      </c>
      <c r="H1523" s="458">
        <v>26750.7</v>
      </c>
      <c r="I1523" s="459" t="s">
        <v>52</v>
      </c>
      <c r="J1523" s="460">
        <v>39350</v>
      </c>
      <c r="K1523" s="461">
        <v>96</v>
      </c>
      <c r="L1523" s="462">
        <f t="shared" si="8"/>
        <v>39446</v>
      </c>
      <c r="M1523" s="460" t="s">
        <v>41</v>
      </c>
      <c r="N1523" s="457" t="s">
        <v>1748</v>
      </c>
      <c r="O1523" s="460">
        <v>39413</v>
      </c>
      <c r="P1523" s="461">
        <f t="shared" si="6"/>
        <v>-30</v>
      </c>
      <c r="Q1523" s="461" t="s">
        <v>1804</v>
      </c>
      <c r="R1523" s="463">
        <v>39416</v>
      </c>
      <c r="S1523" s="464">
        <v>39416</v>
      </c>
      <c r="T1523" s="464">
        <v>39434</v>
      </c>
      <c r="U1523" s="461">
        <f t="shared" si="7"/>
        <v>84</v>
      </c>
      <c r="V1523" s="468" t="s">
        <v>1812</v>
      </c>
      <c r="W1523" s="493">
        <v>272</v>
      </c>
      <c r="X1523" s="457" t="s">
        <v>47</v>
      </c>
      <c r="Y1523" s="457" t="s">
        <v>1809</v>
      </c>
      <c r="Z1523" s="457">
        <v>6656530005</v>
      </c>
      <c r="AA1523" s="457" t="s">
        <v>1810</v>
      </c>
      <c r="AB1523" s="460" t="s">
        <v>1811</v>
      </c>
      <c r="AC1523" s="470"/>
      <c r="AD1523" s="10" t="str">
        <f t="shared" si="9"/>
        <v>en término</v>
      </c>
      <c r="AE1523" s="412"/>
    </row>
    <row r="1524" spans="1:31" s="587" customFormat="1" ht="54.95" customHeight="1" thickBot="1" x14ac:dyDescent="0.25">
      <c r="A1524" s="584"/>
      <c r="B1524" s="585" t="s">
        <v>36</v>
      </c>
      <c r="C1524" s="455" t="s">
        <v>133</v>
      </c>
      <c r="D1524" s="456" t="s">
        <v>1663</v>
      </c>
      <c r="E1524" s="457" t="s">
        <v>1664</v>
      </c>
      <c r="F1524" s="457">
        <v>4501844821</v>
      </c>
      <c r="G1524" s="457" t="s">
        <v>39</v>
      </c>
      <c r="H1524" s="458">
        <v>1371.61</v>
      </c>
      <c r="I1524" s="459" t="s">
        <v>142</v>
      </c>
      <c r="J1524" s="460">
        <v>39371</v>
      </c>
      <c r="K1524" s="461">
        <v>93</v>
      </c>
      <c r="L1524" s="462">
        <f t="shared" si="8"/>
        <v>39464</v>
      </c>
      <c r="M1524" s="460" t="s">
        <v>41</v>
      </c>
      <c r="N1524" s="457" t="s">
        <v>1748</v>
      </c>
      <c r="O1524" s="460">
        <v>39413</v>
      </c>
      <c r="P1524" s="461">
        <f t="shared" si="6"/>
        <v>-48</v>
      </c>
      <c r="Q1524" s="461" t="s">
        <v>1804</v>
      </c>
      <c r="R1524" s="463">
        <v>39416</v>
      </c>
      <c r="S1524" s="464">
        <v>39416</v>
      </c>
      <c r="T1524" s="464">
        <v>39434</v>
      </c>
      <c r="U1524" s="461">
        <f t="shared" si="7"/>
        <v>63</v>
      </c>
      <c r="V1524" s="468" t="s">
        <v>53</v>
      </c>
      <c r="W1524" s="493">
        <v>277</v>
      </c>
      <c r="X1524" s="457" t="s">
        <v>47</v>
      </c>
      <c r="Y1524" s="467"/>
      <c r="Z1524" s="457">
        <v>6656530005</v>
      </c>
      <c r="AA1524" s="457" t="s">
        <v>1810</v>
      </c>
      <c r="AB1524" s="460" t="s">
        <v>1811</v>
      </c>
      <c r="AC1524" s="470"/>
      <c r="AD1524" s="10" t="str">
        <f t="shared" si="9"/>
        <v>en término</v>
      </c>
      <c r="AE1524" s="412"/>
    </row>
    <row r="1525" spans="1:31" s="587" customFormat="1" ht="54.95" customHeight="1" thickBot="1" x14ac:dyDescent="0.25">
      <c r="A1525" s="584"/>
      <c r="B1525" s="585" t="s">
        <v>36</v>
      </c>
      <c r="C1525" s="455" t="s">
        <v>133</v>
      </c>
      <c r="D1525" s="456" t="s">
        <v>1663</v>
      </c>
      <c r="E1525" s="457" t="s">
        <v>1664</v>
      </c>
      <c r="F1525" s="457">
        <v>4501596029</v>
      </c>
      <c r="G1525" s="457" t="s">
        <v>39</v>
      </c>
      <c r="H1525" s="458">
        <v>68909.39</v>
      </c>
      <c r="I1525" s="459" t="s">
        <v>40</v>
      </c>
      <c r="J1525" s="460">
        <v>39224</v>
      </c>
      <c r="K1525" s="461">
        <v>97</v>
      </c>
      <c r="L1525" s="462">
        <f t="shared" si="8"/>
        <v>39321</v>
      </c>
      <c r="M1525" s="460" t="s">
        <v>41</v>
      </c>
      <c r="N1525" s="457" t="s">
        <v>1748</v>
      </c>
      <c r="O1525" s="460">
        <v>39413</v>
      </c>
      <c r="P1525" s="461">
        <f t="shared" si="6"/>
        <v>95</v>
      </c>
      <c r="Q1525" s="461" t="s">
        <v>1804</v>
      </c>
      <c r="R1525" s="463">
        <v>39416</v>
      </c>
      <c r="S1525" s="464">
        <v>39416</v>
      </c>
      <c r="T1525" s="464">
        <v>39434</v>
      </c>
      <c r="U1525" s="461">
        <f t="shared" si="7"/>
        <v>210</v>
      </c>
      <c r="V1525" s="468" t="s">
        <v>1340</v>
      </c>
      <c r="W1525" s="493">
        <v>274</v>
      </c>
      <c r="X1525" s="457" t="s">
        <v>47</v>
      </c>
      <c r="Y1525" s="457" t="s">
        <v>1809</v>
      </c>
      <c r="Z1525" s="457">
        <v>6656530005</v>
      </c>
      <c r="AA1525" s="457" t="s">
        <v>1810</v>
      </c>
      <c r="AB1525" s="589" t="s">
        <v>1813</v>
      </c>
      <c r="AC1525" s="470" t="s">
        <v>1814</v>
      </c>
      <c r="AD1525" s="10" t="str">
        <f t="shared" si="9"/>
        <v>atrasado</v>
      </c>
      <c r="AE1525" s="412"/>
    </row>
    <row r="1526" spans="1:31" s="587" customFormat="1" ht="54.95" customHeight="1" thickBot="1" x14ac:dyDescent="0.25">
      <c r="A1526" s="584"/>
      <c r="B1526" s="585" t="s">
        <v>36</v>
      </c>
      <c r="C1526" s="455" t="s">
        <v>133</v>
      </c>
      <c r="D1526" s="456" t="s">
        <v>1663</v>
      </c>
      <c r="E1526" s="457" t="s">
        <v>1664</v>
      </c>
      <c r="F1526" s="457">
        <v>4501787104</v>
      </c>
      <c r="G1526" s="457" t="s">
        <v>39</v>
      </c>
      <c r="H1526" s="458">
        <v>108585.87</v>
      </c>
      <c r="I1526" s="459" t="s">
        <v>40</v>
      </c>
      <c r="J1526" s="460">
        <v>39337</v>
      </c>
      <c r="K1526" s="461">
        <v>106</v>
      </c>
      <c r="L1526" s="462">
        <f t="shared" si="8"/>
        <v>39443</v>
      </c>
      <c r="M1526" s="460" t="s">
        <v>41</v>
      </c>
      <c r="N1526" s="457" t="s">
        <v>1748</v>
      </c>
      <c r="O1526" s="460">
        <v>39413</v>
      </c>
      <c r="P1526" s="461">
        <f t="shared" si="6"/>
        <v>-27</v>
      </c>
      <c r="Q1526" s="461" t="s">
        <v>1804</v>
      </c>
      <c r="R1526" s="463">
        <v>39416</v>
      </c>
      <c r="S1526" s="464">
        <v>39416</v>
      </c>
      <c r="T1526" s="464">
        <v>39434</v>
      </c>
      <c r="U1526" s="461">
        <f t="shared" si="7"/>
        <v>97</v>
      </c>
      <c r="V1526" s="468" t="s">
        <v>1058</v>
      </c>
      <c r="W1526" s="493">
        <v>273</v>
      </c>
      <c r="X1526" s="457" t="s">
        <v>47</v>
      </c>
      <c r="Y1526" s="457" t="s">
        <v>1809</v>
      </c>
      <c r="Z1526" s="457">
        <v>6656530005</v>
      </c>
      <c r="AA1526" s="457" t="s">
        <v>1806</v>
      </c>
      <c r="AB1526" s="589" t="s">
        <v>1815</v>
      </c>
      <c r="AC1526" s="470"/>
      <c r="AD1526" s="10" t="str">
        <f t="shared" si="9"/>
        <v>en término</v>
      </c>
      <c r="AE1526" s="412"/>
    </row>
    <row r="1527" spans="1:31" s="587" customFormat="1" ht="54.95" customHeight="1" thickBot="1" x14ac:dyDescent="0.25">
      <c r="A1527" s="584"/>
      <c r="B1527" s="585" t="s">
        <v>36</v>
      </c>
      <c r="C1527" s="455" t="s">
        <v>37</v>
      </c>
      <c r="D1527" s="456" t="s">
        <v>1816</v>
      </c>
      <c r="E1527" s="457" t="s">
        <v>1817</v>
      </c>
      <c r="F1527" s="457">
        <v>7110001</v>
      </c>
      <c r="G1527" s="457" t="s">
        <v>39</v>
      </c>
      <c r="H1527" s="458">
        <v>6375</v>
      </c>
      <c r="I1527" s="459"/>
      <c r="J1527" s="460">
        <v>39399</v>
      </c>
      <c r="K1527" s="461">
        <v>30</v>
      </c>
      <c r="L1527" s="462">
        <f t="shared" si="8"/>
        <v>39429</v>
      </c>
      <c r="M1527" s="460" t="s">
        <v>41</v>
      </c>
      <c r="N1527" s="457" t="s">
        <v>1750</v>
      </c>
      <c r="O1527" s="460">
        <v>39413</v>
      </c>
      <c r="P1527" s="461">
        <f t="shared" si="6"/>
        <v>-13</v>
      </c>
      <c r="Q1527" s="461" t="s">
        <v>1804</v>
      </c>
      <c r="R1527" s="463">
        <v>39416</v>
      </c>
      <c r="S1527" s="464">
        <v>39416</v>
      </c>
      <c r="T1527" s="464">
        <v>39434</v>
      </c>
      <c r="U1527" s="461">
        <f t="shared" si="7"/>
        <v>35</v>
      </c>
      <c r="V1527" s="468" t="s">
        <v>53</v>
      </c>
      <c r="W1527" s="493">
        <v>276</v>
      </c>
      <c r="X1527" s="467"/>
      <c r="Y1527" s="467"/>
      <c r="Z1527" s="457">
        <v>6656530005</v>
      </c>
      <c r="AA1527" s="457" t="s">
        <v>1818</v>
      </c>
      <c r="AB1527" s="460" t="s">
        <v>1752</v>
      </c>
      <c r="AC1527" s="470"/>
      <c r="AD1527" s="645" t="str">
        <f t="shared" si="9"/>
        <v>en término</v>
      </c>
    </row>
    <row r="1528" spans="1:31" s="587" customFormat="1" ht="54.95" customHeight="1" thickBot="1" x14ac:dyDescent="0.25">
      <c r="A1528" s="584"/>
      <c r="B1528" s="585" t="s">
        <v>36</v>
      </c>
      <c r="C1528" s="455" t="s">
        <v>37</v>
      </c>
      <c r="D1528" s="456" t="s">
        <v>1816</v>
      </c>
      <c r="E1528" s="456"/>
      <c r="F1528" s="457">
        <v>7110002</v>
      </c>
      <c r="G1528" s="457" t="s">
        <v>39</v>
      </c>
      <c r="H1528" s="458">
        <v>2250</v>
      </c>
      <c r="I1528" s="459"/>
      <c r="J1528" s="460">
        <v>39399</v>
      </c>
      <c r="K1528" s="461">
        <v>10</v>
      </c>
      <c r="L1528" s="462">
        <f t="shared" si="8"/>
        <v>39409</v>
      </c>
      <c r="M1528" s="460" t="s">
        <v>41</v>
      </c>
      <c r="N1528" s="457" t="s">
        <v>1705</v>
      </c>
      <c r="O1528" s="460">
        <v>39413</v>
      </c>
      <c r="P1528" s="461">
        <f t="shared" si="6"/>
        <v>20</v>
      </c>
      <c r="Q1528" s="461" t="s">
        <v>1819</v>
      </c>
      <c r="R1528" s="463">
        <v>39422</v>
      </c>
      <c r="S1528" s="464">
        <v>39429</v>
      </c>
      <c r="T1528" s="464">
        <v>39426</v>
      </c>
      <c r="U1528" s="461">
        <f t="shared" si="7"/>
        <v>27</v>
      </c>
      <c r="V1528" s="468" t="s">
        <v>1820</v>
      </c>
      <c r="W1528" s="457" t="s">
        <v>1821</v>
      </c>
      <c r="X1528" s="467"/>
      <c r="Y1528" s="467"/>
      <c r="Z1528" s="457" t="s">
        <v>1676</v>
      </c>
      <c r="AA1528" s="457" t="s">
        <v>1822</v>
      </c>
      <c r="AB1528" s="460" t="s">
        <v>47</v>
      </c>
      <c r="AC1528" s="470"/>
      <c r="AD1528" s="10"/>
    </row>
    <row r="1529" spans="1:31" s="587" customFormat="1" ht="54.95" customHeight="1" thickBot="1" x14ac:dyDescent="0.25">
      <c r="A1529" s="584"/>
      <c r="B1529" s="585" t="s">
        <v>36</v>
      </c>
      <c r="C1529" s="455" t="s">
        <v>37</v>
      </c>
      <c r="D1529" s="456" t="s">
        <v>1823</v>
      </c>
      <c r="E1529" s="456"/>
      <c r="F1529" s="457">
        <v>7110003</v>
      </c>
      <c r="G1529" s="457" t="s">
        <v>39</v>
      </c>
      <c r="H1529" s="458">
        <v>39000</v>
      </c>
      <c r="I1529" s="459"/>
      <c r="J1529" s="460">
        <v>39399</v>
      </c>
      <c r="K1529" s="461">
        <v>40</v>
      </c>
      <c r="L1529" s="462">
        <f t="shared" si="8"/>
        <v>39439</v>
      </c>
      <c r="M1529" s="460" t="s">
        <v>41</v>
      </c>
      <c r="N1529" s="457" t="s">
        <v>1705</v>
      </c>
      <c r="O1529" s="460">
        <v>39430</v>
      </c>
      <c r="P1529" s="461">
        <f t="shared" si="6"/>
        <v>14</v>
      </c>
      <c r="Q1529" s="461" t="s">
        <v>1819</v>
      </c>
      <c r="R1529" s="463">
        <v>39444</v>
      </c>
      <c r="S1529" s="464">
        <v>39453</v>
      </c>
      <c r="T1529" s="464">
        <v>39454</v>
      </c>
      <c r="U1529" s="461">
        <f t="shared" si="7"/>
        <v>55</v>
      </c>
      <c r="V1529" s="468" t="s">
        <v>1824</v>
      </c>
      <c r="W1529" s="457" t="s">
        <v>1825</v>
      </c>
      <c r="X1529" s="467"/>
      <c r="Y1529" s="467"/>
      <c r="Z1529" s="457" t="s">
        <v>1676</v>
      </c>
      <c r="AA1529" s="457" t="s">
        <v>1826</v>
      </c>
      <c r="AB1529" s="460" t="s">
        <v>47</v>
      </c>
      <c r="AC1529" s="470"/>
      <c r="AD1529" s="10"/>
    </row>
    <row r="1532" spans="1:31" ht="12.75" x14ac:dyDescent="0.2">
      <c r="AA1532" s="1">
        <v>2007</v>
      </c>
      <c r="AB1532" s="1047"/>
      <c r="AC1532" s="2"/>
      <c r="AD1532" s="2"/>
    </row>
    <row r="1533" spans="1:31" ht="12.75" x14ac:dyDescent="0.2">
      <c r="AA1533" s="945" t="s">
        <v>813</v>
      </c>
      <c r="AB1533" s="1048">
        <f>COUNTA(AD1466:AD1529)</f>
        <v>60</v>
      </c>
      <c r="AC1533" s="2"/>
      <c r="AD1533" s="2"/>
    </row>
    <row r="1534" spans="1:31" ht="12.75" x14ac:dyDescent="0.2">
      <c r="AA1534" s="945" t="s">
        <v>815</v>
      </c>
      <c r="AB1534" s="1048">
        <f>COUNTIF(AD1466:AD1529,"en término")</f>
        <v>22</v>
      </c>
      <c r="AC1534" s="2"/>
      <c r="AD1534" s="2"/>
    </row>
    <row r="1535" spans="1:31" ht="12.75" x14ac:dyDescent="0.2">
      <c r="AA1535" s="945" t="s">
        <v>817</v>
      </c>
      <c r="AB1535" s="557">
        <f>+AB1534/AB1533</f>
        <v>0.36666666666666664</v>
      </c>
      <c r="AC1535" s="2"/>
      <c r="AD1535" s="2"/>
    </row>
    <row r="1537" spans="1:39" ht="12" thickBot="1" x14ac:dyDescent="0.25"/>
    <row r="1538" spans="1:39" s="556" customFormat="1" ht="39.950000000000003" customHeight="1" thickBot="1" x14ac:dyDescent="0.4">
      <c r="A1538" s="554"/>
      <c r="B1538" s="1611">
        <v>2008</v>
      </c>
      <c r="C1538" s="1612"/>
      <c r="D1538" s="1612"/>
      <c r="E1538" s="1612"/>
      <c r="F1538" s="1612"/>
      <c r="G1538" s="1612"/>
      <c r="H1538" s="1612"/>
      <c r="I1538" s="1612"/>
      <c r="J1538" s="1612"/>
      <c r="K1538" s="1612"/>
      <c r="L1538" s="1612"/>
      <c r="M1538" s="1612"/>
      <c r="N1538" s="1612"/>
      <c r="O1538" s="1612"/>
      <c r="P1538" s="1612"/>
      <c r="Q1538" s="1612"/>
      <c r="R1538" s="1612"/>
      <c r="S1538" s="1612"/>
      <c r="T1538" s="1612"/>
      <c r="U1538" s="1612"/>
      <c r="V1538" s="1612"/>
      <c r="W1538" s="1612"/>
      <c r="X1538" s="1612"/>
      <c r="Y1538" s="1612"/>
      <c r="Z1538" s="1612"/>
      <c r="AA1538" s="1612"/>
      <c r="AB1538" s="1612"/>
      <c r="AC1538" s="1613"/>
      <c r="AD1538" s="555"/>
    </row>
    <row r="1539" spans="1:39" s="441" customFormat="1" ht="60" customHeight="1" thickBot="1" x14ac:dyDescent="0.25">
      <c r="A1539" s="438"/>
      <c r="B1539" s="451" t="s">
        <v>130</v>
      </c>
      <c r="C1539" s="451" t="s">
        <v>4</v>
      </c>
      <c r="D1539" s="451" t="s">
        <v>5</v>
      </c>
      <c r="E1539" s="451" t="s">
        <v>6</v>
      </c>
      <c r="F1539" s="451" t="s">
        <v>7</v>
      </c>
      <c r="G1539" s="451" t="s">
        <v>8</v>
      </c>
      <c r="H1539" s="453" t="s">
        <v>9</v>
      </c>
      <c r="I1539" s="453" t="s">
        <v>10</v>
      </c>
      <c r="J1539" s="451" t="s">
        <v>11</v>
      </c>
      <c r="K1539" s="451" t="s">
        <v>12</v>
      </c>
      <c r="L1539" s="451" t="s">
        <v>13</v>
      </c>
      <c r="M1539" s="451" t="s">
        <v>14</v>
      </c>
      <c r="N1539" s="451" t="s">
        <v>15</v>
      </c>
      <c r="O1539" s="452" t="s">
        <v>16</v>
      </c>
      <c r="P1539" s="454" t="s">
        <v>17</v>
      </c>
      <c r="Q1539" s="451" t="s">
        <v>18</v>
      </c>
      <c r="R1539" s="452" t="s">
        <v>19</v>
      </c>
      <c r="S1539" s="451" t="s">
        <v>20</v>
      </c>
      <c r="T1539" s="451" t="s">
        <v>21</v>
      </c>
      <c r="U1539" s="452" t="s">
        <v>22</v>
      </c>
      <c r="V1539" s="451" t="s">
        <v>131</v>
      </c>
      <c r="W1539" s="451" t="s">
        <v>24</v>
      </c>
      <c r="X1539" s="451" t="s">
        <v>132</v>
      </c>
      <c r="Y1539" s="451" t="s">
        <v>26</v>
      </c>
      <c r="Z1539" s="451" t="s">
        <v>27</v>
      </c>
      <c r="AA1539" s="451" t="s">
        <v>28</v>
      </c>
      <c r="AB1539" s="451" t="s">
        <v>29</v>
      </c>
      <c r="AC1539" s="451" t="s">
        <v>30</v>
      </c>
      <c r="AD1539" s="439"/>
      <c r="AE1539" s="440"/>
      <c r="AF1539" s="440"/>
      <c r="AG1539" s="440"/>
      <c r="AH1539" s="440"/>
      <c r="AI1539" s="440"/>
      <c r="AJ1539" s="440"/>
      <c r="AK1539" s="440"/>
      <c r="AL1539" s="440"/>
      <c r="AM1539" s="440"/>
    </row>
    <row r="1540" spans="1:39" s="587" customFormat="1" ht="54.95" customHeight="1" thickBot="1" x14ac:dyDescent="0.25">
      <c r="A1540" s="584"/>
      <c r="B1540" s="585" t="s">
        <v>36</v>
      </c>
      <c r="C1540" s="455" t="s">
        <v>133</v>
      </c>
      <c r="D1540" s="456" t="s">
        <v>1663</v>
      </c>
      <c r="E1540" s="457" t="s">
        <v>1664</v>
      </c>
      <c r="F1540" s="457">
        <v>4501846098</v>
      </c>
      <c r="G1540" s="457" t="s">
        <v>39</v>
      </c>
      <c r="H1540" s="458">
        <v>48568.480000000003</v>
      </c>
      <c r="I1540" s="459" t="s">
        <v>52</v>
      </c>
      <c r="J1540" s="460">
        <v>39372</v>
      </c>
      <c r="K1540" s="461">
        <v>97</v>
      </c>
      <c r="L1540" s="462">
        <f t="shared" ref="L1540:L1572" si="10">+J1540+K1540</f>
        <v>39469</v>
      </c>
      <c r="M1540" s="460" t="s">
        <v>41</v>
      </c>
      <c r="N1540" s="457" t="s">
        <v>1748</v>
      </c>
      <c r="O1540" s="460">
        <v>39454</v>
      </c>
      <c r="P1540" s="461">
        <f t="shared" ref="P1540:P1580" si="11">IF(S1540="","",+S1540-L1540)</f>
        <v>-11</v>
      </c>
      <c r="Q1540" s="591" t="s">
        <v>1827</v>
      </c>
      <c r="R1540" s="463">
        <v>39456</v>
      </c>
      <c r="S1540" s="464">
        <v>39458</v>
      </c>
      <c r="T1540" s="464">
        <f t="shared" ref="T1540:T1546" si="12">+S1540+15</f>
        <v>39473</v>
      </c>
      <c r="U1540" s="461">
        <f t="shared" ref="U1540:U1580" si="13">IF(T1540="","",+T1540-J1540)</f>
        <v>101</v>
      </c>
      <c r="V1540" s="468" t="s">
        <v>1828</v>
      </c>
      <c r="W1540" s="493">
        <v>285</v>
      </c>
      <c r="X1540" s="457" t="s">
        <v>47</v>
      </c>
      <c r="Y1540" s="457" t="s">
        <v>1829</v>
      </c>
      <c r="Z1540" s="457">
        <v>6626518931</v>
      </c>
      <c r="AA1540" s="457" t="s">
        <v>1830</v>
      </c>
      <c r="AB1540" s="460" t="s">
        <v>1807</v>
      </c>
      <c r="AC1540" s="470"/>
      <c r="AD1540" s="645" t="str">
        <f t="shared" ref="AD1540:AD1553" si="14">IF(P1540="","",IF(P1540&lt;=0,"en término","atrasado"))</f>
        <v>en término</v>
      </c>
      <c r="AE1540" s="412"/>
    </row>
    <row r="1541" spans="1:39" s="587" customFormat="1" ht="54.95" customHeight="1" thickBot="1" x14ac:dyDescent="0.25">
      <c r="A1541" s="584"/>
      <c r="B1541" s="585" t="s">
        <v>36</v>
      </c>
      <c r="C1541" s="455" t="s">
        <v>133</v>
      </c>
      <c r="D1541" s="456" t="s">
        <v>1663</v>
      </c>
      <c r="E1541" s="457" t="s">
        <v>1664</v>
      </c>
      <c r="F1541" s="457">
        <v>4501855333</v>
      </c>
      <c r="G1541" s="457" t="s">
        <v>39</v>
      </c>
      <c r="H1541" s="458">
        <v>116312.84</v>
      </c>
      <c r="I1541" s="459" t="s">
        <v>40</v>
      </c>
      <c r="J1541" s="460">
        <v>39378</v>
      </c>
      <c r="K1541" s="461">
        <v>94</v>
      </c>
      <c r="L1541" s="462">
        <f t="shared" si="10"/>
        <v>39472</v>
      </c>
      <c r="M1541" s="460" t="s">
        <v>41</v>
      </c>
      <c r="N1541" s="457" t="s">
        <v>1748</v>
      </c>
      <c r="O1541" s="460">
        <v>39454</v>
      </c>
      <c r="P1541" s="461">
        <f t="shared" si="11"/>
        <v>-14</v>
      </c>
      <c r="Q1541" s="591" t="s">
        <v>1827</v>
      </c>
      <c r="R1541" s="463">
        <v>39456</v>
      </c>
      <c r="S1541" s="464">
        <v>39458</v>
      </c>
      <c r="T1541" s="464">
        <f t="shared" si="12"/>
        <v>39473</v>
      </c>
      <c r="U1541" s="461">
        <f t="shared" si="13"/>
        <v>95</v>
      </c>
      <c r="V1541" s="468" t="s">
        <v>1058</v>
      </c>
      <c r="W1541" s="493">
        <v>286</v>
      </c>
      <c r="X1541" s="457" t="s">
        <v>47</v>
      </c>
      <c r="Y1541" s="457" t="s">
        <v>1829</v>
      </c>
      <c r="Z1541" s="457">
        <v>6626518931</v>
      </c>
      <c r="AA1541" s="457" t="s">
        <v>1830</v>
      </c>
      <c r="AB1541" s="460" t="s">
        <v>1807</v>
      </c>
      <c r="AC1541" s="470"/>
      <c r="AD1541" s="645" t="str">
        <f t="shared" si="14"/>
        <v>en término</v>
      </c>
      <c r="AE1541" s="412"/>
    </row>
    <row r="1542" spans="1:39" s="587" customFormat="1" ht="54.95" customHeight="1" thickBot="1" x14ac:dyDescent="0.25">
      <c r="A1542" s="584"/>
      <c r="B1542" s="585" t="s">
        <v>36</v>
      </c>
      <c r="C1542" s="455" t="s">
        <v>133</v>
      </c>
      <c r="D1542" s="456" t="s">
        <v>1663</v>
      </c>
      <c r="E1542" s="457" t="s">
        <v>1664</v>
      </c>
      <c r="F1542" s="457">
        <v>4501859642</v>
      </c>
      <c r="G1542" s="457" t="s">
        <v>39</v>
      </c>
      <c r="H1542" s="458">
        <v>45525.75</v>
      </c>
      <c r="I1542" s="459" t="s">
        <v>62</v>
      </c>
      <c r="J1542" s="460">
        <v>39380</v>
      </c>
      <c r="K1542" s="461">
        <v>92</v>
      </c>
      <c r="L1542" s="462">
        <f t="shared" si="10"/>
        <v>39472</v>
      </c>
      <c r="M1542" s="460" t="s">
        <v>41</v>
      </c>
      <c r="N1542" s="457" t="s">
        <v>1748</v>
      </c>
      <c r="O1542" s="460">
        <v>39454</v>
      </c>
      <c r="P1542" s="461">
        <f t="shared" si="11"/>
        <v>-14</v>
      </c>
      <c r="Q1542" s="461" t="s">
        <v>1804</v>
      </c>
      <c r="R1542" s="463">
        <v>39456</v>
      </c>
      <c r="S1542" s="464">
        <v>39458</v>
      </c>
      <c r="T1542" s="464">
        <f t="shared" si="12"/>
        <v>39473</v>
      </c>
      <c r="U1542" s="461">
        <f t="shared" si="13"/>
        <v>93</v>
      </c>
      <c r="V1542" s="468" t="s">
        <v>1831</v>
      </c>
      <c r="W1542" s="493">
        <v>287</v>
      </c>
      <c r="X1542" s="457" t="s">
        <v>47</v>
      </c>
      <c r="Y1542" s="457" t="s">
        <v>1829</v>
      </c>
      <c r="Z1542" s="457">
        <v>6626518931</v>
      </c>
      <c r="AA1542" s="457"/>
      <c r="AB1542" s="460" t="s">
        <v>1807</v>
      </c>
      <c r="AC1542" s="470"/>
      <c r="AD1542" s="645" t="str">
        <f t="shared" si="14"/>
        <v>en término</v>
      </c>
      <c r="AE1542" s="412"/>
    </row>
    <row r="1543" spans="1:39" s="587" customFormat="1" ht="54.95" customHeight="1" thickBot="1" x14ac:dyDescent="0.25">
      <c r="A1543" s="584"/>
      <c r="B1543" s="585" t="s">
        <v>36</v>
      </c>
      <c r="C1543" s="455" t="s">
        <v>133</v>
      </c>
      <c r="D1543" s="456" t="s">
        <v>1663</v>
      </c>
      <c r="E1543" s="457" t="s">
        <v>1664</v>
      </c>
      <c r="F1543" s="457">
        <v>4501897770</v>
      </c>
      <c r="G1543" s="457" t="s">
        <v>39</v>
      </c>
      <c r="H1543" s="458">
        <v>11802.88</v>
      </c>
      <c r="I1543" s="459" t="s">
        <v>142</v>
      </c>
      <c r="J1543" s="460">
        <v>39401</v>
      </c>
      <c r="K1543" s="461">
        <v>94</v>
      </c>
      <c r="L1543" s="462">
        <f t="shared" si="10"/>
        <v>39495</v>
      </c>
      <c r="M1543" s="460" t="s">
        <v>41</v>
      </c>
      <c r="N1543" s="457" t="s">
        <v>1748</v>
      </c>
      <c r="O1543" s="460">
        <v>39454</v>
      </c>
      <c r="P1543" s="461">
        <f t="shared" si="11"/>
        <v>-37</v>
      </c>
      <c r="Q1543" s="591" t="s">
        <v>1827</v>
      </c>
      <c r="R1543" s="463">
        <v>39456</v>
      </c>
      <c r="S1543" s="464">
        <v>39458</v>
      </c>
      <c r="T1543" s="464">
        <f t="shared" si="12"/>
        <v>39473</v>
      </c>
      <c r="U1543" s="461">
        <f t="shared" si="13"/>
        <v>72</v>
      </c>
      <c r="V1543" s="468" t="s">
        <v>1832</v>
      </c>
      <c r="W1543" s="493">
        <v>288</v>
      </c>
      <c r="X1543" s="457" t="s">
        <v>47</v>
      </c>
      <c r="Y1543" s="457" t="s">
        <v>1829</v>
      </c>
      <c r="Z1543" s="457">
        <v>6656518931</v>
      </c>
      <c r="AA1543" s="457" t="s">
        <v>1830</v>
      </c>
      <c r="AB1543" s="460" t="s">
        <v>1807</v>
      </c>
      <c r="AC1543" s="476"/>
      <c r="AD1543" s="645" t="str">
        <f t="shared" si="14"/>
        <v>en término</v>
      </c>
      <c r="AE1543" s="412"/>
      <c r="AG1543" s="629"/>
    </row>
    <row r="1544" spans="1:39" s="587" customFormat="1" ht="54.95" customHeight="1" thickBot="1" x14ac:dyDescent="0.25">
      <c r="A1544" s="584"/>
      <c r="B1544" s="585" t="s">
        <v>36</v>
      </c>
      <c r="C1544" s="455" t="s">
        <v>133</v>
      </c>
      <c r="D1544" s="456" t="s">
        <v>1663</v>
      </c>
      <c r="E1544" s="457" t="s">
        <v>1664</v>
      </c>
      <c r="F1544" s="457">
        <v>4501860739</v>
      </c>
      <c r="G1544" s="457" t="s">
        <v>39</v>
      </c>
      <c r="H1544" s="458">
        <v>83883.19</v>
      </c>
      <c r="I1544" s="459" t="s">
        <v>62</v>
      </c>
      <c r="J1544" s="460">
        <v>39380</v>
      </c>
      <c r="K1544" s="461">
        <v>123</v>
      </c>
      <c r="L1544" s="462">
        <f t="shared" si="10"/>
        <v>39503</v>
      </c>
      <c r="M1544" s="460" t="s">
        <v>41</v>
      </c>
      <c r="N1544" s="457" t="s">
        <v>1748</v>
      </c>
      <c r="O1544" s="460">
        <v>39454</v>
      </c>
      <c r="P1544" s="461">
        <f t="shared" si="11"/>
        <v>-45</v>
      </c>
      <c r="Q1544" s="591" t="s">
        <v>1827</v>
      </c>
      <c r="R1544" s="463">
        <v>39456</v>
      </c>
      <c r="S1544" s="464">
        <v>39458</v>
      </c>
      <c r="T1544" s="464">
        <f t="shared" si="12"/>
        <v>39473</v>
      </c>
      <c r="U1544" s="461">
        <f t="shared" si="13"/>
        <v>93</v>
      </c>
      <c r="V1544" s="468" t="s">
        <v>786</v>
      </c>
      <c r="W1544" s="493">
        <v>289</v>
      </c>
      <c r="X1544" s="457" t="s">
        <v>47</v>
      </c>
      <c r="Y1544" s="457" t="s">
        <v>1829</v>
      </c>
      <c r="Z1544" s="457">
        <v>6626518931</v>
      </c>
      <c r="AA1544" s="457"/>
      <c r="AB1544" s="460" t="s">
        <v>1807</v>
      </c>
      <c r="AC1544" s="470"/>
      <c r="AD1544" s="645" t="str">
        <f t="shared" si="14"/>
        <v>en término</v>
      </c>
      <c r="AE1544" s="412"/>
    </row>
    <row r="1545" spans="1:39" s="587" customFormat="1" ht="54.95" customHeight="1" thickBot="1" x14ac:dyDescent="0.25">
      <c r="A1545" s="584"/>
      <c r="B1545" s="585" t="s">
        <v>36</v>
      </c>
      <c r="C1545" s="455" t="s">
        <v>37</v>
      </c>
      <c r="D1545" s="456" t="s">
        <v>1833</v>
      </c>
      <c r="E1545" s="457" t="s">
        <v>1834</v>
      </c>
      <c r="F1545" s="457">
        <v>7100005</v>
      </c>
      <c r="G1545" s="457" t="s">
        <v>39</v>
      </c>
      <c r="H1545" s="458">
        <f>13920.8+35269.2</f>
        <v>49190</v>
      </c>
      <c r="I1545" s="459" t="s">
        <v>40</v>
      </c>
      <c r="J1545" s="460">
        <v>39363</v>
      </c>
      <c r="K1545" s="461">
        <v>121</v>
      </c>
      <c r="L1545" s="462">
        <f t="shared" si="10"/>
        <v>39484</v>
      </c>
      <c r="M1545" s="460" t="s">
        <v>41</v>
      </c>
      <c r="N1545" s="457" t="s">
        <v>1750</v>
      </c>
      <c r="O1545" s="460">
        <v>39454</v>
      </c>
      <c r="P1545" s="461">
        <f t="shared" si="11"/>
        <v>-27</v>
      </c>
      <c r="Q1545" s="591" t="s">
        <v>1827</v>
      </c>
      <c r="R1545" s="463">
        <v>39456</v>
      </c>
      <c r="S1545" s="464">
        <v>39457</v>
      </c>
      <c r="T1545" s="464">
        <f t="shared" si="12"/>
        <v>39472</v>
      </c>
      <c r="U1545" s="461">
        <f t="shared" si="13"/>
        <v>109</v>
      </c>
      <c r="V1545" s="468" t="s">
        <v>1038</v>
      </c>
      <c r="W1545" s="493">
        <v>295</v>
      </c>
      <c r="X1545" s="467"/>
      <c r="Y1545" s="457" t="s">
        <v>1829</v>
      </c>
      <c r="Z1545" s="457">
        <v>6626518931</v>
      </c>
      <c r="AA1545" s="457" t="s">
        <v>1835</v>
      </c>
      <c r="AB1545" s="460" t="s">
        <v>1752</v>
      </c>
      <c r="AC1545" s="470"/>
      <c r="AD1545" s="645" t="str">
        <f t="shared" si="14"/>
        <v>en término</v>
      </c>
    </row>
    <row r="1546" spans="1:39" s="587" customFormat="1" ht="54.95" customHeight="1" thickBot="1" x14ac:dyDescent="0.25">
      <c r="A1546" s="584"/>
      <c r="B1546" s="585" t="s">
        <v>36</v>
      </c>
      <c r="C1546" s="455" t="s">
        <v>37</v>
      </c>
      <c r="D1546" s="456" t="s">
        <v>1836</v>
      </c>
      <c r="E1546" s="457" t="s">
        <v>1837</v>
      </c>
      <c r="F1546" s="457">
        <v>7100006</v>
      </c>
      <c r="G1546" s="457" t="s">
        <v>39</v>
      </c>
      <c r="H1546" s="458">
        <f>1636+538.09+2363.25+405.25+43502.5</f>
        <v>48445.09</v>
      </c>
      <c r="I1546" s="459" t="s">
        <v>40</v>
      </c>
      <c r="J1546" s="460">
        <v>39386</v>
      </c>
      <c r="K1546" s="461">
        <v>83</v>
      </c>
      <c r="L1546" s="462">
        <f t="shared" si="10"/>
        <v>39469</v>
      </c>
      <c r="M1546" s="460" t="s">
        <v>41</v>
      </c>
      <c r="N1546" s="457" t="s">
        <v>1750</v>
      </c>
      <c r="O1546" s="460">
        <v>39454</v>
      </c>
      <c r="P1546" s="461">
        <f t="shared" si="11"/>
        <v>-12</v>
      </c>
      <c r="Q1546" s="591" t="s">
        <v>1827</v>
      </c>
      <c r="R1546" s="463">
        <v>39456</v>
      </c>
      <c r="S1546" s="464">
        <v>39457</v>
      </c>
      <c r="T1546" s="464">
        <f t="shared" si="12"/>
        <v>39472</v>
      </c>
      <c r="U1546" s="461">
        <f t="shared" si="13"/>
        <v>86</v>
      </c>
      <c r="V1546" s="468" t="s">
        <v>1838</v>
      </c>
      <c r="W1546" s="493">
        <v>295</v>
      </c>
      <c r="X1546" s="467"/>
      <c r="Y1546" s="457" t="s">
        <v>1829</v>
      </c>
      <c r="Z1546" s="457">
        <v>6626518931</v>
      </c>
      <c r="AA1546" s="457" t="s">
        <v>1835</v>
      </c>
      <c r="AB1546" s="460" t="s">
        <v>1752</v>
      </c>
      <c r="AC1546" s="470"/>
      <c r="AD1546" s="645" t="str">
        <f t="shared" si="14"/>
        <v>en término</v>
      </c>
    </row>
    <row r="1547" spans="1:39" s="587" customFormat="1" ht="54.95" customHeight="1" thickBot="1" x14ac:dyDescent="0.25">
      <c r="A1547" s="584"/>
      <c r="B1547" s="585" t="s">
        <v>36</v>
      </c>
      <c r="C1547" s="455" t="s">
        <v>133</v>
      </c>
      <c r="D1547" s="456" t="s">
        <v>1663</v>
      </c>
      <c r="E1547" s="457" t="s">
        <v>1664</v>
      </c>
      <c r="F1547" s="457">
        <v>4501899330</v>
      </c>
      <c r="G1547" s="457" t="s">
        <v>39</v>
      </c>
      <c r="H1547" s="458">
        <v>42992.88</v>
      </c>
      <c r="I1547" s="459" t="s">
        <v>52</v>
      </c>
      <c r="J1547" s="460">
        <v>39402</v>
      </c>
      <c r="K1547" s="461">
        <v>100</v>
      </c>
      <c r="L1547" s="462">
        <f t="shared" si="10"/>
        <v>39502</v>
      </c>
      <c r="M1547" s="460" t="s">
        <v>41</v>
      </c>
      <c r="N1547" s="457" t="s">
        <v>1748</v>
      </c>
      <c r="O1547" s="460">
        <v>39463</v>
      </c>
      <c r="P1547" s="461">
        <f t="shared" si="11"/>
        <v>-36</v>
      </c>
      <c r="Q1547" s="591" t="s">
        <v>1827</v>
      </c>
      <c r="R1547" s="463"/>
      <c r="S1547" s="464">
        <v>39466</v>
      </c>
      <c r="T1547" s="464">
        <v>39486</v>
      </c>
      <c r="U1547" s="461">
        <f t="shared" si="13"/>
        <v>84</v>
      </c>
      <c r="V1547" s="468" t="s">
        <v>1839</v>
      </c>
      <c r="W1547" s="493">
        <v>291</v>
      </c>
      <c r="X1547" s="457" t="s">
        <v>47</v>
      </c>
      <c r="Y1547" s="457" t="s">
        <v>1840</v>
      </c>
      <c r="Z1547" s="457">
        <v>6626519012</v>
      </c>
      <c r="AA1547" s="457" t="s">
        <v>1841</v>
      </c>
      <c r="AB1547" s="460" t="s">
        <v>1807</v>
      </c>
      <c r="AC1547" s="476"/>
      <c r="AD1547" s="645" t="str">
        <f t="shared" si="14"/>
        <v>en término</v>
      </c>
      <c r="AE1547" s="412"/>
    </row>
    <row r="1548" spans="1:39" s="587" customFormat="1" ht="54.95" customHeight="1" thickBot="1" x14ac:dyDescent="0.25">
      <c r="A1548" s="584"/>
      <c r="B1548" s="585" t="s">
        <v>36</v>
      </c>
      <c r="C1548" s="455" t="s">
        <v>133</v>
      </c>
      <c r="D1548" s="456" t="s">
        <v>1663</v>
      </c>
      <c r="E1548" s="457" t="s">
        <v>1664</v>
      </c>
      <c r="F1548" s="457">
        <v>4501907880</v>
      </c>
      <c r="G1548" s="457" t="s">
        <v>39</v>
      </c>
      <c r="H1548" s="458">
        <v>221957.25</v>
      </c>
      <c r="I1548" s="459" t="s">
        <v>40</v>
      </c>
      <c r="J1548" s="460">
        <v>39409</v>
      </c>
      <c r="K1548" s="461">
        <v>95</v>
      </c>
      <c r="L1548" s="462">
        <f t="shared" si="10"/>
        <v>39504</v>
      </c>
      <c r="M1548" s="460" t="s">
        <v>41</v>
      </c>
      <c r="N1548" s="457" t="s">
        <v>1748</v>
      </c>
      <c r="O1548" s="460">
        <v>39463</v>
      </c>
      <c r="P1548" s="461">
        <f t="shared" si="11"/>
        <v>-38</v>
      </c>
      <c r="Q1548" s="591" t="s">
        <v>1827</v>
      </c>
      <c r="R1548" s="463"/>
      <c r="S1548" s="464">
        <v>39466</v>
      </c>
      <c r="T1548" s="464">
        <v>39486</v>
      </c>
      <c r="U1548" s="461">
        <f t="shared" si="13"/>
        <v>77</v>
      </c>
      <c r="V1548" s="468" t="s">
        <v>1367</v>
      </c>
      <c r="W1548" s="493">
        <v>292</v>
      </c>
      <c r="X1548" s="457" t="s">
        <v>47</v>
      </c>
      <c r="Y1548" s="457" t="s">
        <v>1840</v>
      </c>
      <c r="Z1548" s="457">
        <v>6626519012</v>
      </c>
      <c r="AA1548" s="457" t="s">
        <v>1841</v>
      </c>
      <c r="AB1548" s="460" t="s">
        <v>1807</v>
      </c>
      <c r="AC1548" s="476"/>
      <c r="AD1548" s="645" t="str">
        <f t="shared" si="14"/>
        <v>en término</v>
      </c>
      <c r="AE1548" s="412"/>
    </row>
    <row r="1549" spans="1:39" s="587" customFormat="1" ht="54.95" customHeight="1" thickBot="1" x14ac:dyDescent="0.25">
      <c r="A1549" s="584"/>
      <c r="B1549" s="585" t="s">
        <v>36</v>
      </c>
      <c r="C1549" s="455" t="s">
        <v>133</v>
      </c>
      <c r="D1549" s="456" t="s">
        <v>1802</v>
      </c>
      <c r="E1549" s="457" t="s">
        <v>1803</v>
      </c>
      <c r="F1549" s="457">
        <v>4501811011</v>
      </c>
      <c r="G1549" s="457" t="s">
        <v>39</v>
      </c>
      <c r="H1549" s="458">
        <v>20543.240000000002</v>
      </c>
      <c r="I1549" s="459" t="s">
        <v>52</v>
      </c>
      <c r="J1549" s="460">
        <v>39352</v>
      </c>
      <c r="K1549" s="461">
        <v>67</v>
      </c>
      <c r="L1549" s="462">
        <f t="shared" si="10"/>
        <v>39419</v>
      </c>
      <c r="M1549" s="460" t="s">
        <v>41</v>
      </c>
      <c r="N1549" s="457" t="s">
        <v>42</v>
      </c>
      <c r="O1549" s="460">
        <v>39463</v>
      </c>
      <c r="P1549" s="461">
        <f t="shared" si="11"/>
        <v>47</v>
      </c>
      <c r="Q1549" s="591" t="s">
        <v>1827</v>
      </c>
      <c r="R1549" s="463"/>
      <c r="S1549" s="464">
        <v>39466</v>
      </c>
      <c r="T1549" s="464">
        <v>39486</v>
      </c>
      <c r="U1549" s="461">
        <f t="shared" si="13"/>
        <v>134</v>
      </c>
      <c r="V1549" s="468" t="s">
        <v>1842</v>
      </c>
      <c r="W1549" s="493">
        <v>294</v>
      </c>
      <c r="X1549" s="457" t="s">
        <v>47</v>
      </c>
      <c r="Y1549" s="467"/>
      <c r="Z1549" s="457">
        <v>6626519012</v>
      </c>
      <c r="AA1549" s="457" t="s">
        <v>1841</v>
      </c>
      <c r="AB1549" s="589" t="s">
        <v>1843</v>
      </c>
      <c r="AC1549" s="470" t="s">
        <v>1814</v>
      </c>
      <c r="AD1549" s="645" t="str">
        <f t="shared" si="14"/>
        <v>atrasado</v>
      </c>
      <c r="AE1549" s="412"/>
    </row>
    <row r="1550" spans="1:39" s="587" customFormat="1" ht="54.95" customHeight="1" thickBot="1" x14ac:dyDescent="0.25">
      <c r="A1550" s="584"/>
      <c r="B1550" s="585" t="s">
        <v>36</v>
      </c>
      <c r="C1550" s="455" t="s">
        <v>133</v>
      </c>
      <c r="D1550" s="456" t="s">
        <v>1802</v>
      </c>
      <c r="E1550" s="457" t="s">
        <v>1803</v>
      </c>
      <c r="F1550" s="457">
        <v>4501763992</v>
      </c>
      <c r="G1550" s="457" t="s">
        <v>39</v>
      </c>
      <c r="H1550" s="458">
        <v>38845.120000000003</v>
      </c>
      <c r="I1550" s="459" t="s">
        <v>52</v>
      </c>
      <c r="J1550" s="460">
        <v>39323</v>
      </c>
      <c r="K1550" s="461">
        <v>72</v>
      </c>
      <c r="L1550" s="462">
        <f t="shared" si="10"/>
        <v>39395</v>
      </c>
      <c r="M1550" s="460" t="s">
        <v>41</v>
      </c>
      <c r="N1550" s="457" t="s">
        <v>42</v>
      </c>
      <c r="O1550" s="460">
        <v>39463</v>
      </c>
      <c r="P1550" s="461">
        <f t="shared" si="11"/>
        <v>71</v>
      </c>
      <c r="Q1550" s="591" t="s">
        <v>1827</v>
      </c>
      <c r="R1550" s="463"/>
      <c r="S1550" s="464">
        <v>39466</v>
      </c>
      <c r="T1550" s="464">
        <v>39486</v>
      </c>
      <c r="U1550" s="461">
        <f t="shared" si="13"/>
        <v>163</v>
      </c>
      <c r="V1550" s="468" t="s">
        <v>1844</v>
      </c>
      <c r="W1550" s="493">
        <v>293</v>
      </c>
      <c r="X1550" s="457" t="s">
        <v>47</v>
      </c>
      <c r="Y1550" s="467"/>
      <c r="Z1550" s="457">
        <v>6626519012</v>
      </c>
      <c r="AA1550" s="457" t="s">
        <v>1841</v>
      </c>
      <c r="AB1550" s="589" t="s">
        <v>1845</v>
      </c>
      <c r="AC1550" s="470" t="s">
        <v>1814</v>
      </c>
      <c r="AD1550" s="645" t="str">
        <f t="shared" si="14"/>
        <v>atrasado</v>
      </c>
      <c r="AE1550" s="412"/>
    </row>
    <row r="1551" spans="1:39" s="587" customFormat="1" ht="54.95" customHeight="1" thickBot="1" x14ac:dyDescent="0.25">
      <c r="A1551" s="584"/>
      <c r="B1551" s="585" t="s">
        <v>36</v>
      </c>
      <c r="C1551" s="455" t="s">
        <v>37</v>
      </c>
      <c r="D1551" s="456" t="s">
        <v>1554</v>
      </c>
      <c r="E1551" s="456" t="s">
        <v>1846</v>
      </c>
      <c r="F1551" s="457">
        <v>7120002</v>
      </c>
      <c r="G1551" s="457" t="s">
        <v>39</v>
      </c>
      <c r="H1551" s="458">
        <v>20401</v>
      </c>
      <c r="I1551" s="459"/>
      <c r="J1551" s="460">
        <v>39135</v>
      </c>
      <c r="K1551" s="461">
        <v>30</v>
      </c>
      <c r="L1551" s="462">
        <f t="shared" si="10"/>
        <v>39165</v>
      </c>
      <c r="M1551" s="460" t="s">
        <v>41</v>
      </c>
      <c r="N1551" s="457" t="s">
        <v>1750</v>
      </c>
      <c r="O1551" s="460">
        <v>39463</v>
      </c>
      <c r="P1551" s="461">
        <f t="shared" si="11"/>
        <v>301</v>
      </c>
      <c r="Q1551" s="591" t="s">
        <v>1827</v>
      </c>
      <c r="R1551" s="463"/>
      <c r="S1551" s="464">
        <v>39466</v>
      </c>
      <c r="T1551" s="464">
        <v>39486</v>
      </c>
      <c r="U1551" s="461">
        <f t="shared" si="13"/>
        <v>351</v>
      </c>
      <c r="V1551" s="468" t="s">
        <v>1847</v>
      </c>
      <c r="W1551" s="493">
        <v>296</v>
      </c>
      <c r="X1551" s="467"/>
      <c r="Y1551" s="467"/>
      <c r="Z1551" s="457">
        <v>6626519012</v>
      </c>
      <c r="AA1551" s="457" t="s">
        <v>1848</v>
      </c>
      <c r="AB1551" s="460" t="s">
        <v>1849</v>
      </c>
      <c r="AC1551" s="476" t="s">
        <v>1850</v>
      </c>
      <c r="AD1551" s="645" t="str">
        <f t="shared" si="14"/>
        <v>atrasado</v>
      </c>
    </row>
    <row r="1552" spans="1:39" s="587" customFormat="1" ht="54.95" customHeight="1" thickBot="1" x14ac:dyDescent="0.25">
      <c r="A1552" s="584"/>
      <c r="B1552" s="585" t="s">
        <v>36</v>
      </c>
      <c r="C1552" s="455" t="s">
        <v>37</v>
      </c>
      <c r="D1552" s="456" t="s">
        <v>1554</v>
      </c>
      <c r="E1552" s="456" t="s">
        <v>1851</v>
      </c>
      <c r="F1552" s="457">
        <v>7120003</v>
      </c>
      <c r="G1552" s="457" t="s">
        <v>39</v>
      </c>
      <c r="H1552" s="458">
        <v>16902</v>
      </c>
      <c r="I1552" s="459"/>
      <c r="J1552" s="460">
        <v>39188</v>
      </c>
      <c r="K1552" s="461">
        <v>30</v>
      </c>
      <c r="L1552" s="462">
        <f t="shared" si="10"/>
        <v>39218</v>
      </c>
      <c r="M1552" s="460" t="s">
        <v>41</v>
      </c>
      <c r="N1552" s="457" t="s">
        <v>1750</v>
      </c>
      <c r="O1552" s="460">
        <v>39463</v>
      </c>
      <c r="P1552" s="461">
        <f t="shared" si="11"/>
        <v>248</v>
      </c>
      <c r="Q1552" s="591" t="s">
        <v>1827</v>
      </c>
      <c r="R1552" s="463"/>
      <c r="S1552" s="464">
        <v>39466</v>
      </c>
      <c r="T1552" s="464">
        <v>39486</v>
      </c>
      <c r="U1552" s="461">
        <f t="shared" si="13"/>
        <v>298</v>
      </c>
      <c r="V1552" s="468" t="s">
        <v>1852</v>
      </c>
      <c r="W1552" s="493">
        <v>296</v>
      </c>
      <c r="X1552" s="467"/>
      <c r="Y1552" s="467"/>
      <c r="Z1552" s="457">
        <v>6626519012</v>
      </c>
      <c r="AA1552" s="457" t="s">
        <v>1848</v>
      </c>
      <c r="AB1552" s="460" t="s">
        <v>1849</v>
      </c>
      <c r="AC1552" s="476" t="s">
        <v>1853</v>
      </c>
      <c r="AD1552" s="645" t="str">
        <f t="shared" si="14"/>
        <v>atrasado</v>
      </c>
    </row>
    <row r="1553" spans="1:40" s="587" customFormat="1" ht="54.95" customHeight="1" thickBot="1" x14ac:dyDescent="0.25">
      <c r="A1553" s="584"/>
      <c r="B1553" s="585" t="s">
        <v>36</v>
      </c>
      <c r="C1553" s="455" t="s">
        <v>37</v>
      </c>
      <c r="D1553" s="456" t="s">
        <v>1554</v>
      </c>
      <c r="E1553" s="456" t="s">
        <v>1854</v>
      </c>
      <c r="F1553" s="457">
        <v>7120004</v>
      </c>
      <c r="G1553" s="457" t="s">
        <v>39</v>
      </c>
      <c r="H1553" s="458">
        <v>32210</v>
      </c>
      <c r="I1553" s="459"/>
      <c r="J1553" s="460">
        <v>39216</v>
      </c>
      <c r="K1553" s="461">
        <v>30</v>
      </c>
      <c r="L1553" s="462">
        <f t="shared" si="10"/>
        <v>39246</v>
      </c>
      <c r="M1553" s="460" t="s">
        <v>41</v>
      </c>
      <c r="N1553" s="457" t="s">
        <v>1750</v>
      </c>
      <c r="O1553" s="460">
        <v>39463</v>
      </c>
      <c r="P1553" s="461">
        <f t="shared" si="11"/>
        <v>220</v>
      </c>
      <c r="Q1553" s="591" t="s">
        <v>1827</v>
      </c>
      <c r="R1553" s="463"/>
      <c r="S1553" s="464">
        <v>39466</v>
      </c>
      <c r="T1553" s="464">
        <v>39486</v>
      </c>
      <c r="U1553" s="461">
        <f t="shared" si="13"/>
        <v>270</v>
      </c>
      <c r="V1553" s="468" t="s">
        <v>1855</v>
      </c>
      <c r="W1553" s="493">
        <v>296</v>
      </c>
      <c r="X1553" s="467"/>
      <c r="Y1553" s="467"/>
      <c r="Z1553" s="457">
        <v>6626519012</v>
      </c>
      <c r="AA1553" s="457" t="s">
        <v>1848</v>
      </c>
      <c r="AB1553" s="460" t="s">
        <v>1849</v>
      </c>
      <c r="AC1553" s="476" t="s">
        <v>1856</v>
      </c>
      <c r="AD1553" s="645" t="str">
        <f t="shared" si="14"/>
        <v>atrasado</v>
      </c>
    </row>
    <row r="1554" spans="1:40" s="413" customFormat="1" ht="54.95" customHeight="1" thickBot="1" x14ac:dyDescent="0.25">
      <c r="A1554" s="411"/>
      <c r="B1554" s="583" t="s">
        <v>36</v>
      </c>
      <c r="C1554" s="418" t="s">
        <v>133</v>
      </c>
      <c r="D1554" s="419" t="s">
        <v>1334</v>
      </c>
      <c r="E1554" s="436" t="s">
        <v>1857</v>
      </c>
      <c r="F1554" s="420">
        <v>4501603414</v>
      </c>
      <c r="G1554" s="420" t="s">
        <v>39</v>
      </c>
      <c r="H1554" s="421">
        <v>2597.04</v>
      </c>
      <c r="I1554" s="422" t="s">
        <v>52</v>
      </c>
      <c r="J1554" s="423">
        <v>39227</v>
      </c>
      <c r="K1554" s="424">
        <v>95</v>
      </c>
      <c r="L1554" s="425">
        <f t="shared" si="10"/>
        <v>39322</v>
      </c>
      <c r="M1554" s="423" t="s">
        <v>41</v>
      </c>
      <c r="N1554" s="420" t="s">
        <v>42</v>
      </c>
      <c r="O1554" s="423">
        <v>39553</v>
      </c>
      <c r="P1554" s="424" t="str">
        <f t="shared" si="11"/>
        <v/>
      </c>
      <c r="Q1554" s="603"/>
      <c r="R1554" s="604"/>
      <c r="S1554" s="605"/>
      <c r="T1554" s="605"/>
      <c r="U1554" s="424" t="str">
        <f t="shared" si="13"/>
        <v/>
      </c>
      <c r="V1554" s="436" t="s">
        <v>1858</v>
      </c>
      <c r="W1554" s="606"/>
      <c r="X1554" s="426"/>
      <c r="Y1554" s="426"/>
      <c r="Z1554" s="420"/>
      <c r="AA1554" s="420"/>
      <c r="AB1554" s="607"/>
      <c r="AC1554" s="608" t="s">
        <v>1859</v>
      </c>
      <c r="AD1554" s="409"/>
      <c r="AE1554" s="412"/>
      <c r="AF1554" s="410"/>
      <c r="AG1554" s="410"/>
      <c r="AH1554" s="410"/>
      <c r="AI1554" s="410"/>
      <c r="AJ1554" s="410"/>
      <c r="AK1554" s="410"/>
      <c r="AL1554" s="410"/>
      <c r="AM1554" s="410"/>
      <c r="AN1554" s="410"/>
    </row>
    <row r="1555" spans="1:40" s="413" customFormat="1" ht="54.95" customHeight="1" thickBot="1" x14ac:dyDescent="0.25">
      <c r="A1555" s="411"/>
      <c r="B1555" s="612" t="s">
        <v>36</v>
      </c>
      <c r="C1555" s="613" t="s">
        <v>133</v>
      </c>
      <c r="D1555" s="614" t="s">
        <v>1663</v>
      </c>
      <c r="E1555" s="614" t="s">
        <v>1664</v>
      </c>
      <c r="F1555" s="615">
        <v>4502057475</v>
      </c>
      <c r="G1555" s="615" t="s">
        <v>39</v>
      </c>
      <c r="H1555" s="616">
        <v>557.91999999999996</v>
      </c>
      <c r="I1555" s="617" t="s">
        <v>142</v>
      </c>
      <c r="J1555" s="618">
        <v>39499</v>
      </c>
      <c r="K1555" s="619">
        <v>91</v>
      </c>
      <c r="L1555" s="620">
        <f t="shared" si="10"/>
        <v>39590</v>
      </c>
      <c r="M1555" s="618" t="s">
        <v>41</v>
      </c>
      <c r="N1555" s="615" t="s">
        <v>42</v>
      </c>
      <c r="O1555" s="618">
        <v>39576</v>
      </c>
      <c r="P1555" s="619" t="str">
        <f t="shared" si="11"/>
        <v/>
      </c>
      <c r="Q1555" s="621"/>
      <c r="R1555" s="622"/>
      <c r="S1555" s="623"/>
      <c r="T1555" s="623"/>
      <c r="U1555" s="619" t="str">
        <f t="shared" si="13"/>
        <v/>
      </c>
      <c r="V1555" s="624" t="s">
        <v>53</v>
      </c>
      <c r="W1555" s="625"/>
      <c r="X1555" s="615"/>
      <c r="Y1555" s="626"/>
      <c r="Z1555" s="615"/>
      <c r="AA1555" s="615"/>
      <c r="AB1555" s="627" t="str">
        <f>IF(S1555="","",IF('o.c.'!$Z$1&lt;(S1555+180),(S1555+180),"VENCIDA"))</f>
        <v/>
      </c>
      <c r="AC1555" s="628" t="s">
        <v>1860</v>
      </c>
      <c r="AD1555" s="409"/>
      <c r="AE1555" s="609"/>
      <c r="AF1555" s="610"/>
      <c r="AG1555" s="610"/>
      <c r="AH1555" s="610"/>
      <c r="AI1555" s="610"/>
      <c r="AJ1555" s="610"/>
      <c r="AK1555" s="610"/>
      <c r="AL1555" s="610"/>
      <c r="AM1555" s="610"/>
      <c r="AN1555" s="610"/>
    </row>
    <row r="1556" spans="1:40" s="587" customFormat="1" ht="54.95" customHeight="1" thickBot="1" x14ac:dyDescent="0.25">
      <c r="A1556" s="584"/>
      <c r="B1556" s="585" t="s">
        <v>36</v>
      </c>
      <c r="C1556" s="455" t="s">
        <v>37</v>
      </c>
      <c r="D1556" s="456" t="s">
        <v>1861</v>
      </c>
      <c r="E1556" s="457" t="s">
        <v>1862</v>
      </c>
      <c r="F1556" s="457">
        <v>7120001</v>
      </c>
      <c r="G1556" s="457" t="s">
        <v>39</v>
      </c>
      <c r="H1556" s="458">
        <v>1750</v>
      </c>
      <c r="I1556" s="459"/>
      <c r="J1556" s="460">
        <v>39427</v>
      </c>
      <c r="K1556" s="461">
        <v>90</v>
      </c>
      <c r="L1556" s="462">
        <f t="shared" si="10"/>
        <v>39517</v>
      </c>
      <c r="M1556" s="460" t="s">
        <v>41</v>
      </c>
      <c r="N1556" s="457" t="s">
        <v>1705</v>
      </c>
      <c r="O1556" s="460">
        <v>39472</v>
      </c>
      <c r="P1556" s="461">
        <f t="shared" si="11"/>
        <v>-29</v>
      </c>
      <c r="Q1556" s="461" t="s">
        <v>1819</v>
      </c>
      <c r="R1556" s="463">
        <v>39483</v>
      </c>
      <c r="S1556" s="464">
        <v>39488</v>
      </c>
      <c r="T1556" s="464">
        <v>39489</v>
      </c>
      <c r="U1556" s="461">
        <f t="shared" si="13"/>
        <v>62</v>
      </c>
      <c r="V1556" s="468" t="s">
        <v>1863</v>
      </c>
      <c r="W1556" s="457" t="s">
        <v>1864</v>
      </c>
      <c r="X1556" s="467"/>
      <c r="Y1556" s="467"/>
      <c r="Z1556" s="468" t="s">
        <v>1865</v>
      </c>
      <c r="AA1556" s="457" t="s">
        <v>1841</v>
      </c>
      <c r="AB1556" s="460" t="s">
        <v>47</v>
      </c>
      <c r="AC1556" s="470" t="s">
        <v>1866</v>
      </c>
      <c r="AD1556" s="586"/>
    </row>
    <row r="1557" spans="1:40" s="587" customFormat="1" ht="54.95" customHeight="1" thickBot="1" x14ac:dyDescent="0.25">
      <c r="A1557" s="584"/>
      <c r="B1557" s="585" t="s">
        <v>36</v>
      </c>
      <c r="C1557" s="455" t="s">
        <v>133</v>
      </c>
      <c r="D1557" s="456" t="s">
        <v>1663</v>
      </c>
      <c r="E1557" s="457" t="s">
        <v>1664</v>
      </c>
      <c r="F1557" s="457">
        <v>4501963332</v>
      </c>
      <c r="G1557" s="457" t="s">
        <v>39</v>
      </c>
      <c r="H1557" s="458">
        <v>206282.33</v>
      </c>
      <c r="I1557" s="459" t="s">
        <v>40</v>
      </c>
      <c r="J1557" s="460">
        <v>39437</v>
      </c>
      <c r="K1557" s="461">
        <v>97</v>
      </c>
      <c r="L1557" s="462">
        <f t="shared" si="10"/>
        <v>39534</v>
      </c>
      <c r="M1557" s="460" t="s">
        <v>41</v>
      </c>
      <c r="N1557" s="457" t="s">
        <v>42</v>
      </c>
      <c r="O1557" s="460">
        <v>39524</v>
      </c>
      <c r="P1557" s="461">
        <f t="shared" si="11"/>
        <v>4</v>
      </c>
      <c r="Q1557" s="591" t="s">
        <v>1867</v>
      </c>
      <c r="R1557" s="463">
        <v>39527</v>
      </c>
      <c r="S1557" s="464">
        <v>39538</v>
      </c>
      <c r="T1557" s="464">
        <f>+S1557+20</f>
        <v>39558</v>
      </c>
      <c r="U1557" s="461">
        <f t="shared" si="13"/>
        <v>121</v>
      </c>
      <c r="V1557" s="468" t="s">
        <v>1868</v>
      </c>
      <c r="W1557" s="493">
        <v>304</v>
      </c>
      <c r="X1557" s="457" t="s">
        <v>47</v>
      </c>
      <c r="Y1557" s="456">
        <v>39517</v>
      </c>
      <c r="Z1557" s="457">
        <v>6510425784</v>
      </c>
      <c r="AA1557" s="457" t="s">
        <v>1869</v>
      </c>
      <c r="AB1557" s="589" t="s">
        <v>1870</v>
      </c>
      <c r="AC1557" s="470" t="s">
        <v>1871</v>
      </c>
      <c r="AD1557" s="10" t="str">
        <f>IF(P1557="","",IF(P1557&lt;=0,"en término","atrasado"))</f>
        <v>atrasado</v>
      </c>
      <c r="AE1557" s="412"/>
    </row>
    <row r="1558" spans="1:40" s="587" customFormat="1" ht="54.95" customHeight="1" thickBot="1" x14ac:dyDescent="0.25">
      <c r="A1558" s="584"/>
      <c r="B1558" s="585" t="s">
        <v>36</v>
      </c>
      <c r="C1558" s="455" t="s">
        <v>133</v>
      </c>
      <c r="D1558" s="456" t="s">
        <v>1663</v>
      </c>
      <c r="E1558" s="457" t="s">
        <v>1664</v>
      </c>
      <c r="F1558" s="457">
        <v>4501963220</v>
      </c>
      <c r="G1558" s="457" t="s">
        <v>39</v>
      </c>
      <c r="H1558" s="458">
        <v>43011.42</v>
      </c>
      <c r="I1558" s="459" t="s">
        <v>52</v>
      </c>
      <c r="J1558" s="460">
        <v>39437</v>
      </c>
      <c r="K1558" s="461">
        <v>98</v>
      </c>
      <c r="L1558" s="462">
        <f t="shared" si="10"/>
        <v>39535</v>
      </c>
      <c r="M1558" s="460" t="s">
        <v>41</v>
      </c>
      <c r="N1558" s="457" t="s">
        <v>42</v>
      </c>
      <c r="O1558" s="460">
        <v>39524</v>
      </c>
      <c r="P1558" s="461">
        <f t="shared" si="11"/>
        <v>3</v>
      </c>
      <c r="Q1558" s="591" t="s">
        <v>1867</v>
      </c>
      <c r="R1558" s="463">
        <v>39527</v>
      </c>
      <c r="S1558" s="464">
        <v>39538</v>
      </c>
      <c r="T1558" s="464">
        <f>+S1558+20</f>
        <v>39558</v>
      </c>
      <c r="U1558" s="461">
        <f t="shared" si="13"/>
        <v>121</v>
      </c>
      <c r="V1558" s="468" t="s">
        <v>1872</v>
      </c>
      <c r="W1558" s="493">
        <v>305</v>
      </c>
      <c r="X1558" s="457" t="s">
        <v>47</v>
      </c>
      <c r="Y1558" s="456">
        <v>39517</v>
      </c>
      <c r="Z1558" s="457">
        <v>6510425784</v>
      </c>
      <c r="AA1558" s="457" t="s">
        <v>1869</v>
      </c>
      <c r="AB1558" s="589" t="s">
        <v>1873</v>
      </c>
      <c r="AC1558" s="470"/>
      <c r="AD1558" s="10" t="str">
        <f>IF(P1558="","",IF(P1558&lt;=0,"en término","atrasado"))</f>
        <v>atrasado</v>
      </c>
      <c r="AE1558" s="412"/>
    </row>
    <row r="1559" spans="1:40" s="587" customFormat="1" ht="54.95" customHeight="1" thickBot="1" x14ac:dyDescent="0.25">
      <c r="A1559" s="584"/>
      <c r="B1559" s="585" t="s">
        <v>36</v>
      </c>
      <c r="C1559" s="455" t="s">
        <v>37</v>
      </c>
      <c r="D1559" s="456" t="s">
        <v>1874</v>
      </c>
      <c r="E1559" s="457" t="s">
        <v>1875</v>
      </c>
      <c r="F1559" s="457">
        <v>8020002</v>
      </c>
      <c r="G1559" s="457" t="s">
        <v>39</v>
      </c>
      <c r="H1559" s="458">
        <v>10100.48</v>
      </c>
      <c r="I1559" s="459"/>
      <c r="J1559" s="460">
        <v>39500</v>
      </c>
      <c r="K1559" s="461">
        <v>60</v>
      </c>
      <c r="L1559" s="462">
        <f t="shared" si="10"/>
        <v>39560</v>
      </c>
      <c r="M1559" s="460" t="s">
        <v>41</v>
      </c>
      <c r="N1559" s="457" t="s">
        <v>1705</v>
      </c>
      <c r="O1559" s="460">
        <v>39533</v>
      </c>
      <c r="P1559" s="461">
        <f t="shared" si="11"/>
        <v>-22</v>
      </c>
      <c r="Q1559" s="461"/>
      <c r="R1559" s="463"/>
      <c r="S1559" s="464">
        <v>39538</v>
      </c>
      <c r="T1559" s="464">
        <f>+S1559+30</f>
        <v>39568</v>
      </c>
      <c r="U1559" s="461">
        <f t="shared" si="13"/>
        <v>68</v>
      </c>
      <c r="V1559" s="468" t="s">
        <v>1876</v>
      </c>
      <c r="W1559" s="457" t="s">
        <v>1877</v>
      </c>
      <c r="X1559" s="467"/>
      <c r="Y1559" s="467"/>
      <c r="Z1559" s="468" t="s">
        <v>1676</v>
      </c>
      <c r="AA1559" s="457" t="s">
        <v>1878</v>
      </c>
      <c r="AB1559" s="460" t="s">
        <v>47</v>
      </c>
      <c r="AC1559" s="470"/>
      <c r="AD1559" s="10"/>
    </row>
    <row r="1560" spans="1:40" s="587" customFormat="1" ht="54.95" customHeight="1" thickBot="1" x14ac:dyDescent="0.25">
      <c r="A1560" s="584"/>
      <c r="B1560" s="585" t="s">
        <v>36</v>
      </c>
      <c r="C1560" s="455" t="s">
        <v>37</v>
      </c>
      <c r="D1560" s="456" t="s">
        <v>1704</v>
      </c>
      <c r="E1560" s="456" t="s">
        <v>1879</v>
      </c>
      <c r="F1560" s="1616">
        <v>8040001</v>
      </c>
      <c r="G1560" s="457" t="s">
        <v>39</v>
      </c>
      <c r="H1560" s="1637">
        <v>26970.6</v>
      </c>
      <c r="I1560" s="459"/>
      <c r="J1560" s="460">
        <v>39532</v>
      </c>
      <c r="K1560" s="461">
        <v>90</v>
      </c>
      <c r="L1560" s="462">
        <f t="shared" si="10"/>
        <v>39622</v>
      </c>
      <c r="M1560" s="460" t="s">
        <v>41</v>
      </c>
      <c r="N1560" s="457" t="s">
        <v>1880</v>
      </c>
      <c r="O1560" s="460">
        <v>39541</v>
      </c>
      <c r="P1560" s="461">
        <f t="shared" si="11"/>
        <v>-11</v>
      </c>
      <c r="Q1560" s="591"/>
      <c r="R1560" s="463"/>
      <c r="S1560" s="464">
        <v>39611</v>
      </c>
      <c r="T1560" s="464">
        <v>39615</v>
      </c>
      <c r="U1560" s="461">
        <f t="shared" si="13"/>
        <v>83</v>
      </c>
      <c r="V1560" s="468" t="s">
        <v>1881</v>
      </c>
      <c r="W1560" s="457" t="s">
        <v>1882</v>
      </c>
      <c r="X1560" s="467"/>
      <c r="Y1560" s="467"/>
      <c r="Z1560" s="457" t="s">
        <v>1676</v>
      </c>
      <c r="AA1560" s="457" t="s">
        <v>1883</v>
      </c>
      <c r="AB1560" s="460" t="s">
        <v>47</v>
      </c>
      <c r="AC1560" s="476"/>
      <c r="AD1560" s="10"/>
    </row>
    <row r="1561" spans="1:40" s="587" customFormat="1" ht="54.95" customHeight="1" thickBot="1" x14ac:dyDescent="0.25">
      <c r="A1561" s="584"/>
      <c r="B1561" s="585" t="s">
        <v>36</v>
      </c>
      <c r="C1561" s="455" t="s">
        <v>37</v>
      </c>
      <c r="D1561" s="456" t="s">
        <v>1704</v>
      </c>
      <c r="E1561" s="456" t="s">
        <v>1884</v>
      </c>
      <c r="F1561" s="1617"/>
      <c r="G1561" s="457" t="s">
        <v>39</v>
      </c>
      <c r="H1561" s="1638"/>
      <c r="I1561" s="459"/>
      <c r="J1561" s="460">
        <v>39525</v>
      </c>
      <c r="K1561" s="461">
        <v>90</v>
      </c>
      <c r="L1561" s="462">
        <f t="shared" si="10"/>
        <v>39615</v>
      </c>
      <c r="M1561" s="460" t="s">
        <v>41</v>
      </c>
      <c r="N1561" s="457" t="s">
        <v>1880</v>
      </c>
      <c r="O1561" s="460">
        <v>39541</v>
      </c>
      <c r="P1561" s="461">
        <f t="shared" si="11"/>
        <v>-4</v>
      </c>
      <c r="Q1561" s="591"/>
      <c r="R1561" s="463"/>
      <c r="S1561" s="464">
        <v>39611</v>
      </c>
      <c r="T1561" s="464">
        <v>39615</v>
      </c>
      <c r="U1561" s="461">
        <f t="shared" si="13"/>
        <v>90</v>
      </c>
      <c r="V1561" s="468" t="s">
        <v>1885</v>
      </c>
      <c r="W1561" s="457" t="s">
        <v>1882</v>
      </c>
      <c r="X1561" s="467"/>
      <c r="Y1561" s="467"/>
      <c r="Z1561" s="457" t="s">
        <v>1676</v>
      </c>
      <c r="AA1561" s="457" t="s">
        <v>1883</v>
      </c>
      <c r="AB1561" s="460" t="s">
        <v>47</v>
      </c>
      <c r="AC1561" s="476"/>
      <c r="AD1561" s="10"/>
    </row>
    <row r="1562" spans="1:40" s="587" customFormat="1" ht="54.95" customHeight="1" thickBot="1" x14ac:dyDescent="0.25">
      <c r="A1562" s="584"/>
      <c r="B1562" s="585" t="s">
        <v>36</v>
      </c>
      <c r="C1562" s="455" t="s">
        <v>133</v>
      </c>
      <c r="D1562" s="456" t="s">
        <v>1663</v>
      </c>
      <c r="E1562" s="457" t="s">
        <v>1664</v>
      </c>
      <c r="F1562" s="457">
        <v>4502014045</v>
      </c>
      <c r="G1562" s="457" t="s">
        <v>39</v>
      </c>
      <c r="H1562" s="458">
        <v>19011.419999999998</v>
      </c>
      <c r="I1562" s="459" t="s">
        <v>142</v>
      </c>
      <c r="J1562" s="460">
        <v>39470</v>
      </c>
      <c r="K1562" s="461">
        <v>121</v>
      </c>
      <c r="L1562" s="462">
        <f t="shared" si="10"/>
        <v>39591</v>
      </c>
      <c r="M1562" s="460" t="s">
        <v>41</v>
      </c>
      <c r="N1562" s="457" t="s">
        <v>42</v>
      </c>
      <c r="O1562" s="460">
        <v>39552</v>
      </c>
      <c r="P1562" s="461">
        <f t="shared" si="11"/>
        <v>-23</v>
      </c>
      <c r="Q1562" s="591" t="s">
        <v>1867</v>
      </c>
      <c r="R1562" s="463"/>
      <c r="S1562" s="464">
        <v>39568</v>
      </c>
      <c r="T1562" s="464">
        <f>+S1562+20</f>
        <v>39588</v>
      </c>
      <c r="U1562" s="461">
        <f t="shared" si="13"/>
        <v>118</v>
      </c>
      <c r="V1562" s="468" t="s">
        <v>879</v>
      </c>
      <c r="W1562" s="493">
        <v>310</v>
      </c>
      <c r="X1562" s="457" t="s">
        <v>47</v>
      </c>
      <c r="Y1562" s="456" t="s">
        <v>1886</v>
      </c>
      <c r="Z1562" s="457" t="s">
        <v>1887</v>
      </c>
      <c r="AA1562" s="457" t="s">
        <v>1888</v>
      </c>
      <c r="AB1562" s="460" t="s">
        <v>1889</v>
      </c>
      <c r="AC1562" s="470" t="s">
        <v>1890</v>
      </c>
      <c r="AD1562" s="10" t="str">
        <f t="shared" ref="AD1562:AD1580" si="15">IF(P1562="","",IF(P1562&lt;=0,"en término","atrasado"))</f>
        <v>en término</v>
      </c>
      <c r="AE1562" s="412"/>
    </row>
    <row r="1563" spans="1:40" s="587" customFormat="1" ht="54.95" customHeight="1" thickBot="1" x14ac:dyDescent="0.25">
      <c r="A1563" s="584"/>
      <c r="B1563" s="630" t="s">
        <v>36</v>
      </c>
      <c r="C1563" s="630" t="s">
        <v>133</v>
      </c>
      <c r="D1563" s="611" t="s">
        <v>1663</v>
      </c>
      <c r="E1563" s="611" t="s">
        <v>1664</v>
      </c>
      <c r="F1563" s="631">
        <v>4501713217</v>
      </c>
      <c r="G1563" s="611" t="s">
        <v>39</v>
      </c>
      <c r="H1563" s="632">
        <v>694.92</v>
      </c>
      <c r="I1563" s="589" t="s">
        <v>142</v>
      </c>
      <c r="J1563" s="589">
        <v>39294</v>
      </c>
      <c r="K1563" s="591">
        <v>114</v>
      </c>
      <c r="L1563" s="633">
        <f t="shared" si="10"/>
        <v>39408</v>
      </c>
      <c r="M1563" s="589" t="s">
        <v>41</v>
      </c>
      <c r="N1563" s="589" t="s">
        <v>42</v>
      </c>
      <c r="O1563" s="460">
        <v>39552</v>
      </c>
      <c r="P1563" s="461">
        <f t="shared" si="11"/>
        <v>160</v>
      </c>
      <c r="Q1563" s="591" t="s">
        <v>1867</v>
      </c>
      <c r="R1563" s="589"/>
      <c r="S1563" s="464">
        <v>39568</v>
      </c>
      <c r="T1563" s="464">
        <f>+S1563+20</f>
        <v>39588</v>
      </c>
      <c r="U1563" s="461">
        <f t="shared" si="13"/>
        <v>294</v>
      </c>
      <c r="V1563" s="589" t="s">
        <v>1891</v>
      </c>
      <c r="W1563" s="493">
        <v>309</v>
      </c>
      <c r="X1563" s="589" t="s">
        <v>47</v>
      </c>
      <c r="Y1563" s="467"/>
      <c r="Z1563" s="589" t="s">
        <v>1887</v>
      </c>
      <c r="AA1563" s="457" t="s">
        <v>1888</v>
      </c>
      <c r="AB1563" s="589" t="s">
        <v>1892</v>
      </c>
      <c r="AC1563" s="470" t="s">
        <v>1893</v>
      </c>
      <c r="AD1563" s="10" t="str">
        <f t="shared" si="15"/>
        <v>atrasado</v>
      </c>
      <c r="AE1563" s="412"/>
    </row>
    <row r="1564" spans="1:40" s="587" customFormat="1" ht="54.95" customHeight="1" thickBot="1" x14ac:dyDescent="0.25">
      <c r="A1564" s="584"/>
      <c r="B1564" s="585" t="s">
        <v>36</v>
      </c>
      <c r="C1564" s="455" t="s">
        <v>133</v>
      </c>
      <c r="D1564" s="456" t="s">
        <v>1663</v>
      </c>
      <c r="E1564" s="457" t="s">
        <v>1664</v>
      </c>
      <c r="F1564" s="457">
        <v>4502005604</v>
      </c>
      <c r="G1564" s="457" t="s">
        <v>39</v>
      </c>
      <c r="H1564" s="458">
        <v>52423.63</v>
      </c>
      <c r="I1564" s="459" t="s">
        <v>52</v>
      </c>
      <c r="J1564" s="460">
        <v>39464</v>
      </c>
      <c r="K1564" s="461">
        <v>96</v>
      </c>
      <c r="L1564" s="462">
        <f t="shared" si="10"/>
        <v>39560</v>
      </c>
      <c r="M1564" s="460" t="s">
        <v>41</v>
      </c>
      <c r="N1564" s="457" t="s">
        <v>42</v>
      </c>
      <c r="O1564" s="460">
        <v>39552</v>
      </c>
      <c r="P1564" s="461">
        <f t="shared" si="11"/>
        <v>8</v>
      </c>
      <c r="Q1564" s="591" t="s">
        <v>1867</v>
      </c>
      <c r="R1564" s="463"/>
      <c r="S1564" s="464">
        <v>39568</v>
      </c>
      <c r="T1564" s="464">
        <f>+S1564+13</f>
        <v>39581</v>
      </c>
      <c r="U1564" s="461">
        <f t="shared" si="13"/>
        <v>117</v>
      </c>
      <c r="V1564" s="468" t="s">
        <v>1838</v>
      </c>
      <c r="W1564" s="493">
        <v>312</v>
      </c>
      <c r="X1564" s="457" t="s">
        <v>47</v>
      </c>
      <c r="Y1564" s="456" t="s">
        <v>1886</v>
      </c>
      <c r="Z1564" s="457" t="s">
        <v>1887</v>
      </c>
      <c r="AA1564" s="457" t="s">
        <v>1894</v>
      </c>
      <c r="AB1564" s="589" t="s">
        <v>1895</v>
      </c>
      <c r="AC1564" s="470"/>
      <c r="AD1564" s="10" t="str">
        <f t="shared" si="15"/>
        <v>atrasado</v>
      </c>
      <c r="AE1564" s="412"/>
    </row>
    <row r="1565" spans="1:40" s="587" customFormat="1" ht="54.95" customHeight="1" thickBot="1" x14ac:dyDescent="0.25">
      <c r="A1565" s="584"/>
      <c r="B1565" s="585" t="s">
        <v>36</v>
      </c>
      <c r="C1565" s="455" t="s">
        <v>133</v>
      </c>
      <c r="D1565" s="456" t="s">
        <v>1663</v>
      </c>
      <c r="E1565" s="457" t="s">
        <v>1664</v>
      </c>
      <c r="F1565" s="457">
        <v>4501694685</v>
      </c>
      <c r="G1565" s="457" t="s">
        <v>39</v>
      </c>
      <c r="H1565" s="458">
        <v>1049.72</v>
      </c>
      <c r="I1565" s="459" t="s">
        <v>62</v>
      </c>
      <c r="J1565" s="460">
        <v>39282</v>
      </c>
      <c r="K1565" s="461">
        <v>148</v>
      </c>
      <c r="L1565" s="462">
        <f t="shared" si="10"/>
        <v>39430</v>
      </c>
      <c r="M1565" s="460" t="s">
        <v>41</v>
      </c>
      <c r="N1565" s="457" t="s">
        <v>42</v>
      </c>
      <c r="O1565" s="460">
        <v>39552</v>
      </c>
      <c r="P1565" s="461">
        <f t="shared" si="11"/>
        <v>138</v>
      </c>
      <c r="Q1565" s="591" t="s">
        <v>1867</v>
      </c>
      <c r="R1565" s="463"/>
      <c r="S1565" s="464">
        <v>39568</v>
      </c>
      <c r="T1565" s="464">
        <f t="shared" ref="T1565:T1572" si="16">+S1565+20</f>
        <v>39588</v>
      </c>
      <c r="U1565" s="461">
        <f t="shared" si="13"/>
        <v>306</v>
      </c>
      <c r="V1565" s="468" t="s">
        <v>53</v>
      </c>
      <c r="W1565" s="493">
        <v>311</v>
      </c>
      <c r="X1565" s="457" t="s">
        <v>47</v>
      </c>
      <c r="Y1565" s="467"/>
      <c r="Z1565" s="457" t="s">
        <v>1887</v>
      </c>
      <c r="AA1565" s="457" t="s">
        <v>1888</v>
      </c>
      <c r="AB1565" s="589" t="s">
        <v>1896</v>
      </c>
      <c r="AC1565" s="634" t="s">
        <v>1897</v>
      </c>
      <c r="AD1565" s="10" t="str">
        <f t="shared" si="15"/>
        <v>atrasado</v>
      </c>
      <c r="AE1565" s="412"/>
    </row>
    <row r="1566" spans="1:40" s="587" customFormat="1" ht="54.95" customHeight="1" thickBot="1" x14ac:dyDescent="0.25">
      <c r="A1566" s="584"/>
      <c r="B1566" s="585" t="s">
        <v>36</v>
      </c>
      <c r="C1566" s="455" t="s">
        <v>37</v>
      </c>
      <c r="D1566" s="456" t="s">
        <v>1898</v>
      </c>
      <c r="E1566" s="456" t="s">
        <v>1899</v>
      </c>
      <c r="F1566" s="457">
        <v>8030001</v>
      </c>
      <c r="G1566" s="457" t="s">
        <v>39</v>
      </c>
      <c r="H1566" s="458">
        <v>2313</v>
      </c>
      <c r="I1566" s="459"/>
      <c r="J1566" s="460">
        <v>39519</v>
      </c>
      <c r="K1566" s="461">
        <v>60</v>
      </c>
      <c r="L1566" s="462">
        <f t="shared" si="10"/>
        <v>39579</v>
      </c>
      <c r="M1566" s="460" t="s">
        <v>41</v>
      </c>
      <c r="N1566" s="457" t="s">
        <v>1750</v>
      </c>
      <c r="O1566" s="460">
        <v>39552</v>
      </c>
      <c r="P1566" s="461">
        <f t="shared" si="11"/>
        <v>-11</v>
      </c>
      <c r="Q1566" s="591" t="s">
        <v>1900</v>
      </c>
      <c r="R1566" s="463"/>
      <c r="S1566" s="464">
        <v>39568</v>
      </c>
      <c r="T1566" s="464">
        <f t="shared" si="16"/>
        <v>39588</v>
      </c>
      <c r="U1566" s="461">
        <f t="shared" si="13"/>
        <v>69</v>
      </c>
      <c r="V1566" s="468" t="s">
        <v>1020</v>
      </c>
      <c r="W1566" s="493">
        <v>313</v>
      </c>
      <c r="X1566" s="467"/>
      <c r="Y1566" s="456" t="s">
        <v>1886</v>
      </c>
      <c r="Z1566" s="457" t="s">
        <v>1887</v>
      </c>
      <c r="AA1566" s="457" t="s">
        <v>1888</v>
      </c>
      <c r="AB1566" s="460" t="s">
        <v>1901</v>
      </c>
      <c r="AC1566" s="476"/>
      <c r="AD1566" s="10" t="str">
        <f t="shared" si="15"/>
        <v>en término</v>
      </c>
      <c r="AE1566" s="645"/>
    </row>
    <row r="1567" spans="1:40" s="587" customFormat="1" ht="54.95" customHeight="1" thickBot="1" x14ac:dyDescent="0.25">
      <c r="A1567" s="584"/>
      <c r="B1567" s="585" t="s">
        <v>36</v>
      </c>
      <c r="C1567" s="455" t="s">
        <v>37</v>
      </c>
      <c r="D1567" s="456" t="s">
        <v>1902</v>
      </c>
      <c r="E1567" s="456" t="s">
        <v>1903</v>
      </c>
      <c r="F1567" s="457">
        <v>8030002</v>
      </c>
      <c r="G1567" s="457" t="s">
        <v>39</v>
      </c>
      <c r="H1567" s="458">
        <v>45995.360000000001</v>
      </c>
      <c r="I1567" s="459" t="s">
        <v>142</v>
      </c>
      <c r="J1567" s="460">
        <v>39511</v>
      </c>
      <c r="K1567" s="461">
        <v>70</v>
      </c>
      <c r="L1567" s="462">
        <f t="shared" si="10"/>
        <v>39581</v>
      </c>
      <c r="M1567" s="460" t="s">
        <v>41</v>
      </c>
      <c r="N1567" s="457" t="s">
        <v>1750</v>
      </c>
      <c r="O1567" s="460">
        <v>39552</v>
      </c>
      <c r="P1567" s="461">
        <f t="shared" si="11"/>
        <v>-13</v>
      </c>
      <c r="Q1567" s="591" t="s">
        <v>1900</v>
      </c>
      <c r="R1567" s="463"/>
      <c r="S1567" s="464">
        <v>39568</v>
      </c>
      <c r="T1567" s="464">
        <f t="shared" si="16"/>
        <v>39588</v>
      </c>
      <c r="U1567" s="461">
        <f t="shared" si="13"/>
        <v>77</v>
      </c>
      <c r="V1567" s="468" t="s">
        <v>1904</v>
      </c>
      <c r="W1567" s="493">
        <v>313</v>
      </c>
      <c r="X1567" s="467"/>
      <c r="Y1567" s="456" t="s">
        <v>1886</v>
      </c>
      <c r="Z1567" s="457" t="s">
        <v>1887</v>
      </c>
      <c r="AA1567" s="457" t="s">
        <v>1888</v>
      </c>
      <c r="AB1567" s="460" t="s">
        <v>1901</v>
      </c>
      <c r="AC1567" s="476"/>
      <c r="AD1567" s="10" t="str">
        <f t="shared" si="15"/>
        <v>en término</v>
      </c>
      <c r="AE1567" s="645"/>
    </row>
    <row r="1568" spans="1:40" s="587" customFormat="1" ht="54.95" customHeight="1" thickBot="1" x14ac:dyDescent="0.25">
      <c r="A1568" s="584"/>
      <c r="B1568" s="585" t="s">
        <v>36</v>
      </c>
      <c r="C1568" s="455" t="s">
        <v>37</v>
      </c>
      <c r="D1568" s="456" t="s">
        <v>1905</v>
      </c>
      <c r="E1568" s="456" t="s">
        <v>1906</v>
      </c>
      <c r="F1568" s="457">
        <v>8030003</v>
      </c>
      <c r="G1568" s="457" t="s">
        <v>39</v>
      </c>
      <c r="H1568" s="458">
        <v>4825</v>
      </c>
      <c r="I1568" s="459"/>
      <c r="J1568" s="460">
        <v>39520</v>
      </c>
      <c r="K1568" s="461">
        <v>30</v>
      </c>
      <c r="L1568" s="462">
        <f t="shared" si="10"/>
        <v>39550</v>
      </c>
      <c r="M1568" s="460" t="s">
        <v>41</v>
      </c>
      <c r="N1568" s="457" t="s">
        <v>1750</v>
      </c>
      <c r="O1568" s="460">
        <v>39552</v>
      </c>
      <c r="P1568" s="461">
        <f t="shared" si="11"/>
        <v>18</v>
      </c>
      <c r="Q1568" s="591" t="s">
        <v>1900</v>
      </c>
      <c r="R1568" s="463"/>
      <c r="S1568" s="464">
        <v>39568</v>
      </c>
      <c r="T1568" s="464">
        <f t="shared" si="16"/>
        <v>39588</v>
      </c>
      <c r="U1568" s="461">
        <f t="shared" si="13"/>
        <v>68</v>
      </c>
      <c r="V1568" s="468" t="s">
        <v>1907</v>
      </c>
      <c r="W1568" s="493">
        <v>313</v>
      </c>
      <c r="X1568" s="467"/>
      <c r="Y1568" s="592"/>
      <c r="Z1568" s="457" t="s">
        <v>1887</v>
      </c>
      <c r="AA1568" s="457" t="s">
        <v>1888</v>
      </c>
      <c r="AB1568" s="460" t="s">
        <v>1901</v>
      </c>
      <c r="AC1568" s="476"/>
      <c r="AD1568" s="10" t="str">
        <f t="shared" si="15"/>
        <v>atrasado</v>
      </c>
      <c r="AE1568" s="645"/>
    </row>
    <row r="1569" spans="1:31" s="587" customFormat="1" ht="54.95" customHeight="1" thickBot="1" x14ac:dyDescent="0.25">
      <c r="A1569" s="584"/>
      <c r="B1569" s="585" t="s">
        <v>36</v>
      </c>
      <c r="C1569" s="455" t="s">
        <v>133</v>
      </c>
      <c r="D1569" s="456" t="s">
        <v>1663</v>
      </c>
      <c r="E1569" s="457" t="s">
        <v>1664</v>
      </c>
      <c r="F1569" s="457">
        <v>4502052850</v>
      </c>
      <c r="G1569" s="457" t="s">
        <v>39</v>
      </c>
      <c r="H1569" s="458">
        <v>109728.12</v>
      </c>
      <c r="I1569" s="459" t="s">
        <v>40</v>
      </c>
      <c r="J1569" s="460">
        <v>39497</v>
      </c>
      <c r="K1569" s="461">
        <v>98</v>
      </c>
      <c r="L1569" s="462">
        <f t="shared" si="10"/>
        <v>39595</v>
      </c>
      <c r="M1569" s="460" t="s">
        <v>41</v>
      </c>
      <c r="N1569" s="457" t="s">
        <v>42</v>
      </c>
      <c r="O1569" s="460">
        <v>39584</v>
      </c>
      <c r="P1569" s="461">
        <f t="shared" si="11"/>
        <v>5</v>
      </c>
      <c r="Q1569" s="591" t="s">
        <v>1908</v>
      </c>
      <c r="R1569" s="463">
        <v>39587</v>
      </c>
      <c r="S1569" s="464">
        <v>39600</v>
      </c>
      <c r="T1569" s="464">
        <f t="shared" si="16"/>
        <v>39620</v>
      </c>
      <c r="U1569" s="461">
        <f t="shared" si="13"/>
        <v>123</v>
      </c>
      <c r="V1569" s="468" t="s">
        <v>1122</v>
      </c>
      <c r="W1569" s="493">
        <v>319</v>
      </c>
      <c r="X1569" s="457" t="s">
        <v>47</v>
      </c>
      <c r="Y1569" s="457" t="s">
        <v>1909</v>
      </c>
      <c r="Z1569" s="457">
        <v>6510425762</v>
      </c>
      <c r="AA1569" s="457" t="s">
        <v>47</v>
      </c>
      <c r="AB1569" s="589" t="s">
        <v>1910</v>
      </c>
      <c r="AC1569" s="470" t="s">
        <v>1911</v>
      </c>
      <c r="AD1569" s="10" t="str">
        <f t="shared" si="15"/>
        <v>atrasado</v>
      </c>
      <c r="AE1569" s="412"/>
    </row>
    <row r="1570" spans="1:31" s="587" customFormat="1" ht="54.95" customHeight="1" thickBot="1" x14ac:dyDescent="0.25">
      <c r="A1570" s="584"/>
      <c r="B1570" s="585" t="s">
        <v>36</v>
      </c>
      <c r="C1570" s="455" t="s">
        <v>133</v>
      </c>
      <c r="D1570" s="456" t="s">
        <v>1663</v>
      </c>
      <c r="E1570" s="457" t="s">
        <v>1664</v>
      </c>
      <c r="F1570" s="457">
        <v>4502052512</v>
      </c>
      <c r="G1570" s="457" t="s">
        <v>39</v>
      </c>
      <c r="H1570" s="458">
        <v>46268.56</v>
      </c>
      <c r="I1570" s="459" t="s">
        <v>52</v>
      </c>
      <c r="J1570" s="460">
        <v>39497</v>
      </c>
      <c r="K1570" s="461">
        <v>97</v>
      </c>
      <c r="L1570" s="462">
        <f t="shared" si="10"/>
        <v>39594</v>
      </c>
      <c r="M1570" s="460" t="s">
        <v>41</v>
      </c>
      <c r="N1570" s="457" t="s">
        <v>42</v>
      </c>
      <c r="O1570" s="460">
        <v>39584</v>
      </c>
      <c r="P1570" s="461">
        <f t="shared" si="11"/>
        <v>6</v>
      </c>
      <c r="Q1570" s="591" t="s">
        <v>1908</v>
      </c>
      <c r="R1570" s="463">
        <v>39587</v>
      </c>
      <c r="S1570" s="464">
        <v>39600</v>
      </c>
      <c r="T1570" s="464">
        <f t="shared" si="16"/>
        <v>39620</v>
      </c>
      <c r="U1570" s="461">
        <f t="shared" si="13"/>
        <v>123</v>
      </c>
      <c r="V1570" s="468" t="s">
        <v>758</v>
      </c>
      <c r="W1570" s="493">
        <v>318</v>
      </c>
      <c r="X1570" s="457" t="s">
        <v>47</v>
      </c>
      <c r="Y1570" s="457" t="s">
        <v>1909</v>
      </c>
      <c r="Z1570" s="457">
        <v>6510425762</v>
      </c>
      <c r="AA1570" s="457"/>
      <c r="AB1570" s="589" t="s">
        <v>1912</v>
      </c>
      <c r="AC1570" s="470" t="s">
        <v>1911</v>
      </c>
      <c r="AD1570" s="10" t="str">
        <f t="shared" si="15"/>
        <v>atrasado</v>
      </c>
      <c r="AE1570" s="412"/>
    </row>
    <row r="1571" spans="1:31" s="587" customFormat="1" ht="54.95" customHeight="1" thickBot="1" x14ac:dyDescent="0.25">
      <c r="A1571" s="584"/>
      <c r="B1571" s="585" t="s">
        <v>36</v>
      </c>
      <c r="C1571" s="455" t="s">
        <v>37</v>
      </c>
      <c r="D1571" s="456" t="s">
        <v>1913</v>
      </c>
      <c r="E1571" s="456" t="s">
        <v>1914</v>
      </c>
      <c r="F1571" s="457">
        <v>8040005</v>
      </c>
      <c r="G1571" s="457" t="s">
        <v>39</v>
      </c>
      <c r="H1571" s="458">
        <v>6210</v>
      </c>
      <c r="I1571" s="459" t="s">
        <v>40</v>
      </c>
      <c r="J1571" s="460">
        <v>39560</v>
      </c>
      <c r="K1571" s="461">
        <v>30</v>
      </c>
      <c r="L1571" s="462">
        <f t="shared" si="10"/>
        <v>39590</v>
      </c>
      <c r="M1571" s="460" t="s">
        <v>41</v>
      </c>
      <c r="N1571" s="457" t="s">
        <v>1750</v>
      </c>
      <c r="O1571" s="460">
        <v>39584</v>
      </c>
      <c r="P1571" s="461">
        <f t="shared" si="11"/>
        <v>10</v>
      </c>
      <c r="Q1571" s="591" t="s">
        <v>1908</v>
      </c>
      <c r="R1571" s="463">
        <v>39587</v>
      </c>
      <c r="S1571" s="464">
        <v>39600</v>
      </c>
      <c r="T1571" s="464">
        <f t="shared" si="16"/>
        <v>39620</v>
      </c>
      <c r="U1571" s="461">
        <f t="shared" si="13"/>
        <v>60</v>
      </c>
      <c r="V1571" s="468" t="s">
        <v>1915</v>
      </c>
      <c r="W1571" s="493">
        <v>320</v>
      </c>
      <c r="X1571" s="467"/>
      <c r="Y1571" s="467"/>
      <c r="Z1571" s="457">
        <v>6510425762</v>
      </c>
      <c r="AA1571" s="457" t="s">
        <v>1916</v>
      </c>
      <c r="AB1571" s="460" t="s">
        <v>1901</v>
      </c>
      <c r="AC1571" s="470" t="s">
        <v>1911</v>
      </c>
      <c r="AD1571" s="10" t="str">
        <f t="shared" si="15"/>
        <v>atrasado</v>
      </c>
      <c r="AE1571" s="645"/>
    </row>
    <row r="1572" spans="1:31" s="587" customFormat="1" ht="54.95" customHeight="1" thickBot="1" x14ac:dyDescent="0.25">
      <c r="A1572" s="584"/>
      <c r="B1572" s="585" t="s">
        <v>36</v>
      </c>
      <c r="C1572" s="455" t="s">
        <v>37</v>
      </c>
      <c r="D1572" s="456" t="s">
        <v>1917</v>
      </c>
      <c r="E1572" s="456" t="s">
        <v>1918</v>
      </c>
      <c r="F1572" s="457">
        <v>8040007</v>
      </c>
      <c r="G1572" s="457" t="s">
        <v>39</v>
      </c>
      <c r="H1572" s="458">
        <v>2650</v>
      </c>
      <c r="I1572" s="459" t="s">
        <v>52</v>
      </c>
      <c r="J1572" s="460">
        <v>39556</v>
      </c>
      <c r="K1572" s="461">
        <v>45</v>
      </c>
      <c r="L1572" s="462">
        <f t="shared" si="10"/>
        <v>39601</v>
      </c>
      <c r="M1572" s="460" t="s">
        <v>41</v>
      </c>
      <c r="N1572" s="457" t="s">
        <v>1750</v>
      </c>
      <c r="O1572" s="460">
        <v>39584</v>
      </c>
      <c r="P1572" s="461">
        <f t="shared" si="11"/>
        <v>-1</v>
      </c>
      <c r="Q1572" s="591" t="s">
        <v>1908</v>
      </c>
      <c r="R1572" s="463">
        <v>39587</v>
      </c>
      <c r="S1572" s="464">
        <v>39600</v>
      </c>
      <c r="T1572" s="464">
        <f t="shared" si="16"/>
        <v>39620</v>
      </c>
      <c r="U1572" s="461">
        <f t="shared" si="13"/>
        <v>64</v>
      </c>
      <c r="V1572" s="468" t="s">
        <v>1919</v>
      </c>
      <c r="W1572" s="493">
        <v>320</v>
      </c>
      <c r="X1572" s="467"/>
      <c r="Y1572" s="467"/>
      <c r="Z1572" s="457">
        <v>6510425762</v>
      </c>
      <c r="AA1572" s="457" t="s">
        <v>1920</v>
      </c>
      <c r="AB1572" s="460" t="s">
        <v>1901</v>
      </c>
      <c r="AC1572" s="470" t="s">
        <v>1911</v>
      </c>
      <c r="AD1572" s="10" t="str">
        <f t="shared" si="15"/>
        <v>en término</v>
      </c>
      <c r="AE1572" s="645"/>
    </row>
    <row r="1573" spans="1:31" s="587" customFormat="1" ht="54.95" customHeight="1" thickBot="1" x14ac:dyDescent="0.25">
      <c r="A1573" s="584"/>
      <c r="B1573" s="585" t="s">
        <v>36</v>
      </c>
      <c r="C1573" s="455" t="s">
        <v>133</v>
      </c>
      <c r="D1573" s="456" t="s">
        <v>1663</v>
      </c>
      <c r="E1573" s="457" t="s">
        <v>1664</v>
      </c>
      <c r="F1573" s="457">
        <v>4502109297</v>
      </c>
      <c r="G1573" s="457" t="s">
        <v>39</v>
      </c>
      <c r="H1573" s="458">
        <v>52874.33</v>
      </c>
      <c r="I1573" s="459" t="s">
        <v>40</v>
      </c>
      <c r="J1573" s="460">
        <v>39531</v>
      </c>
      <c r="K1573" s="461">
        <v>94</v>
      </c>
      <c r="L1573" s="462">
        <v>39626</v>
      </c>
      <c r="M1573" s="460" t="s">
        <v>41</v>
      </c>
      <c r="N1573" s="457" t="s">
        <v>1750</v>
      </c>
      <c r="O1573" s="460">
        <v>39612</v>
      </c>
      <c r="P1573" s="461">
        <f t="shared" si="11"/>
        <v>1</v>
      </c>
      <c r="Q1573" s="591" t="s">
        <v>1921</v>
      </c>
      <c r="R1573" s="463">
        <v>39620</v>
      </c>
      <c r="S1573" s="464">
        <v>39627</v>
      </c>
      <c r="T1573" s="464">
        <v>39643</v>
      </c>
      <c r="U1573" s="461">
        <f t="shared" si="13"/>
        <v>112</v>
      </c>
      <c r="V1573" s="468" t="s">
        <v>955</v>
      </c>
      <c r="W1573" s="493">
        <v>327</v>
      </c>
      <c r="X1573" s="457" t="s">
        <v>47</v>
      </c>
      <c r="Y1573" s="457" t="s">
        <v>1922</v>
      </c>
      <c r="Z1573" s="457">
        <v>6510425386</v>
      </c>
      <c r="AA1573" s="457" t="s">
        <v>1923</v>
      </c>
      <c r="AB1573" s="589" t="s">
        <v>1924</v>
      </c>
      <c r="AC1573" s="470"/>
      <c r="AD1573" s="10" t="str">
        <f t="shared" si="15"/>
        <v>atrasado</v>
      </c>
      <c r="AE1573" s="412"/>
    </row>
    <row r="1574" spans="1:31" s="587" customFormat="1" ht="54.95" customHeight="1" thickBot="1" x14ac:dyDescent="0.25">
      <c r="A1574" s="584"/>
      <c r="B1574" s="585" t="s">
        <v>36</v>
      </c>
      <c r="C1574" s="455" t="s">
        <v>37</v>
      </c>
      <c r="D1574" s="456" t="s">
        <v>1925</v>
      </c>
      <c r="E1574" s="456" t="s">
        <v>1926</v>
      </c>
      <c r="F1574" s="457">
        <v>8040006</v>
      </c>
      <c r="G1574" s="457" t="s">
        <v>39</v>
      </c>
      <c r="H1574" s="458">
        <v>11740</v>
      </c>
      <c r="I1574" s="459" t="s">
        <v>142</v>
      </c>
      <c r="J1574" s="460">
        <v>39560</v>
      </c>
      <c r="K1574" s="461">
        <v>60</v>
      </c>
      <c r="L1574" s="462">
        <f t="shared" ref="L1574:L1580" si="17">+J1574+K1574</f>
        <v>39620</v>
      </c>
      <c r="M1574" s="460" t="s">
        <v>41</v>
      </c>
      <c r="N1574" s="457" t="s">
        <v>1750</v>
      </c>
      <c r="O1574" s="460">
        <v>39612</v>
      </c>
      <c r="P1574" s="461">
        <f t="shared" si="11"/>
        <v>7</v>
      </c>
      <c r="Q1574" s="591" t="s">
        <v>1921</v>
      </c>
      <c r="R1574" s="463">
        <v>39620</v>
      </c>
      <c r="S1574" s="464">
        <v>39627</v>
      </c>
      <c r="T1574" s="464">
        <v>39643</v>
      </c>
      <c r="U1574" s="461">
        <f t="shared" si="13"/>
        <v>83</v>
      </c>
      <c r="V1574" s="468" t="s">
        <v>419</v>
      </c>
      <c r="W1574" s="493">
        <v>331</v>
      </c>
      <c r="X1574" s="467"/>
      <c r="Y1574" s="457" t="s">
        <v>1922</v>
      </c>
      <c r="Z1574" s="457">
        <v>6510425386</v>
      </c>
      <c r="AA1574" s="457" t="s">
        <v>1927</v>
      </c>
      <c r="AB1574" s="460" t="s">
        <v>1928</v>
      </c>
      <c r="AC1574" s="476"/>
      <c r="AD1574" s="10" t="str">
        <f t="shared" si="15"/>
        <v>atrasado</v>
      </c>
      <c r="AE1574" s="645"/>
    </row>
    <row r="1575" spans="1:31" s="587" customFormat="1" ht="54.95" customHeight="1" thickBot="1" x14ac:dyDescent="0.25">
      <c r="A1575" s="584"/>
      <c r="B1575" s="585" t="s">
        <v>36</v>
      </c>
      <c r="C1575" s="455" t="s">
        <v>37</v>
      </c>
      <c r="D1575" s="456" t="s">
        <v>1929</v>
      </c>
      <c r="E1575" s="456" t="s">
        <v>1930</v>
      </c>
      <c r="F1575" s="457">
        <v>8040008</v>
      </c>
      <c r="G1575" s="457" t="s">
        <v>39</v>
      </c>
      <c r="H1575" s="458">
        <v>6339.9</v>
      </c>
      <c r="I1575" s="459" t="s">
        <v>40</v>
      </c>
      <c r="J1575" s="460">
        <v>39549</v>
      </c>
      <c r="K1575" s="461">
        <v>90</v>
      </c>
      <c r="L1575" s="462">
        <f t="shared" si="17"/>
        <v>39639</v>
      </c>
      <c r="M1575" s="460" t="s">
        <v>41</v>
      </c>
      <c r="N1575" s="457" t="s">
        <v>1750</v>
      </c>
      <c r="O1575" s="460">
        <v>39612</v>
      </c>
      <c r="P1575" s="461">
        <f t="shared" si="11"/>
        <v>-12</v>
      </c>
      <c r="Q1575" s="591" t="s">
        <v>1921</v>
      </c>
      <c r="R1575" s="463">
        <v>39620</v>
      </c>
      <c r="S1575" s="464">
        <v>39627</v>
      </c>
      <c r="T1575" s="464">
        <v>39643</v>
      </c>
      <c r="U1575" s="461">
        <f t="shared" si="13"/>
        <v>94</v>
      </c>
      <c r="V1575" s="468" t="s">
        <v>1931</v>
      </c>
      <c r="W1575" s="493">
        <v>331</v>
      </c>
      <c r="X1575" s="467"/>
      <c r="Y1575" s="467"/>
      <c r="Z1575" s="457">
        <v>6510425386</v>
      </c>
      <c r="AA1575" s="457" t="s">
        <v>1932</v>
      </c>
      <c r="AB1575" s="460" t="s">
        <v>1928</v>
      </c>
      <c r="AC1575" s="476"/>
      <c r="AD1575" s="10" t="str">
        <f t="shared" si="15"/>
        <v>en término</v>
      </c>
      <c r="AE1575" s="645"/>
    </row>
    <row r="1576" spans="1:31" s="587" customFormat="1" ht="54.95" customHeight="1" thickBot="1" x14ac:dyDescent="0.25">
      <c r="A1576" s="584"/>
      <c r="B1576" s="585" t="s">
        <v>36</v>
      </c>
      <c r="C1576" s="455" t="s">
        <v>37</v>
      </c>
      <c r="D1576" s="456" t="s">
        <v>1933</v>
      </c>
      <c r="E1576" s="456" t="s">
        <v>1934</v>
      </c>
      <c r="F1576" s="457">
        <v>8050001</v>
      </c>
      <c r="G1576" s="457" t="s">
        <v>39</v>
      </c>
      <c r="H1576" s="458">
        <v>40096</v>
      </c>
      <c r="I1576" s="459"/>
      <c r="J1576" s="460">
        <v>39567</v>
      </c>
      <c r="K1576" s="461">
        <v>90</v>
      </c>
      <c r="L1576" s="462">
        <f t="shared" si="17"/>
        <v>39657</v>
      </c>
      <c r="M1576" s="460" t="s">
        <v>41</v>
      </c>
      <c r="N1576" s="457" t="s">
        <v>1750</v>
      </c>
      <c r="O1576" s="460">
        <v>39612</v>
      </c>
      <c r="P1576" s="461">
        <f t="shared" si="11"/>
        <v>-30</v>
      </c>
      <c r="Q1576" s="591" t="s">
        <v>1921</v>
      </c>
      <c r="R1576" s="463">
        <v>39620</v>
      </c>
      <c r="S1576" s="464">
        <v>39627</v>
      </c>
      <c r="T1576" s="464">
        <v>39643</v>
      </c>
      <c r="U1576" s="461">
        <f t="shared" si="13"/>
        <v>76</v>
      </c>
      <c r="V1576" s="468" t="s">
        <v>1935</v>
      </c>
      <c r="W1576" s="493">
        <v>331</v>
      </c>
      <c r="X1576" s="467"/>
      <c r="Y1576" s="467"/>
      <c r="Z1576" s="457">
        <v>6510425386</v>
      </c>
      <c r="AA1576" s="457" t="s">
        <v>47</v>
      </c>
      <c r="AB1576" s="460" t="s">
        <v>1928</v>
      </c>
      <c r="AC1576" s="476"/>
      <c r="AD1576" s="10" t="str">
        <f t="shared" si="15"/>
        <v>en término</v>
      </c>
      <c r="AE1576" s="645"/>
    </row>
    <row r="1577" spans="1:31" s="587" customFormat="1" ht="54.95" customHeight="1" thickBot="1" x14ac:dyDescent="0.25">
      <c r="A1577" s="584"/>
      <c r="B1577" s="585" t="s">
        <v>36</v>
      </c>
      <c r="C1577" s="455" t="s">
        <v>37</v>
      </c>
      <c r="D1577" s="456" t="s">
        <v>1936</v>
      </c>
      <c r="E1577" s="456" t="s">
        <v>1937</v>
      </c>
      <c r="F1577" s="457">
        <v>8060001</v>
      </c>
      <c r="G1577" s="457" t="s">
        <v>39</v>
      </c>
      <c r="H1577" s="458">
        <v>3170</v>
      </c>
      <c r="I1577" s="459" t="s">
        <v>52</v>
      </c>
      <c r="J1577" s="460">
        <v>39582</v>
      </c>
      <c r="K1577" s="461">
        <v>52</v>
      </c>
      <c r="L1577" s="462">
        <f t="shared" si="17"/>
        <v>39634</v>
      </c>
      <c r="M1577" s="460" t="s">
        <v>41</v>
      </c>
      <c r="N1577" s="457" t="s">
        <v>1880</v>
      </c>
      <c r="O1577" s="460">
        <v>39612</v>
      </c>
      <c r="P1577" s="461">
        <f t="shared" si="11"/>
        <v>-7</v>
      </c>
      <c r="Q1577" s="591" t="s">
        <v>1921</v>
      </c>
      <c r="R1577" s="463">
        <v>39620</v>
      </c>
      <c r="S1577" s="464">
        <v>39627</v>
      </c>
      <c r="T1577" s="464">
        <v>39643</v>
      </c>
      <c r="U1577" s="461">
        <f t="shared" si="13"/>
        <v>61</v>
      </c>
      <c r="V1577" s="468" t="s">
        <v>1938</v>
      </c>
      <c r="W1577" s="493">
        <v>331</v>
      </c>
      <c r="X1577" s="467"/>
      <c r="Y1577" s="592"/>
      <c r="Z1577" s="457">
        <v>6510425386</v>
      </c>
      <c r="AA1577" s="457" t="s">
        <v>47</v>
      </c>
      <c r="AB1577" s="460" t="s">
        <v>1928</v>
      </c>
      <c r="AC1577" s="476"/>
      <c r="AD1577" s="10" t="str">
        <f t="shared" si="15"/>
        <v>en término</v>
      </c>
      <c r="AE1577" s="645"/>
    </row>
    <row r="1578" spans="1:31" s="587" customFormat="1" ht="54.95" customHeight="1" thickBot="1" x14ac:dyDescent="0.25">
      <c r="A1578" s="584"/>
      <c r="B1578" s="585" t="s">
        <v>36</v>
      </c>
      <c r="C1578" s="455" t="s">
        <v>133</v>
      </c>
      <c r="D1578" s="456" t="s">
        <v>1663</v>
      </c>
      <c r="E1578" s="457" t="s">
        <v>1664</v>
      </c>
      <c r="F1578" s="457">
        <v>4501617268</v>
      </c>
      <c r="G1578" s="457" t="s">
        <v>39</v>
      </c>
      <c r="H1578" s="458">
        <v>131937.06</v>
      </c>
      <c r="I1578" s="459" t="s">
        <v>52</v>
      </c>
      <c r="J1578" s="460">
        <v>39234</v>
      </c>
      <c r="K1578" s="461">
        <v>94</v>
      </c>
      <c r="L1578" s="462">
        <f t="shared" si="17"/>
        <v>39328</v>
      </c>
      <c r="M1578" s="460" t="s">
        <v>41</v>
      </c>
      <c r="N1578" s="457" t="s">
        <v>1750</v>
      </c>
      <c r="O1578" s="460">
        <v>39612</v>
      </c>
      <c r="P1578" s="461">
        <f t="shared" si="11"/>
        <v>299</v>
      </c>
      <c r="Q1578" s="591" t="s">
        <v>1921</v>
      </c>
      <c r="R1578" s="463">
        <v>39620</v>
      </c>
      <c r="S1578" s="464">
        <v>39627</v>
      </c>
      <c r="T1578" s="464">
        <v>39643</v>
      </c>
      <c r="U1578" s="461">
        <f t="shared" si="13"/>
        <v>409</v>
      </c>
      <c r="V1578" s="468" t="s">
        <v>1939</v>
      </c>
      <c r="W1578" s="493">
        <v>324</v>
      </c>
      <c r="X1578" s="457" t="s">
        <v>47</v>
      </c>
      <c r="Y1578" s="457" t="s">
        <v>1922</v>
      </c>
      <c r="Z1578" s="457">
        <v>6510425386</v>
      </c>
      <c r="AA1578" s="457" t="s">
        <v>1940</v>
      </c>
      <c r="AB1578" s="589" t="s">
        <v>1941</v>
      </c>
      <c r="AC1578" s="470" t="s">
        <v>1897</v>
      </c>
      <c r="AD1578" s="10" t="str">
        <f t="shared" si="15"/>
        <v>atrasado</v>
      </c>
      <c r="AE1578" s="412"/>
    </row>
    <row r="1579" spans="1:31" s="587" customFormat="1" ht="54.95" customHeight="1" thickBot="1" x14ac:dyDescent="0.25">
      <c r="A1579" s="584"/>
      <c r="B1579" s="585" t="s">
        <v>36</v>
      </c>
      <c r="C1579" s="455" t="s">
        <v>133</v>
      </c>
      <c r="D1579" s="456" t="s">
        <v>1663</v>
      </c>
      <c r="E1579" s="456" t="s">
        <v>1664</v>
      </c>
      <c r="F1579" s="457">
        <v>4502104393</v>
      </c>
      <c r="G1579" s="457" t="s">
        <v>39</v>
      </c>
      <c r="H1579" s="458">
        <v>2002.09</v>
      </c>
      <c r="I1579" s="459" t="s">
        <v>142</v>
      </c>
      <c r="J1579" s="460">
        <v>39526</v>
      </c>
      <c r="K1579" s="461">
        <v>116</v>
      </c>
      <c r="L1579" s="462">
        <f t="shared" si="17"/>
        <v>39642</v>
      </c>
      <c r="M1579" s="460" t="s">
        <v>41</v>
      </c>
      <c r="N1579" s="457" t="s">
        <v>1750</v>
      </c>
      <c r="O1579" s="460">
        <v>39612</v>
      </c>
      <c r="P1579" s="461">
        <f t="shared" si="11"/>
        <v>-15</v>
      </c>
      <c r="Q1579" s="591" t="s">
        <v>1921</v>
      </c>
      <c r="R1579" s="463">
        <v>39620</v>
      </c>
      <c r="S1579" s="464">
        <v>39627</v>
      </c>
      <c r="T1579" s="464">
        <v>39643</v>
      </c>
      <c r="U1579" s="461">
        <f t="shared" si="13"/>
        <v>117</v>
      </c>
      <c r="V1579" s="468" t="s">
        <v>1020</v>
      </c>
      <c r="W1579" s="493">
        <v>326</v>
      </c>
      <c r="X1579" s="457" t="s">
        <v>47</v>
      </c>
      <c r="Y1579" s="457" t="s">
        <v>1922</v>
      </c>
      <c r="Z1579" s="457">
        <v>6510425386</v>
      </c>
      <c r="AA1579" s="457" t="s">
        <v>1923</v>
      </c>
      <c r="AB1579" s="460" t="s">
        <v>1942</v>
      </c>
      <c r="AC1579" s="476" t="s">
        <v>1943</v>
      </c>
      <c r="AD1579" s="10" t="str">
        <f t="shared" si="15"/>
        <v>en término</v>
      </c>
      <c r="AE1579" s="412"/>
    </row>
    <row r="1580" spans="1:31" s="587" customFormat="1" ht="54.95" customHeight="1" thickBot="1" x14ac:dyDescent="0.25">
      <c r="A1580" s="584"/>
      <c r="B1580" s="1618" t="s">
        <v>36</v>
      </c>
      <c r="C1580" s="1620" t="s">
        <v>133</v>
      </c>
      <c r="D1580" s="1622" t="s">
        <v>1663</v>
      </c>
      <c r="E1580" s="1622" t="s">
        <v>1664</v>
      </c>
      <c r="F1580" s="1616">
        <v>4502088373</v>
      </c>
      <c r="G1580" s="1616" t="s">
        <v>39</v>
      </c>
      <c r="H1580" s="458">
        <v>912.96</v>
      </c>
      <c r="I1580" s="1640" t="s">
        <v>142</v>
      </c>
      <c r="J1580" s="1614">
        <v>39514</v>
      </c>
      <c r="K1580" s="461">
        <v>112</v>
      </c>
      <c r="L1580" s="462">
        <f t="shared" si="17"/>
        <v>39626</v>
      </c>
      <c r="M1580" s="1614" t="s">
        <v>41</v>
      </c>
      <c r="N1580" s="1616" t="s">
        <v>1750</v>
      </c>
      <c r="O1580" s="1614">
        <v>39612</v>
      </c>
      <c r="P1580" s="461">
        <f t="shared" si="11"/>
        <v>1</v>
      </c>
      <c r="Q1580" s="1641" t="s">
        <v>1921</v>
      </c>
      <c r="R1580" s="1642">
        <v>39620</v>
      </c>
      <c r="S1580" s="1639">
        <v>39627</v>
      </c>
      <c r="T1580" s="1639">
        <v>39643</v>
      </c>
      <c r="U1580" s="1631">
        <f t="shared" si="13"/>
        <v>129</v>
      </c>
      <c r="V1580" s="1616" t="s">
        <v>53</v>
      </c>
      <c r="W1580" s="1616">
        <v>328</v>
      </c>
      <c r="X1580" s="1616" t="s">
        <v>47</v>
      </c>
      <c r="Y1580" s="1623"/>
      <c r="Z1580" s="1616">
        <v>6510425386</v>
      </c>
      <c r="AA1580" s="1616" t="s">
        <v>1923</v>
      </c>
      <c r="AB1580" s="1625" t="s">
        <v>1944</v>
      </c>
      <c r="AC1580" s="1629" t="s">
        <v>1945</v>
      </c>
      <c r="AD1580" s="10" t="str">
        <f t="shared" si="15"/>
        <v>atrasado</v>
      </c>
      <c r="AE1580" s="412"/>
    </row>
    <row r="1581" spans="1:31" s="587" customFormat="1" ht="54.95" customHeight="1" thickBot="1" x14ac:dyDescent="0.25">
      <c r="A1581" s="584"/>
      <c r="B1581" s="1619"/>
      <c r="C1581" s="1621"/>
      <c r="D1581" s="1615"/>
      <c r="E1581" s="1615"/>
      <c r="F1581" s="1615"/>
      <c r="G1581" s="1615"/>
      <c r="H1581" s="458">
        <v>557.91999999999996</v>
      </c>
      <c r="I1581" s="1615"/>
      <c r="J1581" s="1615"/>
      <c r="K1581" s="461">
        <v>76</v>
      </c>
      <c r="L1581" s="462">
        <f>+J1580+K1581</f>
        <v>39590</v>
      </c>
      <c r="M1581" s="1615"/>
      <c r="N1581" s="1615"/>
      <c r="O1581" s="1615"/>
      <c r="P1581" s="461">
        <f>IF(S1580="","",+S1580-L1581)</f>
        <v>37</v>
      </c>
      <c r="Q1581" s="1626"/>
      <c r="R1581" s="1615"/>
      <c r="S1581" s="1615"/>
      <c r="T1581" s="1615"/>
      <c r="U1581" s="1615"/>
      <c r="V1581" s="1615" t="s">
        <v>53</v>
      </c>
      <c r="W1581" s="1615">
        <v>328</v>
      </c>
      <c r="X1581" s="1615" t="s">
        <v>47</v>
      </c>
      <c r="Y1581" s="1624"/>
      <c r="Z1581" s="1615"/>
      <c r="AA1581" s="1617"/>
      <c r="AB1581" s="1626"/>
      <c r="AC1581" s="1630"/>
      <c r="AD1581" s="10"/>
      <c r="AE1581" s="412"/>
    </row>
    <row r="1582" spans="1:31" s="587" customFormat="1" ht="54.95" customHeight="1" thickBot="1" x14ac:dyDescent="0.25">
      <c r="A1582" s="584"/>
      <c r="B1582" s="585" t="s">
        <v>36</v>
      </c>
      <c r="C1582" s="455" t="s">
        <v>133</v>
      </c>
      <c r="D1582" s="456" t="s">
        <v>1946</v>
      </c>
      <c r="E1582" s="468" t="s">
        <v>1803</v>
      </c>
      <c r="F1582" s="457">
        <v>4502203191</v>
      </c>
      <c r="G1582" s="457" t="s">
        <v>39</v>
      </c>
      <c r="H1582" s="458">
        <v>41700</v>
      </c>
      <c r="I1582" s="459" t="s">
        <v>40</v>
      </c>
      <c r="J1582" s="460">
        <v>39583</v>
      </c>
      <c r="K1582" s="461">
        <v>66</v>
      </c>
      <c r="L1582" s="462">
        <f t="shared" ref="L1582:L1608" si="18">+J1582+K1582</f>
        <v>39649</v>
      </c>
      <c r="M1582" s="460" t="s">
        <v>41</v>
      </c>
      <c r="N1582" s="457" t="s">
        <v>1750</v>
      </c>
      <c r="O1582" s="460">
        <v>39612</v>
      </c>
      <c r="P1582" s="461">
        <f t="shared" ref="P1582:P1608" si="19">IF(S1582="","",+S1582-L1582)</f>
        <v>-22</v>
      </c>
      <c r="Q1582" s="591" t="s">
        <v>1921</v>
      </c>
      <c r="R1582" s="463">
        <v>39620</v>
      </c>
      <c r="S1582" s="464">
        <v>39627</v>
      </c>
      <c r="T1582" s="464">
        <v>39643</v>
      </c>
      <c r="U1582" s="461">
        <f t="shared" ref="U1582:U1608" si="20">IF(T1582="","",+T1582-J1582)</f>
        <v>60</v>
      </c>
      <c r="V1582" s="468" t="s">
        <v>1947</v>
      </c>
      <c r="W1582" s="493">
        <v>330</v>
      </c>
      <c r="X1582" s="457" t="s">
        <v>47</v>
      </c>
      <c r="Y1582" s="467"/>
      <c r="Z1582" s="457">
        <v>6510425386</v>
      </c>
      <c r="AA1582" s="457" t="s">
        <v>1948</v>
      </c>
      <c r="AB1582" s="589" t="s">
        <v>1949</v>
      </c>
      <c r="AC1582" s="470" t="s">
        <v>1950</v>
      </c>
      <c r="AD1582" s="10" t="str">
        <f>IF(P1582="","",IF(P1582&lt;=0,"en término","atrasado"))</f>
        <v>en término</v>
      </c>
      <c r="AE1582" s="586"/>
    </row>
    <row r="1583" spans="1:31" s="587" customFormat="1" ht="54.95" customHeight="1" thickBot="1" x14ac:dyDescent="0.25">
      <c r="A1583" s="584"/>
      <c r="B1583" s="585" t="s">
        <v>36</v>
      </c>
      <c r="C1583" s="455" t="s">
        <v>133</v>
      </c>
      <c r="D1583" s="456" t="s">
        <v>1663</v>
      </c>
      <c r="E1583" s="457" t="s">
        <v>1664</v>
      </c>
      <c r="F1583" s="457">
        <v>4502096896</v>
      </c>
      <c r="G1583" s="457" t="s">
        <v>39</v>
      </c>
      <c r="H1583" s="458">
        <v>13490.8</v>
      </c>
      <c r="I1583" s="459" t="s">
        <v>52</v>
      </c>
      <c r="J1583" s="460">
        <v>39521</v>
      </c>
      <c r="K1583" s="461">
        <v>96</v>
      </c>
      <c r="L1583" s="462">
        <f t="shared" si="18"/>
        <v>39617</v>
      </c>
      <c r="M1583" s="460" t="s">
        <v>41</v>
      </c>
      <c r="N1583" s="457" t="s">
        <v>1750</v>
      </c>
      <c r="O1583" s="460">
        <v>39612</v>
      </c>
      <c r="P1583" s="461">
        <f t="shared" si="19"/>
        <v>10</v>
      </c>
      <c r="Q1583" s="591" t="s">
        <v>1921</v>
      </c>
      <c r="R1583" s="463">
        <v>39620</v>
      </c>
      <c r="S1583" s="464">
        <v>39627</v>
      </c>
      <c r="T1583" s="464">
        <v>39643</v>
      </c>
      <c r="U1583" s="461">
        <f t="shared" si="20"/>
        <v>122</v>
      </c>
      <c r="V1583" s="468" t="s">
        <v>1951</v>
      </c>
      <c r="W1583" s="493">
        <v>325</v>
      </c>
      <c r="X1583" s="457" t="s">
        <v>47</v>
      </c>
      <c r="Y1583" s="457" t="s">
        <v>1922</v>
      </c>
      <c r="Z1583" s="457">
        <v>6510425386</v>
      </c>
      <c r="AA1583" s="457" t="s">
        <v>1952</v>
      </c>
      <c r="AB1583" s="589" t="s">
        <v>1953</v>
      </c>
      <c r="AC1583" s="476" t="s">
        <v>1954</v>
      </c>
      <c r="AD1583" s="10" t="str">
        <f>IF(P1583="","",IF(P1583&lt;=0,"en término","atrasado"))</f>
        <v>atrasado</v>
      </c>
      <c r="AE1583" s="412"/>
    </row>
    <row r="1584" spans="1:31" s="587" customFormat="1" ht="54.95" customHeight="1" thickBot="1" x14ac:dyDescent="0.25">
      <c r="A1584" s="584"/>
      <c r="B1584" s="585" t="s">
        <v>36</v>
      </c>
      <c r="C1584" s="455" t="s">
        <v>37</v>
      </c>
      <c r="D1584" s="456" t="s">
        <v>1704</v>
      </c>
      <c r="E1584" s="457" t="s">
        <v>1955</v>
      </c>
      <c r="F1584" s="457">
        <v>8050003</v>
      </c>
      <c r="G1584" s="457" t="s">
        <v>39</v>
      </c>
      <c r="H1584" s="458">
        <v>10813.39</v>
      </c>
      <c r="I1584" s="459"/>
      <c r="J1584" s="460">
        <v>39581</v>
      </c>
      <c r="K1584" s="461">
        <v>120</v>
      </c>
      <c r="L1584" s="462">
        <f t="shared" si="18"/>
        <v>39701</v>
      </c>
      <c r="M1584" s="460" t="s">
        <v>41</v>
      </c>
      <c r="N1584" s="457" t="s">
        <v>1880</v>
      </c>
      <c r="O1584" s="460">
        <v>39632</v>
      </c>
      <c r="P1584" s="461">
        <f t="shared" si="19"/>
        <v>-44</v>
      </c>
      <c r="Q1584" s="461"/>
      <c r="R1584" s="463"/>
      <c r="S1584" s="464">
        <v>39657</v>
      </c>
      <c r="T1584" s="464">
        <v>39663</v>
      </c>
      <c r="U1584" s="461">
        <f t="shared" si="20"/>
        <v>82</v>
      </c>
      <c r="V1584" s="468" t="s">
        <v>1881</v>
      </c>
      <c r="W1584" s="457" t="s">
        <v>1956</v>
      </c>
      <c r="X1584" s="467"/>
      <c r="Y1584" s="467"/>
      <c r="Z1584" s="468" t="s">
        <v>1676</v>
      </c>
      <c r="AA1584" s="457" t="s">
        <v>1957</v>
      </c>
      <c r="AB1584" s="460" t="s">
        <v>47</v>
      </c>
      <c r="AC1584" s="470"/>
      <c r="AD1584" s="10"/>
    </row>
    <row r="1585" spans="1:31" s="587" customFormat="1" ht="54.95" customHeight="1" thickBot="1" x14ac:dyDescent="0.25">
      <c r="A1585" s="584"/>
      <c r="B1585" s="585" t="s">
        <v>36</v>
      </c>
      <c r="C1585" s="455" t="s">
        <v>133</v>
      </c>
      <c r="D1585" s="456" t="s">
        <v>1958</v>
      </c>
      <c r="E1585" s="468" t="s">
        <v>1959</v>
      </c>
      <c r="F1585" s="457">
        <v>4502192438</v>
      </c>
      <c r="G1585" s="457" t="s">
        <v>39</v>
      </c>
      <c r="H1585" s="458">
        <v>7696.43</v>
      </c>
      <c r="I1585" s="459" t="s">
        <v>52</v>
      </c>
      <c r="J1585" s="460">
        <v>39577</v>
      </c>
      <c r="K1585" s="461">
        <v>95</v>
      </c>
      <c r="L1585" s="462">
        <f t="shared" si="18"/>
        <v>39672</v>
      </c>
      <c r="M1585" s="460" t="s">
        <v>41</v>
      </c>
      <c r="N1585" s="457" t="s">
        <v>1750</v>
      </c>
      <c r="O1585" s="460">
        <v>39644</v>
      </c>
      <c r="P1585" s="461">
        <f t="shared" si="19"/>
        <v>-17</v>
      </c>
      <c r="Q1585" s="591" t="s">
        <v>1960</v>
      </c>
      <c r="R1585" s="463">
        <v>39651</v>
      </c>
      <c r="S1585" s="464">
        <v>39655</v>
      </c>
      <c r="T1585" s="464">
        <v>39669</v>
      </c>
      <c r="U1585" s="461">
        <f t="shared" si="20"/>
        <v>92</v>
      </c>
      <c r="V1585" s="468" t="s">
        <v>53</v>
      </c>
      <c r="W1585" s="493">
        <v>337</v>
      </c>
      <c r="X1585" s="457"/>
      <c r="Y1585" s="467"/>
      <c r="Z1585" s="457">
        <v>6510425714</v>
      </c>
      <c r="AA1585" s="457" t="s">
        <v>1961</v>
      </c>
      <c r="AB1585" s="589" t="s">
        <v>1962</v>
      </c>
      <c r="AC1585" s="470" t="s">
        <v>1963</v>
      </c>
      <c r="AD1585" s="10" t="str">
        <f t="shared" ref="AD1585:AD1608" si="21">IF(P1585="","",IF(P1585&lt;=0,"en término","atrasado"))</f>
        <v>en término</v>
      </c>
      <c r="AE1585" s="412"/>
    </row>
    <row r="1586" spans="1:31" s="587" customFormat="1" ht="54.95" customHeight="1" thickBot="1" x14ac:dyDescent="0.25">
      <c r="A1586" s="584"/>
      <c r="B1586" s="585" t="s">
        <v>36</v>
      </c>
      <c r="C1586" s="455" t="s">
        <v>133</v>
      </c>
      <c r="D1586" s="456" t="s">
        <v>1802</v>
      </c>
      <c r="E1586" s="468" t="s">
        <v>1803</v>
      </c>
      <c r="F1586" s="457">
        <v>4502238480</v>
      </c>
      <c r="G1586" s="457" t="s">
        <v>39</v>
      </c>
      <c r="H1586" s="458">
        <v>5560</v>
      </c>
      <c r="I1586" s="459" t="s">
        <v>52</v>
      </c>
      <c r="J1586" s="460">
        <v>39603</v>
      </c>
      <c r="K1586" s="461">
        <v>62</v>
      </c>
      <c r="L1586" s="462">
        <f t="shared" si="18"/>
        <v>39665</v>
      </c>
      <c r="M1586" s="460" t="s">
        <v>41</v>
      </c>
      <c r="N1586" s="457" t="s">
        <v>1750</v>
      </c>
      <c r="O1586" s="460">
        <v>39644</v>
      </c>
      <c r="P1586" s="461">
        <f t="shared" si="19"/>
        <v>-10</v>
      </c>
      <c r="Q1586" s="591" t="s">
        <v>1960</v>
      </c>
      <c r="R1586" s="463">
        <v>39651</v>
      </c>
      <c r="S1586" s="464">
        <v>39655</v>
      </c>
      <c r="T1586" s="464">
        <v>39669</v>
      </c>
      <c r="U1586" s="461">
        <f t="shared" si="20"/>
        <v>66</v>
      </c>
      <c r="V1586" s="468" t="s">
        <v>1964</v>
      </c>
      <c r="W1586" s="493">
        <v>339</v>
      </c>
      <c r="X1586" s="457" t="s">
        <v>47</v>
      </c>
      <c r="Y1586" s="467"/>
      <c r="Z1586" s="457">
        <v>6510425714</v>
      </c>
      <c r="AA1586" s="457" t="s">
        <v>1961</v>
      </c>
      <c r="AB1586" s="460" t="s">
        <v>1965</v>
      </c>
      <c r="AC1586" s="470" t="s">
        <v>1966</v>
      </c>
      <c r="AD1586" s="10" t="str">
        <f t="shared" si="21"/>
        <v>en término</v>
      </c>
      <c r="AE1586" s="586"/>
    </row>
    <row r="1587" spans="1:31" s="587" customFormat="1" ht="54.95" customHeight="1" thickBot="1" x14ac:dyDescent="0.25">
      <c r="A1587" s="584"/>
      <c r="B1587" s="585" t="s">
        <v>36</v>
      </c>
      <c r="C1587" s="455" t="s">
        <v>133</v>
      </c>
      <c r="D1587" s="456" t="s">
        <v>1958</v>
      </c>
      <c r="E1587" s="468" t="s">
        <v>1959</v>
      </c>
      <c r="F1587" s="457">
        <v>4502230678</v>
      </c>
      <c r="G1587" s="457" t="s">
        <v>39</v>
      </c>
      <c r="H1587" s="458">
        <v>4431.6899999999996</v>
      </c>
      <c r="I1587" s="459" t="s">
        <v>52</v>
      </c>
      <c r="J1587" s="460">
        <v>39598</v>
      </c>
      <c r="K1587" s="461">
        <v>94</v>
      </c>
      <c r="L1587" s="462">
        <f t="shared" si="18"/>
        <v>39692</v>
      </c>
      <c r="M1587" s="460" t="s">
        <v>41</v>
      </c>
      <c r="N1587" s="457" t="s">
        <v>1750</v>
      </c>
      <c r="O1587" s="460">
        <v>39644</v>
      </c>
      <c r="P1587" s="461">
        <f t="shared" si="19"/>
        <v>-37</v>
      </c>
      <c r="Q1587" s="591" t="s">
        <v>1960</v>
      </c>
      <c r="R1587" s="463">
        <v>39651</v>
      </c>
      <c r="S1587" s="464">
        <v>39655</v>
      </c>
      <c r="T1587" s="464">
        <v>39669</v>
      </c>
      <c r="U1587" s="461">
        <f t="shared" si="20"/>
        <v>71</v>
      </c>
      <c r="V1587" s="468" t="s">
        <v>53</v>
      </c>
      <c r="W1587" s="493">
        <v>338</v>
      </c>
      <c r="X1587" s="457"/>
      <c r="Y1587" s="467"/>
      <c r="Z1587" s="457">
        <v>6510425714</v>
      </c>
      <c r="AA1587" s="457" t="s">
        <v>1961</v>
      </c>
      <c r="AB1587" s="589" t="s">
        <v>1967</v>
      </c>
      <c r="AC1587" s="470"/>
      <c r="AD1587" s="10" t="str">
        <f t="shared" si="21"/>
        <v>en término</v>
      </c>
      <c r="AE1587" s="412"/>
    </row>
    <row r="1588" spans="1:31" s="587" customFormat="1" ht="54.95" customHeight="1" thickBot="1" x14ac:dyDescent="0.25">
      <c r="A1588" s="584"/>
      <c r="B1588" s="585" t="s">
        <v>36</v>
      </c>
      <c r="C1588" s="455" t="s">
        <v>133</v>
      </c>
      <c r="D1588" s="456" t="s">
        <v>1968</v>
      </c>
      <c r="E1588" s="468" t="s">
        <v>1803</v>
      </c>
      <c r="F1588" s="457">
        <v>4502238723</v>
      </c>
      <c r="G1588" s="457" t="s">
        <v>39</v>
      </c>
      <c r="H1588" s="458">
        <v>24530</v>
      </c>
      <c r="I1588" s="459" t="s">
        <v>62</v>
      </c>
      <c r="J1588" s="460">
        <v>39604</v>
      </c>
      <c r="K1588" s="461">
        <v>64</v>
      </c>
      <c r="L1588" s="462">
        <f t="shared" si="18"/>
        <v>39668</v>
      </c>
      <c r="M1588" s="460" t="s">
        <v>41</v>
      </c>
      <c r="N1588" s="457" t="s">
        <v>1750</v>
      </c>
      <c r="O1588" s="460">
        <v>39644</v>
      </c>
      <c r="P1588" s="461">
        <f t="shared" si="19"/>
        <v>-13</v>
      </c>
      <c r="Q1588" s="591" t="s">
        <v>1960</v>
      </c>
      <c r="R1588" s="463">
        <v>39651</v>
      </c>
      <c r="S1588" s="464">
        <v>39655</v>
      </c>
      <c r="T1588" s="464">
        <v>39669</v>
      </c>
      <c r="U1588" s="461">
        <f t="shared" si="20"/>
        <v>65</v>
      </c>
      <c r="V1588" s="468" t="s">
        <v>1969</v>
      </c>
      <c r="W1588" s="493">
        <v>340</v>
      </c>
      <c r="X1588" s="457"/>
      <c r="Y1588" s="467"/>
      <c r="Z1588" s="457">
        <v>6510425714</v>
      </c>
      <c r="AA1588" s="457" t="s">
        <v>1961</v>
      </c>
      <c r="AB1588" s="589" t="s">
        <v>1970</v>
      </c>
      <c r="AC1588" s="470" t="s">
        <v>1966</v>
      </c>
      <c r="AD1588" s="10" t="str">
        <f t="shared" si="21"/>
        <v>en término</v>
      </c>
    </row>
    <row r="1589" spans="1:31" s="587" customFormat="1" ht="54.95" customHeight="1" thickBot="1" x14ac:dyDescent="0.25">
      <c r="A1589" s="584"/>
      <c r="B1589" s="585" t="s">
        <v>36</v>
      </c>
      <c r="C1589" s="455" t="s">
        <v>37</v>
      </c>
      <c r="D1589" s="456" t="s">
        <v>1971</v>
      </c>
      <c r="E1589" s="456" t="s">
        <v>1972</v>
      </c>
      <c r="F1589" s="457">
        <v>8060003</v>
      </c>
      <c r="G1589" s="457" t="s">
        <v>39</v>
      </c>
      <c r="H1589" s="458">
        <v>30950</v>
      </c>
      <c r="I1589" s="459" t="s">
        <v>40</v>
      </c>
      <c r="J1589" s="460">
        <v>39594</v>
      </c>
      <c r="K1589" s="461">
        <v>61</v>
      </c>
      <c r="L1589" s="462">
        <f t="shared" si="18"/>
        <v>39655</v>
      </c>
      <c r="M1589" s="460" t="s">
        <v>41</v>
      </c>
      <c r="N1589" s="457" t="s">
        <v>1750</v>
      </c>
      <c r="O1589" s="460">
        <v>39644</v>
      </c>
      <c r="P1589" s="461">
        <f t="shared" si="19"/>
        <v>0</v>
      </c>
      <c r="Q1589" s="591" t="s">
        <v>1960</v>
      </c>
      <c r="R1589" s="463">
        <v>39651</v>
      </c>
      <c r="S1589" s="464">
        <v>39655</v>
      </c>
      <c r="T1589" s="464">
        <v>39669</v>
      </c>
      <c r="U1589" s="461">
        <f t="shared" si="20"/>
        <v>75</v>
      </c>
      <c r="V1589" s="468" t="s">
        <v>1973</v>
      </c>
      <c r="W1589" s="493">
        <v>341</v>
      </c>
      <c r="X1589" s="467"/>
      <c r="Y1589" s="592"/>
      <c r="Z1589" s="457">
        <v>6510425714</v>
      </c>
      <c r="AA1589" s="457" t="s">
        <v>1974</v>
      </c>
      <c r="AB1589" s="460" t="s">
        <v>1901</v>
      </c>
      <c r="AC1589" s="476"/>
      <c r="AD1589" s="10" t="str">
        <f t="shared" si="21"/>
        <v>en término</v>
      </c>
      <c r="AE1589" s="645"/>
    </row>
    <row r="1590" spans="1:31" s="587" customFormat="1" ht="54.95" customHeight="1" thickBot="1" x14ac:dyDescent="0.25">
      <c r="A1590" s="584"/>
      <c r="B1590" s="585" t="s">
        <v>36</v>
      </c>
      <c r="C1590" s="455" t="s">
        <v>133</v>
      </c>
      <c r="D1590" s="456" t="s">
        <v>1802</v>
      </c>
      <c r="E1590" s="468" t="s">
        <v>1803</v>
      </c>
      <c r="F1590" s="457">
        <v>4502269915</v>
      </c>
      <c r="G1590" s="457" t="s">
        <v>39</v>
      </c>
      <c r="H1590" s="458">
        <v>32829.68</v>
      </c>
      <c r="I1590" s="459" t="s">
        <v>52</v>
      </c>
      <c r="J1590" s="460">
        <v>39624</v>
      </c>
      <c r="K1590" s="461">
        <v>62</v>
      </c>
      <c r="L1590" s="462">
        <f t="shared" si="18"/>
        <v>39686</v>
      </c>
      <c r="M1590" s="460" t="s">
        <v>41</v>
      </c>
      <c r="N1590" s="457" t="s">
        <v>1750</v>
      </c>
      <c r="O1590" s="460">
        <v>39672</v>
      </c>
      <c r="P1590" s="461">
        <f t="shared" si="19"/>
        <v>-10</v>
      </c>
      <c r="Q1590" s="591" t="s">
        <v>1975</v>
      </c>
      <c r="R1590" s="460">
        <v>39675</v>
      </c>
      <c r="S1590" s="471">
        <v>39676</v>
      </c>
      <c r="T1590" s="464">
        <v>39693</v>
      </c>
      <c r="U1590" s="461">
        <f t="shared" si="20"/>
        <v>69</v>
      </c>
      <c r="V1590" s="468" t="s">
        <v>1976</v>
      </c>
      <c r="W1590" s="493">
        <v>345</v>
      </c>
      <c r="X1590" s="457"/>
      <c r="Y1590" s="467"/>
      <c r="Z1590" s="457">
        <v>6507661075</v>
      </c>
      <c r="AA1590" s="457"/>
      <c r="AB1590" s="460" t="s">
        <v>1965</v>
      </c>
      <c r="AC1590" s="470" t="s">
        <v>1977</v>
      </c>
      <c r="AD1590" s="10" t="str">
        <f t="shared" si="21"/>
        <v>en término</v>
      </c>
      <c r="AE1590" s="586"/>
    </row>
    <row r="1591" spans="1:31" s="587" customFormat="1" ht="54.95" customHeight="1" thickBot="1" x14ac:dyDescent="0.25">
      <c r="A1591" s="584"/>
      <c r="B1591" s="585" t="s">
        <v>36</v>
      </c>
      <c r="C1591" s="455" t="s">
        <v>133</v>
      </c>
      <c r="D1591" s="456" t="s">
        <v>1968</v>
      </c>
      <c r="E1591" s="468" t="s">
        <v>1803</v>
      </c>
      <c r="F1591" s="457">
        <v>4502238609</v>
      </c>
      <c r="G1591" s="457" t="s">
        <v>39</v>
      </c>
      <c r="H1591" s="458">
        <v>41700</v>
      </c>
      <c r="I1591" s="459" t="s">
        <v>40</v>
      </c>
      <c r="J1591" s="460">
        <v>39603</v>
      </c>
      <c r="K1591" s="461">
        <v>62</v>
      </c>
      <c r="L1591" s="462">
        <f t="shared" si="18"/>
        <v>39665</v>
      </c>
      <c r="M1591" s="460" t="s">
        <v>41</v>
      </c>
      <c r="N1591" s="457" t="s">
        <v>1750</v>
      </c>
      <c r="O1591" s="460">
        <v>39672</v>
      </c>
      <c r="P1591" s="461">
        <f t="shared" si="19"/>
        <v>11</v>
      </c>
      <c r="Q1591" s="591" t="s">
        <v>1975</v>
      </c>
      <c r="R1591" s="463">
        <v>39675</v>
      </c>
      <c r="S1591" s="464">
        <v>39676</v>
      </c>
      <c r="T1591" s="464">
        <v>39693</v>
      </c>
      <c r="U1591" s="461">
        <f t="shared" si="20"/>
        <v>90</v>
      </c>
      <c r="V1591" s="468" t="s">
        <v>1978</v>
      </c>
      <c r="W1591" s="493">
        <v>346</v>
      </c>
      <c r="X1591" s="457" t="s">
        <v>47</v>
      </c>
      <c r="Y1591" s="467"/>
      <c r="Z1591" s="457">
        <v>6507661075</v>
      </c>
      <c r="AA1591" s="457" t="s">
        <v>47</v>
      </c>
      <c r="AB1591" s="589" t="s">
        <v>1979</v>
      </c>
      <c r="AC1591" s="470" t="s">
        <v>1966</v>
      </c>
      <c r="AD1591" s="10" t="str">
        <f t="shared" si="21"/>
        <v>atrasado</v>
      </c>
      <c r="AE1591" s="645"/>
    </row>
    <row r="1592" spans="1:31" s="587" customFormat="1" ht="54.95" customHeight="1" thickBot="1" x14ac:dyDescent="0.25">
      <c r="A1592" s="584"/>
      <c r="B1592" s="585" t="s">
        <v>36</v>
      </c>
      <c r="C1592" s="455" t="s">
        <v>37</v>
      </c>
      <c r="D1592" s="456" t="s">
        <v>1980</v>
      </c>
      <c r="E1592" s="456" t="s">
        <v>1981</v>
      </c>
      <c r="F1592" s="457">
        <v>8060002</v>
      </c>
      <c r="G1592" s="457" t="s">
        <v>39</v>
      </c>
      <c r="H1592" s="458">
        <v>110450</v>
      </c>
      <c r="I1592" s="459" t="s">
        <v>40</v>
      </c>
      <c r="J1592" s="460">
        <v>39591</v>
      </c>
      <c r="K1592" s="461">
        <v>124</v>
      </c>
      <c r="L1592" s="462">
        <f t="shared" si="18"/>
        <v>39715</v>
      </c>
      <c r="M1592" s="460" t="s">
        <v>41</v>
      </c>
      <c r="N1592" s="457" t="s">
        <v>1750</v>
      </c>
      <c r="O1592" s="460">
        <v>39672</v>
      </c>
      <c r="P1592" s="461">
        <f t="shared" si="19"/>
        <v>-39</v>
      </c>
      <c r="Q1592" s="591" t="s">
        <v>1975</v>
      </c>
      <c r="R1592" s="463">
        <v>39675</v>
      </c>
      <c r="S1592" s="464">
        <v>39676</v>
      </c>
      <c r="T1592" s="464">
        <v>39693</v>
      </c>
      <c r="U1592" s="461">
        <f t="shared" si="20"/>
        <v>102</v>
      </c>
      <c r="V1592" s="468" t="s">
        <v>1982</v>
      </c>
      <c r="W1592" s="493">
        <v>347</v>
      </c>
      <c r="X1592" s="467"/>
      <c r="Y1592" s="457" t="s">
        <v>1983</v>
      </c>
      <c r="Z1592" s="457">
        <v>6507661075</v>
      </c>
      <c r="AA1592" s="457" t="s">
        <v>1984</v>
      </c>
      <c r="AB1592" s="460" t="s">
        <v>1901</v>
      </c>
      <c r="AC1592" s="476"/>
      <c r="AD1592" s="10" t="str">
        <f t="shared" si="21"/>
        <v>en término</v>
      </c>
      <c r="AE1592" s="645"/>
    </row>
    <row r="1593" spans="1:31" s="587" customFormat="1" ht="54.95" customHeight="1" thickBot="1" x14ac:dyDescent="0.25">
      <c r="A1593" s="584"/>
      <c r="B1593" s="585" t="s">
        <v>36</v>
      </c>
      <c r="C1593" s="455" t="s">
        <v>133</v>
      </c>
      <c r="D1593" s="456" t="s">
        <v>1958</v>
      </c>
      <c r="E1593" s="468" t="s">
        <v>1959</v>
      </c>
      <c r="F1593" s="457">
        <v>4502292490</v>
      </c>
      <c r="G1593" s="457" t="s">
        <v>39</v>
      </c>
      <c r="H1593" s="458">
        <v>9050.7999999999993</v>
      </c>
      <c r="I1593" s="459" t="s">
        <v>52</v>
      </c>
      <c r="J1593" s="460">
        <v>39633</v>
      </c>
      <c r="K1593" s="461">
        <v>97</v>
      </c>
      <c r="L1593" s="462">
        <f t="shared" si="18"/>
        <v>39730</v>
      </c>
      <c r="M1593" s="460" t="s">
        <v>41</v>
      </c>
      <c r="N1593" s="457" t="s">
        <v>1750</v>
      </c>
      <c r="O1593" s="460">
        <v>39693</v>
      </c>
      <c r="P1593" s="461">
        <f t="shared" si="19"/>
        <v>-22</v>
      </c>
      <c r="Q1593" s="591" t="s">
        <v>1960</v>
      </c>
      <c r="R1593" s="463">
        <v>39703</v>
      </c>
      <c r="S1593" s="464">
        <v>39708</v>
      </c>
      <c r="T1593" s="464">
        <v>39724</v>
      </c>
      <c r="U1593" s="461">
        <f t="shared" si="20"/>
        <v>91</v>
      </c>
      <c r="V1593" s="468" t="s">
        <v>53</v>
      </c>
      <c r="W1593" s="493">
        <v>350</v>
      </c>
      <c r="X1593" s="457" t="s">
        <v>47</v>
      </c>
      <c r="Y1593" s="467"/>
      <c r="Z1593" s="457">
        <v>6682704416</v>
      </c>
      <c r="AA1593" s="457"/>
      <c r="AB1593" s="460" t="s">
        <v>47</v>
      </c>
      <c r="AC1593" s="470" t="s">
        <v>1985</v>
      </c>
      <c r="AD1593" s="10" t="str">
        <f t="shared" si="21"/>
        <v>en término</v>
      </c>
    </row>
    <row r="1594" spans="1:31" s="587" customFormat="1" ht="54.95" customHeight="1" thickBot="1" x14ac:dyDescent="0.25">
      <c r="A1594" s="584"/>
      <c r="B1594" s="585" t="s">
        <v>36</v>
      </c>
      <c r="C1594" s="455" t="s">
        <v>37</v>
      </c>
      <c r="D1594" s="456" t="s">
        <v>1986</v>
      </c>
      <c r="E1594" s="457" t="s">
        <v>1987</v>
      </c>
      <c r="F1594" s="457">
        <v>8080002</v>
      </c>
      <c r="G1594" s="457" t="s">
        <v>39</v>
      </c>
      <c r="H1594" s="458">
        <f>4800+105+43</f>
        <v>4948</v>
      </c>
      <c r="I1594" s="459" t="s">
        <v>142</v>
      </c>
      <c r="J1594" s="460">
        <v>39660</v>
      </c>
      <c r="K1594" s="461">
        <v>79</v>
      </c>
      <c r="L1594" s="462">
        <f t="shared" si="18"/>
        <v>39739</v>
      </c>
      <c r="M1594" s="460" t="s">
        <v>41</v>
      </c>
      <c r="N1594" s="457" t="s">
        <v>1750</v>
      </c>
      <c r="O1594" s="460">
        <v>39693</v>
      </c>
      <c r="P1594" s="461">
        <f t="shared" si="19"/>
        <v>-31</v>
      </c>
      <c r="Q1594" s="591" t="s">
        <v>1960</v>
      </c>
      <c r="R1594" s="463">
        <v>39703</v>
      </c>
      <c r="S1594" s="464">
        <v>39708</v>
      </c>
      <c r="T1594" s="464">
        <v>39724</v>
      </c>
      <c r="U1594" s="461">
        <f t="shared" si="20"/>
        <v>64</v>
      </c>
      <c r="V1594" s="468" t="s">
        <v>1988</v>
      </c>
      <c r="W1594" s="457">
        <v>351</v>
      </c>
      <c r="X1594" s="467"/>
      <c r="Y1594" s="456">
        <v>39688</v>
      </c>
      <c r="Z1594" s="457">
        <v>6682704416</v>
      </c>
      <c r="AA1594" s="457" t="s">
        <v>1984</v>
      </c>
      <c r="AB1594" s="460" t="s">
        <v>1901</v>
      </c>
      <c r="AC1594" s="470"/>
      <c r="AD1594" s="10" t="str">
        <f t="shared" si="21"/>
        <v>en término</v>
      </c>
      <c r="AE1594" s="645"/>
    </row>
    <row r="1595" spans="1:31" s="587" customFormat="1" ht="54.95" customHeight="1" thickBot="1" x14ac:dyDescent="0.25">
      <c r="A1595" s="584"/>
      <c r="B1595" s="1042" t="s">
        <v>36</v>
      </c>
      <c r="C1595" s="1043" t="s">
        <v>37</v>
      </c>
      <c r="D1595" s="1044" t="s">
        <v>1989</v>
      </c>
      <c r="E1595" s="1027" t="s">
        <v>1990</v>
      </c>
      <c r="F1595" s="1028">
        <v>8070006</v>
      </c>
      <c r="G1595" s="1028" t="s">
        <v>39</v>
      </c>
      <c r="H1595" s="1029">
        <v>14242.5</v>
      </c>
      <c r="I1595" s="1033" t="s">
        <v>40</v>
      </c>
      <c r="J1595" s="1032">
        <v>39660</v>
      </c>
      <c r="K1595" s="1041">
        <v>82</v>
      </c>
      <c r="L1595" s="641">
        <f t="shared" si="18"/>
        <v>39742</v>
      </c>
      <c r="M1595" s="1032" t="s">
        <v>41</v>
      </c>
      <c r="N1595" s="1028" t="s">
        <v>1750</v>
      </c>
      <c r="O1595" s="1032">
        <v>39693</v>
      </c>
      <c r="P1595" s="1041">
        <f t="shared" si="19"/>
        <v>-34</v>
      </c>
      <c r="Q1595" s="591" t="s">
        <v>1960</v>
      </c>
      <c r="R1595" s="463">
        <v>39703</v>
      </c>
      <c r="S1595" s="464">
        <v>39708</v>
      </c>
      <c r="T1595" s="642">
        <v>39724</v>
      </c>
      <c r="U1595" s="1041">
        <f t="shared" si="20"/>
        <v>64</v>
      </c>
      <c r="V1595" s="446" t="s">
        <v>1991</v>
      </c>
      <c r="W1595" s="659">
        <v>351</v>
      </c>
      <c r="X1595" s="643"/>
      <c r="Y1595" s="1037"/>
      <c r="Z1595" s="457">
        <v>6682704416</v>
      </c>
      <c r="AA1595" s="1028" t="s">
        <v>1984</v>
      </c>
      <c r="AB1595" s="460" t="s">
        <v>1901</v>
      </c>
      <c r="AC1595" s="1040"/>
      <c r="AD1595" s="10" t="str">
        <f t="shared" si="21"/>
        <v>en término</v>
      </c>
      <c r="AE1595" s="645"/>
    </row>
    <row r="1596" spans="1:31" s="587" customFormat="1" ht="54.95" customHeight="1" thickBot="1" x14ac:dyDescent="0.25">
      <c r="A1596" s="584"/>
      <c r="B1596" s="1042" t="s">
        <v>36</v>
      </c>
      <c r="C1596" s="1043" t="s">
        <v>37</v>
      </c>
      <c r="D1596" s="1044" t="s">
        <v>1992</v>
      </c>
      <c r="E1596" s="1028" t="s">
        <v>1993</v>
      </c>
      <c r="F1596" s="1028">
        <v>8080007</v>
      </c>
      <c r="G1596" s="1028" t="s">
        <v>39</v>
      </c>
      <c r="H1596" s="1029">
        <v>4305</v>
      </c>
      <c r="I1596" s="1033" t="s">
        <v>142</v>
      </c>
      <c r="J1596" s="1032">
        <v>39668</v>
      </c>
      <c r="K1596" s="1041">
        <v>72</v>
      </c>
      <c r="L1596" s="641">
        <f t="shared" si="18"/>
        <v>39740</v>
      </c>
      <c r="M1596" s="1032" t="s">
        <v>41</v>
      </c>
      <c r="N1596" s="1028" t="s">
        <v>1750</v>
      </c>
      <c r="O1596" s="1032">
        <v>39693</v>
      </c>
      <c r="P1596" s="1041">
        <f t="shared" si="19"/>
        <v>-32</v>
      </c>
      <c r="Q1596" s="1034" t="s">
        <v>1960</v>
      </c>
      <c r="R1596" s="1035">
        <v>39703</v>
      </c>
      <c r="S1596" s="1031">
        <v>39708</v>
      </c>
      <c r="T1596" s="1031">
        <v>39724</v>
      </c>
      <c r="U1596" s="1041">
        <f t="shared" si="20"/>
        <v>56</v>
      </c>
      <c r="V1596" s="446" t="s">
        <v>1994</v>
      </c>
      <c r="W1596" s="1028">
        <v>351</v>
      </c>
      <c r="X1596" s="643"/>
      <c r="Y1596" s="1037"/>
      <c r="Z1596" s="457">
        <v>6682704416</v>
      </c>
      <c r="AA1596" s="1028" t="s">
        <v>1984</v>
      </c>
      <c r="AB1596" s="460" t="s">
        <v>1901</v>
      </c>
      <c r="AC1596" s="644"/>
      <c r="AD1596" s="10" t="str">
        <f t="shared" si="21"/>
        <v>en término</v>
      </c>
      <c r="AE1596" s="645"/>
    </row>
    <row r="1597" spans="1:31" s="587" customFormat="1" ht="54.95" customHeight="1" thickBot="1" x14ac:dyDescent="0.25">
      <c r="A1597" s="584"/>
      <c r="B1597" s="1042" t="s">
        <v>36</v>
      </c>
      <c r="C1597" s="1043" t="s">
        <v>37</v>
      </c>
      <c r="D1597" s="1044" t="s">
        <v>1995</v>
      </c>
      <c r="E1597" s="446" t="s">
        <v>1996</v>
      </c>
      <c r="F1597" s="1028">
        <v>80800012</v>
      </c>
      <c r="G1597" s="1028" t="s">
        <v>39</v>
      </c>
      <c r="H1597" s="1029">
        <v>6982</v>
      </c>
      <c r="I1597" s="640" t="s">
        <v>1997</v>
      </c>
      <c r="J1597" s="1032">
        <v>39679</v>
      </c>
      <c r="K1597" s="1041">
        <v>62</v>
      </c>
      <c r="L1597" s="641">
        <f t="shared" si="18"/>
        <v>39741</v>
      </c>
      <c r="M1597" s="1032" t="s">
        <v>41</v>
      </c>
      <c r="N1597" s="1028" t="s">
        <v>1750</v>
      </c>
      <c r="O1597" s="1032">
        <v>39693</v>
      </c>
      <c r="P1597" s="1041">
        <f t="shared" si="19"/>
        <v>-33</v>
      </c>
      <c r="Q1597" s="1041" t="s">
        <v>1960</v>
      </c>
      <c r="R1597" s="1035">
        <v>39703</v>
      </c>
      <c r="S1597" s="1031">
        <v>39708</v>
      </c>
      <c r="T1597" s="1031">
        <v>39724</v>
      </c>
      <c r="U1597" s="1041">
        <f t="shared" si="20"/>
        <v>45</v>
      </c>
      <c r="V1597" s="446" t="s">
        <v>1998</v>
      </c>
      <c r="W1597" s="1028">
        <v>351</v>
      </c>
      <c r="X1597" s="643"/>
      <c r="Y1597" s="1044">
        <v>39688</v>
      </c>
      <c r="Z1597" s="457">
        <v>6682704416</v>
      </c>
      <c r="AA1597" s="1028" t="s">
        <v>1984</v>
      </c>
      <c r="AB1597" s="460" t="s">
        <v>1901</v>
      </c>
      <c r="AC1597" s="644"/>
      <c r="AD1597" s="10" t="str">
        <f t="shared" si="21"/>
        <v>en término</v>
      </c>
      <c r="AE1597" s="645"/>
    </row>
    <row r="1598" spans="1:31" s="587" customFormat="1" ht="54.95" customHeight="1" thickBot="1" x14ac:dyDescent="0.25">
      <c r="A1598" s="584"/>
      <c r="B1598" s="585" t="s">
        <v>36</v>
      </c>
      <c r="C1598" s="455" t="s">
        <v>37</v>
      </c>
      <c r="D1598" s="456" t="s">
        <v>1989</v>
      </c>
      <c r="E1598" s="501" t="s">
        <v>1999</v>
      </c>
      <c r="F1598" s="457">
        <v>8080008</v>
      </c>
      <c r="G1598" s="457" t="s">
        <v>39</v>
      </c>
      <c r="H1598" s="458">
        <v>21100</v>
      </c>
      <c r="I1598" s="459" t="s">
        <v>40</v>
      </c>
      <c r="J1598" s="460">
        <v>39668</v>
      </c>
      <c r="K1598" s="461">
        <v>92</v>
      </c>
      <c r="L1598" s="462">
        <f t="shared" si="18"/>
        <v>39760</v>
      </c>
      <c r="M1598" s="460" t="s">
        <v>41</v>
      </c>
      <c r="N1598" s="457" t="s">
        <v>1880</v>
      </c>
      <c r="O1598" s="460">
        <v>39714</v>
      </c>
      <c r="P1598" s="461">
        <f t="shared" si="19"/>
        <v>-29</v>
      </c>
      <c r="Q1598" s="591"/>
      <c r="R1598" s="463">
        <v>39729</v>
      </c>
      <c r="S1598" s="464">
        <v>39731</v>
      </c>
      <c r="T1598" s="471">
        <v>39734</v>
      </c>
      <c r="U1598" s="461">
        <f t="shared" si="20"/>
        <v>66</v>
      </c>
      <c r="V1598" s="468" t="s">
        <v>1991</v>
      </c>
      <c r="W1598" s="493">
        <v>356</v>
      </c>
      <c r="X1598" s="467"/>
      <c r="Y1598" s="592"/>
      <c r="Z1598" s="468" t="s">
        <v>2000</v>
      </c>
      <c r="AA1598" s="457" t="s">
        <v>1984</v>
      </c>
      <c r="AB1598" s="460" t="s">
        <v>1901</v>
      </c>
      <c r="AC1598" s="476"/>
      <c r="AD1598" s="10" t="str">
        <f t="shared" si="21"/>
        <v>en término</v>
      </c>
      <c r="AE1598" s="645"/>
    </row>
    <row r="1599" spans="1:31" s="587" customFormat="1" ht="54.95" customHeight="1" thickBot="1" x14ac:dyDescent="0.25">
      <c r="A1599" s="584"/>
      <c r="B1599" s="585" t="s">
        <v>36</v>
      </c>
      <c r="C1599" s="455" t="s">
        <v>37</v>
      </c>
      <c r="D1599" s="456" t="s">
        <v>2001</v>
      </c>
      <c r="E1599" s="501" t="s">
        <v>2002</v>
      </c>
      <c r="F1599" s="457">
        <v>8090001</v>
      </c>
      <c r="G1599" s="457" t="s">
        <v>39</v>
      </c>
      <c r="H1599" s="458">
        <v>9049.18</v>
      </c>
      <c r="I1599" s="459" t="s">
        <v>52</v>
      </c>
      <c r="J1599" s="460">
        <v>39687</v>
      </c>
      <c r="K1599" s="461">
        <v>31</v>
      </c>
      <c r="L1599" s="462">
        <f t="shared" si="18"/>
        <v>39718</v>
      </c>
      <c r="M1599" s="460" t="s">
        <v>41</v>
      </c>
      <c r="N1599" s="457" t="s">
        <v>1880</v>
      </c>
      <c r="O1599" s="460">
        <v>39714</v>
      </c>
      <c r="P1599" s="461">
        <f t="shared" si="19"/>
        <v>13</v>
      </c>
      <c r="Q1599" s="591"/>
      <c r="R1599" s="463">
        <v>39729</v>
      </c>
      <c r="S1599" s="464">
        <v>39731</v>
      </c>
      <c r="T1599" s="471">
        <v>39734</v>
      </c>
      <c r="U1599" s="461">
        <f t="shared" si="20"/>
        <v>47</v>
      </c>
      <c r="V1599" s="468" t="s">
        <v>2003</v>
      </c>
      <c r="W1599" s="493">
        <v>356</v>
      </c>
      <c r="X1599" s="467"/>
      <c r="Y1599" s="592"/>
      <c r="Z1599" s="468" t="s">
        <v>2000</v>
      </c>
      <c r="AA1599" s="457" t="s">
        <v>1984</v>
      </c>
      <c r="AB1599" s="460" t="s">
        <v>1901</v>
      </c>
      <c r="AC1599" s="476" t="s">
        <v>2004</v>
      </c>
      <c r="AD1599" s="10" t="str">
        <f t="shared" si="21"/>
        <v>atrasado</v>
      </c>
      <c r="AE1599" s="645"/>
    </row>
    <row r="1600" spans="1:31" s="587" customFormat="1" ht="54.95" customHeight="1" thickBot="1" x14ac:dyDescent="0.25">
      <c r="A1600" s="584"/>
      <c r="B1600" s="585" t="s">
        <v>36</v>
      </c>
      <c r="C1600" s="455" t="s">
        <v>133</v>
      </c>
      <c r="D1600" s="456" t="s">
        <v>1968</v>
      </c>
      <c r="E1600" s="468" t="s">
        <v>1803</v>
      </c>
      <c r="F1600" s="457">
        <v>4502269915</v>
      </c>
      <c r="G1600" s="457" t="s">
        <v>39</v>
      </c>
      <c r="H1600" s="458">
        <v>33360</v>
      </c>
      <c r="I1600" s="459" t="s">
        <v>52</v>
      </c>
      <c r="J1600" s="460">
        <v>39624</v>
      </c>
      <c r="K1600" s="461">
        <v>62</v>
      </c>
      <c r="L1600" s="462">
        <f t="shared" si="18"/>
        <v>39686</v>
      </c>
      <c r="M1600" s="460" t="s">
        <v>41</v>
      </c>
      <c r="N1600" s="457" t="s">
        <v>1750</v>
      </c>
      <c r="O1600" s="460">
        <v>39717</v>
      </c>
      <c r="P1600" s="461">
        <f t="shared" si="19"/>
        <v>53</v>
      </c>
      <c r="Q1600" s="591" t="s">
        <v>2005</v>
      </c>
      <c r="R1600" s="460">
        <v>39729</v>
      </c>
      <c r="S1600" s="471">
        <v>39739</v>
      </c>
      <c r="T1600" s="464">
        <v>39749</v>
      </c>
      <c r="U1600" s="461">
        <f t="shared" si="20"/>
        <v>125</v>
      </c>
      <c r="V1600" s="468" t="s">
        <v>2006</v>
      </c>
      <c r="W1600" s="493">
        <v>354</v>
      </c>
      <c r="X1600" s="457"/>
      <c r="Y1600" s="467"/>
      <c r="Z1600" s="457">
        <v>6682704405</v>
      </c>
      <c r="AA1600" s="457"/>
      <c r="AB1600" s="460" t="s">
        <v>2007</v>
      </c>
      <c r="AC1600" s="470" t="s">
        <v>2008</v>
      </c>
      <c r="AD1600" s="10" t="str">
        <f t="shared" si="21"/>
        <v>atrasado</v>
      </c>
      <c r="AE1600" s="645"/>
    </row>
    <row r="1601" spans="1:31" s="587" customFormat="1" ht="54.95" customHeight="1" thickBot="1" x14ac:dyDescent="0.25">
      <c r="A1601" s="584"/>
      <c r="B1601" s="455" t="s">
        <v>36</v>
      </c>
      <c r="C1601" s="455" t="s">
        <v>133</v>
      </c>
      <c r="D1601" s="456" t="s">
        <v>1968</v>
      </c>
      <c r="E1601" s="468" t="s">
        <v>1803</v>
      </c>
      <c r="F1601" s="457">
        <v>4502269931</v>
      </c>
      <c r="G1601" s="457" t="s">
        <v>39</v>
      </c>
      <c r="H1601" s="458">
        <v>27800</v>
      </c>
      <c r="I1601" s="459" t="s">
        <v>40</v>
      </c>
      <c r="J1601" s="460">
        <v>39624</v>
      </c>
      <c r="K1601" s="461">
        <v>158</v>
      </c>
      <c r="L1601" s="462">
        <f t="shared" si="18"/>
        <v>39782</v>
      </c>
      <c r="M1601" s="460" t="s">
        <v>41</v>
      </c>
      <c r="N1601" s="457" t="s">
        <v>1750</v>
      </c>
      <c r="O1601" s="460">
        <v>39749</v>
      </c>
      <c r="P1601" s="461">
        <f t="shared" si="19"/>
        <v>-22</v>
      </c>
      <c r="Q1601" s="591" t="s">
        <v>2009</v>
      </c>
      <c r="R1601" s="460">
        <v>39755</v>
      </c>
      <c r="S1601" s="471">
        <v>39760</v>
      </c>
      <c r="T1601" s="464">
        <f>+S1601+20</f>
        <v>39780</v>
      </c>
      <c r="U1601" s="461">
        <f t="shared" si="20"/>
        <v>156</v>
      </c>
      <c r="V1601" s="468" t="s">
        <v>2010</v>
      </c>
      <c r="W1601" s="493">
        <v>361</v>
      </c>
      <c r="X1601" s="457"/>
      <c r="Y1601" s="467"/>
      <c r="Z1601" s="457">
        <v>6682704372</v>
      </c>
      <c r="AA1601" s="457"/>
      <c r="AB1601" s="460" t="s">
        <v>2011</v>
      </c>
      <c r="AC1601" s="470"/>
      <c r="AD1601" s="10" t="str">
        <f t="shared" si="21"/>
        <v>en término</v>
      </c>
      <c r="AE1601" s="645"/>
    </row>
    <row r="1602" spans="1:31" s="587" customFormat="1" ht="54.95" customHeight="1" thickBot="1" x14ac:dyDescent="0.25">
      <c r="A1602" s="584"/>
      <c r="B1602" s="455" t="s">
        <v>36</v>
      </c>
      <c r="C1602" s="455" t="s">
        <v>133</v>
      </c>
      <c r="D1602" s="456" t="s">
        <v>1958</v>
      </c>
      <c r="E1602" s="468" t="s">
        <v>1959</v>
      </c>
      <c r="F1602" s="457">
        <v>4502410200</v>
      </c>
      <c r="G1602" s="457" t="s">
        <v>39</v>
      </c>
      <c r="H1602" s="458">
        <v>12673.05</v>
      </c>
      <c r="I1602" s="459" t="s">
        <v>52</v>
      </c>
      <c r="J1602" s="460">
        <v>39701</v>
      </c>
      <c r="K1602" s="461">
        <v>63</v>
      </c>
      <c r="L1602" s="462">
        <f t="shared" si="18"/>
        <v>39764</v>
      </c>
      <c r="M1602" s="460" t="s">
        <v>41</v>
      </c>
      <c r="N1602" s="457" t="s">
        <v>1750</v>
      </c>
      <c r="O1602" s="460">
        <v>39749</v>
      </c>
      <c r="P1602" s="461">
        <f t="shared" si="19"/>
        <v>-4</v>
      </c>
      <c r="Q1602" s="591" t="s">
        <v>2009</v>
      </c>
      <c r="R1602" s="460">
        <v>39755</v>
      </c>
      <c r="S1602" s="471">
        <v>39760</v>
      </c>
      <c r="T1602" s="464">
        <f>+S1602+20</f>
        <v>39780</v>
      </c>
      <c r="U1602" s="461">
        <f t="shared" si="20"/>
        <v>79</v>
      </c>
      <c r="V1602" s="468" t="s">
        <v>53</v>
      </c>
      <c r="W1602" s="493">
        <v>362</v>
      </c>
      <c r="X1602" s="457"/>
      <c r="Y1602" s="467"/>
      <c r="Z1602" s="457">
        <v>6682704372</v>
      </c>
      <c r="AA1602" s="457"/>
      <c r="AB1602" s="460" t="s">
        <v>2012</v>
      </c>
      <c r="AC1602" s="470"/>
      <c r="AD1602" s="10" t="str">
        <f t="shared" si="21"/>
        <v>en término</v>
      </c>
      <c r="AE1602" s="645"/>
    </row>
    <row r="1603" spans="1:31" s="587" customFormat="1" ht="54.95" customHeight="1" thickBot="1" x14ac:dyDescent="0.25">
      <c r="A1603" s="584"/>
      <c r="B1603" s="1043" t="s">
        <v>36</v>
      </c>
      <c r="C1603" s="1043" t="s">
        <v>37</v>
      </c>
      <c r="D1603" s="1044" t="s">
        <v>2013</v>
      </c>
      <c r="E1603" s="1028" t="s">
        <v>2014</v>
      </c>
      <c r="F1603" s="1028">
        <v>8100001</v>
      </c>
      <c r="G1603" s="1028" t="s">
        <v>39</v>
      </c>
      <c r="H1603" s="1029">
        <v>6465</v>
      </c>
      <c r="I1603" s="1033" t="s">
        <v>40</v>
      </c>
      <c r="J1603" s="1032">
        <v>39717</v>
      </c>
      <c r="K1603" s="1041">
        <v>52</v>
      </c>
      <c r="L1603" s="641">
        <f t="shared" si="18"/>
        <v>39769</v>
      </c>
      <c r="M1603" s="1032" t="s">
        <v>41</v>
      </c>
      <c r="N1603" s="1028" t="s">
        <v>1750</v>
      </c>
      <c r="O1603" s="1032">
        <v>39749</v>
      </c>
      <c r="P1603" s="1041">
        <f t="shared" si="19"/>
        <v>-9</v>
      </c>
      <c r="Q1603" s="1034" t="s">
        <v>2009</v>
      </c>
      <c r="R1603" s="1032">
        <v>39755</v>
      </c>
      <c r="S1603" s="642">
        <v>39760</v>
      </c>
      <c r="T1603" s="464">
        <f>+S1603+20</f>
        <v>39780</v>
      </c>
      <c r="U1603" s="1041">
        <f t="shared" si="20"/>
        <v>63</v>
      </c>
      <c r="V1603" s="446" t="s">
        <v>2015</v>
      </c>
      <c r="W1603" s="1028">
        <v>363</v>
      </c>
      <c r="X1603" s="643"/>
      <c r="Y1603" s="1037"/>
      <c r="Z1603" s="457">
        <v>6682704372</v>
      </c>
      <c r="AA1603" s="1028" t="s">
        <v>2016</v>
      </c>
      <c r="AB1603" s="1032" t="s">
        <v>1901</v>
      </c>
      <c r="AC1603" s="644"/>
      <c r="AD1603" s="10" t="str">
        <f t="shared" si="21"/>
        <v>en término</v>
      </c>
      <c r="AE1603" s="645"/>
    </row>
    <row r="1604" spans="1:31" s="587" customFormat="1" ht="54.95" customHeight="1" thickBot="1" x14ac:dyDescent="0.25">
      <c r="A1604" s="584"/>
      <c r="B1604" s="585" t="s">
        <v>36</v>
      </c>
      <c r="C1604" s="455" t="s">
        <v>37</v>
      </c>
      <c r="D1604" s="456" t="s">
        <v>1971</v>
      </c>
      <c r="E1604" s="456" t="s">
        <v>1972</v>
      </c>
      <c r="F1604" s="457">
        <v>8060004</v>
      </c>
      <c r="G1604" s="457" t="s">
        <v>39</v>
      </c>
      <c r="H1604" s="458">
        <v>81900</v>
      </c>
      <c r="I1604" s="459" t="s">
        <v>40</v>
      </c>
      <c r="J1604" s="460">
        <v>39594</v>
      </c>
      <c r="K1604" s="461">
        <v>196</v>
      </c>
      <c r="L1604" s="462">
        <f t="shared" si="18"/>
        <v>39790</v>
      </c>
      <c r="M1604" s="460" t="s">
        <v>41</v>
      </c>
      <c r="N1604" s="457" t="s">
        <v>1750</v>
      </c>
      <c r="O1604" s="460">
        <v>39773</v>
      </c>
      <c r="P1604" s="461">
        <f t="shared" si="19"/>
        <v>-2</v>
      </c>
      <c r="Q1604" s="591"/>
      <c r="R1604" s="463">
        <v>39773</v>
      </c>
      <c r="S1604" s="464">
        <v>39788</v>
      </c>
      <c r="T1604" s="464">
        <f>+S1604+30</f>
        <v>39818</v>
      </c>
      <c r="U1604" s="461">
        <f t="shared" si="20"/>
        <v>224</v>
      </c>
      <c r="V1604" s="468" t="s">
        <v>2017</v>
      </c>
      <c r="W1604" s="493">
        <v>368</v>
      </c>
      <c r="X1604" s="467"/>
      <c r="Y1604" s="592"/>
      <c r="Z1604" s="457">
        <v>6506269862</v>
      </c>
      <c r="AA1604" s="457" t="s">
        <v>2018</v>
      </c>
      <c r="AB1604" s="1032" t="s">
        <v>2019</v>
      </c>
      <c r="AC1604" s="476"/>
      <c r="AD1604" s="645" t="str">
        <f t="shared" si="21"/>
        <v>en término</v>
      </c>
    </row>
    <row r="1605" spans="1:31" s="587" customFormat="1" ht="54.95" customHeight="1" thickBot="1" x14ac:dyDescent="0.25">
      <c r="A1605" s="584"/>
      <c r="B1605" s="1042" t="s">
        <v>36</v>
      </c>
      <c r="C1605" s="1043" t="s">
        <v>37</v>
      </c>
      <c r="D1605" s="1044" t="s">
        <v>1989</v>
      </c>
      <c r="E1605" s="1027" t="s">
        <v>2020</v>
      </c>
      <c r="F1605" s="1028">
        <v>8090002</v>
      </c>
      <c r="G1605" s="1028" t="s">
        <v>39</v>
      </c>
      <c r="H1605" s="1029">
        <v>16977</v>
      </c>
      <c r="I1605" s="1033" t="s">
        <v>40</v>
      </c>
      <c r="J1605" s="1032">
        <v>39695</v>
      </c>
      <c r="K1605" s="1041">
        <v>89</v>
      </c>
      <c r="L1605" s="641">
        <f t="shared" si="18"/>
        <v>39784</v>
      </c>
      <c r="M1605" s="1032" t="s">
        <v>41</v>
      </c>
      <c r="N1605" s="1028" t="s">
        <v>1750</v>
      </c>
      <c r="O1605" s="1032">
        <v>39773</v>
      </c>
      <c r="P1605" s="1041">
        <f t="shared" si="19"/>
        <v>4</v>
      </c>
      <c r="Q1605" s="1034"/>
      <c r="R1605" s="1035">
        <v>39773</v>
      </c>
      <c r="S1605" s="1031">
        <v>39788</v>
      </c>
      <c r="T1605" s="1031">
        <f>+S1605+30</f>
        <v>39818</v>
      </c>
      <c r="U1605" s="1041">
        <f t="shared" si="20"/>
        <v>123</v>
      </c>
      <c r="V1605" s="446" t="s">
        <v>2021</v>
      </c>
      <c r="W1605" s="659">
        <v>368</v>
      </c>
      <c r="X1605" s="643"/>
      <c r="Y1605" s="1037"/>
      <c r="Z1605" s="1028">
        <v>6506269862</v>
      </c>
      <c r="AA1605" s="1028" t="s">
        <v>2022</v>
      </c>
      <c r="AB1605" s="1032" t="s">
        <v>2019</v>
      </c>
      <c r="AC1605" s="1040"/>
      <c r="AD1605" s="645" t="str">
        <f t="shared" si="21"/>
        <v>atrasado</v>
      </c>
    </row>
    <row r="1606" spans="1:31" s="587" customFormat="1" ht="54.95" customHeight="1" thickBot="1" x14ac:dyDescent="0.25">
      <c r="A1606" s="584"/>
      <c r="B1606" s="455" t="s">
        <v>36</v>
      </c>
      <c r="C1606" s="455" t="s">
        <v>37</v>
      </c>
      <c r="D1606" s="456" t="s">
        <v>2023</v>
      </c>
      <c r="E1606" s="456" t="s">
        <v>2024</v>
      </c>
      <c r="F1606" s="457">
        <v>8110003</v>
      </c>
      <c r="G1606" s="457" t="s">
        <v>39</v>
      </c>
      <c r="H1606" s="458">
        <v>7940</v>
      </c>
      <c r="I1606" s="459"/>
      <c r="J1606" s="460">
        <v>39758</v>
      </c>
      <c r="K1606" s="461">
        <v>35</v>
      </c>
      <c r="L1606" s="462">
        <f t="shared" si="18"/>
        <v>39793</v>
      </c>
      <c r="M1606" s="460" t="s">
        <v>41</v>
      </c>
      <c r="N1606" s="457" t="s">
        <v>1750</v>
      </c>
      <c r="O1606" s="460">
        <v>39773</v>
      </c>
      <c r="P1606" s="461">
        <f t="shared" si="19"/>
        <v>-5</v>
      </c>
      <c r="Q1606" s="591"/>
      <c r="R1606" s="463">
        <v>39773</v>
      </c>
      <c r="S1606" s="464">
        <v>39788</v>
      </c>
      <c r="T1606" s="464">
        <f>+S1606+30</f>
        <v>39818</v>
      </c>
      <c r="U1606" s="461">
        <f t="shared" si="20"/>
        <v>60</v>
      </c>
      <c r="V1606" s="468" t="s">
        <v>2025</v>
      </c>
      <c r="W1606" s="493">
        <v>368</v>
      </c>
      <c r="X1606" s="467"/>
      <c r="Y1606" s="592"/>
      <c r="Z1606" s="457">
        <v>6506268862</v>
      </c>
      <c r="AA1606" s="457" t="s">
        <v>2018</v>
      </c>
      <c r="AB1606" s="1032" t="s">
        <v>2019</v>
      </c>
      <c r="AC1606" s="476"/>
      <c r="AD1606" s="645" t="str">
        <f t="shared" si="21"/>
        <v>en término</v>
      </c>
    </row>
    <row r="1607" spans="1:31" s="587" customFormat="1" ht="54.95" customHeight="1" thickBot="1" x14ac:dyDescent="0.25">
      <c r="A1607" s="584"/>
      <c r="B1607" s="1043" t="s">
        <v>36</v>
      </c>
      <c r="C1607" s="1043" t="s">
        <v>37</v>
      </c>
      <c r="D1607" s="1044" t="s">
        <v>1980</v>
      </c>
      <c r="E1607" s="1044" t="s">
        <v>1981</v>
      </c>
      <c r="F1607" s="1028">
        <v>8100004</v>
      </c>
      <c r="G1607" s="1028" t="s">
        <v>39</v>
      </c>
      <c r="H1607" s="1029">
        <v>26500</v>
      </c>
      <c r="I1607" s="1033" t="s">
        <v>40</v>
      </c>
      <c r="J1607" s="1032">
        <v>39743</v>
      </c>
      <c r="K1607" s="1041">
        <v>120</v>
      </c>
      <c r="L1607" s="641">
        <f t="shared" si="18"/>
        <v>39863</v>
      </c>
      <c r="M1607" s="1032" t="s">
        <v>41</v>
      </c>
      <c r="N1607" s="1028" t="s">
        <v>1750</v>
      </c>
      <c r="O1607" s="1032">
        <v>39791</v>
      </c>
      <c r="P1607" s="1041">
        <f t="shared" si="19"/>
        <v>-54</v>
      </c>
      <c r="Q1607" s="1034"/>
      <c r="R1607" s="1035">
        <v>39808</v>
      </c>
      <c r="S1607" s="1031">
        <v>39809</v>
      </c>
      <c r="T1607" s="1031">
        <v>39826</v>
      </c>
      <c r="U1607" s="1041">
        <f t="shared" si="20"/>
        <v>83</v>
      </c>
      <c r="V1607" s="446" t="s">
        <v>2026</v>
      </c>
      <c r="W1607" s="659">
        <v>372</v>
      </c>
      <c r="X1607" s="643"/>
      <c r="Y1607" s="1044">
        <v>39785</v>
      </c>
      <c r="Z1607" s="1028">
        <v>6510425504</v>
      </c>
      <c r="AA1607" s="1028" t="s">
        <v>2018</v>
      </c>
      <c r="AB1607" s="1032" t="s">
        <v>2019</v>
      </c>
      <c r="AC1607" s="1040"/>
      <c r="AD1607" s="645" t="str">
        <f t="shared" si="21"/>
        <v>en término</v>
      </c>
    </row>
    <row r="1608" spans="1:31" s="587" customFormat="1" ht="54.95" customHeight="1" thickBot="1" x14ac:dyDescent="0.25">
      <c r="A1608" s="584"/>
      <c r="B1608" s="455" t="s">
        <v>36</v>
      </c>
      <c r="C1608" s="455" t="s">
        <v>37</v>
      </c>
      <c r="D1608" s="456" t="s">
        <v>2027</v>
      </c>
      <c r="E1608" s="501" t="s">
        <v>2028</v>
      </c>
      <c r="F1608" s="457">
        <v>8110002</v>
      </c>
      <c r="G1608" s="457" t="s">
        <v>39</v>
      </c>
      <c r="H1608" s="458">
        <f>1606+320</f>
        <v>1926</v>
      </c>
      <c r="I1608" s="459"/>
      <c r="J1608" s="460">
        <v>39758</v>
      </c>
      <c r="K1608" s="461">
        <v>59</v>
      </c>
      <c r="L1608" s="462">
        <f t="shared" si="18"/>
        <v>39817</v>
      </c>
      <c r="M1608" s="460" t="s">
        <v>41</v>
      </c>
      <c r="N1608" s="457" t="s">
        <v>1750</v>
      </c>
      <c r="O1608" s="460">
        <v>39791</v>
      </c>
      <c r="P1608" s="461">
        <f t="shared" si="19"/>
        <v>-8</v>
      </c>
      <c r="Q1608" s="591"/>
      <c r="R1608" s="463">
        <v>39808</v>
      </c>
      <c r="S1608" s="464">
        <v>39809</v>
      </c>
      <c r="T1608" s="464">
        <v>39826</v>
      </c>
      <c r="U1608" s="461">
        <f t="shared" si="20"/>
        <v>68</v>
      </c>
      <c r="V1608" s="468" t="s">
        <v>53</v>
      </c>
      <c r="W1608" s="493">
        <v>372</v>
      </c>
      <c r="X1608" s="467"/>
      <c r="Y1608" s="592"/>
      <c r="Z1608" s="457">
        <v>6510425504</v>
      </c>
      <c r="AA1608" s="457" t="s">
        <v>2018</v>
      </c>
      <c r="AB1608" s="1032" t="s">
        <v>2019</v>
      </c>
      <c r="AC1608" s="476"/>
      <c r="AD1608" s="645" t="str">
        <f t="shared" si="21"/>
        <v>en término</v>
      </c>
    </row>
    <row r="1610" spans="1:31" x14ac:dyDescent="0.2">
      <c r="H1610" s="636"/>
    </row>
    <row r="1611" spans="1:31" ht="12.75" x14ac:dyDescent="0.2">
      <c r="H1611" s="636"/>
      <c r="AA1611" s="1">
        <v>2008</v>
      </c>
      <c r="AB1611" s="1047"/>
    </row>
    <row r="1612" spans="1:31" ht="12.75" x14ac:dyDescent="0.2">
      <c r="H1612" s="636"/>
      <c r="AA1612" s="945" t="s">
        <v>813</v>
      </c>
      <c r="AB1612" s="1048">
        <f>COUNTA(AD1540:AD1608)</f>
        <v>61</v>
      </c>
    </row>
    <row r="1613" spans="1:31" ht="12.75" x14ac:dyDescent="0.2">
      <c r="AA1613" s="945" t="s">
        <v>815</v>
      </c>
      <c r="AB1613" s="1048">
        <f>COUNTIF(AD1540:AD1609,"en término")</f>
        <v>38</v>
      </c>
    </row>
    <row r="1614" spans="1:31" ht="12.75" x14ac:dyDescent="0.2">
      <c r="L1614" s="637"/>
      <c r="AA1614" s="945" t="s">
        <v>817</v>
      </c>
      <c r="AB1614" s="557">
        <f>+AB1613/AB1612</f>
        <v>0.62295081967213117</v>
      </c>
    </row>
    <row r="1616" spans="1:31" ht="12" thickBot="1" x14ac:dyDescent="0.25"/>
    <row r="1617" spans="1:39" s="556" customFormat="1" ht="39.950000000000003" customHeight="1" thickBot="1" x14ac:dyDescent="0.4">
      <c r="A1617" s="554"/>
      <c r="B1617" s="1611">
        <v>2009</v>
      </c>
      <c r="C1617" s="1612"/>
      <c r="D1617" s="1612"/>
      <c r="E1617" s="1612"/>
      <c r="F1617" s="1612"/>
      <c r="G1617" s="1612"/>
      <c r="H1617" s="1612"/>
      <c r="I1617" s="1612"/>
      <c r="J1617" s="1612"/>
      <c r="K1617" s="1612"/>
      <c r="L1617" s="1612"/>
      <c r="M1617" s="1612"/>
      <c r="N1617" s="1612"/>
      <c r="O1617" s="1612"/>
      <c r="P1617" s="1612"/>
      <c r="Q1617" s="1612"/>
      <c r="R1617" s="1612"/>
      <c r="S1617" s="1612"/>
      <c r="T1617" s="1612"/>
      <c r="U1617" s="1612"/>
      <c r="V1617" s="1612"/>
      <c r="W1617" s="1612"/>
      <c r="X1617" s="1612"/>
      <c r="Y1617" s="1612"/>
      <c r="Z1617" s="1612"/>
      <c r="AA1617" s="1612"/>
      <c r="AB1617" s="1612"/>
      <c r="AC1617" s="1613"/>
      <c r="AD1617" s="555"/>
    </row>
    <row r="1618" spans="1:39" s="441" customFormat="1" ht="60" customHeight="1" thickBot="1" x14ac:dyDescent="0.25">
      <c r="A1618" s="438"/>
      <c r="B1618" s="451" t="s">
        <v>130</v>
      </c>
      <c r="C1618" s="451" t="s">
        <v>4</v>
      </c>
      <c r="D1618" s="451" t="s">
        <v>5</v>
      </c>
      <c r="E1618" s="451" t="s">
        <v>6</v>
      </c>
      <c r="F1618" s="451" t="s">
        <v>7</v>
      </c>
      <c r="G1618" s="451" t="s">
        <v>8</v>
      </c>
      <c r="H1618" s="453" t="s">
        <v>9</v>
      </c>
      <c r="I1618" s="453" t="s">
        <v>10</v>
      </c>
      <c r="J1618" s="451" t="s">
        <v>11</v>
      </c>
      <c r="K1618" s="451" t="s">
        <v>12</v>
      </c>
      <c r="L1618" s="451" t="s">
        <v>13</v>
      </c>
      <c r="M1618" s="451" t="s">
        <v>14</v>
      </c>
      <c r="N1618" s="451" t="s">
        <v>15</v>
      </c>
      <c r="O1618" s="452" t="s">
        <v>16</v>
      </c>
      <c r="P1618" s="454" t="s">
        <v>17</v>
      </c>
      <c r="Q1618" s="451" t="s">
        <v>18</v>
      </c>
      <c r="R1618" s="452" t="s">
        <v>19</v>
      </c>
      <c r="S1618" s="451" t="s">
        <v>20</v>
      </c>
      <c r="T1618" s="451" t="s">
        <v>21</v>
      </c>
      <c r="U1618" s="452" t="s">
        <v>22</v>
      </c>
      <c r="V1618" s="451" t="s">
        <v>131</v>
      </c>
      <c r="W1618" s="451" t="s">
        <v>24</v>
      </c>
      <c r="X1618" s="451" t="s">
        <v>132</v>
      </c>
      <c r="Y1618" s="451" t="s">
        <v>26</v>
      </c>
      <c r="Z1618" s="451" t="s">
        <v>27</v>
      </c>
      <c r="AA1618" s="451" t="s">
        <v>28</v>
      </c>
      <c r="AB1618" s="451" t="s">
        <v>29</v>
      </c>
      <c r="AC1618" s="451" t="s">
        <v>30</v>
      </c>
      <c r="AD1618" s="439"/>
      <c r="AE1618" s="440"/>
      <c r="AF1618" s="440"/>
      <c r="AG1618" s="440"/>
      <c r="AH1618" s="440"/>
      <c r="AI1618" s="440"/>
      <c r="AJ1618" s="440"/>
      <c r="AK1618" s="440"/>
      <c r="AL1618" s="440"/>
      <c r="AM1618" s="440"/>
    </row>
    <row r="1619" spans="1:39" s="587" customFormat="1" ht="54.95" customHeight="1" thickBot="1" x14ac:dyDescent="0.25">
      <c r="A1619" s="584"/>
      <c r="B1619" s="1043" t="s">
        <v>36</v>
      </c>
      <c r="C1619" s="1043" t="s">
        <v>133</v>
      </c>
      <c r="D1619" s="1044" t="s">
        <v>1958</v>
      </c>
      <c r="E1619" s="446" t="s">
        <v>1959</v>
      </c>
      <c r="F1619" s="1028">
        <v>4502551591</v>
      </c>
      <c r="G1619" s="1028" t="s">
        <v>39</v>
      </c>
      <c r="H1619" s="1029">
        <v>6966.96</v>
      </c>
      <c r="I1619" s="1033" t="s">
        <v>52</v>
      </c>
      <c r="J1619" s="1032">
        <v>39780</v>
      </c>
      <c r="K1619" s="1041">
        <v>97</v>
      </c>
      <c r="L1619" s="641">
        <f t="shared" ref="L1619:L1650" si="22">+J1619+K1619</f>
        <v>39877</v>
      </c>
      <c r="M1619" s="1032" t="s">
        <v>41</v>
      </c>
      <c r="N1619" s="1028" t="s">
        <v>1750</v>
      </c>
      <c r="O1619" s="1032">
        <v>39822</v>
      </c>
      <c r="P1619" s="1041">
        <f t="shared" ref="P1619:P1650" si="23">IF(S1619="","",+S1619-L1619)</f>
        <v>-41</v>
      </c>
      <c r="Q1619" s="1034" t="s">
        <v>2029</v>
      </c>
      <c r="R1619" s="1032">
        <v>39833</v>
      </c>
      <c r="S1619" s="642">
        <v>39836</v>
      </c>
      <c r="T1619" s="1031">
        <v>39853</v>
      </c>
      <c r="U1619" s="1041">
        <f t="shared" ref="U1619:U1650" si="24">IF(T1619="","",+T1619-J1619)</f>
        <v>73</v>
      </c>
      <c r="V1619" s="446" t="s">
        <v>53</v>
      </c>
      <c r="W1619" s="659">
        <v>375</v>
      </c>
      <c r="X1619" s="1028"/>
      <c r="Y1619" s="643"/>
      <c r="Z1619" s="1028" t="s">
        <v>2030</v>
      </c>
      <c r="AA1619" s="1028" t="s">
        <v>2012</v>
      </c>
      <c r="AB1619" s="1032" t="s">
        <v>2031</v>
      </c>
      <c r="AC1619" s="644"/>
      <c r="AD1619" s="645" t="str">
        <f t="shared" ref="AD1619:AD1642" si="25">IF(P1619="","",IF(P1619&lt;=0,"en término","atrasado"))</f>
        <v>en término</v>
      </c>
      <c r="AE1619" s="645"/>
    </row>
    <row r="1620" spans="1:39" s="587" customFormat="1" ht="54.95" customHeight="1" thickBot="1" x14ac:dyDescent="0.25">
      <c r="A1620" s="584"/>
      <c r="B1620" s="1043" t="s">
        <v>36</v>
      </c>
      <c r="C1620" s="1043" t="s">
        <v>133</v>
      </c>
      <c r="D1620" s="1044" t="s">
        <v>2032</v>
      </c>
      <c r="E1620" s="446" t="s">
        <v>2033</v>
      </c>
      <c r="F1620" s="1028">
        <v>4502580769</v>
      </c>
      <c r="G1620" s="1028" t="s">
        <v>39</v>
      </c>
      <c r="H1620" s="1029">
        <v>79690.600000000006</v>
      </c>
      <c r="I1620" s="1033" t="s">
        <v>52</v>
      </c>
      <c r="J1620" s="1032">
        <v>39798</v>
      </c>
      <c r="K1620" s="1041">
        <v>82</v>
      </c>
      <c r="L1620" s="641">
        <f t="shared" si="22"/>
        <v>39880</v>
      </c>
      <c r="M1620" s="1032" t="s">
        <v>41</v>
      </c>
      <c r="N1620" s="1028" t="s">
        <v>1750</v>
      </c>
      <c r="O1620" s="1032">
        <v>39822</v>
      </c>
      <c r="P1620" s="1041">
        <f t="shared" si="23"/>
        <v>-44</v>
      </c>
      <c r="Q1620" s="1034" t="s">
        <v>2029</v>
      </c>
      <c r="R1620" s="1032">
        <v>39833</v>
      </c>
      <c r="S1620" s="642">
        <v>39836</v>
      </c>
      <c r="T1620" s="1031">
        <v>39853</v>
      </c>
      <c r="U1620" s="1041">
        <f t="shared" si="24"/>
        <v>55</v>
      </c>
      <c r="V1620" s="446" t="s">
        <v>2034</v>
      </c>
      <c r="W1620" s="659">
        <v>376</v>
      </c>
      <c r="X1620" s="1028"/>
      <c r="Y1620" s="643"/>
      <c r="Z1620" s="1028" t="s">
        <v>2030</v>
      </c>
      <c r="AA1620" s="1028" t="s">
        <v>2012</v>
      </c>
      <c r="AB1620" s="1032" t="s">
        <v>2031</v>
      </c>
      <c r="AC1620" s="644"/>
      <c r="AD1620" s="645" t="str">
        <f t="shared" si="25"/>
        <v>en término</v>
      </c>
    </row>
    <row r="1621" spans="1:39" s="587" customFormat="1" ht="54.95" customHeight="1" thickBot="1" x14ac:dyDescent="0.25">
      <c r="A1621" s="584"/>
      <c r="B1621" s="455" t="s">
        <v>36</v>
      </c>
      <c r="C1621" s="455" t="s">
        <v>37</v>
      </c>
      <c r="D1621" s="456" t="s">
        <v>1989</v>
      </c>
      <c r="E1621" s="501" t="s">
        <v>2035</v>
      </c>
      <c r="F1621" s="457">
        <v>8110005</v>
      </c>
      <c r="G1621" s="457" t="s">
        <v>39</v>
      </c>
      <c r="H1621" s="458">
        <f>21099+100</f>
        <v>21199</v>
      </c>
      <c r="I1621" s="459" t="s">
        <v>40</v>
      </c>
      <c r="J1621" s="460">
        <v>39758</v>
      </c>
      <c r="K1621" s="461">
        <v>75</v>
      </c>
      <c r="L1621" s="462">
        <f t="shared" si="22"/>
        <v>39833</v>
      </c>
      <c r="M1621" s="460" t="s">
        <v>41</v>
      </c>
      <c r="N1621" s="457" t="s">
        <v>2036</v>
      </c>
      <c r="O1621" s="460">
        <v>39822</v>
      </c>
      <c r="P1621" s="461">
        <f t="shared" si="23"/>
        <v>3</v>
      </c>
      <c r="Q1621" s="1034" t="s">
        <v>2029</v>
      </c>
      <c r="R1621" s="1035">
        <v>39833</v>
      </c>
      <c r="S1621" s="1031">
        <v>39836</v>
      </c>
      <c r="T1621" s="1031">
        <v>39853</v>
      </c>
      <c r="U1621" s="461">
        <f t="shared" si="24"/>
        <v>95</v>
      </c>
      <c r="V1621" s="468" t="s">
        <v>1991</v>
      </c>
      <c r="W1621" s="493">
        <v>374</v>
      </c>
      <c r="X1621" s="467"/>
      <c r="Y1621" s="592"/>
      <c r="Z1621" s="468" t="s">
        <v>2030</v>
      </c>
      <c r="AA1621" s="457" t="s">
        <v>2037</v>
      </c>
      <c r="AB1621" s="460" t="s">
        <v>2019</v>
      </c>
      <c r="AC1621" s="476"/>
      <c r="AD1621" s="645" t="str">
        <f t="shared" si="25"/>
        <v>atrasado</v>
      </c>
    </row>
    <row r="1622" spans="1:39" s="587" customFormat="1" ht="54.95" customHeight="1" thickBot="1" x14ac:dyDescent="0.25">
      <c r="A1622" s="584"/>
      <c r="B1622" s="1043" t="s">
        <v>36</v>
      </c>
      <c r="C1622" s="1043" t="s">
        <v>37</v>
      </c>
      <c r="D1622" s="1044" t="s">
        <v>1989</v>
      </c>
      <c r="E1622" s="1027" t="s">
        <v>2038</v>
      </c>
      <c r="F1622" s="1028">
        <v>8110004</v>
      </c>
      <c r="G1622" s="1028" t="s">
        <v>39</v>
      </c>
      <c r="H1622" s="1029">
        <v>9615</v>
      </c>
      <c r="I1622" s="1033" t="s">
        <v>40</v>
      </c>
      <c r="J1622" s="1032">
        <v>39758</v>
      </c>
      <c r="K1622" s="1041">
        <v>88</v>
      </c>
      <c r="L1622" s="641">
        <f t="shared" si="22"/>
        <v>39846</v>
      </c>
      <c r="M1622" s="1032" t="s">
        <v>41</v>
      </c>
      <c r="N1622" s="1028" t="s">
        <v>2036</v>
      </c>
      <c r="O1622" s="1032">
        <v>39822</v>
      </c>
      <c r="P1622" s="1041">
        <f t="shared" si="23"/>
        <v>-10</v>
      </c>
      <c r="Q1622" s="1034" t="s">
        <v>2029</v>
      </c>
      <c r="R1622" s="1035">
        <v>39833</v>
      </c>
      <c r="S1622" s="1031">
        <v>39836</v>
      </c>
      <c r="T1622" s="1031">
        <v>39853</v>
      </c>
      <c r="U1622" s="461">
        <f t="shared" si="24"/>
        <v>95</v>
      </c>
      <c r="V1622" s="446" t="s">
        <v>2039</v>
      </c>
      <c r="W1622" s="659">
        <v>374</v>
      </c>
      <c r="X1622" s="643"/>
      <c r="Y1622" s="1037"/>
      <c r="Z1622" s="446" t="s">
        <v>2030</v>
      </c>
      <c r="AA1622" s="1028" t="s">
        <v>2037</v>
      </c>
      <c r="AB1622" s="460" t="s">
        <v>2019</v>
      </c>
      <c r="AC1622" s="1040"/>
      <c r="AD1622" s="645" t="str">
        <f t="shared" si="25"/>
        <v>en término</v>
      </c>
    </row>
    <row r="1623" spans="1:39" s="587" customFormat="1" ht="54.95" customHeight="1" thickBot="1" x14ac:dyDescent="0.25">
      <c r="A1623" s="584"/>
      <c r="B1623" s="1043" t="s">
        <v>36</v>
      </c>
      <c r="C1623" s="1043" t="s">
        <v>37</v>
      </c>
      <c r="D1623" s="1044" t="s">
        <v>1989</v>
      </c>
      <c r="E1623" s="1027" t="s">
        <v>2040</v>
      </c>
      <c r="F1623" s="1028">
        <v>8110007</v>
      </c>
      <c r="G1623" s="1028" t="s">
        <v>39</v>
      </c>
      <c r="H1623" s="1029">
        <v>9615</v>
      </c>
      <c r="I1623" s="1033" t="s">
        <v>40</v>
      </c>
      <c r="J1623" s="1032">
        <v>39771</v>
      </c>
      <c r="K1623" s="1041">
        <v>92</v>
      </c>
      <c r="L1623" s="641">
        <f t="shared" si="22"/>
        <v>39863</v>
      </c>
      <c r="M1623" s="1032" t="s">
        <v>41</v>
      </c>
      <c r="N1623" s="1028" t="s">
        <v>2036</v>
      </c>
      <c r="O1623" s="1032">
        <v>39822</v>
      </c>
      <c r="P1623" s="1041">
        <f t="shared" si="23"/>
        <v>-27</v>
      </c>
      <c r="Q1623" s="1034" t="s">
        <v>2029</v>
      </c>
      <c r="R1623" s="1035">
        <v>39833</v>
      </c>
      <c r="S1623" s="1031">
        <v>39836</v>
      </c>
      <c r="T1623" s="1031">
        <v>39853</v>
      </c>
      <c r="U1623" s="461">
        <f t="shared" si="24"/>
        <v>82</v>
      </c>
      <c r="V1623" s="446" t="s">
        <v>2039</v>
      </c>
      <c r="W1623" s="659">
        <v>374</v>
      </c>
      <c r="X1623" s="643"/>
      <c r="Y1623" s="1037"/>
      <c r="Z1623" s="446" t="s">
        <v>2030</v>
      </c>
      <c r="AA1623" s="1028" t="s">
        <v>2037</v>
      </c>
      <c r="AB1623" s="460" t="s">
        <v>2019</v>
      </c>
      <c r="AC1623" s="1040"/>
      <c r="AD1623" s="645" t="str">
        <f t="shared" si="25"/>
        <v>en término</v>
      </c>
    </row>
    <row r="1624" spans="1:39" s="587" customFormat="1" ht="54.95" customHeight="1" thickTop="1" thickBot="1" x14ac:dyDescent="0.25">
      <c r="A1624" s="584"/>
      <c r="B1624" s="660" t="s">
        <v>36</v>
      </c>
      <c r="C1624" s="665" t="s">
        <v>133</v>
      </c>
      <c r="D1624" s="666" t="s">
        <v>2041</v>
      </c>
      <c r="E1624" s="667" t="s">
        <v>2042</v>
      </c>
      <c r="F1624" s="668">
        <v>4502628726</v>
      </c>
      <c r="G1624" s="668" t="s">
        <v>39</v>
      </c>
      <c r="H1624" s="669">
        <v>39386.800000000003</v>
      </c>
      <c r="I1624" s="670" t="s">
        <v>40</v>
      </c>
      <c r="J1624" s="662">
        <v>39835</v>
      </c>
      <c r="K1624" s="671">
        <v>96</v>
      </c>
      <c r="L1624" s="672">
        <f t="shared" si="22"/>
        <v>39931</v>
      </c>
      <c r="M1624" s="662" t="s">
        <v>41</v>
      </c>
      <c r="N1624" s="668" t="s">
        <v>1750</v>
      </c>
      <c r="O1624" s="662">
        <v>39969</v>
      </c>
      <c r="P1624" s="671" t="str">
        <f t="shared" si="23"/>
        <v/>
      </c>
      <c r="Q1624" s="661"/>
      <c r="R1624" s="662"/>
      <c r="S1624" s="663"/>
      <c r="T1624" s="664"/>
      <c r="U1624" s="671" t="str">
        <f t="shared" si="24"/>
        <v/>
      </c>
      <c r="V1624" s="667" t="s">
        <v>1087</v>
      </c>
      <c r="W1624" s="673"/>
      <c r="X1624" s="668"/>
      <c r="Y1624" s="668" t="s">
        <v>2043</v>
      </c>
      <c r="Z1624" s="668"/>
      <c r="AA1624" s="668"/>
      <c r="AB1624" s="674" t="str">
        <f>IF(S1624="","",IF('o.c.'!$Z$1&lt;(S1624+60),(S1624+60),"VENCIDA"))</f>
        <v/>
      </c>
      <c r="AC1624" s="675" t="s">
        <v>2044</v>
      </c>
      <c r="AD1624" s="645" t="str">
        <f t="shared" si="25"/>
        <v/>
      </c>
      <c r="AE1624" s="645"/>
    </row>
    <row r="1625" spans="1:39" s="587" customFormat="1" ht="54.95" customHeight="1" thickTop="1" thickBot="1" x14ac:dyDescent="0.25">
      <c r="A1625" s="584"/>
      <c r="B1625" s="1043" t="s">
        <v>36</v>
      </c>
      <c r="C1625" s="1043" t="s">
        <v>37</v>
      </c>
      <c r="D1625" s="1044" t="s">
        <v>1989</v>
      </c>
      <c r="E1625" s="1027" t="s">
        <v>2045</v>
      </c>
      <c r="F1625" s="1028">
        <v>8120001</v>
      </c>
      <c r="G1625" s="1028" t="s">
        <v>39</v>
      </c>
      <c r="H1625" s="1029">
        <v>21099</v>
      </c>
      <c r="I1625" s="1033" t="s">
        <v>40</v>
      </c>
      <c r="J1625" s="1032">
        <v>39783</v>
      </c>
      <c r="K1625" s="1041">
        <v>89</v>
      </c>
      <c r="L1625" s="641">
        <f t="shared" si="22"/>
        <v>39872</v>
      </c>
      <c r="M1625" s="1032" t="s">
        <v>41</v>
      </c>
      <c r="N1625" s="1028" t="s">
        <v>1880</v>
      </c>
      <c r="O1625" s="1032">
        <v>39864</v>
      </c>
      <c r="P1625" s="1041">
        <f t="shared" si="23"/>
        <v>0</v>
      </c>
      <c r="Q1625" s="1034"/>
      <c r="R1625" s="1035">
        <v>39869</v>
      </c>
      <c r="S1625" s="1031">
        <v>39872</v>
      </c>
      <c r="T1625" s="1031">
        <v>39874</v>
      </c>
      <c r="U1625" s="1041">
        <f t="shared" si="24"/>
        <v>91</v>
      </c>
      <c r="V1625" s="446" t="s">
        <v>1991</v>
      </c>
      <c r="W1625" s="659">
        <v>379</v>
      </c>
      <c r="X1625" s="643"/>
      <c r="Y1625" s="1037"/>
      <c r="Z1625" s="446" t="s">
        <v>2046</v>
      </c>
      <c r="AA1625" s="1028" t="s">
        <v>2037</v>
      </c>
      <c r="AB1625" s="1032" t="s">
        <v>2047</v>
      </c>
      <c r="AC1625" s="1040"/>
      <c r="AD1625" s="645" t="str">
        <f t="shared" si="25"/>
        <v>en término</v>
      </c>
    </row>
    <row r="1626" spans="1:39" s="587" customFormat="1" ht="54.95" customHeight="1" thickBot="1" x14ac:dyDescent="0.25">
      <c r="A1626" s="584"/>
      <c r="B1626" s="455" t="s">
        <v>36</v>
      </c>
      <c r="C1626" s="455" t="s">
        <v>133</v>
      </c>
      <c r="D1626" s="456" t="s">
        <v>1958</v>
      </c>
      <c r="E1626" s="468" t="s">
        <v>1959</v>
      </c>
      <c r="F1626" s="457">
        <v>4502612785</v>
      </c>
      <c r="G1626" s="457" t="s">
        <v>39</v>
      </c>
      <c r="H1626" s="458">
        <v>9164.42</v>
      </c>
      <c r="I1626" s="459" t="s">
        <v>52</v>
      </c>
      <c r="J1626" s="460">
        <v>39822</v>
      </c>
      <c r="K1626" s="461">
        <v>97</v>
      </c>
      <c r="L1626" s="462">
        <f t="shared" si="22"/>
        <v>39919</v>
      </c>
      <c r="M1626" s="460" t="s">
        <v>41</v>
      </c>
      <c r="N1626" s="457" t="s">
        <v>1750</v>
      </c>
      <c r="O1626" s="460">
        <v>39885</v>
      </c>
      <c r="P1626" s="461">
        <f t="shared" si="23"/>
        <v>-27</v>
      </c>
      <c r="Q1626" s="591" t="s">
        <v>2048</v>
      </c>
      <c r="R1626" s="460">
        <v>39890</v>
      </c>
      <c r="S1626" s="471">
        <v>39892</v>
      </c>
      <c r="T1626" s="464">
        <v>39909</v>
      </c>
      <c r="U1626" s="461">
        <f t="shared" si="24"/>
        <v>87</v>
      </c>
      <c r="V1626" s="468" t="s">
        <v>53</v>
      </c>
      <c r="W1626" s="493">
        <v>383</v>
      </c>
      <c r="X1626" s="457"/>
      <c r="Y1626" s="467"/>
      <c r="Z1626" s="457">
        <v>6510425456</v>
      </c>
      <c r="AA1626" s="457" t="s">
        <v>2049</v>
      </c>
      <c r="AB1626" s="460" t="s">
        <v>2050</v>
      </c>
      <c r="AC1626" s="470"/>
      <c r="AD1626" s="645" t="str">
        <f t="shared" si="25"/>
        <v>en término</v>
      </c>
      <c r="AE1626" s="645"/>
    </row>
    <row r="1627" spans="1:39" s="587" customFormat="1" ht="54.95" customHeight="1" thickBot="1" x14ac:dyDescent="0.25">
      <c r="A1627" s="584"/>
      <c r="B1627" s="1043" t="s">
        <v>36</v>
      </c>
      <c r="C1627" s="1043" t="s">
        <v>133</v>
      </c>
      <c r="D1627" s="1044" t="s">
        <v>2032</v>
      </c>
      <c r="E1627" s="446" t="s">
        <v>2033</v>
      </c>
      <c r="F1627" s="1028">
        <v>4502621321</v>
      </c>
      <c r="G1627" s="1028" t="s">
        <v>39</v>
      </c>
      <c r="H1627" s="1029">
        <v>25490</v>
      </c>
      <c r="I1627" s="1033" t="s">
        <v>52</v>
      </c>
      <c r="J1627" s="1032">
        <v>39828</v>
      </c>
      <c r="K1627" s="1041">
        <v>81</v>
      </c>
      <c r="L1627" s="641">
        <f t="shared" si="22"/>
        <v>39909</v>
      </c>
      <c r="M1627" s="1032" t="s">
        <v>41</v>
      </c>
      <c r="N1627" s="1028" t="s">
        <v>1750</v>
      </c>
      <c r="O1627" s="1032">
        <v>39885</v>
      </c>
      <c r="P1627" s="1041">
        <f t="shared" si="23"/>
        <v>-17</v>
      </c>
      <c r="Q1627" s="591" t="s">
        <v>2048</v>
      </c>
      <c r="R1627" s="460">
        <v>39890</v>
      </c>
      <c r="S1627" s="471">
        <v>39892</v>
      </c>
      <c r="T1627" s="464">
        <v>39909</v>
      </c>
      <c r="U1627" s="1041">
        <f t="shared" si="24"/>
        <v>81</v>
      </c>
      <c r="V1627" s="446" t="s">
        <v>2051</v>
      </c>
      <c r="W1627" s="659">
        <v>384</v>
      </c>
      <c r="X1627" s="1028"/>
      <c r="Y1627" s="643"/>
      <c r="Z1627" s="457">
        <v>6510425456</v>
      </c>
      <c r="AA1627" s="457" t="s">
        <v>2049</v>
      </c>
      <c r="AB1627" s="1032" t="s">
        <v>2050</v>
      </c>
      <c r="AC1627" s="644"/>
      <c r="AD1627" s="645" t="str">
        <f t="shared" si="25"/>
        <v>en término</v>
      </c>
    </row>
    <row r="1628" spans="1:39" s="587" customFormat="1" ht="54.95" customHeight="1" thickBot="1" x14ac:dyDescent="0.25">
      <c r="A1628" s="584"/>
      <c r="B1628" s="455" t="s">
        <v>36</v>
      </c>
      <c r="C1628" s="1043" t="s">
        <v>37</v>
      </c>
      <c r="D1628" s="456" t="s">
        <v>2052</v>
      </c>
      <c r="E1628" s="468" t="s">
        <v>2053</v>
      </c>
      <c r="F1628" s="457">
        <v>8120002</v>
      </c>
      <c r="G1628" s="457" t="s">
        <v>39</v>
      </c>
      <c r="H1628" s="458">
        <v>96640</v>
      </c>
      <c r="I1628" s="459" t="s">
        <v>40</v>
      </c>
      <c r="J1628" s="460">
        <v>39791</v>
      </c>
      <c r="K1628" s="461">
        <v>122</v>
      </c>
      <c r="L1628" s="462">
        <f t="shared" si="22"/>
        <v>39913</v>
      </c>
      <c r="M1628" s="460" t="s">
        <v>41</v>
      </c>
      <c r="N1628" s="457" t="s">
        <v>1750</v>
      </c>
      <c r="O1628" s="460">
        <v>39885</v>
      </c>
      <c r="P1628" s="461">
        <f t="shared" si="23"/>
        <v>-21</v>
      </c>
      <c r="Q1628" s="591" t="s">
        <v>2048</v>
      </c>
      <c r="R1628" s="460">
        <v>39890</v>
      </c>
      <c r="S1628" s="471">
        <v>39892</v>
      </c>
      <c r="T1628" s="464">
        <v>39909</v>
      </c>
      <c r="U1628" s="461">
        <f t="shared" si="24"/>
        <v>118</v>
      </c>
      <c r="V1628" s="468" t="s">
        <v>2054</v>
      </c>
      <c r="W1628" s="493">
        <v>382</v>
      </c>
      <c r="X1628" s="592"/>
      <c r="Y1628" s="456">
        <v>39882</v>
      </c>
      <c r="Z1628" s="457">
        <v>6510425456</v>
      </c>
      <c r="AA1628" s="457" t="s">
        <v>2055</v>
      </c>
      <c r="AB1628" s="460" t="s">
        <v>2019</v>
      </c>
      <c r="AC1628" s="470"/>
      <c r="AD1628" s="645" t="str">
        <f t="shared" si="25"/>
        <v>en término</v>
      </c>
    </row>
    <row r="1629" spans="1:39" s="587" customFormat="1" ht="54.95" customHeight="1" thickBot="1" x14ac:dyDescent="0.25">
      <c r="A1629" s="584"/>
      <c r="B1629" s="1043" t="s">
        <v>36</v>
      </c>
      <c r="C1629" s="1043" t="s">
        <v>37</v>
      </c>
      <c r="D1629" s="1044" t="s">
        <v>1989</v>
      </c>
      <c r="E1629" s="1027" t="s">
        <v>2056</v>
      </c>
      <c r="F1629" s="1028">
        <v>9010001</v>
      </c>
      <c r="G1629" s="1028" t="s">
        <v>39</v>
      </c>
      <c r="H1629" s="1029">
        <v>7515.6</v>
      </c>
      <c r="I1629" s="1033" t="s">
        <v>40</v>
      </c>
      <c r="J1629" s="1032">
        <v>39811</v>
      </c>
      <c r="K1629" s="1041">
        <v>89</v>
      </c>
      <c r="L1629" s="641">
        <f t="shared" si="22"/>
        <v>39900</v>
      </c>
      <c r="M1629" s="1032" t="s">
        <v>41</v>
      </c>
      <c r="N1629" s="457" t="s">
        <v>1750</v>
      </c>
      <c r="O1629" s="1032">
        <v>39885</v>
      </c>
      <c r="P1629" s="1041">
        <f t="shared" si="23"/>
        <v>-8</v>
      </c>
      <c r="Q1629" s="591" t="s">
        <v>2048</v>
      </c>
      <c r="R1629" s="460">
        <v>39890</v>
      </c>
      <c r="S1629" s="471">
        <v>39892</v>
      </c>
      <c r="T1629" s="464">
        <v>39909</v>
      </c>
      <c r="U1629" s="1041">
        <f t="shared" si="24"/>
        <v>98</v>
      </c>
      <c r="V1629" s="446" t="s">
        <v>2057</v>
      </c>
      <c r="W1629" s="659">
        <v>382</v>
      </c>
      <c r="X1629" s="643"/>
      <c r="Y1629" s="1037"/>
      <c r="Z1629" s="457">
        <v>6510425456</v>
      </c>
      <c r="AA1629" s="1028" t="s">
        <v>2055</v>
      </c>
      <c r="AB1629" s="460" t="s">
        <v>2019</v>
      </c>
      <c r="AC1629" s="1040"/>
      <c r="AD1629" s="645" t="str">
        <f t="shared" si="25"/>
        <v>en término</v>
      </c>
    </row>
    <row r="1630" spans="1:39" s="587" customFormat="1" ht="54.95" customHeight="1" thickBot="1" x14ac:dyDescent="0.25">
      <c r="A1630" s="584"/>
      <c r="B1630" s="455" t="s">
        <v>36</v>
      </c>
      <c r="C1630" s="1043" t="s">
        <v>37</v>
      </c>
      <c r="D1630" s="456" t="s">
        <v>2058</v>
      </c>
      <c r="E1630" s="468" t="s">
        <v>2059</v>
      </c>
      <c r="F1630" s="457">
        <v>9010004</v>
      </c>
      <c r="G1630" s="457" t="s">
        <v>39</v>
      </c>
      <c r="H1630" s="458">
        <v>34880</v>
      </c>
      <c r="I1630" s="459" t="s">
        <v>40</v>
      </c>
      <c r="J1630" s="460">
        <v>39798</v>
      </c>
      <c r="K1630" s="461">
        <v>117</v>
      </c>
      <c r="L1630" s="462">
        <f t="shared" si="22"/>
        <v>39915</v>
      </c>
      <c r="M1630" s="460" t="s">
        <v>41</v>
      </c>
      <c r="N1630" s="457" t="s">
        <v>1750</v>
      </c>
      <c r="O1630" s="460">
        <v>39885</v>
      </c>
      <c r="P1630" s="461">
        <f t="shared" si="23"/>
        <v>-23</v>
      </c>
      <c r="Q1630" s="591" t="s">
        <v>2048</v>
      </c>
      <c r="R1630" s="460">
        <v>39890</v>
      </c>
      <c r="S1630" s="471">
        <v>39892</v>
      </c>
      <c r="T1630" s="464">
        <v>39909</v>
      </c>
      <c r="U1630" s="461">
        <f t="shared" si="24"/>
        <v>111</v>
      </c>
      <c r="V1630" s="468" t="s">
        <v>879</v>
      </c>
      <c r="W1630" s="493">
        <v>382</v>
      </c>
      <c r="X1630" s="592"/>
      <c r="Y1630" s="456">
        <v>39882</v>
      </c>
      <c r="Z1630" s="457">
        <v>6510425456</v>
      </c>
      <c r="AA1630" s="1028" t="s">
        <v>2055</v>
      </c>
      <c r="AB1630" s="460" t="s">
        <v>2019</v>
      </c>
      <c r="AC1630" s="470"/>
      <c r="AD1630" s="645" t="str">
        <f t="shared" si="25"/>
        <v>en término</v>
      </c>
    </row>
    <row r="1631" spans="1:39" s="587" customFormat="1" ht="54.95" customHeight="1" thickBot="1" x14ac:dyDescent="0.25">
      <c r="A1631" s="584"/>
      <c r="B1631" s="455" t="s">
        <v>36</v>
      </c>
      <c r="C1631" s="455" t="s">
        <v>37</v>
      </c>
      <c r="D1631" s="456" t="s">
        <v>1989</v>
      </c>
      <c r="E1631" s="501" t="s">
        <v>2060</v>
      </c>
      <c r="F1631" s="457">
        <v>9010002</v>
      </c>
      <c r="G1631" s="457" t="s">
        <v>39</v>
      </c>
      <c r="H1631" s="458">
        <v>28100</v>
      </c>
      <c r="I1631" s="459" t="s">
        <v>40</v>
      </c>
      <c r="J1631" s="460">
        <v>39828</v>
      </c>
      <c r="K1631" s="461">
        <v>90</v>
      </c>
      <c r="L1631" s="462">
        <f t="shared" si="22"/>
        <v>39918</v>
      </c>
      <c r="M1631" s="460" t="s">
        <v>41</v>
      </c>
      <c r="N1631" s="457" t="s">
        <v>1750</v>
      </c>
      <c r="O1631" s="460">
        <v>39885</v>
      </c>
      <c r="P1631" s="461">
        <f t="shared" si="23"/>
        <v>-26</v>
      </c>
      <c r="Q1631" s="591" t="s">
        <v>2048</v>
      </c>
      <c r="R1631" s="460">
        <v>39890</v>
      </c>
      <c r="S1631" s="471">
        <v>39892</v>
      </c>
      <c r="T1631" s="464">
        <v>39909</v>
      </c>
      <c r="U1631" s="461">
        <f t="shared" si="24"/>
        <v>81</v>
      </c>
      <c r="V1631" s="468" t="s">
        <v>2061</v>
      </c>
      <c r="W1631" s="493">
        <v>382</v>
      </c>
      <c r="X1631" s="467"/>
      <c r="Y1631" s="592"/>
      <c r="Z1631" s="457">
        <v>6510425456</v>
      </c>
      <c r="AA1631" s="457" t="s">
        <v>2062</v>
      </c>
      <c r="AB1631" s="460" t="s">
        <v>2019</v>
      </c>
      <c r="AC1631" s="476"/>
      <c r="AD1631" s="645" t="str">
        <f t="shared" si="25"/>
        <v>en término</v>
      </c>
    </row>
    <row r="1632" spans="1:39" s="587" customFormat="1" ht="54.95" customHeight="1" thickBot="1" x14ac:dyDescent="0.25">
      <c r="A1632" s="584"/>
      <c r="B1632" s="455" t="s">
        <v>36</v>
      </c>
      <c r="C1632" s="455" t="s">
        <v>133</v>
      </c>
      <c r="D1632" s="456" t="s">
        <v>2041</v>
      </c>
      <c r="E1632" s="468" t="s">
        <v>2042</v>
      </c>
      <c r="F1632" s="457">
        <v>4502588769</v>
      </c>
      <c r="G1632" s="457" t="s">
        <v>39</v>
      </c>
      <c r="H1632" s="458">
        <v>138166.35999999999</v>
      </c>
      <c r="I1632" s="459" t="s">
        <v>40</v>
      </c>
      <c r="J1632" s="460">
        <v>39804</v>
      </c>
      <c r="K1632" s="461">
        <v>115</v>
      </c>
      <c r="L1632" s="462">
        <f t="shared" si="22"/>
        <v>39919</v>
      </c>
      <c r="M1632" s="460" t="s">
        <v>41</v>
      </c>
      <c r="N1632" s="457" t="s">
        <v>1750</v>
      </c>
      <c r="O1632" s="460">
        <v>39926</v>
      </c>
      <c r="P1632" s="461">
        <f t="shared" si="23"/>
        <v>14</v>
      </c>
      <c r="Q1632" s="591" t="s">
        <v>2063</v>
      </c>
      <c r="R1632" s="460">
        <v>39901</v>
      </c>
      <c r="S1632" s="471">
        <v>39933</v>
      </c>
      <c r="T1632" s="464">
        <v>39951</v>
      </c>
      <c r="U1632" s="461">
        <f t="shared" si="24"/>
        <v>147</v>
      </c>
      <c r="V1632" s="468" t="s">
        <v>786</v>
      </c>
      <c r="W1632" s="493">
        <v>391</v>
      </c>
      <c r="X1632" s="457"/>
      <c r="Y1632" s="456">
        <v>39925</v>
      </c>
      <c r="Z1632" s="446">
        <v>9009910464</v>
      </c>
      <c r="AA1632" s="457" t="s">
        <v>2064</v>
      </c>
      <c r="AB1632" s="460" t="s">
        <v>2065</v>
      </c>
      <c r="AC1632" s="470"/>
      <c r="AD1632" s="645" t="str">
        <f t="shared" si="25"/>
        <v>atrasado</v>
      </c>
      <c r="AE1632" s="645"/>
    </row>
    <row r="1633" spans="1:31" s="587" customFormat="1" ht="54.95" customHeight="1" thickBot="1" x14ac:dyDescent="0.25">
      <c r="A1633" s="584"/>
      <c r="B1633" s="455" t="s">
        <v>36</v>
      </c>
      <c r="C1633" s="455" t="s">
        <v>133</v>
      </c>
      <c r="D1633" s="456" t="s">
        <v>2032</v>
      </c>
      <c r="E1633" s="468" t="s">
        <v>2033</v>
      </c>
      <c r="F1633" s="457">
        <v>4502669845</v>
      </c>
      <c r="G1633" s="457" t="s">
        <v>39</v>
      </c>
      <c r="H1633" s="458">
        <v>58731.360000000001</v>
      </c>
      <c r="I1633" s="459" t="s">
        <v>52</v>
      </c>
      <c r="J1633" s="460">
        <v>39861</v>
      </c>
      <c r="K1633" s="461">
        <v>78</v>
      </c>
      <c r="L1633" s="462">
        <f t="shared" si="22"/>
        <v>39939</v>
      </c>
      <c r="M1633" s="460" t="s">
        <v>41</v>
      </c>
      <c r="N1633" s="457" t="s">
        <v>1750</v>
      </c>
      <c r="O1633" s="460">
        <v>39926</v>
      </c>
      <c r="P1633" s="461">
        <f t="shared" si="23"/>
        <v>-6</v>
      </c>
      <c r="Q1633" s="591" t="s">
        <v>2063</v>
      </c>
      <c r="R1633" s="460">
        <v>39901</v>
      </c>
      <c r="S1633" s="471">
        <v>39933</v>
      </c>
      <c r="T1633" s="464">
        <v>39951</v>
      </c>
      <c r="U1633" s="461">
        <f t="shared" si="24"/>
        <v>90</v>
      </c>
      <c r="V1633" s="468" t="s">
        <v>2066</v>
      </c>
      <c r="W1633" s="493">
        <v>390</v>
      </c>
      <c r="X1633" s="457"/>
      <c r="Y1633" s="467"/>
      <c r="Z1633" s="446">
        <v>9009910464</v>
      </c>
      <c r="AA1633" s="457" t="s">
        <v>2067</v>
      </c>
      <c r="AB1633" s="460" t="s">
        <v>2065</v>
      </c>
      <c r="AC1633" s="470"/>
      <c r="AD1633" s="645" t="str">
        <f t="shared" si="25"/>
        <v>en término</v>
      </c>
      <c r="AE1633" s="645"/>
    </row>
    <row r="1634" spans="1:31" s="587" customFormat="1" ht="54.95" customHeight="1" thickBot="1" x14ac:dyDescent="0.25">
      <c r="A1634" s="584"/>
      <c r="B1634" s="455" t="s">
        <v>36</v>
      </c>
      <c r="C1634" s="455" t="s">
        <v>37</v>
      </c>
      <c r="D1634" s="456" t="s">
        <v>2068</v>
      </c>
      <c r="E1634" s="468" t="s">
        <v>2069</v>
      </c>
      <c r="F1634" s="457">
        <v>9010003</v>
      </c>
      <c r="G1634" s="457" t="s">
        <v>39</v>
      </c>
      <c r="H1634" s="458">
        <f>115900+27000</f>
        <v>142900</v>
      </c>
      <c r="I1634" s="459" t="s">
        <v>40</v>
      </c>
      <c r="J1634" s="460">
        <v>39832</v>
      </c>
      <c r="K1634" s="461">
        <v>112</v>
      </c>
      <c r="L1634" s="462">
        <f t="shared" si="22"/>
        <v>39944</v>
      </c>
      <c r="M1634" s="460" t="s">
        <v>41</v>
      </c>
      <c r="N1634" s="457" t="s">
        <v>1750</v>
      </c>
      <c r="O1634" s="460">
        <v>39926</v>
      </c>
      <c r="P1634" s="461">
        <f t="shared" si="23"/>
        <v>-11</v>
      </c>
      <c r="Q1634" s="591" t="s">
        <v>2063</v>
      </c>
      <c r="R1634" s="460">
        <v>39901</v>
      </c>
      <c r="S1634" s="471">
        <v>39933</v>
      </c>
      <c r="T1634" s="464">
        <v>39951</v>
      </c>
      <c r="U1634" s="461">
        <f t="shared" si="24"/>
        <v>119</v>
      </c>
      <c r="V1634" s="468" t="s">
        <v>2070</v>
      </c>
      <c r="W1634" s="493">
        <v>389</v>
      </c>
      <c r="X1634" s="592"/>
      <c r="Y1634" s="456">
        <v>39925</v>
      </c>
      <c r="Z1634" s="446">
        <v>9009910464</v>
      </c>
      <c r="AA1634" s="457" t="s">
        <v>2071</v>
      </c>
      <c r="AB1634" s="460" t="s">
        <v>2019</v>
      </c>
      <c r="AC1634" s="470"/>
      <c r="AD1634" s="645" t="str">
        <f t="shared" si="25"/>
        <v>en término</v>
      </c>
    </row>
    <row r="1635" spans="1:31" s="587" customFormat="1" ht="54.95" customHeight="1" thickBot="1" x14ac:dyDescent="0.25">
      <c r="A1635" s="584"/>
      <c r="B1635" s="455" t="s">
        <v>36</v>
      </c>
      <c r="C1635" s="455" t="s">
        <v>37</v>
      </c>
      <c r="D1635" s="456" t="s">
        <v>1989</v>
      </c>
      <c r="E1635" s="501" t="s">
        <v>2072</v>
      </c>
      <c r="F1635" s="457">
        <v>9020001</v>
      </c>
      <c r="G1635" s="457" t="s">
        <v>39</v>
      </c>
      <c r="H1635" s="458">
        <v>4226.6000000000004</v>
      </c>
      <c r="I1635" s="459" t="s">
        <v>40</v>
      </c>
      <c r="J1635" s="460">
        <v>39847</v>
      </c>
      <c r="K1635" s="461">
        <v>89</v>
      </c>
      <c r="L1635" s="462">
        <f t="shared" si="22"/>
        <v>39936</v>
      </c>
      <c r="M1635" s="460" t="s">
        <v>41</v>
      </c>
      <c r="N1635" s="457" t="s">
        <v>1750</v>
      </c>
      <c r="O1635" s="460">
        <v>39926</v>
      </c>
      <c r="P1635" s="461">
        <f t="shared" si="23"/>
        <v>-3</v>
      </c>
      <c r="Q1635" s="591" t="s">
        <v>2063</v>
      </c>
      <c r="R1635" s="460">
        <v>39901</v>
      </c>
      <c r="S1635" s="471">
        <v>39933</v>
      </c>
      <c r="T1635" s="464">
        <v>39951</v>
      </c>
      <c r="U1635" s="461">
        <f t="shared" si="24"/>
        <v>104</v>
      </c>
      <c r="V1635" s="468" t="s">
        <v>2073</v>
      </c>
      <c r="W1635" s="493">
        <v>389</v>
      </c>
      <c r="X1635" s="467"/>
      <c r="Y1635" s="592"/>
      <c r="Z1635" s="446">
        <v>9009910464</v>
      </c>
      <c r="AA1635" s="457" t="s">
        <v>2067</v>
      </c>
      <c r="AB1635" s="460" t="s">
        <v>2019</v>
      </c>
      <c r="AC1635" s="476"/>
      <c r="AD1635" s="645" t="str">
        <f t="shared" si="25"/>
        <v>en término</v>
      </c>
    </row>
    <row r="1636" spans="1:31" s="587" customFormat="1" ht="54.95" customHeight="1" thickBot="1" x14ac:dyDescent="0.25">
      <c r="A1636" s="584"/>
      <c r="B1636" s="455" t="s">
        <v>36</v>
      </c>
      <c r="C1636" s="455" t="s">
        <v>37</v>
      </c>
      <c r="D1636" s="456" t="s">
        <v>2074</v>
      </c>
      <c r="E1636" s="501" t="s">
        <v>2075</v>
      </c>
      <c r="F1636" s="457">
        <v>9020003</v>
      </c>
      <c r="G1636" s="457" t="s">
        <v>39</v>
      </c>
      <c r="H1636" s="458">
        <v>440</v>
      </c>
      <c r="I1636" s="459" t="s">
        <v>142</v>
      </c>
      <c r="J1636" s="460">
        <v>39849</v>
      </c>
      <c r="K1636" s="461">
        <v>109</v>
      </c>
      <c r="L1636" s="462">
        <f t="shared" si="22"/>
        <v>39958</v>
      </c>
      <c r="M1636" s="460" t="s">
        <v>41</v>
      </c>
      <c r="N1636" s="457" t="s">
        <v>2076</v>
      </c>
      <c r="O1636" s="460">
        <v>39926</v>
      </c>
      <c r="P1636" s="461">
        <f t="shared" si="23"/>
        <v>-25</v>
      </c>
      <c r="Q1636" s="591" t="s">
        <v>2063</v>
      </c>
      <c r="R1636" s="460">
        <v>39901</v>
      </c>
      <c r="S1636" s="471">
        <v>39933</v>
      </c>
      <c r="T1636" s="464">
        <v>39951</v>
      </c>
      <c r="U1636" s="461">
        <f t="shared" si="24"/>
        <v>102</v>
      </c>
      <c r="V1636" s="468" t="s">
        <v>2077</v>
      </c>
      <c r="W1636" s="493">
        <v>389</v>
      </c>
      <c r="X1636" s="467"/>
      <c r="Y1636" s="592"/>
      <c r="Z1636" s="446">
        <v>9009910464</v>
      </c>
      <c r="AA1636" s="457" t="s">
        <v>2067</v>
      </c>
      <c r="AB1636" s="460" t="s">
        <v>2019</v>
      </c>
      <c r="AC1636" s="476"/>
      <c r="AD1636" s="645" t="str">
        <f t="shared" si="25"/>
        <v>en término</v>
      </c>
    </row>
    <row r="1637" spans="1:31" s="587" customFormat="1" ht="54.95" customHeight="1" thickBot="1" x14ac:dyDescent="0.25">
      <c r="A1637" s="584"/>
      <c r="B1637" s="1043" t="s">
        <v>36</v>
      </c>
      <c r="C1637" s="1043" t="s">
        <v>37</v>
      </c>
      <c r="D1637" s="1044" t="s">
        <v>2078</v>
      </c>
      <c r="E1637" s="1027" t="s">
        <v>2079</v>
      </c>
      <c r="F1637" s="1028">
        <v>9020002</v>
      </c>
      <c r="G1637" s="1028" t="s">
        <v>39</v>
      </c>
      <c r="H1637" s="1029">
        <v>10900</v>
      </c>
      <c r="I1637" s="1033" t="s">
        <v>40</v>
      </c>
      <c r="J1637" s="1032">
        <v>39849</v>
      </c>
      <c r="K1637" s="1041">
        <v>96</v>
      </c>
      <c r="L1637" s="641">
        <f t="shared" si="22"/>
        <v>39945</v>
      </c>
      <c r="M1637" s="1032" t="s">
        <v>41</v>
      </c>
      <c r="N1637" s="1028" t="s">
        <v>2076</v>
      </c>
      <c r="O1637" s="1032">
        <v>39926</v>
      </c>
      <c r="P1637" s="1041">
        <f t="shared" si="23"/>
        <v>-12</v>
      </c>
      <c r="Q1637" s="591" t="s">
        <v>2063</v>
      </c>
      <c r="R1637" s="460">
        <v>39901</v>
      </c>
      <c r="S1637" s="471">
        <v>39933</v>
      </c>
      <c r="T1637" s="464">
        <v>39951</v>
      </c>
      <c r="U1637" s="1041">
        <f t="shared" si="24"/>
        <v>102</v>
      </c>
      <c r="V1637" s="446" t="s">
        <v>53</v>
      </c>
      <c r="W1637" s="493">
        <v>389</v>
      </c>
      <c r="X1637" s="643"/>
      <c r="Y1637" s="1037"/>
      <c r="Z1637" s="446">
        <v>9009910464</v>
      </c>
      <c r="AA1637" s="1028" t="s">
        <v>2067</v>
      </c>
      <c r="AB1637" s="460" t="s">
        <v>2019</v>
      </c>
      <c r="AC1637" s="1040"/>
      <c r="AD1637" s="645" t="str">
        <f t="shared" si="25"/>
        <v>en término</v>
      </c>
    </row>
    <row r="1638" spans="1:31" s="587" customFormat="1" ht="54.95" customHeight="1" thickBot="1" x14ac:dyDescent="0.25">
      <c r="A1638" s="584"/>
      <c r="B1638" s="1043" t="s">
        <v>36</v>
      </c>
      <c r="C1638" s="1043" t="s">
        <v>37</v>
      </c>
      <c r="D1638" s="1044" t="s">
        <v>2080</v>
      </c>
      <c r="E1638" s="1027" t="s">
        <v>2081</v>
      </c>
      <c r="F1638" s="1028">
        <v>9020004</v>
      </c>
      <c r="G1638" s="1028" t="s">
        <v>39</v>
      </c>
      <c r="H1638" s="1029">
        <v>21600</v>
      </c>
      <c r="I1638" s="1033" t="s">
        <v>40</v>
      </c>
      <c r="J1638" s="1032">
        <v>39861</v>
      </c>
      <c r="K1638" s="1041">
        <v>80</v>
      </c>
      <c r="L1638" s="641">
        <f t="shared" si="22"/>
        <v>39941</v>
      </c>
      <c r="M1638" s="1032" t="s">
        <v>41</v>
      </c>
      <c r="N1638" s="1028" t="s">
        <v>2076</v>
      </c>
      <c r="O1638" s="1032">
        <v>39926</v>
      </c>
      <c r="P1638" s="1041">
        <f t="shared" si="23"/>
        <v>-8</v>
      </c>
      <c r="Q1638" s="591" t="s">
        <v>2063</v>
      </c>
      <c r="R1638" s="460">
        <v>39901</v>
      </c>
      <c r="S1638" s="471">
        <v>39933</v>
      </c>
      <c r="T1638" s="464">
        <v>39951</v>
      </c>
      <c r="U1638" s="1041">
        <f t="shared" si="24"/>
        <v>90</v>
      </c>
      <c r="V1638" s="446" t="s">
        <v>2082</v>
      </c>
      <c r="W1638" s="493">
        <v>389</v>
      </c>
      <c r="X1638" s="643"/>
      <c r="Y1638" s="1037"/>
      <c r="Z1638" s="446">
        <v>9009910464</v>
      </c>
      <c r="AA1638" s="1028" t="s">
        <v>2067</v>
      </c>
      <c r="AB1638" s="460" t="s">
        <v>2019</v>
      </c>
      <c r="AC1638" s="1040"/>
      <c r="AD1638" s="645" t="str">
        <f t="shared" si="25"/>
        <v>en término</v>
      </c>
    </row>
    <row r="1639" spans="1:31" s="587" customFormat="1" ht="54.95" customHeight="1" thickBot="1" x14ac:dyDescent="0.25">
      <c r="A1639" s="584"/>
      <c r="B1639" s="1043" t="s">
        <v>36</v>
      </c>
      <c r="C1639" s="1043" t="s">
        <v>133</v>
      </c>
      <c r="D1639" s="1044" t="s">
        <v>2041</v>
      </c>
      <c r="E1639" s="446" t="s">
        <v>2042</v>
      </c>
      <c r="F1639" s="1028">
        <v>4502674268</v>
      </c>
      <c r="G1639" s="1028" t="s">
        <v>39</v>
      </c>
      <c r="H1639" s="1029">
        <v>154760.06</v>
      </c>
      <c r="I1639" s="1033" t="s">
        <v>40</v>
      </c>
      <c r="J1639" s="1032">
        <v>39863</v>
      </c>
      <c r="K1639" s="1041">
        <v>95</v>
      </c>
      <c r="L1639" s="641">
        <f t="shared" si="22"/>
        <v>39958</v>
      </c>
      <c r="M1639" s="1032" t="s">
        <v>41</v>
      </c>
      <c r="N1639" s="1028" t="s">
        <v>1750</v>
      </c>
      <c r="O1639" s="1032">
        <v>39938</v>
      </c>
      <c r="P1639" s="1041">
        <f t="shared" si="23"/>
        <v>-10</v>
      </c>
      <c r="Q1639" s="1034" t="s">
        <v>2083</v>
      </c>
      <c r="R1639" s="1032">
        <v>39946</v>
      </c>
      <c r="S1639" s="642">
        <v>39948</v>
      </c>
      <c r="T1639" s="1031">
        <v>39965</v>
      </c>
      <c r="U1639" s="1041">
        <f t="shared" si="24"/>
        <v>102</v>
      </c>
      <c r="V1639" s="446" t="s">
        <v>1279</v>
      </c>
      <c r="W1639" s="659">
        <v>393</v>
      </c>
      <c r="X1639" s="1028"/>
      <c r="Y1639" s="1028" t="s">
        <v>2084</v>
      </c>
      <c r="Z1639" s="1028">
        <v>9009910475</v>
      </c>
      <c r="AA1639" s="1028" t="s">
        <v>2067</v>
      </c>
      <c r="AB1639" s="1032" t="s">
        <v>1920</v>
      </c>
      <c r="AC1639" s="644"/>
      <c r="AD1639" s="645" t="str">
        <f t="shared" si="25"/>
        <v>en término</v>
      </c>
      <c r="AE1639" s="645"/>
    </row>
    <row r="1640" spans="1:31" s="587" customFormat="1" ht="54.95" customHeight="1" thickBot="1" x14ac:dyDescent="0.25">
      <c r="A1640" s="584"/>
      <c r="B1640" s="455" t="s">
        <v>36</v>
      </c>
      <c r="C1640" s="455" t="s">
        <v>37</v>
      </c>
      <c r="D1640" s="456" t="s">
        <v>2085</v>
      </c>
      <c r="E1640" s="501" t="s">
        <v>2086</v>
      </c>
      <c r="F1640" s="457">
        <v>9030001</v>
      </c>
      <c r="G1640" s="457" t="s">
        <v>39</v>
      </c>
      <c r="H1640" s="458">
        <v>1930</v>
      </c>
      <c r="I1640" s="459" t="s">
        <v>40</v>
      </c>
      <c r="J1640" s="460">
        <v>39890</v>
      </c>
      <c r="K1640" s="461">
        <v>81</v>
      </c>
      <c r="L1640" s="462">
        <f t="shared" si="22"/>
        <v>39971</v>
      </c>
      <c r="M1640" s="460" t="s">
        <v>41</v>
      </c>
      <c r="N1640" s="457" t="s">
        <v>2076</v>
      </c>
      <c r="O1640" s="460">
        <v>39938</v>
      </c>
      <c r="P1640" s="461">
        <f t="shared" si="23"/>
        <v>-23</v>
      </c>
      <c r="Q1640" s="1034" t="s">
        <v>2083</v>
      </c>
      <c r="R1640" s="1032">
        <v>39946</v>
      </c>
      <c r="S1640" s="642">
        <v>39948</v>
      </c>
      <c r="T1640" s="1031">
        <v>39965</v>
      </c>
      <c r="U1640" s="461">
        <f t="shared" si="24"/>
        <v>75</v>
      </c>
      <c r="V1640" s="468" t="s">
        <v>2087</v>
      </c>
      <c r="W1640" s="493">
        <v>394</v>
      </c>
      <c r="X1640" s="467"/>
      <c r="Y1640" s="592"/>
      <c r="Z1640" s="1028">
        <v>9009910475</v>
      </c>
      <c r="AA1640" s="457" t="s">
        <v>2088</v>
      </c>
      <c r="AB1640" s="460" t="s">
        <v>2019</v>
      </c>
      <c r="AC1640" s="476"/>
      <c r="AD1640" s="645" t="str">
        <f t="shared" si="25"/>
        <v>en término</v>
      </c>
    </row>
    <row r="1641" spans="1:31" s="587" customFormat="1" ht="54.95" customHeight="1" thickBot="1" x14ac:dyDescent="0.25">
      <c r="A1641" s="584"/>
      <c r="B1641" s="1043" t="s">
        <v>36</v>
      </c>
      <c r="C1641" s="1043" t="s">
        <v>37</v>
      </c>
      <c r="D1641" s="1044" t="s">
        <v>2089</v>
      </c>
      <c r="E1641" s="1027" t="s">
        <v>2090</v>
      </c>
      <c r="F1641" s="1028">
        <v>9030002</v>
      </c>
      <c r="G1641" s="1028" t="s">
        <v>39</v>
      </c>
      <c r="H1641" s="1029">
        <v>2720</v>
      </c>
      <c r="I1641" s="1033" t="s">
        <v>40</v>
      </c>
      <c r="J1641" s="1032">
        <v>39890</v>
      </c>
      <c r="K1641" s="1041">
        <v>83</v>
      </c>
      <c r="L1641" s="641">
        <f t="shared" si="22"/>
        <v>39973</v>
      </c>
      <c r="M1641" s="1032" t="s">
        <v>41</v>
      </c>
      <c r="N1641" s="1028" t="s">
        <v>1880</v>
      </c>
      <c r="O1641" s="1032">
        <v>39938</v>
      </c>
      <c r="P1641" s="1041">
        <f t="shared" si="23"/>
        <v>-25</v>
      </c>
      <c r="Q1641" s="1034" t="s">
        <v>2083</v>
      </c>
      <c r="R1641" s="1032">
        <v>39946</v>
      </c>
      <c r="S1641" s="642">
        <v>39948</v>
      </c>
      <c r="T1641" s="1031">
        <v>39965</v>
      </c>
      <c r="U1641" s="1041">
        <f t="shared" si="24"/>
        <v>75</v>
      </c>
      <c r="V1641" s="446" t="s">
        <v>2091</v>
      </c>
      <c r="W1641" s="493">
        <v>394</v>
      </c>
      <c r="X1641" s="643"/>
      <c r="Y1641" s="1037"/>
      <c r="Z1641" s="1028">
        <v>9009910475</v>
      </c>
      <c r="AA1641" s="457" t="s">
        <v>2088</v>
      </c>
      <c r="AB1641" s="460" t="s">
        <v>2019</v>
      </c>
      <c r="AC1641" s="1040"/>
      <c r="AD1641" s="645" t="str">
        <f t="shared" si="25"/>
        <v>en término</v>
      </c>
    </row>
    <row r="1642" spans="1:31" s="587" customFormat="1" ht="54.95" customHeight="1" thickBot="1" x14ac:dyDescent="0.25">
      <c r="A1642" s="584"/>
      <c r="B1642" s="1043" t="s">
        <v>36</v>
      </c>
      <c r="C1642" s="1043" t="s">
        <v>37</v>
      </c>
      <c r="D1642" s="1044" t="s">
        <v>2080</v>
      </c>
      <c r="E1642" s="1027" t="s">
        <v>2092</v>
      </c>
      <c r="F1642" s="1028">
        <v>9030003</v>
      </c>
      <c r="G1642" s="1028" t="s">
        <v>39</v>
      </c>
      <c r="H1642" s="1029">
        <v>6750</v>
      </c>
      <c r="I1642" s="1033" t="s">
        <v>40</v>
      </c>
      <c r="J1642" s="1032">
        <v>39888</v>
      </c>
      <c r="K1642" s="1041">
        <v>90</v>
      </c>
      <c r="L1642" s="641">
        <f t="shared" si="22"/>
        <v>39978</v>
      </c>
      <c r="M1642" s="1032" t="s">
        <v>41</v>
      </c>
      <c r="N1642" s="1028" t="s">
        <v>2076</v>
      </c>
      <c r="O1642" s="1032">
        <v>39938</v>
      </c>
      <c r="P1642" s="1041">
        <f t="shared" si="23"/>
        <v>-30</v>
      </c>
      <c r="Q1642" s="1034" t="s">
        <v>2083</v>
      </c>
      <c r="R1642" s="1032">
        <v>39946</v>
      </c>
      <c r="S1642" s="642">
        <v>39948</v>
      </c>
      <c r="T1642" s="1031">
        <v>39965</v>
      </c>
      <c r="U1642" s="1041">
        <f t="shared" si="24"/>
        <v>77</v>
      </c>
      <c r="V1642" s="446" t="s">
        <v>2093</v>
      </c>
      <c r="W1642" s="493">
        <v>394</v>
      </c>
      <c r="X1642" s="643"/>
      <c r="Y1642" s="1037"/>
      <c r="Z1642" s="1028">
        <v>9009910475</v>
      </c>
      <c r="AA1642" s="457" t="s">
        <v>2088</v>
      </c>
      <c r="AB1642" s="460" t="s">
        <v>2019</v>
      </c>
      <c r="AC1642" s="1040"/>
      <c r="AD1642" s="645" t="str">
        <f t="shared" si="25"/>
        <v>en término</v>
      </c>
    </row>
    <row r="1643" spans="1:31" s="587" customFormat="1" ht="54.95" customHeight="1" thickBot="1" x14ac:dyDescent="0.25">
      <c r="A1643" s="584"/>
      <c r="B1643" s="455" t="s">
        <v>36</v>
      </c>
      <c r="C1643" s="455" t="s">
        <v>37</v>
      </c>
      <c r="D1643" s="456" t="s">
        <v>2094</v>
      </c>
      <c r="E1643" s="501" t="s">
        <v>2095</v>
      </c>
      <c r="F1643" s="457">
        <v>9050003</v>
      </c>
      <c r="G1643" s="457" t="s">
        <v>39</v>
      </c>
      <c r="H1643" s="458">
        <v>9325</v>
      </c>
      <c r="I1643" s="459" t="s">
        <v>52</v>
      </c>
      <c r="J1643" s="460">
        <v>39932</v>
      </c>
      <c r="K1643" s="461">
        <v>121</v>
      </c>
      <c r="L1643" s="462">
        <f t="shared" si="22"/>
        <v>40053</v>
      </c>
      <c r="M1643" s="460" t="s">
        <v>41</v>
      </c>
      <c r="N1643" s="457" t="s">
        <v>2076</v>
      </c>
      <c r="O1643" s="460">
        <v>39986</v>
      </c>
      <c r="P1643" s="461">
        <f t="shared" si="23"/>
        <v>-65</v>
      </c>
      <c r="Q1643" s="591" t="s">
        <v>1819</v>
      </c>
      <c r="R1643" s="460"/>
      <c r="S1643" s="471">
        <v>39988</v>
      </c>
      <c r="T1643" s="464">
        <v>39993</v>
      </c>
      <c r="U1643" s="461">
        <f t="shared" si="24"/>
        <v>61</v>
      </c>
      <c r="V1643" s="468" t="s">
        <v>2096</v>
      </c>
      <c r="W1643" s="457" t="s">
        <v>2097</v>
      </c>
      <c r="X1643" s="467"/>
      <c r="Y1643" s="592"/>
      <c r="Z1643" s="468" t="s">
        <v>1708</v>
      </c>
      <c r="AA1643" s="457" t="s">
        <v>2098</v>
      </c>
      <c r="AB1643" s="460" t="s">
        <v>47</v>
      </c>
      <c r="AC1643" s="476"/>
      <c r="AD1643" s="645"/>
      <c r="AE1643" s="645"/>
    </row>
    <row r="1644" spans="1:31" s="587" customFormat="1" ht="54.95" customHeight="1" thickBot="1" x14ac:dyDescent="0.25">
      <c r="A1644" s="584"/>
      <c r="B1644" s="689" t="s">
        <v>36</v>
      </c>
      <c r="C1644" s="496" t="s">
        <v>133</v>
      </c>
      <c r="D1644" s="456" t="s">
        <v>2032</v>
      </c>
      <c r="E1644" s="468" t="s">
        <v>2033</v>
      </c>
      <c r="F1644" s="457">
        <v>4502785695</v>
      </c>
      <c r="G1644" s="457" t="s">
        <v>39</v>
      </c>
      <c r="H1644" s="458">
        <v>36071.980000000003</v>
      </c>
      <c r="I1644" s="459" t="s">
        <v>52</v>
      </c>
      <c r="J1644" s="460">
        <v>39941</v>
      </c>
      <c r="K1644" s="461">
        <v>80</v>
      </c>
      <c r="L1644" s="462">
        <f t="shared" si="22"/>
        <v>40021</v>
      </c>
      <c r="M1644" s="460" t="s">
        <v>41</v>
      </c>
      <c r="N1644" s="457" t="s">
        <v>1750</v>
      </c>
      <c r="O1644" s="460">
        <v>40001</v>
      </c>
      <c r="P1644" s="461">
        <f t="shared" si="23"/>
        <v>-10</v>
      </c>
      <c r="Q1644" s="591" t="s">
        <v>2099</v>
      </c>
      <c r="R1644" s="460">
        <v>40009</v>
      </c>
      <c r="S1644" s="471">
        <v>40011</v>
      </c>
      <c r="T1644" s="464">
        <v>40030</v>
      </c>
      <c r="U1644" s="461">
        <f t="shared" si="24"/>
        <v>89</v>
      </c>
      <c r="V1644" s="468" t="s">
        <v>2100</v>
      </c>
      <c r="W1644" s="493">
        <v>397</v>
      </c>
      <c r="X1644" s="457"/>
      <c r="Y1644" s="467"/>
      <c r="Z1644" s="1028">
        <v>9009910490</v>
      </c>
      <c r="AA1644" s="457" t="s">
        <v>2101</v>
      </c>
      <c r="AB1644" s="460" t="s">
        <v>2102</v>
      </c>
      <c r="AC1644" s="470" t="s">
        <v>2103</v>
      </c>
      <c r="AD1644" s="645" t="str">
        <f t="shared" ref="AD1644:AD1678" si="26">IF(P1644="","",IF(P1644&lt;=0,"en término","atrasado"))</f>
        <v>en término</v>
      </c>
    </row>
    <row r="1645" spans="1:31" s="587" customFormat="1" ht="54.95" customHeight="1" thickBot="1" x14ac:dyDescent="0.25">
      <c r="A1645" s="584"/>
      <c r="B1645" s="455" t="s">
        <v>36</v>
      </c>
      <c r="C1645" s="455" t="s">
        <v>133</v>
      </c>
      <c r="D1645" s="456" t="s">
        <v>1958</v>
      </c>
      <c r="E1645" s="468" t="s">
        <v>1959</v>
      </c>
      <c r="F1645" s="457">
        <v>4502786186</v>
      </c>
      <c r="G1645" s="457" t="s">
        <v>39</v>
      </c>
      <c r="H1645" s="458">
        <v>4042.05</v>
      </c>
      <c r="I1645" s="459" t="s">
        <v>52</v>
      </c>
      <c r="J1645" s="460">
        <v>39941</v>
      </c>
      <c r="K1645" s="461">
        <v>97</v>
      </c>
      <c r="L1645" s="462">
        <f t="shared" si="22"/>
        <v>40038</v>
      </c>
      <c r="M1645" s="460" t="s">
        <v>41</v>
      </c>
      <c r="N1645" s="457" t="s">
        <v>1750</v>
      </c>
      <c r="O1645" s="460">
        <v>40001</v>
      </c>
      <c r="P1645" s="461">
        <f t="shared" si="23"/>
        <v>-27</v>
      </c>
      <c r="Q1645" s="591" t="s">
        <v>2099</v>
      </c>
      <c r="R1645" s="460">
        <v>40009</v>
      </c>
      <c r="S1645" s="471">
        <v>40011</v>
      </c>
      <c r="T1645" s="464">
        <v>40030</v>
      </c>
      <c r="U1645" s="461">
        <f t="shared" si="24"/>
        <v>89</v>
      </c>
      <c r="V1645" s="468" t="s">
        <v>53</v>
      </c>
      <c r="W1645" s="493">
        <v>398</v>
      </c>
      <c r="X1645" s="457"/>
      <c r="Y1645" s="467"/>
      <c r="Z1645" s="1028">
        <v>9009910490</v>
      </c>
      <c r="AA1645" s="457" t="s">
        <v>2101</v>
      </c>
      <c r="AB1645" s="460" t="s">
        <v>2102</v>
      </c>
      <c r="AC1645" s="470" t="s">
        <v>2103</v>
      </c>
      <c r="AD1645" s="645" t="str">
        <f t="shared" si="26"/>
        <v>en término</v>
      </c>
    </row>
    <row r="1646" spans="1:31" s="587" customFormat="1" ht="54.95" customHeight="1" thickBot="1" x14ac:dyDescent="0.25">
      <c r="A1646" s="584"/>
      <c r="B1646" s="455" t="s">
        <v>36</v>
      </c>
      <c r="C1646" s="455" t="s">
        <v>133</v>
      </c>
      <c r="D1646" s="456" t="s">
        <v>1958</v>
      </c>
      <c r="E1646" s="468" t="s">
        <v>1959</v>
      </c>
      <c r="F1646" s="457">
        <v>4502719981</v>
      </c>
      <c r="G1646" s="457" t="s">
        <v>39</v>
      </c>
      <c r="H1646" s="458">
        <v>16724.34</v>
      </c>
      <c r="I1646" s="459" t="s">
        <v>52</v>
      </c>
      <c r="J1646" s="460">
        <v>39898</v>
      </c>
      <c r="K1646" s="461">
        <v>102</v>
      </c>
      <c r="L1646" s="462">
        <f t="shared" si="22"/>
        <v>40000</v>
      </c>
      <c r="M1646" s="460" t="s">
        <v>41</v>
      </c>
      <c r="N1646" s="457" t="s">
        <v>1750</v>
      </c>
      <c r="O1646" s="460">
        <v>40001</v>
      </c>
      <c r="P1646" s="461">
        <f t="shared" si="23"/>
        <v>11</v>
      </c>
      <c r="Q1646" s="591" t="s">
        <v>2099</v>
      </c>
      <c r="R1646" s="460">
        <v>40009</v>
      </c>
      <c r="S1646" s="471">
        <v>40011</v>
      </c>
      <c r="T1646" s="464">
        <v>40030</v>
      </c>
      <c r="U1646" s="461">
        <f t="shared" si="24"/>
        <v>132</v>
      </c>
      <c r="V1646" s="468" t="s">
        <v>53</v>
      </c>
      <c r="W1646" s="493">
        <v>396</v>
      </c>
      <c r="X1646" s="457"/>
      <c r="Y1646" s="467"/>
      <c r="Z1646" s="1028">
        <v>9009910490</v>
      </c>
      <c r="AA1646" s="457" t="s">
        <v>2104</v>
      </c>
      <c r="AB1646" s="589" t="s">
        <v>2105</v>
      </c>
      <c r="AC1646" s="470" t="s">
        <v>2103</v>
      </c>
      <c r="AD1646" s="645" t="str">
        <f t="shared" si="26"/>
        <v>atrasado</v>
      </c>
    </row>
    <row r="1647" spans="1:31" s="587" customFormat="1" ht="54.95" customHeight="1" thickBot="1" x14ac:dyDescent="0.25">
      <c r="A1647" s="584"/>
      <c r="B1647" s="1043" t="s">
        <v>36</v>
      </c>
      <c r="C1647" s="1043" t="s">
        <v>133</v>
      </c>
      <c r="D1647" s="1044" t="s">
        <v>2041</v>
      </c>
      <c r="E1647" s="446" t="s">
        <v>2042</v>
      </c>
      <c r="F1647" s="1028">
        <v>4502746887</v>
      </c>
      <c r="G1647" s="1028" t="s">
        <v>39</v>
      </c>
      <c r="H1647" s="1029">
        <v>70497.440000000002</v>
      </c>
      <c r="I1647" s="1033" t="s">
        <v>40</v>
      </c>
      <c r="J1647" s="1032">
        <v>39916</v>
      </c>
      <c r="K1647" s="1041">
        <v>93</v>
      </c>
      <c r="L1647" s="641">
        <f t="shared" si="22"/>
        <v>40009</v>
      </c>
      <c r="M1647" s="1032" t="s">
        <v>41</v>
      </c>
      <c r="N1647" s="1028" t="s">
        <v>1750</v>
      </c>
      <c r="O1647" s="460">
        <v>40001</v>
      </c>
      <c r="P1647" s="1041">
        <f t="shared" si="23"/>
        <v>2</v>
      </c>
      <c r="Q1647" s="591" t="s">
        <v>2099</v>
      </c>
      <c r="R1647" s="460">
        <v>40009</v>
      </c>
      <c r="S1647" s="471">
        <v>40011</v>
      </c>
      <c r="T1647" s="464">
        <v>40030</v>
      </c>
      <c r="U1647" s="1041">
        <f t="shared" si="24"/>
        <v>114</v>
      </c>
      <c r="V1647" s="446" t="s">
        <v>955</v>
      </c>
      <c r="W1647" s="659">
        <v>399</v>
      </c>
      <c r="X1647" s="1028"/>
      <c r="Y1647" s="1028" t="s">
        <v>2106</v>
      </c>
      <c r="Z1647" s="1028">
        <v>9009910490</v>
      </c>
      <c r="AA1647" s="1028" t="s">
        <v>2104</v>
      </c>
      <c r="AB1647" s="1039" t="s">
        <v>2107</v>
      </c>
      <c r="AC1647" s="644" t="s">
        <v>2103</v>
      </c>
      <c r="AD1647" s="645" t="str">
        <f t="shared" si="26"/>
        <v>atrasado</v>
      </c>
    </row>
    <row r="1648" spans="1:31" s="587" customFormat="1" ht="54.95" customHeight="1" thickBot="1" x14ac:dyDescent="0.25">
      <c r="A1648" s="584"/>
      <c r="B1648" s="455" t="s">
        <v>36</v>
      </c>
      <c r="C1648" s="455" t="s">
        <v>37</v>
      </c>
      <c r="D1648" s="456" t="s">
        <v>2080</v>
      </c>
      <c r="E1648" s="501" t="s">
        <v>2108</v>
      </c>
      <c r="F1648" s="457">
        <v>9040001</v>
      </c>
      <c r="G1648" s="457" t="s">
        <v>39</v>
      </c>
      <c r="H1648" s="458">
        <f>36925+400</f>
        <v>37325</v>
      </c>
      <c r="I1648" s="459" t="s">
        <v>40</v>
      </c>
      <c r="J1648" s="460">
        <v>39902</v>
      </c>
      <c r="K1648" s="461">
        <v>91</v>
      </c>
      <c r="L1648" s="462">
        <f t="shared" si="22"/>
        <v>39993</v>
      </c>
      <c r="M1648" s="460" t="s">
        <v>41</v>
      </c>
      <c r="N1648" s="457" t="s">
        <v>2076</v>
      </c>
      <c r="O1648" s="460">
        <v>40001</v>
      </c>
      <c r="P1648" s="461">
        <f t="shared" si="23"/>
        <v>18</v>
      </c>
      <c r="Q1648" s="591" t="s">
        <v>2099</v>
      </c>
      <c r="R1648" s="460">
        <v>40009</v>
      </c>
      <c r="S1648" s="471">
        <v>40011</v>
      </c>
      <c r="T1648" s="464">
        <v>40030</v>
      </c>
      <c r="U1648" s="461">
        <f t="shared" si="24"/>
        <v>128</v>
      </c>
      <c r="V1648" s="468" t="s">
        <v>2109</v>
      </c>
      <c r="W1648" s="493">
        <v>400</v>
      </c>
      <c r="X1648" s="467"/>
      <c r="Y1648" s="592"/>
      <c r="Z1648" s="468">
        <v>9009910490</v>
      </c>
      <c r="AA1648" s="457" t="s">
        <v>2110</v>
      </c>
      <c r="AB1648" s="460" t="s">
        <v>2019</v>
      </c>
      <c r="AC1648" s="476" t="s">
        <v>2103</v>
      </c>
      <c r="AD1648" s="645" t="str">
        <f t="shared" si="26"/>
        <v>atrasado</v>
      </c>
    </row>
    <row r="1649" spans="1:30" s="587" customFormat="1" ht="54.95" customHeight="1" thickBot="1" x14ac:dyDescent="0.25">
      <c r="A1649" s="584"/>
      <c r="B1649" s="455" t="s">
        <v>36</v>
      </c>
      <c r="C1649" s="455" t="s">
        <v>37</v>
      </c>
      <c r="D1649" s="456" t="s">
        <v>2080</v>
      </c>
      <c r="E1649" s="501" t="s">
        <v>2111</v>
      </c>
      <c r="F1649" s="457">
        <v>9040002</v>
      </c>
      <c r="G1649" s="457" t="s">
        <v>39</v>
      </c>
      <c r="H1649" s="458">
        <v>6750</v>
      </c>
      <c r="I1649" s="459" t="s">
        <v>40</v>
      </c>
      <c r="J1649" s="460">
        <v>39924</v>
      </c>
      <c r="K1649" s="461">
        <v>88</v>
      </c>
      <c r="L1649" s="462">
        <f t="shared" si="22"/>
        <v>40012</v>
      </c>
      <c r="M1649" s="460" t="s">
        <v>41</v>
      </c>
      <c r="N1649" s="457" t="s">
        <v>2076</v>
      </c>
      <c r="O1649" s="460">
        <v>40001</v>
      </c>
      <c r="P1649" s="461">
        <f t="shared" si="23"/>
        <v>-1</v>
      </c>
      <c r="Q1649" s="591" t="s">
        <v>2099</v>
      </c>
      <c r="R1649" s="460">
        <v>40009</v>
      </c>
      <c r="S1649" s="471">
        <v>40011</v>
      </c>
      <c r="T1649" s="464">
        <v>40030</v>
      </c>
      <c r="U1649" s="461">
        <f t="shared" si="24"/>
        <v>106</v>
      </c>
      <c r="V1649" s="468" t="s">
        <v>2093</v>
      </c>
      <c r="W1649" s="493">
        <v>400</v>
      </c>
      <c r="X1649" s="467"/>
      <c r="Y1649" s="592"/>
      <c r="Z1649" s="468">
        <v>9009910490</v>
      </c>
      <c r="AA1649" s="457" t="s">
        <v>2110</v>
      </c>
      <c r="AB1649" s="460" t="s">
        <v>2019</v>
      </c>
      <c r="AC1649" s="476" t="s">
        <v>2103</v>
      </c>
      <c r="AD1649" s="645" t="str">
        <f t="shared" si="26"/>
        <v>en término</v>
      </c>
    </row>
    <row r="1650" spans="1:30" s="587" customFormat="1" ht="54.95" customHeight="1" thickBot="1" x14ac:dyDescent="0.25">
      <c r="A1650" s="584"/>
      <c r="B1650" s="455" t="s">
        <v>36</v>
      </c>
      <c r="C1650" s="455" t="s">
        <v>37</v>
      </c>
      <c r="D1650" s="456" t="s">
        <v>2094</v>
      </c>
      <c r="E1650" s="501" t="s">
        <v>2095</v>
      </c>
      <c r="F1650" s="457">
        <v>9050002</v>
      </c>
      <c r="G1650" s="457" t="s">
        <v>39</v>
      </c>
      <c r="H1650" s="458">
        <v>1645</v>
      </c>
      <c r="I1650" s="459" t="s">
        <v>52</v>
      </c>
      <c r="J1650" s="460">
        <v>39932</v>
      </c>
      <c r="K1650" s="461">
        <v>121</v>
      </c>
      <c r="L1650" s="462">
        <f t="shared" si="22"/>
        <v>40053</v>
      </c>
      <c r="M1650" s="460" t="s">
        <v>41</v>
      </c>
      <c r="N1650" s="457" t="s">
        <v>2076</v>
      </c>
      <c r="O1650" s="460">
        <v>40001</v>
      </c>
      <c r="P1650" s="461">
        <f t="shared" si="23"/>
        <v>-42</v>
      </c>
      <c r="Q1650" s="591" t="s">
        <v>2099</v>
      </c>
      <c r="R1650" s="460">
        <v>40009</v>
      </c>
      <c r="S1650" s="471">
        <v>40011</v>
      </c>
      <c r="T1650" s="464">
        <v>40030</v>
      </c>
      <c r="U1650" s="461">
        <f t="shared" si="24"/>
        <v>98</v>
      </c>
      <c r="V1650" s="468" t="s">
        <v>2112</v>
      </c>
      <c r="W1650" s="493">
        <v>400</v>
      </c>
      <c r="X1650" s="467"/>
      <c r="Y1650" s="592"/>
      <c r="Z1650" s="468">
        <v>9009910490</v>
      </c>
      <c r="AA1650" s="457" t="s">
        <v>2113</v>
      </c>
      <c r="AB1650" s="460" t="s">
        <v>2019</v>
      </c>
      <c r="AC1650" s="476" t="s">
        <v>2103</v>
      </c>
      <c r="AD1650" s="645" t="str">
        <f t="shared" si="26"/>
        <v>en término</v>
      </c>
    </row>
    <row r="1651" spans="1:30" s="587" customFormat="1" ht="54.95" customHeight="1" thickBot="1" x14ac:dyDescent="0.25">
      <c r="A1651" s="584"/>
      <c r="B1651" s="455" t="s">
        <v>36</v>
      </c>
      <c r="C1651" s="455" t="s">
        <v>37</v>
      </c>
      <c r="D1651" s="456" t="s">
        <v>2114</v>
      </c>
      <c r="E1651" s="501" t="s">
        <v>2115</v>
      </c>
      <c r="F1651" s="457">
        <v>9050004</v>
      </c>
      <c r="G1651" s="457" t="s">
        <v>39</v>
      </c>
      <c r="H1651" s="458">
        <v>51030</v>
      </c>
      <c r="I1651" s="459" t="s">
        <v>40</v>
      </c>
      <c r="J1651" s="460">
        <v>39960</v>
      </c>
      <c r="K1651" s="461">
        <v>93</v>
      </c>
      <c r="L1651" s="462">
        <f t="shared" ref="L1651:L1678" si="27">+J1651+K1651</f>
        <v>40053</v>
      </c>
      <c r="M1651" s="460" t="s">
        <v>41</v>
      </c>
      <c r="N1651" s="457" t="s">
        <v>2076</v>
      </c>
      <c r="O1651" s="460">
        <v>40001</v>
      </c>
      <c r="P1651" s="461">
        <f t="shared" ref="P1651:P1678" si="28">IF(S1651="","",+S1651-L1651)</f>
        <v>-42</v>
      </c>
      <c r="Q1651" s="591" t="s">
        <v>2099</v>
      </c>
      <c r="R1651" s="460">
        <v>40009</v>
      </c>
      <c r="S1651" s="471">
        <v>40011</v>
      </c>
      <c r="T1651" s="464">
        <v>40030</v>
      </c>
      <c r="U1651" s="461">
        <f t="shared" ref="U1651:U1678" si="29">IF(T1651="","",+T1651-J1651)</f>
        <v>70</v>
      </c>
      <c r="V1651" s="468" t="s">
        <v>2116</v>
      </c>
      <c r="W1651" s="493">
        <v>400</v>
      </c>
      <c r="X1651" s="467"/>
      <c r="Y1651" s="457" t="s">
        <v>2106</v>
      </c>
      <c r="Z1651" s="468">
        <v>9009910490</v>
      </c>
      <c r="AA1651" s="457" t="s">
        <v>2110</v>
      </c>
      <c r="AB1651" s="460" t="s">
        <v>2019</v>
      </c>
      <c r="AC1651" s="476" t="s">
        <v>2103</v>
      </c>
      <c r="AD1651" s="645" t="str">
        <f t="shared" si="26"/>
        <v>en término</v>
      </c>
    </row>
    <row r="1652" spans="1:30" s="587" customFormat="1" ht="54.95" customHeight="1" thickBot="1" x14ac:dyDescent="0.25">
      <c r="A1652" s="584"/>
      <c r="B1652" s="1043" t="s">
        <v>36</v>
      </c>
      <c r="C1652" s="1043" t="s">
        <v>37</v>
      </c>
      <c r="D1652" s="1044" t="s">
        <v>2117</v>
      </c>
      <c r="E1652" s="1027" t="s">
        <v>2118</v>
      </c>
      <c r="F1652" s="1028">
        <v>9060001</v>
      </c>
      <c r="G1652" s="1028" t="s">
        <v>39</v>
      </c>
      <c r="H1652" s="1029">
        <v>3650</v>
      </c>
      <c r="I1652" s="1033" t="s">
        <v>52</v>
      </c>
      <c r="J1652" s="1032">
        <v>39954</v>
      </c>
      <c r="K1652" s="1041">
        <v>77</v>
      </c>
      <c r="L1652" s="641">
        <f t="shared" si="27"/>
        <v>40031</v>
      </c>
      <c r="M1652" s="1032" t="s">
        <v>41</v>
      </c>
      <c r="N1652" s="1028" t="s">
        <v>2076</v>
      </c>
      <c r="O1652" s="460">
        <v>40001</v>
      </c>
      <c r="P1652" s="691">
        <f t="shared" si="28"/>
        <v>-20</v>
      </c>
      <c r="Q1652" s="591" t="s">
        <v>2099</v>
      </c>
      <c r="R1652" s="460">
        <v>40009</v>
      </c>
      <c r="S1652" s="471">
        <v>40011</v>
      </c>
      <c r="T1652" s="464">
        <v>40030</v>
      </c>
      <c r="U1652" s="692">
        <f t="shared" si="29"/>
        <v>76</v>
      </c>
      <c r="V1652" s="446" t="s">
        <v>535</v>
      </c>
      <c r="W1652" s="659">
        <v>400</v>
      </c>
      <c r="X1652" s="643"/>
      <c r="Y1652" s="1037"/>
      <c r="Z1652" s="468">
        <v>9009910490</v>
      </c>
      <c r="AA1652" s="457" t="s">
        <v>2110</v>
      </c>
      <c r="AB1652" s="460" t="s">
        <v>2019</v>
      </c>
      <c r="AC1652" s="1040" t="s">
        <v>2103</v>
      </c>
      <c r="AD1652" s="645" t="str">
        <f t="shared" si="26"/>
        <v>en término</v>
      </c>
    </row>
    <row r="1653" spans="1:30" s="587" customFormat="1" ht="54.95" customHeight="1" thickBot="1" x14ac:dyDescent="0.25">
      <c r="A1653" s="584"/>
      <c r="B1653" s="1043" t="s">
        <v>36</v>
      </c>
      <c r="C1653" s="1043" t="s">
        <v>133</v>
      </c>
      <c r="D1653" s="1044" t="s">
        <v>2041</v>
      </c>
      <c r="E1653" s="446" t="s">
        <v>2042</v>
      </c>
      <c r="F1653" s="1028">
        <v>4502807517</v>
      </c>
      <c r="G1653" s="1028" t="s">
        <v>39</v>
      </c>
      <c r="H1653" s="1029">
        <v>46868.03</v>
      </c>
      <c r="I1653" s="1033" t="s">
        <v>40</v>
      </c>
      <c r="J1653" s="1032">
        <v>39958</v>
      </c>
      <c r="K1653" s="1041">
        <v>93</v>
      </c>
      <c r="L1653" s="641">
        <f t="shared" si="27"/>
        <v>40051</v>
      </c>
      <c r="M1653" s="1032" t="s">
        <v>41</v>
      </c>
      <c r="N1653" s="1028" t="s">
        <v>1750</v>
      </c>
      <c r="O1653" s="1032">
        <v>40029</v>
      </c>
      <c r="P1653" s="1041">
        <f t="shared" si="28"/>
        <v>-2</v>
      </c>
      <c r="Q1653" s="1034" t="s">
        <v>2119</v>
      </c>
      <c r="R1653" s="1035"/>
      <c r="S1653" s="1031">
        <v>40049</v>
      </c>
      <c r="T1653" s="1031">
        <v>40065</v>
      </c>
      <c r="U1653" s="1041">
        <f t="shared" si="29"/>
        <v>107</v>
      </c>
      <c r="V1653" s="446" t="s">
        <v>892</v>
      </c>
      <c r="W1653" s="659">
        <v>410</v>
      </c>
      <c r="X1653" s="1028"/>
      <c r="Y1653" s="456">
        <v>40024</v>
      </c>
      <c r="Z1653" s="457" t="s">
        <v>46</v>
      </c>
      <c r="AA1653" s="457" t="s">
        <v>2120</v>
      </c>
      <c r="AB1653" s="1032" t="s">
        <v>2121</v>
      </c>
      <c r="AC1653" s="470" t="s">
        <v>2122</v>
      </c>
      <c r="AD1653" s="645" t="str">
        <f t="shared" si="26"/>
        <v>en término</v>
      </c>
    </row>
    <row r="1654" spans="1:30" s="587" customFormat="1" ht="54.95" customHeight="1" thickBot="1" x14ac:dyDescent="0.25">
      <c r="A1654" s="584"/>
      <c r="B1654" s="455" t="s">
        <v>36</v>
      </c>
      <c r="C1654" s="455" t="s">
        <v>133</v>
      </c>
      <c r="D1654" s="456" t="s">
        <v>2041</v>
      </c>
      <c r="E1654" s="468" t="s">
        <v>2042</v>
      </c>
      <c r="F1654" s="457">
        <v>4502799307</v>
      </c>
      <c r="G1654" s="457" t="s">
        <v>39</v>
      </c>
      <c r="H1654" s="458">
        <v>163245.97</v>
      </c>
      <c r="I1654" s="459" t="s">
        <v>40</v>
      </c>
      <c r="J1654" s="460">
        <v>39952</v>
      </c>
      <c r="K1654" s="461">
        <v>98</v>
      </c>
      <c r="L1654" s="462">
        <f t="shared" si="27"/>
        <v>40050</v>
      </c>
      <c r="M1654" s="460" t="s">
        <v>41</v>
      </c>
      <c r="N1654" s="457" t="s">
        <v>1750</v>
      </c>
      <c r="O1654" s="460">
        <v>40029</v>
      </c>
      <c r="P1654" s="461">
        <f t="shared" si="28"/>
        <v>-1</v>
      </c>
      <c r="Q1654" s="1034" t="s">
        <v>2119</v>
      </c>
      <c r="R1654" s="1035"/>
      <c r="S1654" s="1031">
        <v>40049</v>
      </c>
      <c r="T1654" s="1031">
        <v>40065</v>
      </c>
      <c r="U1654" s="461">
        <f t="shared" si="29"/>
        <v>113</v>
      </c>
      <c r="V1654" s="468" t="s">
        <v>1322</v>
      </c>
      <c r="W1654" s="493">
        <v>409</v>
      </c>
      <c r="X1654" s="457"/>
      <c r="Y1654" s="456">
        <v>40024</v>
      </c>
      <c r="Z1654" s="457" t="s">
        <v>46</v>
      </c>
      <c r="AA1654" s="457" t="s">
        <v>2120</v>
      </c>
      <c r="AB1654" s="460" t="s">
        <v>2121</v>
      </c>
      <c r="AC1654" s="470" t="s">
        <v>2122</v>
      </c>
      <c r="AD1654" s="645" t="str">
        <f t="shared" si="26"/>
        <v>en término</v>
      </c>
    </row>
    <row r="1655" spans="1:30" s="587" customFormat="1" ht="54.95" customHeight="1" thickBot="1" x14ac:dyDescent="0.25">
      <c r="A1655" s="584"/>
      <c r="B1655" s="455" t="s">
        <v>36</v>
      </c>
      <c r="C1655" s="496" t="s">
        <v>133</v>
      </c>
      <c r="D1655" s="456" t="s">
        <v>2032</v>
      </c>
      <c r="E1655" s="468" t="s">
        <v>2033</v>
      </c>
      <c r="F1655" s="457">
        <v>4502833270</v>
      </c>
      <c r="G1655" s="457" t="s">
        <v>39</v>
      </c>
      <c r="H1655" s="458">
        <v>29980.33</v>
      </c>
      <c r="I1655" s="459" t="s">
        <v>62</v>
      </c>
      <c r="J1655" s="460">
        <v>39972</v>
      </c>
      <c r="K1655" s="461">
        <v>79</v>
      </c>
      <c r="L1655" s="462">
        <f t="shared" si="27"/>
        <v>40051</v>
      </c>
      <c r="M1655" s="460" t="s">
        <v>41</v>
      </c>
      <c r="N1655" s="457" t="s">
        <v>1750</v>
      </c>
      <c r="O1655" s="460">
        <v>40029</v>
      </c>
      <c r="P1655" s="461">
        <f t="shared" si="28"/>
        <v>-2</v>
      </c>
      <c r="Q1655" s="1034" t="s">
        <v>2119</v>
      </c>
      <c r="R1655" s="1035"/>
      <c r="S1655" s="1031">
        <v>40049</v>
      </c>
      <c r="T1655" s="1031">
        <v>40065</v>
      </c>
      <c r="U1655" s="461">
        <f t="shared" si="29"/>
        <v>93</v>
      </c>
      <c r="V1655" s="468" t="s">
        <v>2123</v>
      </c>
      <c r="W1655" s="493">
        <v>411</v>
      </c>
      <c r="X1655" s="457"/>
      <c r="Y1655" s="467"/>
      <c r="Z1655" s="457" t="s">
        <v>46</v>
      </c>
      <c r="AA1655" s="457" t="s">
        <v>2120</v>
      </c>
      <c r="AB1655" s="460" t="s">
        <v>47</v>
      </c>
      <c r="AC1655" s="470" t="s">
        <v>2122</v>
      </c>
      <c r="AD1655" s="645" t="str">
        <f t="shared" si="26"/>
        <v>en término</v>
      </c>
    </row>
    <row r="1656" spans="1:30" s="587" customFormat="1" ht="54.95" customHeight="1" thickBot="1" x14ac:dyDescent="0.25">
      <c r="A1656" s="584"/>
      <c r="B1656" s="455" t="s">
        <v>36</v>
      </c>
      <c r="C1656" s="455" t="s">
        <v>37</v>
      </c>
      <c r="D1656" s="456" t="s">
        <v>2124</v>
      </c>
      <c r="E1656" s="501" t="s">
        <v>2125</v>
      </c>
      <c r="F1656" s="457">
        <v>9060002</v>
      </c>
      <c r="G1656" s="457" t="s">
        <v>39</v>
      </c>
      <c r="H1656" s="458">
        <v>1096</v>
      </c>
      <c r="I1656" s="459" t="s">
        <v>142</v>
      </c>
      <c r="J1656" s="460">
        <v>39982</v>
      </c>
      <c r="K1656" s="461">
        <v>70</v>
      </c>
      <c r="L1656" s="462">
        <f t="shared" si="27"/>
        <v>40052</v>
      </c>
      <c r="M1656" s="460" t="s">
        <v>41</v>
      </c>
      <c r="N1656" s="457" t="s">
        <v>2076</v>
      </c>
      <c r="O1656" s="460">
        <v>40029</v>
      </c>
      <c r="P1656" s="694">
        <f t="shared" si="28"/>
        <v>-3</v>
      </c>
      <c r="Q1656" s="1034" t="s">
        <v>2119</v>
      </c>
      <c r="R1656" s="1035"/>
      <c r="S1656" s="1031">
        <v>40049</v>
      </c>
      <c r="T1656" s="1031">
        <v>40065</v>
      </c>
      <c r="U1656" s="695">
        <f t="shared" si="29"/>
        <v>83</v>
      </c>
      <c r="V1656" s="468" t="s">
        <v>2126</v>
      </c>
      <c r="W1656" s="493">
        <v>408</v>
      </c>
      <c r="X1656" s="467"/>
      <c r="Y1656" s="592"/>
      <c r="Z1656" s="457" t="s">
        <v>46</v>
      </c>
      <c r="AA1656" s="457" t="s">
        <v>2127</v>
      </c>
      <c r="AB1656" s="460" t="s">
        <v>2019</v>
      </c>
      <c r="AC1656" s="470" t="s">
        <v>2122</v>
      </c>
      <c r="AD1656" s="645" t="str">
        <f t="shared" si="26"/>
        <v>en término</v>
      </c>
    </row>
    <row r="1657" spans="1:30" s="587" customFormat="1" ht="54.95" customHeight="1" thickBot="1" x14ac:dyDescent="0.25">
      <c r="A1657" s="584"/>
      <c r="B1657" s="1043" t="s">
        <v>36</v>
      </c>
      <c r="C1657" s="1043" t="s">
        <v>37</v>
      </c>
      <c r="D1657" s="1044" t="s">
        <v>2080</v>
      </c>
      <c r="E1657" s="1027" t="s">
        <v>2128</v>
      </c>
      <c r="F1657" s="1028">
        <v>9070001</v>
      </c>
      <c r="G1657" s="1028" t="s">
        <v>39</v>
      </c>
      <c r="H1657" s="1029">
        <v>6750</v>
      </c>
      <c r="I1657" s="1033" t="s">
        <v>40</v>
      </c>
      <c r="J1657" s="1032">
        <v>39988</v>
      </c>
      <c r="K1657" s="1041">
        <v>91</v>
      </c>
      <c r="L1657" s="641">
        <f t="shared" si="27"/>
        <v>40079</v>
      </c>
      <c r="M1657" s="1032" t="s">
        <v>41</v>
      </c>
      <c r="N1657" s="1028" t="s">
        <v>2076</v>
      </c>
      <c r="O1657" s="1032">
        <v>40029</v>
      </c>
      <c r="P1657" s="1041">
        <f t="shared" si="28"/>
        <v>-30</v>
      </c>
      <c r="Q1657" s="1034" t="s">
        <v>2119</v>
      </c>
      <c r="R1657" s="1035"/>
      <c r="S1657" s="1031">
        <v>40049</v>
      </c>
      <c r="T1657" s="1031">
        <v>40065</v>
      </c>
      <c r="U1657" s="1041">
        <f t="shared" si="29"/>
        <v>77</v>
      </c>
      <c r="V1657" s="446" t="s">
        <v>2093</v>
      </c>
      <c r="W1657" s="493">
        <v>408</v>
      </c>
      <c r="X1657" s="643"/>
      <c r="Y1657" s="1037"/>
      <c r="Z1657" s="457" t="s">
        <v>46</v>
      </c>
      <c r="AA1657" s="457" t="s">
        <v>2127</v>
      </c>
      <c r="AB1657" s="460" t="s">
        <v>2019</v>
      </c>
      <c r="AC1657" s="470" t="s">
        <v>2122</v>
      </c>
      <c r="AD1657" s="645" t="str">
        <f t="shared" si="26"/>
        <v>en término</v>
      </c>
    </row>
    <row r="1658" spans="1:30" s="587" customFormat="1" ht="54.95" customHeight="1" thickBot="1" x14ac:dyDescent="0.25">
      <c r="A1658" s="584"/>
      <c r="B1658" s="1043" t="s">
        <v>36</v>
      </c>
      <c r="C1658" s="1043" t="s">
        <v>37</v>
      </c>
      <c r="D1658" s="1044" t="s">
        <v>2129</v>
      </c>
      <c r="E1658" s="1044" t="s">
        <v>2130</v>
      </c>
      <c r="F1658" s="1028">
        <v>9070002</v>
      </c>
      <c r="G1658" s="1028" t="s">
        <v>39</v>
      </c>
      <c r="H1658" s="1029">
        <v>16030</v>
      </c>
      <c r="I1658" s="1033"/>
      <c r="J1658" s="1032">
        <v>39994</v>
      </c>
      <c r="K1658" s="1041">
        <v>60</v>
      </c>
      <c r="L1658" s="641">
        <f t="shared" si="27"/>
        <v>40054</v>
      </c>
      <c r="M1658" s="1032" t="s">
        <v>41</v>
      </c>
      <c r="N1658" s="1028" t="s">
        <v>1750</v>
      </c>
      <c r="O1658" s="1032">
        <v>40029</v>
      </c>
      <c r="P1658" s="1041">
        <f t="shared" si="28"/>
        <v>-5</v>
      </c>
      <c r="Q1658" s="1034" t="s">
        <v>2119</v>
      </c>
      <c r="R1658" s="1035"/>
      <c r="S1658" s="1031">
        <v>40049</v>
      </c>
      <c r="T1658" s="1031">
        <v>40065</v>
      </c>
      <c r="U1658" s="1041">
        <f t="shared" si="29"/>
        <v>71</v>
      </c>
      <c r="V1658" s="446" t="s">
        <v>2131</v>
      </c>
      <c r="W1658" s="493">
        <v>408</v>
      </c>
      <c r="X1658" s="643"/>
      <c r="Y1658" s="643"/>
      <c r="Z1658" s="457" t="s">
        <v>46</v>
      </c>
      <c r="AA1658" s="457" t="s">
        <v>2127</v>
      </c>
      <c r="AB1658" s="460" t="s">
        <v>2019</v>
      </c>
      <c r="AC1658" s="470" t="s">
        <v>2122</v>
      </c>
      <c r="AD1658" s="645" t="str">
        <f t="shared" si="26"/>
        <v>en término</v>
      </c>
    </row>
    <row r="1659" spans="1:30" s="587" customFormat="1" ht="54.95" customHeight="1" thickBot="1" x14ac:dyDescent="0.25">
      <c r="A1659" s="584"/>
      <c r="B1659" s="455" t="s">
        <v>36</v>
      </c>
      <c r="C1659" s="455" t="s">
        <v>133</v>
      </c>
      <c r="D1659" s="456" t="s">
        <v>2041</v>
      </c>
      <c r="E1659" s="468" t="s">
        <v>2042</v>
      </c>
      <c r="F1659" s="457">
        <v>4502847225</v>
      </c>
      <c r="G1659" s="457" t="s">
        <v>39</v>
      </c>
      <c r="H1659" s="458">
        <v>83117.36</v>
      </c>
      <c r="I1659" s="459" t="s">
        <v>40</v>
      </c>
      <c r="J1659" s="460">
        <v>39982</v>
      </c>
      <c r="K1659" s="461">
        <v>99</v>
      </c>
      <c r="L1659" s="462">
        <f t="shared" si="27"/>
        <v>40081</v>
      </c>
      <c r="M1659" s="460" t="s">
        <v>41</v>
      </c>
      <c r="N1659" s="457" t="s">
        <v>1750</v>
      </c>
      <c r="O1659" s="460">
        <v>40060</v>
      </c>
      <c r="P1659" s="461">
        <f t="shared" si="28"/>
        <v>-5</v>
      </c>
      <c r="Q1659" s="591" t="s">
        <v>2132</v>
      </c>
      <c r="R1659" s="460"/>
      <c r="S1659" s="471">
        <v>40076</v>
      </c>
      <c r="T1659" s="464">
        <v>40092</v>
      </c>
      <c r="U1659" s="461">
        <f t="shared" si="29"/>
        <v>110</v>
      </c>
      <c r="V1659" s="468" t="s">
        <v>1387</v>
      </c>
      <c r="W1659" s="493">
        <v>419</v>
      </c>
      <c r="X1659" s="457"/>
      <c r="Y1659" s="456" t="s">
        <v>2133</v>
      </c>
      <c r="Z1659" s="457">
        <v>9003876486</v>
      </c>
      <c r="AA1659" s="457" t="s">
        <v>2134</v>
      </c>
      <c r="AB1659" s="460" t="s">
        <v>47</v>
      </c>
      <c r="AC1659" s="470"/>
      <c r="AD1659" s="645" t="str">
        <f t="shared" si="26"/>
        <v>en término</v>
      </c>
    </row>
    <row r="1660" spans="1:30" s="587" customFormat="1" ht="54.95" customHeight="1" thickBot="1" x14ac:dyDescent="0.25">
      <c r="A1660" s="584"/>
      <c r="B1660" s="1043" t="s">
        <v>36</v>
      </c>
      <c r="C1660" s="690" t="s">
        <v>133</v>
      </c>
      <c r="D1660" s="1044" t="s">
        <v>2032</v>
      </c>
      <c r="E1660" s="446" t="s">
        <v>2033</v>
      </c>
      <c r="F1660" s="1028">
        <v>4502882699</v>
      </c>
      <c r="G1660" s="1028" t="s">
        <v>39</v>
      </c>
      <c r="H1660" s="1029">
        <v>45631.199999999997</v>
      </c>
      <c r="I1660" s="1033" t="s">
        <v>52</v>
      </c>
      <c r="J1660" s="1032">
        <v>40003</v>
      </c>
      <c r="K1660" s="1041">
        <v>83</v>
      </c>
      <c r="L1660" s="641">
        <f t="shared" si="27"/>
        <v>40086</v>
      </c>
      <c r="M1660" s="1032" t="s">
        <v>41</v>
      </c>
      <c r="N1660" s="1028" t="s">
        <v>1750</v>
      </c>
      <c r="O1660" s="1032">
        <v>40060</v>
      </c>
      <c r="P1660" s="1041">
        <f t="shared" si="28"/>
        <v>-10</v>
      </c>
      <c r="Q1660" s="591" t="s">
        <v>2132</v>
      </c>
      <c r="R1660" s="1032"/>
      <c r="S1660" s="471">
        <v>40076</v>
      </c>
      <c r="T1660" s="464">
        <v>40092</v>
      </c>
      <c r="U1660" s="1041">
        <f t="shared" si="29"/>
        <v>89</v>
      </c>
      <c r="V1660" s="446" t="s">
        <v>2135</v>
      </c>
      <c r="W1660" s="659">
        <v>420</v>
      </c>
      <c r="X1660" s="1028"/>
      <c r="Y1660" s="643"/>
      <c r="Z1660" s="457">
        <v>9003876486</v>
      </c>
      <c r="AA1660" s="1028" t="s">
        <v>2134</v>
      </c>
      <c r="AB1660" s="1032" t="s">
        <v>47</v>
      </c>
      <c r="AC1660" s="644"/>
      <c r="AD1660" s="645" t="str">
        <f t="shared" si="26"/>
        <v>en término</v>
      </c>
    </row>
    <row r="1661" spans="1:30" s="587" customFormat="1" ht="54.95" customHeight="1" thickBot="1" x14ac:dyDescent="0.25">
      <c r="A1661" s="584"/>
      <c r="B1661" s="455" t="s">
        <v>36</v>
      </c>
      <c r="C1661" s="496" t="s">
        <v>133</v>
      </c>
      <c r="D1661" s="456" t="s">
        <v>2032</v>
      </c>
      <c r="E1661" s="468" t="s">
        <v>2033</v>
      </c>
      <c r="F1661" s="457">
        <v>4502910324</v>
      </c>
      <c r="G1661" s="457" t="s">
        <v>39</v>
      </c>
      <c r="H1661" s="458">
        <v>18430.55</v>
      </c>
      <c r="I1661" s="459" t="s">
        <v>62</v>
      </c>
      <c r="J1661" s="460">
        <v>40023</v>
      </c>
      <c r="K1661" s="461">
        <v>80</v>
      </c>
      <c r="L1661" s="462">
        <f t="shared" si="27"/>
        <v>40103</v>
      </c>
      <c r="M1661" s="460" t="s">
        <v>41</v>
      </c>
      <c r="N1661" s="457" t="s">
        <v>1750</v>
      </c>
      <c r="O1661" s="460">
        <v>40060</v>
      </c>
      <c r="P1661" s="461">
        <f t="shared" si="28"/>
        <v>-27</v>
      </c>
      <c r="Q1661" s="591" t="s">
        <v>2132</v>
      </c>
      <c r="R1661" s="460"/>
      <c r="S1661" s="471">
        <v>40076</v>
      </c>
      <c r="T1661" s="464">
        <v>40092</v>
      </c>
      <c r="U1661" s="461">
        <f t="shared" si="29"/>
        <v>69</v>
      </c>
      <c r="V1661" s="468" t="s">
        <v>2136</v>
      </c>
      <c r="W1661" s="493">
        <v>422</v>
      </c>
      <c r="X1661" s="457"/>
      <c r="Y1661" s="467"/>
      <c r="Z1661" s="457">
        <v>9003876486</v>
      </c>
      <c r="AA1661" s="1028" t="s">
        <v>2134</v>
      </c>
      <c r="AB1661" s="589" t="s">
        <v>2137</v>
      </c>
      <c r="AC1661" s="470" t="s">
        <v>2138</v>
      </c>
      <c r="AD1661" s="645" t="str">
        <f t="shared" si="26"/>
        <v>en término</v>
      </c>
    </row>
    <row r="1662" spans="1:30" s="587" customFormat="1" ht="54.95" customHeight="1" thickBot="1" x14ac:dyDescent="0.25">
      <c r="A1662" s="584"/>
      <c r="B1662" s="1043" t="s">
        <v>36</v>
      </c>
      <c r="C1662" s="1043" t="s">
        <v>133</v>
      </c>
      <c r="D1662" s="1044" t="s">
        <v>2041</v>
      </c>
      <c r="E1662" s="446" t="s">
        <v>2042</v>
      </c>
      <c r="F1662" s="1028">
        <v>4502894363</v>
      </c>
      <c r="G1662" s="1028" t="s">
        <v>39</v>
      </c>
      <c r="H1662" s="1029">
        <v>74590.48</v>
      </c>
      <c r="I1662" s="1033" t="s">
        <v>40</v>
      </c>
      <c r="J1662" s="1032">
        <v>40014</v>
      </c>
      <c r="K1662" s="1041">
        <v>93</v>
      </c>
      <c r="L1662" s="641">
        <f t="shared" si="27"/>
        <v>40107</v>
      </c>
      <c r="M1662" s="1032" t="s">
        <v>41</v>
      </c>
      <c r="N1662" s="1028" t="s">
        <v>1750</v>
      </c>
      <c r="O1662" s="1032">
        <v>40060</v>
      </c>
      <c r="P1662" s="1041">
        <f t="shared" si="28"/>
        <v>-31</v>
      </c>
      <c r="Q1662" s="591" t="s">
        <v>2132</v>
      </c>
      <c r="R1662" s="1032"/>
      <c r="S1662" s="471">
        <v>40076</v>
      </c>
      <c r="T1662" s="464">
        <v>40092</v>
      </c>
      <c r="U1662" s="1041">
        <f t="shared" si="29"/>
        <v>78</v>
      </c>
      <c r="V1662" s="446" t="s">
        <v>2139</v>
      </c>
      <c r="W1662" s="659">
        <v>421</v>
      </c>
      <c r="X1662" s="1028"/>
      <c r="Y1662" s="1044" t="s">
        <v>2133</v>
      </c>
      <c r="Z1662" s="457">
        <v>9003876486</v>
      </c>
      <c r="AA1662" s="1028" t="s">
        <v>2134</v>
      </c>
      <c r="AB1662" s="1032" t="s">
        <v>2140</v>
      </c>
      <c r="AC1662" s="644"/>
      <c r="AD1662" s="645" t="str">
        <f t="shared" si="26"/>
        <v>en término</v>
      </c>
    </row>
    <row r="1663" spans="1:30" s="587" customFormat="1" ht="54.95" customHeight="1" thickBot="1" x14ac:dyDescent="0.25">
      <c r="A1663" s="584"/>
      <c r="B1663" s="455" t="s">
        <v>36</v>
      </c>
      <c r="C1663" s="455" t="s">
        <v>37</v>
      </c>
      <c r="D1663" s="456" t="s">
        <v>2141</v>
      </c>
      <c r="E1663" s="501" t="s">
        <v>2142</v>
      </c>
      <c r="F1663" s="457">
        <v>9070003</v>
      </c>
      <c r="G1663" s="457" t="s">
        <v>39</v>
      </c>
      <c r="H1663" s="458">
        <v>20295</v>
      </c>
      <c r="I1663" s="459" t="s">
        <v>40</v>
      </c>
      <c r="J1663" s="460">
        <v>39995</v>
      </c>
      <c r="K1663" s="461">
        <v>114</v>
      </c>
      <c r="L1663" s="462">
        <f t="shared" si="27"/>
        <v>40109</v>
      </c>
      <c r="M1663" s="460" t="s">
        <v>41</v>
      </c>
      <c r="N1663" s="457" t="s">
        <v>2076</v>
      </c>
      <c r="O1663" s="460">
        <v>40060</v>
      </c>
      <c r="P1663" s="694">
        <f t="shared" si="28"/>
        <v>-33</v>
      </c>
      <c r="Q1663" s="591" t="s">
        <v>2132</v>
      </c>
      <c r="R1663" s="460"/>
      <c r="S1663" s="471">
        <v>40076</v>
      </c>
      <c r="T1663" s="464">
        <v>40092</v>
      </c>
      <c r="U1663" s="695">
        <f t="shared" si="29"/>
        <v>97</v>
      </c>
      <c r="V1663" s="468" t="s">
        <v>879</v>
      </c>
      <c r="W1663" s="493">
        <v>423</v>
      </c>
      <c r="X1663" s="467"/>
      <c r="Y1663" s="456" t="s">
        <v>2133</v>
      </c>
      <c r="Z1663" s="457">
        <v>9003876486</v>
      </c>
      <c r="AA1663" s="457" t="s">
        <v>2143</v>
      </c>
      <c r="AB1663" s="460" t="s">
        <v>2019</v>
      </c>
      <c r="AC1663" s="476"/>
      <c r="AD1663" s="645" t="str">
        <f t="shared" si="26"/>
        <v>en término</v>
      </c>
    </row>
    <row r="1664" spans="1:30" s="587" customFormat="1" ht="54.95" customHeight="1" thickBot="1" x14ac:dyDescent="0.25">
      <c r="A1664" s="584"/>
      <c r="B1664" s="455" t="s">
        <v>36</v>
      </c>
      <c r="C1664" s="455" t="s">
        <v>133</v>
      </c>
      <c r="D1664" s="456" t="s">
        <v>1958</v>
      </c>
      <c r="E1664" s="468" t="s">
        <v>1959</v>
      </c>
      <c r="F1664" s="457">
        <v>4502907841</v>
      </c>
      <c r="G1664" s="457" t="s">
        <v>39</v>
      </c>
      <c r="H1664" s="458">
        <v>22374.7</v>
      </c>
      <c r="I1664" s="459" t="s">
        <v>52</v>
      </c>
      <c r="J1664" s="460">
        <v>40022</v>
      </c>
      <c r="K1664" s="461">
        <v>97</v>
      </c>
      <c r="L1664" s="462">
        <f t="shared" si="27"/>
        <v>40119</v>
      </c>
      <c r="M1664" s="460" t="s">
        <v>41</v>
      </c>
      <c r="N1664" s="457" t="s">
        <v>1750</v>
      </c>
      <c r="O1664" s="460">
        <v>40092</v>
      </c>
      <c r="P1664" s="461">
        <f t="shared" si="28"/>
        <v>-10</v>
      </c>
      <c r="Q1664" s="591"/>
      <c r="R1664" s="460">
        <v>40095</v>
      </c>
      <c r="S1664" s="471">
        <v>40109</v>
      </c>
      <c r="T1664" s="464">
        <v>40123</v>
      </c>
      <c r="U1664" s="461">
        <f t="shared" si="29"/>
        <v>101</v>
      </c>
      <c r="V1664" s="468" t="s">
        <v>53</v>
      </c>
      <c r="W1664" s="493">
        <v>427</v>
      </c>
      <c r="X1664" s="457"/>
      <c r="Y1664" s="467"/>
      <c r="Z1664" s="457" t="s">
        <v>46</v>
      </c>
      <c r="AA1664" s="457" t="s">
        <v>2144</v>
      </c>
      <c r="AB1664" s="460" t="s">
        <v>47</v>
      </c>
      <c r="AC1664" s="470"/>
      <c r="AD1664" s="645" t="str">
        <f t="shared" si="26"/>
        <v>en término</v>
      </c>
    </row>
    <row r="1665" spans="1:30" s="587" customFormat="1" ht="54.95" customHeight="1" thickBot="1" x14ac:dyDescent="0.25">
      <c r="A1665" s="584"/>
      <c r="B1665" s="1043" t="s">
        <v>36</v>
      </c>
      <c r="C1665" s="1043" t="s">
        <v>37</v>
      </c>
      <c r="D1665" s="1044" t="s">
        <v>2080</v>
      </c>
      <c r="E1665" s="1027" t="s">
        <v>2145</v>
      </c>
      <c r="F1665" s="1028">
        <v>9080001</v>
      </c>
      <c r="G1665" s="1028" t="s">
        <v>39</v>
      </c>
      <c r="H1665" s="1029">
        <v>13200</v>
      </c>
      <c r="I1665" s="1033" t="s">
        <v>40</v>
      </c>
      <c r="J1665" s="1032">
        <v>40038</v>
      </c>
      <c r="K1665" s="1041">
        <v>83</v>
      </c>
      <c r="L1665" s="641">
        <f t="shared" si="27"/>
        <v>40121</v>
      </c>
      <c r="M1665" s="1032" t="s">
        <v>41</v>
      </c>
      <c r="N1665" s="1028" t="s">
        <v>2076</v>
      </c>
      <c r="O1665" s="1032">
        <v>40092</v>
      </c>
      <c r="P1665" s="1041">
        <f t="shared" si="28"/>
        <v>-12</v>
      </c>
      <c r="Q1665" s="1034"/>
      <c r="R1665" s="1035">
        <v>40095</v>
      </c>
      <c r="S1665" s="471">
        <v>40109</v>
      </c>
      <c r="T1665" s="464">
        <v>40123</v>
      </c>
      <c r="U1665" s="1041">
        <f t="shared" si="29"/>
        <v>85</v>
      </c>
      <c r="V1665" s="446" t="s">
        <v>2082</v>
      </c>
      <c r="W1665" s="659">
        <v>428</v>
      </c>
      <c r="X1665" s="643"/>
      <c r="Y1665" s="1037"/>
      <c r="Z1665" s="457" t="s">
        <v>46</v>
      </c>
      <c r="AA1665" s="1028" t="s">
        <v>1787</v>
      </c>
      <c r="AB1665" s="460" t="s">
        <v>2019</v>
      </c>
      <c r="AC1665" s="1040"/>
      <c r="AD1665" s="645" t="str">
        <f t="shared" si="26"/>
        <v>en término</v>
      </c>
    </row>
    <row r="1666" spans="1:30" s="587" customFormat="1" ht="54.95" customHeight="1" thickBot="1" x14ac:dyDescent="0.25">
      <c r="A1666" s="584"/>
      <c r="B1666" s="455" t="s">
        <v>36</v>
      </c>
      <c r="C1666" s="455" t="s">
        <v>37</v>
      </c>
      <c r="D1666" s="456" t="s">
        <v>2080</v>
      </c>
      <c r="E1666" s="501" t="s">
        <v>2146</v>
      </c>
      <c r="F1666" s="457">
        <v>9090001</v>
      </c>
      <c r="G1666" s="457" t="s">
        <v>39</v>
      </c>
      <c r="H1666" s="458">
        <v>12960</v>
      </c>
      <c r="I1666" s="459" t="s">
        <v>40</v>
      </c>
      <c r="J1666" s="460">
        <v>40058</v>
      </c>
      <c r="K1666" s="461">
        <v>87</v>
      </c>
      <c r="L1666" s="462">
        <f t="shared" si="27"/>
        <v>40145</v>
      </c>
      <c r="M1666" s="460" t="s">
        <v>41</v>
      </c>
      <c r="N1666" s="457" t="s">
        <v>2076</v>
      </c>
      <c r="O1666" s="460">
        <v>40092</v>
      </c>
      <c r="P1666" s="461">
        <f t="shared" si="28"/>
        <v>-36</v>
      </c>
      <c r="Q1666" s="591"/>
      <c r="R1666" s="463">
        <v>40095</v>
      </c>
      <c r="S1666" s="471">
        <v>40109</v>
      </c>
      <c r="T1666" s="464">
        <v>40123</v>
      </c>
      <c r="U1666" s="461">
        <f t="shared" si="29"/>
        <v>65</v>
      </c>
      <c r="V1666" s="468" t="s">
        <v>2147</v>
      </c>
      <c r="W1666" s="493">
        <v>428</v>
      </c>
      <c r="X1666" s="467"/>
      <c r="Y1666" s="592"/>
      <c r="Z1666" s="457" t="s">
        <v>46</v>
      </c>
      <c r="AA1666" s="1028" t="s">
        <v>1787</v>
      </c>
      <c r="AB1666" s="460" t="s">
        <v>2019</v>
      </c>
      <c r="AC1666" s="476"/>
      <c r="AD1666" s="645" t="str">
        <f t="shared" si="26"/>
        <v>en término</v>
      </c>
    </row>
    <row r="1667" spans="1:30" s="587" customFormat="1" ht="54.95" customHeight="1" thickBot="1" x14ac:dyDescent="0.25">
      <c r="A1667" s="584"/>
      <c r="B1667" s="1043" t="s">
        <v>36</v>
      </c>
      <c r="C1667" s="1043" t="s">
        <v>37</v>
      </c>
      <c r="D1667" s="1044" t="s">
        <v>2148</v>
      </c>
      <c r="E1667" s="1027" t="s">
        <v>2149</v>
      </c>
      <c r="F1667" s="1028">
        <v>9090002</v>
      </c>
      <c r="G1667" s="1028" t="s">
        <v>39</v>
      </c>
      <c r="H1667" s="1029">
        <v>675</v>
      </c>
      <c r="I1667" s="1033" t="s">
        <v>40</v>
      </c>
      <c r="J1667" s="1032">
        <v>40058</v>
      </c>
      <c r="K1667" s="1041">
        <v>58</v>
      </c>
      <c r="L1667" s="641">
        <f t="shared" si="27"/>
        <v>40116</v>
      </c>
      <c r="M1667" s="1032" t="s">
        <v>41</v>
      </c>
      <c r="N1667" s="1028" t="s">
        <v>2076</v>
      </c>
      <c r="O1667" s="1032">
        <v>40092</v>
      </c>
      <c r="P1667" s="1041">
        <f t="shared" si="28"/>
        <v>-7</v>
      </c>
      <c r="Q1667" s="1034"/>
      <c r="R1667" s="1035">
        <v>40095</v>
      </c>
      <c r="S1667" s="471">
        <v>40109</v>
      </c>
      <c r="T1667" s="464">
        <v>40123</v>
      </c>
      <c r="U1667" s="1041">
        <f t="shared" si="29"/>
        <v>65</v>
      </c>
      <c r="V1667" s="446" t="s">
        <v>2150</v>
      </c>
      <c r="W1667" s="659">
        <v>428</v>
      </c>
      <c r="X1667" s="643"/>
      <c r="Y1667" s="1037"/>
      <c r="Z1667" s="457" t="s">
        <v>46</v>
      </c>
      <c r="AA1667" s="1028" t="s">
        <v>1787</v>
      </c>
      <c r="AB1667" s="460" t="s">
        <v>2019</v>
      </c>
      <c r="AC1667" s="1040"/>
      <c r="AD1667" s="645" t="str">
        <f t="shared" si="26"/>
        <v>en término</v>
      </c>
    </row>
    <row r="1668" spans="1:30" s="587" customFormat="1" ht="54.95" customHeight="1" thickBot="1" x14ac:dyDescent="0.25">
      <c r="A1668" s="584"/>
      <c r="B1668" s="455" t="s">
        <v>36</v>
      </c>
      <c r="C1668" s="455" t="s">
        <v>37</v>
      </c>
      <c r="D1668" s="456" t="s">
        <v>2080</v>
      </c>
      <c r="E1668" s="501" t="s">
        <v>2151</v>
      </c>
      <c r="F1668" s="457">
        <v>9090003</v>
      </c>
      <c r="G1668" s="457" t="s">
        <v>39</v>
      </c>
      <c r="H1668" s="458">
        <v>47530</v>
      </c>
      <c r="I1668" s="459" t="s">
        <v>40</v>
      </c>
      <c r="J1668" s="460">
        <v>40063</v>
      </c>
      <c r="K1668" s="461">
        <v>82</v>
      </c>
      <c r="L1668" s="462">
        <f t="shared" si="27"/>
        <v>40145</v>
      </c>
      <c r="M1668" s="460" t="s">
        <v>41</v>
      </c>
      <c r="N1668" s="457" t="s">
        <v>2076</v>
      </c>
      <c r="O1668" s="460">
        <v>40120</v>
      </c>
      <c r="P1668" s="461">
        <f t="shared" si="28"/>
        <v>-16</v>
      </c>
      <c r="Q1668" s="1034" t="s">
        <v>2152</v>
      </c>
      <c r="R1668" s="1032">
        <v>40128</v>
      </c>
      <c r="S1668" s="642">
        <v>40129</v>
      </c>
      <c r="T1668" s="1031">
        <v>40148</v>
      </c>
      <c r="U1668" s="461">
        <f t="shared" si="29"/>
        <v>85</v>
      </c>
      <c r="V1668" s="468" t="s">
        <v>2153</v>
      </c>
      <c r="W1668" s="493">
        <v>436</v>
      </c>
      <c r="X1668" s="467"/>
      <c r="Y1668" s="592"/>
      <c r="Z1668" s="468">
        <v>9003876512</v>
      </c>
      <c r="AA1668" s="457" t="s">
        <v>47</v>
      </c>
      <c r="AB1668" s="460" t="s">
        <v>47</v>
      </c>
      <c r="AC1668" s="476"/>
      <c r="AD1668" s="645" t="str">
        <f t="shared" si="26"/>
        <v>en término</v>
      </c>
    </row>
    <row r="1669" spans="1:30" s="587" customFormat="1" ht="54.95" customHeight="1" thickBot="1" x14ac:dyDescent="0.25">
      <c r="A1669" s="584"/>
      <c r="B1669" s="455" t="s">
        <v>36</v>
      </c>
      <c r="C1669" s="455" t="s">
        <v>37</v>
      </c>
      <c r="D1669" s="456" t="s">
        <v>2080</v>
      </c>
      <c r="E1669" s="501" t="s">
        <v>2154</v>
      </c>
      <c r="F1669" s="457">
        <v>9090005</v>
      </c>
      <c r="G1669" s="457" t="s">
        <v>39</v>
      </c>
      <c r="H1669" s="458">
        <v>16175</v>
      </c>
      <c r="I1669" s="459" t="s">
        <v>40</v>
      </c>
      <c r="J1669" s="460">
        <v>40072</v>
      </c>
      <c r="K1669" s="461">
        <v>87</v>
      </c>
      <c r="L1669" s="462">
        <f t="shared" si="27"/>
        <v>40159</v>
      </c>
      <c r="M1669" s="460" t="s">
        <v>41</v>
      </c>
      <c r="N1669" s="457" t="s">
        <v>2076</v>
      </c>
      <c r="O1669" s="460">
        <v>40120</v>
      </c>
      <c r="P1669" s="461">
        <f t="shared" si="28"/>
        <v>-30</v>
      </c>
      <c r="Q1669" s="1034" t="s">
        <v>2152</v>
      </c>
      <c r="R1669" s="1032">
        <v>40128</v>
      </c>
      <c r="S1669" s="642">
        <v>40129</v>
      </c>
      <c r="T1669" s="1031">
        <v>40148</v>
      </c>
      <c r="U1669" s="461">
        <f t="shared" si="29"/>
        <v>76</v>
      </c>
      <c r="V1669" s="468" t="s">
        <v>2155</v>
      </c>
      <c r="W1669" s="493">
        <v>436</v>
      </c>
      <c r="X1669" s="467"/>
      <c r="Y1669" s="592"/>
      <c r="Z1669" s="468">
        <v>9003876512</v>
      </c>
      <c r="AA1669" s="457" t="s">
        <v>47</v>
      </c>
      <c r="AB1669" s="460" t="s">
        <v>47</v>
      </c>
      <c r="AC1669" s="476"/>
      <c r="AD1669" s="645" t="str">
        <f t="shared" si="26"/>
        <v>en término</v>
      </c>
    </row>
    <row r="1670" spans="1:30" s="587" customFormat="1" ht="54.95" customHeight="1" thickBot="1" x14ac:dyDescent="0.25">
      <c r="A1670" s="584"/>
      <c r="B1670" s="1043" t="s">
        <v>36</v>
      </c>
      <c r="C1670" s="1043" t="s">
        <v>37</v>
      </c>
      <c r="D1670" s="1044" t="s">
        <v>2156</v>
      </c>
      <c r="E1670" s="1027" t="s">
        <v>2157</v>
      </c>
      <c r="F1670" s="1028">
        <v>9100003</v>
      </c>
      <c r="G1670" s="1028" t="s">
        <v>39</v>
      </c>
      <c r="H1670" s="1029">
        <v>2400</v>
      </c>
      <c r="I1670" s="1033" t="s">
        <v>40</v>
      </c>
      <c r="J1670" s="1032">
        <v>40102</v>
      </c>
      <c r="K1670" s="1041">
        <v>62</v>
      </c>
      <c r="L1670" s="641">
        <f t="shared" si="27"/>
        <v>40164</v>
      </c>
      <c r="M1670" s="1032" t="s">
        <v>41</v>
      </c>
      <c r="N1670" s="1028" t="s">
        <v>2076</v>
      </c>
      <c r="O1670" s="1032">
        <v>40120</v>
      </c>
      <c r="P1670" s="691">
        <f t="shared" si="28"/>
        <v>-35</v>
      </c>
      <c r="Q1670" s="1034" t="s">
        <v>2152</v>
      </c>
      <c r="R1670" s="1032">
        <v>40128</v>
      </c>
      <c r="S1670" s="642">
        <v>40129</v>
      </c>
      <c r="T1670" s="1031">
        <v>40148</v>
      </c>
      <c r="U1670" s="692">
        <f t="shared" si="29"/>
        <v>46</v>
      </c>
      <c r="V1670" s="446" t="s">
        <v>2158</v>
      </c>
      <c r="W1670" s="659">
        <v>436</v>
      </c>
      <c r="X1670" s="643"/>
      <c r="Y1670" s="693"/>
      <c r="Z1670" s="468">
        <v>9003876512</v>
      </c>
      <c r="AA1670" s="1028" t="s">
        <v>47</v>
      </c>
      <c r="AB1670" s="1032" t="s">
        <v>47</v>
      </c>
      <c r="AC1670" s="1040"/>
      <c r="AD1670" s="645" t="str">
        <f t="shared" si="26"/>
        <v>en término</v>
      </c>
    </row>
    <row r="1671" spans="1:30" s="587" customFormat="1" ht="54.95" customHeight="1" thickBot="1" x14ac:dyDescent="0.25">
      <c r="A1671" s="584"/>
      <c r="B1671" s="1043" t="s">
        <v>36</v>
      </c>
      <c r="C1671" s="1043" t="s">
        <v>37</v>
      </c>
      <c r="D1671" s="1044" t="s">
        <v>2159</v>
      </c>
      <c r="E1671" s="1027" t="s">
        <v>2160</v>
      </c>
      <c r="F1671" s="1028">
        <v>9110002</v>
      </c>
      <c r="G1671" s="1028" t="s">
        <v>39</v>
      </c>
      <c r="H1671" s="1029">
        <v>610</v>
      </c>
      <c r="I1671" s="1033" t="s">
        <v>142</v>
      </c>
      <c r="J1671" s="1032">
        <v>40123</v>
      </c>
      <c r="K1671" s="1041">
        <v>5</v>
      </c>
      <c r="L1671" s="641">
        <f t="shared" si="27"/>
        <v>40128</v>
      </c>
      <c r="M1671" s="1032" t="s">
        <v>41</v>
      </c>
      <c r="N1671" s="1028" t="s">
        <v>110</v>
      </c>
      <c r="O1671" s="1032">
        <v>40123</v>
      </c>
      <c r="P1671" s="691">
        <f t="shared" si="28"/>
        <v>-1</v>
      </c>
      <c r="Q1671" s="1034" t="s">
        <v>2161</v>
      </c>
      <c r="R1671" s="1032">
        <v>40126</v>
      </c>
      <c r="S1671" s="642">
        <v>40127</v>
      </c>
      <c r="T1671" s="1031">
        <f>+S1671+1</f>
        <v>40128</v>
      </c>
      <c r="U1671" s="692">
        <f t="shared" si="29"/>
        <v>5</v>
      </c>
      <c r="V1671" s="446" t="s">
        <v>2162</v>
      </c>
      <c r="W1671" s="659">
        <v>437</v>
      </c>
      <c r="X1671" s="643"/>
      <c r="Y1671" s="693"/>
      <c r="Z1671" s="446" t="s">
        <v>2163</v>
      </c>
      <c r="AA1671" s="1028" t="s">
        <v>47</v>
      </c>
      <c r="AB1671" s="460" t="s">
        <v>2019</v>
      </c>
      <c r="AC1671" s="1040"/>
      <c r="AD1671" s="645" t="str">
        <f t="shared" si="26"/>
        <v>en término</v>
      </c>
    </row>
    <row r="1672" spans="1:30" s="587" customFormat="1" ht="54.95" customHeight="1" thickBot="1" x14ac:dyDescent="0.25">
      <c r="A1672" s="584"/>
      <c r="B1672" s="1043" t="s">
        <v>36</v>
      </c>
      <c r="C1672" s="1043" t="s">
        <v>133</v>
      </c>
      <c r="D1672" s="1044" t="s">
        <v>2041</v>
      </c>
      <c r="E1672" s="446" t="s">
        <v>2042</v>
      </c>
      <c r="F1672" s="1028">
        <v>4502938227</v>
      </c>
      <c r="G1672" s="1028" t="s">
        <v>39</v>
      </c>
      <c r="H1672" s="1029">
        <v>12322.32</v>
      </c>
      <c r="I1672" s="1033" t="s">
        <v>40</v>
      </c>
      <c r="J1672" s="1032">
        <v>40042</v>
      </c>
      <c r="K1672" s="1041">
        <v>91</v>
      </c>
      <c r="L1672" s="641">
        <f t="shared" si="27"/>
        <v>40133</v>
      </c>
      <c r="M1672" s="1032" t="s">
        <v>41</v>
      </c>
      <c r="N1672" s="1028" t="s">
        <v>1750</v>
      </c>
      <c r="O1672" s="1032">
        <v>40120</v>
      </c>
      <c r="P1672" s="1041">
        <f t="shared" si="28"/>
        <v>-4</v>
      </c>
      <c r="Q1672" s="1034" t="s">
        <v>2152</v>
      </c>
      <c r="R1672" s="1032">
        <v>40128</v>
      </c>
      <c r="S1672" s="642">
        <v>40129</v>
      </c>
      <c r="T1672" s="1031">
        <v>40148</v>
      </c>
      <c r="U1672" s="1041">
        <f t="shared" si="29"/>
        <v>106</v>
      </c>
      <c r="V1672" s="446" t="s">
        <v>378</v>
      </c>
      <c r="W1672" s="659">
        <v>434</v>
      </c>
      <c r="X1672" s="1028"/>
      <c r="Y1672" s="1044">
        <v>40114</v>
      </c>
      <c r="Z1672" s="468">
        <v>9003876512</v>
      </c>
      <c r="AA1672" s="1028" t="s">
        <v>2164</v>
      </c>
      <c r="AB1672" s="1032" t="s">
        <v>2165</v>
      </c>
      <c r="AC1672" s="644"/>
      <c r="AD1672" s="645" t="str">
        <f t="shared" si="26"/>
        <v>en término</v>
      </c>
    </row>
    <row r="1673" spans="1:30" s="587" customFormat="1" ht="54.95" customHeight="1" thickBot="1" x14ac:dyDescent="0.25">
      <c r="A1673" s="584"/>
      <c r="B1673" s="1043" t="s">
        <v>36</v>
      </c>
      <c r="C1673" s="1043" t="s">
        <v>133</v>
      </c>
      <c r="D1673" s="1044" t="s">
        <v>2041</v>
      </c>
      <c r="E1673" s="446" t="s">
        <v>2042</v>
      </c>
      <c r="F1673" s="1028">
        <v>4502989908</v>
      </c>
      <c r="G1673" s="1028" t="s">
        <v>39</v>
      </c>
      <c r="H1673" s="1029">
        <v>53434.98</v>
      </c>
      <c r="I1673" s="1033" t="s">
        <v>40</v>
      </c>
      <c r="J1673" s="1032">
        <v>40074</v>
      </c>
      <c r="K1673" s="1041">
        <v>101</v>
      </c>
      <c r="L1673" s="641">
        <f t="shared" si="27"/>
        <v>40175</v>
      </c>
      <c r="M1673" s="1032" t="s">
        <v>41</v>
      </c>
      <c r="N1673" s="1028" t="s">
        <v>1750</v>
      </c>
      <c r="O1673" s="1032">
        <v>40120</v>
      </c>
      <c r="P1673" s="1041">
        <f t="shared" si="28"/>
        <v>-46</v>
      </c>
      <c r="Q1673" s="1034" t="s">
        <v>2152</v>
      </c>
      <c r="R1673" s="1032">
        <v>40128</v>
      </c>
      <c r="S1673" s="642">
        <v>40129</v>
      </c>
      <c r="T1673" s="1031">
        <v>40148</v>
      </c>
      <c r="U1673" s="1041">
        <f t="shared" si="29"/>
        <v>74</v>
      </c>
      <c r="V1673" s="446" t="s">
        <v>1250</v>
      </c>
      <c r="W1673" s="659">
        <v>435</v>
      </c>
      <c r="X1673" s="1028"/>
      <c r="Y1673" s="1044">
        <v>40114</v>
      </c>
      <c r="Z1673" s="468">
        <v>9003876512</v>
      </c>
      <c r="AA1673" s="1028" t="s">
        <v>2164</v>
      </c>
      <c r="AB1673" s="1032" t="s">
        <v>2165</v>
      </c>
      <c r="AC1673" s="644"/>
      <c r="AD1673" s="645" t="str">
        <f t="shared" si="26"/>
        <v>en término</v>
      </c>
    </row>
    <row r="1674" spans="1:30" s="587" customFormat="1" ht="54.95" customHeight="1" thickBot="1" x14ac:dyDescent="0.25">
      <c r="A1674" s="584"/>
      <c r="B1674" s="455" t="s">
        <v>36</v>
      </c>
      <c r="C1674" s="496" t="s">
        <v>133</v>
      </c>
      <c r="D1674" s="456" t="s">
        <v>2032</v>
      </c>
      <c r="E1674" s="468" t="s">
        <v>2166</v>
      </c>
      <c r="F1674" s="457">
        <v>4503055538</v>
      </c>
      <c r="G1674" s="457" t="s">
        <v>39</v>
      </c>
      <c r="H1674" s="458">
        <v>26485.13</v>
      </c>
      <c r="I1674" s="459" t="s">
        <v>52</v>
      </c>
      <c r="J1674" s="460">
        <v>40115</v>
      </c>
      <c r="K1674" s="461">
        <v>83</v>
      </c>
      <c r="L1674" s="462">
        <f t="shared" si="27"/>
        <v>40198</v>
      </c>
      <c r="M1674" s="460" t="s">
        <v>41</v>
      </c>
      <c r="N1674" s="457" t="s">
        <v>1750</v>
      </c>
      <c r="O1674" s="460">
        <v>40151</v>
      </c>
      <c r="P1674" s="461">
        <f t="shared" si="28"/>
        <v>-30</v>
      </c>
      <c r="Q1674" s="1034" t="s">
        <v>2167</v>
      </c>
      <c r="R1674" s="1032">
        <v>40164</v>
      </c>
      <c r="S1674" s="642">
        <v>40168</v>
      </c>
      <c r="T1674" s="1031">
        <v>40182</v>
      </c>
      <c r="U1674" s="461">
        <f t="shared" si="29"/>
        <v>67</v>
      </c>
      <c r="V1674" s="468" t="s">
        <v>2168</v>
      </c>
      <c r="W1674" s="493">
        <v>447</v>
      </c>
      <c r="X1674" s="457"/>
      <c r="Y1674" s="467"/>
      <c r="Z1674" s="1028" t="s">
        <v>46</v>
      </c>
      <c r="AA1674" s="1028" t="s">
        <v>2169</v>
      </c>
      <c r="AB1674" s="460" t="s">
        <v>1835</v>
      </c>
      <c r="AC1674" s="644" t="s">
        <v>2170</v>
      </c>
      <c r="AD1674" s="645" t="str">
        <f t="shared" si="26"/>
        <v>en término</v>
      </c>
    </row>
    <row r="1675" spans="1:30" s="587" customFormat="1" ht="54.95" customHeight="1" thickBot="1" x14ac:dyDescent="0.25">
      <c r="A1675" s="584"/>
      <c r="B1675" s="1043" t="s">
        <v>36</v>
      </c>
      <c r="C1675" s="1043" t="s">
        <v>133</v>
      </c>
      <c r="D1675" s="1044" t="s">
        <v>1958</v>
      </c>
      <c r="E1675" s="446" t="s">
        <v>1959</v>
      </c>
      <c r="F1675" s="1028">
        <v>4503026206</v>
      </c>
      <c r="G1675" s="1028" t="s">
        <v>39</v>
      </c>
      <c r="H1675" s="1029">
        <v>17050.150000000001</v>
      </c>
      <c r="I1675" s="1033" t="s">
        <v>52</v>
      </c>
      <c r="J1675" s="1032">
        <v>40098</v>
      </c>
      <c r="K1675" s="1041">
        <v>94</v>
      </c>
      <c r="L1675" s="641">
        <f t="shared" si="27"/>
        <v>40192</v>
      </c>
      <c r="M1675" s="1032" t="s">
        <v>41</v>
      </c>
      <c r="N1675" s="1028" t="s">
        <v>1750</v>
      </c>
      <c r="O1675" s="1032">
        <v>40151</v>
      </c>
      <c r="P1675" s="1041">
        <f t="shared" si="28"/>
        <v>-24</v>
      </c>
      <c r="Q1675" s="1034" t="s">
        <v>2167</v>
      </c>
      <c r="R1675" s="1032">
        <v>40164</v>
      </c>
      <c r="S1675" s="642">
        <v>40168</v>
      </c>
      <c r="T1675" s="1031">
        <v>40182</v>
      </c>
      <c r="U1675" s="1041">
        <f t="shared" si="29"/>
        <v>84</v>
      </c>
      <c r="V1675" s="446" t="s">
        <v>53</v>
      </c>
      <c r="W1675" s="659">
        <v>446</v>
      </c>
      <c r="X1675" s="1028"/>
      <c r="Y1675" s="643"/>
      <c r="Z1675" s="1028" t="s">
        <v>46</v>
      </c>
      <c r="AA1675" s="1028" t="s">
        <v>2169</v>
      </c>
      <c r="AB1675" s="460" t="s">
        <v>1835</v>
      </c>
      <c r="AC1675" s="644" t="s">
        <v>2170</v>
      </c>
      <c r="AD1675" s="645" t="str">
        <f t="shared" si="26"/>
        <v>en término</v>
      </c>
    </row>
    <row r="1676" spans="1:30" s="587" customFormat="1" ht="54.95" customHeight="1" thickBot="1" x14ac:dyDescent="0.25">
      <c r="A1676" s="584"/>
      <c r="B1676" s="1043" t="s">
        <v>36</v>
      </c>
      <c r="C1676" s="690" t="s">
        <v>133</v>
      </c>
      <c r="D1676" s="1044" t="s">
        <v>2032</v>
      </c>
      <c r="E1676" s="446" t="s">
        <v>2166</v>
      </c>
      <c r="F1676" s="1028">
        <v>4503017267</v>
      </c>
      <c r="G1676" s="1028" t="s">
        <v>39</v>
      </c>
      <c r="H1676" s="1029">
        <v>65472.55</v>
      </c>
      <c r="I1676" s="1033" t="s">
        <v>52</v>
      </c>
      <c r="J1676" s="1032">
        <v>40091</v>
      </c>
      <c r="K1676" s="1041">
        <v>78</v>
      </c>
      <c r="L1676" s="641">
        <f t="shared" si="27"/>
        <v>40169</v>
      </c>
      <c r="M1676" s="1032" t="s">
        <v>41</v>
      </c>
      <c r="N1676" s="1028" t="s">
        <v>1750</v>
      </c>
      <c r="O1676" s="1032">
        <v>40151</v>
      </c>
      <c r="P1676" s="1041">
        <f t="shared" si="28"/>
        <v>-1</v>
      </c>
      <c r="Q1676" s="1034" t="s">
        <v>2167</v>
      </c>
      <c r="R1676" s="1032">
        <v>40164</v>
      </c>
      <c r="S1676" s="642">
        <v>40168</v>
      </c>
      <c r="T1676" s="1031">
        <v>40182</v>
      </c>
      <c r="U1676" s="1041">
        <f t="shared" si="29"/>
        <v>91</v>
      </c>
      <c r="V1676" s="446" t="s">
        <v>2171</v>
      </c>
      <c r="W1676" s="659">
        <v>445</v>
      </c>
      <c r="X1676" s="1028"/>
      <c r="Y1676" s="643"/>
      <c r="Z1676" s="1028" t="s">
        <v>46</v>
      </c>
      <c r="AA1676" s="1028" t="s">
        <v>2169</v>
      </c>
      <c r="AB1676" s="460" t="s">
        <v>1835</v>
      </c>
      <c r="AC1676" s="644" t="s">
        <v>2170</v>
      </c>
      <c r="AD1676" s="645" t="str">
        <f t="shared" si="26"/>
        <v>en término</v>
      </c>
    </row>
    <row r="1677" spans="1:30" s="587" customFormat="1" ht="54.95" customHeight="1" thickBot="1" x14ac:dyDescent="0.25">
      <c r="A1677" s="584"/>
      <c r="B1677" s="1043" t="s">
        <v>36</v>
      </c>
      <c r="C1677" s="1043" t="s">
        <v>37</v>
      </c>
      <c r="D1677" s="1044" t="s">
        <v>2172</v>
      </c>
      <c r="E1677" s="1027" t="s">
        <v>2173</v>
      </c>
      <c r="F1677" s="1028">
        <v>9110006</v>
      </c>
      <c r="G1677" s="457" t="s">
        <v>1192</v>
      </c>
      <c r="H1677" s="1029">
        <v>5900</v>
      </c>
      <c r="I1677" s="1033" t="s">
        <v>40</v>
      </c>
      <c r="J1677" s="1032">
        <v>40127</v>
      </c>
      <c r="K1677" s="1041">
        <v>73</v>
      </c>
      <c r="L1677" s="641">
        <f t="shared" si="27"/>
        <v>40200</v>
      </c>
      <c r="M1677" s="1032" t="s">
        <v>41</v>
      </c>
      <c r="N1677" s="1028" t="s">
        <v>2174</v>
      </c>
      <c r="O1677" s="1032">
        <v>40151</v>
      </c>
      <c r="P1677" s="691">
        <f t="shared" si="28"/>
        <v>-32</v>
      </c>
      <c r="Q1677" s="1034" t="s">
        <v>2167</v>
      </c>
      <c r="R1677" s="1032">
        <v>40164</v>
      </c>
      <c r="S1677" s="642">
        <v>40168</v>
      </c>
      <c r="T1677" s="1031">
        <v>40182</v>
      </c>
      <c r="U1677" s="692">
        <f t="shared" si="29"/>
        <v>55</v>
      </c>
      <c r="V1677" s="446" t="s">
        <v>2175</v>
      </c>
      <c r="W1677" s="659">
        <v>448</v>
      </c>
      <c r="X1677" s="643"/>
      <c r="Y1677" s="693"/>
      <c r="Z1677" s="1028" t="s">
        <v>46</v>
      </c>
      <c r="AA1677" s="1028" t="s">
        <v>2176</v>
      </c>
      <c r="AB1677" s="1032" t="s">
        <v>2177</v>
      </c>
      <c r="AC1677" s="1040" t="s">
        <v>2170</v>
      </c>
      <c r="AD1677" s="645" t="str">
        <f t="shared" si="26"/>
        <v>en término</v>
      </c>
    </row>
    <row r="1678" spans="1:30" s="587" customFormat="1" ht="54.95" customHeight="1" thickBot="1" x14ac:dyDescent="0.25">
      <c r="A1678" s="584"/>
      <c r="B1678" s="455" t="s">
        <v>36</v>
      </c>
      <c r="C1678" s="455" t="s">
        <v>37</v>
      </c>
      <c r="D1678" s="456" t="s">
        <v>2178</v>
      </c>
      <c r="E1678" s="501" t="s">
        <v>2179</v>
      </c>
      <c r="F1678" s="457">
        <v>9120001</v>
      </c>
      <c r="G1678" s="457" t="s">
        <v>1192</v>
      </c>
      <c r="H1678" s="458">
        <v>1284</v>
      </c>
      <c r="I1678" s="459" t="s">
        <v>142</v>
      </c>
      <c r="J1678" s="460">
        <v>40148</v>
      </c>
      <c r="K1678" s="461">
        <v>72</v>
      </c>
      <c r="L1678" s="462">
        <f t="shared" si="27"/>
        <v>40220</v>
      </c>
      <c r="M1678" s="460" t="s">
        <v>41</v>
      </c>
      <c r="N1678" s="457" t="s">
        <v>2174</v>
      </c>
      <c r="O1678" s="460">
        <v>40151</v>
      </c>
      <c r="P1678" s="694">
        <f t="shared" si="28"/>
        <v>-52</v>
      </c>
      <c r="Q1678" s="591" t="s">
        <v>2167</v>
      </c>
      <c r="R1678" s="460">
        <v>40164</v>
      </c>
      <c r="S1678" s="471">
        <v>40168</v>
      </c>
      <c r="T1678" s="464">
        <v>40182</v>
      </c>
      <c r="U1678" s="695">
        <f t="shared" si="29"/>
        <v>34</v>
      </c>
      <c r="V1678" s="468" t="s">
        <v>53</v>
      </c>
      <c r="W1678" s="493">
        <v>448</v>
      </c>
      <c r="X1678" s="467"/>
      <c r="Y1678" s="703"/>
      <c r="Z1678" s="468" t="s">
        <v>46</v>
      </c>
      <c r="AA1678" s="1028" t="s">
        <v>2176</v>
      </c>
      <c r="AB1678" s="1032" t="s">
        <v>2177</v>
      </c>
      <c r="AC1678" s="476" t="s">
        <v>2170</v>
      </c>
      <c r="AD1678" s="645" t="str">
        <f t="shared" si="26"/>
        <v>en término</v>
      </c>
    </row>
    <row r="1679" spans="1:30" s="587" customFormat="1" ht="12.6" customHeight="1" x14ac:dyDescent="0.2">
      <c r="A1679" s="649"/>
      <c r="B1679" s="649"/>
      <c r="C1679" s="649"/>
      <c r="D1679" s="650"/>
      <c r="E1679" s="697"/>
      <c r="F1679" s="645"/>
      <c r="G1679" s="645"/>
      <c r="H1679" s="651"/>
      <c r="I1679" s="698"/>
      <c r="J1679" s="653"/>
      <c r="K1679" s="654"/>
      <c r="L1679" s="655"/>
      <c r="M1679" s="653"/>
      <c r="N1679" s="645"/>
      <c r="O1679" s="653"/>
      <c r="P1679" s="654"/>
      <c r="Q1679" s="699"/>
      <c r="R1679" s="653"/>
      <c r="S1679" s="657"/>
      <c r="T1679" s="700"/>
      <c r="U1679" s="654"/>
      <c r="V1679" s="656"/>
      <c r="W1679" s="701"/>
      <c r="X1679" s="645"/>
      <c r="Y1679" s="650"/>
      <c r="Z1679" s="656"/>
      <c r="AA1679" s="645"/>
      <c r="AB1679" s="653"/>
      <c r="AC1679" s="702"/>
      <c r="AD1679" s="645"/>
    </row>
    <row r="1681" spans="1:39" ht="12.75" x14ac:dyDescent="0.2">
      <c r="AA1681" s="1">
        <v>2009</v>
      </c>
      <c r="AB1681" s="1047"/>
    </row>
    <row r="1682" spans="1:39" ht="12.75" x14ac:dyDescent="0.2">
      <c r="AA1682" s="945" t="s">
        <v>813</v>
      </c>
      <c r="AB1682" s="1048">
        <f>COUNTA(AD1619:AD1679)</f>
        <v>59</v>
      </c>
    </row>
    <row r="1683" spans="1:39" ht="12.75" x14ac:dyDescent="0.2">
      <c r="AA1683" s="945" t="s">
        <v>815</v>
      </c>
      <c r="AB1683" s="1048">
        <f>COUNTIF(AD1619:AD1679,"en término")</f>
        <v>53</v>
      </c>
    </row>
    <row r="1684" spans="1:39" ht="12.75" x14ac:dyDescent="0.2">
      <c r="AA1684" s="945" t="s">
        <v>817</v>
      </c>
      <c r="AB1684" s="557">
        <f>+AB1683/AB1682</f>
        <v>0.89830508474576276</v>
      </c>
    </row>
    <row r="1685" spans="1:39" ht="12.75" x14ac:dyDescent="0.2">
      <c r="AA1685" s="945"/>
      <c r="AB1685" s="557"/>
    </row>
    <row r="1686" spans="1:39" ht="13.5" thickBot="1" x14ac:dyDescent="0.25">
      <c r="AA1686" s="945"/>
      <c r="AB1686" s="557"/>
    </row>
    <row r="1687" spans="1:39" s="556" customFormat="1" ht="39.950000000000003" customHeight="1" thickBot="1" x14ac:dyDescent="0.4">
      <c r="A1687" s="554"/>
      <c r="B1687" s="1611">
        <v>2010</v>
      </c>
      <c r="C1687" s="1612"/>
      <c r="D1687" s="1612"/>
      <c r="E1687" s="1612"/>
      <c r="F1687" s="1612"/>
      <c r="G1687" s="1612"/>
      <c r="H1687" s="1612"/>
      <c r="I1687" s="1612"/>
      <c r="J1687" s="1612"/>
      <c r="K1687" s="1612"/>
      <c r="L1687" s="1612"/>
      <c r="M1687" s="1612"/>
      <c r="N1687" s="1612"/>
      <c r="O1687" s="1612"/>
      <c r="P1687" s="1612"/>
      <c r="Q1687" s="1612"/>
      <c r="R1687" s="1612"/>
      <c r="S1687" s="1612"/>
      <c r="T1687" s="1612"/>
      <c r="U1687" s="1612"/>
      <c r="V1687" s="1612"/>
      <c r="W1687" s="1612"/>
      <c r="X1687" s="1612"/>
      <c r="Y1687" s="1612"/>
      <c r="Z1687" s="1612"/>
      <c r="AA1687" s="1612"/>
      <c r="AB1687" s="1612"/>
      <c r="AC1687" s="1613"/>
      <c r="AD1687" s="555"/>
    </row>
    <row r="1688" spans="1:39" s="441" customFormat="1" ht="60" customHeight="1" thickBot="1" x14ac:dyDescent="0.25">
      <c r="A1688" s="438"/>
      <c r="B1688" s="451" t="s">
        <v>130</v>
      </c>
      <c r="C1688" s="451" t="s">
        <v>4</v>
      </c>
      <c r="D1688" s="451" t="s">
        <v>5</v>
      </c>
      <c r="E1688" s="451" t="s">
        <v>6</v>
      </c>
      <c r="F1688" s="451" t="s">
        <v>7</v>
      </c>
      <c r="G1688" s="451" t="s">
        <v>8</v>
      </c>
      <c r="H1688" s="453" t="s">
        <v>9</v>
      </c>
      <c r="I1688" s="453" t="s">
        <v>10</v>
      </c>
      <c r="J1688" s="451" t="s">
        <v>11</v>
      </c>
      <c r="K1688" s="451" t="s">
        <v>12</v>
      </c>
      <c r="L1688" s="451" t="s">
        <v>13</v>
      </c>
      <c r="M1688" s="451" t="s">
        <v>14</v>
      </c>
      <c r="N1688" s="451" t="s">
        <v>15</v>
      </c>
      <c r="O1688" s="452" t="s">
        <v>16</v>
      </c>
      <c r="P1688" s="454" t="s">
        <v>17</v>
      </c>
      <c r="Q1688" s="451" t="s">
        <v>18</v>
      </c>
      <c r="R1688" s="452" t="s">
        <v>19</v>
      </c>
      <c r="S1688" s="451" t="s">
        <v>20</v>
      </c>
      <c r="T1688" s="451" t="s">
        <v>21</v>
      </c>
      <c r="U1688" s="452" t="s">
        <v>22</v>
      </c>
      <c r="V1688" s="451" t="s">
        <v>131</v>
      </c>
      <c r="W1688" s="451" t="s">
        <v>24</v>
      </c>
      <c r="X1688" s="451" t="s">
        <v>132</v>
      </c>
      <c r="Y1688" s="451" t="s">
        <v>26</v>
      </c>
      <c r="Z1688" s="451" t="s">
        <v>27</v>
      </c>
      <c r="AA1688" s="451" t="s">
        <v>28</v>
      </c>
      <c r="AB1688" s="451" t="s">
        <v>29</v>
      </c>
      <c r="AC1688" s="451" t="s">
        <v>30</v>
      </c>
      <c r="AD1688" s="439"/>
      <c r="AE1688" s="440"/>
      <c r="AF1688" s="440"/>
      <c r="AG1688" s="440"/>
      <c r="AH1688" s="440"/>
      <c r="AI1688" s="440"/>
      <c r="AJ1688" s="440"/>
      <c r="AK1688" s="440"/>
      <c r="AL1688" s="440"/>
      <c r="AM1688" s="440"/>
    </row>
    <row r="1689" spans="1:39" s="587" customFormat="1" ht="54.95" customHeight="1" thickBot="1" x14ac:dyDescent="0.25">
      <c r="A1689" s="584"/>
      <c r="B1689" s="455" t="s">
        <v>36</v>
      </c>
      <c r="C1689" s="455" t="s">
        <v>2180</v>
      </c>
      <c r="D1689" s="456" t="s">
        <v>2181</v>
      </c>
      <c r="E1689" s="501"/>
      <c r="F1689" s="457">
        <v>901494</v>
      </c>
      <c r="G1689" s="457" t="s">
        <v>39</v>
      </c>
      <c r="H1689" s="458">
        <v>24696.7</v>
      </c>
      <c r="I1689" s="459"/>
      <c r="J1689" s="460">
        <v>40157</v>
      </c>
      <c r="K1689" s="461">
        <v>46</v>
      </c>
      <c r="L1689" s="462">
        <f t="shared" ref="L1689:L1720" si="30">+J1689+K1689</f>
        <v>40203</v>
      </c>
      <c r="M1689" s="460" t="s">
        <v>41</v>
      </c>
      <c r="N1689" s="457" t="s">
        <v>2174</v>
      </c>
      <c r="O1689" s="460">
        <v>40193</v>
      </c>
      <c r="P1689" s="694">
        <f t="shared" ref="P1689:P1720" si="31">IF(S1689="","",+S1689-L1689)</f>
        <v>2</v>
      </c>
      <c r="Q1689" s="591" t="s">
        <v>2182</v>
      </c>
      <c r="R1689" s="460">
        <v>40199</v>
      </c>
      <c r="S1689" s="471">
        <v>40205</v>
      </c>
      <c r="T1689" s="464">
        <v>40218</v>
      </c>
      <c r="U1689" s="695">
        <f t="shared" ref="U1689:U1720" si="32">IF(T1689="","",+T1689-J1689)</f>
        <v>61</v>
      </c>
      <c r="V1689" s="468" t="s">
        <v>2183</v>
      </c>
      <c r="W1689" s="493" t="s">
        <v>90</v>
      </c>
      <c r="X1689" s="467"/>
      <c r="Y1689" s="703"/>
      <c r="Z1689" s="468">
        <v>9005003195</v>
      </c>
      <c r="AA1689" s="457" t="s">
        <v>2184</v>
      </c>
      <c r="AB1689" s="460" t="s">
        <v>2185</v>
      </c>
      <c r="AC1689" s="476"/>
      <c r="AD1689" s="645" t="str">
        <f t="shared" ref="AD1689:AD1718" si="33">IF(P1689="","",IF(P1689&lt;=0,"en término","atrasado"))</f>
        <v>atrasado</v>
      </c>
    </row>
    <row r="1690" spans="1:39" s="587" customFormat="1" ht="54.95" customHeight="1" thickBot="1" x14ac:dyDescent="0.25">
      <c r="A1690" s="584"/>
      <c r="B1690" s="455" t="s">
        <v>36</v>
      </c>
      <c r="C1690" s="496" t="s">
        <v>133</v>
      </c>
      <c r="D1690" s="456" t="s">
        <v>2032</v>
      </c>
      <c r="E1690" s="468" t="s">
        <v>2166</v>
      </c>
      <c r="F1690" s="457">
        <v>4503079889</v>
      </c>
      <c r="G1690" s="457" t="s">
        <v>39</v>
      </c>
      <c r="H1690" s="458">
        <v>6881.6</v>
      </c>
      <c r="I1690" s="459" t="s">
        <v>62</v>
      </c>
      <c r="J1690" s="460">
        <v>40133</v>
      </c>
      <c r="K1690" s="461">
        <v>107</v>
      </c>
      <c r="L1690" s="462">
        <f t="shared" si="30"/>
        <v>40240</v>
      </c>
      <c r="M1690" s="460" t="s">
        <v>41</v>
      </c>
      <c r="N1690" s="457" t="s">
        <v>1750</v>
      </c>
      <c r="O1690" s="460">
        <v>40193</v>
      </c>
      <c r="P1690" s="461">
        <f t="shared" si="31"/>
        <v>-35</v>
      </c>
      <c r="Q1690" s="591" t="s">
        <v>2182</v>
      </c>
      <c r="R1690" s="460">
        <v>40199</v>
      </c>
      <c r="S1690" s="471">
        <v>40205</v>
      </c>
      <c r="T1690" s="464">
        <v>40218</v>
      </c>
      <c r="U1690" s="461">
        <f t="shared" si="32"/>
        <v>85</v>
      </c>
      <c r="V1690" s="468" t="s">
        <v>2186</v>
      </c>
      <c r="W1690" s="493" t="s">
        <v>84</v>
      </c>
      <c r="X1690" s="457"/>
      <c r="Y1690" s="467"/>
      <c r="Z1690" s="468">
        <v>9005003195</v>
      </c>
      <c r="AA1690" s="457" t="s">
        <v>2187</v>
      </c>
      <c r="AB1690" s="460" t="s">
        <v>2188</v>
      </c>
      <c r="AC1690" s="470"/>
      <c r="AD1690" s="645" t="str">
        <f t="shared" si="33"/>
        <v>en término</v>
      </c>
    </row>
    <row r="1691" spans="1:39" s="587" customFormat="1" ht="54.95" customHeight="1" thickBot="1" x14ac:dyDescent="0.25">
      <c r="A1691" s="584"/>
      <c r="B1691" s="455" t="s">
        <v>36</v>
      </c>
      <c r="C1691" s="455" t="s">
        <v>37</v>
      </c>
      <c r="D1691" s="456" t="s">
        <v>2080</v>
      </c>
      <c r="E1691" s="501" t="s">
        <v>2189</v>
      </c>
      <c r="F1691" s="457">
        <v>9110004</v>
      </c>
      <c r="G1691" s="457" t="s">
        <v>1192</v>
      </c>
      <c r="H1691" s="458">
        <v>11930</v>
      </c>
      <c r="I1691" s="459" t="s">
        <v>40</v>
      </c>
      <c r="J1691" s="460">
        <v>40126</v>
      </c>
      <c r="K1691" s="461">
        <v>92</v>
      </c>
      <c r="L1691" s="462">
        <f t="shared" si="30"/>
        <v>40218</v>
      </c>
      <c r="M1691" s="460" t="s">
        <v>41</v>
      </c>
      <c r="N1691" s="457" t="s">
        <v>2076</v>
      </c>
      <c r="O1691" s="460">
        <v>40193</v>
      </c>
      <c r="P1691" s="461">
        <f t="shared" si="31"/>
        <v>-13</v>
      </c>
      <c r="Q1691" s="591" t="s">
        <v>2182</v>
      </c>
      <c r="R1691" s="460">
        <v>40199</v>
      </c>
      <c r="S1691" s="471">
        <v>40205</v>
      </c>
      <c r="T1691" s="464">
        <v>40218</v>
      </c>
      <c r="U1691" s="461">
        <f t="shared" si="32"/>
        <v>92</v>
      </c>
      <c r="V1691" s="468" t="s">
        <v>2190</v>
      </c>
      <c r="W1691" s="493" t="s">
        <v>94</v>
      </c>
      <c r="X1691" s="467"/>
      <c r="Y1691" s="592"/>
      <c r="Z1691" s="468">
        <v>9005003195</v>
      </c>
      <c r="AA1691" s="457" t="s">
        <v>2191</v>
      </c>
      <c r="AB1691" s="460" t="s">
        <v>2177</v>
      </c>
      <c r="AC1691" s="476"/>
      <c r="AD1691" s="645" t="str">
        <f t="shared" si="33"/>
        <v>en término</v>
      </c>
    </row>
    <row r="1692" spans="1:39" s="587" customFormat="1" ht="54.95" customHeight="1" thickBot="1" x14ac:dyDescent="0.25">
      <c r="A1692" s="584"/>
      <c r="B1692" s="455" t="s">
        <v>36</v>
      </c>
      <c r="C1692" s="455" t="s">
        <v>37</v>
      </c>
      <c r="D1692" s="456" t="s">
        <v>2080</v>
      </c>
      <c r="E1692" s="501" t="s">
        <v>2192</v>
      </c>
      <c r="F1692" s="457">
        <v>9110005</v>
      </c>
      <c r="G1692" s="457" t="s">
        <v>1192</v>
      </c>
      <c r="H1692" s="458">
        <v>23780</v>
      </c>
      <c r="I1692" s="459" t="s">
        <v>40</v>
      </c>
      <c r="J1692" s="460">
        <v>40127</v>
      </c>
      <c r="K1692" s="461">
        <v>92</v>
      </c>
      <c r="L1692" s="462">
        <f t="shared" si="30"/>
        <v>40219</v>
      </c>
      <c r="M1692" s="460" t="s">
        <v>41</v>
      </c>
      <c r="N1692" s="457" t="s">
        <v>2076</v>
      </c>
      <c r="O1692" s="460">
        <v>40193</v>
      </c>
      <c r="P1692" s="461">
        <f t="shared" si="31"/>
        <v>-14</v>
      </c>
      <c r="Q1692" s="591" t="s">
        <v>2182</v>
      </c>
      <c r="R1692" s="460">
        <v>40199</v>
      </c>
      <c r="S1692" s="471">
        <v>40205</v>
      </c>
      <c r="T1692" s="464">
        <v>40218</v>
      </c>
      <c r="U1692" s="461">
        <f t="shared" si="32"/>
        <v>91</v>
      </c>
      <c r="V1692" s="468" t="s">
        <v>2155</v>
      </c>
      <c r="W1692" s="493" t="s">
        <v>94</v>
      </c>
      <c r="X1692" s="467"/>
      <c r="Y1692" s="592"/>
      <c r="Z1692" s="468">
        <v>9005003195</v>
      </c>
      <c r="AA1692" s="457" t="s">
        <v>2191</v>
      </c>
      <c r="AB1692" s="460" t="s">
        <v>2177</v>
      </c>
      <c r="AC1692" s="476"/>
      <c r="AD1692" s="645" t="str">
        <f t="shared" si="33"/>
        <v>en término</v>
      </c>
    </row>
    <row r="1693" spans="1:39" s="587" customFormat="1" ht="54.95" customHeight="1" thickBot="1" x14ac:dyDescent="0.25">
      <c r="A1693" s="584"/>
      <c r="B1693" s="455" t="s">
        <v>36</v>
      </c>
      <c r="C1693" s="455" t="s">
        <v>37</v>
      </c>
      <c r="D1693" s="456" t="s">
        <v>2193</v>
      </c>
      <c r="E1693" s="501" t="s">
        <v>2194</v>
      </c>
      <c r="F1693" s="457">
        <v>9120004</v>
      </c>
      <c r="G1693" s="457" t="s">
        <v>1192</v>
      </c>
      <c r="H1693" s="458">
        <v>4135</v>
      </c>
      <c r="I1693" s="459" t="s">
        <v>40</v>
      </c>
      <c r="J1693" s="460">
        <v>40162</v>
      </c>
      <c r="K1693" s="461">
        <v>38</v>
      </c>
      <c r="L1693" s="462">
        <f t="shared" si="30"/>
        <v>40200</v>
      </c>
      <c r="M1693" s="460" t="s">
        <v>41</v>
      </c>
      <c r="N1693" s="457" t="s">
        <v>2174</v>
      </c>
      <c r="O1693" s="460">
        <v>40193</v>
      </c>
      <c r="P1693" s="694">
        <f t="shared" si="31"/>
        <v>5</v>
      </c>
      <c r="Q1693" s="591" t="s">
        <v>2182</v>
      </c>
      <c r="R1693" s="460">
        <v>40199</v>
      </c>
      <c r="S1693" s="471">
        <v>40205</v>
      </c>
      <c r="T1693" s="464">
        <v>40218</v>
      </c>
      <c r="U1693" s="695">
        <f t="shared" si="32"/>
        <v>56</v>
      </c>
      <c r="V1693" s="468" t="s">
        <v>2183</v>
      </c>
      <c r="W1693" s="493" t="s">
        <v>94</v>
      </c>
      <c r="X1693" s="467"/>
      <c r="Y1693" s="703"/>
      <c r="Z1693" s="468">
        <v>9005003195</v>
      </c>
      <c r="AA1693" s="457" t="s">
        <v>2191</v>
      </c>
      <c r="AB1693" s="460" t="s">
        <v>2177</v>
      </c>
      <c r="AC1693" s="476"/>
      <c r="AD1693" s="645" t="str">
        <f t="shared" si="33"/>
        <v>atrasado</v>
      </c>
    </row>
    <row r="1694" spans="1:39" s="587" customFormat="1" ht="54.95" customHeight="1" thickBot="1" x14ac:dyDescent="0.25">
      <c r="A1694" s="584"/>
      <c r="B1694" s="455" t="s">
        <v>36</v>
      </c>
      <c r="C1694" s="455" t="s">
        <v>37</v>
      </c>
      <c r="D1694" s="456" t="s">
        <v>2195</v>
      </c>
      <c r="E1694" s="501" t="s">
        <v>2196</v>
      </c>
      <c r="F1694" s="457">
        <v>9120003</v>
      </c>
      <c r="G1694" s="457" t="s">
        <v>1192</v>
      </c>
      <c r="H1694" s="458">
        <v>5000</v>
      </c>
      <c r="I1694" s="459" t="s">
        <v>40</v>
      </c>
      <c r="J1694" s="460">
        <v>40162</v>
      </c>
      <c r="K1694" s="461">
        <v>82</v>
      </c>
      <c r="L1694" s="462">
        <f t="shared" si="30"/>
        <v>40244</v>
      </c>
      <c r="M1694" s="460" t="s">
        <v>41</v>
      </c>
      <c r="N1694" s="457" t="s">
        <v>2174</v>
      </c>
      <c r="O1694" s="460">
        <v>40228</v>
      </c>
      <c r="P1694" s="694">
        <f t="shared" si="31"/>
        <v>-10</v>
      </c>
      <c r="Q1694" s="591" t="s">
        <v>2197</v>
      </c>
      <c r="R1694" s="460">
        <v>40234</v>
      </c>
      <c r="S1694" s="471">
        <v>40234</v>
      </c>
      <c r="T1694" s="464">
        <v>40252</v>
      </c>
      <c r="U1694" s="695">
        <f t="shared" si="32"/>
        <v>90</v>
      </c>
      <c r="V1694" s="468" t="s">
        <v>2198</v>
      </c>
      <c r="W1694" s="493" t="s">
        <v>2199</v>
      </c>
      <c r="X1694" s="467"/>
      <c r="Y1694" s="703"/>
      <c r="Z1694" s="468">
        <v>9005003162</v>
      </c>
      <c r="AA1694" s="457" t="s">
        <v>2187</v>
      </c>
      <c r="AB1694" s="460" t="s">
        <v>2177</v>
      </c>
      <c r="AC1694" s="476"/>
      <c r="AD1694" s="645" t="str">
        <f t="shared" si="33"/>
        <v>en término</v>
      </c>
    </row>
    <row r="1695" spans="1:39" s="587" customFormat="1" ht="54.95" customHeight="1" thickBot="1" x14ac:dyDescent="0.25">
      <c r="A1695" s="584"/>
      <c r="B1695" s="1043" t="s">
        <v>36</v>
      </c>
      <c r="C1695" s="1043" t="s">
        <v>37</v>
      </c>
      <c r="D1695" s="1044" t="s">
        <v>2200</v>
      </c>
      <c r="E1695" s="1027" t="s">
        <v>2201</v>
      </c>
      <c r="F1695" s="1028">
        <v>9120005</v>
      </c>
      <c r="G1695" s="1028" t="s">
        <v>39</v>
      </c>
      <c r="H1695" s="1029">
        <v>2650</v>
      </c>
      <c r="I1695" s="1033" t="s">
        <v>40</v>
      </c>
      <c r="J1695" s="1032">
        <v>40170</v>
      </c>
      <c r="K1695" s="1041">
        <v>69</v>
      </c>
      <c r="L1695" s="641">
        <f t="shared" si="30"/>
        <v>40239</v>
      </c>
      <c r="M1695" s="1032" t="s">
        <v>41</v>
      </c>
      <c r="N1695" s="1028" t="s">
        <v>2174</v>
      </c>
      <c r="O1695" s="1032">
        <v>40228</v>
      </c>
      <c r="P1695" s="691">
        <f t="shared" si="31"/>
        <v>-5</v>
      </c>
      <c r="Q1695" s="1034" t="s">
        <v>2197</v>
      </c>
      <c r="R1695" s="1032">
        <v>40234</v>
      </c>
      <c r="S1695" s="642">
        <v>40234</v>
      </c>
      <c r="T1695" s="1031">
        <v>40252</v>
      </c>
      <c r="U1695" s="692">
        <f t="shared" si="32"/>
        <v>82</v>
      </c>
      <c r="V1695" s="446" t="s">
        <v>53</v>
      </c>
      <c r="W1695" s="659" t="s">
        <v>2199</v>
      </c>
      <c r="X1695" s="643"/>
      <c r="Y1695" s="693"/>
      <c r="Z1695" s="468">
        <v>9005003162</v>
      </c>
      <c r="AA1695" s="457" t="s">
        <v>2187</v>
      </c>
      <c r="AB1695" s="460" t="s">
        <v>2177</v>
      </c>
      <c r="AC1695" s="1040"/>
      <c r="AD1695" s="645" t="str">
        <f t="shared" si="33"/>
        <v>en término</v>
      </c>
    </row>
    <row r="1696" spans="1:39" s="587" customFormat="1" ht="54.95" customHeight="1" thickBot="1" x14ac:dyDescent="0.25">
      <c r="A1696" s="584"/>
      <c r="B1696" s="1043" t="s">
        <v>36</v>
      </c>
      <c r="C1696" s="690" t="s">
        <v>133</v>
      </c>
      <c r="D1696" s="1044" t="s">
        <v>2032</v>
      </c>
      <c r="E1696" s="446" t="s">
        <v>2166</v>
      </c>
      <c r="F1696" s="1028">
        <v>4503132079</v>
      </c>
      <c r="G1696" s="1028" t="s">
        <v>39</v>
      </c>
      <c r="H1696" s="1029">
        <v>37326.5</v>
      </c>
      <c r="I1696" s="1033" t="s">
        <v>52</v>
      </c>
      <c r="J1696" s="1032">
        <v>40164</v>
      </c>
      <c r="K1696" s="1041">
        <v>81</v>
      </c>
      <c r="L1696" s="641">
        <f t="shared" si="30"/>
        <v>40245</v>
      </c>
      <c r="M1696" s="1032" t="s">
        <v>41</v>
      </c>
      <c r="N1696" s="1028" t="s">
        <v>1750</v>
      </c>
      <c r="O1696" s="1032">
        <v>40228</v>
      </c>
      <c r="P1696" s="461">
        <f t="shared" si="31"/>
        <v>-11</v>
      </c>
      <c r="Q1696" s="591" t="s">
        <v>2197</v>
      </c>
      <c r="R1696" s="1032">
        <v>40234</v>
      </c>
      <c r="S1696" s="642">
        <v>40234</v>
      </c>
      <c r="T1696" s="1031">
        <v>40252</v>
      </c>
      <c r="U1696" s="1041">
        <f t="shared" si="32"/>
        <v>88</v>
      </c>
      <c r="V1696" s="446" t="s">
        <v>2202</v>
      </c>
      <c r="W1696" s="659" t="s">
        <v>2203</v>
      </c>
      <c r="X1696" s="1028" t="s">
        <v>47</v>
      </c>
      <c r="Y1696" s="643"/>
      <c r="Z1696" s="468">
        <v>9005003162</v>
      </c>
      <c r="AA1696" s="457" t="s">
        <v>2187</v>
      </c>
      <c r="AB1696" s="1032" t="s">
        <v>2204</v>
      </c>
      <c r="AC1696" s="644"/>
      <c r="AD1696" s="645" t="str">
        <f t="shared" si="33"/>
        <v>en término</v>
      </c>
    </row>
    <row r="1697" spans="1:30" s="587" customFormat="1" ht="54.95" customHeight="1" thickBot="1" x14ac:dyDescent="0.25">
      <c r="A1697" s="584"/>
      <c r="B1697" s="455" t="s">
        <v>36</v>
      </c>
      <c r="C1697" s="455" t="s">
        <v>133</v>
      </c>
      <c r="D1697" s="456" t="s">
        <v>2205</v>
      </c>
      <c r="E1697" s="468" t="s">
        <v>2206</v>
      </c>
      <c r="F1697" s="457">
        <v>4503167935</v>
      </c>
      <c r="G1697" s="457" t="s">
        <v>39</v>
      </c>
      <c r="H1697" s="458">
        <v>17132.8</v>
      </c>
      <c r="I1697" s="459" t="s">
        <v>62</v>
      </c>
      <c r="J1697" s="460">
        <v>40191</v>
      </c>
      <c r="K1697" s="461">
        <v>72</v>
      </c>
      <c r="L1697" s="462">
        <f t="shared" si="30"/>
        <v>40263</v>
      </c>
      <c r="M1697" s="460" t="s">
        <v>41</v>
      </c>
      <c r="N1697" s="457" t="s">
        <v>1750</v>
      </c>
      <c r="O1697" s="460">
        <v>40249</v>
      </c>
      <c r="P1697" s="461">
        <f t="shared" si="31"/>
        <v>-7</v>
      </c>
      <c r="Q1697" s="591" t="s">
        <v>2207</v>
      </c>
      <c r="R1697" s="460">
        <v>40256</v>
      </c>
      <c r="S1697" s="471">
        <v>40256</v>
      </c>
      <c r="T1697" s="464">
        <v>40274</v>
      </c>
      <c r="U1697" s="461">
        <f t="shared" si="32"/>
        <v>83</v>
      </c>
      <c r="V1697" s="468" t="s">
        <v>965</v>
      </c>
      <c r="W1697" s="493" t="s">
        <v>2208</v>
      </c>
      <c r="X1697" s="457" t="s">
        <v>47</v>
      </c>
      <c r="Y1697" s="456" t="s">
        <v>2209</v>
      </c>
      <c r="Z1697" s="457">
        <v>9005003151</v>
      </c>
      <c r="AA1697" s="457" t="s">
        <v>2210</v>
      </c>
      <c r="AB1697" s="460" t="s">
        <v>2211</v>
      </c>
      <c r="AC1697" s="470"/>
      <c r="AD1697" s="645" t="str">
        <f t="shared" si="33"/>
        <v>en término</v>
      </c>
    </row>
    <row r="1698" spans="1:30" s="587" customFormat="1" ht="54.95" customHeight="1" thickBot="1" x14ac:dyDescent="0.25">
      <c r="A1698" s="584"/>
      <c r="B1698" s="455" t="s">
        <v>36</v>
      </c>
      <c r="C1698" s="496" t="s">
        <v>133</v>
      </c>
      <c r="D1698" s="456" t="s">
        <v>2032</v>
      </c>
      <c r="E1698" s="468" t="s">
        <v>2166</v>
      </c>
      <c r="F1698" s="457">
        <v>4503217893</v>
      </c>
      <c r="G1698" s="457" t="s">
        <v>39</v>
      </c>
      <c r="H1698" s="458">
        <v>1251.2</v>
      </c>
      <c r="I1698" s="459" t="s">
        <v>62</v>
      </c>
      <c r="J1698" s="460">
        <v>40228</v>
      </c>
      <c r="K1698" s="461">
        <v>75</v>
      </c>
      <c r="L1698" s="462">
        <f t="shared" si="30"/>
        <v>40303</v>
      </c>
      <c r="M1698" s="460" t="s">
        <v>41</v>
      </c>
      <c r="N1698" s="457" t="s">
        <v>1750</v>
      </c>
      <c r="O1698" s="460">
        <v>40249</v>
      </c>
      <c r="P1698" s="461">
        <f t="shared" si="31"/>
        <v>-47</v>
      </c>
      <c r="Q1698" s="591" t="s">
        <v>2207</v>
      </c>
      <c r="R1698" s="460">
        <v>40256</v>
      </c>
      <c r="S1698" s="471">
        <v>40256</v>
      </c>
      <c r="T1698" s="464">
        <v>40274</v>
      </c>
      <c r="U1698" s="461">
        <f t="shared" si="32"/>
        <v>46</v>
      </c>
      <c r="V1698" s="468" t="s">
        <v>2212</v>
      </c>
      <c r="W1698" s="493" t="s">
        <v>2213</v>
      </c>
      <c r="X1698" s="457"/>
      <c r="Y1698" s="467"/>
      <c r="Z1698" s="457">
        <v>9005003151</v>
      </c>
      <c r="AA1698" s="457" t="s">
        <v>2210</v>
      </c>
      <c r="AB1698" s="460" t="s">
        <v>2211</v>
      </c>
      <c r="AC1698" s="470" t="s">
        <v>2214</v>
      </c>
      <c r="AD1698" s="645" t="str">
        <f t="shared" si="33"/>
        <v>en término</v>
      </c>
    </row>
    <row r="1699" spans="1:30" s="587" customFormat="1" ht="54.95" customHeight="1" thickBot="1" x14ac:dyDescent="0.25">
      <c r="A1699" s="584"/>
      <c r="B1699" s="455" t="s">
        <v>36</v>
      </c>
      <c r="C1699" s="455" t="s">
        <v>133</v>
      </c>
      <c r="D1699" s="456" t="s">
        <v>2205</v>
      </c>
      <c r="E1699" s="457" t="s">
        <v>2206</v>
      </c>
      <c r="F1699" s="457">
        <v>4503157055</v>
      </c>
      <c r="G1699" s="457" t="s">
        <v>39</v>
      </c>
      <c r="H1699" s="458">
        <v>52266.64</v>
      </c>
      <c r="I1699" s="459" t="s">
        <v>62</v>
      </c>
      <c r="J1699" s="460">
        <v>40183</v>
      </c>
      <c r="K1699" s="461">
        <v>79</v>
      </c>
      <c r="L1699" s="462">
        <f t="shared" si="30"/>
        <v>40262</v>
      </c>
      <c r="M1699" s="460" t="s">
        <v>41</v>
      </c>
      <c r="N1699" s="457" t="s">
        <v>1750</v>
      </c>
      <c r="O1699" s="460">
        <v>40249</v>
      </c>
      <c r="P1699" s="461">
        <f t="shared" si="31"/>
        <v>-6</v>
      </c>
      <c r="Q1699" s="591" t="s">
        <v>2207</v>
      </c>
      <c r="R1699" s="460">
        <v>40256</v>
      </c>
      <c r="S1699" s="471">
        <v>40256</v>
      </c>
      <c r="T1699" s="464">
        <v>40274</v>
      </c>
      <c r="U1699" s="461">
        <f t="shared" si="32"/>
        <v>91</v>
      </c>
      <c r="V1699" s="468" t="s">
        <v>955</v>
      </c>
      <c r="W1699" s="493" t="s">
        <v>2215</v>
      </c>
      <c r="X1699" s="457"/>
      <c r="Y1699" s="456" t="s">
        <v>2209</v>
      </c>
      <c r="Z1699" s="457">
        <v>9005003151</v>
      </c>
      <c r="AA1699" s="457" t="s">
        <v>2210</v>
      </c>
      <c r="AB1699" s="460" t="s">
        <v>2211</v>
      </c>
      <c r="AC1699" s="470"/>
      <c r="AD1699" s="645" t="str">
        <f t="shared" si="33"/>
        <v>en término</v>
      </c>
    </row>
    <row r="1700" spans="1:30" s="587" customFormat="1" ht="54.95" customHeight="1" thickBot="1" x14ac:dyDescent="0.25">
      <c r="A1700" s="584"/>
      <c r="B1700" s="455" t="s">
        <v>36</v>
      </c>
      <c r="C1700" s="496" t="s">
        <v>133</v>
      </c>
      <c r="D1700" s="456" t="s">
        <v>2032</v>
      </c>
      <c r="E1700" s="468" t="s">
        <v>2166</v>
      </c>
      <c r="F1700" s="457">
        <v>4503163525</v>
      </c>
      <c r="G1700" s="457" t="s">
        <v>39</v>
      </c>
      <c r="H1700" s="458">
        <v>13921.39</v>
      </c>
      <c r="I1700" s="459" t="s">
        <v>52</v>
      </c>
      <c r="J1700" s="460">
        <v>40189</v>
      </c>
      <c r="K1700" s="461">
        <v>84</v>
      </c>
      <c r="L1700" s="462">
        <f t="shared" si="30"/>
        <v>40273</v>
      </c>
      <c r="M1700" s="460" t="s">
        <v>41</v>
      </c>
      <c r="N1700" s="457" t="s">
        <v>1750</v>
      </c>
      <c r="O1700" s="460">
        <v>40249</v>
      </c>
      <c r="P1700" s="461">
        <f t="shared" si="31"/>
        <v>-17</v>
      </c>
      <c r="Q1700" s="591" t="s">
        <v>2207</v>
      </c>
      <c r="R1700" s="460">
        <v>40256</v>
      </c>
      <c r="S1700" s="471">
        <v>40256</v>
      </c>
      <c r="T1700" s="464">
        <v>40274</v>
      </c>
      <c r="U1700" s="461">
        <f t="shared" si="32"/>
        <v>85</v>
      </c>
      <c r="V1700" s="468" t="s">
        <v>2216</v>
      </c>
      <c r="W1700" s="493" t="s">
        <v>2217</v>
      </c>
      <c r="X1700" s="457" t="s">
        <v>47</v>
      </c>
      <c r="Y1700" s="467"/>
      <c r="Z1700" s="457">
        <v>9005003151</v>
      </c>
      <c r="AA1700" s="457" t="s">
        <v>2210</v>
      </c>
      <c r="AB1700" s="460" t="s">
        <v>2204</v>
      </c>
      <c r="AC1700" s="470"/>
      <c r="AD1700" s="645" t="str">
        <f t="shared" si="33"/>
        <v>en término</v>
      </c>
    </row>
    <row r="1701" spans="1:30" s="587" customFormat="1" ht="54.95" customHeight="1" thickBot="1" x14ac:dyDescent="0.25">
      <c r="A1701" s="584"/>
      <c r="B1701" s="455" t="s">
        <v>36</v>
      </c>
      <c r="C1701" s="455" t="s">
        <v>133</v>
      </c>
      <c r="D1701" s="456" t="s">
        <v>2205</v>
      </c>
      <c r="E1701" s="468" t="s">
        <v>2206</v>
      </c>
      <c r="F1701" s="457">
        <v>4503163903</v>
      </c>
      <c r="G1701" s="457" t="s">
        <v>39</v>
      </c>
      <c r="H1701" s="458">
        <v>176346.72</v>
      </c>
      <c r="I1701" s="459" t="s">
        <v>52</v>
      </c>
      <c r="J1701" s="460">
        <v>40189</v>
      </c>
      <c r="K1701" s="461">
        <v>81</v>
      </c>
      <c r="L1701" s="462">
        <f t="shared" si="30"/>
        <v>40270</v>
      </c>
      <c r="M1701" s="460" t="s">
        <v>41</v>
      </c>
      <c r="N1701" s="457" t="s">
        <v>1750</v>
      </c>
      <c r="O1701" s="460">
        <v>40249</v>
      </c>
      <c r="P1701" s="461">
        <f t="shared" si="31"/>
        <v>-14</v>
      </c>
      <c r="Q1701" s="591" t="s">
        <v>2207</v>
      </c>
      <c r="R1701" s="460">
        <v>40256</v>
      </c>
      <c r="S1701" s="471">
        <v>40256</v>
      </c>
      <c r="T1701" s="464">
        <v>40274</v>
      </c>
      <c r="U1701" s="461">
        <f t="shared" si="32"/>
        <v>85</v>
      </c>
      <c r="V1701" s="468" t="s">
        <v>2218</v>
      </c>
      <c r="W1701" s="493" t="s">
        <v>2219</v>
      </c>
      <c r="X1701" s="457" t="s">
        <v>47</v>
      </c>
      <c r="Y1701" s="456" t="s">
        <v>2209</v>
      </c>
      <c r="Z1701" s="457">
        <v>9005003151</v>
      </c>
      <c r="AA1701" s="457" t="s">
        <v>2210</v>
      </c>
      <c r="AB1701" s="460" t="s">
        <v>2204</v>
      </c>
      <c r="AC1701" s="470"/>
      <c r="AD1701" s="645" t="str">
        <f t="shared" si="33"/>
        <v>en término</v>
      </c>
    </row>
    <row r="1702" spans="1:30" s="587" customFormat="1" ht="54.95" customHeight="1" thickBot="1" x14ac:dyDescent="0.25">
      <c r="A1702" s="584"/>
      <c r="B1702" s="455" t="s">
        <v>36</v>
      </c>
      <c r="C1702" s="455" t="s">
        <v>37</v>
      </c>
      <c r="D1702" s="456" t="s">
        <v>2220</v>
      </c>
      <c r="E1702" s="456" t="s">
        <v>2221</v>
      </c>
      <c r="F1702" s="457">
        <v>10010001</v>
      </c>
      <c r="G1702" s="457" t="s">
        <v>1192</v>
      </c>
      <c r="H1702" s="458">
        <v>36625</v>
      </c>
      <c r="I1702" s="459" t="s">
        <v>40</v>
      </c>
      <c r="J1702" s="460">
        <v>40204</v>
      </c>
      <c r="K1702" s="461">
        <v>46</v>
      </c>
      <c r="L1702" s="462">
        <f t="shared" si="30"/>
        <v>40250</v>
      </c>
      <c r="M1702" s="460" t="s">
        <v>41</v>
      </c>
      <c r="N1702" s="457" t="s">
        <v>2222</v>
      </c>
      <c r="O1702" s="460">
        <v>40249</v>
      </c>
      <c r="P1702" s="694">
        <f t="shared" si="31"/>
        <v>6</v>
      </c>
      <c r="Q1702" s="591" t="s">
        <v>2207</v>
      </c>
      <c r="R1702" s="460">
        <v>40256</v>
      </c>
      <c r="S1702" s="471">
        <v>40256</v>
      </c>
      <c r="T1702" s="464">
        <v>40274</v>
      </c>
      <c r="U1702" s="695">
        <f t="shared" si="32"/>
        <v>70</v>
      </c>
      <c r="V1702" s="468" t="s">
        <v>2223</v>
      </c>
      <c r="W1702" s="493" t="s">
        <v>2224</v>
      </c>
      <c r="X1702" s="467"/>
      <c r="Y1702" s="703"/>
      <c r="Z1702" s="457">
        <v>9005003151</v>
      </c>
      <c r="AA1702" s="457" t="s">
        <v>2210</v>
      </c>
      <c r="AB1702" s="460" t="s">
        <v>47</v>
      </c>
      <c r="AC1702" s="476" t="s">
        <v>2225</v>
      </c>
      <c r="AD1702" s="645" t="str">
        <f t="shared" si="33"/>
        <v>atrasado</v>
      </c>
    </row>
    <row r="1703" spans="1:30" s="587" customFormat="1" ht="54.95" customHeight="1" thickBot="1" x14ac:dyDescent="0.25">
      <c r="A1703" s="584"/>
      <c r="B1703" s="455" t="s">
        <v>36</v>
      </c>
      <c r="C1703" s="455" t="s">
        <v>133</v>
      </c>
      <c r="D1703" s="456" t="s">
        <v>1958</v>
      </c>
      <c r="E1703" s="468" t="s">
        <v>1959</v>
      </c>
      <c r="F1703" s="457">
        <v>4503170525</v>
      </c>
      <c r="G1703" s="457" t="s">
        <v>39</v>
      </c>
      <c r="H1703" s="458">
        <v>9366.43</v>
      </c>
      <c r="I1703" s="459" t="s">
        <v>52</v>
      </c>
      <c r="J1703" s="460">
        <v>40193</v>
      </c>
      <c r="K1703" s="461">
        <v>100</v>
      </c>
      <c r="L1703" s="462">
        <f t="shared" si="30"/>
        <v>40293</v>
      </c>
      <c r="M1703" s="460" t="s">
        <v>41</v>
      </c>
      <c r="N1703" s="457" t="s">
        <v>1750</v>
      </c>
      <c r="O1703" s="460">
        <v>40291</v>
      </c>
      <c r="P1703" s="461">
        <f t="shared" si="31"/>
        <v>5</v>
      </c>
      <c r="Q1703" s="591" t="s">
        <v>2226</v>
      </c>
      <c r="R1703" s="460">
        <v>40296</v>
      </c>
      <c r="S1703" s="471">
        <v>40298</v>
      </c>
      <c r="T1703" s="464">
        <v>40316</v>
      </c>
      <c r="U1703" s="461">
        <f t="shared" si="32"/>
        <v>123</v>
      </c>
      <c r="V1703" s="468" t="s">
        <v>53</v>
      </c>
      <c r="W1703" s="493" t="s">
        <v>2227</v>
      </c>
      <c r="X1703" s="457" t="s">
        <v>47</v>
      </c>
      <c r="Y1703" s="467"/>
      <c r="Z1703" s="446">
        <v>2192839095</v>
      </c>
      <c r="AA1703" s="457" t="s">
        <v>2228</v>
      </c>
      <c r="AB1703" s="721" t="s">
        <v>2229</v>
      </c>
      <c r="AC1703" s="470" t="s">
        <v>2230</v>
      </c>
      <c r="AD1703" s="645" t="str">
        <f t="shared" si="33"/>
        <v>atrasado</v>
      </c>
    </row>
    <row r="1704" spans="1:30" s="587" customFormat="1" ht="54.95" customHeight="1" thickBot="1" x14ac:dyDescent="0.25">
      <c r="A1704" s="584"/>
      <c r="B1704" s="455" t="s">
        <v>36</v>
      </c>
      <c r="C1704" s="455" t="s">
        <v>133</v>
      </c>
      <c r="D1704" s="456" t="s">
        <v>2205</v>
      </c>
      <c r="E1704" s="468" t="s">
        <v>2206</v>
      </c>
      <c r="F1704" s="457">
        <v>4503225560</v>
      </c>
      <c r="G1704" s="457" t="s">
        <v>39</v>
      </c>
      <c r="H1704" s="458">
        <v>84594.37</v>
      </c>
      <c r="I1704" s="459" t="s">
        <v>62</v>
      </c>
      <c r="J1704" s="460">
        <v>40234</v>
      </c>
      <c r="K1704" s="461">
        <v>60</v>
      </c>
      <c r="L1704" s="462">
        <f t="shared" si="30"/>
        <v>40294</v>
      </c>
      <c r="M1704" s="460" t="s">
        <v>41</v>
      </c>
      <c r="N1704" s="457" t="s">
        <v>1750</v>
      </c>
      <c r="O1704" s="460">
        <v>40291</v>
      </c>
      <c r="P1704" s="461">
        <f t="shared" si="31"/>
        <v>4</v>
      </c>
      <c r="Q1704" s="591" t="s">
        <v>2226</v>
      </c>
      <c r="R1704" s="460">
        <v>40296</v>
      </c>
      <c r="S1704" s="471">
        <v>40298</v>
      </c>
      <c r="T1704" s="464">
        <v>40316</v>
      </c>
      <c r="U1704" s="461">
        <f t="shared" si="32"/>
        <v>82</v>
      </c>
      <c r="V1704" s="468" t="s">
        <v>2231</v>
      </c>
      <c r="W1704" s="493" t="s">
        <v>2232</v>
      </c>
      <c r="X1704" s="457" t="s">
        <v>47</v>
      </c>
      <c r="Y1704" s="1044" t="s">
        <v>2233</v>
      </c>
      <c r="Z1704" s="446">
        <v>2192839095</v>
      </c>
      <c r="AA1704" s="457" t="s">
        <v>2228</v>
      </c>
      <c r="AB1704" s="589" t="s">
        <v>2234</v>
      </c>
      <c r="AC1704" s="470" t="s">
        <v>2230</v>
      </c>
      <c r="AD1704" s="645" t="str">
        <f t="shared" si="33"/>
        <v>atrasado</v>
      </c>
    </row>
    <row r="1705" spans="1:30" s="587" customFormat="1" ht="54.95" customHeight="1" thickBot="1" x14ac:dyDescent="0.25">
      <c r="A1705" s="584"/>
      <c r="B1705" s="455" t="s">
        <v>36</v>
      </c>
      <c r="C1705" s="455" t="s">
        <v>133</v>
      </c>
      <c r="D1705" s="456" t="s">
        <v>2205</v>
      </c>
      <c r="E1705" s="468" t="s">
        <v>2206</v>
      </c>
      <c r="F1705" s="457">
        <v>4503218391</v>
      </c>
      <c r="G1705" s="457" t="s">
        <v>39</v>
      </c>
      <c r="H1705" s="458">
        <v>28855.63</v>
      </c>
      <c r="I1705" s="459" t="s">
        <v>62</v>
      </c>
      <c r="J1705" s="460">
        <v>40228</v>
      </c>
      <c r="K1705" s="461">
        <v>66</v>
      </c>
      <c r="L1705" s="462">
        <f t="shared" si="30"/>
        <v>40294</v>
      </c>
      <c r="M1705" s="460" t="s">
        <v>41</v>
      </c>
      <c r="N1705" s="457" t="s">
        <v>1750</v>
      </c>
      <c r="O1705" s="460">
        <v>40291</v>
      </c>
      <c r="P1705" s="461">
        <f t="shared" si="31"/>
        <v>4</v>
      </c>
      <c r="Q1705" s="591" t="s">
        <v>2226</v>
      </c>
      <c r="R1705" s="460">
        <v>40296</v>
      </c>
      <c r="S1705" s="471">
        <v>40298</v>
      </c>
      <c r="T1705" s="464">
        <v>40316</v>
      </c>
      <c r="U1705" s="461">
        <f t="shared" si="32"/>
        <v>88</v>
      </c>
      <c r="V1705" s="468" t="s">
        <v>925</v>
      </c>
      <c r="W1705" s="493" t="s">
        <v>2235</v>
      </c>
      <c r="X1705" s="457"/>
      <c r="Y1705" s="1044" t="s">
        <v>2233</v>
      </c>
      <c r="Z1705" s="446">
        <v>2192839095</v>
      </c>
      <c r="AA1705" s="457" t="s">
        <v>2228</v>
      </c>
      <c r="AB1705" s="589" t="s">
        <v>2236</v>
      </c>
      <c r="AC1705" s="470" t="s">
        <v>2230</v>
      </c>
      <c r="AD1705" s="645" t="str">
        <f t="shared" si="33"/>
        <v>atrasado</v>
      </c>
    </row>
    <row r="1706" spans="1:30" s="587" customFormat="1" ht="54.95" customHeight="1" thickBot="1" x14ac:dyDescent="0.25">
      <c r="A1706" s="584"/>
      <c r="B1706" s="455" t="s">
        <v>36</v>
      </c>
      <c r="C1706" s="455" t="s">
        <v>133</v>
      </c>
      <c r="D1706" s="456" t="s">
        <v>1958</v>
      </c>
      <c r="E1706" s="468" t="s">
        <v>1959</v>
      </c>
      <c r="F1706" s="457">
        <v>4503175847</v>
      </c>
      <c r="G1706" s="457" t="s">
        <v>39</v>
      </c>
      <c r="H1706" s="458">
        <v>6375.32</v>
      </c>
      <c r="I1706" s="459" t="s">
        <v>40</v>
      </c>
      <c r="J1706" s="460">
        <v>40198</v>
      </c>
      <c r="K1706" s="461">
        <v>90</v>
      </c>
      <c r="L1706" s="462">
        <f t="shared" si="30"/>
        <v>40288</v>
      </c>
      <c r="M1706" s="460" t="s">
        <v>41</v>
      </c>
      <c r="N1706" s="457" t="s">
        <v>1750</v>
      </c>
      <c r="O1706" s="460">
        <v>40291</v>
      </c>
      <c r="P1706" s="461">
        <f t="shared" si="31"/>
        <v>10</v>
      </c>
      <c r="Q1706" s="591" t="s">
        <v>2226</v>
      </c>
      <c r="R1706" s="460">
        <v>40296</v>
      </c>
      <c r="S1706" s="471">
        <v>40298</v>
      </c>
      <c r="T1706" s="464">
        <v>40316</v>
      </c>
      <c r="U1706" s="461">
        <f t="shared" si="32"/>
        <v>118</v>
      </c>
      <c r="V1706" s="468" t="s">
        <v>53</v>
      </c>
      <c r="W1706" s="493" t="s">
        <v>2237</v>
      </c>
      <c r="X1706" s="457"/>
      <c r="Y1706" s="467"/>
      <c r="Z1706" s="446">
        <v>2192839095</v>
      </c>
      <c r="AA1706" s="457" t="s">
        <v>2228</v>
      </c>
      <c r="AB1706" s="460" t="s">
        <v>2238</v>
      </c>
      <c r="AC1706" s="470" t="s">
        <v>2230</v>
      </c>
      <c r="AD1706" s="645" t="str">
        <f t="shared" si="33"/>
        <v>atrasado</v>
      </c>
    </row>
    <row r="1707" spans="1:30" s="587" customFormat="1" ht="54.95" customHeight="1" thickBot="1" x14ac:dyDescent="0.25">
      <c r="A1707" s="584"/>
      <c r="B1707" s="1043" t="s">
        <v>36</v>
      </c>
      <c r="C1707" s="1043" t="s">
        <v>133</v>
      </c>
      <c r="D1707" s="1044" t="s">
        <v>2205</v>
      </c>
      <c r="E1707" s="446" t="s">
        <v>2206</v>
      </c>
      <c r="F1707" s="1028">
        <v>4503185608</v>
      </c>
      <c r="G1707" s="1028" t="s">
        <v>39</v>
      </c>
      <c r="H1707" s="1029">
        <v>36870.339999999997</v>
      </c>
      <c r="I1707" s="1033" t="s">
        <v>40</v>
      </c>
      <c r="J1707" s="1032">
        <v>40205</v>
      </c>
      <c r="K1707" s="1041">
        <v>90</v>
      </c>
      <c r="L1707" s="641">
        <f t="shared" si="30"/>
        <v>40295</v>
      </c>
      <c r="M1707" s="1032" t="s">
        <v>41</v>
      </c>
      <c r="N1707" s="1028" t="s">
        <v>1750</v>
      </c>
      <c r="O1707" s="460">
        <v>40291</v>
      </c>
      <c r="P1707" s="1041">
        <f t="shared" si="31"/>
        <v>3</v>
      </c>
      <c r="Q1707" s="591" t="s">
        <v>2226</v>
      </c>
      <c r="R1707" s="460">
        <v>40296</v>
      </c>
      <c r="S1707" s="471">
        <v>40298</v>
      </c>
      <c r="T1707" s="464">
        <v>40316</v>
      </c>
      <c r="U1707" s="1041">
        <f t="shared" si="32"/>
        <v>111</v>
      </c>
      <c r="V1707" s="446" t="s">
        <v>2239</v>
      </c>
      <c r="W1707" s="659" t="s">
        <v>2240</v>
      </c>
      <c r="X1707" s="1028" t="s">
        <v>47</v>
      </c>
      <c r="Y1707" s="693"/>
      <c r="Z1707" s="446">
        <v>2192839095</v>
      </c>
      <c r="AA1707" s="457" t="s">
        <v>2228</v>
      </c>
      <c r="AB1707" s="460" t="s">
        <v>2238</v>
      </c>
      <c r="AC1707" s="644" t="s">
        <v>2230</v>
      </c>
      <c r="AD1707" s="645" t="str">
        <f t="shared" si="33"/>
        <v>atrasado</v>
      </c>
    </row>
    <row r="1708" spans="1:30" s="587" customFormat="1" ht="54.95" customHeight="1" thickBot="1" x14ac:dyDescent="0.25">
      <c r="A1708" s="584"/>
      <c r="B1708" s="455" t="s">
        <v>36</v>
      </c>
      <c r="C1708" s="455" t="s">
        <v>37</v>
      </c>
      <c r="D1708" s="456" t="s">
        <v>2220</v>
      </c>
      <c r="E1708" s="456" t="s">
        <v>2221</v>
      </c>
      <c r="F1708" s="457">
        <v>10010001</v>
      </c>
      <c r="G1708" s="457" t="s">
        <v>1192</v>
      </c>
      <c r="H1708" s="458">
        <v>110995</v>
      </c>
      <c r="I1708" s="459" t="s">
        <v>40</v>
      </c>
      <c r="J1708" s="460">
        <v>40204</v>
      </c>
      <c r="K1708" s="461">
        <v>116</v>
      </c>
      <c r="L1708" s="462">
        <f t="shared" si="30"/>
        <v>40320</v>
      </c>
      <c r="M1708" s="460" t="s">
        <v>41</v>
      </c>
      <c r="N1708" s="457" t="s">
        <v>2174</v>
      </c>
      <c r="O1708" s="460">
        <v>40291</v>
      </c>
      <c r="P1708" s="694">
        <f t="shared" si="31"/>
        <v>-22</v>
      </c>
      <c r="Q1708" s="591" t="s">
        <v>2226</v>
      </c>
      <c r="R1708" s="460">
        <v>40296</v>
      </c>
      <c r="S1708" s="471">
        <v>40298</v>
      </c>
      <c r="T1708" s="464">
        <v>40316</v>
      </c>
      <c r="U1708" s="695">
        <f t="shared" si="32"/>
        <v>112</v>
      </c>
      <c r="V1708" s="468" t="s">
        <v>2241</v>
      </c>
      <c r="W1708" s="493" t="s">
        <v>45</v>
      </c>
      <c r="X1708" s="467"/>
      <c r="Y1708" s="703"/>
      <c r="Z1708" s="446">
        <v>2192839095</v>
      </c>
      <c r="AA1708" s="457" t="s">
        <v>2228</v>
      </c>
      <c r="AB1708" s="460" t="s">
        <v>2177</v>
      </c>
      <c r="AC1708" s="476" t="s">
        <v>2242</v>
      </c>
      <c r="AD1708" s="645" t="str">
        <f t="shared" si="33"/>
        <v>en término</v>
      </c>
    </row>
    <row r="1709" spans="1:30" s="587" customFormat="1" ht="54.95" customHeight="1" thickBot="1" x14ac:dyDescent="0.25">
      <c r="A1709" s="584"/>
      <c r="B1709" s="1043" t="s">
        <v>36</v>
      </c>
      <c r="C1709" s="1043" t="s">
        <v>37</v>
      </c>
      <c r="D1709" s="1044" t="s">
        <v>2243</v>
      </c>
      <c r="E1709" s="1027" t="s">
        <v>2244</v>
      </c>
      <c r="F1709" s="1028">
        <v>10030006</v>
      </c>
      <c r="G1709" s="1028" t="s">
        <v>39</v>
      </c>
      <c r="H1709" s="1029">
        <v>1120</v>
      </c>
      <c r="I1709" s="1033" t="s">
        <v>142</v>
      </c>
      <c r="J1709" s="1032">
        <v>40232</v>
      </c>
      <c r="K1709" s="1041">
        <v>63</v>
      </c>
      <c r="L1709" s="641">
        <f t="shared" si="30"/>
        <v>40295</v>
      </c>
      <c r="M1709" s="1032" t="s">
        <v>41</v>
      </c>
      <c r="N1709" s="1028" t="s">
        <v>2174</v>
      </c>
      <c r="O1709" s="460">
        <v>40291</v>
      </c>
      <c r="P1709" s="691">
        <f t="shared" si="31"/>
        <v>3</v>
      </c>
      <c r="Q1709" s="591" t="s">
        <v>2226</v>
      </c>
      <c r="R1709" s="460">
        <v>40296</v>
      </c>
      <c r="S1709" s="471">
        <v>40298</v>
      </c>
      <c r="T1709" s="464">
        <v>40316</v>
      </c>
      <c r="U1709" s="692">
        <f t="shared" si="32"/>
        <v>84</v>
      </c>
      <c r="V1709" s="446" t="s">
        <v>53</v>
      </c>
      <c r="W1709" s="659" t="s">
        <v>45</v>
      </c>
      <c r="X1709" s="643"/>
      <c r="Y1709" s="693"/>
      <c r="Z1709" s="446">
        <v>2192839095</v>
      </c>
      <c r="AA1709" s="1028" t="s">
        <v>2228</v>
      </c>
      <c r="AB1709" s="460" t="s">
        <v>2177</v>
      </c>
      <c r="AC1709" s="1040" t="s">
        <v>2230</v>
      </c>
      <c r="AD1709" s="645" t="str">
        <f t="shared" si="33"/>
        <v>atrasado</v>
      </c>
    </row>
    <row r="1710" spans="1:30" s="587" customFormat="1" ht="54.95" customHeight="1" thickBot="1" x14ac:dyDescent="0.25">
      <c r="A1710" s="584" t="s">
        <v>2245</v>
      </c>
      <c r="B1710" s="1043" t="s">
        <v>36</v>
      </c>
      <c r="C1710" s="1043" t="s">
        <v>133</v>
      </c>
      <c r="D1710" s="1044" t="s">
        <v>2205</v>
      </c>
      <c r="E1710" s="457" t="s">
        <v>2206</v>
      </c>
      <c r="F1710" s="457">
        <v>4503157055</v>
      </c>
      <c r="G1710" s="1028" t="s">
        <v>39</v>
      </c>
      <c r="H1710" s="458">
        <v>97178.81</v>
      </c>
      <c r="I1710" s="1033" t="s">
        <v>62</v>
      </c>
      <c r="J1710" s="1032">
        <v>40183</v>
      </c>
      <c r="K1710" s="1041">
        <v>110</v>
      </c>
      <c r="L1710" s="641">
        <f t="shared" si="30"/>
        <v>40293</v>
      </c>
      <c r="M1710" s="1032" t="s">
        <v>41</v>
      </c>
      <c r="N1710" s="1028" t="s">
        <v>1750</v>
      </c>
      <c r="O1710" s="460">
        <v>40291</v>
      </c>
      <c r="P1710" s="1041">
        <f t="shared" si="31"/>
        <v>5</v>
      </c>
      <c r="Q1710" s="591" t="s">
        <v>2226</v>
      </c>
      <c r="R1710" s="460">
        <v>40296</v>
      </c>
      <c r="S1710" s="471">
        <v>40298</v>
      </c>
      <c r="T1710" s="464">
        <v>40316</v>
      </c>
      <c r="U1710" s="1041">
        <f t="shared" si="32"/>
        <v>133</v>
      </c>
      <c r="V1710" s="446" t="s">
        <v>2246</v>
      </c>
      <c r="W1710" s="659" t="s">
        <v>2247</v>
      </c>
      <c r="X1710" s="1028"/>
      <c r="Y1710" s="1044" t="s">
        <v>2233</v>
      </c>
      <c r="Z1710" s="446">
        <v>2192839095</v>
      </c>
      <c r="AA1710" s="457" t="s">
        <v>2228</v>
      </c>
      <c r="AB1710" s="1032" t="s">
        <v>2248</v>
      </c>
      <c r="AC1710" s="644" t="s">
        <v>2230</v>
      </c>
      <c r="AD1710" s="645" t="str">
        <f t="shared" si="33"/>
        <v>atrasado</v>
      </c>
    </row>
    <row r="1711" spans="1:30" s="587" customFormat="1" ht="54.95" customHeight="1" thickBot="1" x14ac:dyDescent="0.25">
      <c r="A1711" s="584"/>
      <c r="B1711" s="455" t="s">
        <v>36</v>
      </c>
      <c r="C1711" s="455" t="s">
        <v>133</v>
      </c>
      <c r="D1711" s="456" t="s">
        <v>2205</v>
      </c>
      <c r="E1711" s="468" t="s">
        <v>2206</v>
      </c>
      <c r="F1711" s="457">
        <v>4503212658</v>
      </c>
      <c r="G1711" s="457" t="s">
        <v>39</v>
      </c>
      <c r="H1711" s="458">
        <v>162910</v>
      </c>
      <c r="I1711" s="459" t="s">
        <v>52</v>
      </c>
      <c r="J1711" s="460">
        <v>40220</v>
      </c>
      <c r="K1711" s="461">
        <v>78</v>
      </c>
      <c r="L1711" s="462">
        <f t="shared" si="30"/>
        <v>40298</v>
      </c>
      <c r="M1711" s="460" t="s">
        <v>41</v>
      </c>
      <c r="N1711" s="457" t="s">
        <v>1750</v>
      </c>
      <c r="O1711" s="460">
        <v>40298</v>
      </c>
      <c r="P1711" s="461">
        <f t="shared" si="31"/>
        <v>7</v>
      </c>
      <c r="Q1711" s="591" t="s">
        <v>2249</v>
      </c>
      <c r="R1711" s="460">
        <v>40304</v>
      </c>
      <c r="S1711" s="471">
        <v>40305</v>
      </c>
      <c r="T1711" s="464">
        <v>40322</v>
      </c>
      <c r="U1711" s="461">
        <f t="shared" si="32"/>
        <v>102</v>
      </c>
      <c r="V1711" s="468" t="s">
        <v>2250</v>
      </c>
      <c r="W1711" s="493" t="s">
        <v>2251</v>
      </c>
      <c r="X1711" s="457" t="s">
        <v>47</v>
      </c>
      <c r="Y1711" s="1044" t="s">
        <v>2252</v>
      </c>
      <c r="Z1711" s="468" t="s">
        <v>46</v>
      </c>
      <c r="AA1711" s="457" t="s">
        <v>2253</v>
      </c>
      <c r="AB1711" s="589" t="s">
        <v>2254</v>
      </c>
      <c r="AC1711" s="470" t="s">
        <v>2230</v>
      </c>
      <c r="AD1711" s="645" t="str">
        <f t="shared" si="33"/>
        <v>atrasado</v>
      </c>
    </row>
    <row r="1712" spans="1:30" s="587" customFormat="1" ht="54.95" customHeight="1" thickBot="1" x14ac:dyDescent="0.25">
      <c r="A1712" s="584"/>
      <c r="B1712" s="455" t="s">
        <v>36</v>
      </c>
      <c r="C1712" s="496" t="s">
        <v>133</v>
      </c>
      <c r="D1712" s="456" t="s">
        <v>2032</v>
      </c>
      <c r="E1712" s="468" t="s">
        <v>2166</v>
      </c>
      <c r="F1712" s="457">
        <v>4503211781</v>
      </c>
      <c r="G1712" s="457" t="s">
        <v>39</v>
      </c>
      <c r="H1712" s="458">
        <v>26481.82</v>
      </c>
      <c r="I1712" s="459" t="s">
        <v>52</v>
      </c>
      <c r="J1712" s="460">
        <v>40220</v>
      </c>
      <c r="K1712" s="461">
        <v>93</v>
      </c>
      <c r="L1712" s="462">
        <f t="shared" si="30"/>
        <v>40313</v>
      </c>
      <c r="M1712" s="460" t="s">
        <v>41</v>
      </c>
      <c r="N1712" s="457" t="s">
        <v>1750</v>
      </c>
      <c r="O1712" s="460">
        <v>40312</v>
      </c>
      <c r="P1712" s="461">
        <f t="shared" si="31"/>
        <v>6</v>
      </c>
      <c r="Q1712" s="1034" t="s">
        <v>2255</v>
      </c>
      <c r="R1712" s="1032">
        <v>40317</v>
      </c>
      <c r="S1712" s="642">
        <v>40319</v>
      </c>
      <c r="T1712" s="1031">
        <v>40336</v>
      </c>
      <c r="U1712" s="461">
        <f t="shared" si="32"/>
        <v>116</v>
      </c>
      <c r="V1712" s="468" t="s">
        <v>2256</v>
      </c>
      <c r="W1712" s="493" t="s">
        <v>2257</v>
      </c>
      <c r="X1712" s="457" t="s">
        <v>47</v>
      </c>
      <c r="Y1712" s="467"/>
      <c r="Z1712" s="468" t="s">
        <v>46</v>
      </c>
      <c r="AA1712" s="457" t="s">
        <v>2258</v>
      </c>
      <c r="AB1712" s="589" t="s">
        <v>2259</v>
      </c>
      <c r="AC1712" s="470"/>
      <c r="AD1712" s="645" t="str">
        <f t="shared" si="33"/>
        <v>atrasado</v>
      </c>
    </row>
    <row r="1713" spans="1:31" s="587" customFormat="1" ht="54.95" customHeight="1" thickBot="1" x14ac:dyDescent="0.25">
      <c r="A1713" s="584"/>
      <c r="B1713" s="1043" t="s">
        <v>36</v>
      </c>
      <c r="C1713" s="690" t="s">
        <v>133</v>
      </c>
      <c r="D1713" s="1044" t="s">
        <v>2032</v>
      </c>
      <c r="E1713" s="446" t="s">
        <v>2166</v>
      </c>
      <c r="F1713" s="1028">
        <v>4503242139</v>
      </c>
      <c r="G1713" s="1028" t="s">
        <v>39</v>
      </c>
      <c r="H1713" s="1029">
        <v>29485.15</v>
      </c>
      <c r="I1713" s="1033" t="s">
        <v>52</v>
      </c>
      <c r="J1713" s="1032">
        <v>40241</v>
      </c>
      <c r="K1713" s="1041">
        <v>83</v>
      </c>
      <c r="L1713" s="641">
        <f t="shared" si="30"/>
        <v>40324</v>
      </c>
      <c r="M1713" s="1032" t="s">
        <v>41</v>
      </c>
      <c r="N1713" s="1028" t="s">
        <v>1750</v>
      </c>
      <c r="O1713" s="1032">
        <v>40312</v>
      </c>
      <c r="P1713" s="1041">
        <f t="shared" si="31"/>
        <v>-5</v>
      </c>
      <c r="Q1713" s="1034" t="s">
        <v>2255</v>
      </c>
      <c r="R1713" s="1032">
        <v>40317</v>
      </c>
      <c r="S1713" s="642">
        <v>40319</v>
      </c>
      <c r="T1713" s="1031">
        <v>40336</v>
      </c>
      <c r="U1713" s="1041">
        <f t="shared" si="32"/>
        <v>95</v>
      </c>
      <c r="V1713" s="446" t="s">
        <v>2260</v>
      </c>
      <c r="W1713" s="659" t="s">
        <v>2261</v>
      </c>
      <c r="X1713" s="1028" t="s">
        <v>47</v>
      </c>
      <c r="Y1713" s="643"/>
      <c r="Z1713" s="468" t="s">
        <v>46</v>
      </c>
      <c r="AA1713" s="457" t="s">
        <v>2258</v>
      </c>
      <c r="AB1713" s="1032" t="s">
        <v>47</v>
      </c>
      <c r="AC1713" s="644"/>
      <c r="AD1713" s="645" t="str">
        <f t="shared" si="33"/>
        <v>en término</v>
      </c>
    </row>
    <row r="1714" spans="1:31" s="587" customFormat="1" ht="54.95" customHeight="1" thickBot="1" x14ac:dyDescent="0.25">
      <c r="A1714" s="584"/>
      <c r="B1714" s="455" t="s">
        <v>36</v>
      </c>
      <c r="C1714" s="455" t="s">
        <v>133</v>
      </c>
      <c r="D1714" s="456" t="s">
        <v>2205</v>
      </c>
      <c r="E1714" s="468" t="s">
        <v>2206</v>
      </c>
      <c r="F1714" s="457">
        <v>4503262521</v>
      </c>
      <c r="G1714" s="457" t="s">
        <v>39</v>
      </c>
      <c r="H1714" s="458">
        <v>1547.18</v>
      </c>
      <c r="I1714" s="459" t="s">
        <v>142</v>
      </c>
      <c r="J1714" s="460">
        <v>40256</v>
      </c>
      <c r="K1714" s="461">
        <v>63</v>
      </c>
      <c r="L1714" s="462">
        <f t="shared" si="30"/>
        <v>40319</v>
      </c>
      <c r="M1714" s="460" t="s">
        <v>41</v>
      </c>
      <c r="N1714" s="457" t="s">
        <v>1750</v>
      </c>
      <c r="O1714" s="460">
        <v>40312</v>
      </c>
      <c r="P1714" s="461">
        <f t="shared" si="31"/>
        <v>0</v>
      </c>
      <c r="Q1714" s="1034" t="s">
        <v>2255</v>
      </c>
      <c r="R1714" s="1032">
        <v>40317</v>
      </c>
      <c r="S1714" s="642">
        <v>40319</v>
      </c>
      <c r="T1714" s="1031">
        <v>40336</v>
      </c>
      <c r="U1714" s="461">
        <f t="shared" si="32"/>
        <v>80</v>
      </c>
      <c r="V1714" s="468" t="s">
        <v>2262</v>
      </c>
      <c r="W1714" s="493" t="s">
        <v>2263</v>
      </c>
      <c r="X1714" s="457"/>
      <c r="Y1714" s="703"/>
      <c r="Z1714" s="468" t="s">
        <v>46</v>
      </c>
      <c r="AA1714" s="457" t="s">
        <v>2258</v>
      </c>
      <c r="AB1714" s="460" t="s">
        <v>2264</v>
      </c>
      <c r="AC1714" s="470"/>
      <c r="AD1714" s="645" t="str">
        <f t="shared" si="33"/>
        <v>en término</v>
      </c>
    </row>
    <row r="1715" spans="1:31" s="587" customFormat="1" ht="54.95" customHeight="1" thickBot="1" x14ac:dyDescent="0.25">
      <c r="A1715" s="584"/>
      <c r="B1715" s="455" t="s">
        <v>36</v>
      </c>
      <c r="C1715" s="455" t="s">
        <v>133</v>
      </c>
      <c r="D1715" s="456" t="s">
        <v>2205</v>
      </c>
      <c r="E1715" s="468" t="s">
        <v>2206</v>
      </c>
      <c r="F1715" s="457">
        <v>4503264751</v>
      </c>
      <c r="G1715" s="457" t="s">
        <v>39</v>
      </c>
      <c r="H1715" s="458">
        <v>22014.44</v>
      </c>
      <c r="I1715" s="459" t="s">
        <v>62</v>
      </c>
      <c r="J1715" s="460">
        <v>40259</v>
      </c>
      <c r="K1715" s="461">
        <v>60</v>
      </c>
      <c r="L1715" s="462">
        <f t="shared" si="30"/>
        <v>40319</v>
      </c>
      <c r="M1715" s="460" t="s">
        <v>41</v>
      </c>
      <c r="N1715" s="457" t="s">
        <v>1750</v>
      </c>
      <c r="O1715" s="460">
        <v>40312</v>
      </c>
      <c r="P1715" s="461">
        <f t="shared" si="31"/>
        <v>0</v>
      </c>
      <c r="Q1715" s="1034" t="s">
        <v>2255</v>
      </c>
      <c r="R1715" s="1032">
        <v>40317</v>
      </c>
      <c r="S1715" s="642">
        <v>40319</v>
      </c>
      <c r="T1715" s="1031">
        <v>40336</v>
      </c>
      <c r="U1715" s="461">
        <f t="shared" si="32"/>
        <v>77</v>
      </c>
      <c r="V1715" s="468" t="s">
        <v>925</v>
      </c>
      <c r="W1715" s="493" t="s">
        <v>2265</v>
      </c>
      <c r="X1715" s="457" t="s">
        <v>47</v>
      </c>
      <c r="Y1715" s="456"/>
      <c r="Z1715" s="468" t="s">
        <v>46</v>
      </c>
      <c r="AA1715" s="457" t="s">
        <v>2258</v>
      </c>
      <c r="AB1715" s="589" t="s">
        <v>2266</v>
      </c>
      <c r="AC1715" s="470"/>
      <c r="AD1715" s="645" t="str">
        <f t="shared" si="33"/>
        <v>en término</v>
      </c>
    </row>
    <row r="1716" spans="1:31" s="587" customFormat="1" ht="54.95" customHeight="1" thickBot="1" x14ac:dyDescent="0.25">
      <c r="A1716" s="584"/>
      <c r="B1716" s="455" t="s">
        <v>36</v>
      </c>
      <c r="C1716" s="455" t="s">
        <v>133</v>
      </c>
      <c r="D1716" s="456" t="s">
        <v>2205</v>
      </c>
      <c r="E1716" s="468" t="s">
        <v>2206</v>
      </c>
      <c r="F1716" s="457">
        <v>4503247955</v>
      </c>
      <c r="G1716" s="457" t="s">
        <v>39</v>
      </c>
      <c r="H1716" s="458">
        <v>13275.28</v>
      </c>
      <c r="I1716" s="459" t="s">
        <v>52</v>
      </c>
      <c r="J1716" s="460">
        <v>40246</v>
      </c>
      <c r="K1716" s="461">
        <v>70</v>
      </c>
      <c r="L1716" s="462">
        <f t="shared" si="30"/>
        <v>40316</v>
      </c>
      <c r="M1716" s="460" t="s">
        <v>41</v>
      </c>
      <c r="N1716" s="457" t="s">
        <v>1750</v>
      </c>
      <c r="O1716" s="460">
        <v>40312</v>
      </c>
      <c r="P1716" s="461">
        <f t="shared" si="31"/>
        <v>3</v>
      </c>
      <c r="Q1716" s="1034" t="s">
        <v>2255</v>
      </c>
      <c r="R1716" s="1032">
        <v>40317</v>
      </c>
      <c r="S1716" s="642">
        <v>40319</v>
      </c>
      <c r="T1716" s="1031">
        <v>40336</v>
      </c>
      <c r="U1716" s="461">
        <f t="shared" si="32"/>
        <v>90</v>
      </c>
      <c r="V1716" s="468" t="s">
        <v>53</v>
      </c>
      <c r="W1716" s="493" t="s">
        <v>2267</v>
      </c>
      <c r="X1716" s="457"/>
      <c r="Y1716" s="703"/>
      <c r="Z1716" s="468" t="s">
        <v>46</v>
      </c>
      <c r="AA1716" s="457" t="s">
        <v>2258</v>
      </c>
      <c r="AB1716" s="589" t="s">
        <v>2268</v>
      </c>
      <c r="AC1716" s="470"/>
      <c r="AD1716" s="645" t="str">
        <f t="shared" si="33"/>
        <v>atrasado</v>
      </c>
    </row>
    <row r="1717" spans="1:31" s="587" customFormat="1" ht="54.95" customHeight="1" thickBot="1" x14ac:dyDescent="0.25">
      <c r="A1717" s="584"/>
      <c r="B1717" s="455" t="s">
        <v>36</v>
      </c>
      <c r="C1717" s="455" t="s">
        <v>37</v>
      </c>
      <c r="D1717" s="456" t="s">
        <v>2080</v>
      </c>
      <c r="E1717" s="501" t="s">
        <v>2269</v>
      </c>
      <c r="F1717" s="457">
        <v>10030002</v>
      </c>
      <c r="G1717" s="457" t="s">
        <v>1192</v>
      </c>
      <c r="H1717" s="458">
        <v>23781</v>
      </c>
      <c r="I1717" s="459" t="s">
        <v>40</v>
      </c>
      <c r="J1717" s="460">
        <v>40240</v>
      </c>
      <c r="K1717" s="461">
        <v>90</v>
      </c>
      <c r="L1717" s="462">
        <f t="shared" si="30"/>
        <v>40330</v>
      </c>
      <c r="M1717" s="460" t="s">
        <v>41</v>
      </c>
      <c r="N1717" s="457" t="s">
        <v>1750</v>
      </c>
      <c r="O1717" s="460">
        <v>40312</v>
      </c>
      <c r="P1717" s="461">
        <f t="shared" si="31"/>
        <v>-11</v>
      </c>
      <c r="Q1717" s="1034" t="s">
        <v>2255</v>
      </c>
      <c r="R1717" s="1032">
        <v>40317</v>
      </c>
      <c r="S1717" s="642">
        <v>40319</v>
      </c>
      <c r="T1717" s="1031">
        <v>40336</v>
      </c>
      <c r="U1717" s="461">
        <f t="shared" si="32"/>
        <v>96</v>
      </c>
      <c r="V1717" s="468" t="s">
        <v>1991</v>
      </c>
      <c r="W1717" s="493" t="s">
        <v>2270</v>
      </c>
      <c r="X1717" s="467"/>
      <c r="Y1717" s="592"/>
      <c r="Z1717" s="468" t="s">
        <v>46</v>
      </c>
      <c r="AA1717" s="457" t="s">
        <v>2271</v>
      </c>
      <c r="AB1717" s="460" t="s">
        <v>47</v>
      </c>
      <c r="AC1717" s="722" t="s">
        <v>2272</v>
      </c>
      <c r="AD1717" s="645" t="str">
        <f t="shared" si="33"/>
        <v>en término</v>
      </c>
    </row>
    <row r="1718" spans="1:31" s="587" customFormat="1" ht="54.95" customHeight="1" thickBot="1" x14ac:dyDescent="0.25">
      <c r="A1718" s="584"/>
      <c r="B1718" s="455" t="s">
        <v>36</v>
      </c>
      <c r="C1718" s="455" t="s">
        <v>133</v>
      </c>
      <c r="D1718" s="456" t="s">
        <v>2205</v>
      </c>
      <c r="E1718" s="468" t="s">
        <v>2206</v>
      </c>
      <c r="F1718" s="457">
        <v>4503241771</v>
      </c>
      <c r="G1718" s="457" t="s">
        <v>39</v>
      </c>
      <c r="H1718" s="458">
        <v>163145</v>
      </c>
      <c r="I1718" s="459" t="s">
        <v>52</v>
      </c>
      <c r="J1718" s="460">
        <v>40241</v>
      </c>
      <c r="K1718" s="461">
        <v>68</v>
      </c>
      <c r="L1718" s="462">
        <f t="shared" si="30"/>
        <v>40309</v>
      </c>
      <c r="M1718" s="460" t="s">
        <v>41</v>
      </c>
      <c r="N1718" s="457" t="s">
        <v>1750</v>
      </c>
      <c r="O1718" s="460">
        <v>40326</v>
      </c>
      <c r="P1718" s="461">
        <f t="shared" si="31"/>
        <v>25</v>
      </c>
      <c r="Q1718" s="591" t="s">
        <v>2273</v>
      </c>
      <c r="R1718" s="460">
        <v>40331</v>
      </c>
      <c r="S1718" s="471">
        <v>40334</v>
      </c>
      <c r="T1718" s="464">
        <v>40350</v>
      </c>
      <c r="U1718" s="461">
        <f t="shared" si="32"/>
        <v>109</v>
      </c>
      <c r="V1718" s="468" t="s">
        <v>2274</v>
      </c>
      <c r="W1718" s="493" t="s">
        <v>2275</v>
      </c>
      <c r="X1718" s="457" t="s">
        <v>47</v>
      </c>
      <c r="Y1718" s="456" t="s">
        <v>2276</v>
      </c>
      <c r="Z1718" s="468" t="s">
        <v>46</v>
      </c>
      <c r="AA1718" s="457" t="s">
        <v>47</v>
      </c>
      <c r="AB1718" s="589" t="s">
        <v>2277</v>
      </c>
      <c r="AC1718" s="470"/>
      <c r="AD1718" s="645" t="str">
        <f t="shared" si="33"/>
        <v>atrasado</v>
      </c>
    </row>
    <row r="1719" spans="1:31" s="719" customFormat="1" ht="54.95" customHeight="1" thickBot="1" x14ac:dyDescent="0.25">
      <c r="A1719" s="705"/>
      <c r="B1719" s="706" t="s">
        <v>36</v>
      </c>
      <c r="C1719" s="706" t="s">
        <v>133</v>
      </c>
      <c r="D1719" s="707" t="s">
        <v>2205</v>
      </c>
      <c r="E1719" s="708" t="s">
        <v>2206</v>
      </c>
      <c r="F1719" s="709">
        <v>4503336645</v>
      </c>
      <c r="G1719" s="709" t="s">
        <v>39</v>
      </c>
      <c r="H1719" s="710">
        <v>13432.5</v>
      </c>
      <c r="I1719" s="711" t="s">
        <v>62</v>
      </c>
      <c r="J1719" s="704">
        <v>40301</v>
      </c>
      <c r="K1719" s="712">
        <v>65</v>
      </c>
      <c r="L1719" s="642">
        <f t="shared" si="30"/>
        <v>40366</v>
      </c>
      <c r="M1719" s="704" t="s">
        <v>41</v>
      </c>
      <c r="N1719" s="709" t="s">
        <v>1750</v>
      </c>
      <c r="O1719" s="704">
        <v>40354</v>
      </c>
      <c r="P1719" s="461" t="str">
        <f t="shared" si="31"/>
        <v/>
      </c>
      <c r="Q1719" s="713"/>
      <c r="R1719" s="704"/>
      <c r="S1719" s="642"/>
      <c r="T1719" s="1031"/>
      <c r="U1719" s="712" t="str">
        <f t="shared" si="32"/>
        <v/>
      </c>
      <c r="V1719" s="708" t="s">
        <v>2278</v>
      </c>
      <c r="W1719" s="714"/>
      <c r="X1719" s="709"/>
      <c r="Y1719" s="715"/>
      <c r="Z1719" s="708"/>
      <c r="AA1719" s="709"/>
      <c r="AB1719" s="704" t="str">
        <f>IF(S1719="","",IF('o.c.'!$Z$1&lt;(S1719+60),(S1719+60),"VENCIDA"))</f>
        <v/>
      </c>
      <c r="AC1719" s="716" t="s">
        <v>2279</v>
      </c>
      <c r="AD1719" s="717"/>
      <c r="AE1719" s="718" t="str">
        <f>IF(P1719="","",IF(P1719&lt;=0,"en término","atrasado"))</f>
        <v/>
      </c>
    </row>
    <row r="1720" spans="1:31" s="587" customFormat="1" ht="54.95" customHeight="1" thickBot="1" x14ac:dyDescent="0.25">
      <c r="A1720" s="584"/>
      <c r="B1720" s="1043" t="s">
        <v>36</v>
      </c>
      <c r="C1720" s="1043" t="s">
        <v>133</v>
      </c>
      <c r="D1720" s="1044" t="s">
        <v>2205</v>
      </c>
      <c r="E1720" s="446" t="s">
        <v>2206</v>
      </c>
      <c r="F1720" s="1028">
        <v>4503242729</v>
      </c>
      <c r="G1720" s="1028" t="s">
        <v>39</v>
      </c>
      <c r="H1720" s="1029">
        <v>169351</v>
      </c>
      <c r="I1720" s="1033" t="s">
        <v>142</v>
      </c>
      <c r="J1720" s="1032">
        <v>40241</v>
      </c>
      <c r="K1720" s="1041">
        <v>103</v>
      </c>
      <c r="L1720" s="641">
        <f t="shared" si="30"/>
        <v>40344</v>
      </c>
      <c r="M1720" s="1032" t="s">
        <v>41</v>
      </c>
      <c r="N1720" s="1028" t="s">
        <v>1750</v>
      </c>
      <c r="O1720" s="1032">
        <v>40333</v>
      </c>
      <c r="P1720" s="1041">
        <f t="shared" si="31"/>
        <v>-3</v>
      </c>
      <c r="Q1720" s="1034" t="s">
        <v>2280</v>
      </c>
      <c r="R1720" s="1032">
        <v>40338</v>
      </c>
      <c r="S1720" s="642">
        <v>40341</v>
      </c>
      <c r="T1720" s="1031">
        <v>40358</v>
      </c>
      <c r="U1720" s="1041">
        <f t="shared" si="32"/>
        <v>117</v>
      </c>
      <c r="V1720" s="446" t="s">
        <v>2281</v>
      </c>
      <c r="W1720" s="659" t="s">
        <v>2282</v>
      </c>
      <c r="X1720" s="1028"/>
      <c r="Y1720" s="1044" t="s">
        <v>2043</v>
      </c>
      <c r="Z1720" s="446">
        <v>2192839084</v>
      </c>
      <c r="AA1720" s="457" t="s">
        <v>47</v>
      </c>
      <c r="AB1720" s="1032" t="s">
        <v>2283</v>
      </c>
      <c r="AC1720" s="644"/>
      <c r="AD1720" s="645" t="str">
        <f t="shared" ref="AD1720:AD1751" si="34">IF(P1720="","",IF(P1720&lt;=0,"en término","atrasado"))</f>
        <v>en término</v>
      </c>
    </row>
    <row r="1721" spans="1:31" s="587" customFormat="1" ht="54.95" customHeight="1" thickBot="1" x14ac:dyDescent="0.25">
      <c r="A1721" s="584"/>
      <c r="B1721" s="455" t="s">
        <v>36</v>
      </c>
      <c r="C1721" s="496" t="s">
        <v>133</v>
      </c>
      <c r="D1721" s="456" t="s">
        <v>2032</v>
      </c>
      <c r="E1721" s="468" t="s">
        <v>2166</v>
      </c>
      <c r="F1721" s="457">
        <v>4503298114</v>
      </c>
      <c r="G1721" s="457" t="s">
        <v>39</v>
      </c>
      <c r="H1721" s="458">
        <v>5630.4</v>
      </c>
      <c r="I1721" s="459" t="s">
        <v>62</v>
      </c>
      <c r="J1721" s="460">
        <v>40277</v>
      </c>
      <c r="K1721" s="461">
        <v>94</v>
      </c>
      <c r="L1721" s="462">
        <f t="shared" ref="L1721:L1746" si="35">+J1721+K1721</f>
        <v>40371</v>
      </c>
      <c r="M1721" s="460" t="s">
        <v>41</v>
      </c>
      <c r="N1721" s="457" t="s">
        <v>1750</v>
      </c>
      <c r="O1721" s="460">
        <v>40353</v>
      </c>
      <c r="P1721" s="461">
        <f t="shared" ref="P1721:P1752" si="36">IF(S1721="","",+S1721-L1721)</f>
        <v>-10</v>
      </c>
      <c r="Q1721" s="1034" t="s">
        <v>2284</v>
      </c>
      <c r="R1721" s="1032">
        <v>40359</v>
      </c>
      <c r="S1721" s="642">
        <v>40361</v>
      </c>
      <c r="T1721" s="1031">
        <v>40371</v>
      </c>
      <c r="U1721" s="461">
        <f t="shared" ref="U1721:U1752" si="37">IF(T1721="","",+T1721-J1721)</f>
        <v>94</v>
      </c>
      <c r="V1721" s="468" t="s">
        <v>2285</v>
      </c>
      <c r="W1721" s="493" t="s">
        <v>2286</v>
      </c>
      <c r="X1721" s="457" t="s">
        <v>47</v>
      </c>
      <c r="Y1721" s="467"/>
      <c r="Z1721" s="468" t="s">
        <v>46</v>
      </c>
      <c r="AA1721" s="457" t="s">
        <v>47</v>
      </c>
      <c r="AB1721" s="460" t="s">
        <v>2287</v>
      </c>
      <c r="AC1721" s="470"/>
      <c r="AD1721" s="645" t="str">
        <f t="shared" si="34"/>
        <v>en término</v>
      </c>
    </row>
    <row r="1722" spans="1:31" s="587" customFormat="1" ht="54.95" customHeight="1" thickBot="1" x14ac:dyDescent="0.25">
      <c r="A1722" s="584"/>
      <c r="B1722" s="455" t="s">
        <v>36</v>
      </c>
      <c r="C1722" s="455" t="s">
        <v>133</v>
      </c>
      <c r="D1722" s="456" t="s">
        <v>2205</v>
      </c>
      <c r="E1722" s="468" t="s">
        <v>2206</v>
      </c>
      <c r="F1722" s="457">
        <v>4503356683</v>
      </c>
      <c r="G1722" s="457" t="s">
        <v>39</v>
      </c>
      <c r="H1722" s="458">
        <v>360.73</v>
      </c>
      <c r="I1722" s="459" t="s">
        <v>62</v>
      </c>
      <c r="J1722" s="460">
        <v>40315</v>
      </c>
      <c r="K1722" s="461">
        <v>64</v>
      </c>
      <c r="L1722" s="462">
        <f t="shared" si="35"/>
        <v>40379</v>
      </c>
      <c r="M1722" s="460" t="s">
        <v>41</v>
      </c>
      <c r="N1722" s="457" t="s">
        <v>1750</v>
      </c>
      <c r="O1722" s="460">
        <v>40353</v>
      </c>
      <c r="P1722" s="461">
        <f t="shared" si="36"/>
        <v>-18</v>
      </c>
      <c r="Q1722" s="1034" t="s">
        <v>2284</v>
      </c>
      <c r="R1722" s="1032">
        <v>40359</v>
      </c>
      <c r="S1722" s="642">
        <v>40361</v>
      </c>
      <c r="T1722" s="1031">
        <v>40371</v>
      </c>
      <c r="U1722" s="461">
        <f t="shared" si="37"/>
        <v>56</v>
      </c>
      <c r="V1722" s="468" t="s">
        <v>2288</v>
      </c>
      <c r="W1722" s="493" t="s">
        <v>2289</v>
      </c>
      <c r="X1722" s="457"/>
      <c r="Y1722" s="703"/>
      <c r="Z1722" s="468" t="s">
        <v>46</v>
      </c>
      <c r="AA1722" s="457" t="s">
        <v>47</v>
      </c>
      <c r="AB1722" s="460" t="s">
        <v>2248</v>
      </c>
      <c r="AC1722" s="470"/>
      <c r="AD1722" s="645" t="str">
        <f t="shared" si="34"/>
        <v>en término</v>
      </c>
    </row>
    <row r="1723" spans="1:31" s="587" customFormat="1" ht="54.95" customHeight="1" thickBot="1" x14ac:dyDescent="0.25">
      <c r="A1723" s="584"/>
      <c r="B1723" s="455" t="s">
        <v>36</v>
      </c>
      <c r="C1723" s="496" t="s">
        <v>133</v>
      </c>
      <c r="D1723" s="456" t="s">
        <v>2032</v>
      </c>
      <c r="E1723" s="468" t="s">
        <v>2166</v>
      </c>
      <c r="F1723" s="457">
        <v>4503303628</v>
      </c>
      <c r="G1723" s="457" t="s">
        <v>39</v>
      </c>
      <c r="H1723" s="458">
        <v>8563.6</v>
      </c>
      <c r="I1723" s="459" t="s">
        <v>52</v>
      </c>
      <c r="J1723" s="460">
        <v>40282</v>
      </c>
      <c r="K1723" s="461">
        <v>84</v>
      </c>
      <c r="L1723" s="462">
        <f t="shared" si="35"/>
        <v>40366</v>
      </c>
      <c r="M1723" s="460" t="s">
        <v>41</v>
      </c>
      <c r="N1723" s="457" t="s">
        <v>1750</v>
      </c>
      <c r="O1723" s="460">
        <v>40353</v>
      </c>
      <c r="P1723" s="461">
        <f t="shared" si="36"/>
        <v>-5</v>
      </c>
      <c r="Q1723" s="1034" t="s">
        <v>2284</v>
      </c>
      <c r="R1723" s="1032">
        <v>40359</v>
      </c>
      <c r="S1723" s="642">
        <v>40361</v>
      </c>
      <c r="T1723" s="1031">
        <v>40371</v>
      </c>
      <c r="U1723" s="461">
        <f t="shared" si="37"/>
        <v>89</v>
      </c>
      <c r="V1723" s="468" t="s">
        <v>2290</v>
      </c>
      <c r="W1723" s="493" t="s">
        <v>2291</v>
      </c>
      <c r="X1723" s="457"/>
      <c r="Y1723" s="467"/>
      <c r="Z1723" s="468" t="s">
        <v>46</v>
      </c>
      <c r="AA1723" s="457" t="s">
        <v>47</v>
      </c>
      <c r="AB1723" s="460" t="s">
        <v>2292</v>
      </c>
      <c r="AC1723" s="470"/>
      <c r="AD1723" s="645" t="str">
        <f t="shared" si="34"/>
        <v>en término</v>
      </c>
    </row>
    <row r="1724" spans="1:31" s="587" customFormat="1" ht="54.95" customHeight="1" thickBot="1" x14ac:dyDescent="0.25">
      <c r="A1724" s="584"/>
      <c r="B1724" s="1043" t="s">
        <v>36</v>
      </c>
      <c r="C1724" s="1043" t="s">
        <v>133</v>
      </c>
      <c r="D1724" s="1044" t="s">
        <v>2205</v>
      </c>
      <c r="E1724" s="446" t="s">
        <v>2206</v>
      </c>
      <c r="F1724" s="1028">
        <v>4503297747</v>
      </c>
      <c r="G1724" s="1028" t="s">
        <v>39</v>
      </c>
      <c r="H1724" s="1029">
        <v>22593.93</v>
      </c>
      <c r="I1724" s="1033" t="s">
        <v>62</v>
      </c>
      <c r="J1724" s="1032">
        <v>40277</v>
      </c>
      <c r="K1724" s="1041">
        <v>93</v>
      </c>
      <c r="L1724" s="641">
        <f t="shared" si="35"/>
        <v>40370</v>
      </c>
      <c r="M1724" s="1032" t="s">
        <v>41</v>
      </c>
      <c r="N1724" s="1028" t="s">
        <v>1750</v>
      </c>
      <c r="O1724" s="1032">
        <v>40353</v>
      </c>
      <c r="P1724" s="1041">
        <f t="shared" si="36"/>
        <v>-9</v>
      </c>
      <c r="Q1724" s="1034" t="s">
        <v>2284</v>
      </c>
      <c r="R1724" s="1032">
        <v>40359</v>
      </c>
      <c r="S1724" s="642">
        <v>40361</v>
      </c>
      <c r="T1724" s="1031">
        <v>40371</v>
      </c>
      <c r="U1724" s="1041">
        <f t="shared" si="37"/>
        <v>94</v>
      </c>
      <c r="V1724" s="446" t="s">
        <v>70</v>
      </c>
      <c r="W1724" s="659" t="s">
        <v>2293</v>
      </c>
      <c r="X1724" s="1028" t="s">
        <v>47</v>
      </c>
      <c r="Y1724" s="456" t="s">
        <v>2294</v>
      </c>
      <c r="Z1724" s="446" t="s">
        <v>46</v>
      </c>
      <c r="AA1724" s="457" t="s">
        <v>47</v>
      </c>
      <c r="AB1724" s="460" t="s">
        <v>2287</v>
      </c>
      <c r="AC1724" s="644"/>
      <c r="AD1724" s="645" t="str">
        <f t="shared" si="34"/>
        <v>en término</v>
      </c>
    </row>
    <row r="1725" spans="1:31" s="587" customFormat="1" ht="54.95" customHeight="1" thickBot="1" x14ac:dyDescent="0.25">
      <c r="A1725" s="584"/>
      <c r="B1725" s="455" t="s">
        <v>36</v>
      </c>
      <c r="C1725" s="455" t="s">
        <v>133</v>
      </c>
      <c r="D1725" s="456" t="s">
        <v>2205</v>
      </c>
      <c r="E1725" s="468" t="s">
        <v>2206</v>
      </c>
      <c r="F1725" s="457">
        <v>4503303970</v>
      </c>
      <c r="G1725" s="457" t="s">
        <v>39</v>
      </c>
      <c r="H1725" s="458">
        <v>181977.22</v>
      </c>
      <c r="I1725" s="459" t="s">
        <v>52</v>
      </c>
      <c r="J1725" s="460">
        <v>40282</v>
      </c>
      <c r="K1725" s="461">
        <v>76</v>
      </c>
      <c r="L1725" s="462">
        <f t="shared" si="35"/>
        <v>40358</v>
      </c>
      <c r="M1725" s="460" t="s">
        <v>41</v>
      </c>
      <c r="N1725" s="457" t="s">
        <v>1750</v>
      </c>
      <c r="O1725" s="460">
        <v>40353</v>
      </c>
      <c r="P1725" s="461">
        <f t="shared" si="36"/>
        <v>3</v>
      </c>
      <c r="Q1725" s="1034" t="s">
        <v>2284</v>
      </c>
      <c r="R1725" s="1032">
        <v>40359</v>
      </c>
      <c r="S1725" s="642">
        <v>40361</v>
      </c>
      <c r="T1725" s="1031">
        <v>40371</v>
      </c>
      <c r="U1725" s="461">
        <f t="shared" si="37"/>
        <v>89</v>
      </c>
      <c r="V1725" s="468" t="s">
        <v>2250</v>
      </c>
      <c r="W1725" s="493" t="s">
        <v>2295</v>
      </c>
      <c r="X1725" s="457"/>
      <c r="Y1725" s="456" t="s">
        <v>2294</v>
      </c>
      <c r="Z1725" s="468" t="s">
        <v>46</v>
      </c>
      <c r="AA1725" s="457" t="s">
        <v>47</v>
      </c>
      <c r="AB1725" s="589" t="s">
        <v>2296</v>
      </c>
      <c r="AC1725" s="470"/>
      <c r="AD1725" s="645" t="str">
        <f t="shared" si="34"/>
        <v>atrasado</v>
      </c>
    </row>
    <row r="1726" spans="1:31" s="587" customFormat="1" ht="54.95" customHeight="1" thickBot="1" x14ac:dyDescent="0.25">
      <c r="A1726" s="584"/>
      <c r="B1726" s="1043" t="s">
        <v>36</v>
      </c>
      <c r="C1726" s="1043" t="s">
        <v>133</v>
      </c>
      <c r="D1726" s="1044" t="s">
        <v>1958</v>
      </c>
      <c r="E1726" s="446" t="s">
        <v>1959</v>
      </c>
      <c r="F1726" s="1028">
        <v>4503263108</v>
      </c>
      <c r="G1726" s="1028" t="s">
        <v>39</v>
      </c>
      <c r="H1726" s="1029">
        <v>63195.05</v>
      </c>
      <c r="I1726" s="1033" t="s">
        <v>52</v>
      </c>
      <c r="J1726" s="1032">
        <v>40256</v>
      </c>
      <c r="K1726" s="1041">
        <v>103</v>
      </c>
      <c r="L1726" s="641">
        <f t="shared" si="35"/>
        <v>40359</v>
      </c>
      <c r="M1726" s="1032" t="s">
        <v>41</v>
      </c>
      <c r="N1726" s="1028" t="s">
        <v>1750</v>
      </c>
      <c r="O1726" s="1032">
        <v>40358</v>
      </c>
      <c r="P1726" s="1041">
        <f t="shared" si="36"/>
        <v>9</v>
      </c>
      <c r="Q1726" s="1034" t="s">
        <v>2297</v>
      </c>
      <c r="R1726" s="1032">
        <v>40366</v>
      </c>
      <c r="S1726" s="642">
        <v>40368</v>
      </c>
      <c r="T1726" s="1031">
        <v>40387</v>
      </c>
      <c r="U1726" s="1041">
        <f t="shared" si="37"/>
        <v>131</v>
      </c>
      <c r="V1726" s="446" t="s">
        <v>53</v>
      </c>
      <c r="W1726" s="659" t="s">
        <v>2298</v>
      </c>
      <c r="X1726" s="1028"/>
      <c r="Y1726" s="643"/>
      <c r="Z1726" s="1028" t="s">
        <v>46</v>
      </c>
      <c r="AA1726" s="457" t="s">
        <v>47</v>
      </c>
      <c r="AB1726" s="1039" t="s">
        <v>2299</v>
      </c>
      <c r="AC1726" s="644" t="s">
        <v>2300</v>
      </c>
      <c r="AD1726" s="645" t="str">
        <f t="shared" si="34"/>
        <v>atrasado</v>
      </c>
    </row>
    <row r="1727" spans="1:31" s="587" customFormat="1" ht="54.95" customHeight="1" thickBot="1" x14ac:dyDescent="0.25">
      <c r="A1727" s="584"/>
      <c r="B1727" s="1043" t="s">
        <v>36</v>
      </c>
      <c r="C1727" s="1043" t="s">
        <v>133</v>
      </c>
      <c r="D1727" s="1044" t="s">
        <v>2205</v>
      </c>
      <c r="E1727" s="446" t="s">
        <v>2206</v>
      </c>
      <c r="F1727" s="1028">
        <v>4503295465</v>
      </c>
      <c r="G1727" s="1028" t="s">
        <v>39</v>
      </c>
      <c r="H1727" s="1029">
        <v>104030.79</v>
      </c>
      <c r="I1727" s="1033" t="s">
        <v>62</v>
      </c>
      <c r="J1727" s="1032">
        <v>40276</v>
      </c>
      <c r="K1727" s="1041">
        <v>105</v>
      </c>
      <c r="L1727" s="641">
        <f t="shared" si="35"/>
        <v>40381</v>
      </c>
      <c r="M1727" s="1032" t="s">
        <v>41</v>
      </c>
      <c r="N1727" s="1028" t="s">
        <v>1750</v>
      </c>
      <c r="O1727" s="1032">
        <v>40367</v>
      </c>
      <c r="P1727" s="1041">
        <f t="shared" si="36"/>
        <v>-4</v>
      </c>
      <c r="Q1727" s="1034" t="s">
        <v>2301</v>
      </c>
      <c r="R1727" s="1032">
        <v>40373</v>
      </c>
      <c r="S1727" s="642">
        <v>40377</v>
      </c>
      <c r="T1727" s="1031">
        <v>40385</v>
      </c>
      <c r="U1727" s="1041">
        <f t="shared" si="37"/>
        <v>109</v>
      </c>
      <c r="V1727" s="446" t="s">
        <v>1332</v>
      </c>
      <c r="W1727" s="659" t="s">
        <v>2302</v>
      </c>
      <c r="X1727" s="1028"/>
      <c r="Y1727" s="1028" t="s">
        <v>2303</v>
      </c>
      <c r="Z1727" s="446" t="s">
        <v>46</v>
      </c>
      <c r="AA1727" s="1028" t="s">
        <v>47</v>
      </c>
      <c r="AB1727" s="1032" t="s">
        <v>2304</v>
      </c>
      <c r="AC1727" s="644"/>
      <c r="AD1727" s="645" t="str">
        <f t="shared" si="34"/>
        <v>en término</v>
      </c>
    </row>
    <row r="1728" spans="1:31" s="587" customFormat="1" ht="54.95" customHeight="1" thickBot="1" x14ac:dyDescent="0.25">
      <c r="A1728" s="584"/>
      <c r="B1728" s="455" t="s">
        <v>36</v>
      </c>
      <c r="C1728" s="455" t="s">
        <v>133</v>
      </c>
      <c r="D1728" s="456" t="s">
        <v>2205</v>
      </c>
      <c r="E1728" s="468" t="s">
        <v>2206</v>
      </c>
      <c r="F1728" s="457">
        <v>4503364502</v>
      </c>
      <c r="G1728" s="457" t="s">
        <v>39</v>
      </c>
      <c r="H1728" s="458">
        <v>3010.83</v>
      </c>
      <c r="I1728" s="459" t="s">
        <v>142</v>
      </c>
      <c r="J1728" s="460">
        <v>40339</v>
      </c>
      <c r="K1728" s="461">
        <v>60</v>
      </c>
      <c r="L1728" s="462">
        <f t="shared" si="35"/>
        <v>40399</v>
      </c>
      <c r="M1728" s="460" t="s">
        <v>41</v>
      </c>
      <c r="N1728" s="457" t="s">
        <v>1750</v>
      </c>
      <c r="O1728" s="460">
        <v>40367</v>
      </c>
      <c r="P1728" s="461">
        <f t="shared" si="36"/>
        <v>-22</v>
      </c>
      <c r="Q1728" s="591" t="s">
        <v>2301</v>
      </c>
      <c r="R1728" s="460">
        <v>40373</v>
      </c>
      <c r="S1728" s="471">
        <v>40377</v>
      </c>
      <c r="T1728" s="464">
        <v>40385</v>
      </c>
      <c r="U1728" s="461">
        <f t="shared" si="37"/>
        <v>46</v>
      </c>
      <c r="V1728" s="468" t="s">
        <v>53</v>
      </c>
      <c r="W1728" s="493" t="s">
        <v>2305</v>
      </c>
      <c r="X1728" s="592"/>
      <c r="Y1728" s="703"/>
      <c r="Z1728" s="446" t="s">
        <v>46</v>
      </c>
      <c r="AA1728" s="457" t="s">
        <v>47</v>
      </c>
      <c r="AB1728" s="460" t="s">
        <v>2306</v>
      </c>
      <c r="AC1728" s="470"/>
      <c r="AD1728" s="645" t="str">
        <f t="shared" si="34"/>
        <v>en término</v>
      </c>
    </row>
    <row r="1729" spans="1:40" s="587" customFormat="1" ht="54.95" customHeight="1" thickBot="1" x14ac:dyDescent="0.25">
      <c r="A1729" s="584"/>
      <c r="B1729" s="455" t="s">
        <v>36</v>
      </c>
      <c r="C1729" s="455" t="s">
        <v>133</v>
      </c>
      <c r="D1729" s="456" t="s">
        <v>2205</v>
      </c>
      <c r="E1729" s="468" t="s">
        <v>2206</v>
      </c>
      <c r="F1729" s="457">
        <v>4503355959</v>
      </c>
      <c r="G1729" s="457" t="s">
        <v>39</v>
      </c>
      <c r="H1729" s="458">
        <v>3405.25</v>
      </c>
      <c r="I1729" s="459" t="s">
        <v>40</v>
      </c>
      <c r="J1729" s="460">
        <v>40315</v>
      </c>
      <c r="K1729" s="461">
        <v>93</v>
      </c>
      <c r="L1729" s="462">
        <f t="shared" si="35"/>
        <v>40408</v>
      </c>
      <c r="M1729" s="460" t="s">
        <v>41</v>
      </c>
      <c r="N1729" s="457" t="s">
        <v>1750</v>
      </c>
      <c r="O1729" s="460">
        <v>40367</v>
      </c>
      <c r="P1729" s="461">
        <f t="shared" si="36"/>
        <v>-31</v>
      </c>
      <c r="Q1729" s="1034" t="s">
        <v>2301</v>
      </c>
      <c r="R1729" s="1032">
        <v>40373</v>
      </c>
      <c r="S1729" s="642">
        <v>40377</v>
      </c>
      <c r="T1729" s="1031">
        <v>40385</v>
      </c>
      <c r="U1729" s="461">
        <f t="shared" si="37"/>
        <v>70</v>
      </c>
      <c r="V1729" s="468" t="s">
        <v>2307</v>
      </c>
      <c r="W1729" s="493" t="s">
        <v>2308</v>
      </c>
      <c r="X1729" s="592"/>
      <c r="Y1729" s="703"/>
      <c r="Z1729" s="446" t="s">
        <v>46</v>
      </c>
      <c r="AA1729" s="457" t="s">
        <v>47</v>
      </c>
      <c r="AB1729" s="460" t="s">
        <v>47</v>
      </c>
      <c r="AC1729" s="470"/>
      <c r="AD1729" s="645" t="str">
        <f t="shared" si="34"/>
        <v>en término</v>
      </c>
    </row>
    <row r="1730" spans="1:40" s="587" customFormat="1" ht="54.95" customHeight="1" thickBot="1" x14ac:dyDescent="0.25">
      <c r="A1730" s="584"/>
      <c r="B1730" s="455" t="s">
        <v>36</v>
      </c>
      <c r="C1730" s="455" t="s">
        <v>37</v>
      </c>
      <c r="D1730" s="456" t="s">
        <v>2309</v>
      </c>
      <c r="E1730" s="501" t="s">
        <v>2310</v>
      </c>
      <c r="F1730" s="457">
        <v>10060003</v>
      </c>
      <c r="G1730" s="457" t="s">
        <v>39</v>
      </c>
      <c r="H1730" s="458">
        <v>4040</v>
      </c>
      <c r="I1730" s="459" t="s">
        <v>40</v>
      </c>
      <c r="J1730" s="460">
        <v>40337</v>
      </c>
      <c r="K1730" s="461">
        <v>46</v>
      </c>
      <c r="L1730" s="462">
        <f t="shared" si="35"/>
        <v>40383</v>
      </c>
      <c r="M1730" s="460" t="s">
        <v>41</v>
      </c>
      <c r="N1730" s="457" t="s">
        <v>2222</v>
      </c>
      <c r="O1730" s="460">
        <v>40367</v>
      </c>
      <c r="P1730" s="694">
        <f t="shared" si="36"/>
        <v>-6</v>
      </c>
      <c r="Q1730" s="591" t="s">
        <v>2301</v>
      </c>
      <c r="R1730" s="460">
        <v>40373</v>
      </c>
      <c r="S1730" s="471">
        <v>40377</v>
      </c>
      <c r="T1730" s="464">
        <v>40385</v>
      </c>
      <c r="U1730" s="695">
        <f t="shared" si="37"/>
        <v>48</v>
      </c>
      <c r="V1730" s="468" t="s">
        <v>535</v>
      </c>
      <c r="W1730" s="493" t="s">
        <v>2311</v>
      </c>
      <c r="X1730" s="467"/>
      <c r="Y1730" s="703"/>
      <c r="Z1730" s="468" t="s">
        <v>46</v>
      </c>
      <c r="AA1730" s="457" t="s">
        <v>47</v>
      </c>
      <c r="AB1730" s="460" t="s">
        <v>47</v>
      </c>
      <c r="AC1730" s="476"/>
      <c r="AD1730" s="645" t="str">
        <f t="shared" si="34"/>
        <v>en término</v>
      </c>
    </row>
    <row r="1731" spans="1:40" s="587" customFormat="1" ht="54.95" customHeight="1" thickBot="1" x14ac:dyDescent="0.25">
      <c r="A1731" s="584"/>
      <c r="B1731" s="455" t="s">
        <v>36</v>
      </c>
      <c r="C1731" s="455" t="s">
        <v>133</v>
      </c>
      <c r="D1731" s="456" t="s">
        <v>2205</v>
      </c>
      <c r="E1731" s="468" t="s">
        <v>2206</v>
      </c>
      <c r="F1731" s="457">
        <v>4503355054</v>
      </c>
      <c r="G1731" s="457" t="s">
        <v>39</v>
      </c>
      <c r="H1731" s="458">
        <v>192877.48</v>
      </c>
      <c r="I1731" s="459" t="s">
        <v>52</v>
      </c>
      <c r="J1731" s="460">
        <v>40313</v>
      </c>
      <c r="K1731" s="461">
        <v>69</v>
      </c>
      <c r="L1731" s="462">
        <f t="shared" si="35"/>
        <v>40382</v>
      </c>
      <c r="M1731" s="460" t="s">
        <v>41</v>
      </c>
      <c r="N1731" s="457" t="s">
        <v>1750</v>
      </c>
      <c r="O1731" s="460">
        <v>40388</v>
      </c>
      <c r="P1731" s="461">
        <f t="shared" si="36"/>
        <v>16</v>
      </c>
      <c r="Q1731" s="591" t="s">
        <v>2312</v>
      </c>
      <c r="R1731" s="460">
        <v>40395</v>
      </c>
      <c r="S1731" s="471">
        <v>40398</v>
      </c>
      <c r="T1731" s="464">
        <v>40414</v>
      </c>
      <c r="U1731" s="461">
        <f t="shared" si="37"/>
        <v>101</v>
      </c>
      <c r="V1731" s="468" t="s">
        <v>2313</v>
      </c>
      <c r="W1731" s="493" t="s">
        <v>2314</v>
      </c>
      <c r="X1731" s="457"/>
      <c r="Y1731" s="457" t="s">
        <v>2315</v>
      </c>
      <c r="Z1731" s="468">
        <v>3109968094</v>
      </c>
      <c r="AA1731" s="457" t="s">
        <v>47</v>
      </c>
      <c r="AB1731" s="589" t="s">
        <v>2316</v>
      </c>
      <c r="AC1731" s="470"/>
      <c r="AD1731" s="645" t="str">
        <f t="shared" si="34"/>
        <v>atrasado</v>
      </c>
    </row>
    <row r="1732" spans="1:40" s="587" customFormat="1" ht="54.95" customHeight="1" thickBot="1" x14ac:dyDescent="0.25">
      <c r="A1732" s="584"/>
      <c r="B1732" s="455" t="s">
        <v>36</v>
      </c>
      <c r="C1732" s="455" t="s">
        <v>133</v>
      </c>
      <c r="D1732" s="456" t="s">
        <v>2205</v>
      </c>
      <c r="E1732" s="468" t="s">
        <v>2206</v>
      </c>
      <c r="F1732" s="457">
        <v>4503392098</v>
      </c>
      <c r="G1732" s="457" t="s">
        <v>39</v>
      </c>
      <c r="H1732" s="458">
        <v>6749.04</v>
      </c>
      <c r="I1732" s="459" t="s">
        <v>52</v>
      </c>
      <c r="J1732" s="460">
        <v>40333</v>
      </c>
      <c r="K1732" s="461">
        <v>67</v>
      </c>
      <c r="L1732" s="462">
        <f t="shared" si="35"/>
        <v>40400</v>
      </c>
      <c r="M1732" s="460" t="s">
        <v>41</v>
      </c>
      <c r="N1732" s="457" t="s">
        <v>1750</v>
      </c>
      <c r="O1732" s="460">
        <v>40388</v>
      </c>
      <c r="P1732" s="461">
        <f t="shared" si="36"/>
        <v>-2</v>
      </c>
      <c r="Q1732" s="591" t="s">
        <v>2312</v>
      </c>
      <c r="R1732" s="460">
        <v>40395</v>
      </c>
      <c r="S1732" s="471">
        <v>40398</v>
      </c>
      <c r="T1732" s="464">
        <v>40414</v>
      </c>
      <c r="U1732" s="461">
        <f t="shared" si="37"/>
        <v>81</v>
      </c>
      <c r="V1732" s="468" t="s">
        <v>53</v>
      </c>
      <c r="W1732" s="493" t="s">
        <v>2317</v>
      </c>
      <c r="X1732" s="457"/>
      <c r="Y1732" s="703"/>
      <c r="Z1732" s="468">
        <v>3109968094</v>
      </c>
      <c r="AA1732" s="457" t="s">
        <v>47</v>
      </c>
      <c r="AB1732" s="460" t="s">
        <v>47</v>
      </c>
      <c r="AC1732" s="470"/>
      <c r="AD1732" s="645" t="str">
        <f t="shared" si="34"/>
        <v>en término</v>
      </c>
    </row>
    <row r="1733" spans="1:40" s="587" customFormat="1" ht="54.95" customHeight="1" thickBot="1" x14ac:dyDescent="0.25">
      <c r="A1733" s="584"/>
      <c r="B1733" s="1043" t="s">
        <v>36</v>
      </c>
      <c r="C1733" s="1043" t="s">
        <v>37</v>
      </c>
      <c r="D1733" s="1044" t="s">
        <v>2318</v>
      </c>
      <c r="E1733" s="1027" t="s">
        <v>2319</v>
      </c>
      <c r="F1733" s="1028">
        <v>10060002</v>
      </c>
      <c r="G1733" s="1028" t="s">
        <v>39</v>
      </c>
      <c r="H1733" s="1029">
        <v>81946.3</v>
      </c>
      <c r="I1733" s="1033" t="s">
        <v>52</v>
      </c>
      <c r="J1733" s="1032">
        <v>40294</v>
      </c>
      <c r="K1733" s="1041">
        <v>95</v>
      </c>
      <c r="L1733" s="641">
        <f t="shared" si="35"/>
        <v>40389</v>
      </c>
      <c r="M1733" s="1032" t="s">
        <v>41</v>
      </c>
      <c r="N1733" s="1028" t="s">
        <v>2222</v>
      </c>
      <c r="O1733" s="1032">
        <v>40388</v>
      </c>
      <c r="P1733" s="691">
        <f t="shared" si="36"/>
        <v>9</v>
      </c>
      <c r="Q1733" s="591" t="s">
        <v>2312</v>
      </c>
      <c r="R1733" s="460">
        <v>40395</v>
      </c>
      <c r="S1733" s="471">
        <v>40398</v>
      </c>
      <c r="T1733" s="464">
        <v>40414</v>
      </c>
      <c r="U1733" s="692">
        <f t="shared" si="37"/>
        <v>120</v>
      </c>
      <c r="V1733" s="446" t="s">
        <v>53</v>
      </c>
      <c r="W1733" s="659" t="s">
        <v>2320</v>
      </c>
      <c r="X1733" s="643"/>
      <c r="Y1733" s="693"/>
      <c r="Z1733" s="468">
        <v>3109968094</v>
      </c>
      <c r="AA1733" s="1028" t="s">
        <v>47</v>
      </c>
      <c r="AB1733" s="1032" t="s">
        <v>47</v>
      </c>
      <c r="AC1733" s="1040"/>
      <c r="AD1733" s="645" t="str">
        <f t="shared" si="34"/>
        <v>atrasado</v>
      </c>
    </row>
    <row r="1734" spans="1:40" s="587" customFormat="1" ht="54.95" customHeight="1" thickBot="1" x14ac:dyDescent="0.25">
      <c r="A1734" s="584"/>
      <c r="B1734" s="455" t="s">
        <v>36</v>
      </c>
      <c r="C1734" s="455" t="s">
        <v>133</v>
      </c>
      <c r="D1734" s="456" t="s">
        <v>2205</v>
      </c>
      <c r="E1734" s="468" t="s">
        <v>2206</v>
      </c>
      <c r="F1734" s="457">
        <v>4503348906</v>
      </c>
      <c r="G1734" s="457" t="s">
        <v>39</v>
      </c>
      <c r="H1734" s="458">
        <v>38009.300000000003</v>
      </c>
      <c r="I1734" s="459" t="s">
        <v>62</v>
      </c>
      <c r="J1734" s="460">
        <v>40309</v>
      </c>
      <c r="K1734" s="461">
        <v>126</v>
      </c>
      <c r="L1734" s="462">
        <f t="shared" si="35"/>
        <v>40435</v>
      </c>
      <c r="M1734" s="460" t="s">
        <v>41</v>
      </c>
      <c r="N1734" s="457" t="s">
        <v>1750</v>
      </c>
      <c r="O1734" s="460">
        <v>40402</v>
      </c>
      <c r="P1734" s="461">
        <f t="shared" si="36"/>
        <v>-20</v>
      </c>
      <c r="Q1734" s="591" t="s">
        <v>2321</v>
      </c>
      <c r="R1734" s="460">
        <v>40409</v>
      </c>
      <c r="S1734" s="471">
        <v>40415</v>
      </c>
      <c r="T1734" s="464">
        <v>40428</v>
      </c>
      <c r="U1734" s="461">
        <f t="shared" si="37"/>
        <v>119</v>
      </c>
      <c r="V1734" s="468" t="s">
        <v>1269</v>
      </c>
      <c r="W1734" s="493" t="s">
        <v>2322</v>
      </c>
      <c r="X1734" s="457"/>
      <c r="Y1734" s="456" t="s">
        <v>2323</v>
      </c>
      <c r="Z1734" s="468" t="s">
        <v>46</v>
      </c>
      <c r="AA1734" s="457" t="s">
        <v>47</v>
      </c>
      <c r="AB1734" s="460" t="s">
        <v>2121</v>
      </c>
      <c r="AC1734" s="470"/>
      <c r="AD1734" s="645" t="str">
        <f t="shared" si="34"/>
        <v>en término</v>
      </c>
    </row>
    <row r="1735" spans="1:40" s="587" customFormat="1" ht="54.95" customHeight="1" thickBot="1" x14ac:dyDescent="0.25">
      <c r="A1735" s="584"/>
      <c r="B1735" s="455" t="s">
        <v>36</v>
      </c>
      <c r="C1735" s="455" t="s">
        <v>133</v>
      </c>
      <c r="D1735" s="456" t="s">
        <v>2205</v>
      </c>
      <c r="E1735" s="468" t="s">
        <v>2206</v>
      </c>
      <c r="F1735" s="457">
        <v>4503396159</v>
      </c>
      <c r="G1735" s="457" t="s">
        <v>39</v>
      </c>
      <c r="H1735" s="458">
        <v>53041.24</v>
      </c>
      <c r="I1735" s="459" t="s">
        <v>52</v>
      </c>
      <c r="J1735" s="460">
        <v>40337</v>
      </c>
      <c r="K1735" s="461">
        <v>63</v>
      </c>
      <c r="L1735" s="462">
        <f t="shared" si="35"/>
        <v>40400</v>
      </c>
      <c r="M1735" s="460" t="s">
        <v>41</v>
      </c>
      <c r="N1735" s="457" t="s">
        <v>1750</v>
      </c>
      <c r="O1735" s="460">
        <v>40402</v>
      </c>
      <c r="P1735" s="461">
        <f t="shared" si="36"/>
        <v>15</v>
      </c>
      <c r="Q1735" s="591" t="s">
        <v>2321</v>
      </c>
      <c r="R1735" s="460">
        <v>40409</v>
      </c>
      <c r="S1735" s="471">
        <v>40415</v>
      </c>
      <c r="T1735" s="464">
        <v>40428</v>
      </c>
      <c r="U1735" s="461">
        <f t="shared" si="37"/>
        <v>91</v>
      </c>
      <c r="V1735" s="468" t="s">
        <v>2324</v>
      </c>
      <c r="W1735" s="493" t="s">
        <v>2325</v>
      </c>
      <c r="X1735" s="457"/>
      <c r="Y1735" s="456" t="s">
        <v>2323</v>
      </c>
      <c r="Z1735" s="468" t="s">
        <v>46</v>
      </c>
      <c r="AA1735" s="457" t="s">
        <v>47</v>
      </c>
      <c r="AB1735" s="589" t="s">
        <v>2326</v>
      </c>
      <c r="AC1735" s="470"/>
      <c r="AD1735" s="645" t="str">
        <f t="shared" si="34"/>
        <v>atrasado</v>
      </c>
    </row>
    <row r="1736" spans="1:40" s="587" customFormat="1" ht="54.95" customHeight="1" thickBot="1" x14ac:dyDescent="0.25">
      <c r="A1736" s="584"/>
      <c r="B1736" s="455" t="s">
        <v>36</v>
      </c>
      <c r="C1736" s="455" t="s">
        <v>133</v>
      </c>
      <c r="D1736" s="456" t="s">
        <v>2205</v>
      </c>
      <c r="E1736" s="468" t="s">
        <v>2206</v>
      </c>
      <c r="F1736" s="457">
        <v>4503347758</v>
      </c>
      <c r="G1736" s="457" t="s">
        <v>39</v>
      </c>
      <c r="H1736" s="458">
        <v>88790</v>
      </c>
      <c r="I1736" s="459" t="s">
        <v>62</v>
      </c>
      <c r="J1736" s="460">
        <v>40309</v>
      </c>
      <c r="K1736" s="461">
        <v>126</v>
      </c>
      <c r="L1736" s="462">
        <f t="shared" si="35"/>
        <v>40435</v>
      </c>
      <c r="M1736" s="460" t="s">
        <v>41</v>
      </c>
      <c r="N1736" s="457" t="s">
        <v>1750</v>
      </c>
      <c r="O1736" s="460">
        <v>40402</v>
      </c>
      <c r="P1736" s="461">
        <f t="shared" si="36"/>
        <v>-20</v>
      </c>
      <c r="Q1736" s="591" t="s">
        <v>2321</v>
      </c>
      <c r="R1736" s="460">
        <v>40409</v>
      </c>
      <c r="S1736" s="471">
        <v>40415</v>
      </c>
      <c r="T1736" s="464">
        <v>40428</v>
      </c>
      <c r="U1736" s="461">
        <f t="shared" si="37"/>
        <v>119</v>
      </c>
      <c r="V1736" s="468" t="s">
        <v>2231</v>
      </c>
      <c r="W1736" s="493" t="s">
        <v>2327</v>
      </c>
      <c r="X1736" s="457"/>
      <c r="Y1736" s="456" t="s">
        <v>2323</v>
      </c>
      <c r="Z1736" s="468" t="s">
        <v>46</v>
      </c>
      <c r="AA1736" s="457" t="s">
        <v>47</v>
      </c>
      <c r="AB1736" s="460" t="s">
        <v>2328</v>
      </c>
      <c r="AC1736" s="470"/>
      <c r="AD1736" s="645" t="str">
        <f t="shared" si="34"/>
        <v>en término</v>
      </c>
    </row>
    <row r="1737" spans="1:40" s="587" customFormat="1" ht="54.95" customHeight="1" thickBot="1" x14ac:dyDescent="0.25">
      <c r="A1737" s="584"/>
      <c r="B1737" s="455" t="s">
        <v>36</v>
      </c>
      <c r="C1737" s="455" t="s">
        <v>37</v>
      </c>
      <c r="D1737" s="456" t="s">
        <v>2080</v>
      </c>
      <c r="E1737" s="501" t="s">
        <v>2329</v>
      </c>
      <c r="F1737" s="457">
        <v>10060001</v>
      </c>
      <c r="G1737" s="457" t="s">
        <v>39</v>
      </c>
      <c r="H1737" s="458">
        <v>27105</v>
      </c>
      <c r="I1737" s="459" t="s">
        <v>40</v>
      </c>
      <c r="J1737" s="460">
        <v>40326</v>
      </c>
      <c r="K1737" s="461">
        <v>91</v>
      </c>
      <c r="L1737" s="462">
        <f t="shared" si="35"/>
        <v>40417</v>
      </c>
      <c r="M1737" s="460" t="s">
        <v>41</v>
      </c>
      <c r="N1737" s="457" t="s">
        <v>1750</v>
      </c>
      <c r="O1737" s="460">
        <v>40402</v>
      </c>
      <c r="P1737" s="461">
        <f t="shared" si="36"/>
        <v>-2</v>
      </c>
      <c r="Q1737" s="591" t="s">
        <v>2321</v>
      </c>
      <c r="R1737" s="460">
        <v>40409</v>
      </c>
      <c r="S1737" s="471">
        <v>40415</v>
      </c>
      <c r="T1737" s="464">
        <v>40428</v>
      </c>
      <c r="U1737" s="461">
        <f t="shared" si="37"/>
        <v>102</v>
      </c>
      <c r="V1737" s="468" t="s">
        <v>2330</v>
      </c>
      <c r="W1737" s="493" t="s">
        <v>2331</v>
      </c>
      <c r="X1737" s="467"/>
      <c r="Y1737" s="592"/>
      <c r="Z1737" s="468" t="s">
        <v>46</v>
      </c>
      <c r="AA1737" s="457" t="s">
        <v>47</v>
      </c>
      <c r="AB1737" s="460" t="s">
        <v>47</v>
      </c>
      <c r="AC1737" s="476"/>
      <c r="AD1737" s="645" t="str">
        <f t="shared" si="34"/>
        <v>en término</v>
      </c>
    </row>
    <row r="1738" spans="1:40" s="587" customFormat="1" ht="54.95" customHeight="1" thickBot="1" x14ac:dyDescent="0.25">
      <c r="A1738" s="584"/>
      <c r="B1738" s="455" t="s">
        <v>36</v>
      </c>
      <c r="C1738" s="455" t="s">
        <v>133</v>
      </c>
      <c r="D1738" s="456" t="s">
        <v>2041</v>
      </c>
      <c r="E1738" s="501" t="s">
        <v>2042</v>
      </c>
      <c r="F1738" s="457">
        <v>4503472448</v>
      </c>
      <c r="G1738" s="457" t="s">
        <v>39</v>
      </c>
      <c r="H1738" s="458">
        <v>17160.97</v>
      </c>
      <c r="I1738" s="459" t="s">
        <v>40</v>
      </c>
      <c r="J1738" s="460">
        <v>40385</v>
      </c>
      <c r="K1738" s="461">
        <v>93</v>
      </c>
      <c r="L1738" s="462">
        <f t="shared" si="35"/>
        <v>40478</v>
      </c>
      <c r="M1738" s="460" t="s">
        <v>41</v>
      </c>
      <c r="N1738" s="457" t="s">
        <v>1750</v>
      </c>
      <c r="O1738" s="460">
        <v>40445</v>
      </c>
      <c r="P1738" s="461">
        <f t="shared" si="36"/>
        <v>-23</v>
      </c>
      <c r="Q1738" s="591" t="s">
        <v>2332</v>
      </c>
      <c r="R1738" s="460">
        <v>40451</v>
      </c>
      <c r="S1738" s="471">
        <v>40455</v>
      </c>
      <c r="T1738" s="464">
        <v>40475</v>
      </c>
      <c r="U1738" s="461">
        <f t="shared" si="37"/>
        <v>90</v>
      </c>
      <c r="V1738" s="468" t="s">
        <v>879</v>
      </c>
      <c r="W1738" s="493" t="s">
        <v>2333</v>
      </c>
      <c r="X1738" s="457" t="s">
        <v>2334</v>
      </c>
      <c r="Y1738" s="457"/>
      <c r="Z1738" s="532" t="s">
        <v>46</v>
      </c>
      <c r="AA1738" s="457" t="s">
        <v>47</v>
      </c>
      <c r="AB1738" s="460" t="s">
        <v>2140</v>
      </c>
      <c r="AC1738" s="722"/>
      <c r="AD1738" s="645" t="str">
        <f t="shared" si="34"/>
        <v>en término</v>
      </c>
    </row>
    <row r="1739" spans="1:40" s="413" customFormat="1" ht="54.95" customHeight="1" thickBot="1" x14ac:dyDescent="0.25">
      <c r="A1739" s="411"/>
      <c r="B1739" s="729" t="s">
        <v>36</v>
      </c>
      <c r="C1739" s="729" t="s">
        <v>37</v>
      </c>
      <c r="D1739" s="538" t="s">
        <v>2335</v>
      </c>
      <c r="E1739" s="730" t="s">
        <v>2336</v>
      </c>
      <c r="F1739" s="731">
        <v>10070003</v>
      </c>
      <c r="G1739" s="731" t="s">
        <v>39</v>
      </c>
      <c r="H1739" s="732">
        <v>7745</v>
      </c>
      <c r="I1739" s="733"/>
      <c r="J1739" s="734">
        <v>40388</v>
      </c>
      <c r="K1739" s="735">
        <v>48</v>
      </c>
      <c r="L1739" s="734">
        <f t="shared" si="35"/>
        <v>40436</v>
      </c>
      <c r="M1739" s="734" t="s">
        <v>41</v>
      </c>
      <c r="N1739" s="731" t="s">
        <v>1750</v>
      </c>
      <c r="O1739" s="734">
        <v>40445</v>
      </c>
      <c r="P1739" s="735">
        <f t="shared" si="36"/>
        <v>19</v>
      </c>
      <c r="Q1739" s="591" t="s">
        <v>2332</v>
      </c>
      <c r="R1739" s="460">
        <v>40451</v>
      </c>
      <c r="S1739" s="471">
        <v>40455</v>
      </c>
      <c r="T1739" s="736">
        <f>+S1739+20</f>
        <v>40475</v>
      </c>
      <c r="U1739" s="735">
        <f t="shared" si="37"/>
        <v>87</v>
      </c>
      <c r="V1739" s="531" t="s">
        <v>2337</v>
      </c>
      <c r="W1739" s="737" t="s">
        <v>2338</v>
      </c>
      <c r="X1739" s="738"/>
      <c r="Y1739" s="739"/>
      <c r="Z1739" s="468" t="s">
        <v>46</v>
      </c>
      <c r="AA1739" s="731" t="s">
        <v>47</v>
      </c>
      <c r="AB1739" s="740" t="str">
        <f>IF(S1739="","",IF($Z$1&lt;(S1739+180),(S1739+180),"VENCIDA"))</f>
        <v>VENCIDA</v>
      </c>
      <c r="AC1739" s="741"/>
      <c r="AD1739" s="645" t="str">
        <f t="shared" si="34"/>
        <v>atrasado</v>
      </c>
      <c r="AE1739" s="645"/>
      <c r="AF1739" s="587"/>
      <c r="AG1739" s="587"/>
      <c r="AH1739" s="587"/>
      <c r="AI1739" s="587"/>
      <c r="AJ1739" s="587"/>
      <c r="AK1739" s="587"/>
      <c r="AL1739" s="587"/>
      <c r="AM1739" s="587"/>
      <c r="AN1739" s="610"/>
    </row>
    <row r="1740" spans="1:40" s="413" customFormat="1" ht="54.95" customHeight="1" thickBot="1" x14ac:dyDescent="0.25">
      <c r="A1740" s="411"/>
      <c r="B1740" s="455" t="s">
        <v>36</v>
      </c>
      <c r="C1740" s="455" t="s">
        <v>37</v>
      </c>
      <c r="D1740" s="456" t="s">
        <v>2339</v>
      </c>
      <c r="E1740" s="501" t="s">
        <v>2340</v>
      </c>
      <c r="F1740" s="457">
        <v>10080003</v>
      </c>
      <c r="G1740" s="457" t="s">
        <v>39</v>
      </c>
      <c r="H1740" s="458">
        <v>2665</v>
      </c>
      <c r="I1740" s="459" t="s">
        <v>142</v>
      </c>
      <c r="J1740" s="460">
        <v>40392</v>
      </c>
      <c r="K1740" s="461">
        <v>82</v>
      </c>
      <c r="L1740" s="460">
        <f t="shared" si="35"/>
        <v>40474</v>
      </c>
      <c r="M1740" s="460" t="s">
        <v>41</v>
      </c>
      <c r="N1740" s="457" t="s">
        <v>1750</v>
      </c>
      <c r="O1740" s="460">
        <v>40445</v>
      </c>
      <c r="P1740" s="461">
        <f t="shared" si="36"/>
        <v>-19</v>
      </c>
      <c r="Q1740" s="591" t="s">
        <v>2332</v>
      </c>
      <c r="R1740" s="460">
        <v>40451</v>
      </c>
      <c r="S1740" s="471">
        <v>40455</v>
      </c>
      <c r="T1740" s="464">
        <f>+S1740+20</f>
        <v>40475</v>
      </c>
      <c r="U1740" s="461">
        <f t="shared" si="37"/>
        <v>83</v>
      </c>
      <c r="V1740" s="468" t="s">
        <v>53</v>
      </c>
      <c r="W1740" s="493" t="s">
        <v>2338</v>
      </c>
      <c r="X1740" s="467"/>
      <c r="Y1740" s="592"/>
      <c r="Z1740" s="532" t="s">
        <v>46</v>
      </c>
      <c r="AA1740" s="457" t="s">
        <v>47</v>
      </c>
      <c r="AB1740" s="473" t="str">
        <f>IF(S1740="","",IF($Z$1&lt;(S1740+180),(S1740+180),"VENCIDA"))</f>
        <v>VENCIDA</v>
      </c>
      <c r="AC1740" s="722"/>
      <c r="AD1740" s="645" t="str">
        <f t="shared" si="34"/>
        <v>en término</v>
      </c>
      <c r="AE1740" s="645"/>
      <c r="AF1740" s="587"/>
      <c r="AG1740" s="587"/>
      <c r="AH1740" s="587"/>
      <c r="AI1740" s="587"/>
      <c r="AJ1740" s="587"/>
      <c r="AK1740" s="587"/>
      <c r="AL1740" s="587"/>
      <c r="AM1740" s="587"/>
      <c r="AN1740" s="610"/>
    </row>
    <row r="1741" spans="1:40" s="413" customFormat="1" ht="54.95" customHeight="1" thickBot="1" x14ac:dyDescent="0.25">
      <c r="A1741" s="411"/>
      <c r="B1741" s="455" t="s">
        <v>36</v>
      </c>
      <c r="C1741" s="455" t="s">
        <v>37</v>
      </c>
      <c r="D1741" s="456" t="s">
        <v>2080</v>
      </c>
      <c r="E1741" s="501" t="s">
        <v>2341</v>
      </c>
      <c r="F1741" s="457">
        <v>10080005</v>
      </c>
      <c r="G1741" s="457" t="s">
        <v>1192</v>
      </c>
      <c r="H1741" s="458">
        <v>34569</v>
      </c>
      <c r="I1741" s="459" t="s">
        <v>40</v>
      </c>
      <c r="J1741" s="460">
        <v>40403</v>
      </c>
      <c r="K1741" s="461">
        <v>82</v>
      </c>
      <c r="L1741" s="460">
        <f t="shared" si="35"/>
        <v>40485</v>
      </c>
      <c r="M1741" s="460" t="s">
        <v>41</v>
      </c>
      <c r="N1741" s="457" t="s">
        <v>1750</v>
      </c>
      <c r="O1741" s="460">
        <v>40445</v>
      </c>
      <c r="P1741" s="461">
        <f t="shared" si="36"/>
        <v>-30</v>
      </c>
      <c r="Q1741" s="591" t="s">
        <v>2332</v>
      </c>
      <c r="R1741" s="460">
        <v>40451</v>
      </c>
      <c r="S1741" s="471">
        <v>40455</v>
      </c>
      <c r="T1741" s="464">
        <f>+S1741+20</f>
        <v>40475</v>
      </c>
      <c r="U1741" s="461">
        <f t="shared" si="37"/>
        <v>72</v>
      </c>
      <c r="V1741" s="468" t="s">
        <v>2342</v>
      </c>
      <c r="W1741" s="493" t="s">
        <v>2338</v>
      </c>
      <c r="X1741" s="467"/>
      <c r="Y1741" s="592"/>
      <c r="Z1741" s="532" t="s">
        <v>46</v>
      </c>
      <c r="AA1741" s="457" t="s">
        <v>47</v>
      </c>
      <c r="AB1741" s="473" t="str">
        <f ca="1">IF(S1741="","",IF('o.c.'!$Z$1&lt;(S1741+180),(S1741+180),"VENCIDA"))</f>
        <v>VENCIDA</v>
      </c>
      <c r="AC1741" s="722"/>
      <c r="AD1741" s="645" t="str">
        <f t="shared" si="34"/>
        <v>en término</v>
      </c>
      <c r="AE1741" s="645"/>
      <c r="AF1741" s="587"/>
      <c r="AG1741" s="587"/>
      <c r="AH1741" s="587"/>
      <c r="AI1741" s="587"/>
      <c r="AJ1741" s="587"/>
      <c r="AK1741" s="587"/>
      <c r="AL1741" s="587"/>
      <c r="AM1741" s="587"/>
      <c r="AN1741" s="610"/>
    </row>
    <row r="1742" spans="1:40" s="413" customFormat="1" ht="54.95" customHeight="1" thickBot="1" x14ac:dyDescent="0.25">
      <c r="A1742" s="411"/>
      <c r="B1742" s="455" t="s">
        <v>36</v>
      </c>
      <c r="C1742" s="455" t="s">
        <v>37</v>
      </c>
      <c r="D1742" s="456" t="s">
        <v>2343</v>
      </c>
      <c r="E1742" s="501" t="s">
        <v>2344</v>
      </c>
      <c r="F1742" s="457">
        <v>10080007</v>
      </c>
      <c r="G1742" s="457" t="s">
        <v>39</v>
      </c>
      <c r="H1742" s="458">
        <v>8830</v>
      </c>
      <c r="I1742" s="459"/>
      <c r="J1742" s="460">
        <v>40403</v>
      </c>
      <c r="K1742" s="461">
        <v>58</v>
      </c>
      <c r="L1742" s="460">
        <f t="shared" si="35"/>
        <v>40461</v>
      </c>
      <c r="M1742" s="460" t="s">
        <v>41</v>
      </c>
      <c r="N1742" s="457" t="s">
        <v>1750</v>
      </c>
      <c r="O1742" s="460">
        <v>40445</v>
      </c>
      <c r="P1742" s="461">
        <f t="shared" si="36"/>
        <v>-6</v>
      </c>
      <c r="Q1742" s="591" t="s">
        <v>2332</v>
      </c>
      <c r="R1742" s="460">
        <v>40451</v>
      </c>
      <c r="S1742" s="471">
        <v>40455</v>
      </c>
      <c r="T1742" s="464">
        <f>+S1742+20</f>
        <v>40475</v>
      </c>
      <c r="U1742" s="461">
        <f t="shared" si="37"/>
        <v>72</v>
      </c>
      <c r="V1742" s="468" t="s">
        <v>2345</v>
      </c>
      <c r="W1742" s="493" t="s">
        <v>2338</v>
      </c>
      <c r="X1742" s="467"/>
      <c r="Y1742" s="592"/>
      <c r="Z1742" s="532" t="s">
        <v>46</v>
      </c>
      <c r="AA1742" s="457" t="s">
        <v>47</v>
      </c>
      <c r="AB1742" s="473" t="str">
        <f ca="1">IF(S1742="","",IF('o.c.'!$Z$1&lt;(S1742+180),(S1742+180),"VENCIDA"))</f>
        <v>VENCIDA</v>
      </c>
      <c r="AC1742" s="722"/>
      <c r="AD1742" s="645" t="str">
        <f t="shared" si="34"/>
        <v>en término</v>
      </c>
      <c r="AE1742" s="645"/>
      <c r="AF1742" s="587"/>
      <c r="AG1742" s="587"/>
      <c r="AH1742" s="587"/>
      <c r="AI1742" s="587"/>
      <c r="AJ1742" s="587"/>
      <c r="AK1742" s="587"/>
      <c r="AL1742" s="587"/>
      <c r="AM1742" s="587"/>
      <c r="AN1742" s="610"/>
    </row>
    <row r="1743" spans="1:40" s="413" customFormat="1" ht="54.95" customHeight="1" thickBot="1" x14ac:dyDescent="0.25">
      <c r="A1743" s="411"/>
      <c r="B1743" s="455" t="s">
        <v>36</v>
      </c>
      <c r="C1743" s="455" t="s">
        <v>37</v>
      </c>
      <c r="D1743" s="456" t="s">
        <v>2346</v>
      </c>
      <c r="E1743" s="501" t="s">
        <v>2347</v>
      </c>
      <c r="F1743" s="457">
        <v>10080008</v>
      </c>
      <c r="G1743" s="457" t="s">
        <v>39</v>
      </c>
      <c r="H1743" s="458">
        <v>28210.52</v>
      </c>
      <c r="I1743" s="459"/>
      <c r="J1743" s="460">
        <v>40403</v>
      </c>
      <c r="K1743" s="461">
        <v>46</v>
      </c>
      <c r="L1743" s="460">
        <f t="shared" si="35"/>
        <v>40449</v>
      </c>
      <c r="M1743" s="460" t="s">
        <v>41</v>
      </c>
      <c r="N1743" s="457" t="s">
        <v>1750</v>
      </c>
      <c r="O1743" s="460">
        <v>40445</v>
      </c>
      <c r="P1743" s="461">
        <f t="shared" si="36"/>
        <v>6</v>
      </c>
      <c r="Q1743" s="591" t="s">
        <v>2332</v>
      </c>
      <c r="R1743" s="460">
        <v>40451</v>
      </c>
      <c r="S1743" s="471">
        <v>40455</v>
      </c>
      <c r="T1743" s="464">
        <f>+S1743+20</f>
        <v>40475</v>
      </c>
      <c r="U1743" s="461">
        <f t="shared" si="37"/>
        <v>72</v>
      </c>
      <c r="V1743" s="468" t="s">
        <v>2348</v>
      </c>
      <c r="W1743" s="493" t="s">
        <v>2338</v>
      </c>
      <c r="X1743" s="467"/>
      <c r="Y1743" s="592"/>
      <c r="Z1743" s="532" t="s">
        <v>46</v>
      </c>
      <c r="AA1743" s="457" t="s">
        <v>47</v>
      </c>
      <c r="AB1743" s="473" t="str">
        <f ca="1">IF(S1743="","",IF('o.c.'!$Z$1&lt;(S1743+180),(S1743+180),"VENCIDA"))</f>
        <v>VENCIDA</v>
      </c>
      <c r="AC1743" s="722"/>
      <c r="AD1743" s="645" t="str">
        <f t="shared" si="34"/>
        <v>atrasado</v>
      </c>
      <c r="AE1743" s="645"/>
      <c r="AF1743" s="587"/>
      <c r="AG1743" s="587"/>
      <c r="AH1743" s="587"/>
      <c r="AI1743" s="587"/>
      <c r="AJ1743" s="587"/>
      <c r="AK1743" s="587"/>
      <c r="AL1743" s="587"/>
      <c r="AM1743" s="587"/>
      <c r="AN1743" s="610"/>
    </row>
    <row r="1744" spans="1:40" s="587" customFormat="1" ht="54.95" customHeight="1" thickBot="1" x14ac:dyDescent="0.25">
      <c r="A1744" s="584"/>
      <c r="B1744" s="1043" t="s">
        <v>36</v>
      </c>
      <c r="C1744" s="1043" t="s">
        <v>133</v>
      </c>
      <c r="D1744" s="1044" t="s">
        <v>2349</v>
      </c>
      <c r="E1744" s="1027" t="s">
        <v>2350</v>
      </c>
      <c r="F1744" s="1028">
        <v>4503467159</v>
      </c>
      <c r="G1744" s="1028" t="s">
        <v>39</v>
      </c>
      <c r="H1744" s="1029">
        <v>1905.19</v>
      </c>
      <c r="I1744" s="1033" t="s">
        <v>142</v>
      </c>
      <c r="J1744" s="1032">
        <v>40381</v>
      </c>
      <c r="K1744" s="1041">
        <v>102</v>
      </c>
      <c r="L1744" s="641">
        <f t="shared" si="35"/>
        <v>40483</v>
      </c>
      <c r="M1744" s="1032" t="s">
        <v>41</v>
      </c>
      <c r="N1744" s="1028" t="s">
        <v>1750</v>
      </c>
      <c r="O1744" s="1032">
        <v>40455</v>
      </c>
      <c r="P1744" s="1041">
        <f t="shared" si="36"/>
        <v>-12</v>
      </c>
      <c r="Q1744" s="591" t="s">
        <v>2351</v>
      </c>
      <c r="R1744" s="460">
        <v>40465</v>
      </c>
      <c r="S1744" s="471">
        <v>40471</v>
      </c>
      <c r="T1744" s="464">
        <v>40483</v>
      </c>
      <c r="U1744" s="1041">
        <f t="shared" si="37"/>
        <v>102</v>
      </c>
      <c r="V1744" s="446" t="s">
        <v>53</v>
      </c>
      <c r="W1744" s="659" t="s">
        <v>2352</v>
      </c>
      <c r="X1744" s="1028" t="s">
        <v>47</v>
      </c>
      <c r="Y1744" s="1037"/>
      <c r="Z1744" s="468">
        <v>3109968374</v>
      </c>
      <c r="AA1744" s="1028" t="s">
        <v>47</v>
      </c>
      <c r="AB1744" s="1032" t="s">
        <v>2140</v>
      </c>
      <c r="AC1744" s="723"/>
      <c r="AD1744" s="645" t="str">
        <f t="shared" si="34"/>
        <v>en término</v>
      </c>
    </row>
    <row r="1745" spans="1:40" s="587" customFormat="1" ht="54.95" customHeight="1" thickBot="1" x14ac:dyDescent="0.25">
      <c r="A1745" s="584"/>
      <c r="B1745" s="455" t="s">
        <v>36</v>
      </c>
      <c r="C1745" s="455" t="s">
        <v>37</v>
      </c>
      <c r="D1745" s="456" t="s">
        <v>2080</v>
      </c>
      <c r="E1745" s="501" t="s">
        <v>2353</v>
      </c>
      <c r="F1745" s="457">
        <v>10080001</v>
      </c>
      <c r="G1745" s="457" t="s">
        <v>1192</v>
      </c>
      <c r="H1745" s="458">
        <v>17129.599999999999</v>
      </c>
      <c r="I1745" s="459" t="s">
        <v>40</v>
      </c>
      <c r="J1745" s="460">
        <v>40387</v>
      </c>
      <c r="K1745" s="461">
        <v>90</v>
      </c>
      <c r="L1745" s="462">
        <f t="shared" si="35"/>
        <v>40477</v>
      </c>
      <c r="M1745" s="460" t="s">
        <v>41</v>
      </c>
      <c r="N1745" s="457" t="s">
        <v>1750</v>
      </c>
      <c r="O1745" s="460">
        <v>40455</v>
      </c>
      <c r="P1745" s="461">
        <f t="shared" si="36"/>
        <v>-6</v>
      </c>
      <c r="Q1745" s="591" t="s">
        <v>2351</v>
      </c>
      <c r="R1745" s="460">
        <v>40465</v>
      </c>
      <c r="S1745" s="471">
        <v>40471</v>
      </c>
      <c r="T1745" s="464">
        <v>40483</v>
      </c>
      <c r="U1745" s="461">
        <f t="shared" si="37"/>
        <v>96</v>
      </c>
      <c r="V1745" s="468" t="s">
        <v>2354</v>
      </c>
      <c r="W1745" s="493" t="s">
        <v>2355</v>
      </c>
      <c r="X1745" s="467"/>
      <c r="Y1745" s="592"/>
      <c r="Z1745" s="468">
        <v>3109968374</v>
      </c>
      <c r="AA1745" s="457" t="s">
        <v>47</v>
      </c>
      <c r="AB1745" s="460" t="s">
        <v>2356</v>
      </c>
      <c r="AC1745" s="722"/>
      <c r="AD1745" s="645" t="str">
        <f t="shared" si="34"/>
        <v>en término</v>
      </c>
    </row>
    <row r="1746" spans="1:40" s="587" customFormat="1" ht="54.95" customHeight="1" thickBot="1" x14ac:dyDescent="0.25">
      <c r="A1746" s="584"/>
      <c r="B1746" s="455" t="s">
        <v>36</v>
      </c>
      <c r="C1746" s="455" t="s">
        <v>37</v>
      </c>
      <c r="D1746" s="456" t="s">
        <v>2357</v>
      </c>
      <c r="E1746" s="501" t="s">
        <v>2358</v>
      </c>
      <c r="F1746" s="457">
        <v>10080002</v>
      </c>
      <c r="G1746" s="457" t="s">
        <v>39</v>
      </c>
      <c r="H1746" s="458">
        <f>101142-4505.65</f>
        <v>96636.35</v>
      </c>
      <c r="I1746" s="459" t="s">
        <v>142</v>
      </c>
      <c r="J1746" s="460">
        <v>40392</v>
      </c>
      <c r="K1746" s="461">
        <v>89</v>
      </c>
      <c r="L1746" s="462">
        <f t="shared" si="35"/>
        <v>40481</v>
      </c>
      <c r="M1746" s="460" t="s">
        <v>41</v>
      </c>
      <c r="N1746" s="457" t="s">
        <v>1750</v>
      </c>
      <c r="O1746" s="460">
        <v>40455</v>
      </c>
      <c r="P1746" s="461">
        <f t="shared" si="36"/>
        <v>-10</v>
      </c>
      <c r="Q1746" s="591" t="s">
        <v>2351</v>
      </c>
      <c r="R1746" s="460">
        <v>40465</v>
      </c>
      <c r="S1746" s="471">
        <v>40471</v>
      </c>
      <c r="T1746" s="464">
        <v>40483</v>
      </c>
      <c r="U1746" s="461">
        <f t="shared" si="37"/>
        <v>91</v>
      </c>
      <c r="V1746" s="468" t="s">
        <v>2359</v>
      </c>
      <c r="W1746" s="493" t="s">
        <v>2355</v>
      </c>
      <c r="X1746" s="592"/>
      <c r="Y1746" s="456" t="s">
        <v>2360</v>
      </c>
      <c r="Z1746" s="468">
        <v>3109968374</v>
      </c>
      <c r="AA1746" s="457" t="s">
        <v>47</v>
      </c>
      <c r="AB1746" s="460" t="s">
        <v>2356</v>
      </c>
      <c r="AC1746" s="722" t="s">
        <v>2361</v>
      </c>
      <c r="AD1746" s="645" t="str">
        <f t="shared" si="34"/>
        <v>en término</v>
      </c>
    </row>
    <row r="1747" spans="1:40" s="587" customFormat="1" ht="54.95" customHeight="1" thickBot="1" x14ac:dyDescent="0.25">
      <c r="A1747" s="584"/>
      <c r="B1747" s="1043" t="s">
        <v>36</v>
      </c>
      <c r="C1747" s="1043" t="s">
        <v>37</v>
      </c>
      <c r="D1747" s="1044" t="s">
        <v>2362</v>
      </c>
      <c r="E1747" s="1027" t="s">
        <v>2363</v>
      </c>
      <c r="F1747" s="1028">
        <v>10080006</v>
      </c>
      <c r="G1747" s="1028" t="s">
        <v>39</v>
      </c>
      <c r="H1747" s="1029">
        <v>236485</v>
      </c>
      <c r="I1747" s="1033" t="s">
        <v>40</v>
      </c>
      <c r="J1747" s="1032">
        <v>40403</v>
      </c>
      <c r="K1747" s="1041">
        <f>+L1747-J1747</f>
        <v>89</v>
      </c>
      <c r="L1747" s="641">
        <v>40492</v>
      </c>
      <c r="M1747" s="1032" t="s">
        <v>41</v>
      </c>
      <c r="N1747" s="1028" t="s">
        <v>1750</v>
      </c>
      <c r="O1747" s="1032">
        <v>40455</v>
      </c>
      <c r="P1747" s="1041">
        <f t="shared" si="36"/>
        <v>-21</v>
      </c>
      <c r="Q1747" s="591" t="s">
        <v>2351</v>
      </c>
      <c r="R1747" s="460">
        <v>40465</v>
      </c>
      <c r="S1747" s="471">
        <v>40471</v>
      </c>
      <c r="T1747" s="464">
        <v>40483</v>
      </c>
      <c r="U1747" s="1041">
        <f t="shared" si="37"/>
        <v>80</v>
      </c>
      <c r="V1747" s="446" t="s">
        <v>2364</v>
      </c>
      <c r="W1747" s="493" t="s">
        <v>2355</v>
      </c>
      <c r="X1747" s="1037"/>
      <c r="Y1747" s="456" t="s">
        <v>2360</v>
      </c>
      <c r="Z1747" s="468">
        <v>3109968374</v>
      </c>
      <c r="AA1747" s="1028" t="s">
        <v>47</v>
      </c>
      <c r="AB1747" s="460" t="s">
        <v>2356</v>
      </c>
      <c r="AC1747" s="723"/>
      <c r="AD1747" s="645" t="str">
        <f t="shared" si="34"/>
        <v>en término</v>
      </c>
    </row>
    <row r="1748" spans="1:40" s="587" customFormat="1" ht="54.95" customHeight="1" thickBot="1" x14ac:dyDescent="0.25">
      <c r="A1748" s="584"/>
      <c r="B1748" s="1043" t="s">
        <v>36</v>
      </c>
      <c r="C1748" s="1043" t="s">
        <v>37</v>
      </c>
      <c r="D1748" s="1044" t="s">
        <v>2365</v>
      </c>
      <c r="E1748" s="1027" t="s">
        <v>2366</v>
      </c>
      <c r="F1748" s="1028">
        <v>10090004</v>
      </c>
      <c r="G1748" s="1028" t="s">
        <v>39</v>
      </c>
      <c r="H1748" s="1029">
        <v>320</v>
      </c>
      <c r="I1748" s="1033"/>
      <c r="J1748" s="1032">
        <v>40437</v>
      </c>
      <c r="K1748" s="1041">
        <v>30</v>
      </c>
      <c r="L1748" s="641">
        <v>40460</v>
      </c>
      <c r="M1748" s="1032" t="s">
        <v>41</v>
      </c>
      <c r="N1748" s="1028" t="s">
        <v>1750</v>
      </c>
      <c r="O1748" s="1032">
        <v>40455</v>
      </c>
      <c r="P1748" s="1041">
        <f t="shared" si="36"/>
        <v>11</v>
      </c>
      <c r="Q1748" s="1034" t="s">
        <v>2351</v>
      </c>
      <c r="R1748" s="1032">
        <v>40465</v>
      </c>
      <c r="S1748" s="642">
        <v>40471</v>
      </c>
      <c r="T1748" s="1031">
        <v>40483</v>
      </c>
      <c r="U1748" s="1041">
        <f t="shared" si="37"/>
        <v>46</v>
      </c>
      <c r="V1748" s="446" t="s">
        <v>2367</v>
      </c>
      <c r="W1748" s="659" t="s">
        <v>2355</v>
      </c>
      <c r="X1748" s="1028"/>
      <c r="Y1748" s="1037"/>
      <c r="Z1748" s="446">
        <v>3109968374</v>
      </c>
      <c r="AA1748" s="1028" t="s">
        <v>47</v>
      </c>
      <c r="AB1748" s="460" t="s">
        <v>2356</v>
      </c>
      <c r="AC1748" s="723"/>
      <c r="AD1748" s="645" t="str">
        <f t="shared" si="34"/>
        <v>atrasado</v>
      </c>
    </row>
    <row r="1749" spans="1:40" s="587" customFormat="1" ht="54.95" customHeight="1" thickBot="1" x14ac:dyDescent="0.25">
      <c r="A1749" s="584"/>
      <c r="B1749" s="455" t="s">
        <v>36</v>
      </c>
      <c r="C1749" s="455" t="s">
        <v>133</v>
      </c>
      <c r="D1749" s="456" t="s">
        <v>2205</v>
      </c>
      <c r="E1749" s="468" t="s">
        <v>2206</v>
      </c>
      <c r="F1749" s="457">
        <v>4503395755</v>
      </c>
      <c r="G1749" s="457" t="s">
        <v>39</v>
      </c>
      <c r="H1749" s="458">
        <v>34375.01</v>
      </c>
      <c r="I1749" s="459" t="s">
        <v>62</v>
      </c>
      <c r="J1749" s="460">
        <v>40337</v>
      </c>
      <c r="K1749" s="461">
        <v>167</v>
      </c>
      <c r="L1749" s="462">
        <f>+J1749+K1749</f>
        <v>40504</v>
      </c>
      <c r="M1749" s="460" t="s">
        <v>41</v>
      </c>
      <c r="N1749" s="457" t="s">
        <v>1750</v>
      </c>
      <c r="O1749" s="460">
        <v>40455</v>
      </c>
      <c r="P1749" s="461">
        <f t="shared" si="36"/>
        <v>-33</v>
      </c>
      <c r="Q1749" s="591" t="s">
        <v>2351</v>
      </c>
      <c r="R1749" s="460">
        <v>40465</v>
      </c>
      <c r="S1749" s="471">
        <v>40471</v>
      </c>
      <c r="T1749" s="464">
        <v>40483</v>
      </c>
      <c r="U1749" s="461">
        <f t="shared" si="37"/>
        <v>146</v>
      </c>
      <c r="V1749" s="468" t="s">
        <v>1193</v>
      </c>
      <c r="W1749" s="493" t="s">
        <v>2368</v>
      </c>
      <c r="X1749" s="457"/>
      <c r="Y1749" s="456" t="s">
        <v>2360</v>
      </c>
      <c r="Z1749" s="468">
        <v>3109968374</v>
      </c>
      <c r="AA1749" s="457" t="s">
        <v>47</v>
      </c>
      <c r="AB1749" s="460" t="s">
        <v>47</v>
      </c>
      <c r="AC1749" s="470"/>
      <c r="AD1749" s="645" t="str">
        <f t="shared" si="34"/>
        <v>en término</v>
      </c>
    </row>
    <row r="1750" spans="1:40" s="587" customFormat="1" ht="54.95" customHeight="1" thickBot="1" x14ac:dyDescent="0.25">
      <c r="A1750" s="584"/>
      <c r="B1750" s="455" t="s">
        <v>36</v>
      </c>
      <c r="C1750" s="455" t="s">
        <v>133</v>
      </c>
      <c r="D1750" s="456" t="s">
        <v>2349</v>
      </c>
      <c r="E1750" s="468" t="s">
        <v>2350</v>
      </c>
      <c r="F1750" s="457">
        <v>4503509077</v>
      </c>
      <c r="G1750" s="457" t="s">
        <v>39</v>
      </c>
      <c r="H1750" s="458">
        <v>193230</v>
      </c>
      <c r="I1750" s="459" t="s">
        <v>52</v>
      </c>
      <c r="J1750" s="460">
        <v>40403</v>
      </c>
      <c r="K1750" s="461">
        <v>96</v>
      </c>
      <c r="L1750" s="462">
        <f>+J1750+K1750</f>
        <v>40499</v>
      </c>
      <c r="M1750" s="460" t="s">
        <v>41</v>
      </c>
      <c r="N1750" s="457" t="s">
        <v>1750</v>
      </c>
      <c r="O1750" s="460">
        <v>40479</v>
      </c>
      <c r="P1750" s="461">
        <f t="shared" si="36"/>
        <v>-11</v>
      </c>
      <c r="Q1750" s="591" t="s">
        <v>2369</v>
      </c>
      <c r="R1750" s="460">
        <v>40486</v>
      </c>
      <c r="S1750" s="471">
        <v>40488</v>
      </c>
      <c r="T1750" s="464">
        <v>40504</v>
      </c>
      <c r="U1750" s="461">
        <f t="shared" si="37"/>
        <v>101</v>
      </c>
      <c r="V1750" s="468" t="s">
        <v>873</v>
      </c>
      <c r="W1750" s="493">
        <v>101</v>
      </c>
      <c r="X1750" s="457" t="s">
        <v>47</v>
      </c>
      <c r="Y1750" s="456" t="s">
        <v>2370</v>
      </c>
      <c r="Z1750" s="468">
        <v>3109968352</v>
      </c>
      <c r="AA1750" s="457" t="s">
        <v>2371</v>
      </c>
      <c r="AB1750" s="460" t="s">
        <v>2372</v>
      </c>
      <c r="AC1750" s="634" t="s">
        <v>2373</v>
      </c>
      <c r="AD1750" s="645" t="str">
        <f t="shared" si="34"/>
        <v>en término</v>
      </c>
    </row>
    <row r="1751" spans="1:40" s="587" customFormat="1" ht="54.95" customHeight="1" thickBot="1" x14ac:dyDescent="0.25">
      <c r="A1751" s="584"/>
      <c r="B1751" s="455" t="s">
        <v>36</v>
      </c>
      <c r="C1751" s="455" t="s">
        <v>133</v>
      </c>
      <c r="D1751" s="456" t="s">
        <v>2349</v>
      </c>
      <c r="E1751" s="468" t="s">
        <v>2350</v>
      </c>
      <c r="F1751" s="457">
        <v>4503526313</v>
      </c>
      <c r="G1751" s="457" t="s">
        <v>39</v>
      </c>
      <c r="H1751" s="458">
        <v>3344.5</v>
      </c>
      <c r="I1751" s="459" t="s">
        <v>62</v>
      </c>
      <c r="J1751" s="460">
        <v>40415</v>
      </c>
      <c r="K1751" s="461">
        <f>+L1751-J1751</f>
        <v>94</v>
      </c>
      <c r="L1751" s="462">
        <v>40509</v>
      </c>
      <c r="M1751" s="460" t="s">
        <v>41</v>
      </c>
      <c r="N1751" s="457" t="s">
        <v>1750</v>
      </c>
      <c r="O1751" s="460">
        <v>40479</v>
      </c>
      <c r="P1751" s="461">
        <f t="shared" si="36"/>
        <v>-21</v>
      </c>
      <c r="Q1751" s="591" t="s">
        <v>2369</v>
      </c>
      <c r="R1751" s="460">
        <v>40486</v>
      </c>
      <c r="S1751" s="471">
        <v>40488</v>
      </c>
      <c r="T1751" s="464">
        <v>40504</v>
      </c>
      <c r="U1751" s="461">
        <f t="shared" si="37"/>
        <v>89</v>
      </c>
      <c r="V1751" s="468" t="s">
        <v>73</v>
      </c>
      <c r="W1751" s="493">
        <v>100</v>
      </c>
      <c r="X1751" s="457"/>
      <c r="Y1751" s="456" t="s">
        <v>2370</v>
      </c>
      <c r="Z1751" s="468">
        <v>3109968352</v>
      </c>
      <c r="AA1751" s="457" t="s">
        <v>2371</v>
      </c>
      <c r="AB1751" s="460" t="s">
        <v>2374</v>
      </c>
      <c r="AC1751" s="470"/>
      <c r="AD1751" s="645" t="str">
        <f t="shared" si="34"/>
        <v>en término</v>
      </c>
    </row>
    <row r="1752" spans="1:40" s="413" customFormat="1" ht="54.95" customHeight="1" thickBot="1" x14ac:dyDescent="0.25">
      <c r="A1752" s="411"/>
      <c r="B1752" s="455" t="s">
        <v>36</v>
      </c>
      <c r="C1752" s="455" t="s">
        <v>37</v>
      </c>
      <c r="D1752" s="456" t="s">
        <v>2080</v>
      </c>
      <c r="E1752" s="501" t="s">
        <v>2375</v>
      </c>
      <c r="F1752" s="457">
        <v>10080009</v>
      </c>
      <c r="G1752" s="457" t="s">
        <v>1192</v>
      </c>
      <c r="H1752" s="458">
        <v>24608.5</v>
      </c>
      <c r="I1752" s="459" t="s">
        <v>40</v>
      </c>
      <c r="J1752" s="460">
        <v>40420</v>
      </c>
      <c r="K1752" s="461">
        <f>+L1752-J1752</f>
        <v>75</v>
      </c>
      <c r="L1752" s="460">
        <v>40495</v>
      </c>
      <c r="M1752" s="460" t="s">
        <v>41</v>
      </c>
      <c r="N1752" s="457" t="s">
        <v>1750</v>
      </c>
      <c r="O1752" s="460">
        <v>40479</v>
      </c>
      <c r="P1752" s="461">
        <f t="shared" si="36"/>
        <v>-7</v>
      </c>
      <c r="Q1752" s="591" t="s">
        <v>2369</v>
      </c>
      <c r="R1752" s="460">
        <v>40486</v>
      </c>
      <c r="S1752" s="471">
        <v>40488</v>
      </c>
      <c r="T1752" s="464">
        <v>40504</v>
      </c>
      <c r="U1752" s="461">
        <f t="shared" si="37"/>
        <v>84</v>
      </c>
      <c r="V1752" s="468" t="s">
        <v>2376</v>
      </c>
      <c r="W1752" s="493" t="s">
        <v>2377</v>
      </c>
      <c r="X1752" s="467"/>
      <c r="Y1752" s="592"/>
      <c r="Z1752" s="532">
        <v>3109968352</v>
      </c>
      <c r="AA1752" s="457" t="s">
        <v>47</v>
      </c>
      <c r="AB1752" s="473" t="str">
        <f ca="1">IF(S1752="","",IF('o.c.'!$Z$1&lt;(S1752+180),(S1752+180),"VENCIDA"))</f>
        <v>VENCIDA</v>
      </c>
      <c r="AC1752" s="722"/>
      <c r="AD1752" s="645" t="str">
        <f t="shared" ref="AD1752:AD1770" si="38">IF(P1752="","",IF(P1752&lt;=0,"en término","atrasado"))</f>
        <v>en término</v>
      </c>
      <c r="AE1752" s="645"/>
      <c r="AF1752" s="587"/>
      <c r="AG1752" s="587"/>
      <c r="AH1752" s="587"/>
      <c r="AI1752" s="587"/>
      <c r="AJ1752" s="587"/>
      <c r="AK1752" s="587"/>
      <c r="AL1752" s="587"/>
      <c r="AM1752" s="587"/>
      <c r="AN1752" s="610"/>
    </row>
    <row r="1753" spans="1:40" s="413" customFormat="1" ht="54.95" customHeight="1" thickBot="1" x14ac:dyDescent="0.25">
      <c r="A1753" s="411"/>
      <c r="B1753" s="455" t="s">
        <v>36</v>
      </c>
      <c r="C1753" s="455" t="s">
        <v>37</v>
      </c>
      <c r="D1753" s="456" t="s">
        <v>2378</v>
      </c>
      <c r="E1753" s="501" t="s">
        <v>2379</v>
      </c>
      <c r="F1753" s="457">
        <v>10090001</v>
      </c>
      <c r="G1753" s="457" t="s">
        <v>39</v>
      </c>
      <c r="H1753" s="458">
        <v>13948.5</v>
      </c>
      <c r="I1753" s="459"/>
      <c r="J1753" s="460">
        <v>40429</v>
      </c>
      <c r="K1753" s="461">
        <f>+L1753-J1753</f>
        <v>54</v>
      </c>
      <c r="L1753" s="460">
        <v>40483</v>
      </c>
      <c r="M1753" s="460" t="s">
        <v>41</v>
      </c>
      <c r="N1753" s="457" t="s">
        <v>1750</v>
      </c>
      <c r="O1753" s="460">
        <v>40479</v>
      </c>
      <c r="P1753" s="461">
        <f t="shared" ref="P1753:P1770" si="39">IF(S1753="","",+S1753-L1753)</f>
        <v>5</v>
      </c>
      <c r="Q1753" s="591" t="s">
        <v>2369</v>
      </c>
      <c r="R1753" s="460">
        <v>40486</v>
      </c>
      <c r="S1753" s="471">
        <v>40488</v>
      </c>
      <c r="T1753" s="464">
        <v>40504</v>
      </c>
      <c r="U1753" s="461">
        <f t="shared" ref="U1753:U1770" si="40">IF(T1753="","",+T1753-J1753)</f>
        <v>75</v>
      </c>
      <c r="V1753" s="468" t="s">
        <v>2348</v>
      </c>
      <c r="W1753" s="493" t="s">
        <v>2377</v>
      </c>
      <c r="X1753" s="467"/>
      <c r="Y1753" s="592"/>
      <c r="Z1753" s="532">
        <v>3109968352</v>
      </c>
      <c r="AA1753" s="457" t="s">
        <v>47</v>
      </c>
      <c r="AB1753" s="473" t="str">
        <f ca="1">IF(S1753="","",IF('o.c.'!$Z$1&lt;(S1753+180),(S1753+180),"VENCIDA"))</f>
        <v>VENCIDA</v>
      </c>
      <c r="AC1753" s="722"/>
      <c r="AD1753" s="645" t="str">
        <f t="shared" si="38"/>
        <v>atrasado</v>
      </c>
      <c r="AE1753" s="645"/>
      <c r="AF1753" s="587"/>
      <c r="AG1753" s="587"/>
      <c r="AH1753" s="587"/>
      <c r="AI1753" s="587"/>
      <c r="AJ1753" s="587"/>
      <c r="AK1753" s="587"/>
      <c r="AL1753" s="587"/>
      <c r="AM1753" s="587"/>
      <c r="AN1753" s="610"/>
    </row>
    <row r="1754" spans="1:40" s="413" customFormat="1" ht="54.95" customHeight="1" thickBot="1" x14ac:dyDescent="0.25">
      <c r="A1754" s="411"/>
      <c r="B1754" s="1043" t="s">
        <v>36</v>
      </c>
      <c r="C1754" s="1043" t="s">
        <v>37</v>
      </c>
      <c r="D1754" s="1044" t="s">
        <v>2380</v>
      </c>
      <c r="E1754" s="1027" t="s">
        <v>2381</v>
      </c>
      <c r="F1754" s="1028">
        <v>10090003</v>
      </c>
      <c r="G1754" s="1028" t="s">
        <v>39</v>
      </c>
      <c r="H1754" s="1029">
        <v>3300</v>
      </c>
      <c r="I1754" s="1033" t="s">
        <v>40</v>
      </c>
      <c r="J1754" s="1032">
        <v>40429</v>
      </c>
      <c r="K1754" s="1041">
        <v>68</v>
      </c>
      <c r="L1754" s="1032">
        <v>40487</v>
      </c>
      <c r="M1754" s="1032" t="s">
        <v>41</v>
      </c>
      <c r="N1754" s="1028" t="s">
        <v>1750</v>
      </c>
      <c r="O1754" s="1032">
        <v>40479</v>
      </c>
      <c r="P1754" s="1041">
        <f t="shared" si="39"/>
        <v>1</v>
      </c>
      <c r="Q1754" s="591" t="s">
        <v>2369</v>
      </c>
      <c r="R1754" s="460">
        <v>40486</v>
      </c>
      <c r="S1754" s="471">
        <v>40488</v>
      </c>
      <c r="T1754" s="464">
        <v>40504</v>
      </c>
      <c r="U1754" s="1041">
        <f t="shared" si="40"/>
        <v>75</v>
      </c>
      <c r="V1754" s="446" t="s">
        <v>937</v>
      </c>
      <c r="W1754" s="659" t="s">
        <v>2377</v>
      </c>
      <c r="X1754" s="1028"/>
      <c r="Y1754" s="1037"/>
      <c r="Z1754" s="446">
        <v>3109968352</v>
      </c>
      <c r="AA1754" s="1028" t="s">
        <v>47</v>
      </c>
      <c r="AB1754" s="704" t="str">
        <f ca="1">IF(S1754="","",IF('o.c.'!$Z$1&lt;(S1754+180),(S1754+180),"VENCIDA"))</f>
        <v>VENCIDA</v>
      </c>
      <c r="AC1754" s="723"/>
      <c r="AD1754" s="645" t="str">
        <f t="shared" si="38"/>
        <v>atrasado</v>
      </c>
      <c r="AE1754" s="645"/>
      <c r="AF1754" s="587"/>
      <c r="AG1754" s="587"/>
      <c r="AH1754" s="587"/>
      <c r="AI1754" s="587"/>
      <c r="AJ1754" s="587"/>
      <c r="AK1754" s="587"/>
      <c r="AL1754" s="587"/>
      <c r="AM1754" s="587"/>
      <c r="AN1754" s="610"/>
    </row>
    <row r="1755" spans="1:40" s="413" customFormat="1" ht="54.95" customHeight="1" thickBot="1" x14ac:dyDescent="0.25">
      <c r="A1755" s="411"/>
      <c r="B1755" s="1043" t="s">
        <v>36</v>
      </c>
      <c r="C1755" s="1043" t="s">
        <v>37</v>
      </c>
      <c r="D1755" s="1044" t="s">
        <v>2382</v>
      </c>
      <c r="E1755" s="1027" t="s">
        <v>2383</v>
      </c>
      <c r="F1755" s="1028">
        <v>10100001</v>
      </c>
      <c r="G1755" s="1028" t="s">
        <v>39</v>
      </c>
      <c r="H1755" s="1029">
        <v>3450</v>
      </c>
      <c r="I1755" s="1033"/>
      <c r="J1755" s="1032">
        <v>40455</v>
      </c>
      <c r="K1755" s="1041">
        <f t="shared" ref="K1755:K1764" si="41">+L1755-J1755</f>
        <v>16</v>
      </c>
      <c r="L1755" s="1032">
        <v>40471</v>
      </c>
      <c r="M1755" s="1032" t="s">
        <v>41</v>
      </c>
      <c r="N1755" s="1028" t="s">
        <v>2384</v>
      </c>
      <c r="O1755" s="1032">
        <v>40466</v>
      </c>
      <c r="P1755" s="1041">
        <f t="shared" si="39"/>
        <v>5</v>
      </c>
      <c r="Q1755" s="1034"/>
      <c r="R1755" s="1032"/>
      <c r="S1755" s="642">
        <v>40476</v>
      </c>
      <c r="T1755" s="1031">
        <f>+S1755+5</f>
        <v>40481</v>
      </c>
      <c r="U1755" s="1041">
        <f t="shared" si="40"/>
        <v>26</v>
      </c>
      <c r="V1755" s="446" t="s">
        <v>2385</v>
      </c>
      <c r="W1755" s="659" t="s">
        <v>2386</v>
      </c>
      <c r="X1755" s="1037"/>
      <c r="Y1755" s="1037"/>
      <c r="Z1755" s="446" t="s">
        <v>1676</v>
      </c>
      <c r="AA1755" s="1028" t="s">
        <v>2387</v>
      </c>
      <c r="AB1755" s="704" t="str">
        <f ca="1">IF(S1755="","",IF('o.c.'!$Z$1&lt;(S1755+180),(S1755+180),"VENCIDA"))</f>
        <v>VENCIDA</v>
      </c>
      <c r="AC1755" s="723"/>
      <c r="AD1755" s="645" t="str">
        <f t="shared" si="38"/>
        <v>atrasado</v>
      </c>
      <c r="AE1755" s="645"/>
      <c r="AF1755" s="587"/>
      <c r="AG1755" s="587"/>
      <c r="AH1755" s="587"/>
      <c r="AI1755" s="587"/>
      <c r="AJ1755" s="587"/>
      <c r="AK1755" s="587"/>
      <c r="AL1755" s="587"/>
      <c r="AM1755" s="587"/>
      <c r="AN1755" s="610"/>
    </row>
    <row r="1756" spans="1:40" s="587" customFormat="1" ht="54.95" customHeight="1" thickBot="1" x14ac:dyDescent="0.25">
      <c r="A1756" s="584"/>
      <c r="B1756" s="1043" t="s">
        <v>36</v>
      </c>
      <c r="C1756" s="1043" t="s">
        <v>133</v>
      </c>
      <c r="D1756" s="1044" t="s">
        <v>2349</v>
      </c>
      <c r="E1756" s="1027" t="s">
        <v>2350</v>
      </c>
      <c r="F1756" s="1028">
        <v>4503515666</v>
      </c>
      <c r="G1756" s="1028" t="s">
        <v>39</v>
      </c>
      <c r="H1756" s="1029">
        <v>6713.07</v>
      </c>
      <c r="I1756" s="1033" t="s">
        <v>52</v>
      </c>
      <c r="J1756" s="1032">
        <v>40408</v>
      </c>
      <c r="K1756" s="1041">
        <f t="shared" si="41"/>
        <v>96</v>
      </c>
      <c r="L1756" s="641">
        <v>40504</v>
      </c>
      <c r="M1756" s="1032" t="s">
        <v>41</v>
      </c>
      <c r="N1756" s="1028" t="s">
        <v>1750</v>
      </c>
      <c r="O1756" s="1032">
        <v>40500</v>
      </c>
      <c r="P1756" s="1041">
        <f t="shared" si="39"/>
        <v>4</v>
      </c>
      <c r="Q1756" s="1034" t="s">
        <v>2388</v>
      </c>
      <c r="R1756" s="1032">
        <v>40507</v>
      </c>
      <c r="S1756" s="642">
        <v>40508</v>
      </c>
      <c r="T1756" s="724">
        <v>40525</v>
      </c>
      <c r="U1756" s="1041">
        <f t="shared" si="40"/>
        <v>117</v>
      </c>
      <c r="V1756" s="446" t="s">
        <v>53</v>
      </c>
      <c r="W1756" s="659">
        <v>111</v>
      </c>
      <c r="X1756" s="1028"/>
      <c r="Y1756" s="1037"/>
      <c r="Z1756" s="468">
        <v>3106698271</v>
      </c>
      <c r="AA1756" s="1028" t="s">
        <v>47</v>
      </c>
      <c r="AB1756" s="1039" t="s">
        <v>2389</v>
      </c>
      <c r="AC1756" s="723" t="s">
        <v>2390</v>
      </c>
      <c r="AD1756" s="645" t="str">
        <f t="shared" si="38"/>
        <v>atrasado</v>
      </c>
    </row>
    <row r="1757" spans="1:40" s="587" customFormat="1" ht="54.95" customHeight="1" thickBot="1" x14ac:dyDescent="0.25">
      <c r="A1757" s="584"/>
      <c r="B1757" s="455" t="s">
        <v>36</v>
      </c>
      <c r="C1757" s="455" t="s">
        <v>133</v>
      </c>
      <c r="D1757" s="456" t="s">
        <v>2349</v>
      </c>
      <c r="E1757" s="468" t="s">
        <v>2350</v>
      </c>
      <c r="F1757" s="457">
        <v>4503530149</v>
      </c>
      <c r="G1757" s="457" t="s">
        <v>39</v>
      </c>
      <c r="H1757" s="458">
        <v>40700.28</v>
      </c>
      <c r="I1757" s="459" t="s">
        <v>62</v>
      </c>
      <c r="J1757" s="460">
        <v>40416</v>
      </c>
      <c r="K1757" s="461">
        <f t="shared" si="41"/>
        <v>98</v>
      </c>
      <c r="L1757" s="462">
        <v>40514</v>
      </c>
      <c r="M1757" s="460" t="s">
        <v>41</v>
      </c>
      <c r="N1757" s="457" t="s">
        <v>1750</v>
      </c>
      <c r="O1757" s="460">
        <v>40500</v>
      </c>
      <c r="P1757" s="461">
        <f t="shared" si="39"/>
        <v>-6</v>
      </c>
      <c r="Q1757" s="591" t="s">
        <v>2388</v>
      </c>
      <c r="R1757" s="460">
        <v>40507</v>
      </c>
      <c r="S1757" s="471">
        <v>40508</v>
      </c>
      <c r="T1757" s="464">
        <v>40525</v>
      </c>
      <c r="U1757" s="461">
        <f t="shared" si="40"/>
        <v>109</v>
      </c>
      <c r="V1757" s="468" t="s">
        <v>892</v>
      </c>
      <c r="W1757" s="493">
        <v>113</v>
      </c>
      <c r="X1757" s="457"/>
      <c r="Y1757" s="456">
        <v>40498</v>
      </c>
      <c r="Z1757" s="468">
        <v>3106698271</v>
      </c>
      <c r="AA1757" s="457" t="s">
        <v>47</v>
      </c>
      <c r="AB1757" s="460" t="s">
        <v>47</v>
      </c>
      <c r="AC1757" s="634" t="s">
        <v>2390</v>
      </c>
      <c r="AD1757" s="645" t="str">
        <f t="shared" si="38"/>
        <v>en término</v>
      </c>
    </row>
    <row r="1758" spans="1:40" s="587" customFormat="1" ht="54.95" customHeight="1" thickBot="1" x14ac:dyDescent="0.25">
      <c r="A1758" s="584"/>
      <c r="B1758" s="1043" t="s">
        <v>36</v>
      </c>
      <c r="C1758" s="1043" t="s">
        <v>133</v>
      </c>
      <c r="D1758" s="1044" t="s">
        <v>2349</v>
      </c>
      <c r="E1758" s="1027" t="s">
        <v>2350</v>
      </c>
      <c r="F1758" s="1028">
        <v>4503554481</v>
      </c>
      <c r="G1758" s="1028" t="s">
        <v>39</v>
      </c>
      <c r="H1758" s="1029">
        <v>10309.83</v>
      </c>
      <c r="I1758" s="1033" t="s">
        <v>40</v>
      </c>
      <c r="J1758" s="1032">
        <v>40430</v>
      </c>
      <c r="K1758" s="1041">
        <f t="shared" si="41"/>
        <v>97</v>
      </c>
      <c r="L1758" s="641">
        <v>40527</v>
      </c>
      <c r="M1758" s="1032" t="s">
        <v>41</v>
      </c>
      <c r="N1758" s="1028" t="s">
        <v>1750</v>
      </c>
      <c r="O1758" s="1032">
        <v>40500</v>
      </c>
      <c r="P1758" s="1041">
        <f t="shared" si="39"/>
        <v>-19</v>
      </c>
      <c r="Q1758" s="591" t="s">
        <v>2388</v>
      </c>
      <c r="R1758" s="460">
        <v>40507</v>
      </c>
      <c r="S1758" s="471">
        <v>40508</v>
      </c>
      <c r="T1758" s="464">
        <v>40525</v>
      </c>
      <c r="U1758" s="1041">
        <f t="shared" si="40"/>
        <v>95</v>
      </c>
      <c r="V1758" s="446" t="s">
        <v>2391</v>
      </c>
      <c r="W1758" s="659">
        <v>114</v>
      </c>
      <c r="X1758" s="1028" t="s">
        <v>47</v>
      </c>
      <c r="Y1758" s="1037"/>
      <c r="Z1758" s="446">
        <v>3106698271</v>
      </c>
      <c r="AA1758" s="1028" t="s">
        <v>47</v>
      </c>
      <c r="AB1758" s="1032" t="s">
        <v>47</v>
      </c>
      <c r="AC1758" s="723" t="s">
        <v>2390</v>
      </c>
      <c r="AD1758" s="645" t="str">
        <f t="shared" si="38"/>
        <v>en término</v>
      </c>
    </row>
    <row r="1759" spans="1:40" s="587" customFormat="1" ht="54.95" customHeight="1" thickBot="1" x14ac:dyDescent="0.25">
      <c r="A1759" s="584"/>
      <c r="B1759" s="1043" t="s">
        <v>36</v>
      </c>
      <c r="C1759" s="1043" t="s">
        <v>133</v>
      </c>
      <c r="D1759" s="1044" t="s">
        <v>2349</v>
      </c>
      <c r="E1759" s="1027" t="s">
        <v>2350</v>
      </c>
      <c r="F1759" s="1028">
        <v>4503637826</v>
      </c>
      <c r="G1759" s="1028" t="s">
        <v>39</v>
      </c>
      <c r="H1759" s="1029">
        <v>1304.76</v>
      </c>
      <c r="I1759" s="1033" t="s">
        <v>142</v>
      </c>
      <c r="J1759" s="1032">
        <v>40409</v>
      </c>
      <c r="K1759" s="1041">
        <f t="shared" si="41"/>
        <v>97</v>
      </c>
      <c r="L1759" s="641">
        <v>40506</v>
      </c>
      <c r="M1759" s="1032" t="s">
        <v>41</v>
      </c>
      <c r="N1759" s="1028" t="s">
        <v>1750</v>
      </c>
      <c r="O1759" s="1032">
        <v>40500</v>
      </c>
      <c r="P1759" s="1041">
        <f t="shared" si="39"/>
        <v>2</v>
      </c>
      <c r="Q1759" s="591" t="s">
        <v>2388</v>
      </c>
      <c r="R1759" s="460">
        <v>40507</v>
      </c>
      <c r="S1759" s="471">
        <v>40508</v>
      </c>
      <c r="T1759" s="464">
        <v>40525</v>
      </c>
      <c r="U1759" s="1041">
        <f t="shared" si="40"/>
        <v>116</v>
      </c>
      <c r="V1759" s="446" t="s">
        <v>53</v>
      </c>
      <c r="W1759" s="659">
        <v>112</v>
      </c>
      <c r="X1759" s="1028"/>
      <c r="Y1759" s="1037"/>
      <c r="Z1759" s="446">
        <v>3109968282</v>
      </c>
      <c r="AA1759" s="1028" t="s">
        <v>47</v>
      </c>
      <c r="AB1759" s="1039" t="s">
        <v>2392</v>
      </c>
      <c r="AC1759" s="723" t="s">
        <v>2393</v>
      </c>
      <c r="AD1759" s="645" t="str">
        <f t="shared" si="38"/>
        <v>atrasado</v>
      </c>
    </row>
    <row r="1760" spans="1:40" s="587" customFormat="1" ht="54.95" customHeight="1" thickBot="1" x14ac:dyDescent="0.25">
      <c r="A1760" s="584"/>
      <c r="B1760" s="455" t="s">
        <v>36</v>
      </c>
      <c r="C1760" s="455" t="s">
        <v>133</v>
      </c>
      <c r="D1760" s="456" t="s">
        <v>2349</v>
      </c>
      <c r="E1760" s="468" t="s">
        <v>2350</v>
      </c>
      <c r="F1760" s="457">
        <v>4503486424</v>
      </c>
      <c r="G1760" s="457" t="s">
        <v>39</v>
      </c>
      <c r="H1760" s="458">
        <v>69829.64</v>
      </c>
      <c r="I1760" s="459" t="s">
        <v>40</v>
      </c>
      <c r="J1760" s="460">
        <v>40389</v>
      </c>
      <c r="K1760" s="461">
        <f t="shared" si="41"/>
        <v>122</v>
      </c>
      <c r="L1760" s="462">
        <v>40511</v>
      </c>
      <c r="M1760" s="460" t="s">
        <v>41</v>
      </c>
      <c r="N1760" s="457" t="s">
        <v>1750</v>
      </c>
      <c r="O1760" s="460">
        <v>40500</v>
      </c>
      <c r="P1760" s="461">
        <f t="shared" si="39"/>
        <v>-3</v>
      </c>
      <c r="Q1760" s="591" t="s">
        <v>2388</v>
      </c>
      <c r="R1760" s="460">
        <v>40507</v>
      </c>
      <c r="S1760" s="471">
        <v>40508</v>
      </c>
      <c r="T1760" s="464">
        <v>40525</v>
      </c>
      <c r="U1760" s="461">
        <f t="shared" si="40"/>
        <v>136</v>
      </c>
      <c r="V1760" s="468" t="s">
        <v>1090</v>
      </c>
      <c r="W1760" s="493">
        <v>110</v>
      </c>
      <c r="X1760" s="457"/>
      <c r="Y1760" s="456">
        <v>40498</v>
      </c>
      <c r="Z1760" s="468">
        <v>3106698271</v>
      </c>
      <c r="AA1760" s="457" t="s">
        <v>47</v>
      </c>
      <c r="AB1760" s="460" t="s">
        <v>2394</v>
      </c>
      <c r="AC1760" s="634" t="s">
        <v>2390</v>
      </c>
      <c r="AD1760" s="645" t="str">
        <f t="shared" si="38"/>
        <v>en término</v>
      </c>
    </row>
    <row r="1761" spans="1:40" s="413" customFormat="1" ht="54.95" customHeight="1" thickBot="1" x14ac:dyDescent="0.25">
      <c r="A1761" s="411"/>
      <c r="B1761" s="455" t="s">
        <v>36</v>
      </c>
      <c r="C1761" s="455" t="s">
        <v>37</v>
      </c>
      <c r="D1761" s="456" t="s">
        <v>2395</v>
      </c>
      <c r="E1761" s="501" t="s">
        <v>2396</v>
      </c>
      <c r="F1761" s="457">
        <v>10100002</v>
      </c>
      <c r="G1761" s="457" t="s">
        <v>39</v>
      </c>
      <c r="H1761" s="458">
        <v>440</v>
      </c>
      <c r="I1761" s="459" t="s">
        <v>142</v>
      </c>
      <c r="J1761" s="460">
        <v>40455</v>
      </c>
      <c r="K1761" s="461">
        <f t="shared" si="41"/>
        <v>60</v>
      </c>
      <c r="L1761" s="460">
        <v>40515</v>
      </c>
      <c r="M1761" s="460" t="s">
        <v>41</v>
      </c>
      <c r="N1761" s="457" t="s">
        <v>2384</v>
      </c>
      <c r="O1761" s="460">
        <v>40500</v>
      </c>
      <c r="P1761" s="461">
        <f t="shared" si="39"/>
        <v>-7</v>
      </c>
      <c r="Q1761" s="591" t="s">
        <v>2388</v>
      </c>
      <c r="R1761" s="460">
        <v>40507</v>
      </c>
      <c r="S1761" s="471">
        <v>40508</v>
      </c>
      <c r="T1761" s="464">
        <v>40525</v>
      </c>
      <c r="U1761" s="461">
        <f t="shared" si="40"/>
        <v>70</v>
      </c>
      <c r="V1761" s="468" t="s">
        <v>53</v>
      </c>
      <c r="W1761" s="493">
        <v>115</v>
      </c>
      <c r="X1761" s="592"/>
      <c r="Y1761" s="592"/>
      <c r="Z1761" s="468">
        <v>3106698271</v>
      </c>
      <c r="AA1761" s="457" t="s">
        <v>47</v>
      </c>
      <c r="AB1761" s="473" t="str">
        <f ca="1">IF(S1761="","",IF('o.c.'!$Z$1&lt;(S1761+180),(S1761+180),"VENCIDA"))</f>
        <v>VENCIDA</v>
      </c>
      <c r="AC1761" s="722" t="s">
        <v>2390</v>
      </c>
      <c r="AD1761" s="645" t="str">
        <f t="shared" si="38"/>
        <v>en término</v>
      </c>
      <c r="AE1761" s="645"/>
      <c r="AF1761" s="587"/>
      <c r="AG1761" s="587"/>
      <c r="AH1761" s="587"/>
      <c r="AI1761" s="587"/>
      <c r="AJ1761" s="587"/>
      <c r="AK1761" s="587"/>
      <c r="AL1761" s="587"/>
      <c r="AM1761" s="587"/>
      <c r="AN1761" s="610"/>
    </row>
    <row r="1762" spans="1:40" s="413" customFormat="1" ht="54.95" customHeight="1" thickBot="1" x14ac:dyDescent="0.25">
      <c r="A1762" s="411"/>
      <c r="B1762" s="455" t="s">
        <v>36</v>
      </c>
      <c r="C1762" s="455" t="s">
        <v>37</v>
      </c>
      <c r="D1762" s="456" t="s">
        <v>2397</v>
      </c>
      <c r="E1762" s="501" t="s">
        <v>2398</v>
      </c>
      <c r="F1762" s="457">
        <v>10100003</v>
      </c>
      <c r="G1762" s="457" t="s">
        <v>39</v>
      </c>
      <c r="H1762" s="458">
        <v>3979</v>
      </c>
      <c r="I1762" s="459"/>
      <c r="J1762" s="460">
        <v>40466</v>
      </c>
      <c r="K1762" s="461">
        <f t="shared" si="41"/>
        <v>74</v>
      </c>
      <c r="L1762" s="460">
        <v>40540</v>
      </c>
      <c r="M1762" s="460" t="s">
        <v>41</v>
      </c>
      <c r="N1762" s="457" t="s">
        <v>2222</v>
      </c>
      <c r="O1762" s="460">
        <v>40500</v>
      </c>
      <c r="P1762" s="461">
        <f t="shared" si="39"/>
        <v>-32</v>
      </c>
      <c r="Q1762" s="591" t="s">
        <v>2388</v>
      </c>
      <c r="R1762" s="460">
        <v>40507</v>
      </c>
      <c r="S1762" s="471">
        <v>40508</v>
      </c>
      <c r="T1762" s="464">
        <v>40525</v>
      </c>
      <c r="U1762" s="461">
        <f t="shared" si="40"/>
        <v>59</v>
      </c>
      <c r="V1762" s="468" t="s">
        <v>53</v>
      </c>
      <c r="W1762" s="493">
        <v>115</v>
      </c>
      <c r="X1762" s="592"/>
      <c r="Y1762" s="592"/>
      <c r="Z1762" s="468">
        <v>3106698271</v>
      </c>
      <c r="AA1762" s="457" t="s">
        <v>47</v>
      </c>
      <c r="AB1762" s="473" t="str">
        <f ca="1">IF(S1762="","",IF('o.c.'!$Z$1&lt;(S1762+180),(S1762+180),"VENCIDA"))</f>
        <v>VENCIDA</v>
      </c>
      <c r="AC1762" s="722" t="s">
        <v>2390</v>
      </c>
      <c r="AD1762" s="645" t="str">
        <f t="shared" si="38"/>
        <v>en término</v>
      </c>
      <c r="AE1762" s="645"/>
      <c r="AF1762" s="587"/>
      <c r="AG1762" s="587"/>
      <c r="AH1762" s="587"/>
      <c r="AI1762" s="587"/>
      <c r="AJ1762" s="587"/>
      <c r="AK1762" s="587"/>
      <c r="AL1762" s="587"/>
      <c r="AM1762" s="587"/>
      <c r="AN1762" s="610"/>
    </row>
    <row r="1763" spans="1:40" s="587" customFormat="1" ht="54.95" customHeight="1" thickBot="1" x14ac:dyDescent="0.25">
      <c r="A1763" s="584"/>
      <c r="B1763" s="455" t="s">
        <v>36</v>
      </c>
      <c r="C1763" s="455" t="s">
        <v>133</v>
      </c>
      <c r="D1763" s="456" t="s">
        <v>2349</v>
      </c>
      <c r="E1763" s="501" t="s">
        <v>2350</v>
      </c>
      <c r="F1763" s="457">
        <v>4503569658</v>
      </c>
      <c r="G1763" s="457" t="s">
        <v>39</v>
      </c>
      <c r="H1763" s="458">
        <v>2990.13</v>
      </c>
      <c r="I1763" s="459" t="s">
        <v>62</v>
      </c>
      <c r="J1763" s="460">
        <v>40441</v>
      </c>
      <c r="K1763" s="461">
        <f t="shared" si="41"/>
        <v>93</v>
      </c>
      <c r="L1763" s="462">
        <v>40534</v>
      </c>
      <c r="M1763" s="460" t="s">
        <v>41</v>
      </c>
      <c r="N1763" s="457" t="s">
        <v>1750</v>
      </c>
      <c r="O1763" s="460">
        <v>40533</v>
      </c>
      <c r="P1763" s="461">
        <f t="shared" si="39"/>
        <v>13</v>
      </c>
      <c r="Q1763" s="591" t="s">
        <v>2399</v>
      </c>
      <c r="R1763" s="460">
        <v>40544</v>
      </c>
      <c r="S1763" s="471">
        <v>40547</v>
      </c>
      <c r="T1763" s="464">
        <v>40562</v>
      </c>
      <c r="U1763" s="461">
        <f t="shared" si="40"/>
        <v>121</v>
      </c>
      <c r="V1763" s="468" t="s">
        <v>73</v>
      </c>
      <c r="W1763" s="493">
        <v>122</v>
      </c>
      <c r="X1763" s="457" t="s">
        <v>47</v>
      </c>
      <c r="Y1763" s="457" t="s">
        <v>2400</v>
      </c>
      <c r="Z1763" s="468">
        <v>3109968540</v>
      </c>
      <c r="AA1763" s="457" t="s">
        <v>47</v>
      </c>
      <c r="AB1763" s="589" t="s">
        <v>2401</v>
      </c>
      <c r="AC1763" s="722"/>
      <c r="AD1763" s="645" t="str">
        <f t="shared" si="38"/>
        <v>atrasado</v>
      </c>
    </row>
    <row r="1764" spans="1:40" s="587" customFormat="1" ht="54.95" customHeight="1" thickBot="1" x14ac:dyDescent="0.25">
      <c r="A1764" s="584"/>
      <c r="B1764" s="1043" t="s">
        <v>36</v>
      </c>
      <c r="C1764" s="1043" t="s">
        <v>133</v>
      </c>
      <c r="D1764" s="1044" t="s">
        <v>2349</v>
      </c>
      <c r="E1764" s="1027" t="s">
        <v>2350</v>
      </c>
      <c r="F1764" s="1028">
        <v>4503573607</v>
      </c>
      <c r="G1764" s="1028" t="s">
        <v>39</v>
      </c>
      <c r="H1764" s="1029">
        <v>9410.4500000000007</v>
      </c>
      <c r="I1764" s="1033" t="s">
        <v>52</v>
      </c>
      <c r="J1764" s="1032">
        <v>40442</v>
      </c>
      <c r="K1764" s="1041">
        <f t="shared" si="41"/>
        <v>98</v>
      </c>
      <c r="L1764" s="641">
        <v>40540</v>
      </c>
      <c r="M1764" s="1032" t="s">
        <v>41</v>
      </c>
      <c r="N1764" s="1028" t="s">
        <v>1750</v>
      </c>
      <c r="O1764" s="1032">
        <v>40533</v>
      </c>
      <c r="P1764" s="1041">
        <f t="shared" si="39"/>
        <v>7</v>
      </c>
      <c r="Q1764" s="591" t="s">
        <v>2399</v>
      </c>
      <c r="R1764" s="460">
        <v>40542</v>
      </c>
      <c r="S1764" s="471">
        <v>40547</v>
      </c>
      <c r="T1764" s="464">
        <v>40562</v>
      </c>
      <c r="U1764" s="1041">
        <f t="shared" si="40"/>
        <v>120</v>
      </c>
      <c r="V1764" s="446" t="s">
        <v>53</v>
      </c>
      <c r="W1764" s="659">
        <v>123</v>
      </c>
      <c r="X1764" s="1028"/>
      <c r="Y1764" s="1037"/>
      <c r="Z1764" s="468">
        <v>3109968540</v>
      </c>
      <c r="AA1764" s="1028" t="s">
        <v>47</v>
      </c>
      <c r="AB1764" s="1039" t="s">
        <v>2402</v>
      </c>
      <c r="AC1764" s="723"/>
      <c r="AD1764" s="645" t="str">
        <f t="shared" si="38"/>
        <v>atrasado</v>
      </c>
    </row>
    <row r="1765" spans="1:40" s="587" customFormat="1" ht="54.95" customHeight="1" thickBot="1" x14ac:dyDescent="0.25">
      <c r="A1765" s="584"/>
      <c r="B1765" s="455" t="s">
        <v>36</v>
      </c>
      <c r="C1765" s="455" t="s">
        <v>133</v>
      </c>
      <c r="D1765" s="456" t="s">
        <v>2041</v>
      </c>
      <c r="E1765" s="501" t="s">
        <v>2042</v>
      </c>
      <c r="F1765" s="457">
        <v>4503574018</v>
      </c>
      <c r="G1765" s="457" t="s">
        <v>39</v>
      </c>
      <c r="H1765" s="458">
        <v>92917.19</v>
      </c>
      <c r="I1765" s="459" t="s">
        <v>40</v>
      </c>
      <c r="J1765" s="460">
        <v>40443</v>
      </c>
      <c r="K1765" s="461">
        <v>105</v>
      </c>
      <c r="L1765" s="462">
        <f>+J1765+K1765</f>
        <v>40548</v>
      </c>
      <c r="M1765" s="460" t="s">
        <v>41</v>
      </c>
      <c r="N1765" s="457" t="s">
        <v>1750</v>
      </c>
      <c r="O1765" s="460">
        <v>40533</v>
      </c>
      <c r="P1765" s="461">
        <f t="shared" si="39"/>
        <v>-1</v>
      </c>
      <c r="Q1765" s="591" t="s">
        <v>2403</v>
      </c>
      <c r="R1765" s="460">
        <v>40542</v>
      </c>
      <c r="S1765" s="471">
        <v>40547</v>
      </c>
      <c r="T1765" s="464">
        <v>40560</v>
      </c>
      <c r="U1765" s="461">
        <f t="shared" si="40"/>
        <v>117</v>
      </c>
      <c r="V1765" s="468" t="s">
        <v>786</v>
      </c>
      <c r="W1765" s="493">
        <v>125</v>
      </c>
      <c r="X1765" s="457"/>
      <c r="Y1765" s="457" t="s">
        <v>2400</v>
      </c>
      <c r="Z1765" s="468">
        <v>3109968540</v>
      </c>
      <c r="AA1765" s="457" t="s">
        <v>47</v>
      </c>
      <c r="AB1765" s="460" t="s">
        <v>2404</v>
      </c>
      <c r="AC1765" s="722"/>
      <c r="AD1765" s="645" t="str">
        <f t="shared" si="38"/>
        <v>en término</v>
      </c>
    </row>
    <row r="1766" spans="1:40" s="587" customFormat="1" ht="54.95" customHeight="1" thickBot="1" x14ac:dyDescent="0.25">
      <c r="A1766" s="584"/>
      <c r="B1766" s="455" t="s">
        <v>36</v>
      </c>
      <c r="C1766" s="455" t="s">
        <v>133</v>
      </c>
      <c r="D1766" s="456" t="s">
        <v>2349</v>
      </c>
      <c r="E1766" s="501" t="s">
        <v>2350</v>
      </c>
      <c r="F1766" s="457">
        <v>4503593969</v>
      </c>
      <c r="G1766" s="457" t="s">
        <v>39</v>
      </c>
      <c r="H1766" s="458">
        <v>29920.98</v>
      </c>
      <c r="I1766" s="459" t="s">
        <v>142</v>
      </c>
      <c r="J1766" s="460">
        <v>40451</v>
      </c>
      <c r="K1766" s="461">
        <f>+L1766-J1766</f>
        <v>96</v>
      </c>
      <c r="L1766" s="462">
        <v>40547</v>
      </c>
      <c r="M1766" s="460" t="s">
        <v>41</v>
      </c>
      <c r="N1766" s="457" t="s">
        <v>1750</v>
      </c>
      <c r="O1766" s="460">
        <v>40533</v>
      </c>
      <c r="P1766" s="461">
        <f t="shared" si="39"/>
        <v>0</v>
      </c>
      <c r="Q1766" s="591" t="s">
        <v>2399</v>
      </c>
      <c r="R1766" s="460">
        <v>40542</v>
      </c>
      <c r="S1766" s="471">
        <v>40547</v>
      </c>
      <c r="T1766" s="464">
        <v>40562</v>
      </c>
      <c r="U1766" s="461">
        <f t="shared" si="40"/>
        <v>111</v>
      </c>
      <c r="V1766" s="468" t="s">
        <v>2405</v>
      </c>
      <c r="W1766" s="493">
        <v>127</v>
      </c>
      <c r="X1766" s="457"/>
      <c r="Y1766" s="457" t="s">
        <v>2400</v>
      </c>
      <c r="Z1766" s="468">
        <v>3109968540</v>
      </c>
      <c r="AA1766" s="457" t="s">
        <v>47</v>
      </c>
      <c r="AB1766" s="460" t="s">
        <v>2406</v>
      </c>
      <c r="AC1766" s="722"/>
      <c r="AD1766" s="645" t="str">
        <f t="shared" si="38"/>
        <v>en término</v>
      </c>
    </row>
    <row r="1767" spans="1:40" s="587" customFormat="1" ht="54.95" customHeight="1" thickBot="1" x14ac:dyDescent="0.25">
      <c r="A1767" s="584"/>
      <c r="B1767" s="455" t="s">
        <v>36</v>
      </c>
      <c r="C1767" s="455" t="s">
        <v>133</v>
      </c>
      <c r="D1767" s="456" t="s">
        <v>2349</v>
      </c>
      <c r="E1767" s="501" t="s">
        <v>2350</v>
      </c>
      <c r="F1767" s="457">
        <v>4503574015</v>
      </c>
      <c r="G1767" s="457" t="s">
        <v>39</v>
      </c>
      <c r="H1767" s="458">
        <v>32531.47</v>
      </c>
      <c r="I1767" s="459" t="s">
        <v>40</v>
      </c>
      <c r="J1767" s="460">
        <v>40443</v>
      </c>
      <c r="K1767" s="461">
        <f>+L1767-J1767</f>
        <v>105</v>
      </c>
      <c r="L1767" s="462">
        <v>40548</v>
      </c>
      <c r="M1767" s="460" t="s">
        <v>41</v>
      </c>
      <c r="N1767" s="457" t="s">
        <v>1750</v>
      </c>
      <c r="O1767" s="460">
        <v>40533</v>
      </c>
      <c r="P1767" s="461">
        <f t="shared" si="39"/>
        <v>-1</v>
      </c>
      <c r="Q1767" s="591" t="s">
        <v>2399</v>
      </c>
      <c r="R1767" s="460">
        <v>40542</v>
      </c>
      <c r="S1767" s="471">
        <v>40547</v>
      </c>
      <c r="T1767" s="464">
        <v>40562</v>
      </c>
      <c r="U1767" s="461">
        <f t="shared" si="40"/>
        <v>119</v>
      </c>
      <c r="V1767" s="468" t="s">
        <v>2407</v>
      </c>
      <c r="W1767" s="493">
        <v>124</v>
      </c>
      <c r="X1767" s="457"/>
      <c r="Y1767" s="457" t="s">
        <v>2400</v>
      </c>
      <c r="Z1767" s="468">
        <v>3109968540</v>
      </c>
      <c r="AA1767" s="457" t="s">
        <v>47</v>
      </c>
      <c r="AB1767" s="460" t="s">
        <v>47</v>
      </c>
      <c r="AC1767" s="722"/>
      <c r="AD1767" s="645" t="str">
        <f t="shared" si="38"/>
        <v>en término</v>
      </c>
    </row>
    <row r="1768" spans="1:40" s="587" customFormat="1" ht="54.95" customHeight="1" thickBot="1" x14ac:dyDescent="0.25">
      <c r="A1768" s="584"/>
      <c r="B1768" s="455" t="s">
        <v>36</v>
      </c>
      <c r="C1768" s="455" t="s">
        <v>133</v>
      </c>
      <c r="D1768" s="456" t="s">
        <v>2408</v>
      </c>
      <c r="E1768" s="468" t="s">
        <v>2409</v>
      </c>
      <c r="F1768" s="457">
        <v>4503628384</v>
      </c>
      <c r="G1768" s="457" t="s">
        <v>39</v>
      </c>
      <c r="H1768" s="458">
        <v>17482.88</v>
      </c>
      <c r="I1768" s="459" t="s">
        <v>52</v>
      </c>
      <c r="J1768" s="460">
        <v>40473</v>
      </c>
      <c r="K1768" s="461">
        <f>+L1768-J1768</f>
        <v>79</v>
      </c>
      <c r="L1768" s="462">
        <v>40552</v>
      </c>
      <c r="M1768" s="460" t="s">
        <v>41</v>
      </c>
      <c r="N1768" s="457" t="s">
        <v>1750</v>
      </c>
      <c r="O1768" s="460">
        <v>40533</v>
      </c>
      <c r="P1768" s="461">
        <f t="shared" si="39"/>
        <v>-5</v>
      </c>
      <c r="Q1768" s="591" t="s">
        <v>2403</v>
      </c>
      <c r="R1768" s="460">
        <v>40542</v>
      </c>
      <c r="S1768" s="471">
        <v>40547</v>
      </c>
      <c r="T1768" s="464">
        <v>40560</v>
      </c>
      <c r="U1768" s="461">
        <f t="shared" si="40"/>
        <v>87</v>
      </c>
      <c r="V1768" s="468" t="s">
        <v>2410</v>
      </c>
      <c r="W1768" s="493">
        <v>126</v>
      </c>
      <c r="X1768" s="457"/>
      <c r="Y1768" s="703"/>
      <c r="Z1768" s="468">
        <v>3109968540</v>
      </c>
      <c r="AA1768" s="457" t="s">
        <v>47</v>
      </c>
      <c r="AB1768" s="460" t="s">
        <v>47</v>
      </c>
      <c r="AC1768" s="470"/>
      <c r="AD1768" s="645" t="str">
        <f t="shared" si="38"/>
        <v>en término</v>
      </c>
    </row>
    <row r="1769" spans="1:40" s="587" customFormat="1" ht="54.95" customHeight="1" thickBot="1" x14ac:dyDescent="0.25">
      <c r="A1769" s="584"/>
      <c r="B1769" s="455" t="s">
        <v>36</v>
      </c>
      <c r="C1769" s="455" t="s">
        <v>133</v>
      </c>
      <c r="D1769" s="456" t="s">
        <v>2349</v>
      </c>
      <c r="E1769" s="501" t="s">
        <v>2350</v>
      </c>
      <c r="F1769" s="457">
        <v>4503565941</v>
      </c>
      <c r="G1769" s="457" t="s">
        <v>39</v>
      </c>
      <c r="H1769" s="458">
        <v>70836.66</v>
      </c>
      <c r="I1769" s="459" t="s">
        <v>62</v>
      </c>
      <c r="J1769" s="460">
        <v>40437</v>
      </c>
      <c r="K1769" s="461">
        <f>+L1769-J1769</f>
        <v>98</v>
      </c>
      <c r="L1769" s="462">
        <v>40535</v>
      </c>
      <c r="M1769" s="460" t="s">
        <v>41</v>
      </c>
      <c r="N1769" s="457" t="s">
        <v>1750</v>
      </c>
      <c r="O1769" s="460">
        <v>40541</v>
      </c>
      <c r="P1769" s="461">
        <f t="shared" si="39"/>
        <v>18</v>
      </c>
      <c r="Q1769" s="591" t="s">
        <v>2403</v>
      </c>
      <c r="R1769" s="460">
        <v>40549</v>
      </c>
      <c r="S1769" s="471">
        <v>40553</v>
      </c>
      <c r="T1769" s="464">
        <v>40567</v>
      </c>
      <c r="U1769" s="461">
        <f t="shared" si="40"/>
        <v>130</v>
      </c>
      <c r="V1769" s="468" t="s">
        <v>2139</v>
      </c>
      <c r="W1769" s="493">
        <v>129</v>
      </c>
      <c r="X1769" s="457" t="s">
        <v>47</v>
      </c>
      <c r="Y1769" s="457" t="s">
        <v>2411</v>
      </c>
      <c r="Z1769" s="468">
        <v>3109968551</v>
      </c>
      <c r="AA1769" s="457" t="s">
        <v>47</v>
      </c>
      <c r="AB1769" s="460" t="s">
        <v>2037</v>
      </c>
      <c r="AC1769" s="722"/>
      <c r="AD1769" s="645" t="str">
        <f t="shared" si="38"/>
        <v>atrasado</v>
      </c>
    </row>
    <row r="1770" spans="1:40" s="587" customFormat="1" ht="54.95" customHeight="1" thickBot="1" x14ac:dyDescent="0.25">
      <c r="A1770" s="584"/>
      <c r="B1770" s="455" t="s">
        <v>36</v>
      </c>
      <c r="C1770" s="455" t="s">
        <v>133</v>
      </c>
      <c r="D1770" s="456" t="s">
        <v>2349</v>
      </c>
      <c r="E1770" s="501" t="s">
        <v>2350</v>
      </c>
      <c r="F1770" s="457">
        <v>4503562781</v>
      </c>
      <c r="G1770" s="457" t="s">
        <v>39</v>
      </c>
      <c r="H1770" s="458">
        <v>259733.34</v>
      </c>
      <c r="I1770" s="459" t="s">
        <v>52</v>
      </c>
      <c r="J1770" s="460">
        <v>40436</v>
      </c>
      <c r="K1770" s="461">
        <f>+L1770-J1770</f>
        <v>95</v>
      </c>
      <c r="L1770" s="462">
        <v>40531</v>
      </c>
      <c r="M1770" s="460" t="s">
        <v>41</v>
      </c>
      <c r="N1770" s="457" t="s">
        <v>1750</v>
      </c>
      <c r="O1770" s="460">
        <v>40541</v>
      </c>
      <c r="P1770" s="461">
        <f t="shared" si="39"/>
        <v>22</v>
      </c>
      <c r="Q1770" s="591" t="s">
        <v>2403</v>
      </c>
      <c r="R1770" s="460">
        <v>40549</v>
      </c>
      <c r="S1770" s="471">
        <v>40553</v>
      </c>
      <c r="T1770" s="464">
        <v>40567</v>
      </c>
      <c r="U1770" s="461">
        <f t="shared" si="40"/>
        <v>131</v>
      </c>
      <c r="V1770" s="468" t="s">
        <v>2412</v>
      </c>
      <c r="W1770" s="493">
        <v>130</v>
      </c>
      <c r="X1770" s="457" t="s">
        <v>47</v>
      </c>
      <c r="Y1770" s="457" t="s">
        <v>2411</v>
      </c>
      <c r="Z1770" s="468">
        <v>3109968551</v>
      </c>
      <c r="AA1770" s="457" t="s">
        <v>47</v>
      </c>
      <c r="AB1770" s="460" t="s">
        <v>2413</v>
      </c>
      <c r="AC1770" s="722"/>
      <c r="AD1770" s="645" t="str">
        <f t="shared" si="38"/>
        <v>atrasado</v>
      </c>
    </row>
    <row r="1771" spans="1:40" ht="12.75" x14ac:dyDescent="0.2">
      <c r="AA1771" s="1"/>
      <c r="AB1771" s="1047"/>
    </row>
    <row r="1772" spans="1:40" ht="12.75" x14ac:dyDescent="0.2">
      <c r="AA1772" s="1"/>
      <c r="AB1772" s="1047"/>
    </row>
    <row r="1773" spans="1:40" ht="12.75" x14ac:dyDescent="0.2">
      <c r="AA1773" s="945" t="s">
        <v>813</v>
      </c>
      <c r="AB1773" s="1048">
        <f>COUNTA(AD1689:AD1770)</f>
        <v>81</v>
      </c>
    </row>
    <row r="1774" spans="1:40" ht="12.75" x14ac:dyDescent="0.2">
      <c r="AA1774" s="945" t="s">
        <v>815</v>
      </c>
      <c r="AB1774" s="1048">
        <f>COUNTIF(AD1689:AD1770,"en término")</f>
        <v>50</v>
      </c>
    </row>
    <row r="1775" spans="1:40" ht="12.75" x14ac:dyDescent="0.2">
      <c r="AA1775" s="945" t="s">
        <v>817</v>
      </c>
      <c r="AB1775" s="557">
        <f>+AB1774/AB1773</f>
        <v>0.61728395061728392</v>
      </c>
    </row>
    <row r="1776" spans="1:40" x14ac:dyDescent="0.2">
      <c r="I1776" s="353"/>
    </row>
    <row r="1777" spans="1:40" ht="12" thickBot="1" x14ac:dyDescent="0.25"/>
    <row r="1778" spans="1:40" s="556" customFormat="1" ht="39.950000000000003" customHeight="1" thickBot="1" x14ac:dyDescent="0.4">
      <c r="A1778" s="554"/>
      <c r="B1778" s="1632">
        <v>2011</v>
      </c>
      <c r="C1778" s="1633"/>
      <c r="D1778" s="1633"/>
      <c r="E1778" s="1633"/>
      <c r="F1778" s="1633"/>
      <c r="G1778" s="1633"/>
      <c r="H1778" s="1633"/>
      <c r="I1778" s="1633"/>
      <c r="J1778" s="1633"/>
      <c r="K1778" s="1633"/>
      <c r="L1778" s="1633"/>
      <c r="M1778" s="1633"/>
      <c r="N1778" s="1633"/>
      <c r="O1778" s="1633"/>
      <c r="P1778" s="1633"/>
      <c r="Q1778" s="1633"/>
      <c r="R1778" s="1633"/>
      <c r="S1778" s="1633"/>
      <c r="T1778" s="1633"/>
      <c r="U1778" s="1633"/>
      <c r="V1778" s="1633"/>
      <c r="W1778" s="1633"/>
      <c r="X1778" s="1633"/>
      <c r="Y1778" s="1633"/>
      <c r="Z1778" s="1633"/>
      <c r="AA1778" s="1633"/>
      <c r="AB1778" s="1633"/>
      <c r="AC1778" s="1634"/>
      <c r="AD1778" s="555"/>
    </row>
    <row r="1779" spans="1:40" s="441" customFormat="1" ht="60" customHeight="1" thickBot="1" x14ac:dyDescent="0.25">
      <c r="A1779" s="438"/>
      <c r="B1779" s="451" t="s">
        <v>130</v>
      </c>
      <c r="C1779" s="451" t="s">
        <v>4</v>
      </c>
      <c r="D1779" s="451" t="s">
        <v>5</v>
      </c>
      <c r="E1779" s="451" t="s">
        <v>6</v>
      </c>
      <c r="F1779" s="451" t="s">
        <v>7</v>
      </c>
      <c r="G1779" s="451" t="s">
        <v>8</v>
      </c>
      <c r="H1779" s="453" t="s">
        <v>9</v>
      </c>
      <c r="I1779" s="453" t="s">
        <v>10</v>
      </c>
      <c r="J1779" s="451" t="s">
        <v>11</v>
      </c>
      <c r="K1779" s="451" t="s">
        <v>12</v>
      </c>
      <c r="L1779" s="451" t="s">
        <v>13</v>
      </c>
      <c r="M1779" s="451" t="s">
        <v>14</v>
      </c>
      <c r="N1779" s="451" t="s">
        <v>15</v>
      </c>
      <c r="O1779" s="452" t="s">
        <v>16</v>
      </c>
      <c r="P1779" s="454" t="s">
        <v>17</v>
      </c>
      <c r="Q1779" s="451" t="s">
        <v>18</v>
      </c>
      <c r="R1779" s="452" t="s">
        <v>19</v>
      </c>
      <c r="S1779" s="451" t="s">
        <v>20</v>
      </c>
      <c r="T1779" s="451" t="s">
        <v>21</v>
      </c>
      <c r="U1779" s="452" t="s">
        <v>22</v>
      </c>
      <c r="V1779" s="451" t="s">
        <v>131</v>
      </c>
      <c r="W1779" s="451" t="s">
        <v>24</v>
      </c>
      <c r="X1779" s="451" t="s">
        <v>132</v>
      </c>
      <c r="Y1779" s="451" t="s">
        <v>26</v>
      </c>
      <c r="Z1779" s="451" t="s">
        <v>27</v>
      </c>
      <c r="AA1779" s="451" t="s">
        <v>28</v>
      </c>
      <c r="AB1779" s="451" t="s">
        <v>29</v>
      </c>
      <c r="AC1779" s="451" t="s">
        <v>30</v>
      </c>
      <c r="AD1779" s="439"/>
      <c r="AE1779" s="440"/>
      <c r="AF1779" s="440"/>
      <c r="AG1779" s="440"/>
      <c r="AH1779" s="440"/>
      <c r="AI1779" s="440"/>
      <c r="AJ1779" s="440"/>
      <c r="AK1779" s="440"/>
      <c r="AL1779" s="440"/>
      <c r="AM1779" s="440"/>
    </row>
    <row r="1780" spans="1:40" s="587" customFormat="1" ht="54.95" customHeight="1" thickBot="1" x14ac:dyDescent="0.25">
      <c r="A1780" s="584"/>
      <c r="B1780" s="455" t="s">
        <v>36</v>
      </c>
      <c r="C1780" s="455" t="s">
        <v>133</v>
      </c>
      <c r="D1780" s="456" t="s">
        <v>2349</v>
      </c>
      <c r="E1780" s="501" t="s">
        <v>2350</v>
      </c>
      <c r="F1780" s="457">
        <v>4503638766</v>
      </c>
      <c r="G1780" s="457" t="s">
        <v>39</v>
      </c>
      <c r="H1780" s="458">
        <v>365.91</v>
      </c>
      <c r="I1780" s="459" t="s">
        <v>62</v>
      </c>
      <c r="J1780" s="460">
        <v>40479</v>
      </c>
      <c r="K1780" s="461">
        <f t="shared" ref="K1780:K1823" si="42">+L1780-J1780</f>
        <v>96</v>
      </c>
      <c r="L1780" s="462">
        <v>40575</v>
      </c>
      <c r="M1780" s="460" t="s">
        <v>41</v>
      </c>
      <c r="N1780" s="457" t="s">
        <v>1750</v>
      </c>
      <c r="O1780" s="1032">
        <v>40551</v>
      </c>
      <c r="P1780" s="461">
        <f t="shared" ref="P1780:P1811" si="43">IF(S1780="","",+S1780-L1780)</f>
        <v>-17</v>
      </c>
      <c r="Q1780" s="1034" t="s">
        <v>2414</v>
      </c>
      <c r="R1780" s="1032">
        <v>40555</v>
      </c>
      <c r="S1780" s="642">
        <v>40558</v>
      </c>
      <c r="T1780" s="1031">
        <v>40572</v>
      </c>
      <c r="U1780" s="461">
        <f t="shared" ref="U1780:U1811" si="44">IF(T1780="","",+T1780-J1780)</f>
        <v>93</v>
      </c>
      <c r="V1780" s="468" t="s">
        <v>53</v>
      </c>
      <c r="W1780" s="493" t="s">
        <v>2415</v>
      </c>
      <c r="X1780" s="457"/>
      <c r="Y1780" s="592"/>
      <c r="Z1780" s="468">
        <v>3109968562</v>
      </c>
      <c r="AA1780" s="1028" t="s">
        <v>47</v>
      </c>
      <c r="AB1780" s="460" t="s">
        <v>2416</v>
      </c>
      <c r="AC1780" s="722"/>
      <c r="AD1780" s="645" t="str">
        <f t="shared" ref="AD1780:AD1811" si="45">IF(P1780="","",IF(P1780&lt;=0,"en término","atrasado"))</f>
        <v>en término</v>
      </c>
    </row>
    <row r="1781" spans="1:40" s="587" customFormat="1" ht="54.95" customHeight="1" thickBot="1" x14ac:dyDescent="0.25">
      <c r="A1781" s="584"/>
      <c r="B1781" s="455" t="s">
        <v>36</v>
      </c>
      <c r="C1781" s="455" t="s">
        <v>133</v>
      </c>
      <c r="D1781" s="456" t="s">
        <v>2408</v>
      </c>
      <c r="E1781" s="468" t="s">
        <v>2409</v>
      </c>
      <c r="F1781" s="457">
        <v>4503654317</v>
      </c>
      <c r="G1781" s="457" t="s">
        <v>39</v>
      </c>
      <c r="H1781" s="458">
        <v>19895</v>
      </c>
      <c r="I1781" s="459" t="s">
        <v>52</v>
      </c>
      <c r="J1781" s="460">
        <v>40486</v>
      </c>
      <c r="K1781" s="461">
        <f t="shared" si="42"/>
        <v>86</v>
      </c>
      <c r="L1781" s="462">
        <v>40572</v>
      </c>
      <c r="M1781" s="460" t="s">
        <v>41</v>
      </c>
      <c r="N1781" s="457" t="s">
        <v>1750</v>
      </c>
      <c r="O1781" s="1032">
        <v>40551</v>
      </c>
      <c r="P1781" s="461">
        <f t="shared" si="43"/>
        <v>-14</v>
      </c>
      <c r="Q1781" s="1034" t="s">
        <v>2414</v>
      </c>
      <c r="R1781" s="1032">
        <v>40555</v>
      </c>
      <c r="S1781" s="642">
        <v>40558</v>
      </c>
      <c r="T1781" s="1031">
        <v>40572</v>
      </c>
      <c r="U1781" s="461">
        <f t="shared" si="44"/>
        <v>86</v>
      </c>
      <c r="V1781" s="468" t="s">
        <v>2417</v>
      </c>
      <c r="W1781" s="493" t="s">
        <v>2418</v>
      </c>
      <c r="X1781" s="457" t="s">
        <v>47</v>
      </c>
      <c r="Y1781" s="703"/>
      <c r="Z1781" s="468">
        <v>3109968562</v>
      </c>
      <c r="AA1781" s="1028" t="s">
        <v>47</v>
      </c>
      <c r="AB1781" s="460" t="s">
        <v>2416</v>
      </c>
      <c r="AC1781" s="470"/>
      <c r="AD1781" s="645" t="str">
        <f t="shared" si="45"/>
        <v>en término</v>
      </c>
    </row>
    <row r="1782" spans="1:40" s="587" customFormat="1" ht="54.95" customHeight="1" thickBot="1" x14ac:dyDescent="0.25">
      <c r="A1782" s="584"/>
      <c r="B1782" s="1043" t="s">
        <v>36</v>
      </c>
      <c r="C1782" s="1043" t="s">
        <v>133</v>
      </c>
      <c r="D1782" s="1044" t="s">
        <v>2349</v>
      </c>
      <c r="E1782" s="1027" t="s">
        <v>2350</v>
      </c>
      <c r="F1782" s="1028">
        <v>4503611607</v>
      </c>
      <c r="G1782" s="1028" t="s">
        <v>39</v>
      </c>
      <c r="H1782" s="1029">
        <v>202540</v>
      </c>
      <c r="I1782" s="1033" t="s">
        <v>52</v>
      </c>
      <c r="J1782" s="1032">
        <v>40463</v>
      </c>
      <c r="K1782" s="1041">
        <f t="shared" si="42"/>
        <v>96</v>
      </c>
      <c r="L1782" s="641">
        <v>40559</v>
      </c>
      <c r="M1782" s="1032" t="s">
        <v>41</v>
      </c>
      <c r="N1782" s="1028" t="s">
        <v>1750</v>
      </c>
      <c r="O1782" s="1032">
        <v>40551</v>
      </c>
      <c r="P1782" s="1041">
        <f t="shared" si="43"/>
        <v>-1</v>
      </c>
      <c r="Q1782" s="1034" t="s">
        <v>2414</v>
      </c>
      <c r="R1782" s="1032">
        <v>40555</v>
      </c>
      <c r="S1782" s="642">
        <v>40558</v>
      </c>
      <c r="T1782" s="1031">
        <v>40572</v>
      </c>
      <c r="U1782" s="1041">
        <f t="shared" si="44"/>
        <v>109</v>
      </c>
      <c r="V1782" s="446" t="s">
        <v>2250</v>
      </c>
      <c r="W1782" s="659" t="s">
        <v>94</v>
      </c>
      <c r="X1782" s="1028" t="s">
        <v>47</v>
      </c>
      <c r="Y1782" s="1028" t="s">
        <v>2419</v>
      </c>
      <c r="Z1782" s="446">
        <v>3109968562</v>
      </c>
      <c r="AA1782" s="1028" t="s">
        <v>47</v>
      </c>
      <c r="AB1782" s="1032" t="s">
        <v>47</v>
      </c>
      <c r="AC1782" s="723"/>
      <c r="AD1782" s="645" t="str">
        <f t="shared" si="45"/>
        <v>en término</v>
      </c>
      <c r="AE1782" s="645"/>
    </row>
    <row r="1783" spans="1:40" s="587" customFormat="1" ht="54.95" customHeight="1" thickBot="1" x14ac:dyDescent="0.25">
      <c r="A1783" s="584"/>
      <c r="B1783" s="455" t="s">
        <v>36</v>
      </c>
      <c r="C1783" s="455" t="s">
        <v>133</v>
      </c>
      <c r="D1783" s="456" t="s">
        <v>2349</v>
      </c>
      <c r="E1783" s="501" t="s">
        <v>2350</v>
      </c>
      <c r="F1783" s="457">
        <v>4503617897</v>
      </c>
      <c r="G1783" s="457" t="s">
        <v>39</v>
      </c>
      <c r="H1783" s="458">
        <v>12056.24</v>
      </c>
      <c r="I1783" s="459" t="s">
        <v>52</v>
      </c>
      <c r="J1783" s="460">
        <v>40467</v>
      </c>
      <c r="K1783" s="461">
        <f t="shared" si="42"/>
        <v>93</v>
      </c>
      <c r="L1783" s="462">
        <v>40560</v>
      </c>
      <c r="M1783" s="460" t="s">
        <v>41</v>
      </c>
      <c r="N1783" s="457" t="s">
        <v>1750</v>
      </c>
      <c r="O1783" s="1032">
        <v>40551</v>
      </c>
      <c r="P1783" s="461">
        <f t="shared" si="43"/>
        <v>-2</v>
      </c>
      <c r="Q1783" s="1034" t="s">
        <v>2414</v>
      </c>
      <c r="R1783" s="1032">
        <v>40555</v>
      </c>
      <c r="S1783" s="642">
        <v>40558</v>
      </c>
      <c r="T1783" s="1031">
        <v>40572</v>
      </c>
      <c r="U1783" s="461">
        <f t="shared" si="44"/>
        <v>105</v>
      </c>
      <c r="V1783" s="468" t="s">
        <v>53</v>
      </c>
      <c r="W1783" s="493" t="s">
        <v>100</v>
      </c>
      <c r="X1783" s="457"/>
      <c r="Y1783" s="1037"/>
      <c r="Z1783" s="468">
        <v>3109968562</v>
      </c>
      <c r="AA1783" s="1028" t="s">
        <v>47</v>
      </c>
      <c r="AB1783" s="460" t="s">
        <v>47</v>
      </c>
      <c r="AC1783" s="722"/>
      <c r="AD1783" s="645" t="str">
        <f t="shared" si="45"/>
        <v>en término</v>
      </c>
      <c r="AE1783" s="645"/>
    </row>
    <row r="1784" spans="1:40" s="587" customFormat="1" ht="54.95" customHeight="1" thickBot="1" x14ac:dyDescent="0.25">
      <c r="A1784" s="584"/>
      <c r="B1784" s="455" t="s">
        <v>36</v>
      </c>
      <c r="C1784" s="455" t="s">
        <v>133</v>
      </c>
      <c r="D1784" s="1044" t="s">
        <v>2349</v>
      </c>
      <c r="E1784" s="501" t="s">
        <v>2350</v>
      </c>
      <c r="F1784" s="457">
        <v>4503662928</v>
      </c>
      <c r="G1784" s="457" t="s">
        <v>39</v>
      </c>
      <c r="H1784" s="458">
        <v>120682.75</v>
      </c>
      <c r="I1784" s="459" t="s">
        <v>62</v>
      </c>
      <c r="J1784" s="460">
        <v>40493</v>
      </c>
      <c r="K1784" s="461">
        <f t="shared" si="42"/>
        <v>101</v>
      </c>
      <c r="L1784" s="462">
        <v>40594</v>
      </c>
      <c r="M1784" s="460" t="s">
        <v>41</v>
      </c>
      <c r="N1784" s="457" t="s">
        <v>1750</v>
      </c>
      <c r="O1784" s="1032">
        <v>40551</v>
      </c>
      <c r="P1784" s="461">
        <f t="shared" si="43"/>
        <v>-36</v>
      </c>
      <c r="Q1784" s="1034" t="s">
        <v>2414</v>
      </c>
      <c r="R1784" s="1032">
        <v>40555</v>
      </c>
      <c r="S1784" s="642">
        <v>40558</v>
      </c>
      <c r="T1784" s="1031">
        <v>40572</v>
      </c>
      <c r="U1784" s="461">
        <f t="shared" si="44"/>
        <v>79</v>
      </c>
      <c r="V1784" s="468" t="s">
        <v>2420</v>
      </c>
      <c r="W1784" s="493" t="s">
        <v>90</v>
      </c>
      <c r="X1784" s="457" t="s">
        <v>47</v>
      </c>
      <c r="Y1784" s="1028" t="s">
        <v>2419</v>
      </c>
      <c r="Z1784" s="468">
        <v>3109968562</v>
      </c>
      <c r="AA1784" s="1028" t="s">
        <v>47</v>
      </c>
      <c r="AB1784" s="460" t="s">
        <v>47</v>
      </c>
      <c r="AC1784" s="722"/>
      <c r="AD1784" s="645" t="str">
        <f t="shared" si="45"/>
        <v>en término</v>
      </c>
      <c r="AE1784" s="645"/>
    </row>
    <row r="1785" spans="1:40" s="587" customFormat="1" ht="54.95" customHeight="1" thickBot="1" x14ac:dyDescent="0.25">
      <c r="A1785" s="803"/>
      <c r="B1785" s="1043" t="s">
        <v>36</v>
      </c>
      <c r="C1785" s="1043" t="s">
        <v>37</v>
      </c>
      <c r="D1785" s="1044" t="s">
        <v>2080</v>
      </c>
      <c r="E1785" s="1027" t="s">
        <v>2421</v>
      </c>
      <c r="F1785" s="1028">
        <v>10110001</v>
      </c>
      <c r="G1785" s="1028" t="s">
        <v>1192</v>
      </c>
      <c r="H1785" s="1029">
        <v>25257.96</v>
      </c>
      <c r="I1785" s="1033" t="s">
        <v>40</v>
      </c>
      <c r="J1785" s="1032">
        <v>40485</v>
      </c>
      <c r="K1785" s="1041">
        <f t="shared" si="42"/>
        <v>76</v>
      </c>
      <c r="L1785" s="1032">
        <v>40561</v>
      </c>
      <c r="M1785" s="1032" t="s">
        <v>41</v>
      </c>
      <c r="N1785" s="1028" t="s">
        <v>1750</v>
      </c>
      <c r="O1785" s="1032">
        <v>40551</v>
      </c>
      <c r="P1785" s="1041">
        <f t="shared" si="43"/>
        <v>-3</v>
      </c>
      <c r="Q1785" s="1034" t="s">
        <v>2414</v>
      </c>
      <c r="R1785" s="1032">
        <v>40555</v>
      </c>
      <c r="S1785" s="642">
        <v>40558</v>
      </c>
      <c r="T1785" s="1031">
        <v>40572</v>
      </c>
      <c r="U1785" s="1041">
        <f t="shared" si="44"/>
        <v>87</v>
      </c>
      <c r="V1785" s="446" t="s">
        <v>2422</v>
      </c>
      <c r="W1785" s="659" t="s">
        <v>84</v>
      </c>
      <c r="X1785" s="643"/>
      <c r="Y1785" s="1037"/>
      <c r="Z1785" s="446">
        <v>3109968562</v>
      </c>
      <c r="AA1785" s="1028" t="s">
        <v>47</v>
      </c>
      <c r="AB1785" s="1032" t="s">
        <v>2423</v>
      </c>
      <c r="AC1785" s="723"/>
      <c r="AD1785" s="645" t="str">
        <f t="shared" si="45"/>
        <v>en término</v>
      </c>
    </row>
    <row r="1786" spans="1:40" s="587" customFormat="1" ht="54.95" customHeight="1" thickBot="1" x14ac:dyDescent="0.25">
      <c r="A1786" s="803"/>
      <c r="B1786" s="1043" t="s">
        <v>36</v>
      </c>
      <c r="C1786" s="1043" t="s">
        <v>37</v>
      </c>
      <c r="D1786" s="1044" t="s">
        <v>2424</v>
      </c>
      <c r="E1786" s="1027" t="s">
        <v>2425</v>
      </c>
      <c r="F1786" s="1028">
        <v>10110002</v>
      </c>
      <c r="G1786" s="1028" t="s">
        <v>39</v>
      </c>
      <c r="H1786" s="1029">
        <v>200700</v>
      </c>
      <c r="I1786" s="1033" t="s">
        <v>40</v>
      </c>
      <c r="J1786" s="1032">
        <v>40485</v>
      </c>
      <c r="K1786" s="1041">
        <f t="shared" si="42"/>
        <v>86</v>
      </c>
      <c r="L1786" s="1032">
        <v>40571</v>
      </c>
      <c r="M1786" s="1032" t="s">
        <v>41</v>
      </c>
      <c r="N1786" s="1028" t="s">
        <v>2222</v>
      </c>
      <c r="O1786" s="1032">
        <v>40551</v>
      </c>
      <c r="P1786" s="1041">
        <f t="shared" si="43"/>
        <v>-13</v>
      </c>
      <c r="Q1786" s="1034" t="s">
        <v>2414</v>
      </c>
      <c r="R1786" s="1032">
        <v>40555</v>
      </c>
      <c r="S1786" s="642">
        <v>40558</v>
      </c>
      <c r="T1786" s="1031">
        <v>40572</v>
      </c>
      <c r="U1786" s="1041">
        <f t="shared" si="44"/>
        <v>87</v>
      </c>
      <c r="V1786" s="446" t="s">
        <v>2412</v>
      </c>
      <c r="W1786" s="659" t="s">
        <v>84</v>
      </c>
      <c r="X1786" s="1028"/>
      <c r="Y1786" s="1028" t="s">
        <v>2426</v>
      </c>
      <c r="Z1786" s="446">
        <v>3109968562</v>
      </c>
      <c r="AA1786" s="1028" t="s">
        <v>47</v>
      </c>
      <c r="AB1786" s="1032" t="s">
        <v>2423</v>
      </c>
      <c r="AC1786" s="723"/>
      <c r="AD1786" s="645" t="str">
        <f t="shared" si="45"/>
        <v>en término</v>
      </c>
    </row>
    <row r="1787" spans="1:40" s="587" customFormat="1" ht="54.95" customHeight="1" thickBot="1" x14ac:dyDescent="0.25">
      <c r="A1787" s="803"/>
      <c r="B1787" s="455" t="s">
        <v>36</v>
      </c>
      <c r="C1787" s="455" t="s">
        <v>37</v>
      </c>
      <c r="D1787" s="456" t="s">
        <v>2427</v>
      </c>
      <c r="E1787" s="501" t="s">
        <v>2428</v>
      </c>
      <c r="F1787" s="457">
        <v>10120002</v>
      </c>
      <c r="G1787" s="457" t="s">
        <v>39</v>
      </c>
      <c r="H1787" s="458">
        <v>8750</v>
      </c>
      <c r="I1787" s="459" t="s">
        <v>40</v>
      </c>
      <c r="J1787" s="460">
        <v>40518</v>
      </c>
      <c r="K1787" s="461">
        <f t="shared" si="42"/>
        <v>42</v>
      </c>
      <c r="L1787" s="460">
        <v>40560</v>
      </c>
      <c r="M1787" s="460" t="s">
        <v>41</v>
      </c>
      <c r="N1787" s="457" t="s">
        <v>2222</v>
      </c>
      <c r="O1787" s="1032">
        <v>40551</v>
      </c>
      <c r="P1787" s="461">
        <f t="shared" si="43"/>
        <v>-2</v>
      </c>
      <c r="Q1787" s="1034" t="s">
        <v>2414</v>
      </c>
      <c r="R1787" s="1032">
        <v>40555</v>
      </c>
      <c r="S1787" s="642">
        <v>40558</v>
      </c>
      <c r="T1787" s="1031">
        <v>40572</v>
      </c>
      <c r="U1787" s="461">
        <f t="shared" si="44"/>
        <v>54</v>
      </c>
      <c r="V1787" s="468" t="s">
        <v>1994</v>
      </c>
      <c r="W1787" s="493" t="s">
        <v>84</v>
      </c>
      <c r="X1787" s="457"/>
      <c r="Y1787" s="592"/>
      <c r="Z1787" s="468">
        <v>3109968562</v>
      </c>
      <c r="AA1787" s="1028" t="s">
        <v>47</v>
      </c>
      <c r="AB1787" s="1032" t="s">
        <v>2423</v>
      </c>
      <c r="AC1787" s="722"/>
      <c r="AD1787" s="645" t="str">
        <f t="shared" si="45"/>
        <v>en término</v>
      </c>
    </row>
    <row r="1788" spans="1:40" s="587" customFormat="1" ht="54.95" customHeight="1" thickBot="1" x14ac:dyDescent="0.25">
      <c r="A1788" s="584"/>
      <c r="B1788" s="1043" t="s">
        <v>36</v>
      </c>
      <c r="C1788" s="1043" t="s">
        <v>133</v>
      </c>
      <c r="D1788" s="1044" t="s">
        <v>2349</v>
      </c>
      <c r="E1788" s="1027" t="s">
        <v>2350</v>
      </c>
      <c r="F1788" s="1028">
        <v>4503664715</v>
      </c>
      <c r="G1788" s="1028" t="s">
        <v>39</v>
      </c>
      <c r="H1788" s="1029">
        <v>9225.51</v>
      </c>
      <c r="I1788" s="1033" t="s">
        <v>52</v>
      </c>
      <c r="J1788" s="1032">
        <v>40493</v>
      </c>
      <c r="K1788" s="1041">
        <f t="shared" si="42"/>
        <v>98</v>
      </c>
      <c r="L1788" s="641">
        <v>40591</v>
      </c>
      <c r="M1788" s="1032" t="s">
        <v>41</v>
      </c>
      <c r="N1788" s="1028" t="s">
        <v>1750</v>
      </c>
      <c r="O1788" s="1032">
        <v>40570</v>
      </c>
      <c r="P1788" s="1041">
        <f t="shared" si="43"/>
        <v>-9</v>
      </c>
      <c r="Q1788" s="591" t="s">
        <v>2429</v>
      </c>
      <c r="R1788" s="460">
        <v>40577</v>
      </c>
      <c r="S1788" s="471">
        <v>40582</v>
      </c>
      <c r="T1788" s="464">
        <v>40595</v>
      </c>
      <c r="U1788" s="1041">
        <f t="shared" si="44"/>
        <v>102</v>
      </c>
      <c r="V1788" s="446" t="s">
        <v>53</v>
      </c>
      <c r="W1788" s="659" t="s">
        <v>2219</v>
      </c>
      <c r="X1788" s="1028" t="s">
        <v>47</v>
      </c>
      <c r="Y1788" s="1037"/>
      <c r="Z1788" s="468">
        <v>3110694764</v>
      </c>
      <c r="AA1788" s="1028" t="s">
        <v>47</v>
      </c>
      <c r="AB1788" s="1032" t="s">
        <v>47</v>
      </c>
      <c r="AC1788" s="723"/>
      <c r="AD1788" s="645" t="str">
        <f t="shared" si="45"/>
        <v>en término</v>
      </c>
      <c r="AE1788" s="645"/>
    </row>
    <row r="1789" spans="1:40" s="413" customFormat="1" ht="54.95" customHeight="1" thickBot="1" x14ac:dyDescent="0.25">
      <c r="A1789" s="411"/>
      <c r="B1789" s="455" t="s">
        <v>36</v>
      </c>
      <c r="C1789" s="455" t="s">
        <v>133</v>
      </c>
      <c r="D1789" s="456" t="s">
        <v>2349</v>
      </c>
      <c r="E1789" s="501" t="s">
        <v>2350</v>
      </c>
      <c r="F1789" s="457">
        <v>4503654780</v>
      </c>
      <c r="G1789" s="457" t="s">
        <v>39</v>
      </c>
      <c r="H1789" s="458">
        <v>169575.03</v>
      </c>
      <c r="I1789" s="459" t="s">
        <v>52</v>
      </c>
      <c r="J1789" s="460">
        <v>40487</v>
      </c>
      <c r="K1789" s="461">
        <f t="shared" si="42"/>
        <v>97</v>
      </c>
      <c r="L1789" s="462">
        <v>40584</v>
      </c>
      <c r="M1789" s="460" t="s">
        <v>41</v>
      </c>
      <c r="N1789" s="457" t="s">
        <v>1750</v>
      </c>
      <c r="O1789" s="460">
        <v>40570</v>
      </c>
      <c r="P1789" s="461">
        <f t="shared" si="43"/>
        <v>-2</v>
      </c>
      <c r="Q1789" s="591" t="s">
        <v>2429</v>
      </c>
      <c r="R1789" s="460">
        <v>40577</v>
      </c>
      <c r="S1789" s="471">
        <v>40582</v>
      </c>
      <c r="T1789" s="464">
        <v>40595</v>
      </c>
      <c r="U1789" s="461">
        <f t="shared" si="44"/>
        <v>108</v>
      </c>
      <c r="V1789" s="468" t="s">
        <v>1542</v>
      </c>
      <c r="W1789" s="493" t="s">
        <v>2208</v>
      </c>
      <c r="X1789" s="457" t="s">
        <v>47</v>
      </c>
      <c r="Y1789" s="457"/>
      <c r="Z1789" s="468">
        <v>3110694764</v>
      </c>
      <c r="AA1789" s="457" t="s">
        <v>47</v>
      </c>
      <c r="AB1789" s="1032" t="s">
        <v>47</v>
      </c>
      <c r="AC1789" s="722"/>
      <c r="AD1789" s="645" t="str">
        <f t="shared" si="45"/>
        <v>en término</v>
      </c>
      <c r="AE1789" s="646"/>
      <c r="AF1789" s="610"/>
      <c r="AG1789" s="610"/>
      <c r="AH1789" s="610"/>
      <c r="AI1789" s="610"/>
      <c r="AJ1789" s="610"/>
      <c r="AK1789" s="610"/>
      <c r="AL1789" s="610"/>
      <c r="AM1789" s="610"/>
      <c r="AN1789" s="610"/>
    </row>
    <row r="1790" spans="1:40" s="413" customFormat="1" ht="54.95" customHeight="1" thickBot="1" x14ac:dyDescent="0.25">
      <c r="A1790" s="411"/>
      <c r="B1790" s="1043" t="s">
        <v>36</v>
      </c>
      <c r="C1790" s="1043" t="s">
        <v>133</v>
      </c>
      <c r="D1790" s="1044" t="s">
        <v>2349</v>
      </c>
      <c r="E1790" s="1027" t="s">
        <v>2350</v>
      </c>
      <c r="F1790" s="1028">
        <v>4503677277</v>
      </c>
      <c r="G1790" s="1028" t="s">
        <v>39</v>
      </c>
      <c r="H1790" s="1029">
        <v>2658.29</v>
      </c>
      <c r="I1790" s="1033" t="s">
        <v>40</v>
      </c>
      <c r="J1790" s="1032">
        <v>40504</v>
      </c>
      <c r="K1790" s="1041">
        <f t="shared" si="42"/>
        <v>92</v>
      </c>
      <c r="L1790" s="641">
        <v>40596</v>
      </c>
      <c r="M1790" s="1032" t="s">
        <v>41</v>
      </c>
      <c r="N1790" s="1028" t="s">
        <v>1750</v>
      </c>
      <c r="O1790" s="460">
        <v>40570</v>
      </c>
      <c r="P1790" s="461">
        <f t="shared" si="43"/>
        <v>-14</v>
      </c>
      <c r="Q1790" s="591" t="s">
        <v>2429</v>
      </c>
      <c r="R1790" s="460">
        <v>40577</v>
      </c>
      <c r="S1790" s="471">
        <v>40582</v>
      </c>
      <c r="T1790" s="464">
        <v>40595</v>
      </c>
      <c r="U1790" s="1041">
        <f t="shared" si="44"/>
        <v>91</v>
      </c>
      <c r="V1790" s="446" t="s">
        <v>53</v>
      </c>
      <c r="W1790" s="659" t="s">
        <v>2217</v>
      </c>
      <c r="X1790" s="1028" t="s">
        <v>47</v>
      </c>
      <c r="Y1790" s="1037"/>
      <c r="Z1790" s="468">
        <v>3110694764</v>
      </c>
      <c r="AA1790" s="1028" t="s">
        <v>47</v>
      </c>
      <c r="AB1790" s="1032" t="s">
        <v>47</v>
      </c>
      <c r="AC1790" s="723"/>
      <c r="AD1790" s="645" t="str">
        <f t="shared" si="45"/>
        <v>en término</v>
      </c>
      <c r="AE1790" s="645"/>
      <c r="AF1790" s="587"/>
      <c r="AG1790" s="610"/>
      <c r="AH1790" s="610"/>
      <c r="AI1790" s="610"/>
      <c r="AJ1790" s="610"/>
      <c r="AK1790" s="610"/>
      <c r="AL1790" s="610"/>
      <c r="AM1790" s="610"/>
      <c r="AN1790" s="610"/>
    </row>
    <row r="1791" spans="1:40" s="413" customFormat="1" ht="54.95" customHeight="1" thickBot="1" x14ac:dyDescent="0.25">
      <c r="A1791" s="411"/>
      <c r="B1791" s="1043" t="s">
        <v>36</v>
      </c>
      <c r="C1791" s="1043" t="s">
        <v>37</v>
      </c>
      <c r="D1791" s="1044" t="s">
        <v>2430</v>
      </c>
      <c r="E1791" s="1027" t="s">
        <v>2431</v>
      </c>
      <c r="F1791" s="1028">
        <v>10120006</v>
      </c>
      <c r="G1791" s="1028" t="s">
        <v>39</v>
      </c>
      <c r="H1791" s="1029">
        <v>19374.5</v>
      </c>
      <c r="I1791" s="1033" t="s">
        <v>40</v>
      </c>
      <c r="J1791" s="1032">
        <v>40527</v>
      </c>
      <c r="K1791" s="1041">
        <f t="shared" si="42"/>
        <v>54</v>
      </c>
      <c r="L1791" s="1032">
        <v>40581</v>
      </c>
      <c r="M1791" s="1032" t="s">
        <v>41</v>
      </c>
      <c r="N1791" s="1028" t="s">
        <v>2222</v>
      </c>
      <c r="O1791" s="1032">
        <v>40570</v>
      </c>
      <c r="P1791" s="1041">
        <f t="shared" si="43"/>
        <v>1</v>
      </c>
      <c r="Q1791" s="591" t="s">
        <v>2429</v>
      </c>
      <c r="R1791" s="460">
        <v>40577</v>
      </c>
      <c r="S1791" s="471">
        <v>40582</v>
      </c>
      <c r="T1791" s="464">
        <v>40595</v>
      </c>
      <c r="U1791" s="1041">
        <f t="shared" si="44"/>
        <v>68</v>
      </c>
      <c r="V1791" s="446" t="s">
        <v>2432</v>
      </c>
      <c r="W1791" s="659" t="s">
        <v>2213</v>
      </c>
      <c r="X1791" s="1028"/>
      <c r="Y1791" s="1037"/>
      <c r="Z1791" s="468">
        <v>3110694764</v>
      </c>
      <c r="AA1791" s="1028" t="s">
        <v>47</v>
      </c>
      <c r="AB1791" s="1032" t="s">
        <v>47</v>
      </c>
      <c r="AC1791" s="723"/>
      <c r="AD1791" s="645" t="str">
        <f t="shared" si="45"/>
        <v>atrasado</v>
      </c>
      <c r="AE1791" s="645"/>
      <c r="AF1791" s="587"/>
      <c r="AG1791" s="587"/>
      <c r="AH1791" s="587"/>
      <c r="AI1791" s="587"/>
      <c r="AJ1791" s="587"/>
      <c r="AK1791" s="587"/>
      <c r="AL1791" s="587"/>
      <c r="AM1791" s="587"/>
      <c r="AN1791" s="610"/>
    </row>
    <row r="1792" spans="1:40" s="413" customFormat="1" ht="54.95" customHeight="1" thickBot="1" x14ac:dyDescent="0.25">
      <c r="A1792" s="411"/>
      <c r="B1792" s="455" t="s">
        <v>36</v>
      </c>
      <c r="C1792" s="455" t="s">
        <v>133</v>
      </c>
      <c r="D1792" s="1044" t="s">
        <v>2349</v>
      </c>
      <c r="E1792" s="501" t="s">
        <v>2350</v>
      </c>
      <c r="F1792" s="457">
        <v>4503676701</v>
      </c>
      <c r="G1792" s="457" t="s">
        <v>39</v>
      </c>
      <c r="H1792" s="458">
        <v>22363.41</v>
      </c>
      <c r="I1792" s="459" t="s">
        <v>62</v>
      </c>
      <c r="J1792" s="460">
        <v>40504</v>
      </c>
      <c r="K1792" s="461">
        <f t="shared" si="42"/>
        <v>94</v>
      </c>
      <c r="L1792" s="462">
        <v>40598</v>
      </c>
      <c r="M1792" s="460" t="s">
        <v>41</v>
      </c>
      <c r="N1792" s="457" t="s">
        <v>1750</v>
      </c>
      <c r="O1792" s="460">
        <v>40603</v>
      </c>
      <c r="P1792" s="461">
        <f t="shared" si="43"/>
        <v>21</v>
      </c>
      <c r="Q1792" s="591" t="s">
        <v>2433</v>
      </c>
      <c r="R1792" s="460">
        <v>40612</v>
      </c>
      <c r="S1792" s="471">
        <v>40619</v>
      </c>
      <c r="T1792" s="464">
        <v>40630</v>
      </c>
      <c r="U1792" s="461">
        <f t="shared" si="44"/>
        <v>126</v>
      </c>
      <c r="V1792" s="468" t="s">
        <v>1193</v>
      </c>
      <c r="W1792" s="493" t="s">
        <v>2434</v>
      </c>
      <c r="X1792" s="457" t="s">
        <v>47</v>
      </c>
      <c r="Y1792" s="457" t="s">
        <v>2435</v>
      </c>
      <c r="Z1792" s="468">
        <v>31009968514</v>
      </c>
      <c r="AA1792" s="457" t="s">
        <v>47</v>
      </c>
      <c r="AB1792" s="1032" t="s">
        <v>47</v>
      </c>
      <c r="AC1792" s="766"/>
      <c r="AD1792" s="645" t="str">
        <f t="shared" si="45"/>
        <v>atrasado</v>
      </c>
      <c r="AE1792" s="646"/>
      <c r="AF1792" s="610"/>
      <c r="AG1792" s="610"/>
      <c r="AH1792" s="610"/>
      <c r="AI1792" s="610"/>
      <c r="AJ1792" s="610"/>
      <c r="AK1792" s="610"/>
      <c r="AL1792" s="610"/>
      <c r="AM1792" s="610"/>
      <c r="AN1792" s="610"/>
    </row>
    <row r="1793" spans="1:40" s="413" customFormat="1" ht="54.95" customHeight="1" thickBot="1" x14ac:dyDescent="0.25">
      <c r="A1793" s="411"/>
      <c r="B1793" s="1043" t="s">
        <v>36</v>
      </c>
      <c r="C1793" s="1043" t="s">
        <v>133</v>
      </c>
      <c r="D1793" s="1044" t="s">
        <v>2349</v>
      </c>
      <c r="E1793" s="1027" t="s">
        <v>2350</v>
      </c>
      <c r="F1793" s="1028">
        <v>4503674111</v>
      </c>
      <c r="G1793" s="1028" t="s">
        <v>39</v>
      </c>
      <c r="H1793" s="1029">
        <v>122326.59</v>
      </c>
      <c r="I1793" s="1033" t="s">
        <v>62</v>
      </c>
      <c r="J1793" s="1032">
        <v>40501</v>
      </c>
      <c r="K1793" s="1041">
        <f t="shared" si="42"/>
        <v>97</v>
      </c>
      <c r="L1793" s="641">
        <v>40598</v>
      </c>
      <c r="M1793" s="1032" t="s">
        <v>41</v>
      </c>
      <c r="N1793" s="1028" t="s">
        <v>1750</v>
      </c>
      <c r="O1793" s="460">
        <v>40603</v>
      </c>
      <c r="P1793" s="461">
        <f t="shared" si="43"/>
        <v>21</v>
      </c>
      <c r="Q1793" s="591" t="s">
        <v>2433</v>
      </c>
      <c r="R1793" s="460">
        <v>40612</v>
      </c>
      <c r="S1793" s="471">
        <v>40619</v>
      </c>
      <c r="T1793" s="464">
        <v>40630</v>
      </c>
      <c r="U1793" s="1041">
        <f t="shared" si="44"/>
        <v>129</v>
      </c>
      <c r="V1793" s="446" t="s">
        <v>1127</v>
      </c>
      <c r="W1793" s="659" t="s">
        <v>2436</v>
      </c>
      <c r="X1793" s="1028"/>
      <c r="Y1793" s="457" t="s">
        <v>2435</v>
      </c>
      <c r="Z1793" s="468">
        <v>31009968514</v>
      </c>
      <c r="AA1793" s="457" t="s">
        <v>47</v>
      </c>
      <c r="AB1793" s="1032" t="s">
        <v>47</v>
      </c>
      <c r="AC1793" s="767"/>
      <c r="AD1793" s="645" t="str">
        <f t="shared" si="45"/>
        <v>atrasado</v>
      </c>
      <c r="AE1793" s="646"/>
      <c r="AF1793" s="610"/>
      <c r="AG1793" s="610"/>
      <c r="AH1793" s="610"/>
      <c r="AI1793" s="610"/>
      <c r="AJ1793" s="610"/>
      <c r="AK1793" s="610"/>
      <c r="AL1793" s="610"/>
      <c r="AM1793" s="610"/>
      <c r="AN1793" s="610"/>
    </row>
    <row r="1794" spans="1:40" s="413" customFormat="1" ht="54.95" customHeight="1" thickBot="1" x14ac:dyDescent="0.25">
      <c r="A1794" s="411"/>
      <c r="B1794" s="455" t="s">
        <v>36</v>
      </c>
      <c r="C1794" s="455" t="s">
        <v>133</v>
      </c>
      <c r="D1794" s="456" t="s">
        <v>2408</v>
      </c>
      <c r="E1794" s="468" t="s">
        <v>2409</v>
      </c>
      <c r="F1794" s="457">
        <v>4503733767</v>
      </c>
      <c r="G1794" s="457" t="s">
        <v>39</v>
      </c>
      <c r="H1794" s="458">
        <v>17215</v>
      </c>
      <c r="I1794" s="459" t="s">
        <v>52</v>
      </c>
      <c r="J1794" s="460">
        <v>40534</v>
      </c>
      <c r="K1794" s="461">
        <f t="shared" si="42"/>
        <v>75</v>
      </c>
      <c r="L1794" s="462">
        <v>40609</v>
      </c>
      <c r="M1794" s="460" t="s">
        <v>41</v>
      </c>
      <c r="N1794" s="457" t="s">
        <v>1750</v>
      </c>
      <c r="O1794" s="460">
        <v>40603</v>
      </c>
      <c r="P1794" s="461">
        <f t="shared" si="43"/>
        <v>10</v>
      </c>
      <c r="Q1794" s="591" t="s">
        <v>2433</v>
      </c>
      <c r="R1794" s="460">
        <v>40612</v>
      </c>
      <c r="S1794" s="471">
        <v>40619</v>
      </c>
      <c r="T1794" s="464">
        <v>40630</v>
      </c>
      <c r="U1794" s="461">
        <f t="shared" si="44"/>
        <v>96</v>
      </c>
      <c r="V1794" s="468" t="s">
        <v>2410</v>
      </c>
      <c r="W1794" s="493" t="s">
        <v>2437</v>
      </c>
      <c r="X1794" s="457" t="s">
        <v>47</v>
      </c>
      <c r="Y1794" s="703"/>
      <c r="Z1794" s="468">
        <v>31009968514</v>
      </c>
      <c r="AA1794" s="457" t="s">
        <v>47</v>
      </c>
      <c r="AB1794" s="1032" t="s">
        <v>47</v>
      </c>
      <c r="AC1794" s="767"/>
      <c r="AD1794" s="645" t="str">
        <f t="shared" si="45"/>
        <v>atrasado</v>
      </c>
      <c r="AE1794" s="646"/>
      <c r="AF1794" s="410"/>
      <c r="AG1794" s="410"/>
      <c r="AH1794" s="410"/>
      <c r="AI1794" s="410"/>
      <c r="AJ1794" s="410"/>
      <c r="AK1794" s="410"/>
      <c r="AL1794" s="410"/>
      <c r="AM1794" s="410"/>
      <c r="AN1794" s="410"/>
    </row>
    <row r="1795" spans="1:40" s="413" customFormat="1" ht="54.95" customHeight="1" thickBot="1" x14ac:dyDescent="0.25">
      <c r="A1795" s="411"/>
      <c r="B1795" s="455" t="s">
        <v>36</v>
      </c>
      <c r="C1795" s="455" t="s">
        <v>133</v>
      </c>
      <c r="D1795" s="456" t="s">
        <v>2349</v>
      </c>
      <c r="E1795" s="501" t="s">
        <v>2350</v>
      </c>
      <c r="F1795" s="457">
        <v>4503754192</v>
      </c>
      <c r="G1795" s="457" t="s">
        <v>39</v>
      </c>
      <c r="H1795" s="458">
        <v>63748.4</v>
      </c>
      <c r="I1795" s="459" t="s">
        <v>62</v>
      </c>
      <c r="J1795" s="460">
        <v>40546</v>
      </c>
      <c r="K1795" s="461">
        <f t="shared" si="42"/>
        <v>93</v>
      </c>
      <c r="L1795" s="462">
        <v>40639</v>
      </c>
      <c r="M1795" s="460" t="s">
        <v>41</v>
      </c>
      <c r="N1795" s="457" t="s">
        <v>1750</v>
      </c>
      <c r="O1795" s="460">
        <v>40619</v>
      </c>
      <c r="P1795" s="461">
        <f t="shared" si="43"/>
        <v>-16</v>
      </c>
      <c r="Q1795" s="591" t="s">
        <v>2438</v>
      </c>
      <c r="R1795" s="460">
        <v>40626</v>
      </c>
      <c r="S1795" s="471">
        <v>40623</v>
      </c>
      <c r="T1795" s="464">
        <v>40644</v>
      </c>
      <c r="U1795" s="461">
        <f t="shared" si="44"/>
        <v>98</v>
      </c>
      <c r="V1795" s="468" t="s">
        <v>1223</v>
      </c>
      <c r="W1795" s="493" t="s">
        <v>2227</v>
      </c>
      <c r="X1795" s="457"/>
      <c r="Y1795" s="457" t="s">
        <v>2439</v>
      </c>
      <c r="Z1795" s="457" t="s">
        <v>1116</v>
      </c>
      <c r="AA1795" s="457" t="s">
        <v>47</v>
      </c>
      <c r="AB1795" s="1032" t="s">
        <v>47</v>
      </c>
      <c r="AC1795" s="766"/>
      <c r="AD1795" s="645" t="str">
        <f t="shared" si="45"/>
        <v>en término</v>
      </c>
      <c r="AE1795" s="646"/>
      <c r="AF1795" s="610"/>
      <c r="AG1795" s="610"/>
      <c r="AH1795" s="610"/>
      <c r="AI1795" s="610"/>
      <c r="AJ1795" s="610"/>
      <c r="AK1795" s="610"/>
      <c r="AL1795" s="610"/>
      <c r="AM1795" s="610"/>
      <c r="AN1795" s="610"/>
    </row>
    <row r="1796" spans="1:40" s="413" customFormat="1" ht="54.95" customHeight="1" thickBot="1" x14ac:dyDescent="0.25">
      <c r="A1796" s="411"/>
      <c r="B1796" s="455" t="s">
        <v>36</v>
      </c>
      <c r="C1796" s="455" t="s">
        <v>133</v>
      </c>
      <c r="D1796" s="456" t="s">
        <v>2349</v>
      </c>
      <c r="E1796" s="501" t="s">
        <v>2350</v>
      </c>
      <c r="F1796" s="457">
        <v>4503743280</v>
      </c>
      <c r="G1796" s="457" t="s">
        <v>39</v>
      </c>
      <c r="H1796" s="458">
        <v>5864.75</v>
      </c>
      <c r="I1796" s="459" t="s">
        <v>142</v>
      </c>
      <c r="J1796" s="460">
        <v>40540</v>
      </c>
      <c r="K1796" s="461">
        <f t="shared" si="42"/>
        <v>91</v>
      </c>
      <c r="L1796" s="462">
        <v>40631</v>
      </c>
      <c r="M1796" s="460" t="s">
        <v>41</v>
      </c>
      <c r="N1796" s="457" t="s">
        <v>1750</v>
      </c>
      <c r="O1796" s="460">
        <v>40619</v>
      </c>
      <c r="P1796" s="461">
        <f t="shared" si="43"/>
        <v>-8</v>
      </c>
      <c r="Q1796" s="591" t="s">
        <v>2438</v>
      </c>
      <c r="R1796" s="460">
        <v>40626</v>
      </c>
      <c r="S1796" s="471">
        <v>40623</v>
      </c>
      <c r="T1796" s="464">
        <v>40644</v>
      </c>
      <c r="U1796" s="461">
        <f t="shared" si="44"/>
        <v>104</v>
      </c>
      <c r="V1796" s="468" t="s">
        <v>53</v>
      </c>
      <c r="W1796" s="493" t="s">
        <v>45</v>
      </c>
      <c r="X1796" s="457"/>
      <c r="Y1796" s="592"/>
      <c r="Z1796" s="457" t="s">
        <v>1116</v>
      </c>
      <c r="AA1796" s="457" t="s">
        <v>47</v>
      </c>
      <c r="AB1796" s="1032" t="s">
        <v>47</v>
      </c>
      <c r="AC1796" s="722"/>
      <c r="AD1796" s="645" t="str">
        <f t="shared" si="45"/>
        <v>en término</v>
      </c>
      <c r="AE1796" s="645"/>
      <c r="AF1796" s="587"/>
      <c r="AG1796" s="610"/>
      <c r="AH1796" s="610"/>
      <c r="AI1796" s="610"/>
      <c r="AJ1796" s="610"/>
      <c r="AK1796" s="610"/>
      <c r="AL1796" s="610"/>
      <c r="AM1796" s="610"/>
      <c r="AN1796" s="610"/>
    </row>
    <row r="1797" spans="1:40" s="413" customFormat="1" ht="54.95" customHeight="1" thickBot="1" x14ac:dyDescent="0.25">
      <c r="A1797" s="411"/>
      <c r="B1797" s="455" t="s">
        <v>36</v>
      </c>
      <c r="C1797" s="455" t="s">
        <v>133</v>
      </c>
      <c r="D1797" s="456" t="s">
        <v>2349</v>
      </c>
      <c r="E1797" s="501" t="s">
        <v>2350</v>
      </c>
      <c r="F1797" s="457">
        <v>4503730005</v>
      </c>
      <c r="G1797" s="457" t="s">
        <v>39</v>
      </c>
      <c r="H1797" s="458">
        <v>206465</v>
      </c>
      <c r="I1797" s="459" t="s">
        <v>52</v>
      </c>
      <c r="J1797" s="460">
        <v>40532</v>
      </c>
      <c r="K1797" s="461">
        <f t="shared" si="42"/>
        <v>95</v>
      </c>
      <c r="L1797" s="462">
        <v>40627</v>
      </c>
      <c r="M1797" s="460" t="s">
        <v>41</v>
      </c>
      <c r="N1797" s="457" t="s">
        <v>1750</v>
      </c>
      <c r="O1797" s="460">
        <v>40619</v>
      </c>
      <c r="P1797" s="461">
        <f t="shared" si="43"/>
        <v>-4</v>
      </c>
      <c r="Q1797" s="591" t="s">
        <v>2438</v>
      </c>
      <c r="R1797" s="460">
        <v>40626</v>
      </c>
      <c r="S1797" s="471">
        <v>40623</v>
      </c>
      <c r="T1797" s="464">
        <v>40644</v>
      </c>
      <c r="U1797" s="461">
        <f t="shared" si="44"/>
        <v>112</v>
      </c>
      <c r="V1797" s="468" t="s">
        <v>1252</v>
      </c>
      <c r="W1797" s="493" t="s">
        <v>2247</v>
      </c>
      <c r="X1797" s="457"/>
      <c r="Y1797" s="457" t="s">
        <v>2439</v>
      </c>
      <c r="Z1797" s="457" t="s">
        <v>1116</v>
      </c>
      <c r="AA1797" s="457" t="s">
        <v>47</v>
      </c>
      <c r="AB1797" s="1032" t="s">
        <v>47</v>
      </c>
      <c r="AC1797" s="722"/>
      <c r="AD1797" s="645" t="str">
        <f t="shared" si="45"/>
        <v>en término</v>
      </c>
      <c r="AE1797" s="645"/>
      <c r="AF1797" s="587"/>
      <c r="AG1797" s="610"/>
      <c r="AH1797" s="610"/>
      <c r="AI1797" s="610"/>
      <c r="AJ1797" s="610"/>
      <c r="AK1797" s="610"/>
      <c r="AL1797" s="610"/>
      <c r="AM1797" s="610"/>
      <c r="AN1797" s="610"/>
    </row>
    <row r="1798" spans="1:40" s="413" customFormat="1" ht="54.95" customHeight="1" thickBot="1" x14ac:dyDescent="0.25">
      <c r="A1798" s="411"/>
      <c r="B1798" s="455" t="s">
        <v>36</v>
      </c>
      <c r="C1798" s="455" t="s">
        <v>133</v>
      </c>
      <c r="D1798" s="456" t="s">
        <v>2349</v>
      </c>
      <c r="E1798" s="501" t="s">
        <v>2350</v>
      </c>
      <c r="F1798" s="457">
        <v>4503753542</v>
      </c>
      <c r="G1798" s="457" t="s">
        <v>39</v>
      </c>
      <c r="H1798" s="458">
        <v>6191.45</v>
      </c>
      <c r="I1798" s="459" t="s">
        <v>62</v>
      </c>
      <c r="J1798" s="460">
        <v>40546</v>
      </c>
      <c r="K1798" s="461">
        <f t="shared" si="42"/>
        <v>93</v>
      </c>
      <c r="L1798" s="462">
        <v>40639</v>
      </c>
      <c r="M1798" s="460" t="s">
        <v>41</v>
      </c>
      <c r="N1798" s="457" t="s">
        <v>1750</v>
      </c>
      <c r="O1798" s="460">
        <v>40619</v>
      </c>
      <c r="P1798" s="461">
        <f t="shared" si="43"/>
        <v>-16</v>
      </c>
      <c r="Q1798" s="591" t="s">
        <v>2438</v>
      </c>
      <c r="R1798" s="460">
        <v>40626</v>
      </c>
      <c r="S1798" s="471">
        <v>40623</v>
      </c>
      <c r="T1798" s="464">
        <v>40644</v>
      </c>
      <c r="U1798" s="461">
        <f t="shared" si="44"/>
        <v>98</v>
      </c>
      <c r="V1798" s="468" t="s">
        <v>752</v>
      </c>
      <c r="W1798" s="493" t="s">
        <v>2240</v>
      </c>
      <c r="X1798" s="457"/>
      <c r="Y1798" s="457" t="s">
        <v>2439</v>
      </c>
      <c r="Z1798" s="457" t="s">
        <v>1116</v>
      </c>
      <c r="AA1798" s="457" t="s">
        <v>47</v>
      </c>
      <c r="AB1798" s="1032" t="s">
        <v>47</v>
      </c>
      <c r="AC1798" s="722"/>
      <c r="AD1798" s="645" t="str">
        <f t="shared" si="45"/>
        <v>en término</v>
      </c>
      <c r="AE1798" s="645"/>
      <c r="AF1798" s="587"/>
      <c r="AG1798" s="610"/>
      <c r="AH1798" s="610"/>
      <c r="AI1798" s="610"/>
      <c r="AJ1798" s="610"/>
      <c r="AK1798" s="610"/>
      <c r="AL1798" s="610"/>
      <c r="AM1798" s="610"/>
      <c r="AN1798" s="610"/>
    </row>
    <row r="1799" spans="1:40" s="413" customFormat="1" ht="54.95" customHeight="1" thickBot="1" x14ac:dyDescent="0.25">
      <c r="A1799" s="411"/>
      <c r="B1799" s="455" t="s">
        <v>36</v>
      </c>
      <c r="C1799" s="455" t="s">
        <v>133</v>
      </c>
      <c r="D1799" s="456" t="s">
        <v>2408</v>
      </c>
      <c r="E1799" s="468" t="s">
        <v>2409</v>
      </c>
      <c r="F1799" s="457">
        <v>4503761058</v>
      </c>
      <c r="G1799" s="457" t="s">
        <v>39</v>
      </c>
      <c r="H1799" s="458">
        <v>15055</v>
      </c>
      <c r="I1799" s="459" t="s">
        <v>52</v>
      </c>
      <c r="J1799" s="460">
        <v>40549</v>
      </c>
      <c r="K1799" s="461">
        <f t="shared" si="42"/>
        <v>78</v>
      </c>
      <c r="L1799" s="462">
        <v>40627</v>
      </c>
      <c r="M1799" s="460" t="s">
        <v>41</v>
      </c>
      <c r="N1799" s="457" t="s">
        <v>1750</v>
      </c>
      <c r="O1799" s="460">
        <v>40619</v>
      </c>
      <c r="P1799" s="461">
        <f t="shared" si="43"/>
        <v>-4</v>
      </c>
      <c r="Q1799" s="591" t="s">
        <v>2438</v>
      </c>
      <c r="R1799" s="460">
        <v>40626</v>
      </c>
      <c r="S1799" s="471">
        <v>40623</v>
      </c>
      <c r="T1799" s="464">
        <v>40644</v>
      </c>
      <c r="U1799" s="461">
        <f t="shared" si="44"/>
        <v>95</v>
      </c>
      <c r="V1799" s="468" t="s">
        <v>2440</v>
      </c>
      <c r="W1799" s="493" t="s">
        <v>2441</v>
      </c>
      <c r="X1799" s="457"/>
      <c r="Y1799" s="703"/>
      <c r="Z1799" s="457" t="s">
        <v>1116</v>
      </c>
      <c r="AA1799" s="457" t="s">
        <v>47</v>
      </c>
      <c r="AB1799" s="1032" t="s">
        <v>47</v>
      </c>
      <c r="AC1799" s="470"/>
      <c r="AD1799" s="645" t="str">
        <f t="shared" si="45"/>
        <v>en término</v>
      </c>
      <c r="AE1799" s="645"/>
      <c r="AF1799" s="587"/>
      <c r="AG1799" s="410"/>
      <c r="AH1799" s="410"/>
      <c r="AI1799" s="410"/>
      <c r="AJ1799" s="410"/>
      <c r="AK1799" s="410"/>
      <c r="AL1799" s="410"/>
      <c r="AM1799" s="410"/>
      <c r="AN1799" s="410"/>
    </row>
    <row r="1800" spans="1:40" s="413" customFormat="1" ht="54.95" customHeight="1" thickBot="1" x14ac:dyDescent="0.25">
      <c r="A1800" s="411"/>
      <c r="B1800" s="455" t="s">
        <v>36</v>
      </c>
      <c r="C1800" s="455" t="s">
        <v>133</v>
      </c>
      <c r="D1800" s="456" t="s">
        <v>2041</v>
      </c>
      <c r="E1800" s="501" t="s">
        <v>2042</v>
      </c>
      <c r="F1800" s="457">
        <v>4503652090</v>
      </c>
      <c r="G1800" s="457" t="s">
        <v>39</v>
      </c>
      <c r="H1800" s="458">
        <v>86446.39</v>
      </c>
      <c r="I1800" s="459" t="s">
        <v>40</v>
      </c>
      <c r="J1800" s="460">
        <v>40485</v>
      </c>
      <c r="K1800" s="461">
        <f t="shared" si="42"/>
        <v>114</v>
      </c>
      <c r="L1800" s="462">
        <v>40599</v>
      </c>
      <c r="M1800" s="460" t="s">
        <v>41</v>
      </c>
      <c r="N1800" s="457" t="s">
        <v>1750</v>
      </c>
      <c r="O1800" s="460">
        <v>40603</v>
      </c>
      <c r="P1800" s="461">
        <f t="shared" si="43"/>
        <v>20</v>
      </c>
      <c r="Q1800" s="591" t="s">
        <v>2433</v>
      </c>
      <c r="R1800" s="460">
        <v>40612</v>
      </c>
      <c r="S1800" s="471">
        <v>40619</v>
      </c>
      <c r="T1800" s="464">
        <v>40630</v>
      </c>
      <c r="U1800" s="461">
        <f t="shared" si="44"/>
        <v>145</v>
      </c>
      <c r="V1800" s="468" t="s">
        <v>2442</v>
      </c>
      <c r="W1800" s="493" t="s">
        <v>2443</v>
      </c>
      <c r="X1800" s="457" t="s">
        <v>47</v>
      </c>
      <c r="Y1800" s="457" t="s">
        <v>2435</v>
      </c>
      <c r="Z1800" s="468">
        <v>31009968514</v>
      </c>
      <c r="AA1800" s="457" t="s">
        <v>47</v>
      </c>
      <c r="AB1800" s="1032" t="s">
        <v>47</v>
      </c>
      <c r="AC1800" s="722"/>
      <c r="AD1800" s="645" t="str">
        <f t="shared" si="45"/>
        <v>atrasado</v>
      </c>
      <c r="AE1800" s="645"/>
      <c r="AF1800" s="587"/>
      <c r="AG1800" s="610"/>
      <c r="AH1800" s="610"/>
      <c r="AI1800" s="610"/>
      <c r="AJ1800" s="610"/>
      <c r="AK1800" s="610"/>
      <c r="AL1800" s="610"/>
      <c r="AM1800" s="610"/>
      <c r="AN1800" s="610"/>
    </row>
    <row r="1801" spans="1:40" s="413" customFormat="1" ht="54.95" customHeight="1" thickBot="1" x14ac:dyDescent="0.25">
      <c r="A1801" s="411"/>
      <c r="B1801" s="455" t="s">
        <v>36</v>
      </c>
      <c r="C1801" s="455" t="s">
        <v>133</v>
      </c>
      <c r="D1801" s="456" t="s">
        <v>2349</v>
      </c>
      <c r="E1801" s="501" t="s">
        <v>2350</v>
      </c>
      <c r="F1801" s="457">
        <v>4503651848</v>
      </c>
      <c r="G1801" s="457" t="s">
        <v>39</v>
      </c>
      <c r="H1801" s="458">
        <v>105119.54</v>
      </c>
      <c r="I1801" s="459" t="s">
        <v>40</v>
      </c>
      <c r="J1801" s="460">
        <v>40485</v>
      </c>
      <c r="K1801" s="461">
        <f t="shared" si="42"/>
        <v>114</v>
      </c>
      <c r="L1801" s="462">
        <v>40599</v>
      </c>
      <c r="M1801" s="460" t="s">
        <v>41</v>
      </c>
      <c r="N1801" s="457" t="s">
        <v>1750</v>
      </c>
      <c r="O1801" s="460">
        <v>40603</v>
      </c>
      <c r="P1801" s="461">
        <f t="shared" si="43"/>
        <v>20</v>
      </c>
      <c r="Q1801" s="591" t="s">
        <v>2433</v>
      </c>
      <c r="R1801" s="460">
        <v>40612</v>
      </c>
      <c r="S1801" s="471">
        <v>40619</v>
      </c>
      <c r="T1801" s="464">
        <v>40630</v>
      </c>
      <c r="U1801" s="461">
        <f t="shared" si="44"/>
        <v>145</v>
      </c>
      <c r="V1801" s="468" t="s">
        <v>2444</v>
      </c>
      <c r="W1801" s="493" t="s">
        <v>2445</v>
      </c>
      <c r="X1801" s="457" t="s">
        <v>47</v>
      </c>
      <c r="Y1801" s="457" t="s">
        <v>2435</v>
      </c>
      <c r="Z1801" s="468">
        <v>31009968514</v>
      </c>
      <c r="AA1801" s="457" t="s">
        <v>47</v>
      </c>
      <c r="AB1801" s="1032" t="s">
        <v>47</v>
      </c>
      <c r="AC1801" s="722"/>
      <c r="AD1801" s="645" t="str">
        <f t="shared" si="45"/>
        <v>atrasado</v>
      </c>
      <c r="AE1801" s="645"/>
      <c r="AF1801" s="587"/>
      <c r="AG1801" s="610"/>
      <c r="AH1801" s="610"/>
      <c r="AI1801" s="610"/>
      <c r="AJ1801" s="610"/>
      <c r="AK1801" s="610"/>
      <c r="AL1801" s="610"/>
      <c r="AM1801" s="610"/>
      <c r="AN1801" s="610"/>
    </row>
    <row r="1802" spans="1:40" s="413" customFormat="1" ht="54.95" customHeight="1" thickBot="1" x14ac:dyDescent="0.25">
      <c r="A1802" s="411"/>
      <c r="B1802" s="1043" t="s">
        <v>36</v>
      </c>
      <c r="C1802" s="1043" t="s">
        <v>133</v>
      </c>
      <c r="D1802" s="1044" t="s">
        <v>2041</v>
      </c>
      <c r="E1802" s="1027" t="s">
        <v>2042</v>
      </c>
      <c r="F1802" s="1028">
        <v>4503672511</v>
      </c>
      <c r="G1802" s="1028" t="s">
        <v>39</v>
      </c>
      <c r="H1802" s="1029">
        <v>87770.17</v>
      </c>
      <c r="I1802" s="1033" t="s">
        <v>40</v>
      </c>
      <c r="J1802" s="1032">
        <v>40500</v>
      </c>
      <c r="K1802" s="1041">
        <f t="shared" si="42"/>
        <v>99</v>
      </c>
      <c r="L1802" s="641">
        <v>40599</v>
      </c>
      <c r="M1802" s="1032" t="s">
        <v>41</v>
      </c>
      <c r="N1802" s="1028" t="s">
        <v>1750</v>
      </c>
      <c r="O1802" s="460">
        <v>40603</v>
      </c>
      <c r="P1802" s="461">
        <f t="shared" si="43"/>
        <v>20</v>
      </c>
      <c r="Q1802" s="591" t="s">
        <v>2433</v>
      </c>
      <c r="R1802" s="460">
        <v>40612</v>
      </c>
      <c r="S1802" s="471">
        <v>40619</v>
      </c>
      <c r="T1802" s="464">
        <v>40630</v>
      </c>
      <c r="U1802" s="1041">
        <f t="shared" si="44"/>
        <v>130</v>
      </c>
      <c r="V1802" s="446" t="s">
        <v>2446</v>
      </c>
      <c r="W1802" s="659" t="s">
        <v>2447</v>
      </c>
      <c r="X1802" s="1028"/>
      <c r="Y1802" s="457" t="s">
        <v>2435</v>
      </c>
      <c r="Z1802" s="468">
        <v>31009968514</v>
      </c>
      <c r="AA1802" s="457" t="s">
        <v>47</v>
      </c>
      <c r="AB1802" s="1032" t="s">
        <v>47</v>
      </c>
      <c r="AC1802" s="723"/>
      <c r="AD1802" s="645" t="str">
        <f t="shared" si="45"/>
        <v>atrasado</v>
      </c>
      <c r="AE1802" s="645"/>
      <c r="AF1802" s="587"/>
      <c r="AG1802" s="610"/>
      <c r="AH1802" s="610"/>
      <c r="AI1802" s="610"/>
      <c r="AJ1802" s="610"/>
      <c r="AK1802" s="610"/>
      <c r="AL1802" s="610"/>
      <c r="AM1802" s="610"/>
      <c r="AN1802" s="610"/>
    </row>
    <row r="1803" spans="1:40" s="413" customFormat="1" ht="54.95" customHeight="1" thickBot="1" x14ac:dyDescent="0.25">
      <c r="A1803" s="411"/>
      <c r="B1803" s="1043" t="s">
        <v>36</v>
      </c>
      <c r="C1803" s="1043" t="s">
        <v>37</v>
      </c>
      <c r="D1803" s="1044" t="s">
        <v>2430</v>
      </c>
      <c r="E1803" s="1027" t="s">
        <v>2431</v>
      </c>
      <c r="F1803" s="1028">
        <v>10120006</v>
      </c>
      <c r="G1803" s="1028" t="s">
        <v>39</v>
      </c>
      <c r="H1803" s="1029">
        <v>66626.45</v>
      </c>
      <c r="I1803" s="1033" t="s">
        <v>40</v>
      </c>
      <c r="J1803" s="1032">
        <v>40527</v>
      </c>
      <c r="K1803" s="1041">
        <f t="shared" si="42"/>
        <v>75</v>
      </c>
      <c r="L1803" s="1032">
        <v>40602</v>
      </c>
      <c r="M1803" s="1032" t="s">
        <v>41</v>
      </c>
      <c r="N1803" s="1028" t="s">
        <v>2222</v>
      </c>
      <c r="O1803" s="460">
        <v>40603</v>
      </c>
      <c r="P1803" s="461">
        <f t="shared" si="43"/>
        <v>17</v>
      </c>
      <c r="Q1803" s="591" t="s">
        <v>2433</v>
      </c>
      <c r="R1803" s="460">
        <v>40612</v>
      </c>
      <c r="S1803" s="471">
        <v>40619</v>
      </c>
      <c r="T1803" s="464">
        <v>40630</v>
      </c>
      <c r="U1803" s="1041">
        <f t="shared" si="44"/>
        <v>103</v>
      </c>
      <c r="V1803" s="446" t="s">
        <v>2448</v>
      </c>
      <c r="W1803" s="659" t="s">
        <v>2449</v>
      </c>
      <c r="X1803" s="1028"/>
      <c r="Y1803" s="1037"/>
      <c r="Z1803" s="468">
        <v>31009968514</v>
      </c>
      <c r="AA1803" s="1028" t="s">
        <v>47</v>
      </c>
      <c r="AB1803" s="1032" t="s">
        <v>47</v>
      </c>
      <c r="AC1803" s="723"/>
      <c r="AD1803" s="645" t="str">
        <f t="shared" si="45"/>
        <v>atrasado</v>
      </c>
      <c r="AE1803" s="645"/>
      <c r="AF1803" s="587"/>
      <c r="AG1803" s="587"/>
      <c r="AH1803" s="587"/>
      <c r="AI1803" s="587"/>
      <c r="AJ1803" s="587"/>
      <c r="AK1803" s="587"/>
      <c r="AL1803" s="587"/>
      <c r="AM1803" s="587"/>
      <c r="AN1803" s="610"/>
    </row>
    <row r="1804" spans="1:40" s="413" customFormat="1" ht="54.95" customHeight="1" thickBot="1" x14ac:dyDescent="0.25">
      <c r="A1804" s="411"/>
      <c r="B1804" s="455" t="s">
        <v>36</v>
      </c>
      <c r="C1804" s="455" t="s">
        <v>37</v>
      </c>
      <c r="D1804" s="456" t="s">
        <v>2450</v>
      </c>
      <c r="E1804" s="501" t="s">
        <v>2451</v>
      </c>
      <c r="F1804" s="457">
        <v>10110003</v>
      </c>
      <c r="G1804" s="457" t="s">
        <v>39</v>
      </c>
      <c r="H1804" s="458">
        <v>8910</v>
      </c>
      <c r="I1804" s="459" t="s">
        <v>142</v>
      </c>
      <c r="J1804" s="460">
        <v>40491</v>
      </c>
      <c r="K1804" s="461">
        <f t="shared" si="42"/>
        <v>151</v>
      </c>
      <c r="L1804" s="460">
        <v>40642</v>
      </c>
      <c r="M1804" s="460" t="s">
        <v>41</v>
      </c>
      <c r="N1804" s="457" t="s">
        <v>2222</v>
      </c>
      <c r="O1804" s="460">
        <v>40619</v>
      </c>
      <c r="P1804" s="461">
        <f t="shared" si="43"/>
        <v>-19</v>
      </c>
      <c r="Q1804" s="591" t="s">
        <v>2438</v>
      </c>
      <c r="R1804" s="460">
        <v>40626</v>
      </c>
      <c r="S1804" s="471">
        <v>40623</v>
      </c>
      <c r="T1804" s="464">
        <v>40644</v>
      </c>
      <c r="U1804" s="461">
        <f t="shared" si="44"/>
        <v>153</v>
      </c>
      <c r="V1804" s="468" t="s">
        <v>73</v>
      </c>
      <c r="W1804" s="493" t="s">
        <v>2251</v>
      </c>
      <c r="X1804" s="457"/>
      <c r="Y1804" s="457" t="s">
        <v>2439</v>
      </c>
      <c r="Z1804" s="457" t="s">
        <v>1116</v>
      </c>
      <c r="AA1804" s="457" t="s">
        <v>47</v>
      </c>
      <c r="AB1804" s="1032" t="s">
        <v>47</v>
      </c>
      <c r="AC1804" s="722"/>
      <c r="AD1804" s="645" t="str">
        <f t="shared" si="45"/>
        <v>en término</v>
      </c>
      <c r="AE1804" s="645"/>
      <c r="AF1804" s="587"/>
      <c r="AG1804" s="587"/>
      <c r="AH1804" s="587"/>
      <c r="AI1804" s="587"/>
      <c r="AJ1804" s="587"/>
      <c r="AK1804" s="587"/>
      <c r="AL1804" s="587"/>
      <c r="AM1804" s="587"/>
      <c r="AN1804" s="610"/>
    </row>
    <row r="1805" spans="1:40" s="413" customFormat="1" ht="54.95" customHeight="1" thickBot="1" x14ac:dyDescent="0.25">
      <c r="A1805" s="411"/>
      <c r="B1805" s="455" t="s">
        <v>36</v>
      </c>
      <c r="C1805" s="455" t="s">
        <v>37</v>
      </c>
      <c r="D1805" s="456" t="s">
        <v>2080</v>
      </c>
      <c r="E1805" s="501" t="s">
        <v>2452</v>
      </c>
      <c r="F1805" s="457">
        <v>11010004</v>
      </c>
      <c r="G1805" s="457" t="s">
        <v>1192</v>
      </c>
      <c r="H1805" s="458">
        <v>14598</v>
      </c>
      <c r="I1805" s="459" t="s">
        <v>40</v>
      </c>
      <c r="J1805" s="460">
        <v>40542</v>
      </c>
      <c r="K1805" s="461">
        <f t="shared" si="42"/>
        <v>89</v>
      </c>
      <c r="L1805" s="460">
        <v>40631</v>
      </c>
      <c r="M1805" s="460" t="s">
        <v>41</v>
      </c>
      <c r="N1805" s="457" t="s">
        <v>1750</v>
      </c>
      <c r="O1805" s="460">
        <v>40619</v>
      </c>
      <c r="P1805" s="461">
        <f t="shared" si="43"/>
        <v>-8</v>
      </c>
      <c r="Q1805" s="591" t="s">
        <v>2438</v>
      </c>
      <c r="R1805" s="460">
        <v>40626</v>
      </c>
      <c r="S1805" s="471">
        <v>40623</v>
      </c>
      <c r="T1805" s="464">
        <v>40644</v>
      </c>
      <c r="U1805" s="461">
        <f t="shared" si="44"/>
        <v>102</v>
      </c>
      <c r="V1805" s="468" t="s">
        <v>2453</v>
      </c>
      <c r="W1805" s="493" t="s">
        <v>2251</v>
      </c>
      <c r="X1805" s="467"/>
      <c r="Y1805" s="592"/>
      <c r="Z1805" s="457" t="s">
        <v>1116</v>
      </c>
      <c r="AA1805" s="457" t="s">
        <v>47</v>
      </c>
      <c r="AB1805" s="1032" t="s">
        <v>47</v>
      </c>
      <c r="AC1805" s="722"/>
      <c r="AD1805" s="645" t="str">
        <f t="shared" si="45"/>
        <v>en término</v>
      </c>
      <c r="AE1805" s="645"/>
      <c r="AF1805" s="587"/>
      <c r="AG1805" s="587"/>
      <c r="AH1805" s="587"/>
      <c r="AI1805" s="587"/>
      <c r="AJ1805" s="587"/>
      <c r="AK1805" s="587"/>
      <c r="AL1805" s="587"/>
      <c r="AM1805" s="587"/>
      <c r="AN1805" s="610"/>
    </row>
    <row r="1806" spans="1:40" s="413" customFormat="1" ht="54.95" customHeight="1" thickBot="1" x14ac:dyDescent="0.25">
      <c r="A1806" s="411"/>
      <c r="B1806" s="1043" t="s">
        <v>36</v>
      </c>
      <c r="C1806" s="1043" t="s">
        <v>37</v>
      </c>
      <c r="D1806" s="1044" t="s">
        <v>2454</v>
      </c>
      <c r="E1806" s="1027" t="s">
        <v>2455</v>
      </c>
      <c r="F1806" s="1028">
        <v>11010003</v>
      </c>
      <c r="G1806" s="1028" t="s">
        <v>39</v>
      </c>
      <c r="H1806" s="1029">
        <v>420</v>
      </c>
      <c r="I1806" s="1033" t="s">
        <v>142</v>
      </c>
      <c r="J1806" s="1032">
        <v>40540</v>
      </c>
      <c r="K1806" s="1041">
        <f t="shared" si="42"/>
        <v>87</v>
      </c>
      <c r="L1806" s="1032">
        <v>40627</v>
      </c>
      <c r="M1806" s="1032" t="s">
        <v>41</v>
      </c>
      <c r="N1806" s="1028" t="s">
        <v>2222</v>
      </c>
      <c r="O1806" s="1032">
        <v>40619</v>
      </c>
      <c r="P1806" s="1041">
        <f t="shared" si="43"/>
        <v>-4</v>
      </c>
      <c r="Q1806" s="591" t="s">
        <v>2438</v>
      </c>
      <c r="R1806" s="460">
        <v>40626</v>
      </c>
      <c r="S1806" s="471">
        <v>40623</v>
      </c>
      <c r="T1806" s="464">
        <v>40644</v>
      </c>
      <c r="U1806" s="1041">
        <f t="shared" si="44"/>
        <v>104</v>
      </c>
      <c r="V1806" s="446" t="s">
        <v>2456</v>
      </c>
      <c r="W1806" s="659" t="s">
        <v>2251</v>
      </c>
      <c r="X1806" s="1028"/>
      <c r="Y1806" s="1037"/>
      <c r="Z1806" s="457" t="s">
        <v>1116</v>
      </c>
      <c r="AA1806" s="457" t="s">
        <v>47</v>
      </c>
      <c r="AB1806" s="1032" t="s">
        <v>47</v>
      </c>
      <c r="AC1806" s="723"/>
      <c r="AD1806" s="645" t="str">
        <f t="shared" si="45"/>
        <v>en término</v>
      </c>
      <c r="AE1806" s="645"/>
      <c r="AF1806" s="587"/>
      <c r="AG1806" s="587"/>
      <c r="AH1806" s="587"/>
      <c r="AI1806" s="587"/>
      <c r="AJ1806" s="587"/>
      <c r="AK1806" s="587"/>
      <c r="AL1806" s="587"/>
      <c r="AM1806" s="587"/>
      <c r="AN1806" s="610"/>
    </row>
    <row r="1807" spans="1:40" s="413" customFormat="1" ht="54.95" customHeight="1" thickBot="1" x14ac:dyDescent="0.25">
      <c r="A1807" s="411"/>
      <c r="B1807" s="455" t="s">
        <v>36</v>
      </c>
      <c r="C1807" s="455" t="s">
        <v>133</v>
      </c>
      <c r="D1807" s="456" t="s">
        <v>2349</v>
      </c>
      <c r="E1807" s="501" t="s">
        <v>2350</v>
      </c>
      <c r="F1807" s="457">
        <v>4503762812</v>
      </c>
      <c r="G1807" s="457" t="s">
        <v>39</v>
      </c>
      <c r="H1807" s="458">
        <v>35026.76</v>
      </c>
      <c r="I1807" s="459" t="s">
        <v>142</v>
      </c>
      <c r="J1807" s="460">
        <v>40550</v>
      </c>
      <c r="K1807" s="461">
        <f t="shared" si="42"/>
        <v>94</v>
      </c>
      <c r="L1807" s="460">
        <v>40644</v>
      </c>
      <c r="M1807" s="460" t="s">
        <v>41</v>
      </c>
      <c r="N1807" s="457" t="s">
        <v>1750</v>
      </c>
      <c r="O1807" s="460">
        <v>40634</v>
      </c>
      <c r="P1807" s="461">
        <f t="shared" si="43"/>
        <v>-6</v>
      </c>
      <c r="Q1807" s="591" t="s">
        <v>2457</v>
      </c>
      <c r="R1807" s="460">
        <v>40640</v>
      </c>
      <c r="S1807" s="471">
        <v>40638</v>
      </c>
      <c r="T1807" s="728">
        <v>40658</v>
      </c>
      <c r="U1807" s="461">
        <f t="shared" si="44"/>
        <v>108</v>
      </c>
      <c r="V1807" s="468" t="s">
        <v>1269</v>
      </c>
      <c r="W1807" s="493" t="s">
        <v>2458</v>
      </c>
      <c r="X1807" s="457" t="s">
        <v>47</v>
      </c>
      <c r="Y1807" s="457" t="s">
        <v>2459</v>
      </c>
      <c r="Z1807" s="468">
        <v>3110071661</v>
      </c>
      <c r="AA1807" s="457" t="s">
        <v>47</v>
      </c>
      <c r="AB1807" s="1032" t="s">
        <v>47</v>
      </c>
      <c r="AC1807" s="722"/>
      <c r="AD1807" s="645" t="str">
        <f t="shared" si="45"/>
        <v>en término</v>
      </c>
      <c r="AE1807" s="645"/>
      <c r="AF1807" s="587"/>
      <c r="AG1807" s="610"/>
      <c r="AH1807" s="610"/>
      <c r="AI1807" s="610"/>
      <c r="AJ1807" s="610"/>
      <c r="AK1807" s="610"/>
      <c r="AL1807" s="610"/>
      <c r="AM1807" s="610"/>
      <c r="AN1807" s="610"/>
    </row>
    <row r="1808" spans="1:40" ht="54.95" customHeight="1" thickBot="1" x14ac:dyDescent="0.25">
      <c r="B1808" s="455" t="s">
        <v>36</v>
      </c>
      <c r="C1808" s="455" t="s">
        <v>133</v>
      </c>
      <c r="D1808" s="456" t="s">
        <v>2349</v>
      </c>
      <c r="E1808" s="1027" t="s">
        <v>2350</v>
      </c>
      <c r="F1808" s="1041">
        <v>4503745529</v>
      </c>
      <c r="G1808" s="457" t="s">
        <v>39</v>
      </c>
      <c r="H1808" s="458">
        <v>119577.24</v>
      </c>
      <c r="I1808" s="459" t="s">
        <v>40</v>
      </c>
      <c r="J1808" s="460">
        <v>40541</v>
      </c>
      <c r="K1808" s="461">
        <f t="shared" si="42"/>
        <v>91</v>
      </c>
      <c r="L1808" s="460">
        <v>40632</v>
      </c>
      <c r="M1808" s="460" t="s">
        <v>41</v>
      </c>
      <c r="N1808" s="457" t="s">
        <v>1750</v>
      </c>
      <c r="O1808" s="460">
        <v>40634</v>
      </c>
      <c r="P1808" s="461">
        <f t="shared" si="43"/>
        <v>11</v>
      </c>
      <c r="Q1808" s="591" t="s">
        <v>2457</v>
      </c>
      <c r="R1808" s="460">
        <v>40640</v>
      </c>
      <c r="S1808" s="471">
        <v>40643</v>
      </c>
      <c r="T1808" s="728">
        <v>40658</v>
      </c>
      <c r="U1808" s="461">
        <f t="shared" si="44"/>
        <v>117</v>
      </c>
      <c r="V1808" s="468" t="s">
        <v>2460</v>
      </c>
      <c r="W1808" s="493" t="s">
        <v>2270</v>
      </c>
      <c r="X1808" s="457" t="s">
        <v>47</v>
      </c>
      <c r="Y1808" s="457" t="s">
        <v>2459</v>
      </c>
      <c r="Z1808" s="468">
        <v>3110071661</v>
      </c>
      <c r="AA1808" s="457" t="s">
        <v>47</v>
      </c>
      <c r="AB1808" s="1032" t="s">
        <v>47</v>
      </c>
      <c r="AC1808" s="722" t="s">
        <v>2461</v>
      </c>
      <c r="AD1808" s="645" t="str">
        <f t="shared" si="45"/>
        <v>atrasado</v>
      </c>
      <c r="AE1808" s="646"/>
      <c r="AF1808" s="9"/>
      <c r="AG1808" s="9"/>
      <c r="AH1808" s="9"/>
      <c r="AI1808" s="9"/>
      <c r="AJ1808" s="9"/>
      <c r="AK1808" s="9"/>
      <c r="AL1808" s="9"/>
      <c r="AM1808" s="9"/>
    </row>
    <row r="1809" spans="1:40" ht="54.95" customHeight="1" thickBot="1" x14ac:dyDescent="0.25">
      <c r="B1809" s="455" t="s">
        <v>36</v>
      </c>
      <c r="C1809" s="455" t="s">
        <v>133</v>
      </c>
      <c r="D1809" s="456" t="s">
        <v>2349</v>
      </c>
      <c r="E1809" s="501" t="s">
        <v>2350</v>
      </c>
      <c r="F1809" s="457">
        <v>4503760256</v>
      </c>
      <c r="G1809" s="457" t="s">
        <v>39</v>
      </c>
      <c r="H1809" s="458">
        <v>249290</v>
      </c>
      <c r="I1809" s="459" t="s">
        <v>52</v>
      </c>
      <c r="J1809" s="460">
        <v>40549</v>
      </c>
      <c r="K1809" s="461">
        <f t="shared" si="42"/>
        <v>98</v>
      </c>
      <c r="L1809" s="460">
        <v>40647</v>
      </c>
      <c r="M1809" s="460" t="s">
        <v>41</v>
      </c>
      <c r="N1809" s="457" t="s">
        <v>1750</v>
      </c>
      <c r="O1809" s="460">
        <v>40647</v>
      </c>
      <c r="P1809" s="461">
        <f t="shared" si="43"/>
        <v>10</v>
      </c>
      <c r="Q1809" s="591" t="s">
        <v>2462</v>
      </c>
      <c r="R1809" s="460">
        <v>40654</v>
      </c>
      <c r="S1809" s="471">
        <v>40657</v>
      </c>
      <c r="T1809" s="728">
        <v>40666</v>
      </c>
      <c r="U1809" s="461">
        <f t="shared" si="44"/>
        <v>117</v>
      </c>
      <c r="V1809" s="468" t="s">
        <v>2463</v>
      </c>
      <c r="W1809" s="493" t="s">
        <v>2286</v>
      </c>
      <c r="X1809" s="457" t="s">
        <v>47</v>
      </c>
      <c r="Y1809" s="457" t="s">
        <v>2459</v>
      </c>
      <c r="Z1809" s="468">
        <v>3110071650</v>
      </c>
      <c r="AA1809" s="457" t="s">
        <v>47</v>
      </c>
      <c r="AB1809" s="1032" t="s">
        <v>47</v>
      </c>
      <c r="AC1809" s="722" t="s">
        <v>2464</v>
      </c>
      <c r="AD1809" s="645" t="str">
        <f t="shared" si="45"/>
        <v>atrasado</v>
      </c>
      <c r="AE1809" s="646"/>
      <c r="AF1809" s="9"/>
      <c r="AG1809" s="9"/>
      <c r="AH1809" s="9"/>
      <c r="AI1809" s="9"/>
      <c r="AJ1809" s="9"/>
      <c r="AK1809" s="9"/>
      <c r="AL1809" s="9"/>
      <c r="AM1809" s="9"/>
    </row>
    <row r="1810" spans="1:40" s="413" customFormat="1" ht="54.95" customHeight="1" thickBot="1" x14ac:dyDescent="0.25">
      <c r="A1810" s="411"/>
      <c r="B1810" s="455" t="s">
        <v>36</v>
      </c>
      <c r="C1810" s="455" t="s">
        <v>133</v>
      </c>
      <c r="D1810" s="456" t="s">
        <v>2349</v>
      </c>
      <c r="E1810" s="501" t="s">
        <v>2350</v>
      </c>
      <c r="F1810" s="457">
        <v>4503772263</v>
      </c>
      <c r="G1810" s="457" t="s">
        <v>39</v>
      </c>
      <c r="H1810" s="458">
        <v>13603.41</v>
      </c>
      <c r="I1810" s="459" t="s">
        <v>52</v>
      </c>
      <c r="J1810" s="460">
        <v>40557</v>
      </c>
      <c r="K1810" s="461">
        <f t="shared" si="42"/>
        <v>97</v>
      </c>
      <c r="L1810" s="460">
        <v>40654</v>
      </c>
      <c r="M1810" s="460" t="s">
        <v>41</v>
      </c>
      <c r="N1810" s="457" t="s">
        <v>1750</v>
      </c>
      <c r="O1810" s="460">
        <v>40661</v>
      </c>
      <c r="P1810" s="461">
        <f t="shared" si="43"/>
        <v>17</v>
      </c>
      <c r="Q1810" s="591" t="s">
        <v>2465</v>
      </c>
      <c r="R1810" s="460">
        <v>40668</v>
      </c>
      <c r="S1810" s="471">
        <v>40671</v>
      </c>
      <c r="T1810" s="728">
        <v>40686</v>
      </c>
      <c r="U1810" s="461">
        <f t="shared" si="44"/>
        <v>129</v>
      </c>
      <c r="V1810" s="468" t="s">
        <v>53</v>
      </c>
      <c r="W1810" s="493">
        <v>49</v>
      </c>
      <c r="X1810" s="457" t="s">
        <v>47</v>
      </c>
      <c r="Y1810" s="592"/>
      <c r="Z1810" s="457" t="s">
        <v>1116</v>
      </c>
      <c r="AA1810" s="457" t="s">
        <v>47</v>
      </c>
      <c r="AB1810" s="1032" t="s">
        <v>47</v>
      </c>
      <c r="AC1810" s="722" t="s">
        <v>2466</v>
      </c>
      <c r="AD1810" s="645" t="str">
        <f t="shared" si="45"/>
        <v>atrasado</v>
      </c>
      <c r="AE1810" s="645"/>
      <c r="AF1810" s="587"/>
      <c r="AG1810" s="587"/>
      <c r="AH1810" s="587"/>
      <c r="AI1810" s="587"/>
      <c r="AJ1810" s="587"/>
      <c r="AK1810" s="587"/>
      <c r="AL1810" s="587"/>
      <c r="AM1810" s="587"/>
      <c r="AN1810" s="610"/>
    </row>
    <row r="1811" spans="1:40" s="413" customFormat="1" ht="54.95" customHeight="1" thickBot="1" x14ac:dyDescent="0.25">
      <c r="A1811" s="411"/>
      <c r="B1811" s="455" t="s">
        <v>36</v>
      </c>
      <c r="C1811" s="455" t="s">
        <v>133</v>
      </c>
      <c r="D1811" s="456" t="s">
        <v>2349</v>
      </c>
      <c r="E1811" s="501" t="s">
        <v>2350</v>
      </c>
      <c r="F1811" s="457">
        <v>4503775523</v>
      </c>
      <c r="G1811" s="457" t="s">
        <v>39</v>
      </c>
      <c r="H1811" s="458">
        <v>182347.25</v>
      </c>
      <c r="I1811" s="459" t="s">
        <v>40</v>
      </c>
      <c r="J1811" s="460">
        <v>40561</v>
      </c>
      <c r="K1811" s="461">
        <f t="shared" si="42"/>
        <v>97</v>
      </c>
      <c r="L1811" s="460">
        <v>40658</v>
      </c>
      <c r="M1811" s="460" t="s">
        <v>41</v>
      </c>
      <c r="N1811" s="457" t="s">
        <v>1750</v>
      </c>
      <c r="O1811" s="460">
        <v>40661</v>
      </c>
      <c r="P1811" s="461">
        <f t="shared" si="43"/>
        <v>13</v>
      </c>
      <c r="Q1811" s="591" t="s">
        <v>2465</v>
      </c>
      <c r="R1811" s="460">
        <v>40668</v>
      </c>
      <c r="S1811" s="471">
        <v>40671</v>
      </c>
      <c r="T1811" s="728">
        <v>40686</v>
      </c>
      <c r="U1811" s="461">
        <f t="shared" si="44"/>
        <v>125</v>
      </c>
      <c r="V1811" s="468" t="s">
        <v>2467</v>
      </c>
      <c r="W1811" s="493">
        <v>50</v>
      </c>
      <c r="X1811" s="457" t="s">
        <v>47</v>
      </c>
      <c r="Y1811" s="457" t="s">
        <v>2468</v>
      </c>
      <c r="Z1811" s="457" t="s">
        <v>1116</v>
      </c>
      <c r="AA1811" s="457" t="s">
        <v>211</v>
      </c>
      <c r="AB1811" s="1032" t="s">
        <v>47</v>
      </c>
      <c r="AC1811" s="722" t="s">
        <v>2466</v>
      </c>
      <c r="AD1811" s="645" t="str">
        <f t="shared" si="45"/>
        <v>atrasado</v>
      </c>
      <c r="AE1811" s="645"/>
      <c r="AF1811" s="587"/>
      <c r="AG1811" s="587"/>
      <c r="AH1811" s="587"/>
      <c r="AI1811" s="587"/>
      <c r="AJ1811" s="587"/>
      <c r="AK1811" s="587"/>
      <c r="AL1811" s="587"/>
      <c r="AM1811" s="587"/>
      <c r="AN1811" s="610"/>
    </row>
    <row r="1812" spans="1:40" s="413" customFormat="1" ht="54.95" customHeight="1" thickBot="1" x14ac:dyDescent="0.25">
      <c r="A1812" s="411"/>
      <c r="B1812" s="455" t="s">
        <v>36</v>
      </c>
      <c r="C1812" s="455" t="s">
        <v>133</v>
      </c>
      <c r="D1812" s="456" t="s">
        <v>2349</v>
      </c>
      <c r="E1812" s="501" t="s">
        <v>2350</v>
      </c>
      <c r="F1812" s="457">
        <v>4503792730</v>
      </c>
      <c r="G1812" s="457" t="s">
        <v>39</v>
      </c>
      <c r="H1812" s="458">
        <v>2319</v>
      </c>
      <c r="I1812" s="459" t="s">
        <v>40</v>
      </c>
      <c r="J1812" s="460">
        <v>40574</v>
      </c>
      <c r="K1812" s="461">
        <f t="shared" si="42"/>
        <v>91</v>
      </c>
      <c r="L1812" s="460">
        <v>40665</v>
      </c>
      <c r="M1812" s="460" t="s">
        <v>41</v>
      </c>
      <c r="N1812" s="457" t="s">
        <v>1750</v>
      </c>
      <c r="O1812" s="460">
        <v>40661</v>
      </c>
      <c r="P1812" s="461">
        <f t="shared" ref="P1812:P1843" si="46">IF(S1812="","",+S1812-L1812)</f>
        <v>5</v>
      </c>
      <c r="Q1812" s="591" t="s">
        <v>2465</v>
      </c>
      <c r="R1812" s="460">
        <v>40668</v>
      </c>
      <c r="S1812" s="471">
        <v>40670</v>
      </c>
      <c r="T1812" s="728">
        <v>40686</v>
      </c>
      <c r="U1812" s="461">
        <f t="shared" ref="U1812:U1843" si="47">IF(T1812="","",+T1812-J1812)</f>
        <v>112</v>
      </c>
      <c r="V1812" s="468" t="s">
        <v>2469</v>
      </c>
      <c r="W1812" s="493">
        <v>51</v>
      </c>
      <c r="X1812" s="457"/>
      <c r="Y1812" s="592"/>
      <c r="Z1812" s="457" t="s">
        <v>1116</v>
      </c>
      <c r="AA1812" s="457" t="s">
        <v>47</v>
      </c>
      <c r="AB1812" s="1032" t="s">
        <v>47</v>
      </c>
      <c r="AC1812" s="722" t="s">
        <v>2466</v>
      </c>
      <c r="AD1812" s="645" t="str">
        <f t="shared" ref="AD1812:AD1843" si="48">IF(P1812="","",IF(P1812&lt;=0,"en término","atrasado"))</f>
        <v>atrasado</v>
      </c>
      <c r="AE1812" s="645"/>
      <c r="AF1812" s="587"/>
      <c r="AG1812" s="587"/>
      <c r="AH1812" s="587"/>
      <c r="AI1812" s="587"/>
      <c r="AJ1812" s="587"/>
      <c r="AK1812" s="587"/>
      <c r="AL1812" s="587"/>
      <c r="AM1812" s="587"/>
      <c r="AN1812" s="610"/>
    </row>
    <row r="1813" spans="1:40" s="587" customFormat="1" ht="54.95" customHeight="1" thickBot="1" x14ac:dyDescent="0.25">
      <c r="A1813" s="803"/>
      <c r="B1813" s="455" t="s">
        <v>36</v>
      </c>
      <c r="C1813" s="455" t="s">
        <v>37</v>
      </c>
      <c r="D1813" s="456" t="s">
        <v>2080</v>
      </c>
      <c r="E1813" s="501" t="s">
        <v>2470</v>
      </c>
      <c r="F1813" s="457">
        <v>11030001</v>
      </c>
      <c r="G1813" s="457" t="s">
        <v>1192</v>
      </c>
      <c r="H1813" s="458">
        <v>24332</v>
      </c>
      <c r="I1813" s="459" t="s">
        <v>40</v>
      </c>
      <c r="J1813" s="460">
        <v>40618</v>
      </c>
      <c r="K1813" s="461">
        <f t="shared" si="42"/>
        <v>72</v>
      </c>
      <c r="L1813" s="460">
        <v>40690</v>
      </c>
      <c r="M1813" s="460" t="s">
        <v>41</v>
      </c>
      <c r="N1813" s="457" t="s">
        <v>1750</v>
      </c>
      <c r="O1813" s="460">
        <v>40661</v>
      </c>
      <c r="P1813" s="461">
        <f t="shared" si="46"/>
        <v>-22</v>
      </c>
      <c r="Q1813" s="591" t="s">
        <v>2465</v>
      </c>
      <c r="R1813" s="460">
        <v>40668</v>
      </c>
      <c r="S1813" s="471">
        <v>40668</v>
      </c>
      <c r="T1813" s="464">
        <v>40686</v>
      </c>
      <c r="U1813" s="461">
        <f t="shared" si="47"/>
        <v>68</v>
      </c>
      <c r="V1813" s="468" t="s">
        <v>2471</v>
      </c>
      <c r="W1813" s="493">
        <v>48</v>
      </c>
      <c r="X1813" s="467"/>
      <c r="Y1813" s="592"/>
      <c r="Z1813" s="457" t="s">
        <v>1116</v>
      </c>
      <c r="AA1813" s="457" t="s">
        <v>47</v>
      </c>
      <c r="AB1813" s="460" t="s">
        <v>2472</v>
      </c>
      <c r="AC1813" s="722"/>
      <c r="AD1813" s="645" t="str">
        <f t="shared" si="48"/>
        <v>en término</v>
      </c>
    </row>
    <row r="1814" spans="1:40" s="587" customFormat="1" ht="54.95" customHeight="1" thickBot="1" x14ac:dyDescent="0.25">
      <c r="A1814" s="803"/>
      <c r="B1814" s="455" t="s">
        <v>36</v>
      </c>
      <c r="C1814" s="455" t="s">
        <v>37</v>
      </c>
      <c r="D1814" s="456" t="s">
        <v>2473</v>
      </c>
      <c r="E1814" s="501" t="s">
        <v>2474</v>
      </c>
      <c r="F1814" s="457">
        <v>11010005</v>
      </c>
      <c r="G1814" s="457" t="s">
        <v>39</v>
      </c>
      <c r="H1814" s="458">
        <v>369988</v>
      </c>
      <c r="I1814" s="459" t="s">
        <v>40</v>
      </c>
      <c r="J1814" s="460">
        <v>40535</v>
      </c>
      <c r="K1814" s="461">
        <f t="shared" si="42"/>
        <v>112</v>
      </c>
      <c r="L1814" s="460">
        <v>40647</v>
      </c>
      <c r="M1814" s="460" t="s">
        <v>41</v>
      </c>
      <c r="N1814" s="457" t="s">
        <v>2222</v>
      </c>
      <c r="O1814" s="460">
        <v>40661</v>
      </c>
      <c r="P1814" s="461">
        <f t="shared" si="46"/>
        <v>21</v>
      </c>
      <c r="Q1814" s="591" t="s">
        <v>2465</v>
      </c>
      <c r="R1814" s="460">
        <v>40668</v>
      </c>
      <c r="S1814" s="471">
        <v>40668</v>
      </c>
      <c r="T1814" s="464">
        <v>40686</v>
      </c>
      <c r="U1814" s="461">
        <f t="shared" si="47"/>
        <v>151</v>
      </c>
      <c r="V1814" s="468" t="s">
        <v>2475</v>
      </c>
      <c r="W1814" s="493">
        <v>48</v>
      </c>
      <c r="X1814" s="457" t="s">
        <v>211</v>
      </c>
      <c r="Y1814" s="457" t="s">
        <v>2468</v>
      </c>
      <c r="Z1814" s="457" t="s">
        <v>1116</v>
      </c>
      <c r="AA1814" s="457" t="s">
        <v>47</v>
      </c>
      <c r="AB1814" s="460" t="s">
        <v>2472</v>
      </c>
      <c r="AC1814" s="722" t="s">
        <v>2466</v>
      </c>
      <c r="AD1814" s="645" t="str">
        <f t="shared" si="48"/>
        <v>atrasado</v>
      </c>
    </row>
    <row r="1815" spans="1:40" s="587" customFormat="1" ht="54.95" customHeight="1" thickBot="1" x14ac:dyDescent="0.25">
      <c r="A1815" s="803"/>
      <c r="B1815" s="1043" t="s">
        <v>36</v>
      </c>
      <c r="C1815" s="1043" t="s">
        <v>37</v>
      </c>
      <c r="D1815" s="1044" t="s">
        <v>2080</v>
      </c>
      <c r="E1815" s="1027" t="s">
        <v>2476</v>
      </c>
      <c r="F1815" s="1028">
        <v>11020001</v>
      </c>
      <c r="G1815" s="1028" t="s">
        <v>1192</v>
      </c>
      <c r="H1815" s="1029">
        <v>19992</v>
      </c>
      <c r="I1815" s="1033" t="s">
        <v>40</v>
      </c>
      <c r="J1815" s="1032">
        <v>40578</v>
      </c>
      <c r="K1815" s="1041">
        <f t="shared" si="42"/>
        <v>75</v>
      </c>
      <c r="L1815" s="1032">
        <v>40653</v>
      </c>
      <c r="M1815" s="1032" t="s">
        <v>41</v>
      </c>
      <c r="N1815" s="1028" t="s">
        <v>1750</v>
      </c>
      <c r="O1815" s="1032">
        <v>40661</v>
      </c>
      <c r="P1815" s="1041">
        <f t="shared" si="46"/>
        <v>15</v>
      </c>
      <c r="Q1815" s="591" t="s">
        <v>2465</v>
      </c>
      <c r="R1815" s="460">
        <v>40668</v>
      </c>
      <c r="S1815" s="471">
        <v>40668</v>
      </c>
      <c r="T1815" s="464">
        <v>40686</v>
      </c>
      <c r="U1815" s="1041">
        <f t="shared" si="47"/>
        <v>108</v>
      </c>
      <c r="V1815" s="446" t="s">
        <v>2477</v>
      </c>
      <c r="W1815" s="659">
        <v>48</v>
      </c>
      <c r="X1815" s="643"/>
      <c r="Y1815" s="1037"/>
      <c r="Z1815" s="457" t="s">
        <v>1116</v>
      </c>
      <c r="AA1815" s="1028" t="s">
        <v>47</v>
      </c>
      <c r="AB1815" s="460" t="s">
        <v>2472</v>
      </c>
      <c r="AC1815" s="722" t="s">
        <v>2466</v>
      </c>
      <c r="AD1815" s="645" t="str">
        <f t="shared" si="48"/>
        <v>atrasado</v>
      </c>
    </row>
    <row r="1816" spans="1:40" s="413" customFormat="1" ht="54.95" customHeight="1" thickBot="1" x14ac:dyDescent="0.25">
      <c r="A1816" s="411"/>
      <c r="B1816" s="455" t="s">
        <v>36</v>
      </c>
      <c r="C1816" s="455" t="s">
        <v>133</v>
      </c>
      <c r="D1816" s="456" t="s">
        <v>2349</v>
      </c>
      <c r="E1816" s="501" t="s">
        <v>2350</v>
      </c>
      <c r="F1816" s="457">
        <v>4503873625</v>
      </c>
      <c r="G1816" s="457" t="s">
        <v>39</v>
      </c>
      <c r="H1816" s="458">
        <v>187220</v>
      </c>
      <c r="I1816" s="459" t="s">
        <v>52</v>
      </c>
      <c r="J1816" s="460">
        <v>40623</v>
      </c>
      <c r="K1816" s="461">
        <f t="shared" si="42"/>
        <v>64</v>
      </c>
      <c r="L1816" s="460">
        <v>40687</v>
      </c>
      <c r="M1816" s="460" t="s">
        <v>41</v>
      </c>
      <c r="N1816" s="457" t="s">
        <v>1750</v>
      </c>
      <c r="O1816" s="460">
        <v>40689</v>
      </c>
      <c r="P1816" s="461">
        <f t="shared" si="46"/>
        <v>12</v>
      </c>
      <c r="Q1816" s="591" t="s">
        <v>2478</v>
      </c>
      <c r="R1816" s="460">
        <v>40690</v>
      </c>
      <c r="S1816" s="642">
        <v>40699</v>
      </c>
      <c r="T1816" s="724">
        <v>40714</v>
      </c>
      <c r="U1816" s="461">
        <f t="shared" si="47"/>
        <v>91</v>
      </c>
      <c r="V1816" s="468" t="s">
        <v>2218</v>
      </c>
      <c r="W1816" s="493">
        <v>66</v>
      </c>
      <c r="X1816" s="1028" t="s">
        <v>47</v>
      </c>
      <c r="Y1816" s="457"/>
      <c r="Z1816" s="446">
        <v>1486232285</v>
      </c>
      <c r="AA1816" s="457" t="s">
        <v>47</v>
      </c>
      <c r="AB1816" s="1032" t="s">
        <v>47</v>
      </c>
      <c r="AC1816" s="722"/>
      <c r="AD1816" s="645" t="str">
        <f t="shared" si="48"/>
        <v>atrasado</v>
      </c>
      <c r="AE1816" s="645"/>
      <c r="AF1816" s="587"/>
      <c r="AG1816" s="587"/>
      <c r="AH1816" s="587"/>
      <c r="AI1816" s="587"/>
      <c r="AJ1816" s="587"/>
      <c r="AK1816" s="587"/>
      <c r="AL1816" s="587"/>
      <c r="AM1816" s="587"/>
      <c r="AN1816" s="610"/>
    </row>
    <row r="1817" spans="1:40" ht="54.95" customHeight="1" thickBot="1" x14ac:dyDescent="0.25">
      <c r="A1817" s="455"/>
      <c r="B1817" s="455" t="s">
        <v>36</v>
      </c>
      <c r="C1817" s="455" t="s">
        <v>133</v>
      </c>
      <c r="D1817" s="456" t="s">
        <v>2349</v>
      </c>
      <c r="E1817" s="501" t="s">
        <v>2350</v>
      </c>
      <c r="F1817" s="457">
        <v>4503838605</v>
      </c>
      <c r="G1817" s="457" t="s">
        <v>39</v>
      </c>
      <c r="H1817" s="458">
        <v>266249.12</v>
      </c>
      <c r="I1817" s="459" t="s">
        <v>52</v>
      </c>
      <c r="J1817" s="460">
        <v>40598</v>
      </c>
      <c r="K1817" s="461">
        <f t="shared" si="42"/>
        <v>81</v>
      </c>
      <c r="L1817" s="460">
        <v>40679</v>
      </c>
      <c r="M1817" s="460" t="s">
        <v>41</v>
      </c>
      <c r="N1817" s="457" t="s">
        <v>1750</v>
      </c>
      <c r="O1817" s="460">
        <v>40675</v>
      </c>
      <c r="P1817" s="461">
        <f t="shared" si="46"/>
        <v>11</v>
      </c>
      <c r="Q1817" s="591" t="s">
        <v>2479</v>
      </c>
      <c r="R1817" s="460">
        <v>40672</v>
      </c>
      <c r="S1817" s="471">
        <v>40690</v>
      </c>
      <c r="T1817" s="728">
        <v>40708</v>
      </c>
      <c r="U1817" s="461">
        <f t="shared" si="47"/>
        <v>110</v>
      </c>
      <c r="V1817" s="468" t="s">
        <v>2412</v>
      </c>
      <c r="W1817" s="493">
        <v>58</v>
      </c>
      <c r="X1817" s="457" t="s">
        <v>47</v>
      </c>
      <c r="Y1817" s="457" t="s">
        <v>2480</v>
      </c>
      <c r="Z1817" s="468"/>
      <c r="AA1817" s="457"/>
      <c r="AB1817" s="1032" t="s">
        <v>47</v>
      </c>
      <c r="AC1817" s="722"/>
      <c r="AD1817" s="645" t="str">
        <f t="shared" si="48"/>
        <v>atrasado</v>
      </c>
      <c r="AE1817" s="646"/>
      <c r="AF1817" s="9"/>
      <c r="AG1817" s="9"/>
      <c r="AH1817" s="9"/>
      <c r="AI1817" s="9"/>
      <c r="AJ1817" s="9"/>
      <c r="AK1817" s="9"/>
      <c r="AL1817" s="9"/>
      <c r="AM1817" s="9"/>
    </row>
    <row r="1818" spans="1:40" ht="54.95" customHeight="1" thickBot="1" x14ac:dyDescent="0.25">
      <c r="B1818" s="455" t="s">
        <v>36</v>
      </c>
      <c r="C1818" s="455" t="s">
        <v>133</v>
      </c>
      <c r="D1818" s="456" t="s">
        <v>2349</v>
      </c>
      <c r="E1818" s="501" t="s">
        <v>2350</v>
      </c>
      <c r="F1818" s="457">
        <v>4503810971</v>
      </c>
      <c r="G1818" s="457" t="s">
        <v>39</v>
      </c>
      <c r="H1818" s="458">
        <v>875.6</v>
      </c>
      <c r="I1818" s="459" t="s">
        <v>62</v>
      </c>
      <c r="J1818" s="460">
        <v>40581</v>
      </c>
      <c r="K1818" s="461">
        <f t="shared" si="42"/>
        <v>104</v>
      </c>
      <c r="L1818" s="460">
        <v>40685</v>
      </c>
      <c r="M1818" s="460" t="s">
        <v>41</v>
      </c>
      <c r="N1818" s="457" t="s">
        <v>1750</v>
      </c>
      <c r="O1818" s="460">
        <v>40675</v>
      </c>
      <c r="P1818" s="461">
        <f t="shared" si="46"/>
        <v>-1</v>
      </c>
      <c r="Q1818" s="591" t="s">
        <v>2479</v>
      </c>
      <c r="R1818" s="460">
        <v>40672</v>
      </c>
      <c r="S1818" s="471">
        <v>40684</v>
      </c>
      <c r="T1818" s="728">
        <v>40700</v>
      </c>
      <c r="U1818" s="461">
        <f t="shared" si="47"/>
        <v>119</v>
      </c>
      <c r="V1818" s="468" t="s">
        <v>53</v>
      </c>
      <c r="W1818" s="493">
        <v>59</v>
      </c>
      <c r="X1818" s="457" t="s">
        <v>47</v>
      </c>
      <c r="Y1818" s="592"/>
      <c r="Z1818" s="468"/>
      <c r="AA1818" s="457" t="s">
        <v>47</v>
      </c>
      <c r="AB1818" s="1032" t="s">
        <v>47</v>
      </c>
      <c r="AC1818" s="722"/>
      <c r="AD1818" s="645" t="str">
        <f t="shared" si="48"/>
        <v>en término</v>
      </c>
      <c r="AE1818" s="646"/>
      <c r="AF1818" s="9"/>
      <c r="AG1818" s="9"/>
      <c r="AH1818" s="9"/>
      <c r="AI1818" s="9"/>
      <c r="AJ1818" s="9"/>
      <c r="AK1818" s="9"/>
      <c r="AL1818" s="9"/>
      <c r="AM1818" s="9"/>
    </row>
    <row r="1819" spans="1:40" ht="54.95" customHeight="1" thickBot="1" x14ac:dyDescent="0.25">
      <c r="B1819" s="455" t="s">
        <v>36</v>
      </c>
      <c r="C1819" s="455" t="s">
        <v>133</v>
      </c>
      <c r="D1819" s="456" t="s">
        <v>2349</v>
      </c>
      <c r="E1819" s="501" t="s">
        <v>2350</v>
      </c>
      <c r="F1819" s="457">
        <v>4503874503</v>
      </c>
      <c r="G1819" s="457" t="s">
        <v>39</v>
      </c>
      <c r="H1819" s="458">
        <v>4210.5</v>
      </c>
      <c r="I1819" s="459" t="s">
        <v>52</v>
      </c>
      <c r="J1819" s="460">
        <v>40623</v>
      </c>
      <c r="K1819" s="461">
        <f t="shared" si="42"/>
        <v>64</v>
      </c>
      <c r="L1819" s="460">
        <v>40687</v>
      </c>
      <c r="M1819" s="460" t="s">
        <v>41</v>
      </c>
      <c r="N1819" s="457" t="s">
        <v>1750</v>
      </c>
      <c r="O1819" s="460">
        <v>40675</v>
      </c>
      <c r="P1819" s="461">
        <f t="shared" si="46"/>
        <v>-3</v>
      </c>
      <c r="Q1819" s="591" t="s">
        <v>2479</v>
      </c>
      <c r="R1819" s="460">
        <v>40672</v>
      </c>
      <c r="S1819" s="471">
        <v>40684</v>
      </c>
      <c r="T1819" s="728">
        <v>40700</v>
      </c>
      <c r="U1819" s="461">
        <f t="shared" si="47"/>
        <v>77</v>
      </c>
      <c r="V1819" s="468" t="s">
        <v>53</v>
      </c>
      <c r="W1819" s="493">
        <v>61</v>
      </c>
      <c r="X1819" s="457"/>
      <c r="Y1819" s="592"/>
      <c r="Z1819" s="468"/>
      <c r="AA1819" s="457" t="s">
        <v>47</v>
      </c>
      <c r="AB1819" s="1032" t="s">
        <v>47</v>
      </c>
      <c r="AC1819" s="722"/>
      <c r="AD1819" s="645" t="str">
        <f t="shared" si="48"/>
        <v>en término</v>
      </c>
      <c r="AE1819" s="646"/>
      <c r="AF1819" s="9"/>
      <c r="AG1819" s="9"/>
      <c r="AH1819" s="9"/>
      <c r="AI1819" s="9"/>
      <c r="AJ1819" s="9"/>
      <c r="AK1819" s="9"/>
      <c r="AL1819" s="9"/>
      <c r="AM1819" s="9"/>
    </row>
    <row r="1820" spans="1:40" ht="54.95" customHeight="1" thickBot="1" x14ac:dyDescent="0.25">
      <c r="B1820" s="455" t="s">
        <v>36</v>
      </c>
      <c r="C1820" s="455" t="s">
        <v>133</v>
      </c>
      <c r="D1820" s="456" t="s">
        <v>2349</v>
      </c>
      <c r="E1820" s="501" t="s">
        <v>2350</v>
      </c>
      <c r="F1820" s="457">
        <v>4503839892</v>
      </c>
      <c r="G1820" s="457" t="s">
        <v>39</v>
      </c>
      <c r="H1820" s="458">
        <v>32850.9</v>
      </c>
      <c r="I1820" s="459" t="s">
        <v>62</v>
      </c>
      <c r="J1820" s="460">
        <v>40599</v>
      </c>
      <c r="K1820" s="461">
        <f t="shared" si="42"/>
        <v>94</v>
      </c>
      <c r="L1820" s="460">
        <v>40693</v>
      </c>
      <c r="M1820" s="460" t="s">
        <v>41</v>
      </c>
      <c r="N1820" s="457" t="s">
        <v>1750</v>
      </c>
      <c r="O1820" s="460">
        <v>40675</v>
      </c>
      <c r="P1820" s="461">
        <f t="shared" si="46"/>
        <v>-9</v>
      </c>
      <c r="Q1820" s="591" t="s">
        <v>2479</v>
      </c>
      <c r="R1820" s="460">
        <v>40672</v>
      </c>
      <c r="S1820" s="471">
        <v>40684</v>
      </c>
      <c r="T1820" s="728">
        <v>40700</v>
      </c>
      <c r="U1820" s="461">
        <f t="shared" si="47"/>
        <v>101</v>
      </c>
      <c r="V1820" s="468" t="s">
        <v>940</v>
      </c>
      <c r="W1820" s="493">
        <v>60</v>
      </c>
      <c r="X1820" s="457" t="s">
        <v>47</v>
      </c>
      <c r="Y1820" s="457" t="s">
        <v>2480</v>
      </c>
      <c r="Z1820" s="468"/>
      <c r="AA1820" s="457" t="s">
        <v>47</v>
      </c>
      <c r="AB1820" s="1032" t="s">
        <v>47</v>
      </c>
      <c r="AC1820" s="722"/>
      <c r="AD1820" s="645" t="str">
        <f t="shared" si="48"/>
        <v>en término</v>
      </c>
      <c r="AE1820" s="646"/>
      <c r="AF1820" s="9"/>
      <c r="AG1820" s="9"/>
      <c r="AH1820" s="9"/>
      <c r="AI1820" s="9"/>
      <c r="AJ1820" s="9"/>
      <c r="AK1820" s="9"/>
      <c r="AL1820" s="9"/>
      <c r="AM1820" s="9"/>
    </row>
    <row r="1821" spans="1:40" s="587" customFormat="1" ht="54.95" customHeight="1" thickBot="1" x14ac:dyDescent="0.25">
      <c r="A1821" s="803"/>
      <c r="B1821" s="455" t="s">
        <v>36</v>
      </c>
      <c r="C1821" s="455" t="s">
        <v>37</v>
      </c>
      <c r="D1821" s="456" t="s">
        <v>2481</v>
      </c>
      <c r="E1821" s="501" t="s">
        <v>2482</v>
      </c>
      <c r="F1821" s="457">
        <v>11050001</v>
      </c>
      <c r="G1821" s="457" t="s">
        <v>1192</v>
      </c>
      <c r="H1821" s="458">
        <v>1350</v>
      </c>
      <c r="I1821" s="459" t="s">
        <v>62</v>
      </c>
      <c r="J1821" s="460">
        <v>40661</v>
      </c>
      <c r="K1821" s="461">
        <f t="shared" si="42"/>
        <v>21</v>
      </c>
      <c r="L1821" s="460">
        <v>40682</v>
      </c>
      <c r="M1821" s="460" t="s">
        <v>41</v>
      </c>
      <c r="N1821" s="457" t="s">
        <v>1750</v>
      </c>
      <c r="O1821" s="460">
        <v>40675</v>
      </c>
      <c r="P1821" s="461">
        <f t="shared" si="46"/>
        <v>7</v>
      </c>
      <c r="Q1821" s="591" t="s">
        <v>2483</v>
      </c>
      <c r="R1821" s="753"/>
      <c r="S1821" s="471">
        <v>40689</v>
      </c>
      <c r="T1821" s="464">
        <v>40708</v>
      </c>
      <c r="U1821" s="461">
        <f t="shared" si="47"/>
        <v>47</v>
      </c>
      <c r="V1821" s="468" t="s">
        <v>53</v>
      </c>
      <c r="W1821" s="493">
        <v>57</v>
      </c>
      <c r="X1821" s="467"/>
      <c r="Y1821" s="592"/>
      <c r="Z1821" s="468"/>
      <c r="AA1821" s="457" t="s">
        <v>47</v>
      </c>
      <c r="AB1821" s="460" t="s">
        <v>2484</v>
      </c>
      <c r="AC1821" s="722"/>
      <c r="AD1821" s="645" t="str">
        <f t="shared" si="48"/>
        <v>atrasado</v>
      </c>
    </row>
    <row r="1822" spans="1:40" ht="54.95" customHeight="1" thickBot="1" x14ac:dyDescent="0.25">
      <c r="B1822" s="1043" t="s">
        <v>36</v>
      </c>
      <c r="C1822" s="1043" t="s">
        <v>133</v>
      </c>
      <c r="D1822" s="1044" t="s">
        <v>2349</v>
      </c>
      <c r="E1822" s="1027" t="s">
        <v>2350</v>
      </c>
      <c r="F1822" s="1028">
        <v>4503847224</v>
      </c>
      <c r="G1822" s="1028" t="s">
        <v>39</v>
      </c>
      <c r="H1822" s="1029">
        <v>410150</v>
      </c>
      <c r="I1822" s="1033" t="s">
        <v>40</v>
      </c>
      <c r="J1822" s="1032">
        <v>40603</v>
      </c>
      <c r="K1822" s="1041">
        <f t="shared" si="42"/>
        <v>91</v>
      </c>
      <c r="L1822" s="1032">
        <v>40694</v>
      </c>
      <c r="M1822" s="1032" t="s">
        <v>41</v>
      </c>
      <c r="N1822" s="1028" t="s">
        <v>1750</v>
      </c>
      <c r="O1822" s="1032">
        <v>40689</v>
      </c>
      <c r="P1822" s="461">
        <f t="shared" si="46"/>
        <v>5</v>
      </c>
      <c r="Q1822" s="591" t="s">
        <v>2478</v>
      </c>
      <c r="R1822" s="1032">
        <v>40690</v>
      </c>
      <c r="S1822" s="642">
        <v>40699</v>
      </c>
      <c r="T1822" s="724">
        <v>40714</v>
      </c>
      <c r="U1822" s="1041">
        <f t="shared" si="47"/>
        <v>111</v>
      </c>
      <c r="V1822" s="446" t="s">
        <v>2485</v>
      </c>
      <c r="W1822" s="659">
        <v>65</v>
      </c>
      <c r="X1822" s="1028" t="s">
        <v>47</v>
      </c>
      <c r="Y1822" s="1028"/>
      <c r="Z1822" s="446">
        <v>1486232285</v>
      </c>
      <c r="AA1822" s="1028" t="s">
        <v>47</v>
      </c>
      <c r="AB1822" s="1032" t="s">
        <v>47</v>
      </c>
      <c r="AC1822" s="723"/>
      <c r="AD1822" s="645" t="str">
        <f t="shared" si="48"/>
        <v>atrasado</v>
      </c>
      <c r="AE1822" s="646"/>
      <c r="AF1822" s="9"/>
      <c r="AG1822" s="9"/>
      <c r="AH1822" s="9"/>
      <c r="AI1822" s="9"/>
      <c r="AJ1822" s="9"/>
      <c r="AK1822" s="9"/>
      <c r="AL1822" s="9"/>
      <c r="AM1822" s="9"/>
    </row>
    <row r="1823" spans="1:40" s="649" customFormat="1" ht="54.95" customHeight="1" thickBot="1" x14ac:dyDescent="0.25">
      <c r="A1823" s="803"/>
      <c r="B1823" s="1043" t="s">
        <v>36</v>
      </c>
      <c r="C1823" s="1043" t="s">
        <v>37</v>
      </c>
      <c r="D1823" s="1044" t="s">
        <v>2486</v>
      </c>
      <c r="E1823" s="1027" t="s">
        <v>2487</v>
      </c>
      <c r="F1823" s="1028">
        <v>11050004</v>
      </c>
      <c r="G1823" s="1028" t="s">
        <v>1192</v>
      </c>
      <c r="H1823" s="1029">
        <v>637.1</v>
      </c>
      <c r="I1823" s="1033" t="s">
        <v>62</v>
      </c>
      <c r="J1823" s="653">
        <v>40672</v>
      </c>
      <c r="K1823" s="1041">
        <f t="shared" si="42"/>
        <v>83</v>
      </c>
      <c r="L1823" s="1032">
        <v>40755</v>
      </c>
      <c r="M1823" s="1032" t="s">
        <v>41</v>
      </c>
      <c r="N1823" s="1028" t="s">
        <v>42</v>
      </c>
      <c r="O1823" s="1032">
        <v>40689</v>
      </c>
      <c r="P1823" s="818">
        <f t="shared" si="46"/>
        <v>-57</v>
      </c>
      <c r="Q1823" s="1034" t="s">
        <v>2478</v>
      </c>
      <c r="R1823" s="758"/>
      <c r="S1823" s="642">
        <v>40698</v>
      </c>
      <c r="T1823" s="642">
        <v>40714</v>
      </c>
      <c r="U1823" s="1041">
        <f t="shared" si="47"/>
        <v>42</v>
      </c>
      <c r="V1823" s="1041" t="s">
        <v>53</v>
      </c>
      <c r="W1823" s="819">
        <v>64</v>
      </c>
      <c r="X1823" s="643"/>
      <c r="Y1823" s="592"/>
      <c r="Z1823" s="446"/>
      <c r="AA1823" s="1028" t="s">
        <v>47</v>
      </c>
      <c r="AB1823" s="473" t="str">
        <f ca="1">IF(S1823="","",IF('o.c.'!$Z$1&lt;(S1823+180),(S1823+180),"VENCIDA"))</f>
        <v>VENCIDA</v>
      </c>
      <c r="AC1823" s="723"/>
      <c r="AD1823" s="645" t="str">
        <f t="shared" si="48"/>
        <v>en término</v>
      </c>
    </row>
    <row r="1824" spans="1:40" s="587" customFormat="1" ht="54.95" customHeight="1" thickBot="1" x14ac:dyDescent="0.25">
      <c r="A1824" s="803"/>
      <c r="B1824" s="729" t="s">
        <v>36</v>
      </c>
      <c r="C1824" s="729" t="s">
        <v>37</v>
      </c>
      <c r="D1824" s="538" t="s">
        <v>2488</v>
      </c>
      <c r="E1824" s="730" t="s">
        <v>2489</v>
      </c>
      <c r="F1824" s="731">
        <v>11050003</v>
      </c>
      <c r="G1824" s="731" t="s">
        <v>1192</v>
      </c>
      <c r="H1824" s="732">
        <v>1852</v>
      </c>
      <c r="I1824" s="733" t="s">
        <v>40</v>
      </c>
      <c r="J1824" s="734">
        <v>40646</v>
      </c>
      <c r="K1824" s="735">
        <v>45</v>
      </c>
      <c r="L1824" s="734">
        <f>+J1824+K1824</f>
        <v>40691</v>
      </c>
      <c r="M1824" s="734" t="s">
        <v>41</v>
      </c>
      <c r="N1824" s="731" t="s">
        <v>1750</v>
      </c>
      <c r="O1824" s="734">
        <v>40690</v>
      </c>
      <c r="P1824" s="735">
        <f t="shared" si="46"/>
        <v>7</v>
      </c>
      <c r="Q1824" s="809" t="s">
        <v>2478</v>
      </c>
      <c r="R1824" s="745">
        <v>40690</v>
      </c>
      <c r="S1824" s="748">
        <v>40698</v>
      </c>
      <c r="T1824" s="736">
        <v>40714</v>
      </c>
      <c r="U1824" s="735">
        <f t="shared" si="47"/>
        <v>68</v>
      </c>
      <c r="V1824" s="531" t="s">
        <v>2077</v>
      </c>
      <c r="W1824" s="737">
        <v>64</v>
      </c>
      <c r="X1824" s="738"/>
      <c r="Y1824" s="739"/>
      <c r="Z1824" s="531"/>
      <c r="AA1824" s="731" t="s">
        <v>47</v>
      </c>
      <c r="AB1824" s="460" t="s">
        <v>2484</v>
      </c>
      <c r="AC1824" s="741"/>
      <c r="AD1824" s="645" t="str">
        <f t="shared" si="48"/>
        <v>atrasado</v>
      </c>
    </row>
    <row r="1825" spans="1:39" ht="54.95" customHeight="1" thickBot="1" x14ac:dyDescent="0.25">
      <c r="B1825" s="455" t="s">
        <v>36</v>
      </c>
      <c r="C1825" s="455" t="s">
        <v>133</v>
      </c>
      <c r="D1825" s="456" t="s">
        <v>2349</v>
      </c>
      <c r="E1825" s="501" t="s">
        <v>2350</v>
      </c>
      <c r="F1825" s="457">
        <v>4503914909</v>
      </c>
      <c r="G1825" s="457" t="s">
        <v>39</v>
      </c>
      <c r="H1825" s="458">
        <v>29526.7</v>
      </c>
      <c r="I1825" s="459" t="s">
        <v>40</v>
      </c>
      <c r="J1825" s="460">
        <v>40645</v>
      </c>
      <c r="K1825" s="461">
        <f t="shared" ref="K1825:K1869" si="49">+L1825-J1825</f>
        <v>91</v>
      </c>
      <c r="L1825" s="460">
        <v>40736</v>
      </c>
      <c r="M1825" s="460" t="s">
        <v>41</v>
      </c>
      <c r="N1825" s="457" t="s">
        <v>1750</v>
      </c>
      <c r="O1825" s="460">
        <v>40701</v>
      </c>
      <c r="P1825" s="461">
        <f t="shared" si="46"/>
        <v>-10</v>
      </c>
      <c r="Q1825" s="591" t="s">
        <v>2490</v>
      </c>
      <c r="R1825" s="460">
        <v>40703</v>
      </c>
      <c r="S1825" s="471">
        <v>40726</v>
      </c>
      <c r="T1825" s="728">
        <v>40742</v>
      </c>
      <c r="U1825" s="461">
        <f t="shared" si="47"/>
        <v>97</v>
      </c>
      <c r="V1825" s="468" t="s">
        <v>53</v>
      </c>
      <c r="W1825" s="493">
        <v>77</v>
      </c>
      <c r="X1825" s="457"/>
      <c r="Y1825" s="592"/>
      <c r="Z1825" s="468">
        <v>3110071440</v>
      </c>
      <c r="AA1825" s="457"/>
      <c r="AB1825" s="1032" t="s">
        <v>47</v>
      </c>
      <c r="AC1825" s="722"/>
      <c r="AD1825" s="645" t="str">
        <f t="shared" si="48"/>
        <v>en término</v>
      </c>
      <c r="AE1825" s="646"/>
      <c r="AF1825" s="9"/>
      <c r="AG1825" s="9"/>
      <c r="AH1825" s="9"/>
      <c r="AI1825" s="9"/>
      <c r="AJ1825" s="9"/>
      <c r="AK1825" s="9"/>
      <c r="AL1825" s="9"/>
      <c r="AM1825" s="9"/>
    </row>
    <row r="1826" spans="1:39" ht="54.95" customHeight="1" thickBot="1" x14ac:dyDescent="0.25">
      <c r="B1826" s="729" t="s">
        <v>36</v>
      </c>
      <c r="C1826" s="729" t="s">
        <v>133</v>
      </c>
      <c r="D1826" s="538" t="s">
        <v>2349</v>
      </c>
      <c r="E1826" s="730" t="s">
        <v>2350</v>
      </c>
      <c r="F1826" s="731">
        <v>4503917573</v>
      </c>
      <c r="G1826" s="731" t="s">
        <v>39</v>
      </c>
      <c r="H1826" s="732">
        <v>8015</v>
      </c>
      <c r="I1826" s="733" t="s">
        <v>52</v>
      </c>
      <c r="J1826" s="734">
        <v>40646</v>
      </c>
      <c r="K1826" s="735">
        <f t="shared" si="49"/>
        <v>62</v>
      </c>
      <c r="L1826" s="734">
        <v>40708</v>
      </c>
      <c r="M1826" s="734" t="s">
        <v>41</v>
      </c>
      <c r="N1826" s="731" t="s">
        <v>1750</v>
      </c>
      <c r="O1826" s="734">
        <v>40701</v>
      </c>
      <c r="P1826" s="746">
        <f t="shared" si="46"/>
        <v>3</v>
      </c>
      <c r="Q1826" s="756" t="s">
        <v>2491</v>
      </c>
      <c r="R1826" s="734">
        <v>40703</v>
      </c>
      <c r="S1826" s="748">
        <v>40711</v>
      </c>
      <c r="T1826" s="765">
        <v>40728</v>
      </c>
      <c r="U1826" s="735">
        <f t="shared" si="47"/>
        <v>82</v>
      </c>
      <c r="V1826" s="531" t="s">
        <v>53</v>
      </c>
      <c r="W1826" s="737">
        <v>70</v>
      </c>
      <c r="X1826" s="731"/>
      <c r="Y1826" s="739"/>
      <c r="Z1826" s="531">
        <v>1486232252</v>
      </c>
      <c r="AA1826" s="731"/>
      <c r="AB1826" s="1032" t="s">
        <v>47</v>
      </c>
      <c r="AC1826" s="741"/>
      <c r="AD1826" s="645" t="str">
        <f t="shared" si="48"/>
        <v>atrasado</v>
      </c>
      <c r="AE1826" s="646"/>
      <c r="AF1826" s="9"/>
      <c r="AG1826" s="9"/>
      <c r="AH1826" s="9"/>
      <c r="AI1826" s="9"/>
      <c r="AJ1826" s="9"/>
      <c r="AK1826" s="9"/>
      <c r="AL1826" s="9"/>
      <c r="AM1826" s="9"/>
    </row>
    <row r="1827" spans="1:39" ht="54.95" customHeight="1" thickBot="1" x14ac:dyDescent="0.25">
      <c r="B1827" s="455" t="s">
        <v>36</v>
      </c>
      <c r="C1827" s="455" t="s">
        <v>133</v>
      </c>
      <c r="D1827" s="456" t="s">
        <v>2349</v>
      </c>
      <c r="E1827" s="501" t="s">
        <v>2350</v>
      </c>
      <c r="F1827" s="461">
        <v>4503745529</v>
      </c>
      <c r="G1827" s="457" t="s">
        <v>39</v>
      </c>
      <c r="H1827" s="732">
        <v>119577.24</v>
      </c>
      <c r="I1827" s="459" t="s">
        <v>40</v>
      </c>
      <c r="J1827" s="460">
        <v>40541</v>
      </c>
      <c r="K1827" s="461">
        <f t="shared" si="49"/>
        <v>198</v>
      </c>
      <c r="L1827" s="460">
        <v>40739</v>
      </c>
      <c r="M1827" s="460" t="s">
        <v>41</v>
      </c>
      <c r="N1827" s="457" t="s">
        <v>1750</v>
      </c>
      <c r="O1827" s="460">
        <v>40701</v>
      </c>
      <c r="P1827" s="461">
        <f t="shared" si="46"/>
        <v>-13</v>
      </c>
      <c r="Q1827" s="591" t="s">
        <v>2490</v>
      </c>
      <c r="R1827" s="460">
        <v>40703</v>
      </c>
      <c r="S1827" s="471">
        <v>40726</v>
      </c>
      <c r="T1827" s="728">
        <v>40742</v>
      </c>
      <c r="U1827" s="461">
        <f t="shared" si="47"/>
        <v>201</v>
      </c>
      <c r="V1827" s="468" t="s">
        <v>955</v>
      </c>
      <c r="W1827" s="493">
        <v>76</v>
      </c>
      <c r="X1827" s="457" t="s">
        <v>47</v>
      </c>
      <c r="Y1827" s="457" t="s">
        <v>2492</v>
      </c>
      <c r="Z1827" s="457" t="s">
        <v>1116</v>
      </c>
      <c r="AA1827" s="457" t="s">
        <v>47</v>
      </c>
      <c r="AB1827" s="1032" t="s">
        <v>47</v>
      </c>
      <c r="AC1827" s="722" t="s">
        <v>2493</v>
      </c>
      <c r="AD1827" s="645" t="str">
        <f t="shared" si="48"/>
        <v>en término</v>
      </c>
      <c r="AE1827" s="646"/>
      <c r="AF1827" s="9"/>
      <c r="AG1827" s="9"/>
      <c r="AH1827" s="9"/>
      <c r="AI1827" s="9"/>
      <c r="AJ1827" s="9"/>
      <c r="AK1827" s="9"/>
      <c r="AL1827" s="9"/>
      <c r="AM1827" s="9"/>
    </row>
    <row r="1828" spans="1:39" ht="54.95" customHeight="1" thickBot="1" x14ac:dyDescent="0.25">
      <c r="B1828" s="455" t="s">
        <v>36</v>
      </c>
      <c r="C1828" s="455" t="s">
        <v>133</v>
      </c>
      <c r="D1828" s="456" t="s">
        <v>2349</v>
      </c>
      <c r="E1828" s="501" t="s">
        <v>2350</v>
      </c>
      <c r="F1828" s="457">
        <v>4503888605</v>
      </c>
      <c r="G1828" s="457" t="s">
        <v>39</v>
      </c>
      <c r="H1828" s="458">
        <v>68984.600000000006</v>
      </c>
      <c r="I1828" s="459" t="s">
        <v>62</v>
      </c>
      <c r="J1828" s="460">
        <v>40631</v>
      </c>
      <c r="K1828" s="461">
        <f t="shared" si="49"/>
        <v>98</v>
      </c>
      <c r="L1828" s="460">
        <v>40729</v>
      </c>
      <c r="M1828" s="460" t="s">
        <v>41</v>
      </c>
      <c r="N1828" s="457" t="s">
        <v>1750</v>
      </c>
      <c r="O1828" s="460">
        <v>40701</v>
      </c>
      <c r="P1828" s="461">
        <f t="shared" si="46"/>
        <v>-3</v>
      </c>
      <c r="Q1828" s="1034" t="s">
        <v>2490</v>
      </c>
      <c r="R1828" s="460">
        <v>40703</v>
      </c>
      <c r="S1828" s="471">
        <v>40726</v>
      </c>
      <c r="T1828" s="728">
        <v>40742</v>
      </c>
      <c r="U1828" s="461">
        <f t="shared" si="47"/>
        <v>111</v>
      </c>
      <c r="V1828" s="468" t="s">
        <v>2494</v>
      </c>
      <c r="W1828" s="493">
        <v>75</v>
      </c>
      <c r="X1828" s="457"/>
      <c r="Y1828" s="457"/>
      <c r="Z1828" s="468">
        <v>1486232252</v>
      </c>
      <c r="AA1828" s="457" t="s">
        <v>47</v>
      </c>
      <c r="AB1828" s="1032" t="s">
        <v>47</v>
      </c>
      <c r="AC1828" s="722"/>
      <c r="AD1828" s="645" t="str">
        <f t="shared" si="48"/>
        <v>en término</v>
      </c>
      <c r="AE1828" s="646"/>
      <c r="AF1828" s="9"/>
      <c r="AG1828" s="9"/>
      <c r="AH1828" s="9"/>
      <c r="AI1828" s="9"/>
      <c r="AJ1828" s="9"/>
      <c r="AK1828" s="9"/>
      <c r="AL1828" s="9"/>
      <c r="AM1828" s="9"/>
    </row>
    <row r="1829" spans="1:39" ht="54.95" customHeight="1" thickBot="1" x14ac:dyDescent="0.25">
      <c r="B1829" s="455" t="s">
        <v>36</v>
      </c>
      <c r="C1829" s="455" t="s">
        <v>133</v>
      </c>
      <c r="D1829" s="456" t="s">
        <v>2349</v>
      </c>
      <c r="E1829" s="501" t="s">
        <v>2350</v>
      </c>
      <c r="F1829" s="457">
        <v>4503913679</v>
      </c>
      <c r="G1829" s="457" t="s">
        <v>39</v>
      </c>
      <c r="H1829" s="458">
        <v>192825</v>
      </c>
      <c r="I1829" s="459" t="s">
        <v>52</v>
      </c>
      <c r="J1829" s="460">
        <v>40644</v>
      </c>
      <c r="K1829" s="461">
        <f t="shared" si="49"/>
        <v>64</v>
      </c>
      <c r="L1829" s="460">
        <v>40708</v>
      </c>
      <c r="M1829" s="460" t="s">
        <v>41</v>
      </c>
      <c r="N1829" s="457" t="s">
        <v>1750</v>
      </c>
      <c r="O1829" s="460">
        <v>40701</v>
      </c>
      <c r="P1829" s="461">
        <f t="shared" si="46"/>
        <v>3</v>
      </c>
      <c r="Q1829" s="1034" t="s">
        <v>2491</v>
      </c>
      <c r="R1829" s="1032">
        <v>40703</v>
      </c>
      <c r="S1829" s="471">
        <v>40711</v>
      </c>
      <c r="T1829" s="728">
        <v>40728</v>
      </c>
      <c r="U1829" s="461">
        <f t="shared" si="47"/>
        <v>84</v>
      </c>
      <c r="V1829" s="468" t="s">
        <v>2495</v>
      </c>
      <c r="W1829" s="493">
        <v>69</v>
      </c>
      <c r="X1829" s="457"/>
      <c r="Y1829" s="457"/>
      <c r="Z1829" s="468">
        <v>1486232252</v>
      </c>
      <c r="AA1829" s="457"/>
      <c r="AB1829" s="1032" t="s">
        <v>47</v>
      </c>
      <c r="AC1829" s="722"/>
      <c r="AD1829" s="645" t="str">
        <f t="shared" si="48"/>
        <v>atrasado</v>
      </c>
      <c r="AE1829" s="646"/>
      <c r="AF1829" s="9"/>
      <c r="AG1829" s="9"/>
      <c r="AH1829" s="9"/>
      <c r="AI1829" s="9"/>
      <c r="AJ1829" s="9"/>
      <c r="AK1829" s="9"/>
      <c r="AL1829" s="9"/>
      <c r="AM1829" s="9"/>
    </row>
    <row r="1830" spans="1:39" ht="54.95" customHeight="1" thickBot="1" x14ac:dyDescent="0.25">
      <c r="B1830" s="455" t="s">
        <v>36</v>
      </c>
      <c r="C1830" s="455" t="s">
        <v>133</v>
      </c>
      <c r="D1830" s="456" t="s">
        <v>2349</v>
      </c>
      <c r="E1830" s="501" t="s">
        <v>2350</v>
      </c>
      <c r="F1830" s="457">
        <v>4503876705</v>
      </c>
      <c r="G1830" s="457" t="s">
        <v>39</v>
      </c>
      <c r="H1830" s="458">
        <v>41078.5</v>
      </c>
      <c r="I1830" s="459" t="s">
        <v>142</v>
      </c>
      <c r="J1830" s="460">
        <v>40624</v>
      </c>
      <c r="K1830" s="461">
        <f t="shared" si="49"/>
        <v>90</v>
      </c>
      <c r="L1830" s="460">
        <v>40714</v>
      </c>
      <c r="M1830" s="460" t="s">
        <v>41</v>
      </c>
      <c r="N1830" s="457" t="s">
        <v>1750</v>
      </c>
      <c r="O1830" s="460">
        <v>40701</v>
      </c>
      <c r="P1830" s="461">
        <f t="shared" si="46"/>
        <v>-2</v>
      </c>
      <c r="Q1830" s="591" t="s">
        <v>2496</v>
      </c>
      <c r="R1830" s="460">
        <v>40703</v>
      </c>
      <c r="S1830" s="471">
        <v>40712</v>
      </c>
      <c r="T1830" s="728">
        <v>40728</v>
      </c>
      <c r="U1830" s="461">
        <f t="shared" si="47"/>
        <v>104</v>
      </c>
      <c r="V1830" s="468" t="s">
        <v>2497</v>
      </c>
      <c r="W1830" s="493">
        <v>71</v>
      </c>
      <c r="X1830" s="457" t="s">
        <v>47</v>
      </c>
      <c r="Y1830" s="457" t="s">
        <v>2498</v>
      </c>
      <c r="Z1830" s="468">
        <v>3110071440</v>
      </c>
      <c r="AA1830" s="457"/>
      <c r="AB1830" s="1032" t="s">
        <v>47</v>
      </c>
      <c r="AC1830" s="722"/>
      <c r="AD1830" s="645" t="str">
        <f t="shared" si="48"/>
        <v>en término</v>
      </c>
      <c r="AE1830" s="764"/>
      <c r="AF1830" s="9"/>
      <c r="AG1830" s="9"/>
      <c r="AH1830" s="9"/>
      <c r="AI1830" s="9"/>
      <c r="AJ1830" s="9"/>
      <c r="AK1830" s="9"/>
      <c r="AL1830" s="9"/>
      <c r="AM1830" s="9"/>
    </row>
    <row r="1831" spans="1:39" ht="54.95" customHeight="1" thickBot="1" x14ac:dyDescent="0.25">
      <c r="B1831" s="455" t="s">
        <v>36</v>
      </c>
      <c r="C1831" s="455" t="s">
        <v>133</v>
      </c>
      <c r="D1831" s="456" t="s">
        <v>2499</v>
      </c>
      <c r="E1831" s="501" t="s">
        <v>2350</v>
      </c>
      <c r="F1831" s="457">
        <v>4503957463</v>
      </c>
      <c r="G1831" s="457" t="s">
        <v>1192</v>
      </c>
      <c r="H1831" s="458">
        <v>1596.6</v>
      </c>
      <c r="I1831" s="459" t="s">
        <v>62</v>
      </c>
      <c r="J1831" s="745">
        <v>40668</v>
      </c>
      <c r="K1831" s="461">
        <f t="shared" si="49"/>
        <v>94</v>
      </c>
      <c r="L1831" s="745">
        <v>40762</v>
      </c>
      <c r="M1831" s="460" t="s">
        <v>41</v>
      </c>
      <c r="N1831" s="457" t="s">
        <v>42</v>
      </c>
      <c r="O1831" s="460">
        <v>40731</v>
      </c>
      <c r="P1831" s="752">
        <f t="shared" si="46"/>
        <v>-22</v>
      </c>
      <c r="Q1831" s="591" t="s">
        <v>2500</v>
      </c>
      <c r="R1831" s="753" t="s">
        <v>2501</v>
      </c>
      <c r="S1831" s="471">
        <v>40740</v>
      </c>
      <c r="T1831" s="728">
        <v>40756</v>
      </c>
      <c r="U1831" s="461">
        <f t="shared" si="47"/>
        <v>88</v>
      </c>
      <c r="V1831" s="746" t="s">
        <v>53</v>
      </c>
      <c r="W1831" s="493">
        <v>86</v>
      </c>
      <c r="X1831" s="457"/>
      <c r="Y1831" s="457"/>
      <c r="Z1831" s="468"/>
      <c r="AA1831" s="1038"/>
      <c r="AB1831" s="1032" t="s">
        <v>47</v>
      </c>
      <c r="AC1831" s="754"/>
      <c r="AD1831" s="645" t="str">
        <f t="shared" si="48"/>
        <v>en término</v>
      </c>
      <c r="AE1831" s="646"/>
      <c r="AF1831" s="9"/>
      <c r="AG1831" s="9"/>
      <c r="AH1831" s="9"/>
      <c r="AI1831" s="9"/>
      <c r="AJ1831" s="9"/>
      <c r="AK1831" s="9"/>
      <c r="AL1831" s="9"/>
      <c r="AM1831" s="9"/>
    </row>
    <row r="1832" spans="1:39" ht="54.95" customHeight="1" thickBot="1" x14ac:dyDescent="0.25">
      <c r="B1832" s="455" t="s">
        <v>36</v>
      </c>
      <c r="C1832" s="455" t="s">
        <v>133</v>
      </c>
      <c r="D1832" s="456" t="s">
        <v>2349</v>
      </c>
      <c r="E1832" s="501" t="s">
        <v>2350</v>
      </c>
      <c r="F1832" s="457">
        <v>4503933482</v>
      </c>
      <c r="G1832" s="457" t="s">
        <v>39</v>
      </c>
      <c r="H1832" s="458">
        <v>13530</v>
      </c>
      <c r="I1832" s="459" t="s">
        <v>62</v>
      </c>
      <c r="J1832" s="460">
        <v>40659</v>
      </c>
      <c r="K1832" s="461">
        <f t="shared" si="49"/>
        <v>93</v>
      </c>
      <c r="L1832" s="460">
        <v>40752</v>
      </c>
      <c r="M1832" s="460" t="s">
        <v>41</v>
      </c>
      <c r="N1832" s="457" t="s">
        <v>1750</v>
      </c>
      <c r="O1832" s="460">
        <v>40731</v>
      </c>
      <c r="P1832" s="461">
        <f t="shared" si="46"/>
        <v>-12</v>
      </c>
      <c r="Q1832" s="591" t="s">
        <v>2500</v>
      </c>
      <c r="R1832" s="460" t="s">
        <v>2501</v>
      </c>
      <c r="S1832" s="471">
        <v>40740</v>
      </c>
      <c r="T1832" s="462">
        <v>40756</v>
      </c>
      <c r="U1832" s="461">
        <f t="shared" si="47"/>
        <v>97</v>
      </c>
      <c r="V1832" s="468" t="s">
        <v>965</v>
      </c>
      <c r="W1832" s="493">
        <v>85</v>
      </c>
      <c r="X1832" s="457"/>
      <c r="Y1832" s="456">
        <v>40699</v>
      </c>
      <c r="Z1832" s="468"/>
      <c r="AA1832" s="457"/>
      <c r="AB1832" s="1032" t="s">
        <v>47</v>
      </c>
      <c r="AC1832" s="722"/>
      <c r="AD1832" s="645" t="str">
        <f t="shared" si="48"/>
        <v>en término</v>
      </c>
      <c r="AE1832" s="646"/>
      <c r="AF1832" s="9"/>
      <c r="AG1832" s="9"/>
      <c r="AH1832" s="9"/>
      <c r="AI1832" s="9"/>
      <c r="AJ1832" s="9"/>
      <c r="AK1832" s="9"/>
      <c r="AL1832" s="9"/>
      <c r="AM1832" s="9"/>
    </row>
    <row r="1833" spans="1:39" ht="54.95" customHeight="1" thickBot="1" x14ac:dyDescent="0.25">
      <c r="B1833" s="455" t="s">
        <v>36</v>
      </c>
      <c r="C1833" s="455" t="s">
        <v>133</v>
      </c>
      <c r="D1833" s="456" t="s">
        <v>2502</v>
      </c>
      <c r="E1833" s="501" t="s">
        <v>2350</v>
      </c>
      <c r="F1833" s="457">
        <v>4503957801</v>
      </c>
      <c r="G1833" s="457" t="s">
        <v>1192</v>
      </c>
      <c r="H1833" s="458">
        <v>240296.97</v>
      </c>
      <c r="I1833" s="459" t="s">
        <v>62</v>
      </c>
      <c r="J1833" s="745">
        <v>40668</v>
      </c>
      <c r="K1833" s="461">
        <f t="shared" si="49"/>
        <v>67</v>
      </c>
      <c r="L1833" s="745">
        <v>40735</v>
      </c>
      <c r="M1833" s="460" t="s">
        <v>41</v>
      </c>
      <c r="N1833" s="457" t="s">
        <v>42</v>
      </c>
      <c r="O1833" s="460">
        <v>40730</v>
      </c>
      <c r="P1833" s="752">
        <f t="shared" si="46"/>
        <v>5</v>
      </c>
      <c r="Q1833" s="591" t="s">
        <v>2500</v>
      </c>
      <c r="R1833" s="753" t="s">
        <v>2501</v>
      </c>
      <c r="S1833" s="471">
        <v>40740</v>
      </c>
      <c r="T1833" s="728">
        <v>40756</v>
      </c>
      <c r="U1833" s="461">
        <f t="shared" si="47"/>
        <v>88</v>
      </c>
      <c r="V1833" s="746" t="s">
        <v>2503</v>
      </c>
      <c r="W1833" s="493">
        <v>84</v>
      </c>
      <c r="X1833" s="457"/>
      <c r="Y1833" s="456">
        <v>40699</v>
      </c>
      <c r="Z1833" s="468"/>
      <c r="AA1833" s="1038"/>
      <c r="AB1833" s="1032" t="s">
        <v>47</v>
      </c>
      <c r="AC1833" s="754"/>
      <c r="AD1833" s="645" t="str">
        <f t="shared" si="48"/>
        <v>atrasado</v>
      </c>
      <c r="AE1833" s="646"/>
      <c r="AF1833" s="9"/>
      <c r="AG1833" s="9"/>
      <c r="AH1833" s="9"/>
      <c r="AI1833" s="9"/>
      <c r="AJ1833" s="9"/>
      <c r="AK1833" s="9"/>
      <c r="AL1833" s="9"/>
      <c r="AM1833" s="9"/>
    </row>
    <row r="1834" spans="1:39" ht="54.95" customHeight="1" thickBot="1" x14ac:dyDescent="0.25">
      <c r="B1834" s="455" t="s">
        <v>36</v>
      </c>
      <c r="C1834" s="455" t="s">
        <v>133</v>
      </c>
      <c r="D1834" s="456" t="s">
        <v>2349</v>
      </c>
      <c r="E1834" s="501" t="s">
        <v>2350</v>
      </c>
      <c r="F1834" s="457">
        <v>4503950764</v>
      </c>
      <c r="G1834" s="457" t="s">
        <v>1192</v>
      </c>
      <c r="H1834" s="458">
        <v>16719.419999999998</v>
      </c>
      <c r="I1834" s="459" t="s">
        <v>62</v>
      </c>
      <c r="J1834" s="460">
        <v>40665</v>
      </c>
      <c r="K1834" s="461">
        <f t="shared" si="49"/>
        <v>70</v>
      </c>
      <c r="L1834" s="460">
        <v>40735</v>
      </c>
      <c r="M1834" s="460" t="s">
        <v>41</v>
      </c>
      <c r="N1834" s="457" t="s">
        <v>42</v>
      </c>
      <c r="O1834" s="460">
        <v>40725</v>
      </c>
      <c r="P1834" s="752">
        <f t="shared" si="46"/>
        <v>5</v>
      </c>
      <c r="Q1834" s="591" t="s">
        <v>2500</v>
      </c>
      <c r="R1834" s="753" t="s">
        <v>2501</v>
      </c>
      <c r="S1834" s="471">
        <v>40740</v>
      </c>
      <c r="T1834" s="728">
        <v>40756</v>
      </c>
      <c r="U1834" s="461">
        <f t="shared" si="47"/>
        <v>91</v>
      </c>
      <c r="V1834" s="746" t="s">
        <v>53</v>
      </c>
      <c r="W1834" s="493">
        <v>83</v>
      </c>
      <c r="X1834" s="457"/>
      <c r="Y1834" s="457"/>
      <c r="Z1834" s="468"/>
      <c r="AA1834" s="457"/>
      <c r="AB1834" s="1032" t="s">
        <v>47</v>
      </c>
      <c r="AC1834" s="722"/>
      <c r="AD1834" s="645" t="str">
        <f t="shared" si="48"/>
        <v>atrasado</v>
      </c>
      <c r="AE1834" s="646"/>
      <c r="AF1834" s="9"/>
      <c r="AG1834" s="9"/>
      <c r="AH1834" s="9"/>
      <c r="AI1834" s="9"/>
      <c r="AJ1834" s="9"/>
      <c r="AK1834" s="9"/>
      <c r="AL1834" s="9"/>
      <c r="AM1834" s="9"/>
    </row>
    <row r="1835" spans="1:39" s="649" customFormat="1" ht="54.95" customHeight="1" thickBot="1" x14ac:dyDescent="0.25">
      <c r="A1835" s="803"/>
      <c r="B1835" s="455" t="s">
        <v>36</v>
      </c>
      <c r="C1835" s="455" t="s">
        <v>133</v>
      </c>
      <c r="D1835" s="456" t="s">
        <v>2349</v>
      </c>
      <c r="E1835" s="501" t="s">
        <v>2350</v>
      </c>
      <c r="F1835" s="457">
        <v>4503966260</v>
      </c>
      <c r="G1835" s="457" t="s">
        <v>1192</v>
      </c>
      <c r="H1835" s="458">
        <v>10020.299999999999</v>
      </c>
      <c r="I1835" s="459" t="s">
        <v>62</v>
      </c>
      <c r="J1835" s="460">
        <v>40675</v>
      </c>
      <c r="K1835" s="461">
        <f t="shared" si="49"/>
        <v>94</v>
      </c>
      <c r="L1835" s="460">
        <v>40769</v>
      </c>
      <c r="M1835" s="460" t="s">
        <v>41</v>
      </c>
      <c r="N1835" s="457" t="s">
        <v>42</v>
      </c>
      <c r="O1835" s="460">
        <v>40746</v>
      </c>
      <c r="P1835" s="694">
        <f t="shared" si="46"/>
        <v>-14</v>
      </c>
      <c r="Q1835" s="591" t="s">
        <v>2504</v>
      </c>
      <c r="R1835" s="753">
        <v>40752</v>
      </c>
      <c r="S1835" s="471">
        <v>40755</v>
      </c>
      <c r="T1835" s="464">
        <v>40770</v>
      </c>
      <c r="U1835" s="461">
        <f t="shared" si="47"/>
        <v>95</v>
      </c>
      <c r="V1835" s="461" t="s">
        <v>53</v>
      </c>
      <c r="W1835" s="493">
        <v>90</v>
      </c>
      <c r="X1835" s="467"/>
      <c r="Y1835" s="592"/>
      <c r="Z1835" s="468">
        <v>1486232145</v>
      </c>
      <c r="AA1835" s="457" t="s">
        <v>47</v>
      </c>
      <c r="AB1835" s="473" t="str">
        <f ca="1">IF(S1835="","",IF('o.c.'!$Z$1&lt;(S1835+60),(S1835+60),"VENCIDA"))</f>
        <v>VENCIDA</v>
      </c>
      <c r="AC1835" s="722"/>
      <c r="AD1835" s="645" t="str">
        <f t="shared" si="48"/>
        <v>en término</v>
      </c>
    </row>
    <row r="1836" spans="1:39" s="649" customFormat="1" ht="54.95" customHeight="1" thickBot="1" x14ac:dyDescent="0.25">
      <c r="A1836" s="803"/>
      <c r="B1836" s="455" t="s">
        <v>36</v>
      </c>
      <c r="C1836" s="455" t="s">
        <v>37</v>
      </c>
      <c r="D1836" s="456" t="s">
        <v>2505</v>
      </c>
      <c r="E1836" s="501" t="s">
        <v>2506</v>
      </c>
      <c r="F1836" s="457">
        <v>11050002</v>
      </c>
      <c r="G1836" s="457" t="s">
        <v>1192</v>
      </c>
      <c r="H1836" s="458">
        <v>20605</v>
      </c>
      <c r="I1836" s="459" t="s">
        <v>62</v>
      </c>
      <c r="J1836" s="460">
        <v>40666</v>
      </c>
      <c r="K1836" s="461">
        <f t="shared" si="49"/>
        <v>100</v>
      </c>
      <c r="L1836" s="460">
        <v>40766</v>
      </c>
      <c r="M1836" s="460" t="s">
        <v>41</v>
      </c>
      <c r="N1836" s="457" t="s">
        <v>1750</v>
      </c>
      <c r="O1836" s="460">
        <v>40746</v>
      </c>
      <c r="P1836" s="694">
        <f t="shared" si="46"/>
        <v>-11</v>
      </c>
      <c r="Q1836" s="591" t="s">
        <v>2504</v>
      </c>
      <c r="R1836" s="753">
        <v>40752</v>
      </c>
      <c r="S1836" s="471">
        <v>40755</v>
      </c>
      <c r="T1836" s="464">
        <v>40770</v>
      </c>
      <c r="U1836" s="461">
        <f t="shared" si="47"/>
        <v>104</v>
      </c>
      <c r="V1836" s="461" t="s">
        <v>378</v>
      </c>
      <c r="W1836" s="493">
        <v>89</v>
      </c>
      <c r="X1836" s="467"/>
      <c r="Y1836" s="592"/>
      <c r="Z1836" s="468">
        <v>1486232145</v>
      </c>
      <c r="AA1836" s="457" t="s">
        <v>47</v>
      </c>
      <c r="AB1836" s="460" t="s">
        <v>2423</v>
      </c>
      <c r="AC1836" s="722"/>
      <c r="AD1836" s="645" t="str">
        <f t="shared" si="48"/>
        <v>en término</v>
      </c>
    </row>
    <row r="1837" spans="1:39" s="649" customFormat="1" ht="54.95" customHeight="1" thickBot="1" x14ac:dyDescent="0.25">
      <c r="A1837" s="803"/>
      <c r="B1837" s="455" t="s">
        <v>36</v>
      </c>
      <c r="C1837" s="455" t="s">
        <v>37</v>
      </c>
      <c r="D1837" s="456" t="s">
        <v>2507</v>
      </c>
      <c r="E1837" s="501" t="s">
        <v>2508</v>
      </c>
      <c r="F1837" s="457">
        <v>11060002</v>
      </c>
      <c r="G1837" s="457" t="s">
        <v>39</v>
      </c>
      <c r="H1837" s="458">
        <v>6109.35</v>
      </c>
      <c r="I1837" s="459" t="s">
        <v>62</v>
      </c>
      <c r="J1837" s="460">
        <v>40693</v>
      </c>
      <c r="K1837" s="461">
        <f t="shared" si="49"/>
        <v>123</v>
      </c>
      <c r="L1837" s="460">
        <v>40816</v>
      </c>
      <c r="M1837" s="460" t="s">
        <v>41</v>
      </c>
      <c r="N1837" s="457" t="s">
        <v>2509</v>
      </c>
      <c r="O1837" s="460">
        <v>40746</v>
      </c>
      <c r="P1837" s="694">
        <f t="shared" si="46"/>
        <v>-61</v>
      </c>
      <c r="Q1837" s="591" t="s">
        <v>2504</v>
      </c>
      <c r="R1837" s="753">
        <v>40752</v>
      </c>
      <c r="S1837" s="471">
        <v>40755</v>
      </c>
      <c r="T1837" s="464">
        <v>40770</v>
      </c>
      <c r="U1837" s="461">
        <f t="shared" si="47"/>
        <v>77</v>
      </c>
      <c r="V1837" s="461" t="s">
        <v>53</v>
      </c>
      <c r="W1837" s="493">
        <v>89</v>
      </c>
      <c r="X1837" s="467"/>
      <c r="Y1837" s="592"/>
      <c r="Z1837" s="468">
        <v>1486232145</v>
      </c>
      <c r="AA1837" s="457" t="s">
        <v>47</v>
      </c>
      <c r="AB1837" s="460" t="s">
        <v>2423</v>
      </c>
      <c r="AC1837" s="722"/>
      <c r="AD1837" s="645" t="str">
        <f t="shared" si="48"/>
        <v>en término</v>
      </c>
    </row>
    <row r="1838" spans="1:39" s="649" customFormat="1" ht="54.95" customHeight="1" thickBot="1" x14ac:dyDescent="0.25">
      <c r="A1838" s="803"/>
      <c r="B1838" s="455" t="s">
        <v>36</v>
      </c>
      <c r="C1838" s="455" t="s">
        <v>37</v>
      </c>
      <c r="D1838" s="456" t="s">
        <v>2510</v>
      </c>
      <c r="E1838" s="501" t="s">
        <v>2511</v>
      </c>
      <c r="F1838" s="457">
        <v>11060002</v>
      </c>
      <c r="G1838" s="457" t="s">
        <v>39</v>
      </c>
      <c r="H1838" s="458">
        <v>5551.21</v>
      </c>
      <c r="I1838" s="459" t="s">
        <v>62</v>
      </c>
      <c r="J1838" s="460">
        <v>40666</v>
      </c>
      <c r="K1838" s="461">
        <f t="shared" si="49"/>
        <v>150</v>
      </c>
      <c r="L1838" s="460">
        <v>40816</v>
      </c>
      <c r="M1838" s="460" t="s">
        <v>41</v>
      </c>
      <c r="N1838" s="457" t="s">
        <v>42</v>
      </c>
      <c r="O1838" s="460">
        <v>40746</v>
      </c>
      <c r="P1838" s="694">
        <f t="shared" si="46"/>
        <v>-61</v>
      </c>
      <c r="Q1838" s="591" t="s">
        <v>2504</v>
      </c>
      <c r="R1838" s="753">
        <v>40752</v>
      </c>
      <c r="S1838" s="471">
        <v>40755</v>
      </c>
      <c r="T1838" s="464">
        <v>40770</v>
      </c>
      <c r="U1838" s="461">
        <f t="shared" si="47"/>
        <v>104</v>
      </c>
      <c r="V1838" s="461" t="s">
        <v>53</v>
      </c>
      <c r="W1838" s="493">
        <v>89</v>
      </c>
      <c r="X1838" s="467"/>
      <c r="Y1838" s="592"/>
      <c r="Z1838" s="468">
        <v>1486232145</v>
      </c>
      <c r="AA1838" s="457" t="s">
        <v>47</v>
      </c>
      <c r="AB1838" s="460" t="s">
        <v>2423</v>
      </c>
      <c r="AC1838" s="722"/>
      <c r="AD1838" s="645" t="str">
        <f t="shared" si="48"/>
        <v>en término</v>
      </c>
    </row>
    <row r="1839" spans="1:39" s="649" customFormat="1" ht="54.95" customHeight="1" thickBot="1" x14ac:dyDescent="0.25">
      <c r="A1839" s="803"/>
      <c r="B1839" s="455" t="s">
        <v>36</v>
      </c>
      <c r="C1839" s="455" t="s">
        <v>37</v>
      </c>
      <c r="D1839" s="456" t="s">
        <v>2512</v>
      </c>
      <c r="E1839" s="501" t="s">
        <v>2513</v>
      </c>
      <c r="F1839" s="457">
        <v>11060004</v>
      </c>
      <c r="G1839" s="457" t="s">
        <v>39</v>
      </c>
      <c r="H1839" s="458">
        <v>82000</v>
      </c>
      <c r="I1839" s="459" t="s">
        <v>40</v>
      </c>
      <c r="J1839" s="460">
        <v>40696</v>
      </c>
      <c r="K1839" s="461">
        <f t="shared" si="49"/>
        <v>121</v>
      </c>
      <c r="L1839" s="460">
        <v>40817</v>
      </c>
      <c r="M1839" s="460" t="s">
        <v>41</v>
      </c>
      <c r="N1839" s="457" t="s">
        <v>42</v>
      </c>
      <c r="O1839" s="460">
        <v>40746</v>
      </c>
      <c r="P1839" s="694">
        <f t="shared" si="46"/>
        <v>-62</v>
      </c>
      <c r="Q1839" s="591" t="s">
        <v>2504</v>
      </c>
      <c r="R1839" s="753">
        <v>40752</v>
      </c>
      <c r="S1839" s="471">
        <v>40755</v>
      </c>
      <c r="T1839" s="464">
        <v>40770</v>
      </c>
      <c r="U1839" s="461">
        <f t="shared" si="47"/>
        <v>74</v>
      </c>
      <c r="V1839" s="461" t="s">
        <v>53</v>
      </c>
      <c r="W1839" s="493">
        <v>89</v>
      </c>
      <c r="X1839" s="467"/>
      <c r="Y1839" s="592"/>
      <c r="Z1839" s="468">
        <v>1486232145</v>
      </c>
      <c r="AA1839" s="457" t="s">
        <v>47</v>
      </c>
      <c r="AB1839" s="460" t="s">
        <v>2423</v>
      </c>
      <c r="AC1839" s="722"/>
      <c r="AD1839" s="645" t="str">
        <f t="shared" si="48"/>
        <v>en término</v>
      </c>
    </row>
    <row r="1840" spans="1:39" s="649" customFormat="1" ht="54.95" customHeight="1" thickBot="1" x14ac:dyDescent="0.25">
      <c r="A1840" s="803"/>
      <c r="B1840" s="455" t="s">
        <v>36</v>
      </c>
      <c r="C1840" s="455" t="s">
        <v>37</v>
      </c>
      <c r="D1840" s="456" t="s">
        <v>2514</v>
      </c>
      <c r="E1840" s="501" t="s">
        <v>2515</v>
      </c>
      <c r="F1840" s="457">
        <v>11060002</v>
      </c>
      <c r="G1840" s="457" t="s">
        <v>39</v>
      </c>
      <c r="H1840" s="458">
        <v>6239.63</v>
      </c>
      <c r="I1840" s="459" t="s">
        <v>62</v>
      </c>
      <c r="J1840" s="460">
        <v>40693</v>
      </c>
      <c r="K1840" s="461">
        <f t="shared" si="49"/>
        <v>123</v>
      </c>
      <c r="L1840" s="460">
        <v>40816</v>
      </c>
      <c r="M1840" s="460" t="s">
        <v>41</v>
      </c>
      <c r="N1840" s="457" t="s">
        <v>42</v>
      </c>
      <c r="O1840" s="460">
        <v>40746</v>
      </c>
      <c r="P1840" s="694">
        <f t="shared" si="46"/>
        <v>-61</v>
      </c>
      <c r="Q1840" s="591" t="s">
        <v>2504</v>
      </c>
      <c r="R1840" s="753">
        <v>40752</v>
      </c>
      <c r="S1840" s="471">
        <v>40755</v>
      </c>
      <c r="T1840" s="464">
        <v>40770</v>
      </c>
      <c r="U1840" s="461">
        <f t="shared" si="47"/>
        <v>77</v>
      </c>
      <c r="V1840" s="461" t="s">
        <v>53</v>
      </c>
      <c r="W1840" s="493">
        <v>89</v>
      </c>
      <c r="X1840" s="467"/>
      <c r="Y1840" s="592"/>
      <c r="Z1840" s="468">
        <v>1486232145</v>
      </c>
      <c r="AA1840" s="457" t="s">
        <v>47</v>
      </c>
      <c r="AB1840" s="460" t="s">
        <v>2423</v>
      </c>
      <c r="AC1840" s="722"/>
      <c r="AD1840" s="645" t="str">
        <f t="shared" si="48"/>
        <v>en término</v>
      </c>
    </row>
    <row r="1841" spans="1:235" s="649" customFormat="1" ht="54.95" customHeight="1" thickBot="1" x14ac:dyDescent="0.25">
      <c r="A1841" s="803"/>
      <c r="B1841" s="455" t="s">
        <v>36</v>
      </c>
      <c r="C1841" s="455" t="s">
        <v>37</v>
      </c>
      <c r="D1841" s="456" t="s">
        <v>2516</v>
      </c>
      <c r="E1841" s="501" t="s">
        <v>2517</v>
      </c>
      <c r="F1841" s="457">
        <v>11060002</v>
      </c>
      <c r="G1841" s="457" t="s">
        <v>39</v>
      </c>
      <c r="H1841" s="458">
        <v>1110.4000000000001</v>
      </c>
      <c r="I1841" s="459" t="s">
        <v>62</v>
      </c>
      <c r="J1841" s="460">
        <v>40659</v>
      </c>
      <c r="K1841" s="461">
        <f t="shared" si="49"/>
        <v>157</v>
      </c>
      <c r="L1841" s="460">
        <v>40816</v>
      </c>
      <c r="M1841" s="460" t="s">
        <v>41</v>
      </c>
      <c r="N1841" s="457" t="s">
        <v>42</v>
      </c>
      <c r="O1841" s="460">
        <v>40746</v>
      </c>
      <c r="P1841" s="461">
        <f t="shared" si="46"/>
        <v>-61</v>
      </c>
      <c r="Q1841" s="591" t="s">
        <v>2504</v>
      </c>
      <c r="R1841" s="753">
        <v>40752</v>
      </c>
      <c r="S1841" s="471">
        <v>40755</v>
      </c>
      <c r="T1841" s="464">
        <v>40770</v>
      </c>
      <c r="U1841" s="461">
        <f t="shared" si="47"/>
        <v>111</v>
      </c>
      <c r="V1841" s="461" t="s">
        <v>53</v>
      </c>
      <c r="W1841" s="466">
        <v>89</v>
      </c>
      <c r="X1841" s="467"/>
      <c r="Y1841" s="592"/>
      <c r="Z1841" s="468">
        <v>1486232145</v>
      </c>
      <c r="AA1841" s="457" t="s">
        <v>47</v>
      </c>
      <c r="AB1841" s="460" t="s">
        <v>2423</v>
      </c>
      <c r="AC1841" s="722"/>
      <c r="AD1841" s="645" t="str">
        <f t="shared" si="48"/>
        <v>en término</v>
      </c>
    </row>
    <row r="1842" spans="1:235" s="649" customFormat="1" ht="54.95" customHeight="1" thickBot="1" x14ac:dyDescent="0.25">
      <c r="A1842" s="803"/>
      <c r="B1842" s="455" t="s">
        <v>36</v>
      </c>
      <c r="C1842" s="455" t="s">
        <v>37</v>
      </c>
      <c r="D1842" s="456" t="s">
        <v>2518</v>
      </c>
      <c r="E1842" s="501" t="s">
        <v>2519</v>
      </c>
      <c r="F1842" s="457">
        <v>11060002</v>
      </c>
      <c r="G1842" s="457" t="s">
        <v>39</v>
      </c>
      <c r="H1842" s="458">
        <v>14428.01</v>
      </c>
      <c r="I1842" s="459" t="s">
        <v>62</v>
      </c>
      <c r="J1842" s="460">
        <v>40659</v>
      </c>
      <c r="K1842" s="461">
        <f t="shared" si="49"/>
        <v>157</v>
      </c>
      <c r="L1842" s="460">
        <v>40816</v>
      </c>
      <c r="M1842" s="460" t="s">
        <v>41</v>
      </c>
      <c r="N1842" s="457" t="s">
        <v>42</v>
      </c>
      <c r="O1842" s="460">
        <v>40746</v>
      </c>
      <c r="P1842" s="461">
        <f t="shared" si="46"/>
        <v>-61</v>
      </c>
      <c r="Q1842" s="591" t="s">
        <v>2504</v>
      </c>
      <c r="R1842" s="753">
        <v>40752</v>
      </c>
      <c r="S1842" s="471">
        <v>40755</v>
      </c>
      <c r="T1842" s="464">
        <v>40770</v>
      </c>
      <c r="U1842" s="461">
        <f t="shared" si="47"/>
        <v>111</v>
      </c>
      <c r="V1842" s="461" t="s">
        <v>53</v>
      </c>
      <c r="W1842" s="466">
        <v>89</v>
      </c>
      <c r="X1842" s="467"/>
      <c r="Y1842" s="592"/>
      <c r="Z1842" s="468">
        <v>1486232145</v>
      </c>
      <c r="AA1842" s="457" t="s">
        <v>47</v>
      </c>
      <c r="AB1842" s="460" t="s">
        <v>2423</v>
      </c>
      <c r="AC1842" s="722"/>
      <c r="AD1842" s="645" t="str">
        <f t="shared" si="48"/>
        <v>en término</v>
      </c>
    </row>
    <row r="1843" spans="1:235" s="649" customFormat="1" ht="54.95" customHeight="1" thickBot="1" x14ac:dyDescent="0.25">
      <c r="A1843" s="803"/>
      <c r="B1843" s="455" t="s">
        <v>36</v>
      </c>
      <c r="C1843" s="455" t="s">
        <v>37</v>
      </c>
      <c r="D1843" s="456" t="s">
        <v>2520</v>
      </c>
      <c r="E1843" s="501" t="s">
        <v>2521</v>
      </c>
      <c r="F1843" s="457">
        <v>11070001</v>
      </c>
      <c r="G1843" s="457" t="s">
        <v>39</v>
      </c>
      <c r="H1843" s="458">
        <v>1025</v>
      </c>
      <c r="I1843" s="459" t="s">
        <v>40</v>
      </c>
      <c r="J1843" s="460">
        <v>40710</v>
      </c>
      <c r="K1843" s="461">
        <f t="shared" si="49"/>
        <v>96</v>
      </c>
      <c r="L1843" s="460">
        <v>40806</v>
      </c>
      <c r="M1843" s="460" t="s">
        <v>41</v>
      </c>
      <c r="N1843" s="457" t="s">
        <v>42</v>
      </c>
      <c r="O1843" s="460">
        <v>40746</v>
      </c>
      <c r="P1843" s="461">
        <f t="shared" si="46"/>
        <v>-51</v>
      </c>
      <c r="Q1843" s="756" t="s">
        <v>2504</v>
      </c>
      <c r="R1843" s="753">
        <v>40752</v>
      </c>
      <c r="S1843" s="471">
        <v>40755</v>
      </c>
      <c r="T1843" s="736">
        <v>40770</v>
      </c>
      <c r="U1843" s="461">
        <f t="shared" si="47"/>
        <v>60</v>
      </c>
      <c r="V1843" s="461" t="s">
        <v>53</v>
      </c>
      <c r="W1843" s="493">
        <v>89</v>
      </c>
      <c r="X1843" s="467"/>
      <c r="Y1843" s="592"/>
      <c r="Z1843" s="531">
        <v>1486232145</v>
      </c>
      <c r="AA1843" s="457" t="s">
        <v>47</v>
      </c>
      <c r="AB1843" s="460" t="s">
        <v>2423</v>
      </c>
      <c r="AC1843" s="722"/>
      <c r="AD1843" s="645" t="str">
        <f t="shared" si="48"/>
        <v>en término</v>
      </c>
    </row>
    <row r="1844" spans="1:235" s="817" customFormat="1" ht="54.95" customHeight="1" thickBot="1" x14ac:dyDescent="0.25">
      <c r="A1844" s="803"/>
      <c r="B1844" s="455" t="s">
        <v>36</v>
      </c>
      <c r="C1844" s="455" t="s">
        <v>133</v>
      </c>
      <c r="D1844" s="456" t="s">
        <v>2349</v>
      </c>
      <c r="E1844" s="501" t="s">
        <v>2350</v>
      </c>
      <c r="F1844" s="457">
        <v>4503874833</v>
      </c>
      <c r="G1844" s="457" t="s">
        <v>39</v>
      </c>
      <c r="H1844" s="458">
        <v>6120</v>
      </c>
      <c r="I1844" s="459" t="s">
        <v>40</v>
      </c>
      <c r="J1844" s="460">
        <v>40624</v>
      </c>
      <c r="K1844" s="461">
        <f t="shared" si="49"/>
        <v>153</v>
      </c>
      <c r="L1844" s="460">
        <v>40777</v>
      </c>
      <c r="M1844" s="460" t="s">
        <v>41</v>
      </c>
      <c r="N1844" s="457" t="s">
        <v>42</v>
      </c>
      <c r="O1844" s="460">
        <v>40746</v>
      </c>
      <c r="P1844" s="461">
        <f t="shared" ref="P1844:P1869" si="50">IF(S1844="","",+S1844-L1844)</f>
        <v>-22</v>
      </c>
      <c r="Q1844" s="591" t="s">
        <v>2504</v>
      </c>
      <c r="R1844" s="753">
        <v>40752</v>
      </c>
      <c r="S1844" s="471">
        <v>40755</v>
      </c>
      <c r="T1844" s="464">
        <v>40770</v>
      </c>
      <c r="U1844" s="461">
        <f t="shared" ref="U1844:U1869" si="51">IF(T1844="","",+T1844-J1844)</f>
        <v>146</v>
      </c>
      <c r="V1844" s="461" t="s">
        <v>53</v>
      </c>
      <c r="W1844" s="816">
        <v>91</v>
      </c>
      <c r="X1844" s="467"/>
      <c r="Y1844" s="592"/>
      <c r="Z1844" s="532">
        <v>1486232145</v>
      </c>
      <c r="AA1844" s="1038" t="s">
        <v>47</v>
      </c>
      <c r="AB1844" s="460" t="s">
        <v>2423</v>
      </c>
      <c r="AC1844" s="754"/>
      <c r="AD1844" s="645" t="str">
        <f t="shared" ref="AD1844:AD1869" si="52">IF(P1844="","",IF(P1844&lt;=0,"en término","atrasado"))</f>
        <v>en término</v>
      </c>
      <c r="AF1844" s="649"/>
      <c r="AG1844" s="649"/>
      <c r="AH1844" s="649"/>
      <c r="AI1844" s="649"/>
      <c r="AJ1844" s="649"/>
      <c r="AK1844" s="649"/>
      <c r="AL1844" s="649"/>
      <c r="AM1844" s="649"/>
      <c r="AN1844" s="649"/>
      <c r="AO1844" s="649"/>
      <c r="AP1844" s="649"/>
      <c r="AQ1844" s="649"/>
      <c r="AR1844" s="649"/>
      <c r="AS1844" s="649"/>
      <c r="AT1844" s="649"/>
      <c r="AU1844" s="649"/>
      <c r="AV1844" s="649"/>
      <c r="AW1844" s="649"/>
      <c r="AX1844" s="649"/>
      <c r="AY1844" s="649"/>
      <c r="AZ1844" s="649"/>
      <c r="BA1844" s="649"/>
      <c r="BB1844" s="649"/>
      <c r="BC1844" s="649"/>
      <c r="BD1844" s="649"/>
      <c r="BE1844" s="649"/>
      <c r="BF1844" s="649"/>
      <c r="BG1844" s="649"/>
      <c r="BH1844" s="649"/>
      <c r="BI1844" s="649"/>
      <c r="BJ1844" s="649"/>
      <c r="BK1844" s="649"/>
      <c r="BL1844" s="649"/>
      <c r="BM1844" s="649"/>
      <c r="BN1844" s="649"/>
      <c r="BO1844" s="649"/>
      <c r="BP1844" s="649"/>
      <c r="BQ1844" s="649"/>
      <c r="BR1844" s="649"/>
      <c r="BS1844" s="649"/>
      <c r="BT1844" s="649"/>
      <c r="BU1844" s="649"/>
      <c r="BV1844" s="649"/>
      <c r="BW1844" s="649"/>
      <c r="BX1844" s="649"/>
      <c r="BY1844" s="649"/>
      <c r="BZ1844" s="649"/>
      <c r="CA1844" s="649"/>
      <c r="CB1844" s="649"/>
      <c r="CC1844" s="649"/>
      <c r="CD1844" s="649"/>
      <c r="CE1844" s="649"/>
      <c r="CF1844" s="649"/>
      <c r="CG1844" s="649"/>
      <c r="CH1844" s="649"/>
      <c r="CI1844" s="649"/>
      <c r="CJ1844" s="649"/>
      <c r="CK1844" s="649"/>
      <c r="CL1844" s="649"/>
      <c r="CM1844" s="649"/>
      <c r="CN1844" s="649"/>
      <c r="CO1844" s="649"/>
      <c r="CP1844" s="649"/>
      <c r="CQ1844" s="649"/>
      <c r="CR1844" s="649"/>
      <c r="CS1844" s="649"/>
      <c r="CT1844" s="649"/>
      <c r="CU1844" s="649"/>
      <c r="CV1844" s="649"/>
      <c r="CW1844" s="649"/>
      <c r="CX1844" s="649"/>
      <c r="CY1844" s="649"/>
      <c r="CZ1844" s="649"/>
      <c r="DA1844" s="649"/>
      <c r="DB1844" s="649"/>
      <c r="DC1844" s="649"/>
      <c r="DD1844" s="649"/>
      <c r="DE1844" s="649"/>
      <c r="DF1844" s="649"/>
      <c r="DG1844" s="649"/>
      <c r="DH1844" s="649"/>
      <c r="DI1844" s="649"/>
      <c r="DJ1844" s="649"/>
      <c r="DK1844" s="649"/>
      <c r="DL1844" s="649"/>
      <c r="DM1844" s="649"/>
      <c r="DN1844" s="649"/>
      <c r="DO1844" s="649"/>
      <c r="DP1844" s="649"/>
      <c r="DQ1844" s="649"/>
      <c r="DR1844" s="649"/>
      <c r="DS1844" s="649"/>
      <c r="DT1844" s="649"/>
      <c r="DU1844" s="649"/>
      <c r="DV1844" s="649"/>
      <c r="DW1844" s="649"/>
      <c r="DX1844" s="649"/>
      <c r="DY1844" s="649"/>
      <c r="DZ1844" s="649"/>
      <c r="EA1844" s="649"/>
      <c r="EB1844" s="649"/>
      <c r="EC1844" s="649"/>
      <c r="ED1844" s="649"/>
      <c r="EE1844" s="649"/>
      <c r="EF1844" s="649"/>
      <c r="EG1844" s="649"/>
      <c r="EH1844" s="649"/>
      <c r="EI1844" s="649"/>
      <c r="EJ1844" s="649"/>
      <c r="EK1844" s="649"/>
      <c r="EL1844" s="649"/>
      <c r="EM1844" s="649"/>
      <c r="EN1844" s="649"/>
      <c r="EO1844" s="649"/>
      <c r="EP1844" s="649"/>
      <c r="EQ1844" s="649"/>
      <c r="ER1844" s="649"/>
      <c r="ES1844" s="649"/>
      <c r="ET1844" s="649"/>
      <c r="EU1844" s="649"/>
      <c r="EV1844" s="649"/>
      <c r="EW1844" s="649"/>
      <c r="EX1844" s="649"/>
      <c r="EY1844" s="649"/>
      <c r="EZ1844" s="649"/>
      <c r="FA1844" s="649"/>
      <c r="FB1844" s="649"/>
      <c r="FC1844" s="649"/>
      <c r="FD1844" s="649"/>
      <c r="FE1844" s="649"/>
      <c r="FF1844" s="649"/>
      <c r="FG1844" s="649"/>
      <c r="FH1844" s="649"/>
      <c r="FI1844" s="649"/>
      <c r="FJ1844" s="649"/>
      <c r="FK1844" s="649"/>
      <c r="FL1844" s="649"/>
      <c r="FM1844" s="649"/>
      <c r="FN1844" s="649"/>
      <c r="FO1844" s="649"/>
      <c r="FP1844" s="649"/>
      <c r="FQ1844" s="649"/>
      <c r="FR1844" s="649"/>
      <c r="FS1844" s="649"/>
      <c r="FT1844" s="649"/>
      <c r="FU1844" s="649"/>
      <c r="FV1844" s="649"/>
      <c r="FW1844" s="649"/>
      <c r="FX1844" s="649"/>
      <c r="FY1844" s="649"/>
      <c r="FZ1844" s="649"/>
      <c r="GA1844" s="649"/>
      <c r="GB1844" s="649"/>
      <c r="GC1844" s="649"/>
      <c r="GD1844" s="649"/>
      <c r="GE1844" s="649"/>
      <c r="GF1844" s="649"/>
      <c r="GG1844" s="649"/>
      <c r="GH1844" s="649"/>
      <c r="GI1844" s="649"/>
      <c r="GJ1844" s="649"/>
      <c r="GK1844" s="649"/>
      <c r="GL1844" s="649"/>
      <c r="GM1844" s="649"/>
      <c r="GN1844" s="649"/>
      <c r="GO1844" s="649"/>
      <c r="GP1844" s="649"/>
      <c r="GQ1844" s="649"/>
      <c r="GR1844" s="649"/>
      <c r="GS1844" s="649"/>
      <c r="GT1844" s="649"/>
      <c r="GU1844" s="649"/>
      <c r="GV1844" s="649"/>
      <c r="GW1844" s="649"/>
      <c r="GX1844" s="649"/>
      <c r="GY1844" s="649"/>
      <c r="GZ1844" s="649"/>
      <c r="HA1844" s="649"/>
      <c r="HB1844" s="649"/>
      <c r="HC1844" s="649"/>
      <c r="HD1844" s="649"/>
      <c r="HE1844" s="649"/>
      <c r="HF1844" s="649"/>
      <c r="HG1844" s="649"/>
      <c r="HH1844" s="649"/>
      <c r="HI1844" s="649"/>
      <c r="HJ1844" s="649"/>
      <c r="HK1844" s="649"/>
      <c r="HL1844" s="649"/>
      <c r="HM1844" s="649"/>
      <c r="HN1844" s="649"/>
      <c r="HO1844" s="649"/>
      <c r="HP1844" s="649"/>
      <c r="HQ1844" s="649"/>
      <c r="HR1844" s="649"/>
      <c r="HS1844" s="649"/>
      <c r="HT1844" s="649"/>
      <c r="HU1844" s="649"/>
      <c r="HV1844" s="649"/>
      <c r="HW1844" s="649"/>
      <c r="HX1844" s="649"/>
      <c r="HY1844" s="649"/>
      <c r="HZ1844" s="649"/>
      <c r="IA1844" s="649"/>
    </row>
    <row r="1845" spans="1:235" ht="54.95" customHeight="1" thickBot="1" x14ac:dyDescent="0.25">
      <c r="B1845" s="455" t="s">
        <v>36</v>
      </c>
      <c r="C1845" s="1043" t="s">
        <v>133</v>
      </c>
      <c r="D1845" s="1044" t="s">
        <v>2499</v>
      </c>
      <c r="E1845" s="1027" t="s">
        <v>2350</v>
      </c>
      <c r="F1845" s="1028">
        <v>4504009199</v>
      </c>
      <c r="G1845" s="1028" t="s">
        <v>39</v>
      </c>
      <c r="H1845" s="1029">
        <v>298721.5</v>
      </c>
      <c r="I1845" s="1033" t="s">
        <v>52</v>
      </c>
      <c r="J1845" s="1032">
        <v>40696</v>
      </c>
      <c r="K1845" s="1041">
        <f t="shared" si="49"/>
        <v>68</v>
      </c>
      <c r="L1845" s="1032">
        <v>40764</v>
      </c>
      <c r="M1845" s="1032" t="s">
        <v>41</v>
      </c>
      <c r="N1845" s="1028" t="s">
        <v>42</v>
      </c>
      <c r="O1845" s="1032">
        <v>40753</v>
      </c>
      <c r="P1845" s="1041">
        <f t="shared" si="50"/>
        <v>-3</v>
      </c>
      <c r="Q1845" s="1041" t="s">
        <v>2522</v>
      </c>
      <c r="R1845" s="758">
        <v>40752</v>
      </c>
      <c r="S1845" s="642">
        <v>40761</v>
      </c>
      <c r="T1845" s="642">
        <v>40777</v>
      </c>
      <c r="U1845" s="461">
        <f t="shared" si="51"/>
        <v>81</v>
      </c>
      <c r="V1845" s="1041" t="s">
        <v>2523</v>
      </c>
      <c r="W1845" s="659">
        <v>92</v>
      </c>
      <c r="X1845" s="1028"/>
      <c r="Y1845" s="1028" t="s">
        <v>2524</v>
      </c>
      <c r="Z1845" s="468">
        <v>1486232090</v>
      </c>
      <c r="AA1845" s="457"/>
      <c r="AB1845" s="1032" t="s">
        <v>47</v>
      </c>
      <c r="AC1845" s="723"/>
      <c r="AD1845" s="645" t="str">
        <f t="shared" si="52"/>
        <v>en término</v>
      </c>
      <c r="AE1845" s="646"/>
      <c r="AF1845" s="9"/>
      <c r="AG1845" s="9"/>
      <c r="AH1845" s="9"/>
      <c r="AI1845" s="9"/>
      <c r="AJ1845" s="9"/>
      <c r="AK1845" s="9"/>
      <c r="AL1845" s="9"/>
      <c r="AM1845" s="9"/>
    </row>
    <row r="1846" spans="1:235" ht="54.95" customHeight="1" thickBot="1" x14ac:dyDescent="0.25">
      <c r="B1846" s="455" t="s">
        <v>36</v>
      </c>
      <c r="C1846" s="455" t="s">
        <v>133</v>
      </c>
      <c r="D1846" s="456" t="s">
        <v>2499</v>
      </c>
      <c r="E1846" s="501" t="s">
        <v>2350</v>
      </c>
      <c r="F1846" s="457">
        <v>4504012323</v>
      </c>
      <c r="G1846" s="457" t="s">
        <v>39</v>
      </c>
      <c r="H1846" s="458">
        <v>18137</v>
      </c>
      <c r="I1846" s="459" t="s">
        <v>52</v>
      </c>
      <c r="J1846" s="460">
        <v>40700</v>
      </c>
      <c r="K1846" s="461">
        <f t="shared" si="49"/>
        <v>64</v>
      </c>
      <c r="L1846" s="460">
        <v>40764</v>
      </c>
      <c r="M1846" s="460" t="s">
        <v>41</v>
      </c>
      <c r="N1846" s="457" t="s">
        <v>42</v>
      </c>
      <c r="O1846" s="460">
        <v>40753</v>
      </c>
      <c r="P1846" s="461">
        <f t="shared" si="50"/>
        <v>-3</v>
      </c>
      <c r="Q1846" s="1041" t="s">
        <v>2522</v>
      </c>
      <c r="R1846" s="757">
        <v>40752</v>
      </c>
      <c r="S1846" s="642">
        <v>40761</v>
      </c>
      <c r="T1846" s="642">
        <v>40777</v>
      </c>
      <c r="U1846" s="461">
        <f t="shared" si="51"/>
        <v>77</v>
      </c>
      <c r="V1846" s="461" t="s">
        <v>53</v>
      </c>
      <c r="W1846" s="466">
        <v>93</v>
      </c>
      <c r="X1846" s="467"/>
      <c r="Y1846" s="457"/>
      <c r="Z1846" s="468">
        <v>1486232090</v>
      </c>
      <c r="AA1846" s="1038" t="s">
        <v>47</v>
      </c>
      <c r="AB1846" s="1032" t="s">
        <v>47</v>
      </c>
      <c r="AC1846" s="722"/>
      <c r="AD1846" s="645" t="str">
        <f t="shared" si="52"/>
        <v>en término</v>
      </c>
      <c r="AE1846" s="646"/>
      <c r="AF1846" s="9"/>
      <c r="AG1846" s="9"/>
      <c r="AH1846" s="9"/>
      <c r="AI1846" s="9"/>
      <c r="AJ1846" s="9"/>
      <c r="AK1846" s="9"/>
      <c r="AL1846" s="9"/>
      <c r="AM1846" s="9"/>
    </row>
    <row r="1847" spans="1:235" s="587" customFormat="1" ht="54.95" customHeight="1" thickBot="1" x14ac:dyDescent="0.25">
      <c r="A1847" s="803"/>
      <c r="B1847" s="1043" t="s">
        <v>36</v>
      </c>
      <c r="C1847" s="1043" t="s">
        <v>133</v>
      </c>
      <c r="D1847" s="1044" t="s">
        <v>2349</v>
      </c>
      <c r="E1847" s="1027" t="s">
        <v>2350</v>
      </c>
      <c r="F1847" s="1028">
        <v>4503928185</v>
      </c>
      <c r="G1847" s="1028" t="s">
        <v>39</v>
      </c>
      <c r="H1847" s="1029">
        <v>8845.7999999999993</v>
      </c>
      <c r="I1847" s="1033" t="s">
        <v>142</v>
      </c>
      <c r="J1847" s="1032">
        <v>40652</v>
      </c>
      <c r="K1847" s="1041">
        <f t="shared" si="49"/>
        <v>91</v>
      </c>
      <c r="L1847" s="1032">
        <v>40743</v>
      </c>
      <c r="M1847" s="1032" t="s">
        <v>41</v>
      </c>
      <c r="N1847" s="1028" t="s">
        <v>1750</v>
      </c>
      <c r="O1847" s="1032">
        <v>40731</v>
      </c>
      <c r="P1847" s="1041">
        <f t="shared" si="50"/>
        <v>-3</v>
      </c>
      <c r="Q1847" s="591" t="s">
        <v>2500</v>
      </c>
      <c r="R1847" s="460" t="s">
        <v>2501</v>
      </c>
      <c r="S1847" s="471">
        <v>40740</v>
      </c>
      <c r="T1847" s="471">
        <v>40756</v>
      </c>
      <c r="U1847" s="1041">
        <f t="shared" si="51"/>
        <v>104</v>
      </c>
      <c r="V1847" s="446" t="s">
        <v>2525</v>
      </c>
      <c r="W1847" s="659">
        <v>87</v>
      </c>
      <c r="X1847" s="1028"/>
      <c r="Y1847" s="1028"/>
      <c r="Z1847" s="446"/>
      <c r="AA1847" s="457" t="s">
        <v>47</v>
      </c>
      <c r="AB1847" s="460" t="s">
        <v>47</v>
      </c>
      <c r="AC1847" s="723"/>
      <c r="AD1847" s="645" t="str">
        <f t="shared" si="52"/>
        <v>en término</v>
      </c>
    </row>
    <row r="1848" spans="1:235" ht="54.95" customHeight="1" thickBot="1" x14ac:dyDescent="0.25">
      <c r="B1848" s="455" t="s">
        <v>36</v>
      </c>
      <c r="C1848" s="455" t="s">
        <v>133</v>
      </c>
      <c r="D1848" s="456" t="s">
        <v>2499</v>
      </c>
      <c r="E1848" s="501" t="s">
        <v>2350</v>
      </c>
      <c r="F1848" s="457">
        <v>4504013128</v>
      </c>
      <c r="G1848" s="457" t="s">
        <v>39</v>
      </c>
      <c r="H1848" s="458">
        <v>26952.799999999999</v>
      </c>
      <c r="I1848" s="459" t="s">
        <v>757</v>
      </c>
      <c r="J1848" s="460">
        <v>40700</v>
      </c>
      <c r="K1848" s="461">
        <f t="shared" si="49"/>
        <v>91</v>
      </c>
      <c r="L1848" s="460">
        <v>40791</v>
      </c>
      <c r="M1848" s="460" t="s">
        <v>41</v>
      </c>
      <c r="N1848" s="457" t="s">
        <v>42</v>
      </c>
      <c r="O1848" s="460">
        <v>40760</v>
      </c>
      <c r="P1848" s="461">
        <f t="shared" si="50"/>
        <v>-23</v>
      </c>
      <c r="Q1848" s="461" t="s">
        <v>2526</v>
      </c>
      <c r="R1848" s="757" t="s">
        <v>2527</v>
      </c>
      <c r="S1848" s="471">
        <v>40768</v>
      </c>
      <c r="T1848" s="471">
        <v>40784</v>
      </c>
      <c r="U1848" s="461">
        <f t="shared" si="51"/>
        <v>84</v>
      </c>
      <c r="V1848" s="461" t="s">
        <v>2528</v>
      </c>
      <c r="W1848" s="493">
        <v>99</v>
      </c>
      <c r="X1848" s="467"/>
      <c r="Y1848" s="456">
        <v>40758</v>
      </c>
      <c r="Z1848" s="468" t="s">
        <v>2529</v>
      </c>
      <c r="AA1848" s="1038" t="s">
        <v>47</v>
      </c>
      <c r="AB1848" s="1032" t="s">
        <v>47</v>
      </c>
      <c r="AC1848" s="722"/>
      <c r="AD1848" s="645" t="str">
        <f t="shared" si="52"/>
        <v>en término</v>
      </c>
      <c r="AE1848" s="646"/>
      <c r="AF1848" s="9"/>
      <c r="AG1848" s="9"/>
      <c r="AH1848" s="9"/>
      <c r="AI1848" s="9"/>
      <c r="AJ1848" s="9"/>
      <c r="AK1848" s="9"/>
      <c r="AL1848" s="9"/>
      <c r="AM1848" s="9"/>
    </row>
    <row r="1849" spans="1:235" s="587" customFormat="1" ht="54.95" customHeight="1" thickBot="1" x14ac:dyDescent="0.25">
      <c r="A1849" s="803"/>
      <c r="B1849" s="455" t="s">
        <v>36</v>
      </c>
      <c r="C1849" s="455" t="s">
        <v>37</v>
      </c>
      <c r="D1849" s="456" t="s">
        <v>2530</v>
      </c>
      <c r="E1849" s="501" t="s">
        <v>2531</v>
      </c>
      <c r="F1849" s="457">
        <v>11060001</v>
      </c>
      <c r="G1849" s="457" t="s">
        <v>1192</v>
      </c>
      <c r="H1849" s="458">
        <v>35000</v>
      </c>
      <c r="I1849" s="459" t="s">
        <v>62</v>
      </c>
      <c r="J1849" s="460">
        <v>40694</v>
      </c>
      <c r="K1849" s="461">
        <f t="shared" si="49"/>
        <v>153</v>
      </c>
      <c r="L1849" s="460">
        <v>40847</v>
      </c>
      <c r="M1849" s="460" t="s">
        <v>41</v>
      </c>
      <c r="N1849" s="457" t="s">
        <v>42</v>
      </c>
      <c r="O1849" s="460">
        <v>40760</v>
      </c>
      <c r="P1849" s="461">
        <f t="shared" si="50"/>
        <v>-79</v>
      </c>
      <c r="Q1849" s="591" t="s">
        <v>2526</v>
      </c>
      <c r="R1849" s="460">
        <v>40760</v>
      </c>
      <c r="S1849" s="471">
        <v>40768</v>
      </c>
      <c r="T1849" s="464">
        <v>40784</v>
      </c>
      <c r="U1849" s="461">
        <f t="shared" si="51"/>
        <v>90</v>
      </c>
      <c r="V1849" s="468" t="s">
        <v>2532</v>
      </c>
      <c r="W1849" s="493">
        <v>100</v>
      </c>
      <c r="X1849" s="467"/>
      <c r="Y1849" s="592"/>
      <c r="Z1849" s="457" t="s">
        <v>2529</v>
      </c>
      <c r="AA1849" s="457" t="s">
        <v>47</v>
      </c>
      <c r="AB1849" s="460" t="s">
        <v>2533</v>
      </c>
      <c r="AC1849" s="722"/>
      <c r="AD1849" s="649" t="str">
        <f t="shared" si="52"/>
        <v>en término</v>
      </c>
    </row>
    <row r="1850" spans="1:235" ht="54.95" customHeight="1" thickBot="1" x14ac:dyDescent="0.25">
      <c r="B1850" s="455" t="s">
        <v>36</v>
      </c>
      <c r="C1850" s="1043" t="s">
        <v>133</v>
      </c>
      <c r="D1850" s="1044" t="s">
        <v>2499</v>
      </c>
      <c r="E1850" s="1027" t="s">
        <v>2350</v>
      </c>
      <c r="F1850" s="457">
        <v>4504000218</v>
      </c>
      <c r="G1850" s="1028" t="s">
        <v>39</v>
      </c>
      <c r="H1850" s="458">
        <v>45061.5</v>
      </c>
      <c r="I1850" s="459" t="s">
        <v>62</v>
      </c>
      <c r="J1850" s="460">
        <v>40694</v>
      </c>
      <c r="K1850" s="461">
        <f t="shared" si="49"/>
        <v>93</v>
      </c>
      <c r="L1850" s="460">
        <v>40787</v>
      </c>
      <c r="M1850" s="1032" t="s">
        <v>41</v>
      </c>
      <c r="N1850" s="1028" t="s">
        <v>42</v>
      </c>
      <c r="O1850" s="460">
        <v>40780</v>
      </c>
      <c r="P1850" s="1041">
        <f t="shared" si="50"/>
        <v>2</v>
      </c>
      <c r="Q1850" s="461" t="s">
        <v>2534</v>
      </c>
      <c r="R1850" s="757">
        <v>40780</v>
      </c>
      <c r="S1850" s="471">
        <v>40789</v>
      </c>
      <c r="T1850" s="471">
        <v>40805</v>
      </c>
      <c r="U1850" s="461">
        <f t="shared" si="51"/>
        <v>111</v>
      </c>
      <c r="V1850" s="461" t="s">
        <v>1038</v>
      </c>
      <c r="W1850" s="493">
        <v>106</v>
      </c>
      <c r="X1850" s="467"/>
      <c r="Y1850" s="457" t="s">
        <v>2535</v>
      </c>
      <c r="Z1850" s="468">
        <v>3111221046</v>
      </c>
      <c r="AA1850" s="457" t="s">
        <v>47</v>
      </c>
      <c r="AB1850" s="1032" t="s">
        <v>47</v>
      </c>
      <c r="AC1850" s="722"/>
      <c r="AD1850" s="645" t="str">
        <f t="shared" si="52"/>
        <v>atrasado</v>
      </c>
      <c r="AE1850" s="646"/>
      <c r="AF1850" s="9"/>
      <c r="AG1850" s="9"/>
      <c r="AH1850" s="9"/>
      <c r="AI1850" s="9"/>
      <c r="AJ1850" s="9"/>
      <c r="AK1850" s="9"/>
      <c r="AL1850" s="9"/>
      <c r="AM1850" s="9"/>
    </row>
    <row r="1851" spans="1:235" ht="54.95" customHeight="1" thickBot="1" x14ac:dyDescent="0.25">
      <c r="B1851" s="455" t="s">
        <v>36</v>
      </c>
      <c r="C1851" s="455" t="s">
        <v>133</v>
      </c>
      <c r="D1851" s="456" t="s">
        <v>2499</v>
      </c>
      <c r="E1851" s="501" t="s">
        <v>2350</v>
      </c>
      <c r="F1851" s="457">
        <v>4504059481</v>
      </c>
      <c r="G1851" s="457" t="s">
        <v>39</v>
      </c>
      <c r="H1851" s="458">
        <v>60321.4</v>
      </c>
      <c r="I1851" s="459" t="s">
        <v>62</v>
      </c>
      <c r="J1851" s="460">
        <v>40731</v>
      </c>
      <c r="K1851" s="461">
        <f t="shared" si="49"/>
        <v>93</v>
      </c>
      <c r="L1851" s="460">
        <v>40824</v>
      </c>
      <c r="M1851" s="460" t="s">
        <v>41</v>
      </c>
      <c r="N1851" s="457" t="s">
        <v>42</v>
      </c>
      <c r="O1851" s="460">
        <v>40780</v>
      </c>
      <c r="P1851" s="461">
        <f t="shared" si="50"/>
        <v>-35</v>
      </c>
      <c r="Q1851" s="461" t="s">
        <v>2534</v>
      </c>
      <c r="R1851" s="757">
        <v>40780</v>
      </c>
      <c r="S1851" s="471">
        <v>40789</v>
      </c>
      <c r="T1851" s="471">
        <v>40805</v>
      </c>
      <c r="U1851" s="461">
        <f t="shared" si="51"/>
        <v>74</v>
      </c>
      <c r="V1851" s="461" t="s">
        <v>1661</v>
      </c>
      <c r="W1851" s="493">
        <v>107</v>
      </c>
      <c r="X1851" s="467"/>
      <c r="Y1851" s="457" t="s">
        <v>2536</v>
      </c>
      <c r="Z1851" s="468">
        <v>3111221046</v>
      </c>
      <c r="AA1851" s="457" t="s">
        <v>47</v>
      </c>
      <c r="AB1851" s="460" t="s">
        <v>47</v>
      </c>
      <c r="AC1851" s="722"/>
      <c r="AD1851" s="645" t="str">
        <f t="shared" si="52"/>
        <v>en término</v>
      </c>
      <c r="AE1851" s="646"/>
      <c r="AF1851" s="9"/>
      <c r="AG1851" s="9"/>
      <c r="AH1851" s="9"/>
      <c r="AI1851" s="9"/>
      <c r="AJ1851" s="9"/>
      <c r="AK1851" s="9"/>
      <c r="AL1851" s="9"/>
      <c r="AM1851" s="9"/>
    </row>
    <row r="1852" spans="1:235" s="649" customFormat="1" ht="54.95" customHeight="1" thickBot="1" x14ac:dyDescent="0.25">
      <c r="A1852" s="803"/>
      <c r="B1852" s="455" t="s">
        <v>36</v>
      </c>
      <c r="C1852" s="455" t="s">
        <v>133</v>
      </c>
      <c r="D1852" s="456" t="s">
        <v>2349</v>
      </c>
      <c r="E1852" s="501" t="s">
        <v>2350</v>
      </c>
      <c r="F1852" s="457">
        <v>4504063809</v>
      </c>
      <c r="G1852" s="457" t="s">
        <v>39</v>
      </c>
      <c r="H1852" s="458">
        <v>398973.7</v>
      </c>
      <c r="I1852" s="459" t="s">
        <v>52</v>
      </c>
      <c r="J1852" s="460">
        <v>40728</v>
      </c>
      <c r="K1852" s="461">
        <f t="shared" si="49"/>
        <v>67</v>
      </c>
      <c r="L1852" s="460">
        <v>40795</v>
      </c>
      <c r="M1852" s="460" t="s">
        <v>41</v>
      </c>
      <c r="N1852" s="457" t="s">
        <v>42</v>
      </c>
      <c r="O1852" s="460">
        <v>40780</v>
      </c>
      <c r="P1852" s="812">
        <f t="shared" si="50"/>
        <v>-6</v>
      </c>
      <c r="Q1852" s="461" t="s">
        <v>2537</v>
      </c>
      <c r="R1852" s="757">
        <v>40780</v>
      </c>
      <c r="S1852" s="471">
        <v>40789</v>
      </c>
      <c r="T1852" s="471">
        <v>40805</v>
      </c>
      <c r="U1852" s="461">
        <f t="shared" si="51"/>
        <v>77</v>
      </c>
      <c r="V1852" s="461" t="s">
        <v>2538</v>
      </c>
      <c r="W1852" s="493">
        <v>109</v>
      </c>
      <c r="X1852" s="467"/>
      <c r="Y1852" s="468" t="s">
        <v>2539</v>
      </c>
      <c r="Z1852" s="468">
        <v>3111221046</v>
      </c>
      <c r="AA1852" s="457" t="s">
        <v>47</v>
      </c>
      <c r="AB1852" s="460" t="s">
        <v>47</v>
      </c>
      <c r="AC1852" s="722"/>
      <c r="AD1852" s="645" t="str">
        <f t="shared" si="52"/>
        <v>en término</v>
      </c>
    </row>
    <row r="1853" spans="1:235" s="649" customFormat="1" ht="54.95" customHeight="1" thickBot="1" x14ac:dyDescent="0.25">
      <c r="A1853" s="803"/>
      <c r="B1853" s="455" t="s">
        <v>36</v>
      </c>
      <c r="C1853" s="455" t="s">
        <v>133</v>
      </c>
      <c r="D1853" s="456" t="s">
        <v>2349</v>
      </c>
      <c r="E1853" s="501" t="s">
        <v>2350</v>
      </c>
      <c r="F1853" s="457">
        <v>4504063788</v>
      </c>
      <c r="G1853" s="457" t="s">
        <v>39</v>
      </c>
      <c r="H1853" s="458">
        <v>13112.5</v>
      </c>
      <c r="I1853" s="459" t="s">
        <v>52</v>
      </c>
      <c r="J1853" s="460">
        <v>40728</v>
      </c>
      <c r="K1853" s="461">
        <f t="shared" si="49"/>
        <v>67</v>
      </c>
      <c r="L1853" s="460">
        <v>40795</v>
      </c>
      <c r="M1853" s="460" t="s">
        <v>41</v>
      </c>
      <c r="N1853" s="457" t="s">
        <v>42</v>
      </c>
      <c r="O1853" s="460">
        <v>40780</v>
      </c>
      <c r="P1853" s="461">
        <f t="shared" si="50"/>
        <v>-6</v>
      </c>
      <c r="Q1853" s="461" t="s">
        <v>2537</v>
      </c>
      <c r="R1853" s="757">
        <v>40780</v>
      </c>
      <c r="S1853" s="471">
        <v>40789</v>
      </c>
      <c r="T1853" s="471">
        <v>40805</v>
      </c>
      <c r="U1853" s="461">
        <f t="shared" si="51"/>
        <v>77</v>
      </c>
      <c r="V1853" s="461" t="s">
        <v>597</v>
      </c>
      <c r="W1853" s="493">
        <v>108</v>
      </c>
      <c r="X1853" s="467"/>
      <c r="Y1853" s="592"/>
      <c r="Z1853" s="468">
        <v>3111221046</v>
      </c>
      <c r="AA1853" s="457" t="s">
        <v>47</v>
      </c>
      <c r="AB1853" s="460" t="s">
        <v>47</v>
      </c>
      <c r="AC1853" s="722"/>
      <c r="AD1853" s="645" t="str">
        <f t="shared" si="52"/>
        <v>en término</v>
      </c>
    </row>
    <row r="1854" spans="1:235" s="817" customFormat="1" ht="54.95" customHeight="1" thickBot="1" x14ac:dyDescent="0.25">
      <c r="A1854" s="803"/>
      <c r="B1854" s="729" t="s">
        <v>36</v>
      </c>
      <c r="C1854" s="729" t="s">
        <v>37</v>
      </c>
      <c r="D1854" s="538" t="s">
        <v>2540</v>
      </c>
      <c r="E1854" s="730" t="s">
        <v>2541</v>
      </c>
      <c r="F1854" s="731">
        <v>11060006</v>
      </c>
      <c r="G1854" s="731" t="s">
        <v>39</v>
      </c>
      <c r="H1854" s="732">
        <v>97642</v>
      </c>
      <c r="I1854" s="733" t="s">
        <v>142</v>
      </c>
      <c r="J1854" s="734">
        <v>40702</v>
      </c>
      <c r="K1854" s="735">
        <f t="shared" si="49"/>
        <v>138</v>
      </c>
      <c r="L1854" s="734">
        <v>40840</v>
      </c>
      <c r="M1854" s="734" t="s">
        <v>41</v>
      </c>
      <c r="N1854" s="731" t="s">
        <v>42</v>
      </c>
      <c r="O1854" s="734">
        <v>40785</v>
      </c>
      <c r="P1854" s="735">
        <f t="shared" si="50"/>
        <v>-44</v>
      </c>
      <c r="Q1854" s="461" t="s">
        <v>2542</v>
      </c>
      <c r="R1854" s="757">
        <v>40787</v>
      </c>
      <c r="S1854" s="471">
        <v>40796</v>
      </c>
      <c r="T1854" s="471">
        <v>40812</v>
      </c>
      <c r="U1854" s="746">
        <f t="shared" si="51"/>
        <v>110</v>
      </c>
      <c r="V1854" s="735" t="s">
        <v>2543</v>
      </c>
      <c r="W1854" s="493">
        <v>112</v>
      </c>
      <c r="X1854" s="750"/>
      <c r="Y1854" s="731"/>
      <c r="Z1854" s="468">
        <v>3111221083</v>
      </c>
      <c r="AA1854" s="1038" t="s">
        <v>47</v>
      </c>
      <c r="AB1854" s="460" t="s">
        <v>2533</v>
      </c>
      <c r="AC1854" s="722"/>
      <c r="AD1854" s="645" t="str">
        <f t="shared" si="52"/>
        <v>en término</v>
      </c>
    </row>
    <row r="1855" spans="1:235" s="649" customFormat="1" ht="54.95" customHeight="1" thickBot="1" x14ac:dyDescent="0.25">
      <c r="A1855" s="803"/>
      <c r="B1855" s="455" t="s">
        <v>36</v>
      </c>
      <c r="C1855" s="455" t="s">
        <v>133</v>
      </c>
      <c r="D1855" s="456" t="s">
        <v>2499</v>
      </c>
      <c r="E1855" s="501" t="s">
        <v>2350</v>
      </c>
      <c r="F1855" s="457">
        <v>4504059534</v>
      </c>
      <c r="G1855" s="457" t="s">
        <v>39</v>
      </c>
      <c r="H1855" s="458">
        <v>50803.4</v>
      </c>
      <c r="I1855" s="459" t="s">
        <v>757</v>
      </c>
      <c r="J1855" s="460">
        <v>40725</v>
      </c>
      <c r="K1855" s="461">
        <f t="shared" si="49"/>
        <v>91</v>
      </c>
      <c r="L1855" s="460">
        <v>40816</v>
      </c>
      <c r="M1855" s="460" t="s">
        <v>41</v>
      </c>
      <c r="N1855" s="457" t="s">
        <v>42</v>
      </c>
      <c r="O1855" s="460">
        <v>40800</v>
      </c>
      <c r="P1855" s="461">
        <f t="shared" si="50"/>
        <v>-6</v>
      </c>
      <c r="Q1855" s="461" t="s">
        <v>2544</v>
      </c>
      <c r="R1855" s="757">
        <v>40801</v>
      </c>
      <c r="S1855" s="804">
        <v>40810</v>
      </c>
      <c r="T1855" s="471">
        <v>40826</v>
      </c>
      <c r="U1855" s="461">
        <f t="shared" si="51"/>
        <v>101</v>
      </c>
      <c r="V1855" s="461" t="s">
        <v>2545</v>
      </c>
      <c r="W1855" s="493">
        <v>116</v>
      </c>
      <c r="X1855" s="467"/>
      <c r="Y1855" s="456">
        <v>40799</v>
      </c>
      <c r="Z1855" s="468">
        <v>3111221094</v>
      </c>
      <c r="AA1855" s="457" t="s">
        <v>47</v>
      </c>
      <c r="AB1855" s="460" t="s">
        <v>2546</v>
      </c>
      <c r="AC1855" s="722"/>
      <c r="AD1855" s="645" t="str">
        <f t="shared" si="52"/>
        <v>en término</v>
      </c>
    </row>
    <row r="1856" spans="1:235" s="649" customFormat="1" ht="54.95" customHeight="1" thickBot="1" x14ac:dyDescent="0.25">
      <c r="A1856" s="803"/>
      <c r="B1856" s="455" t="s">
        <v>36</v>
      </c>
      <c r="C1856" s="455" t="s">
        <v>133</v>
      </c>
      <c r="D1856" s="456" t="s">
        <v>2349</v>
      </c>
      <c r="E1856" s="501" t="s">
        <v>2350</v>
      </c>
      <c r="F1856" s="457">
        <v>4504056478</v>
      </c>
      <c r="G1856" s="457" t="s">
        <v>39</v>
      </c>
      <c r="H1856" s="458">
        <v>48756</v>
      </c>
      <c r="I1856" s="459" t="s">
        <v>40</v>
      </c>
      <c r="J1856" s="460">
        <v>40724</v>
      </c>
      <c r="K1856" s="461">
        <f t="shared" si="49"/>
        <v>90</v>
      </c>
      <c r="L1856" s="460">
        <v>40814</v>
      </c>
      <c r="M1856" s="460" t="s">
        <v>41</v>
      </c>
      <c r="N1856" s="457" t="s">
        <v>42</v>
      </c>
      <c r="O1856" s="460">
        <v>40800</v>
      </c>
      <c r="P1856" s="461">
        <f t="shared" si="50"/>
        <v>-4</v>
      </c>
      <c r="Q1856" s="461" t="s">
        <v>2544</v>
      </c>
      <c r="R1856" s="757">
        <v>40801</v>
      </c>
      <c r="S1856" s="471">
        <v>40810</v>
      </c>
      <c r="T1856" s="471">
        <v>40826</v>
      </c>
      <c r="U1856" s="461">
        <f t="shared" si="51"/>
        <v>102</v>
      </c>
      <c r="V1856" s="461" t="s">
        <v>2547</v>
      </c>
      <c r="W1856" s="493">
        <v>115</v>
      </c>
      <c r="X1856" s="467"/>
      <c r="Y1856" s="592"/>
      <c r="Z1856" s="468">
        <v>3111221094</v>
      </c>
      <c r="AA1856" s="457" t="s">
        <v>47</v>
      </c>
      <c r="AB1856" s="460" t="s">
        <v>47</v>
      </c>
      <c r="AC1856" s="722"/>
      <c r="AD1856" s="645" t="str">
        <f t="shared" si="52"/>
        <v>en término</v>
      </c>
    </row>
    <row r="1857" spans="1:39" s="649" customFormat="1" ht="54.95" customHeight="1" thickBot="1" x14ac:dyDescent="0.25">
      <c r="A1857" s="803"/>
      <c r="B1857" s="455" t="s">
        <v>36</v>
      </c>
      <c r="C1857" s="455" t="s">
        <v>37</v>
      </c>
      <c r="D1857" s="456" t="s">
        <v>2548</v>
      </c>
      <c r="E1857" s="501" t="s">
        <v>2549</v>
      </c>
      <c r="F1857" s="457">
        <v>11090003</v>
      </c>
      <c r="G1857" s="457" t="s">
        <v>39</v>
      </c>
      <c r="H1857" s="458">
        <v>3100</v>
      </c>
      <c r="I1857" s="459" t="s">
        <v>62</v>
      </c>
      <c r="J1857" s="460">
        <v>40752</v>
      </c>
      <c r="K1857" s="461">
        <f t="shared" si="49"/>
        <v>99</v>
      </c>
      <c r="L1857" s="460">
        <v>40851</v>
      </c>
      <c r="M1857" s="460" t="s">
        <v>41</v>
      </c>
      <c r="N1857" s="457" t="s">
        <v>42</v>
      </c>
      <c r="O1857" s="460">
        <v>40801</v>
      </c>
      <c r="P1857" s="461">
        <f t="shared" si="50"/>
        <v>-41</v>
      </c>
      <c r="Q1857" s="461" t="s">
        <v>2544</v>
      </c>
      <c r="R1857" s="757">
        <v>40801</v>
      </c>
      <c r="S1857" s="804">
        <v>40810</v>
      </c>
      <c r="T1857" s="471">
        <v>40826</v>
      </c>
      <c r="U1857" s="461">
        <f t="shared" si="51"/>
        <v>74</v>
      </c>
      <c r="V1857" s="461" t="s">
        <v>2550</v>
      </c>
      <c r="W1857" s="493">
        <v>117</v>
      </c>
      <c r="X1857" s="467"/>
      <c r="Y1857" s="457"/>
      <c r="Z1857" s="468">
        <v>3111221094</v>
      </c>
      <c r="AA1857" s="457" t="s">
        <v>47</v>
      </c>
      <c r="AB1857" s="460" t="s">
        <v>2551</v>
      </c>
      <c r="AC1857" s="722"/>
      <c r="AD1857" s="645" t="str">
        <f t="shared" si="52"/>
        <v>en término</v>
      </c>
    </row>
    <row r="1858" spans="1:39" s="649" customFormat="1" ht="54.95" customHeight="1" thickBot="1" x14ac:dyDescent="0.25">
      <c r="A1858" s="803"/>
      <c r="B1858" s="455" t="s">
        <v>36</v>
      </c>
      <c r="C1858" s="455" t="s">
        <v>133</v>
      </c>
      <c r="D1858" s="456" t="s">
        <v>2349</v>
      </c>
      <c r="E1858" s="501" t="s">
        <v>2350</v>
      </c>
      <c r="F1858" s="457">
        <v>4504069852</v>
      </c>
      <c r="G1858" s="457" t="s">
        <v>39</v>
      </c>
      <c r="H1858" s="458">
        <v>128587.9</v>
      </c>
      <c r="I1858" s="459" t="s">
        <v>62</v>
      </c>
      <c r="J1858" s="460">
        <v>40732</v>
      </c>
      <c r="K1858" s="461">
        <f t="shared" si="49"/>
        <v>96</v>
      </c>
      <c r="L1858" s="460">
        <v>40828</v>
      </c>
      <c r="M1858" s="460" t="s">
        <v>41</v>
      </c>
      <c r="N1858" s="457" t="s">
        <v>42</v>
      </c>
      <c r="O1858" s="460">
        <v>40815</v>
      </c>
      <c r="P1858" s="461">
        <f t="shared" si="50"/>
        <v>-4</v>
      </c>
      <c r="Q1858" s="461" t="s">
        <v>2552</v>
      </c>
      <c r="R1858" s="757">
        <v>40816</v>
      </c>
      <c r="S1858" s="471">
        <v>40824</v>
      </c>
      <c r="T1858" s="471">
        <v>40840</v>
      </c>
      <c r="U1858" s="461">
        <f t="shared" si="51"/>
        <v>108</v>
      </c>
      <c r="V1858" s="461" t="s">
        <v>1279</v>
      </c>
      <c r="W1858" s="493">
        <v>119</v>
      </c>
      <c r="X1858" s="467"/>
      <c r="Y1858" s="456">
        <v>40814</v>
      </c>
      <c r="Z1858" s="468">
        <v>3111221105</v>
      </c>
      <c r="AA1858" s="457" t="s">
        <v>47</v>
      </c>
      <c r="AB1858" s="460" t="s">
        <v>2553</v>
      </c>
      <c r="AC1858" s="722"/>
      <c r="AD1858" s="645" t="str">
        <f t="shared" si="52"/>
        <v>en término</v>
      </c>
    </row>
    <row r="1859" spans="1:39" s="649" customFormat="1" ht="54.95" customHeight="1" thickBot="1" x14ac:dyDescent="0.25">
      <c r="B1859" s="455" t="s">
        <v>36</v>
      </c>
      <c r="C1859" s="455" t="s">
        <v>133</v>
      </c>
      <c r="D1859" s="456" t="s">
        <v>2554</v>
      </c>
      <c r="E1859" s="501" t="s">
        <v>2555</v>
      </c>
      <c r="F1859" s="457">
        <v>4504178074</v>
      </c>
      <c r="G1859" s="457" t="s">
        <v>39</v>
      </c>
      <c r="H1859" s="458">
        <v>531586.89</v>
      </c>
      <c r="I1859" s="459" t="s">
        <v>52</v>
      </c>
      <c r="J1859" s="460">
        <v>40792</v>
      </c>
      <c r="K1859" s="461">
        <f t="shared" si="49"/>
        <v>94</v>
      </c>
      <c r="L1859" s="460">
        <v>40886</v>
      </c>
      <c r="M1859" s="460" t="s">
        <v>41</v>
      </c>
      <c r="N1859" s="457" t="s">
        <v>42</v>
      </c>
      <c r="O1859" s="460">
        <v>40850</v>
      </c>
      <c r="P1859" s="461">
        <f t="shared" si="50"/>
        <v>-28</v>
      </c>
      <c r="Q1859" s="461" t="s">
        <v>2556</v>
      </c>
      <c r="R1859" s="757"/>
      <c r="S1859" s="471">
        <v>40858</v>
      </c>
      <c r="T1859" s="462">
        <v>40882</v>
      </c>
      <c r="U1859" s="461">
        <f t="shared" si="51"/>
        <v>90</v>
      </c>
      <c r="V1859" s="461" t="s">
        <v>2557</v>
      </c>
      <c r="W1859" s="493">
        <v>128</v>
      </c>
      <c r="X1859" s="457"/>
      <c r="Y1859" s="456">
        <v>40854</v>
      </c>
      <c r="Z1859" s="468">
        <v>3111221142</v>
      </c>
      <c r="AA1859" s="811" t="s">
        <v>47</v>
      </c>
      <c r="AB1859" s="460" t="s">
        <v>47</v>
      </c>
      <c r="AC1859" s="722"/>
      <c r="AD1859" s="645" t="str">
        <f t="shared" si="52"/>
        <v>en término</v>
      </c>
    </row>
    <row r="1860" spans="1:39" s="649" customFormat="1" ht="54.95" customHeight="1" thickBot="1" x14ac:dyDescent="0.25">
      <c r="B1860" s="455" t="s">
        <v>36</v>
      </c>
      <c r="C1860" s="455" t="s">
        <v>133</v>
      </c>
      <c r="D1860" s="539" t="s">
        <v>2558</v>
      </c>
      <c r="E1860" s="809">
        <v>4504173178</v>
      </c>
      <c r="F1860" s="1038"/>
      <c r="G1860" s="457" t="s">
        <v>39</v>
      </c>
      <c r="H1860" s="1030">
        <v>190640.7</v>
      </c>
      <c r="I1860" s="810" t="s">
        <v>52</v>
      </c>
      <c r="J1860" s="745">
        <v>40788</v>
      </c>
      <c r="K1860" s="746">
        <f t="shared" si="49"/>
        <v>77</v>
      </c>
      <c r="L1860" s="745">
        <v>40865</v>
      </c>
      <c r="M1860" s="460" t="s">
        <v>41</v>
      </c>
      <c r="N1860" s="457" t="s">
        <v>42</v>
      </c>
      <c r="O1860" s="745">
        <v>40858</v>
      </c>
      <c r="P1860" s="461">
        <f t="shared" si="50"/>
        <v>-7</v>
      </c>
      <c r="Q1860" s="461" t="s">
        <v>2556</v>
      </c>
      <c r="R1860" s="757"/>
      <c r="S1860" s="471">
        <v>40858</v>
      </c>
      <c r="T1860" s="471">
        <v>40882</v>
      </c>
      <c r="U1860" s="461">
        <f t="shared" si="51"/>
        <v>94</v>
      </c>
      <c r="V1860" s="746" t="s">
        <v>921</v>
      </c>
      <c r="W1860" s="749">
        <v>129</v>
      </c>
      <c r="X1860" s="1038"/>
      <c r="Y1860" s="456">
        <v>40854</v>
      </c>
      <c r="Z1860" s="468">
        <v>3111221142</v>
      </c>
      <c r="AA1860" s="811" t="s">
        <v>47</v>
      </c>
      <c r="AB1860" s="460" t="s">
        <v>2018</v>
      </c>
      <c r="AC1860" s="754"/>
      <c r="AD1860" s="645" t="str">
        <f t="shared" si="52"/>
        <v>en término</v>
      </c>
    </row>
    <row r="1861" spans="1:39" s="649" customFormat="1" ht="54.95" customHeight="1" thickBot="1" x14ac:dyDescent="0.25">
      <c r="B1861" s="455" t="s">
        <v>36</v>
      </c>
      <c r="C1861" s="455" t="s">
        <v>133</v>
      </c>
      <c r="D1861" s="456" t="s">
        <v>2554</v>
      </c>
      <c r="E1861" s="501" t="s">
        <v>2555</v>
      </c>
      <c r="F1861" s="1038">
        <v>4504178119</v>
      </c>
      <c r="G1861" s="457" t="s">
        <v>39</v>
      </c>
      <c r="H1861" s="1030">
        <v>22026.67</v>
      </c>
      <c r="I1861" s="459" t="s">
        <v>52</v>
      </c>
      <c r="J1861" s="745">
        <v>40700</v>
      </c>
      <c r="K1861" s="746">
        <f t="shared" si="49"/>
        <v>186</v>
      </c>
      <c r="L1861" s="745">
        <v>40886</v>
      </c>
      <c r="M1861" s="460" t="s">
        <v>41</v>
      </c>
      <c r="N1861" s="457" t="s">
        <v>42</v>
      </c>
      <c r="O1861" s="745">
        <v>40872</v>
      </c>
      <c r="P1861" s="461">
        <f t="shared" si="50"/>
        <v>-4</v>
      </c>
      <c r="Q1861" s="461" t="s">
        <v>2559</v>
      </c>
      <c r="R1861" s="813"/>
      <c r="S1861" s="748">
        <v>40882</v>
      </c>
      <c r="T1861" s="747">
        <v>40896</v>
      </c>
      <c r="U1861" s="461">
        <f t="shared" si="51"/>
        <v>196</v>
      </c>
      <c r="V1861" s="746" t="s">
        <v>2560</v>
      </c>
      <c r="W1861" s="749">
        <v>132</v>
      </c>
      <c r="X1861" s="1038"/>
      <c r="Y1861" s="592"/>
      <c r="Z1861" s="468">
        <v>3111221153</v>
      </c>
      <c r="AA1861" s="811"/>
      <c r="AB1861" s="460" t="s">
        <v>2561</v>
      </c>
      <c r="AC1861" s="754"/>
      <c r="AD1861" s="645" t="str">
        <f t="shared" si="52"/>
        <v>en término</v>
      </c>
    </row>
    <row r="1862" spans="1:39" s="649" customFormat="1" ht="54.95" customHeight="1" thickBot="1" x14ac:dyDescent="0.25">
      <c r="B1862" s="455" t="s">
        <v>36</v>
      </c>
      <c r="C1862" s="455" t="s">
        <v>133</v>
      </c>
      <c r="D1862" s="456" t="s">
        <v>2554</v>
      </c>
      <c r="E1862" s="501" t="s">
        <v>2555</v>
      </c>
      <c r="F1862" s="457">
        <v>4504259782</v>
      </c>
      <c r="G1862" s="457" t="s">
        <v>39</v>
      </c>
      <c r="H1862" s="1030">
        <v>352686.83</v>
      </c>
      <c r="I1862" s="810" t="s">
        <v>40</v>
      </c>
      <c r="J1862" s="745">
        <v>40781</v>
      </c>
      <c r="K1862" s="746">
        <f t="shared" si="49"/>
        <v>102</v>
      </c>
      <c r="L1862" s="745">
        <v>40883</v>
      </c>
      <c r="M1862" s="460" t="s">
        <v>41</v>
      </c>
      <c r="N1862" s="457" t="s">
        <v>42</v>
      </c>
      <c r="O1862" s="745">
        <v>40872</v>
      </c>
      <c r="P1862" s="461">
        <f t="shared" si="50"/>
        <v>-1</v>
      </c>
      <c r="Q1862" s="746" t="s">
        <v>2559</v>
      </c>
      <c r="R1862" s="813"/>
      <c r="S1862" s="748">
        <v>40882</v>
      </c>
      <c r="T1862" s="747">
        <v>40896</v>
      </c>
      <c r="U1862" s="461">
        <f t="shared" si="51"/>
        <v>115</v>
      </c>
      <c r="V1862" s="746" t="s">
        <v>2562</v>
      </c>
      <c r="W1862" s="749">
        <v>133</v>
      </c>
      <c r="X1862" s="1038"/>
      <c r="Y1862" s="457" t="s">
        <v>2563</v>
      </c>
      <c r="Z1862" s="468">
        <v>3111221153</v>
      </c>
      <c r="AA1862" s="457" t="s">
        <v>47</v>
      </c>
      <c r="AB1862" s="460" t="s">
        <v>2564</v>
      </c>
      <c r="AC1862" s="754"/>
      <c r="AD1862" s="645" t="str">
        <f t="shared" si="52"/>
        <v>en término</v>
      </c>
    </row>
    <row r="1863" spans="1:39" s="649" customFormat="1" ht="54.95" customHeight="1" thickBot="1" x14ac:dyDescent="0.25">
      <c r="B1863" s="455" t="s">
        <v>36</v>
      </c>
      <c r="C1863" s="455" t="s">
        <v>133</v>
      </c>
      <c r="D1863" s="456" t="s">
        <v>2554</v>
      </c>
      <c r="E1863" s="501" t="s">
        <v>2555</v>
      </c>
      <c r="F1863" s="457">
        <v>4504194291</v>
      </c>
      <c r="G1863" s="457" t="s">
        <v>39</v>
      </c>
      <c r="H1863" s="458">
        <v>50673.53</v>
      </c>
      <c r="I1863" s="459" t="s">
        <v>142</v>
      </c>
      <c r="J1863" s="814">
        <v>40805</v>
      </c>
      <c r="K1863" s="461">
        <f t="shared" si="49"/>
        <v>91</v>
      </c>
      <c r="L1863" s="460">
        <v>40896</v>
      </c>
      <c r="M1863" s="460" t="s">
        <v>41</v>
      </c>
      <c r="N1863" s="457" t="s">
        <v>42</v>
      </c>
      <c r="O1863" s="745">
        <v>40890</v>
      </c>
      <c r="P1863" s="461">
        <f t="shared" si="50"/>
        <v>3</v>
      </c>
      <c r="Q1863" s="461" t="s">
        <v>2565</v>
      </c>
      <c r="R1863" s="757"/>
      <c r="S1863" s="471">
        <v>40899</v>
      </c>
      <c r="T1863" s="462">
        <v>40917</v>
      </c>
      <c r="U1863" s="461">
        <f t="shared" si="51"/>
        <v>112</v>
      </c>
      <c r="V1863" s="461" t="s">
        <v>2566</v>
      </c>
      <c r="W1863" s="493">
        <v>141</v>
      </c>
      <c r="X1863" s="457"/>
      <c r="Y1863" s="457"/>
      <c r="Z1863" s="468">
        <v>5843939183</v>
      </c>
      <c r="AA1863" s="457"/>
      <c r="AB1863" s="460" t="s">
        <v>2567</v>
      </c>
      <c r="AC1863" s="722"/>
      <c r="AD1863" s="645" t="str">
        <f t="shared" si="52"/>
        <v>atrasado</v>
      </c>
    </row>
    <row r="1864" spans="1:39" s="649" customFormat="1" ht="54.95" customHeight="1" thickBot="1" x14ac:dyDescent="0.25">
      <c r="B1864" s="455" t="s">
        <v>36</v>
      </c>
      <c r="C1864" s="455" t="s">
        <v>133</v>
      </c>
      <c r="D1864" s="456" t="s">
        <v>2554</v>
      </c>
      <c r="E1864" s="501" t="s">
        <v>2555</v>
      </c>
      <c r="F1864" s="457">
        <v>4504225892</v>
      </c>
      <c r="G1864" s="457" t="s">
        <v>39</v>
      </c>
      <c r="H1864" s="458">
        <v>11382.74</v>
      </c>
      <c r="I1864" s="459" t="s">
        <v>52</v>
      </c>
      <c r="J1864" s="460">
        <v>40820</v>
      </c>
      <c r="K1864" s="461">
        <f t="shared" si="49"/>
        <v>69</v>
      </c>
      <c r="L1864" s="460">
        <v>40889</v>
      </c>
      <c r="M1864" s="460" t="s">
        <v>41</v>
      </c>
      <c r="N1864" s="457" t="s">
        <v>42</v>
      </c>
      <c r="O1864" s="460">
        <v>40890</v>
      </c>
      <c r="P1864" s="461">
        <f t="shared" si="50"/>
        <v>10</v>
      </c>
      <c r="Q1864" s="461" t="s">
        <v>2565</v>
      </c>
      <c r="R1864" s="757"/>
      <c r="S1864" s="471">
        <v>40899</v>
      </c>
      <c r="T1864" s="462">
        <v>40917</v>
      </c>
      <c r="U1864" s="461">
        <f t="shared" si="51"/>
        <v>97</v>
      </c>
      <c r="V1864" s="461" t="s">
        <v>2568</v>
      </c>
      <c r="W1864" s="493">
        <v>138</v>
      </c>
      <c r="X1864" s="457" t="s">
        <v>47</v>
      </c>
      <c r="Y1864" s="592"/>
      <c r="Z1864" s="468">
        <v>5843939183</v>
      </c>
      <c r="AA1864" s="457"/>
      <c r="AB1864" s="589" t="s">
        <v>2569</v>
      </c>
      <c r="AC1864" s="722"/>
      <c r="AD1864" s="645" t="str">
        <f t="shared" si="52"/>
        <v>atrasado</v>
      </c>
    </row>
    <row r="1865" spans="1:39" s="649" customFormat="1" ht="54.95" customHeight="1" thickBot="1" x14ac:dyDescent="0.25">
      <c r="B1865" s="455" t="s">
        <v>36</v>
      </c>
      <c r="C1865" s="455" t="s">
        <v>133</v>
      </c>
      <c r="D1865" s="456" t="s">
        <v>2554</v>
      </c>
      <c r="E1865" s="501" t="s">
        <v>2555</v>
      </c>
      <c r="F1865" s="457">
        <v>4504201444</v>
      </c>
      <c r="G1865" s="457" t="s">
        <v>39</v>
      </c>
      <c r="H1865" s="458">
        <v>292498.46000000002</v>
      </c>
      <c r="I1865" s="459" t="s">
        <v>142</v>
      </c>
      <c r="J1865" s="460">
        <v>40809</v>
      </c>
      <c r="K1865" s="461">
        <f t="shared" si="49"/>
        <v>109</v>
      </c>
      <c r="L1865" s="460">
        <v>40918</v>
      </c>
      <c r="M1865" s="460" t="s">
        <v>41</v>
      </c>
      <c r="N1865" s="457" t="s">
        <v>42</v>
      </c>
      <c r="O1865" s="745">
        <v>40890</v>
      </c>
      <c r="P1865" s="461">
        <f t="shared" si="50"/>
        <v>-19</v>
      </c>
      <c r="Q1865" s="461" t="s">
        <v>2565</v>
      </c>
      <c r="R1865" s="757"/>
      <c r="S1865" s="471">
        <v>40899</v>
      </c>
      <c r="T1865" s="462">
        <v>40917</v>
      </c>
      <c r="U1865" s="461">
        <f t="shared" si="51"/>
        <v>108</v>
      </c>
      <c r="V1865" s="461" t="s">
        <v>2570</v>
      </c>
      <c r="W1865" s="493">
        <v>143</v>
      </c>
      <c r="X1865" s="457" t="s">
        <v>47</v>
      </c>
      <c r="Y1865" s="457"/>
      <c r="Z1865" s="468">
        <v>5843939183</v>
      </c>
      <c r="AA1865" s="457" t="s">
        <v>47</v>
      </c>
      <c r="AB1865" s="460" t="s">
        <v>2564</v>
      </c>
      <c r="AC1865" s="722"/>
      <c r="AD1865" s="645" t="str">
        <f t="shared" si="52"/>
        <v>en término</v>
      </c>
    </row>
    <row r="1866" spans="1:39" s="649" customFormat="1" ht="54.95" customHeight="1" thickBot="1" x14ac:dyDescent="0.25">
      <c r="B1866" s="455" t="s">
        <v>36</v>
      </c>
      <c r="C1866" s="455" t="s">
        <v>133</v>
      </c>
      <c r="D1866" s="456" t="s">
        <v>2554</v>
      </c>
      <c r="E1866" s="501" t="s">
        <v>2555</v>
      </c>
      <c r="F1866" s="457">
        <v>4504203035</v>
      </c>
      <c r="G1866" s="457" t="s">
        <v>39</v>
      </c>
      <c r="H1866" s="458">
        <v>43046.26</v>
      </c>
      <c r="I1866" s="459" t="s">
        <v>62</v>
      </c>
      <c r="J1866" s="460">
        <v>40873</v>
      </c>
      <c r="K1866" s="461">
        <f t="shared" si="49"/>
        <v>4</v>
      </c>
      <c r="L1866" s="460">
        <v>40877</v>
      </c>
      <c r="M1866" s="460" t="s">
        <v>41</v>
      </c>
      <c r="N1866" s="457" t="s">
        <v>42</v>
      </c>
      <c r="O1866" s="460">
        <v>40890</v>
      </c>
      <c r="P1866" s="461">
        <f t="shared" si="50"/>
        <v>22</v>
      </c>
      <c r="Q1866" s="461" t="s">
        <v>2565</v>
      </c>
      <c r="R1866" s="757"/>
      <c r="S1866" s="471">
        <v>40899</v>
      </c>
      <c r="T1866" s="462">
        <v>40917</v>
      </c>
      <c r="U1866" s="461">
        <f t="shared" si="51"/>
        <v>44</v>
      </c>
      <c r="V1866" s="461" t="s">
        <v>921</v>
      </c>
      <c r="W1866" s="493">
        <v>137</v>
      </c>
      <c r="X1866" s="457" t="s">
        <v>47</v>
      </c>
      <c r="Y1866" s="457"/>
      <c r="Z1866" s="468">
        <v>5843939183</v>
      </c>
      <c r="AA1866" s="457" t="s">
        <v>47</v>
      </c>
      <c r="AB1866" s="460" t="s">
        <v>2571</v>
      </c>
      <c r="AC1866" s="722"/>
      <c r="AD1866" s="645" t="str">
        <f t="shared" si="52"/>
        <v>atrasado</v>
      </c>
    </row>
    <row r="1867" spans="1:39" s="649" customFormat="1" ht="54.95" customHeight="1" thickBot="1" x14ac:dyDescent="0.25">
      <c r="B1867" s="455" t="s">
        <v>36</v>
      </c>
      <c r="C1867" s="455" t="s">
        <v>133</v>
      </c>
      <c r="D1867" s="456" t="s">
        <v>2554</v>
      </c>
      <c r="E1867" s="501" t="s">
        <v>2555</v>
      </c>
      <c r="F1867" s="457">
        <v>4504185732</v>
      </c>
      <c r="G1867" s="457" t="s">
        <v>39</v>
      </c>
      <c r="H1867" s="1030">
        <v>48571.21</v>
      </c>
      <c r="I1867" s="459" t="s">
        <v>142</v>
      </c>
      <c r="J1867" s="745">
        <v>40798</v>
      </c>
      <c r="K1867" s="746">
        <f t="shared" si="49"/>
        <v>93</v>
      </c>
      <c r="L1867" s="745">
        <v>40891</v>
      </c>
      <c r="M1867" s="460" t="s">
        <v>41</v>
      </c>
      <c r="N1867" s="457" t="s">
        <v>42</v>
      </c>
      <c r="O1867" s="745">
        <v>40890</v>
      </c>
      <c r="P1867" s="461">
        <f t="shared" si="50"/>
        <v>8</v>
      </c>
      <c r="Q1867" s="461" t="s">
        <v>2565</v>
      </c>
      <c r="R1867" s="757"/>
      <c r="S1867" s="471">
        <v>40899</v>
      </c>
      <c r="T1867" s="462">
        <v>40917</v>
      </c>
      <c r="U1867" s="461">
        <f t="shared" si="51"/>
        <v>119</v>
      </c>
      <c r="V1867" s="746" t="s">
        <v>2572</v>
      </c>
      <c r="W1867" s="749">
        <v>139</v>
      </c>
      <c r="X1867" s="1038" t="s">
        <v>47</v>
      </c>
      <c r="Y1867" s="457"/>
      <c r="Z1867" s="468">
        <v>5843939183</v>
      </c>
      <c r="AA1867" s="457" t="s">
        <v>47</v>
      </c>
      <c r="AB1867" s="460" t="s">
        <v>2573</v>
      </c>
      <c r="AC1867" s="754"/>
      <c r="AD1867" s="645" t="str">
        <f t="shared" si="52"/>
        <v>atrasado</v>
      </c>
    </row>
    <row r="1868" spans="1:39" s="649" customFormat="1" ht="54.95" customHeight="1" thickBot="1" x14ac:dyDescent="0.25">
      <c r="B1868" s="1043" t="s">
        <v>36</v>
      </c>
      <c r="C1868" s="1043" t="s">
        <v>133</v>
      </c>
      <c r="D1868" s="456" t="s">
        <v>2554</v>
      </c>
      <c r="E1868" s="501" t="s">
        <v>2555</v>
      </c>
      <c r="F1868" s="457">
        <v>4504205920</v>
      </c>
      <c r="G1868" s="457" t="s">
        <v>39</v>
      </c>
      <c r="H1868" s="458">
        <v>22182.86</v>
      </c>
      <c r="I1868" s="459" t="s">
        <v>62</v>
      </c>
      <c r="J1868" s="460">
        <v>40813</v>
      </c>
      <c r="K1868" s="461">
        <f t="shared" si="49"/>
        <v>92</v>
      </c>
      <c r="L1868" s="460">
        <v>40905</v>
      </c>
      <c r="M1868" s="460" t="s">
        <v>41</v>
      </c>
      <c r="N1868" s="457" t="s">
        <v>42</v>
      </c>
      <c r="O1868" s="460">
        <v>40890</v>
      </c>
      <c r="P1868" s="461">
        <f t="shared" si="50"/>
        <v>-6</v>
      </c>
      <c r="Q1868" s="461" t="s">
        <v>2565</v>
      </c>
      <c r="R1868" s="757"/>
      <c r="S1868" s="471">
        <v>40899</v>
      </c>
      <c r="T1868" s="462">
        <v>40917</v>
      </c>
      <c r="U1868" s="461">
        <f t="shared" si="51"/>
        <v>104</v>
      </c>
      <c r="V1868" s="461" t="s">
        <v>597</v>
      </c>
      <c r="W1868" s="493">
        <v>142</v>
      </c>
      <c r="X1868" s="457" t="s">
        <v>47</v>
      </c>
      <c r="Y1868" s="592"/>
      <c r="Z1868" s="468">
        <v>5843939183</v>
      </c>
      <c r="AA1868" s="457" t="s">
        <v>47</v>
      </c>
      <c r="AB1868" s="460" t="s">
        <v>2573</v>
      </c>
      <c r="AC1868" s="722"/>
      <c r="AD1868" s="645" t="str">
        <f t="shared" si="52"/>
        <v>en término</v>
      </c>
    </row>
    <row r="1869" spans="1:39" s="649" customFormat="1" ht="54.95" customHeight="1" thickBot="1" x14ac:dyDescent="0.25">
      <c r="B1869" s="455" t="s">
        <v>36</v>
      </c>
      <c r="C1869" s="455" t="s">
        <v>133</v>
      </c>
      <c r="D1869" s="456" t="s">
        <v>2554</v>
      </c>
      <c r="E1869" s="501" t="s">
        <v>2555</v>
      </c>
      <c r="F1869" s="457">
        <v>4504225022</v>
      </c>
      <c r="G1869" s="457" t="s">
        <v>39</v>
      </c>
      <c r="H1869" s="458">
        <v>554348.84</v>
      </c>
      <c r="I1869" s="459" t="s">
        <v>62</v>
      </c>
      <c r="J1869" s="460">
        <v>40820</v>
      </c>
      <c r="K1869" s="812">
        <f t="shared" si="49"/>
        <v>76</v>
      </c>
      <c r="L1869" s="460">
        <v>40896</v>
      </c>
      <c r="M1869" s="460" t="s">
        <v>41</v>
      </c>
      <c r="N1869" s="457" t="s">
        <v>42</v>
      </c>
      <c r="O1869" s="460">
        <v>40890</v>
      </c>
      <c r="P1869" s="461">
        <f t="shared" si="50"/>
        <v>3</v>
      </c>
      <c r="Q1869" s="461" t="s">
        <v>2565</v>
      </c>
      <c r="R1869" s="757"/>
      <c r="S1869" s="471">
        <v>40899</v>
      </c>
      <c r="T1869" s="462">
        <v>40917</v>
      </c>
      <c r="U1869" s="461">
        <f t="shared" si="51"/>
        <v>97</v>
      </c>
      <c r="V1869" s="461" t="s">
        <v>2574</v>
      </c>
      <c r="W1869" s="493">
        <v>140</v>
      </c>
      <c r="X1869" s="457" t="s">
        <v>47</v>
      </c>
      <c r="Y1869" s="457"/>
      <c r="Z1869" s="468">
        <v>5843939183</v>
      </c>
      <c r="AA1869" s="457" t="s">
        <v>47</v>
      </c>
      <c r="AB1869" s="460" t="s">
        <v>2573</v>
      </c>
      <c r="AC1869" s="722"/>
      <c r="AD1869" s="645" t="str">
        <f t="shared" si="52"/>
        <v>atrasado</v>
      </c>
    </row>
    <row r="1870" spans="1:39" ht="12.75" x14ac:dyDescent="0.2">
      <c r="B1870" s="9"/>
      <c r="C1870" s="9"/>
      <c r="D1870" s="9"/>
      <c r="E1870" s="9"/>
      <c r="F1870" s="10"/>
      <c r="G1870" s="10"/>
      <c r="H1870" s="9"/>
      <c r="I1870" s="10"/>
      <c r="J1870" s="9"/>
      <c r="K1870" s="9"/>
      <c r="L1870" s="9"/>
      <c r="M1870" s="9"/>
      <c r="N1870" s="9"/>
      <c r="O1870" s="9"/>
      <c r="P1870" s="9"/>
      <c r="Q1870" s="9"/>
      <c r="R1870" s="9"/>
      <c r="S1870" s="9"/>
      <c r="T1870" s="9"/>
      <c r="U1870" s="9"/>
      <c r="V1870" s="9"/>
      <c r="W1870" s="10"/>
      <c r="X1870" s="10"/>
      <c r="Y1870" s="10"/>
      <c r="Z1870" s="9"/>
      <c r="AA1870" s="1049"/>
      <c r="AB1870" s="742"/>
      <c r="AC1870" s="10"/>
      <c r="AD1870" s="10"/>
      <c r="AE1870" s="9"/>
      <c r="AF1870" s="9"/>
      <c r="AG1870" s="9"/>
      <c r="AH1870" s="9"/>
      <c r="AI1870" s="9"/>
      <c r="AJ1870" s="9"/>
      <c r="AK1870" s="9"/>
      <c r="AL1870" s="9"/>
      <c r="AM1870" s="9"/>
    </row>
    <row r="1871" spans="1:39" x14ac:dyDescent="0.2">
      <c r="B1871" s="9"/>
      <c r="C1871" s="9"/>
      <c r="D1871" s="9"/>
      <c r="E1871" s="9"/>
      <c r="F1871" s="10"/>
      <c r="G1871" s="10"/>
      <c r="H1871" s="9"/>
      <c r="I1871" s="10"/>
      <c r="J1871" s="9"/>
      <c r="K1871" s="9"/>
      <c r="L1871" s="9"/>
      <c r="M1871" s="9"/>
      <c r="N1871" s="9"/>
      <c r="O1871" s="9"/>
      <c r="P1871" s="9"/>
      <c r="Q1871" s="9"/>
      <c r="R1871" s="9"/>
      <c r="S1871" s="9"/>
      <c r="T1871" s="9"/>
      <c r="U1871" s="9"/>
      <c r="V1871" s="9"/>
      <c r="W1871" s="10"/>
      <c r="X1871" s="10"/>
      <c r="Y1871" s="10"/>
      <c r="Z1871" s="9"/>
      <c r="AA1871" s="9"/>
      <c r="AB1871" s="9"/>
      <c r="AC1871" s="10"/>
      <c r="AD1871" s="10"/>
      <c r="AE1871" s="9"/>
      <c r="AF1871" s="9"/>
      <c r="AG1871" s="9"/>
      <c r="AH1871" s="9"/>
      <c r="AI1871" s="9"/>
      <c r="AJ1871" s="9"/>
      <c r="AK1871" s="9"/>
      <c r="AL1871" s="9"/>
      <c r="AM1871" s="9"/>
    </row>
    <row r="1872" spans="1:39" x14ac:dyDescent="0.2">
      <c r="B1872" s="9"/>
      <c r="C1872" s="9"/>
      <c r="D1872" s="9"/>
      <c r="E1872" s="9"/>
      <c r="F1872" s="10"/>
      <c r="G1872" s="10"/>
      <c r="H1872" s="9"/>
      <c r="I1872" s="10"/>
      <c r="J1872" s="9"/>
      <c r="K1872" s="9"/>
      <c r="L1872" s="9"/>
      <c r="M1872" s="9"/>
      <c r="N1872" s="9"/>
      <c r="O1872" s="9"/>
      <c r="P1872" s="9"/>
      <c r="Q1872" s="9"/>
      <c r="R1872" s="9"/>
      <c r="S1872" s="9"/>
      <c r="T1872" s="9"/>
      <c r="U1872" s="9"/>
      <c r="V1872" s="9"/>
      <c r="W1872" s="10"/>
      <c r="X1872" s="10"/>
      <c r="Y1872" s="10"/>
      <c r="Z1872" s="9"/>
      <c r="AA1872" s="743">
        <v>2011</v>
      </c>
      <c r="AB1872" s="9"/>
      <c r="AC1872" s="10"/>
      <c r="AD1872" s="10"/>
      <c r="AE1872" s="9"/>
      <c r="AF1872" s="9"/>
      <c r="AG1872" s="9"/>
      <c r="AH1872" s="9"/>
      <c r="AI1872" s="9"/>
      <c r="AJ1872" s="9"/>
      <c r="AK1872" s="9"/>
      <c r="AL1872" s="9"/>
      <c r="AM1872" s="9"/>
    </row>
    <row r="1873" spans="1:39" ht="12.75" x14ac:dyDescent="0.2">
      <c r="B1873" s="9"/>
      <c r="C1873" s="9"/>
      <c r="D1873" s="9"/>
      <c r="E1873" s="9"/>
      <c r="F1873" s="10"/>
      <c r="G1873" s="10"/>
      <c r="H1873" s="9"/>
      <c r="I1873" s="10">
        <f>388.57+152.02+947.02+113.83+1663.05</f>
        <v>3264.49</v>
      </c>
      <c r="J1873" s="9"/>
      <c r="K1873" s="9"/>
      <c r="L1873" s="9"/>
      <c r="M1873" s="9"/>
      <c r="N1873" s="9"/>
      <c r="O1873" s="9"/>
      <c r="P1873" s="9"/>
      <c r="Q1873" s="9"/>
      <c r="R1873" s="9"/>
      <c r="S1873" s="9"/>
      <c r="T1873" s="9"/>
      <c r="U1873" s="9"/>
      <c r="V1873" s="9"/>
      <c r="W1873" s="10"/>
      <c r="X1873" s="10"/>
      <c r="Y1873" s="10"/>
      <c r="Z1873" s="9"/>
      <c r="AA1873" s="1049" t="s">
        <v>813</v>
      </c>
      <c r="AB1873" s="1050">
        <f>COUNTA(AD1780:AD1870)</f>
        <v>90</v>
      </c>
      <c r="AC1873" s="1050"/>
      <c r="AD1873" s="10"/>
      <c r="AE1873" s="9"/>
      <c r="AF1873" s="9"/>
      <c r="AG1873" s="9"/>
      <c r="AH1873" s="9"/>
      <c r="AI1873" s="9"/>
      <c r="AJ1873" s="9"/>
      <c r="AK1873" s="9"/>
      <c r="AL1873" s="9"/>
      <c r="AM1873" s="9"/>
    </row>
    <row r="1874" spans="1:39" ht="12.75" x14ac:dyDescent="0.2">
      <c r="B1874" s="9"/>
      <c r="C1874" s="9"/>
      <c r="D1874" s="9"/>
      <c r="E1874" s="9"/>
      <c r="F1874" s="10"/>
      <c r="G1874" s="10"/>
      <c r="H1874" s="9"/>
      <c r="I1874" s="10"/>
      <c r="J1874" s="9"/>
      <c r="K1874" s="9"/>
      <c r="L1874" s="9"/>
      <c r="M1874" s="9"/>
      <c r="N1874" s="9"/>
      <c r="O1874" s="9"/>
      <c r="P1874" s="9"/>
      <c r="Q1874" s="9"/>
      <c r="R1874" s="9"/>
      <c r="S1874" s="9"/>
      <c r="T1874" s="9"/>
      <c r="U1874" s="9"/>
      <c r="V1874" s="9"/>
      <c r="W1874" s="10"/>
      <c r="X1874" s="10"/>
      <c r="Y1874" s="10"/>
      <c r="Z1874" s="9"/>
      <c r="AA1874" s="1049" t="s">
        <v>815</v>
      </c>
      <c r="AB1874" s="1050">
        <f>COUNTIF(AD1780:AD1870,"en término")</f>
        <v>60</v>
      </c>
      <c r="AC1874" s="1050"/>
      <c r="AD1874" s="10"/>
      <c r="AE1874" s="9"/>
      <c r="AF1874" s="9"/>
      <c r="AG1874" s="9"/>
      <c r="AH1874" s="9"/>
      <c r="AI1874" s="9"/>
      <c r="AJ1874" s="9"/>
      <c r="AK1874" s="9"/>
      <c r="AL1874" s="9"/>
      <c r="AM1874" s="9"/>
    </row>
    <row r="1875" spans="1:39" ht="12.75" x14ac:dyDescent="0.2">
      <c r="B1875" s="9"/>
      <c r="C1875" s="9"/>
      <c r="D1875" s="9"/>
      <c r="E1875" s="9"/>
      <c r="F1875" s="10"/>
      <c r="G1875" s="10"/>
      <c r="H1875" s="9"/>
      <c r="I1875" s="10"/>
      <c r="J1875" s="9"/>
      <c r="K1875" s="9"/>
      <c r="L1875" s="9"/>
      <c r="M1875" s="9"/>
      <c r="N1875" s="9"/>
      <c r="O1875" s="9"/>
      <c r="P1875" s="9"/>
      <c r="Q1875" s="9"/>
      <c r="R1875" s="9"/>
      <c r="S1875" s="9"/>
      <c r="T1875" s="9"/>
      <c r="U1875" s="9"/>
      <c r="V1875" s="9"/>
      <c r="W1875" s="10"/>
      <c r="X1875" s="10"/>
      <c r="Y1875" s="10"/>
      <c r="Z1875" s="9"/>
      <c r="AA1875" s="1049" t="s">
        <v>817</v>
      </c>
      <c r="AB1875" s="742">
        <f>+AB1874/AB1873</f>
        <v>0.66666666666666663</v>
      </c>
      <c r="AC1875" s="742"/>
      <c r="AD1875" s="10"/>
      <c r="AE1875" s="9"/>
      <c r="AF1875" s="9"/>
      <c r="AG1875" s="9"/>
      <c r="AH1875" s="9"/>
      <c r="AI1875" s="9"/>
      <c r="AJ1875" s="9"/>
      <c r="AK1875" s="9"/>
      <c r="AL1875" s="9"/>
      <c r="AM1875" s="9"/>
    </row>
    <row r="1876" spans="1:39" x14ac:dyDescent="0.2">
      <c r="B1876" s="9"/>
      <c r="C1876" s="9"/>
      <c r="D1876" s="9"/>
      <c r="E1876" s="9"/>
      <c r="F1876" s="10"/>
      <c r="G1876" s="10"/>
      <c r="H1876" s="9"/>
      <c r="I1876" s="10"/>
      <c r="J1876" s="9"/>
      <c r="K1876" s="9"/>
      <c r="L1876" s="9"/>
      <c r="M1876" s="9"/>
      <c r="N1876" s="9"/>
      <c r="O1876" s="9"/>
      <c r="P1876" s="9"/>
      <c r="Q1876" s="9"/>
      <c r="R1876" s="9"/>
      <c r="S1876" s="9"/>
      <c r="T1876" s="9"/>
      <c r="U1876" s="9"/>
      <c r="V1876" s="9"/>
      <c r="W1876" s="10"/>
      <c r="X1876" s="10"/>
      <c r="Y1876" s="10"/>
      <c r="Z1876" s="9"/>
      <c r="AA1876" s="9"/>
      <c r="AB1876" s="9"/>
      <c r="AC1876" s="10"/>
      <c r="AD1876" s="10"/>
      <c r="AE1876" s="9"/>
      <c r="AF1876" s="9"/>
      <c r="AG1876" s="9"/>
      <c r="AH1876" s="9"/>
      <c r="AI1876" s="9"/>
      <c r="AJ1876" s="9"/>
      <c r="AK1876" s="9"/>
      <c r="AL1876" s="9"/>
      <c r="AM1876" s="9"/>
    </row>
    <row r="1877" spans="1:39" x14ac:dyDescent="0.2">
      <c r="B1877" s="9"/>
      <c r="C1877" s="9"/>
      <c r="D1877" s="9"/>
      <c r="E1877" s="9"/>
      <c r="F1877" s="10"/>
      <c r="G1877" s="10"/>
      <c r="H1877" s="9"/>
      <c r="I1877" s="10"/>
      <c r="J1877" s="9"/>
      <c r="K1877" s="9"/>
      <c r="L1877" s="9"/>
      <c r="M1877" s="9"/>
      <c r="N1877" s="9"/>
      <c r="O1877" s="9"/>
      <c r="P1877" s="9"/>
      <c r="Q1877" s="9"/>
      <c r="R1877" s="9"/>
      <c r="S1877" s="9"/>
      <c r="T1877" s="9"/>
      <c r="U1877" s="9"/>
      <c r="V1877" s="9"/>
      <c r="W1877" s="10"/>
      <c r="X1877" s="10"/>
      <c r="Y1877" s="10"/>
      <c r="Z1877" s="9"/>
      <c r="AA1877" s="9"/>
      <c r="AB1877" s="9"/>
      <c r="AC1877" s="10"/>
      <c r="AD1877" s="10"/>
      <c r="AE1877" s="9"/>
      <c r="AF1877" s="9"/>
      <c r="AG1877" s="9"/>
      <c r="AH1877" s="9"/>
      <c r="AI1877" s="9"/>
      <c r="AJ1877" s="9"/>
      <c r="AK1877" s="9"/>
      <c r="AL1877" s="9"/>
      <c r="AM1877" s="9"/>
    </row>
    <row r="1878" spans="1:39" ht="12" thickBot="1" x14ac:dyDescent="0.25">
      <c r="B1878" s="9"/>
      <c r="C1878" s="9"/>
      <c r="D1878" s="9"/>
      <c r="E1878" s="9"/>
      <c r="F1878" s="10"/>
      <c r="G1878" s="10"/>
      <c r="H1878" s="9"/>
      <c r="I1878" s="10"/>
      <c r="J1878" s="9"/>
      <c r="K1878" s="9"/>
      <c r="L1878" s="9"/>
      <c r="M1878" s="9"/>
      <c r="N1878" s="9"/>
      <c r="O1878" s="9"/>
      <c r="P1878" s="9"/>
      <c r="Q1878" s="9"/>
      <c r="R1878" s="9"/>
      <c r="S1878" s="9"/>
      <c r="T1878" s="9"/>
      <c r="U1878" s="9"/>
      <c r="V1878" s="9"/>
      <c r="W1878" s="10"/>
      <c r="X1878" s="10"/>
      <c r="Y1878" s="10"/>
      <c r="Z1878" s="9"/>
      <c r="AA1878" s="9"/>
      <c r="AB1878" s="9"/>
      <c r="AC1878" s="10"/>
      <c r="AD1878" s="10"/>
      <c r="AE1878" s="9"/>
      <c r="AF1878" s="9"/>
      <c r="AG1878" s="9"/>
      <c r="AH1878" s="9"/>
      <c r="AI1878" s="9"/>
      <c r="AJ1878" s="9"/>
      <c r="AK1878" s="9"/>
      <c r="AL1878" s="9"/>
      <c r="AM1878" s="9"/>
    </row>
    <row r="1879" spans="1:39" s="556" customFormat="1" ht="39.950000000000003" customHeight="1" thickBot="1" x14ac:dyDescent="0.4">
      <c r="A1879" s="554"/>
      <c r="B1879" s="1611">
        <v>2012</v>
      </c>
      <c r="C1879" s="1612"/>
      <c r="D1879" s="1612"/>
      <c r="E1879" s="1612"/>
      <c r="F1879" s="1612"/>
      <c r="G1879" s="1612"/>
      <c r="H1879" s="1612"/>
      <c r="I1879" s="1612"/>
      <c r="J1879" s="1612"/>
      <c r="K1879" s="1612"/>
      <c r="L1879" s="1612"/>
      <c r="M1879" s="1612"/>
      <c r="N1879" s="1612"/>
      <c r="O1879" s="1612"/>
      <c r="P1879" s="1612"/>
      <c r="Q1879" s="1612"/>
      <c r="R1879" s="1612"/>
      <c r="S1879" s="1612"/>
      <c r="T1879" s="1612"/>
      <c r="U1879" s="1612"/>
      <c r="V1879" s="1612"/>
      <c r="W1879" s="1612"/>
      <c r="X1879" s="1612"/>
      <c r="Y1879" s="1612"/>
      <c r="Z1879" s="1612"/>
      <c r="AA1879" s="1612"/>
      <c r="AB1879" s="1612"/>
      <c r="AC1879" s="1613"/>
      <c r="AD1879" s="555"/>
    </row>
    <row r="1880" spans="1:39" s="441" customFormat="1" ht="60" customHeight="1" thickBot="1" x14ac:dyDescent="0.25">
      <c r="A1880" s="438"/>
      <c r="B1880" s="451" t="s">
        <v>130</v>
      </c>
      <c r="C1880" s="451" t="s">
        <v>4</v>
      </c>
      <c r="D1880" s="451" t="s">
        <v>5</v>
      </c>
      <c r="E1880" s="451" t="s">
        <v>6</v>
      </c>
      <c r="F1880" s="451" t="s">
        <v>7</v>
      </c>
      <c r="G1880" s="451" t="s">
        <v>8</v>
      </c>
      <c r="H1880" s="453" t="s">
        <v>9</v>
      </c>
      <c r="I1880" s="453" t="s">
        <v>10</v>
      </c>
      <c r="J1880" s="451" t="s">
        <v>11</v>
      </c>
      <c r="K1880" s="451" t="s">
        <v>12</v>
      </c>
      <c r="L1880" s="451" t="s">
        <v>13</v>
      </c>
      <c r="M1880" s="451" t="s">
        <v>14</v>
      </c>
      <c r="N1880" s="451" t="s">
        <v>15</v>
      </c>
      <c r="O1880" s="452" t="s">
        <v>16</v>
      </c>
      <c r="P1880" s="454" t="s">
        <v>17</v>
      </c>
      <c r="Q1880" s="451" t="s">
        <v>18</v>
      </c>
      <c r="R1880" s="452" t="s">
        <v>19</v>
      </c>
      <c r="S1880" s="451" t="s">
        <v>20</v>
      </c>
      <c r="T1880" s="451" t="s">
        <v>21</v>
      </c>
      <c r="U1880" s="452" t="s">
        <v>22</v>
      </c>
      <c r="V1880" s="451" t="s">
        <v>131</v>
      </c>
      <c r="W1880" s="451" t="s">
        <v>24</v>
      </c>
      <c r="X1880" s="451" t="s">
        <v>132</v>
      </c>
      <c r="Y1880" s="451" t="s">
        <v>26</v>
      </c>
      <c r="Z1880" s="451" t="s">
        <v>27</v>
      </c>
      <c r="AA1880" s="451" t="s">
        <v>28</v>
      </c>
      <c r="AB1880" s="451" t="s">
        <v>29</v>
      </c>
      <c r="AC1880" s="451" t="s">
        <v>30</v>
      </c>
      <c r="AD1880" s="439"/>
      <c r="AE1880" s="440"/>
      <c r="AF1880" s="440"/>
      <c r="AG1880" s="440"/>
      <c r="AH1880" s="440"/>
      <c r="AI1880" s="440"/>
      <c r="AJ1880" s="440"/>
      <c r="AK1880" s="440"/>
      <c r="AL1880" s="440"/>
      <c r="AM1880" s="440"/>
    </row>
    <row r="1881" spans="1:39" s="649" customFormat="1" ht="54.95" customHeight="1" thickBot="1" x14ac:dyDescent="0.25">
      <c r="B1881" s="474" t="s">
        <v>36</v>
      </c>
      <c r="C1881" s="455" t="s">
        <v>133</v>
      </c>
      <c r="D1881" s="456" t="s">
        <v>2554</v>
      </c>
      <c r="E1881" s="501" t="s">
        <v>2555</v>
      </c>
      <c r="F1881" s="457">
        <v>4504281782</v>
      </c>
      <c r="G1881" s="457" t="s">
        <v>39</v>
      </c>
      <c r="H1881" s="458">
        <v>11429.69</v>
      </c>
      <c r="I1881" s="459" t="s">
        <v>52</v>
      </c>
      <c r="J1881" s="460">
        <v>40850</v>
      </c>
      <c r="K1881" s="461">
        <f t="shared" ref="K1881:K1904" si="53">+L1881-J1881</f>
        <v>68</v>
      </c>
      <c r="L1881" s="460">
        <v>40918</v>
      </c>
      <c r="M1881" s="460" t="s">
        <v>41</v>
      </c>
      <c r="N1881" s="457" t="s">
        <v>42</v>
      </c>
      <c r="O1881" s="460">
        <v>40911</v>
      </c>
      <c r="P1881" s="461">
        <f t="shared" ref="P1881:P1912" si="54">IF(S1881="","",+S1881-L1881)</f>
        <v>1</v>
      </c>
      <c r="Q1881" s="591" t="s">
        <v>2575</v>
      </c>
      <c r="R1881" s="757">
        <v>40915</v>
      </c>
      <c r="S1881" s="471">
        <v>40919</v>
      </c>
      <c r="T1881" s="462">
        <f>+S1881+30</f>
        <v>40949</v>
      </c>
      <c r="U1881" s="461">
        <f t="shared" ref="U1881:U1912" si="55">IF(T1881="","",+T1881-J1881)</f>
        <v>99</v>
      </c>
      <c r="V1881" s="461" t="s">
        <v>53</v>
      </c>
      <c r="W1881" s="493" t="s">
        <v>94</v>
      </c>
      <c r="X1881" s="457"/>
      <c r="Y1881" s="592"/>
      <c r="Z1881" s="468" t="s">
        <v>2576</v>
      </c>
      <c r="AA1881" s="457" t="s">
        <v>47</v>
      </c>
      <c r="AB1881" s="460" t="s">
        <v>2571</v>
      </c>
      <c r="AC1881" s="722"/>
      <c r="AD1881" s="645" t="str">
        <f t="shared" ref="AD1881:AD1912" si="56">IF(P1881="","",IF(P1881&lt;=0,"en término","atrasado"))</f>
        <v>atrasado</v>
      </c>
    </row>
    <row r="1882" spans="1:39" s="649" customFormat="1" ht="54.95" customHeight="1" thickBot="1" x14ac:dyDescent="0.25">
      <c r="B1882" s="455" t="s">
        <v>36</v>
      </c>
      <c r="C1882" s="455" t="s">
        <v>133</v>
      </c>
      <c r="D1882" s="456" t="s">
        <v>2554</v>
      </c>
      <c r="E1882" s="501" t="s">
        <v>2555</v>
      </c>
      <c r="F1882" s="457">
        <v>4504215219</v>
      </c>
      <c r="G1882" s="457" t="s">
        <v>39</v>
      </c>
      <c r="H1882" s="458">
        <v>142264.81</v>
      </c>
      <c r="I1882" s="459" t="s">
        <v>40</v>
      </c>
      <c r="J1882" s="460">
        <v>40815</v>
      </c>
      <c r="K1882" s="461">
        <f t="shared" si="53"/>
        <v>108</v>
      </c>
      <c r="L1882" s="460">
        <v>40923</v>
      </c>
      <c r="M1882" s="460" t="s">
        <v>41</v>
      </c>
      <c r="N1882" s="457" t="s">
        <v>42</v>
      </c>
      <c r="O1882" s="460">
        <v>40911</v>
      </c>
      <c r="P1882" s="461">
        <f t="shared" si="54"/>
        <v>-4</v>
      </c>
      <c r="Q1882" s="591" t="s">
        <v>2575</v>
      </c>
      <c r="R1882" s="757">
        <v>40915</v>
      </c>
      <c r="S1882" s="471">
        <v>40919</v>
      </c>
      <c r="T1882" s="462">
        <f>+S1882+30</f>
        <v>40949</v>
      </c>
      <c r="U1882" s="461">
        <f t="shared" si="55"/>
        <v>134</v>
      </c>
      <c r="V1882" s="461" t="s">
        <v>2577</v>
      </c>
      <c r="W1882" s="493" t="s">
        <v>84</v>
      </c>
      <c r="X1882" s="457"/>
      <c r="Y1882" s="457"/>
      <c r="Z1882" s="468" t="s">
        <v>2576</v>
      </c>
      <c r="AA1882" s="457" t="s">
        <v>47</v>
      </c>
      <c r="AB1882" s="460" t="s">
        <v>2573</v>
      </c>
      <c r="AC1882" s="722" t="s">
        <v>2578</v>
      </c>
      <c r="AD1882" s="645" t="str">
        <f t="shared" si="56"/>
        <v>en término</v>
      </c>
    </row>
    <row r="1883" spans="1:39" s="649" customFormat="1" ht="54.95" customHeight="1" thickBot="1" x14ac:dyDescent="0.25">
      <c r="B1883" s="474" t="s">
        <v>36</v>
      </c>
      <c r="C1883" s="455" t="s">
        <v>133</v>
      </c>
      <c r="D1883" s="456" t="s">
        <v>2554</v>
      </c>
      <c r="E1883" s="501" t="s">
        <v>2555</v>
      </c>
      <c r="F1883" s="457">
        <v>4504280688</v>
      </c>
      <c r="G1883" s="457" t="s">
        <v>39</v>
      </c>
      <c r="H1883" s="458">
        <v>350415.1</v>
      </c>
      <c r="I1883" s="459" t="s">
        <v>52</v>
      </c>
      <c r="J1883" s="460">
        <v>40850</v>
      </c>
      <c r="K1883" s="461">
        <f t="shared" si="53"/>
        <v>68</v>
      </c>
      <c r="L1883" s="460">
        <v>40918</v>
      </c>
      <c r="M1883" s="460" t="s">
        <v>41</v>
      </c>
      <c r="N1883" s="457" t="s">
        <v>42</v>
      </c>
      <c r="O1883" s="460">
        <v>40911</v>
      </c>
      <c r="P1883" s="461">
        <f t="shared" si="54"/>
        <v>1</v>
      </c>
      <c r="Q1883" s="591" t="s">
        <v>2575</v>
      </c>
      <c r="R1883" s="757">
        <v>40915</v>
      </c>
      <c r="S1883" s="471">
        <v>40919</v>
      </c>
      <c r="T1883" s="462">
        <f>+S1883+30</f>
        <v>40949</v>
      </c>
      <c r="U1883" s="461">
        <f t="shared" si="55"/>
        <v>99</v>
      </c>
      <c r="V1883" s="461" t="s">
        <v>2579</v>
      </c>
      <c r="W1883" s="493" t="s">
        <v>90</v>
      </c>
      <c r="X1883" s="457" t="s">
        <v>47</v>
      </c>
      <c r="Y1883" s="457"/>
      <c r="Z1883" s="468" t="s">
        <v>2576</v>
      </c>
      <c r="AA1883" s="457" t="s">
        <v>47</v>
      </c>
      <c r="AB1883" s="460" t="s">
        <v>2573</v>
      </c>
      <c r="AC1883" s="722"/>
      <c r="AD1883" s="645" t="str">
        <f t="shared" si="56"/>
        <v>atrasado</v>
      </c>
    </row>
    <row r="1884" spans="1:39" s="649" customFormat="1" ht="54.95" customHeight="1" thickBot="1" x14ac:dyDescent="0.25">
      <c r="B1884" s="474" t="s">
        <v>36</v>
      </c>
      <c r="C1884" s="455" t="s">
        <v>133</v>
      </c>
      <c r="D1884" s="456" t="s">
        <v>2554</v>
      </c>
      <c r="E1884" s="501" t="s">
        <v>2555</v>
      </c>
      <c r="F1884" s="457">
        <v>4504260545</v>
      </c>
      <c r="G1884" s="457" t="s">
        <v>39</v>
      </c>
      <c r="H1884" s="458">
        <v>107205.59</v>
      </c>
      <c r="I1884" s="459" t="s">
        <v>62</v>
      </c>
      <c r="J1884" s="460">
        <v>40842</v>
      </c>
      <c r="K1884" s="461">
        <f t="shared" si="53"/>
        <v>88</v>
      </c>
      <c r="L1884" s="460">
        <v>40930</v>
      </c>
      <c r="M1884" s="460" t="s">
        <v>41</v>
      </c>
      <c r="N1884" s="457" t="s">
        <v>42</v>
      </c>
      <c r="O1884" s="460">
        <v>40918</v>
      </c>
      <c r="P1884" s="461">
        <f t="shared" si="54"/>
        <v>-3</v>
      </c>
      <c r="Q1884" s="461" t="s">
        <v>2580</v>
      </c>
      <c r="R1884" s="757">
        <v>40926</v>
      </c>
      <c r="S1884" s="471">
        <v>40927</v>
      </c>
      <c r="T1884" s="462">
        <v>40945</v>
      </c>
      <c r="U1884" s="461">
        <f t="shared" si="55"/>
        <v>103</v>
      </c>
      <c r="V1884" s="461" t="s">
        <v>2442</v>
      </c>
      <c r="W1884" s="493" t="s">
        <v>2203</v>
      </c>
      <c r="X1884" s="457"/>
      <c r="Y1884" s="457"/>
      <c r="Z1884" s="468">
        <v>5843938693</v>
      </c>
      <c r="AA1884" s="457" t="s">
        <v>47</v>
      </c>
      <c r="AB1884" s="460" t="s">
        <v>2573</v>
      </c>
      <c r="AC1884" s="722"/>
      <c r="AD1884" s="645" t="str">
        <f t="shared" si="56"/>
        <v>en término</v>
      </c>
    </row>
    <row r="1885" spans="1:39" s="649" customFormat="1" ht="54.95" customHeight="1" thickBot="1" x14ac:dyDescent="0.25">
      <c r="B1885" s="474" t="s">
        <v>36</v>
      </c>
      <c r="C1885" s="455" t="s">
        <v>133</v>
      </c>
      <c r="D1885" s="456" t="s">
        <v>2554</v>
      </c>
      <c r="E1885" s="501" t="s">
        <v>2555</v>
      </c>
      <c r="F1885" s="457">
        <v>4504295403</v>
      </c>
      <c r="G1885" s="457" t="s">
        <v>39</v>
      </c>
      <c r="H1885" s="458">
        <v>14390.3</v>
      </c>
      <c r="I1885" s="459" t="s">
        <v>40</v>
      </c>
      <c r="J1885" s="460">
        <v>40861</v>
      </c>
      <c r="K1885" s="461">
        <f t="shared" si="53"/>
        <v>91</v>
      </c>
      <c r="L1885" s="460">
        <v>40952</v>
      </c>
      <c r="M1885" s="460" t="s">
        <v>41</v>
      </c>
      <c r="N1885" s="457" t="s">
        <v>42</v>
      </c>
      <c r="O1885" s="460">
        <v>40918</v>
      </c>
      <c r="P1885" s="461">
        <f t="shared" si="54"/>
        <v>-25</v>
      </c>
      <c r="Q1885" s="461" t="s">
        <v>2580</v>
      </c>
      <c r="R1885" s="757">
        <v>40926</v>
      </c>
      <c r="S1885" s="471">
        <v>40927</v>
      </c>
      <c r="T1885" s="462">
        <v>40945</v>
      </c>
      <c r="U1885" s="461">
        <f t="shared" si="55"/>
        <v>84</v>
      </c>
      <c r="V1885" s="461" t="s">
        <v>53</v>
      </c>
      <c r="W1885" s="493" t="s">
        <v>2199</v>
      </c>
      <c r="X1885" s="457" t="s">
        <v>47</v>
      </c>
      <c r="Y1885" s="592"/>
      <c r="Z1885" s="468">
        <v>5843938693</v>
      </c>
      <c r="AA1885" s="457" t="s">
        <v>47</v>
      </c>
      <c r="AB1885" s="460" t="s">
        <v>2573</v>
      </c>
      <c r="AC1885" s="722"/>
      <c r="AD1885" s="645" t="str">
        <f t="shared" si="56"/>
        <v>en término</v>
      </c>
    </row>
    <row r="1886" spans="1:39" s="649" customFormat="1" ht="54.95" customHeight="1" thickBot="1" x14ac:dyDescent="0.25">
      <c r="B1886" s="474" t="s">
        <v>36</v>
      </c>
      <c r="C1886" s="455" t="s">
        <v>133</v>
      </c>
      <c r="D1886" s="456" t="s">
        <v>2554</v>
      </c>
      <c r="E1886" s="501" t="s">
        <v>2555</v>
      </c>
      <c r="F1886" s="457">
        <v>4504342857</v>
      </c>
      <c r="G1886" s="457" t="s">
        <v>39</v>
      </c>
      <c r="H1886" s="458">
        <v>415151.94</v>
      </c>
      <c r="I1886" s="459" t="s">
        <v>52</v>
      </c>
      <c r="J1886" s="460">
        <v>40884</v>
      </c>
      <c r="K1886" s="461">
        <f t="shared" si="53"/>
        <v>68</v>
      </c>
      <c r="L1886" s="460">
        <v>40952</v>
      </c>
      <c r="M1886" s="460" t="s">
        <v>41</v>
      </c>
      <c r="N1886" s="457" t="s">
        <v>42</v>
      </c>
      <c r="O1886" s="460">
        <v>40918</v>
      </c>
      <c r="P1886" s="461">
        <f t="shared" si="54"/>
        <v>-25</v>
      </c>
      <c r="Q1886" s="461" t="s">
        <v>2580</v>
      </c>
      <c r="R1886" s="757">
        <v>40926</v>
      </c>
      <c r="S1886" s="471">
        <v>40927</v>
      </c>
      <c r="T1886" s="462">
        <v>40945</v>
      </c>
      <c r="U1886" s="461">
        <f t="shared" si="55"/>
        <v>61</v>
      </c>
      <c r="V1886" s="461" t="s">
        <v>2581</v>
      </c>
      <c r="W1886" s="493" t="s">
        <v>2418</v>
      </c>
      <c r="X1886" s="457"/>
      <c r="Y1886" s="457"/>
      <c r="Z1886" s="468">
        <v>5843938693</v>
      </c>
      <c r="AA1886" s="457" t="s">
        <v>47</v>
      </c>
      <c r="AB1886" s="460" t="s">
        <v>2573</v>
      </c>
      <c r="AC1886" s="722"/>
      <c r="AD1886" s="645" t="str">
        <f t="shared" si="56"/>
        <v>en término</v>
      </c>
    </row>
    <row r="1887" spans="1:39" s="649" customFormat="1" ht="54.95" customHeight="1" thickBot="1" x14ac:dyDescent="0.25">
      <c r="B1887" s="474" t="s">
        <v>36</v>
      </c>
      <c r="C1887" s="455" t="s">
        <v>133</v>
      </c>
      <c r="D1887" s="456" t="s">
        <v>2554</v>
      </c>
      <c r="E1887" s="501" t="s">
        <v>2555</v>
      </c>
      <c r="F1887" s="457">
        <v>4504350564</v>
      </c>
      <c r="G1887" s="457" t="s">
        <v>39</v>
      </c>
      <c r="H1887" s="458">
        <v>3399.92</v>
      </c>
      <c r="I1887" s="459" t="s">
        <v>52</v>
      </c>
      <c r="J1887" s="460">
        <v>40889</v>
      </c>
      <c r="K1887" s="461">
        <f t="shared" si="53"/>
        <v>63</v>
      </c>
      <c r="L1887" s="460">
        <v>40952</v>
      </c>
      <c r="M1887" s="460" t="s">
        <v>41</v>
      </c>
      <c r="N1887" s="457" t="s">
        <v>42</v>
      </c>
      <c r="O1887" s="460">
        <v>40918</v>
      </c>
      <c r="P1887" s="461">
        <f t="shared" si="54"/>
        <v>-25</v>
      </c>
      <c r="Q1887" s="461" t="s">
        <v>2580</v>
      </c>
      <c r="R1887" s="757">
        <v>40926</v>
      </c>
      <c r="S1887" s="471">
        <v>40927</v>
      </c>
      <c r="T1887" s="462">
        <v>40945</v>
      </c>
      <c r="U1887" s="461">
        <f t="shared" si="55"/>
        <v>56</v>
      </c>
      <c r="V1887" s="461" t="s">
        <v>53</v>
      </c>
      <c r="W1887" s="493" t="s">
        <v>2582</v>
      </c>
      <c r="X1887" s="457"/>
      <c r="Y1887" s="592"/>
      <c r="Z1887" s="468">
        <v>5843938693</v>
      </c>
      <c r="AA1887" s="457" t="s">
        <v>47</v>
      </c>
      <c r="AB1887" s="460" t="s">
        <v>2573</v>
      </c>
      <c r="AC1887" s="722"/>
      <c r="AD1887" s="645" t="str">
        <f t="shared" si="56"/>
        <v>en término</v>
      </c>
    </row>
    <row r="1888" spans="1:39" s="649" customFormat="1" ht="54.95" customHeight="1" thickBot="1" x14ac:dyDescent="0.25">
      <c r="B1888" s="474" t="s">
        <v>36</v>
      </c>
      <c r="C1888" s="455" t="s">
        <v>133</v>
      </c>
      <c r="D1888" s="456" t="s">
        <v>2554</v>
      </c>
      <c r="E1888" s="501" t="s">
        <v>2555</v>
      </c>
      <c r="F1888" s="457">
        <v>4504258057</v>
      </c>
      <c r="G1888" s="457" t="s">
        <v>39</v>
      </c>
      <c r="H1888" s="458">
        <v>145152.45000000001</v>
      </c>
      <c r="I1888" s="459" t="s">
        <v>62</v>
      </c>
      <c r="J1888" s="460">
        <v>40841</v>
      </c>
      <c r="K1888" s="461">
        <f t="shared" si="53"/>
        <v>93</v>
      </c>
      <c r="L1888" s="460">
        <v>40934</v>
      </c>
      <c r="M1888" s="460" t="s">
        <v>41</v>
      </c>
      <c r="N1888" s="457" t="s">
        <v>42</v>
      </c>
      <c r="O1888" s="460">
        <v>40918</v>
      </c>
      <c r="P1888" s="461">
        <f t="shared" si="54"/>
        <v>-6</v>
      </c>
      <c r="Q1888" s="461" t="s">
        <v>2580</v>
      </c>
      <c r="R1888" s="757">
        <v>40927</v>
      </c>
      <c r="S1888" s="471">
        <v>40928</v>
      </c>
      <c r="T1888" s="462">
        <v>40945</v>
      </c>
      <c r="U1888" s="461">
        <f t="shared" si="55"/>
        <v>104</v>
      </c>
      <c r="V1888" s="461" t="s">
        <v>2583</v>
      </c>
      <c r="W1888" s="493" t="s">
        <v>2415</v>
      </c>
      <c r="X1888" s="457" t="s">
        <v>47</v>
      </c>
      <c r="Y1888" s="457"/>
      <c r="Z1888" s="468">
        <v>5843938693</v>
      </c>
      <c r="AA1888" s="457" t="s">
        <v>47</v>
      </c>
      <c r="AB1888" s="460" t="s">
        <v>2573</v>
      </c>
      <c r="AC1888" s="722"/>
      <c r="AD1888" s="645" t="str">
        <f t="shared" si="56"/>
        <v>en término</v>
      </c>
    </row>
    <row r="1889" spans="2:30" s="649" customFormat="1" ht="54.95" customHeight="1" thickBot="1" x14ac:dyDescent="0.25">
      <c r="B1889" s="474" t="s">
        <v>36</v>
      </c>
      <c r="C1889" s="455" t="s">
        <v>37</v>
      </c>
      <c r="D1889" s="456" t="s">
        <v>2584</v>
      </c>
      <c r="E1889" s="501" t="s">
        <v>2585</v>
      </c>
      <c r="F1889" s="457">
        <v>11090004</v>
      </c>
      <c r="G1889" s="457" t="s">
        <v>39</v>
      </c>
      <c r="H1889" s="458">
        <v>44559</v>
      </c>
      <c r="I1889" s="459" t="s">
        <v>62</v>
      </c>
      <c r="J1889" s="460">
        <v>40813</v>
      </c>
      <c r="K1889" s="461">
        <f t="shared" si="53"/>
        <v>118</v>
      </c>
      <c r="L1889" s="460">
        <v>40931</v>
      </c>
      <c r="M1889" s="460" t="s">
        <v>41</v>
      </c>
      <c r="N1889" s="457" t="s">
        <v>42</v>
      </c>
      <c r="O1889" s="460">
        <v>40918</v>
      </c>
      <c r="P1889" s="461">
        <f t="shared" si="54"/>
        <v>-4</v>
      </c>
      <c r="Q1889" s="461" t="s">
        <v>2580</v>
      </c>
      <c r="R1889" s="757">
        <v>40926</v>
      </c>
      <c r="S1889" s="471">
        <v>40927</v>
      </c>
      <c r="T1889" s="471">
        <v>40945</v>
      </c>
      <c r="U1889" s="461">
        <f t="shared" si="55"/>
        <v>132</v>
      </c>
      <c r="V1889" s="591" t="s">
        <v>2586</v>
      </c>
      <c r="W1889" s="493" t="s">
        <v>100</v>
      </c>
      <c r="X1889" s="457"/>
      <c r="Y1889" s="592"/>
      <c r="Z1889" s="468">
        <v>5843938693</v>
      </c>
      <c r="AA1889" s="457" t="s">
        <v>47</v>
      </c>
      <c r="AB1889" s="460" t="s">
        <v>2587</v>
      </c>
      <c r="AC1889" s="722"/>
      <c r="AD1889" s="645" t="str">
        <f t="shared" si="56"/>
        <v>en término</v>
      </c>
    </row>
    <row r="1890" spans="2:30" s="649" customFormat="1" ht="54.95" customHeight="1" thickBot="1" x14ac:dyDescent="0.25">
      <c r="B1890" s="474" t="s">
        <v>36</v>
      </c>
      <c r="C1890" s="455" t="s">
        <v>133</v>
      </c>
      <c r="D1890" s="456" t="s">
        <v>2554</v>
      </c>
      <c r="E1890" s="501" t="s">
        <v>2555</v>
      </c>
      <c r="F1890" s="457">
        <v>4504299934</v>
      </c>
      <c r="G1890" s="457" t="s">
        <v>39</v>
      </c>
      <c r="H1890" s="458">
        <v>13078.95</v>
      </c>
      <c r="I1890" s="733" t="s">
        <v>142</v>
      </c>
      <c r="J1890" s="460">
        <v>40864</v>
      </c>
      <c r="K1890" s="461">
        <f t="shared" si="53"/>
        <v>90</v>
      </c>
      <c r="L1890" s="460">
        <v>40954</v>
      </c>
      <c r="M1890" s="460" t="s">
        <v>41</v>
      </c>
      <c r="N1890" s="457" t="s">
        <v>42</v>
      </c>
      <c r="O1890" s="460">
        <v>40952</v>
      </c>
      <c r="P1890" s="461">
        <f t="shared" si="54"/>
        <v>8</v>
      </c>
      <c r="Q1890" s="808" t="s">
        <v>2588</v>
      </c>
      <c r="R1890" s="757">
        <v>40961</v>
      </c>
      <c r="S1890" s="471">
        <v>40962</v>
      </c>
      <c r="T1890" s="462">
        <v>40980</v>
      </c>
      <c r="U1890" s="461">
        <f t="shared" si="55"/>
        <v>116</v>
      </c>
      <c r="V1890" s="461" t="s">
        <v>597</v>
      </c>
      <c r="W1890" s="493" t="s">
        <v>2436</v>
      </c>
      <c r="X1890" s="457"/>
      <c r="Y1890" s="592"/>
      <c r="Z1890" s="468" t="s">
        <v>2589</v>
      </c>
      <c r="AA1890" s="457"/>
      <c r="AB1890" s="460" t="s">
        <v>2590</v>
      </c>
      <c r="AC1890" s="722" t="s">
        <v>2591</v>
      </c>
      <c r="AD1890" s="645" t="str">
        <f t="shared" si="56"/>
        <v>atrasado</v>
      </c>
    </row>
    <row r="1891" spans="2:30" s="649" customFormat="1" ht="54.95" customHeight="1" thickBot="1" x14ac:dyDescent="0.25">
      <c r="B1891" s="474" t="s">
        <v>36</v>
      </c>
      <c r="C1891" s="455" t="s">
        <v>133</v>
      </c>
      <c r="D1891" s="456" t="s">
        <v>2554</v>
      </c>
      <c r="E1891" s="501" t="s">
        <v>2555</v>
      </c>
      <c r="F1891" s="457">
        <v>4504300133</v>
      </c>
      <c r="G1891" s="457" t="s">
        <v>39</v>
      </c>
      <c r="H1891" s="458">
        <v>138991.44</v>
      </c>
      <c r="I1891" s="459" t="s">
        <v>40</v>
      </c>
      <c r="J1891" s="460">
        <v>40864</v>
      </c>
      <c r="K1891" s="461">
        <f t="shared" si="53"/>
        <v>91</v>
      </c>
      <c r="L1891" s="460">
        <v>40955</v>
      </c>
      <c r="M1891" s="460" t="s">
        <v>41</v>
      </c>
      <c r="N1891" s="457" t="s">
        <v>42</v>
      </c>
      <c r="O1891" s="460">
        <v>40952</v>
      </c>
      <c r="P1891" s="461">
        <f t="shared" si="54"/>
        <v>7</v>
      </c>
      <c r="Q1891" s="808" t="s">
        <v>2588</v>
      </c>
      <c r="R1891" s="757">
        <v>40961</v>
      </c>
      <c r="S1891" s="471">
        <v>40962</v>
      </c>
      <c r="T1891" s="462">
        <v>40980</v>
      </c>
      <c r="U1891" s="461">
        <f t="shared" si="55"/>
        <v>116</v>
      </c>
      <c r="V1891" s="461" t="s">
        <v>53</v>
      </c>
      <c r="W1891" s="493" t="s">
        <v>2447</v>
      </c>
      <c r="X1891" s="457" t="s">
        <v>47</v>
      </c>
      <c r="Y1891" s="592"/>
      <c r="Z1891" s="468" t="s">
        <v>2589</v>
      </c>
      <c r="AA1891" s="457"/>
      <c r="AB1891" s="589" t="s">
        <v>2592</v>
      </c>
      <c r="AC1891" s="722"/>
      <c r="AD1891" s="645" t="str">
        <f t="shared" si="56"/>
        <v>atrasado</v>
      </c>
    </row>
    <row r="1892" spans="2:30" s="649" customFormat="1" ht="54.95" customHeight="1" thickBot="1" x14ac:dyDescent="0.25">
      <c r="B1892" s="455" t="s">
        <v>36</v>
      </c>
      <c r="C1892" s="455" t="s">
        <v>133</v>
      </c>
      <c r="D1892" s="456" t="s">
        <v>2554</v>
      </c>
      <c r="E1892" s="501" t="s">
        <v>2555</v>
      </c>
      <c r="F1892" s="457">
        <v>4504201444</v>
      </c>
      <c r="G1892" s="457" t="s">
        <v>39</v>
      </c>
      <c r="H1892" s="458">
        <v>76552.27</v>
      </c>
      <c r="I1892" s="459" t="s">
        <v>142</v>
      </c>
      <c r="J1892" s="460">
        <v>40809</v>
      </c>
      <c r="K1892" s="461">
        <f t="shared" si="53"/>
        <v>145</v>
      </c>
      <c r="L1892" s="460">
        <v>40954</v>
      </c>
      <c r="M1892" s="460" t="s">
        <v>41</v>
      </c>
      <c r="N1892" s="457" t="s">
        <v>42</v>
      </c>
      <c r="O1892" s="460">
        <v>40952</v>
      </c>
      <c r="P1892" s="461">
        <f t="shared" si="54"/>
        <v>8</v>
      </c>
      <c r="Q1892" s="808" t="s">
        <v>2588</v>
      </c>
      <c r="R1892" s="757">
        <v>40961</v>
      </c>
      <c r="S1892" s="471">
        <v>40962</v>
      </c>
      <c r="T1892" s="471">
        <v>40980</v>
      </c>
      <c r="U1892" s="461">
        <f t="shared" si="55"/>
        <v>171</v>
      </c>
      <c r="V1892" s="461" t="s">
        <v>925</v>
      </c>
      <c r="W1892" s="493" t="s">
        <v>2443</v>
      </c>
      <c r="X1892" s="457" t="s">
        <v>47</v>
      </c>
      <c r="Y1892" s="457"/>
      <c r="Z1892" s="468" t="s">
        <v>2589</v>
      </c>
      <c r="AA1892" s="457" t="s">
        <v>47</v>
      </c>
      <c r="AB1892" s="460" t="s">
        <v>47</v>
      </c>
      <c r="AC1892" s="722"/>
      <c r="AD1892" s="645" t="str">
        <f t="shared" si="56"/>
        <v>atrasado</v>
      </c>
    </row>
    <row r="1893" spans="2:30" s="649" customFormat="1" ht="54.95" customHeight="1" thickBot="1" x14ac:dyDescent="0.25">
      <c r="B1893" s="474" t="s">
        <v>36</v>
      </c>
      <c r="C1893" s="455" t="s">
        <v>37</v>
      </c>
      <c r="D1893" s="456" t="s">
        <v>2593</v>
      </c>
      <c r="E1893" s="591">
        <v>4504379814</v>
      </c>
      <c r="F1893" s="457">
        <v>12010001</v>
      </c>
      <c r="G1893" s="457" t="s">
        <v>39</v>
      </c>
      <c r="H1893" s="458">
        <v>465</v>
      </c>
      <c r="I1893" s="459" t="s">
        <v>142</v>
      </c>
      <c r="J1893" s="460">
        <v>40905</v>
      </c>
      <c r="K1893" s="461">
        <f t="shared" si="53"/>
        <v>79</v>
      </c>
      <c r="L1893" s="460">
        <v>40984</v>
      </c>
      <c r="M1893" s="460" t="s">
        <v>41</v>
      </c>
      <c r="N1893" s="457" t="s">
        <v>42</v>
      </c>
      <c r="O1893" s="460">
        <v>40952</v>
      </c>
      <c r="P1893" s="461">
        <f t="shared" si="54"/>
        <v>-22</v>
      </c>
      <c r="Q1893" s="808" t="s">
        <v>2588</v>
      </c>
      <c r="R1893" s="757">
        <v>40961</v>
      </c>
      <c r="S1893" s="471">
        <v>40962</v>
      </c>
      <c r="T1893" s="836">
        <v>40980</v>
      </c>
      <c r="U1893" s="461">
        <f t="shared" si="55"/>
        <v>75</v>
      </c>
      <c r="V1893" s="591" t="s">
        <v>2594</v>
      </c>
      <c r="W1893" s="493" t="s">
        <v>2437</v>
      </c>
      <c r="X1893" s="592"/>
      <c r="Y1893" s="592"/>
      <c r="Z1893" s="468" t="s">
        <v>2589</v>
      </c>
      <c r="AA1893" s="457" t="s">
        <v>47</v>
      </c>
      <c r="AB1893" s="460" t="s">
        <v>2533</v>
      </c>
      <c r="AC1893" s="722"/>
      <c r="AD1893" s="645" t="str">
        <f t="shared" si="56"/>
        <v>en término</v>
      </c>
    </row>
    <row r="1894" spans="2:30" s="649" customFormat="1" ht="54.95" customHeight="1" thickBot="1" x14ac:dyDescent="0.25">
      <c r="B1894" s="474" t="s">
        <v>36</v>
      </c>
      <c r="C1894" s="455" t="s">
        <v>133</v>
      </c>
      <c r="D1894" s="456" t="s">
        <v>2554</v>
      </c>
      <c r="E1894" s="501" t="s">
        <v>2555</v>
      </c>
      <c r="F1894" s="457">
        <v>4504399498</v>
      </c>
      <c r="G1894" s="457" t="s">
        <v>39</v>
      </c>
      <c r="H1894" s="458">
        <v>241908.7</v>
      </c>
      <c r="I1894" s="459" t="s">
        <v>52</v>
      </c>
      <c r="J1894" s="460">
        <v>40914</v>
      </c>
      <c r="K1894" s="461">
        <f t="shared" si="53"/>
        <v>66</v>
      </c>
      <c r="L1894" s="460">
        <v>40980</v>
      </c>
      <c r="M1894" s="460" t="s">
        <v>41</v>
      </c>
      <c r="N1894" s="457" t="s">
        <v>42</v>
      </c>
      <c r="O1894" s="460">
        <v>40975</v>
      </c>
      <c r="P1894" s="461">
        <f t="shared" si="54"/>
        <v>3</v>
      </c>
      <c r="Q1894" s="746" t="s">
        <v>2595</v>
      </c>
      <c r="R1894" s="813">
        <v>40975</v>
      </c>
      <c r="S1894" s="748">
        <v>40983</v>
      </c>
      <c r="T1894" s="747">
        <f>+S1894+20</f>
        <v>41003</v>
      </c>
      <c r="U1894" s="461">
        <f t="shared" si="55"/>
        <v>89</v>
      </c>
      <c r="V1894" s="461" t="s">
        <v>2596</v>
      </c>
      <c r="W1894" s="493" t="s">
        <v>2449</v>
      </c>
      <c r="X1894" s="457"/>
      <c r="Y1894" s="457" t="s">
        <v>2597</v>
      </c>
      <c r="Z1894" s="468">
        <v>5843938752</v>
      </c>
      <c r="AA1894" s="457"/>
      <c r="AB1894" s="589" t="s">
        <v>2598</v>
      </c>
      <c r="AC1894" s="722"/>
      <c r="AD1894" s="645" t="str">
        <f t="shared" si="56"/>
        <v>atrasado</v>
      </c>
    </row>
    <row r="1895" spans="2:30" s="649" customFormat="1" ht="54.95" customHeight="1" thickBot="1" x14ac:dyDescent="0.25">
      <c r="B1895" s="474" t="s">
        <v>36</v>
      </c>
      <c r="C1895" s="455" t="s">
        <v>133</v>
      </c>
      <c r="D1895" s="456" t="s">
        <v>2554</v>
      </c>
      <c r="E1895" s="501" t="s">
        <v>2555</v>
      </c>
      <c r="F1895" s="457">
        <v>4504405493</v>
      </c>
      <c r="G1895" s="457" t="s">
        <v>39</v>
      </c>
      <c r="H1895" s="458">
        <v>6786.68</v>
      </c>
      <c r="I1895" s="459" t="s">
        <v>52</v>
      </c>
      <c r="J1895" s="460">
        <v>40919</v>
      </c>
      <c r="K1895" s="461">
        <f t="shared" si="53"/>
        <v>61</v>
      </c>
      <c r="L1895" s="460">
        <v>40980</v>
      </c>
      <c r="M1895" s="460" t="s">
        <v>41</v>
      </c>
      <c r="N1895" s="457" t="s">
        <v>42</v>
      </c>
      <c r="O1895" s="460">
        <v>40975</v>
      </c>
      <c r="P1895" s="461">
        <f t="shared" si="54"/>
        <v>3</v>
      </c>
      <c r="Q1895" s="746" t="s">
        <v>2595</v>
      </c>
      <c r="R1895" s="813">
        <v>40975</v>
      </c>
      <c r="S1895" s="748">
        <v>40983</v>
      </c>
      <c r="T1895" s="747">
        <f>+S1895+20</f>
        <v>41003</v>
      </c>
      <c r="U1895" s="461">
        <f t="shared" si="55"/>
        <v>84</v>
      </c>
      <c r="V1895" s="461" t="s">
        <v>53</v>
      </c>
      <c r="W1895" s="493" t="s">
        <v>2235</v>
      </c>
      <c r="X1895" s="457"/>
      <c r="Y1895" s="592"/>
      <c r="Z1895" s="468">
        <v>5843938752</v>
      </c>
      <c r="AA1895" s="457"/>
      <c r="AB1895" s="589" t="s">
        <v>2599</v>
      </c>
      <c r="AC1895" s="722"/>
      <c r="AD1895" s="645" t="str">
        <f t="shared" si="56"/>
        <v>atrasado</v>
      </c>
    </row>
    <row r="1896" spans="2:30" s="649" customFormat="1" ht="54.95" customHeight="1" thickBot="1" x14ac:dyDescent="0.25">
      <c r="B1896" s="474" t="s">
        <v>36</v>
      </c>
      <c r="C1896" s="455" t="s">
        <v>37</v>
      </c>
      <c r="D1896" s="456" t="s">
        <v>2600</v>
      </c>
      <c r="E1896" s="631">
        <v>4504284854</v>
      </c>
      <c r="F1896" s="1028">
        <v>12010004</v>
      </c>
      <c r="G1896" s="457" t="s">
        <v>39</v>
      </c>
      <c r="H1896" s="458">
        <v>21050</v>
      </c>
      <c r="I1896" s="459" t="s">
        <v>62</v>
      </c>
      <c r="J1896" s="460">
        <v>40854</v>
      </c>
      <c r="K1896" s="461">
        <f t="shared" si="53"/>
        <v>147</v>
      </c>
      <c r="L1896" s="460">
        <v>41001</v>
      </c>
      <c r="M1896" s="460" t="s">
        <v>41</v>
      </c>
      <c r="N1896" s="457" t="s">
        <v>42</v>
      </c>
      <c r="O1896" s="460">
        <v>40975</v>
      </c>
      <c r="P1896" s="461">
        <f t="shared" si="54"/>
        <v>-18</v>
      </c>
      <c r="Q1896" s="746" t="s">
        <v>2595</v>
      </c>
      <c r="R1896" s="813">
        <v>40975</v>
      </c>
      <c r="S1896" s="748">
        <v>40983</v>
      </c>
      <c r="T1896" s="748">
        <f>+S1896+20</f>
        <v>41003</v>
      </c>
      <c r="U1896" s="461">
        <f t="shared" si="55"/>
        <v>149</v>
      </c>
      <c r="V1896" s="461" t="s">
        <v>419</v>
      </c>
      <c r="W1896" s="493" t="s">
        <v>2232</v>
      </c>
      <c r="X1896" s="457"/>
      <c r="Y1896" s="456">
        <v>40963</v>
      </c>
      <c r="Z1896" s="468">
        <v>5843938752</v>
      </c>
      <c r="AA1896" s="457" t="s">
        <v>47</v>
      </c>
      <c r="AB1896" s="460" t="s">
        <v>2587</v>
      </c>
      <c r="AC1896" s="722"/>
      <c r="AD1896" s="645" t="str">
        <f t="shared" si="56"/>
        <v>en término</v>
      </c>
    </row>
    <row r="1897" spans="2:30" s="649" customFormat="1" ht="54.95" customHeight="1" thickBot="1" x14ac:dyDescent="0.25">
      <c r="B1897" s="455" t="s">
        <v>36</v>
      </c>
      <c r="C1897" s="455" t="s">
        <v>133</v>
      </c>
      <c r="D1897" s="456" t="s">
        <v>2554</v>
      </c>
      <c r="E1897" s="501" t="s">
        <v>2555</v>
      </c>
      <c r="F1897" s="457">
        <v>4504259782</v>
      </c>
      <c r="G1897" s="457" t="s">
        <v>39</v>
      </c>
      <c r="H1897" s="1030">
        <v>60648.57</v>
      </c>
      <c r="I1897" s="810" t="s">
        <v>40</v>
      </c>
      <c r="J1897" s="745">
        <v>40781</v>
      </c>
      <c r="K1897" s="746">
        <f t="shared" si="53"/>
        <v>164</v>
      </c>
      <c r="L1897" s="745">
        <v>40945</v>
      </c>
      <c r="M1897" s="460" t="s">
        <v>41</v>
      </c>
      <c r="N1897" s="457" t="s">
        <v>42</v>
      </c>
      <c r="O1897" s="745">
        <v>40975</v>
      </c>
      <c r="P1897" s="461">
        <f t="shared" si="54"/>
        <v>38</v>
      </c>
      <c r="Q1897" s="746" t="s">
        <v>2595</v>
      </c>
      <c r="R1897" s="813">
        <v>40975</v>
      </c>
      <c r="S1897" s="748">
        <v>40983</v>
      </c>
      <c r="T1897" s="748">
        <f>+S1897+20</f>
        <v>41003</v>
      </c>
      <c r="U1897" s="461">
        <f t="shared" si="55"/>
        <v>222</v>
      </c>
      <c r="V1897" s="746" t="s">
        <v>1087</v>
      </c>
      <c r="W1897" s="749" t="s">
        <v>2437</v>
      </c>
      <c r="X1897" s="1038"/>
      <c r="Y1897" s="457" t="s">
        <v>2597</v>
      </c>
      <c r="Z1897" s="468">
        <v>5843938752</v>
      </c>
      <c r="AA1897" s="457" t="s">
        <v>47</v>
      </c>
      <c r="AB1897" s="589" t="s">
        <v>2601</v>
      </c>
      <c r="AC1897" s="754"/>
      <c r="AD1897" s="645" t="str">
        <f t="shared" si="56"/>
        <v>atrasado</v>
      </c>
    </row>
    <row r="1898" spans="2:30" s="649" customFormat="1" ht="54.95" customHeight="1" thickBot="1" x14ac:dyDescent="0.25">
      <c r="B1898" s="474" t="s">
        <v>36</v>
      </c>
      <c r="C1898" s="455" t="s">
        <v>133</v>
      </c>
      <c r="D1898" s="456" t="s">
        <v>2554</v>
      </c>
      <c r="E1898" s="1643" t="s">
        <v>2555</v>
      </c>
      <c r="F1898" s="1616">
        <v>4504335529</v>
      </c>
      <c r="G1898" s="457" t="s">
        <v>39</v>
      </c>
      <c r="H1898" s="458">
        <v>78351.62</v>
      </c>
      <c r="I1898" s="459" t="s">
        <v>62</v>
      </c>
      <c r="J1898" s="460">
        <v>40879</v>
      </c>
      <c r="K1898" s="461">
        <f t="shared" si="53"/>
        <v>81</v>
      </c>
      <c r="L1898" s="460">
        <v>40960</v>
      </c>
      <c r="M1898" s="460" t="s">
        <v>41</v>
      </c>
      <c r="N1898" s="457" t="s">
        <v>42</v>
      </c>
      <c r="O1898" s="460">
        <v>40975</v>
      </c>
      <c r="P1898" s="461">
        <f t="shared" si="54"/>
        <v>23</v>
      </c>
      <c r="Q1898" s="746" t="s">
        <v>2595</v>
      </c>
      <c r="R1898" s="813">
        <v>40975</v>
      </c>
      <c r="S1898" s="748">
        <v>40983</v>
      </c>
      <c r="T1898" s="748">
        <f>+S1898+20</f>
        <v>41003</v>
      </c>
      <c r="U1898" s="461">
        <f t="shared" si="55"/>
        <v>124</v>
      </c>
      <c r="V1898" s="461" t="s">
        <v>2602</v>
      </c>
      <c r="W1898" s="493" t="s">
        <v>2434</v>
      </c>
      <c r="X1898" s="457" t="s">
        <v>47</v>
      </c>
      <c r="Y1898" s="457" t="s">
        <v>2597</v>
      </c>
      <c r="Z1898" s="468">
        <v>5843938752</v>
      </c>
      <c r="AA1898" s="457"/>
      <c r="AB1898" s="460" t="s">
        <v>47</v>
      </c>
      <c r="AC1898" s="722"/>
      <c r="AD1898" s="645" t="str">
        <f t="shared" si="56"/>
        <v>atrasado</v>
      </c>
    </row>
    <row r="1899" spans="2:30" s="649" customFormat="1" ht="54.95" customHeight="1" thickBot="1" x14ac:dyDescent="0.25">
      <c r="B1899" s="474" t="s">
        <v>36</v>
      </c>
      <c r="C1899" s="455" t="s">
        <v>133</v>
      </c>
      <c r="D1899" s="456" t="s">
        <v>2554</v>
      </c>
      <c r="E1899" s="1644"/>
      <c r="F1899" s="1645"/>
      <c r="G1899" s="457" t="s">
        <v>39</v>
      </c>
      <c r="H1899" s="458">
        <v>81441.5</v>
      </c>
      <c r="I1899" s="459" t="s">
        <v>62</v>
      </c>
      <c r="J1899" s="460">
        <v>40879</v>
      </c>
      <c r="K1899" s="461">
        <f t="shared" si="53"/>
        <v>111</v>
      </c>
      <c r="L1899" s="460">
        <v>40990</v>
      </c>
      <c r="M1899" s="460" t="s">
        <v>41</v>
      </c>
      <c r="N1899" s="457" t="s">
        <v>42</v>
      </c>
      <c r="O1899" s="460">
        <v>40988</v>
      </c>
      <c r="P1899" s="461">
        <f t="shared" si="54"/>
        <v>9</v>
      </c>
      <c r="Q1899" s="461" t="s">
        <v>2603</v>
      </c>
      <c r="R1899" s="757">
        <v>40996</v>
      </c>
      <c r="S1899" s="471">
        <v>40999</v>
      </c>
      <c r="T1899" s="462">
        <v>41015</v>
      </c>
      <c r="U1899" s="461">
        <f t="shared" si="55"/>
        <v>136</v>
      </c>
      <c r="V1899" s="461" t="s">
        <v>2604</v>
      </c>
      <c r="W1899" s="493" t="s">
        <v>2441</v>
      </c>
      <c r="X1899" s="457" t="s">
        <v>47</v>
      </c>
      <c r="Y1899" s="457"/>
      <c r="Z1899" s="468"/>
      <c r="AA1899" s="457"/>
      <c r="AB1899" s="460" t="s">
        <v>47</v>
      </c>
      <c r="AC1899" s="722"/>
      <c r="AD1899" s="645" t="str">
        <f t="shared" si="56"/>
        <v>atrasado</v>
      </c>
    </row>
    <row r="1900" spans="2:30" s="649" customFormat="1" ht="54.95" customHeight="1" thickBot="1" x14ac:dyDescent="0.25">
      <c r="B1900" s="474" t="s">
        <v>36</v>
      </c>
      <c r="C1900" s="455" t="s">
        <v>37</v>
      </c>
      <c r="D1900" s="456" t="s">
        <v>2605</v>
      </c>
      <c r="E1900" s="591">
        <v>4504425352</v>
      </c>
      <c r="F1900" s="457">
        <v>12030001</v>
      </c>
      <c r="G1900" s="457" t="s">
        <v>39</v>
      </c>
      <c r="H1900" s="458">
        <v>190</v>
      </c>
      <c r="I1900" s="459" t="s">
        <v>142</v>
      </c>
      <c r="J1900" s="460">
        <v>40933</v>
      </c>
      <c r="K1900" s="461">
        <f t="shared" si="53"/>
        <v>46</v>
      </c>
      <c r="L1900" s="460">
        <v>40979</v>
      </c>
      <c r="M1900" s="460" t="s">
        <v>41</v>
      </c>
      <c r="N1900" s="457" t="s">
        <v>110</v>
      </c>
      <c r="O1900" s="460">
        <v>40984</v>
      </c>
      <c r="P1900" s="461">
        <f t="shared" si="54"/>
        <v>13</v>
      </c>
      <c r="Q1900" s="746" t="s">
        <v>2606</v>
      </c>
      <c r="R1900" s="813"/>
      <c r="S1900" s="748">
        <v>40992</v>
      </c>
      <c r="T1900" s="838">
        <f>+S1900+3</f>
        <v>40995</v>
      </c>
      <c r="U1900" s="461">
        <f t="shared" si="55"/>
        <v>62</v>
      </c>
      <c r="V1900" s="591" t="s">
        <v>53</v>
      </c>
      <c r="W1900" s="493" t="s">
        <v>2257</v>
      </c>
      <c r="X1900" s="592"/>
      <c r="Y1900" s="592"/>
      <c r="Z1900" s="468" t="s">
        <v>1676</v>
      </c>
      <c r="AA1900" s="457" t="s">
        <v>2607</v>
      </c>
      <c r="AB1900" s="460" t="s">
        <v>2608</v>
      </c>
      <c r="AC1900" s="722"/>
      <c r="AD1900" s="645" t="str">
        <f t="shared" si="56"/>
        <v>atrasado</v>
      </c>
    </row>
    <row r="1901" spans="2:30" s="649" customFormat="1" ht="54.95" customHeight="1" thickBot="1" x14ac:dyDescent="0.25">
      <c r="B1901" s="474" t="s">
        <v>36</v>
      </c>
      <c r="C1901" s="455" t="s">
        <v>133</v>
      </c>
      <c r="D1901" s="456" t="s">
        <v>2554</v>
      </c>
      <c r="E1901" s="501" t="s">
        <v>2555</v>
      </c>
      <c r="F1901" s="457">
        <v>4504360897</v>
      </c>
      <c r="G1901" s="457" t="s">
        <v>39</v>
      </c>
      <c r="H1901" s="458">
        <v>100301.7</v>
      </c>
      <c r="I1901" s="459" t="s">
        <v>40</v>
      </c>
      <c r="J1901" s="460">
        <v>40896</v>
      </c>
      <c r="K1901" s="461">
        <f t="shared" si="53"/>
        <v>94</v>
      </c>
      <c r="L1901" s="460">
        <v>40990</v>
      </c>
      <c r="M1901" s="460" t="s">
        <v>41</v>
      </c>
      <c r="N1901" s="457" t="s">
        <v>42</v>
      </c>
      <c r="O1901" s="460">
        <v>40988</v>
      </c>
      <c r="P1901" s="461">
        <f t="shared" si="54"/>
        <v>9</v>
      </c>
      <c r="Q1901" s="461" t="s">
        <v>2603</v>
      </c>
      <c r="R1901" s="757">
        <v>40996</v>
      </c>
      <c r="S1901" s="471">
        <v>40999</v>
      </c>
      <c r="T1901" s="462">
        <v>41015</v>
      </c>
      <c r="U1901" s="461">
        <f t="shared" si="55"/>
        <v>119</v>
      </c>
      <c r="V1901" s="461" t="s">
        <v>2609</v>
      </c>
      <c r="W1901" s="493" t="s">
        <v>57</v>
      </c>
      <c r="X1901" s="457" t="s">
        <v>47</v>
      </c>
      <c r="Y1901" s="457"/>
      <c r="Z1901" s="468"/>
      <c r="AA1901" s="457"/>
      <c r="AB1901" s="589" t="s">
        <v>2610</v>
      </c>
      <c r="AC1901" s="722" t="s">
        <v>2611</v>
      </c>
      <c r="AD1901" s="645" t="str">
        <f t="shared" si="56"/>
        <v>atrasado</v>
      </c>
    </row>
    <row r="1902" spans="2:30" s="649" customFormat="1" ht="54.95" customHeight="1" thickBot="1" x14ac:dyDescent="0.25">
      <c r="B1902" s="474" t="s">
        <v>36</v>
      </c>
      <c r="C1902" s="455" t="s">
        <v>133</v>
      </c>
      <c r="D1902" s="456" t="s">
        <v>2554</v>
      </c>
      <c r="E1902" s="501" t="s">
        <v>2555</v>
      </c>
      <c r="F1902" s="457">
        <v>4504389854</v>
      </c>
      <c r="G1902" s="457" t="s">
        <v>39</v>
      </c>
      <c r="H1902" s="458">
        <v>162.6</v>
      </c>
      <c r="I1902" s="459" t="s">
        <v>62</v>
      </c>
      <c r="J1902" s="460">
        <v>40907</v>
      </c>
      <c r="K1902" s="461">
        <f t="shared" si="53"/>
        <v>96</v>
      </c>
      <c r="L1902" s="460">
        <v>41003</v>
      </c>
      <c r="M1902" s="460" t="s">
        <v>41</v>
      </c>
      <c r="N1902" s="457" t="s">
        <v>42</v>
      </c>
      <c r="O1902" s="460">
        <v>40988</v>
      </c>
      <c r="P1902" s="461">
        <f t="shared" si="54"/>
        <v>-4</v>
      </c>
      <c r="Q1902" s="461" t="s">
        <v>2603</v>
      </c>
      <c r="R1902" s="757">
        <v>40996</v>
      </c>
      <c r="S1902" s="471">
        <v>40999</v>
      </c>
      <c r="T1902" s="462">
        <v>41015</v>
      </c>
      <c r="U1902" s="461">
        <f t="shared" si="55"/>
        <v>108</v>
      </c>
      <c r="V1902" s="461" t="s">
        <v>53</v>
      </c>
      <c r="W1902" s="493" t="s">
        <v>45</v>
      </c>
      <c r="X1902" s="457" t="s">
        <v>47</v>
      </c>
      <c r="Y1902" s="592"/>
      <c r="Z1902" s="468"/>
      <c r="AA1902" s="457"/>
      <c r="AB1902" s="460" t="s">
        <v>47</v>
      </c>
      <c r="AC1902" s="722"/>
      <c r="AD1902" s="645" t="str">
        <f t="shared" si="56"/>
        <v>en término</v>
      </c>
    </row>
    <row r="1903" spans="2:30" s="649" customFormat="1" ht="54.95" customHeight="1" thickBot="1" x14ac:dyDescent="0.25">
      <c r="B1903" s="474" t="s">
        <v>36</v>
      </c>
      <c r="C1903" s="455" t="s">
        <v>133</v>
      </c>
      <c r="D1903" s="456" t="s">
        <v>2554</v>
      </c>
      <c r="E1903" s="1027" t="s">
        <v>2555</v>
      </c>
      <c r="F1903" s="1028">
        <v>4504258057</v>
      </c>
      <c r="G1903" s="457" t="s">
        <v>39</v>
      </c>
      <c r="H1903" s="458">
        <v>80797.3</v>
      </c>
      <c r="I1903" s="459" t="s">
        <v>62</v>
      </c>
      <c r="J1903" s="460">
        <v>40841</v>
      </c>
      <c r="K1903" s="461">
        <f t="shared" si="53"/>
        <v>153</v>
      </c>
      <c r="L1903" s="460">
        <v>40994</v>
      </c>
      <c r="M1903" s="460" t="s">
        <v>41</v>
      </c>
      <c r="N1903" s="457" t="s">
        <v>42</v>
      </c>
      <c r="O1903" s="460">
        <v>40988</v>
      </c>
      <c r="P1903" s="461">
        <f t="shared" si="54"/>
        <v>5</v>
      </c>
      <c r="Q1903" s="461" t="s">
        <v>2603</v>
      </c>
      <c r="R1903" s="757">
        <v>40996</v>
      </c>
      <c r="S1903" s="471">
        <v>40999</v>
      </c>
      <c r="T1903" s="462">
        <v>41015</v>
      </c>
      <c r="U1903" s="461">
        <f t="shared" si="55"/>
        <v>174</v>
      </c>
      <c r="V1903" s="461" t="s">
        <v>2583</v>
      </c>
      <c r="W1903" s="493" t="s">
        <v>2251</v>
      </c>
      <c r="X1903" s="457" t="s">
        <v>47</v>
      </c>
      <c r="Y1903" s="457"/>
      <c r="Z1903" s="468"/>
      <c r="AA1903" s="457"/>
      <c r="AB1903" s="589" t="s">
        <v>2612</v>
      </c>
      <c r="AC1903" s="722"/>
      <c r="AD1903" s="645" t="str">
        <f t="shared" si="56"/>
        <v>atrasado</v>
      </c>
    </row>
    <row r="1904" spans="2:30" s="649" customFormat="1" ht="54.95" customHeight="1" thickBot="1" x14ac:dyDescent="0.25">
      <c r="B1904" s="474" t="s">
        <v>36</v>
      </c>
      <c r="C1904" s="455" t="s">
        <v>37</v>
      </c>
      <c r="D1904" s="456" t="s">
        <v>2613</v>
      </c>
      <c r="E1904" s="591">
        <v>49503</v>
      </c>
      <c r="F1904" s="457">
        <v>12010003</v>
      </c>
      <c r="G1904" s="457" t="s">
        <v>39</v>
      </c>
      <c r="H1904" s="458">
        <v>5514</v>
      </c>
      <c r="I1904" s="459" t="s">
        <v>40</v>
      </c>
      <c r="J1904" s="460">
        <v>40931</v>
      </c>
      <c r="K1904" s="461">
        <f t="shared" si="53"/>
        <v>91</v>
      </c>
      <c r="L1904" s="460">
        <v>41022</v>
      </c>
      <c r="M1904" s="460" t="s">
        <v>41</v>
      </c>
      <c r="N1904" s="457" t="s">
        <v>42</v>
      </c>
      <c r="O1904" s="460">
        <v>41009</v>
      </c>
      <c r="P1904" s="461">
        <f t="shared" si="54"/>
        <v>11</v>
      </c>
      <c r="Q1904" s="815" t="s">
        <v>2614</v>
      </c>
      <c r="R1904" s="757">
        <v>41018</v>
      </c>
      <c r="S1904" s="471">
        <v>41033</v>
      </c>
      <c r="T1904" s="462">
        <f t="shared" ref="T1904:T1914" si="57">+S1904+20</f>
        <v>41053</v>
      </c>
      <c r="U1904" s="461">
        <f t="shared" si="55"/>
        <v>122</v>
      </c>
      <c r="V1904" s="591" t="s">
        <v>2615</v>
      </c>
      <c r="W1904" s="493" t="s">
        <v>2270</v>
      </c>
      <c r="X1904" s="592"/>
      <c r="Y1904" s="592"/>
      <c r="Z1904" s="468"/>
      <c r="AA1904" s="457" t="s">
        <v>46</v>
      </c>
      <c r="AB1904" s="460" t="s">
        <v>2616</v>
      </c>
      <c r="AC1904" s="722"/>
      <c r="AD1904" s="645" t="str">
        <f t="shared" si="56"/>
        <v>atrasado</v>
      </c>
    </row>
    <row r="1905" spans="2:30" s="649" customFormat="1" ht="54.95" customHeight="1" thickBot="1" x14ac:dyDescent="0.25">
      <c r="B1905" s="474" t="s">
        <v>36</v>
      </c>
      <c r="C1905" s="455" t="s">
        <v>37</v>
      </c>
      <c r="D1905" s="456" t="s">
        <v>2617</v>
      </c>
      <c r="E1905" s="591">
        <v>4504514958</v>
      </c>
      <c r="F1905" s="457">
        <v>12040001</v>
      </c>
      <c r="G1905" s="457" t="s">
        <v>39</v>
      </c>
      <c r="H1905" s="458">
        <v>704</v>
      </c>
      <c r="I1905" s="459"/>
      <c r="J1905" s="460">
        <v>40982</v>
      </c>
      <c r="K1905" s="461">
        <v>70</v>
      </c>
      <c r="L1905" s="460">
        <v>41009</v>
      </c>
      <c r="M1905" s="460" t="s">
        <v>41</v>
      </c>
      <c r="N1905" s="457" t="s">
        <v>42</v>
      </c>
      <c r="O1905" s="460">
        <v>41009</v>
      </c>
      <c r="P1905" s="461">
        <f t="shared" si="54"/>
        <v>24</v>
      </c>
      <c r="Q1905" s="815" t="s">
        <v>2614</v>
      </c>
      <c r="R1905" s="757">
        <v>41018</v>
      </c>
      <c r="S1905" s="471">
        <v>41033</v>
      </c>
      <c r="T1905" s="462">
        <f t="shared" si="57"/>
        <v>41053</v>
      </c>
      <c r="U1905" s="461">
        <f t="shared" si="55"/>
        <v>71</v>
      </c>
      <c r="V1905" s="591" t="s">
        <v>2618</v>
      </c>
      <c r="W1905" s="493" t="s">
        <v>2270</v>
      </c>
      <c r="X1905" s="592"/>
      <c r="Y1905" s="592"/>
      <c r="Z1905" s="468"/>
      <c r="AA1905" s="457" t="s">
        <v>46</v>
      </c>
      <c r="AB1905" s="460" t="s">
        <v>2616</v>
      </c>
      <c r="AC1905" s="722"/>
      <c r="AD1905" s="645" t="str">
        <f t="shared" si="56"/>
        <v>atrasado</v>
      </c>
    </row>
    <row r="1906" spans="2:30" s="649" customFormat="1" ht="54.95" customHeight="1" thickBot="1" x14ac:dyDescent="0.25">
      <c r="B1906" s="474" t="s">
        <v>36</v>
      </c>
      <c r="C1906" s="455" t="s">
        <v>133</v>
      </c>
      <c r="D1906" s="456" t="s">
        <v>2554</v>
      </c>
      <c r="E1906" s="501" t="s">
        <v>2555</v>
      </c>
      <c r="F1906" s="457">
        <v>4504468219</v>
      </c>
      <c r="G1906" s="457" t="s">
        <v>39</v>
      </c>
      <c r="H1906" s="458">
        <v>218061.53</v>
      </c>
      <c r="I1906" s="459" t="s">
        <v>52</v>
      </c>
      <c r="J1906" s="460">
        <v>40954</v>
      </c>
      <c r="K1906" s="461">
        <f t="shared" ref="K1906:K1913" si="58">+L1906-J1906</f>
        <v>62</v>
      </c>
      <c r="L1906" s="460">
        <v>41016</v>
      </c>
      <c r="M1906" s="460" t="s">
        <v>41</v>
      </c>
      <c r="N1906" s="457" t="s">
        <v>42</v>
      </c>
      <c r="O1906" s="460">
        <v>41009</v>
      </c>
      <c r="P1906" s="461">
        <f t="shared" si="54"/>
        <v>17</v>
      </c>
      <c r="Q1906" s="815" t="s">
        <v>2614</v>
      </c>
      <c r="R1906" s="757">
        <v>41018</v>
      </c>
      <c r="S1906" s="471">
        <v>41033</v>
      </c>
      <c r="T1906" s="462">
        <f t="shared" si="57"/>
        <v>41053</v>
      </c>
      <c r="U1906" s="461">
        <f t="shared" si="55"/>
        <v>99</v>
      </c>
      <c r="V1906" s="461" t="s">
        <v>2218</v>
      </c>
      <c r="W1906" s="493" t="s">
        <v>2458</v>
      </c>
      <c r="X1906" s="457" t="s">
        <v>47</v>
      </c>
      <c r="Y1906" s="457"/>
      <c r="Z1906" s="457" t="s">
        <v>46</v>
      </c>
      <c r="AA1906" s="457"/>
      <c r="AB1906" s="589" t="s">
        <v>2619</v>
      </c>
      <c r="AC1906" s="722"/>
      <c r="AD1906" s="645" t="str">
        <f t="shared" si="56"/>
        <v>atrasado</v>
      </c>
    </row>
    <row r="1907" spans="2:30" s="649" customFormat="1" ht="54.95" customHeight="1" thickBot="1" x14ac:dyDescent="0.25">
      <c r="B1907" s="474" t="s">
        <v>36</v>
      </c>
      <c r="C1907" s="455" t="s">
        <v>133</v>
      </c>
      <c r="D1907" s="456" t="s">
        <v>2554</v>
      </c>
      <c r="E1907" s="501" t="s">
        <v>2555</v>
      </c>
      <c r="F1907" s="457">
        <v>4504468252</v>
      </c>
      <c r="G1907" s="457" t="s">
        <v>39</v>
      </c>
      <c r="H1907" s="458">
        <v>3735.56</v>
      </c>
      <c r="I1907" s="459" t="s">
        <v>52</v>
      </c>
      <c r="J1907" s="460">
        <v>40954</v>
      </c>
      <c r="K1907" s="461">
        <f t="shared" si="58"/>
        <v>55</v>
      </c>
      <c r="L1907" s="460">
        <v>41009</v>
      </c>
      <c r="M1907" s="460" t="s">
        <v>41</v>
      </c>
      <c r="N1907" s="457" t="s">
        <v>42</v>
      </c>
      <c r="O1907" s="460">
        <v>41009</v>
      </c>
      <c r="P1907" s="461">
        <f t="shared" si="54"/>
        <v>24</v>
      </c>
      <c r="Q1907" s="815" t="s">
        <v>2614</v>
      </c>
      <c r="R1907" s="757">
        <v>41018</v>
      </c>
      <c r="S1907" s="471">
        <v>41033</v>
      </c>
      <c r="T1907" s="462">
        <f t="shared" si="57"/>
        <v>41053</v>
      </c>
      <c r="U1907" s="461">
        <f t="shared" si="55"/>
        <v>99</v>
      </c>
      <c r="V1907" s="461" t="s">
        <v>53</v>
      </c>
      <c r="W1907" s="493" t="s">
        <v>2275</v>
      </c>
      <c r="X1907" s="457" t="s">
        <v>47</v>
      </c>
      <c r="Y1907" s="592"/>
      <c r="Z1907" s="457" t="s">
        <v>46</v>
      </c>
      <c r="AA1907" s="457"/>
      <c r="AB1907" s="460" t="s">
        <v>47</v>
      </c>
      <c r="AC1907" s="722"/>
      <c r="AD1907" s="645" t="str">
        <f t="shared" si="56"/>
        <v>atrasado</v>
      </c>
    </row>
    <row r="1908" spans="2:30" s="649" customFormat="1" ht="54.95" customHeight="1" thickBot="1" x14ac:dyDescent="0.25">
      <c r="B1908" s="474" t="s">
        <v>36</v>
      </c>
      <c r="C1908" s="455" t="s">
        <v>133</v>
      </c>
      <c r="D1908" s="456" t="s">
        <v>2554</v>
      </c>
      <c r="E1908" s="501" t="s">
        <v>2555</v>
      </c>
      <c r="F1908" s="457">
        <v>4504409504</v>
      </c>
      <c r="G1908" s="457" t="s">
        <v>39</v>
      </c>
      <c r="H1908" s="458">
        <v>18279.75</v>
      </c>
      <c r="I1908" s="459" t="s">
        <v>142</v>
      </c>
      <c r="J1908" s="460">
        <v>40921</v>
      </c>
      <c r="K1908" s="461">
        <f t="shared" si="58"/>
        <v>94</v>
      </c>
      <c r="L1908" s="460">
        <v>41015</v>
      </c>
      <c r="M1908" s="460" t="s">
        <v>41</v>
      </c>
      <c r="N1908" s="457" t="s">
        <v>42</v>
      </c>
      <c r="O1908" s="460">
        <v>41009</v>
      </c>
      <c r="P1908" s="461">
        <f t="shared" si="54"/>
        <v>18</v>
      </c>
      <c r="Q1908" s="815" t="s">
        <v>2614</v>
      </c>
      <c r="R1908" s="757">
        <v>41018</v>
      </c>
      <c r="S1908" s="471">
        <v>41033</v>
      </c>
      <c r="T1908" s="836">
        <f t="shared" si="57"/>
        <v>41053</v>
      </c>
      <c r="U1908" s="461">
        <f t="shared" si="55"/>
        <v>132</v>
      </c>
      <c r="V1908" s="461" t="s">
        <v>53</v>
      </c>
      <c r="W1908" s="493" t="s">
        <v>2282</v>
      </c>
      <c r="X1908" s="457"/>
      <c r="Y1908" s="592"/>
      <c r="Z1908" s="457" t="s">
        <v>46</v>
      </c>
      <c r="AA1908" s="457"/>
      <c r="AB1908" s="460" t="s">
        <v>2620</v>
      </c>
      <c r="AC1908" s="722"/>
      <c r="AD1908" s="645" t="str">
        <f t="shared" si="56"/>
        <v>atrasado</v>
      </c>
    </row>
    <row r="1909" spans="2:30" s="649" customFormat="1" ht="54.95" customHeight="1" thickBot="1" x14ac:dyDescent="0.25">
      <c r="B1909" s="474" t="s">
        <v>36</v>
      </c>
      <c r="C1909" s="455" t="s">
        <v>133</v>
      </c>
      <c r="D1909" s="456" t="s">
        <v>2554</v>
      </c>
      <c r="E1909" s="501" t="s">
        <v>2555</v>
      </c>
      <c r="F1909" s="457">
        <v>4504510548</v>
      </c>
      <c r="G1909" s="457" t="s">
        <v>39</v>
      </c>
      <c r="H1909" s="458">
        <v>6029.81</v>
      </c>
      <c r="I1909" s="459" t="s">
        <v>52</v>
      </c>
      <c r="J1909" s="460">
        <v>40980</v>
      </c>
      <c r="K1909" s="461">
        <f t="shared" si="58"/>
        <v>63</v>
      </c>
      <c r="L1909" s="460">
        <v>41043</v>
      </c>
      <c r="M1909" s="460" t="s">
        <v>41</v>
      </c>
      <c r="N1909" s="457" t="s">
        <v>42</v>
      </c>
      <c r="O1909" s="460">
        <v>41037</v>
      </c>
      <c r="P1909" s="461">
        <f t="shared" si="54"/>
        <v>2</v>
      </c>
      <c r="Q1909" s="591" t="s">
        <v>2621</v>
      </c>
      <c r="R1909" s="757">
        <v>41044</v>
      </c>
      <c r="S1909" s="471">
        <v>41045</v>
      </c>
      <c r="T1909" s="462">
        <f t="shared" si="57"/>
        <v>41065</v>
      </c>
      <c r="U1909" s="461">
        <f t="shared" si="55"/>
        <v>85</v>
      </c>
      <c r="V1909" s="461" t="s">
        <v>53</v>
      </c>
      <c r="W1909" s="493" t="s">
        <v>2311</v>
      </c>
      <c r="X1909" s="457"/>
      <c r="Y1909" s="592"/>
      <c r="Z1909" s="468" t="s">
        <v>46</v>
      </c>
      <c r="AA1909" s="457"/>
      <c r="AB1909" s="460" t="s">
        <v>1927</v>
      </c>
      <c r="AC1909" s="722"/>
      <c r="AD1909" s="645" t="str">
        <f t="shared" si="56"/>
        <v>atrasado</v>
      </c>
    </row>
    <row r="1910" spans="2:30" s="649" customFormat="1" ht="54.95" customHeight="1" thickBot="1" x14ac:dyDescent="0.25">
      <c r="B1910" s="474" t="s">
        <v>36</v>
      </c>
      <c r="C1910" s="455" t="s">
        <v>133</v>
      </c>
      <c r="D1910" s="456" t="s">
        <v>2554</v>
      </c>
      <c r="E1910" s="501" t="s">
        <v>2555</v>
      </c>
      <c r="F1910" s="457">
        <v>4504418029</v>
      </c>
      <c r="G1910" s="457" t="s">
        <v>39</v>
      </c>
      <c r="H1910" s="458">
        <v>172483.51</v>
      </c>
      <c r="I1910" s="459" t="s">
        <v>40</v>
      </c>
      <c r="J1910" s="460">
        <v>40928</v>
      </c>
      <c r="K1910" s="461">
        <f t="shared" si="58"/>
        <v>96</v>
      </c>
      <c r="L1910" s="460">
        <v>41024</v>
      </c>
      <c r="M1910" s="460" t="s">
        <v>41</v>
      </c>
      <c r="N1910" s="457" t="s">
        <v>42</v>
      </c>
      <c r="O1910" s="460">
        <v>41037</v>
      </c>
      <c r="P1910" s="461">
        <f t="shared" si="54"/>
        <v>21</v>
      </c>
      <c r="Q1910" s="591" t="s">
        <v>2621</v>
      </c>
      <c r="R1910" s="757">
        <v>41044</v>
      </c>
      <c r="S1910" s="471">
        <v>41045</v>
      </c>
      <c r="T1910" s="462">
        <f t="shared" si="57"/>
        <v>41065</v>
      </c>
      <c r="U1910" s="461">
        <f t="shared" si="55"/>
        <v>137</v>
      </c>
      <c r="V1910" s="461" t="s">
        <v>1248</v>
      </c>
      <c r="W1910" s="493" t="s">
        <v>2622</v>
      </c>
      <c r="X1910" s="457" t="s">
        <v>47</v>
      </c>
      <c r="Y1910" s="457"/>
      <c r="Z1910" s="468" t="s">
        <v>46</v>
      </c>
      <c r="AA1910" s="457"/>
      <c r="AB1910" s="589" t="s">
        <v>2623</v>
      </c>
      <c r="AC1910" s="722"/>
      <c r="AD1910" s="645" t="str">
        <f t="shared" si="56"/>
        <v>atrasado</v>
      </c>
    </row>
    <row r="1911" spans="2:30" s="649" customFormat="1" ht="54.95" customHeight="1" thickBot="1" x14ac:dyDescent="0.25">
      <c r="B1911" s="474" t="s">
        <v>36</v>
      </c>
      <c r="C1911" s="455" t="s">
        <v>133</v>
      </c>
      <c r="D1911" s="456" t="s">
        <v>2554</v>
      </c>
      <c r="E1911" s="501" t="s">
        <v>2555</v>
      </c>
      <c r="F1911" s="457">
        <v>4504423609</v>
      </c>
      <c r="G1911" s="457" t="s">
        <v>39</v>
      </c>
      <c r="H1911" s="458">
        <v>1034.25</v>
      </c>
      <c r="I1911" s="459" t="s">
        <v>62</v>
      </c>
      <c r="J1911" s="460">
        <v>40932</v>
      </c>
      <c r="K1911" s="461">
        <f t="shared" si="58"/>
        <v>93</v>
      </c>
      <c r="L1911" s="460">
        <v>41025</v>
      </c>
      <c r="M1911" s="460" t="s">
        <v>41</v>
      </c>
      <c r="N1911" s="457" t="s">
        <v>42</v>
      </c>
      <c r="O1911" s="460">
        <v>41037</v>
      </c>
      <c r="P1911" s="461">
        <f t="shared" si="54"/>
        <v>20</v>
      </c>
      <c r="Q1911" s="591" t="s">
        <v>2621</v>
      </c>
      <c r="R1911" s="757">
        <v>41044</v>
      </c>
      <c r="S1911" s="471">
        <v>41045</v>
      </c>
      <c r="T1911" s="462">
        <f t="shared" si="57"/>
        <v>41065</v>
      </c>
      <c r="U1911" s="461">
        <f t="shared" si="55"/>
        <v>133</v>
      </c>
      <c r="V1911" s="461" t="s">
        <v>53</v>
      </c>
      <c r="W1911" s="493" t="s">
        <v>2624</v>
      </c>
      <c r="X1911" s="457" t="s">
        <v>47</v>
      </c>
      <c r="Y1911" s="592"/>
      <c r="Z1911" s="468" t="s">
        <v>46</v>
      </c>
      <c r="AA1911" s="457"/>
      <c r="AB1911" s="589" t="s">
        <v>2625</v>
      </c>
      <c r="AC1911" s="722"/>
      <c r="AD1911" s="645" t="str">
        <f t="shared" si="56"/>
        <v>atrasado</v>
      </c>
    </row>
    <row r="1912" spans="2:30" s="649" customFormat="1" ht="54.95" customHeight="1" thickBot="1" x14ac:dyDescent="0.25">
      <c r="B1912" s="474" t="s">
        <v>36</v>
      </c>
      <c r="C1912" s="455" t="s">
        <v>133</v>
      </c>
      <c r="D1912" s="456" t="s">
        <v>2554</v>
      </c>
      <c r="E1912" s="501" t="s">
        <v>2555</v>
      </c>
      <c r="F1912" s="457">
        <v>4504420567</v>
      </c>
      <c r="G1912" s="457" t="s">
        <v>39</v>
      </c>
      <c r="H1912" s="458">
        <v>11455.83</v>
      </c>
      <c r="I1912" s="459" t="s">
        <v>62</v>
      </c>
      <c r="J1912" s="460">
        <v>40928</v>
      </c>
      <c r="K1912" s="461">
        <f t="shared" si="58"/>
        <v>94</v>
      </c>
      <c r="L1912" s="460">
        <v>41022</v>
      </c>
      <c r="M1912" s="460" t="s">
        <v>41</v>
      </c>
      <c r="N1912" s="457" t="s">
        <v>42</v>
      </c>
      <c r="O1912" s="460">
        <v>41037</v>
      </c>
      <c r="P1912" s="461">
        <f t="shared" si="54"/>
        <v>23</v>
      </c>
      <c r="Q1912" s="591" t="s">
        <v>2621</v>
      </c>
      <c r="R1912" s="757">
        <v>41044</v>
      </c>
      <c r="S1912" s="471">
        <v>41045</v>
      </c>
      <c r="T1912" s="462">
        <f t="shared" si="57"/>
        <v>41065</v>
      </c>
      <c r="U1912" s="461">
        <f t="shared" si="55"/>
        <v>137</v>
      </c>
      <c r="V1912" s="461" t="s">
        <v>53</v>
      </c>
      <c r="W1912" s="493" t="s">
        <v>2626</v>
      </c>
      <c r="X1912" s="457" t="s">
        <v>47</v>
      </c>
      <c r="Y1912" s="592"/>
      <c r="Z1912" s="468" t="s">
        <v>46</v>
      </c>
      <c r="AA1912" s="457"/>
      <c r="AB1912" s="589" t="s">
        <v>2627</v>
      </c>
      <c r="AC1912" s="722"/>
      <c r="AD1912" s="645" t="str">
        <f t="shared" si="56"/>
        <v>atrasado</v>
      </c>
    </row>
    <row r="1913" spans="2:30" s="649" customFormat="1" ht="54.95" customHeight="1" thickBot="1" x14ac:dyDescent="0.25">
      <c r="B1913" s="474" t="s">
        <v>36</v>
      </c>
      <c r="C1913" s="455" t="s">
        <v>133</v>
      </c>
      <c r="D1913" s="456" t="s">
        <v>2554</v>
      </c>
      <c r="E1913" s="501" t="s">
        <v>2555</v>
      </c>
      <c r="F1913" s="457">
        <v>4504510526</v>
      </c>
      <c r="G1913" s="457" t="s">
        <v>39</v>
      </c>
      <c r="H1913" s="458">
        <v>212012.04</v>
      </c>
      <c r="I1913" s="459" t="s">
        <v>52</v>
      </c>
      <c r="J1913" s="460">
        <v>40980</v>
      </c>
      <c r="K1913" s="461">
        <f t="shared" si="58"/>
        <v>63</v>
      </c>
      <c r="L1913" s="460">
        <v>41043</v>
      </c>
      <c r="M1913" s="460" t="s">
        <v>41</v>
      </c>
      <c r="N1913" s="457" t="s">
        <v>42</v>
      </c>
      <c r="O1913" s="460">
        <v>41044</v>
      </c>
      <c r="P1913" s="461">
        <f t="shared" ref="P1913:P1944" si="59">IF(S1913="","",+S1913-L1913)</f>
        <v>11</v>
      </c>
      <c r="Q1913" s="809"/>
      <c r="R1913" s="813"/>
      <c r="S1913" s="748">
        <v>41054</v>
      </c>
      <c r="T1913" s="747">
        <f t="shared" si="57"/>
        <v>41074</v>
      </c>
      <c r="U1913" s="461">
        <f t="shared" ref="U1913:U1944" si="60">IF(T1913="","",+T1913-J1913)</f>
        <v>94</v>
      </c>
      <c r="V1913" s="461" t="s">
        <v>2628</v>
      </c>
      <c r="W1913" s="493" t="s">
        <v>2629</v>
      </c>
      <c r="X1913" s="457" t="s">
        <v>47</v>
      </c>
      <c r="Y1913" s="457"/>
      <c r="Z1913" s="468" t="s">
        <v>2630</v>
      </c>
      <c r="AA1913" s="457"/>
      <c r="AB1913" s="589" t="s">
        <v>2631</v>
      </c>
      <c r="AC1913" s="722"/>
      <c r="AD1913" s="645" t="str">
        <f t="shared" ref="AD1913:AD1944" si="61">IF(P1913="","",IF(P1913&lt;=0,"en término","atrasado"))</f>
        <v>atrasado</v>
      </c>
    </row>
    <row r="1914" spans="2:30" s="649" customFormat="1" ht="54.95" customHeight="1" thickBot="1" x14ac:dyDescent="0.25">
      <c r="B1914" s="474" t="s">
        <v>36</v>
      </c>
      <c r="C1914" s="455" t="s">
        <v>37</v>
      </c>
      <c r="D1914" s="456" t="s">
        <v>2632</v>
      </c>
      <c r="E1914" s="591">
        <v>3710</v>
      </c>
      <c r="F1914" s="457">
        <v>12040002</v>
      </c>
      <c r="G1914" s="457" t="s">
        <v>39</v>
      </c>
      <c r="H1914" s="458">
        <v>7322</v>
      </c>
      <c r="I1914" s="459"/>
      <c r="J1914" s="460">
        <v>40981</v>
      </c>
      <c r="K1914" s="461">
        <v>70</v>
      </c>
      <c r="L1914" s="460">
        <f>+J1914+K1914</f>
        <v>41051</v>
      </c>
      <c r="M1914" s="460" t="s">
        <v>41</v>
      </c>
      <c r="N1914" s="457" t="s">
        <v>42</v>
      </c>
      <c r="O1914" s="460">
        <v>41044</v>
      </c>
      <c r="P1914" s="461">
        <f t="shared" si="59"/>
        <v>3</v>
      </c>
      <c r="Q1914" s="809"/>
      <c r="R1914" s="813"/>
      <c r="S1914" s="748">
        <v>41054</v>
      </c>
      <c r="T1914" s="838">
        <f t="shared" si="57"/>
        <v>41074</v>
      </c>
      <c r="U1914" s="461">
        <f t="shared" si="60"/>
        <v>93</v>
      </c>
      <c r="V1914" s="591" t="s">
        <v>2633</v>
      </c>
      <c r="W1914" s="493" t="s">
        <v>2634</v>
      </c>
      <c r="X1914" s="592"/>
      <c r="Y1914" s="592"/>
      <c r="Z1914" s="468" t="s">
        <v>2630</v>
      </c>
      <c r="AA1914" s="457"/>
      <c r="AB1914" s="460" t="s">
        <v>2635</v>
      </c>
      <c r="AC1914" s="722"/>
      <c r="AD1914" s="645" t="str">
        <f t="shared" si="61"/>
        <v>atrasado</v>
      </c>
    </row>
    <row r="1915" spans="2:30" s="649" customFormat="1" ht="54.95" customHeight="1" thickBot="1" x14ac:dyDescent="0.25">
      <c r="B1915" s="474" t="s">
        <v>36</v>
      </c>
      <c r="C1915" s="455" t="s">
        <v>133</v>
      </c>
      <c r="D1915" s="456" t="s">
        <v>2554</v>
      </c>
      <c r="E1915" s="501" t="s">
        <v>2555</v>
      </c>
      <c r="F1915" s="457">
        <v>4504490497</v>
      </c>
      <c r="G1915" s="457" t="s">
        <v>39</v>
      </c>
      <c r="H1915" s="458">
        <v>282986.58</v>
      </c>
      <c r="I1915" s="459" t="s">
        <v>40</v>
      </c>
      <c r="J1915" s="460">
        <v>40968</v>
      </c>
      <c r="K1915" s="461">
        <f t="shared" ref="K1915:K1940" si="62">+L1915-J1915</f>
        <v>92</v>
      </c>
      <c r="L1915" s="460">
        <v>41060</v>
      </c>
      <c r="M1915" s="460" t="s">
        <v>41</v>
      </c>
      <c r="N1915" s="457" t="s">
        <v>42</v>
      </c>
      <c r="O1915" s="460">
        <v>41058</v>
      </c>
      <c r="P1915" s="461">
        <f t="shared" si="59"/>
        <v>15</v>
      </c>
      <c r="Q1915" s="591" t="s">
        <v>2636</v>
      </c>
      <c r="R1915" s="757">
        <v>41065</v>
      </c>
      <c r="S1915" s="471">
        <v>41075</v>
      </c>
      <c r="T1915" s="462">
        <v>41092</v>
      </c>
      <c r="U1915" s="461">
        <f t="shared" si="60"/>
        <v>124</v>
      </c>
      <c r="V1915" s="461" t="s">
        <v>2637</v>
      </c>
      <c r="W1915" s="493" t="s">
        <v>2317</v>
      </c>
      <c r="X1915" s="457" t="s">
        <v>47</v>
      </c>
      <c r="Y1915" s="457"/>
      <c r="Z1915" s="468" t="s">
        <v>1116</v>
      </c>
      <c r="AA1915" s="457"/>
      <c r="AB1915" s="589" t="s">
        <v>2638</v>
      </c>
      <c r="AC1915" s="722"/>
      <c r="AD1915" s="645" t="str">
        <f t="shared" si="61"/>
        <v>atrasado</v>
      </c>
    </row>
    <row r="1916" spans="2:30" s="649" customFormat="1" ht="54.95" customHeight="1" thickBot="1" x14ac:dyDescent="0.25">
      <c r="B1916" s="474" t="s">
        <v>36</v>
      </c>
      <c r="C1916" s="455" t="s">
        <v>37</v>
      </c>
      <c r="D1916" s="456" t="s">
        <v>2600</v>
      </c>
      <c r="E1916" s="631">
        <v>4504284854</v>
      </c>
      <c r="F1916" s="1028">
        <v>12010004</v>
      </c>
      <c r="G1916" s="457" t="s">
        <v>39</v>
      </c>
      <c r="H1916" s="458">
        <v>31470</v>
      </c>
      <c r="I1916" s="459" t="s">
        <v>62</v>
      </c>
      <c r="J1916" s="460">
        <v>40854</v>
      </c>
      <c r="K1916" s="461">
        <f t="shared" si="62"/>
        <v>147</v>
      </c>
      <c r="L1916" s="460">
        <v>41001</v>
      </c>
      <c r="M1916" s="460" t="s">
        <v>41</v>
      </c>
      <c r="N1916" s="457" t="s">
        <v>42</v>
      </c>
      <c r="O1916" s="460">
        <v>41058</v>
      </c>
      <c r="P1916" s="461">
        <f t="shared" si="59"/>
        <v>74</v>
      </c>
      <c r="Q1916" s="591" t="s">
        <v>2636</v>
      </c>
      <c r="R1916" s="757">
        <v>41065</v>
      </c>
      <c r="S1916" s="471">
        <v>41075</v>
      </c>
      <c r="T1916" s="836">
        <v>41092</v>
      </c>
      <c r="U1916" s="461">
        <f t="shared" si="60"/>
        <v>238</v>
      </c>
      <c r="V1916" s="461" t="s">
        <v>419</v>
      </c>
      <c r="W1916" s="493" t="s">
        <v>2320</v>
      </c>
      <c r="X1916" s="457"/>
      <c r="Y1916" s="457"/>
      <c r="Z1916" s="468" t="s">
        <v>1116</v>
      </c>
      <c r="AA1916" s="457"/>
      <c r="AB1916" s="460" t="s">
        <v>2639</v>
      </c>
      <c r="AC1916" s="722" t="s">
        <v>2640</v>
      </c>
      <c r="AD1916" s="645" t="str">
        <f t="shared" si="61"/>
        <v>atrasado</v>
      </c>
    </row>
    <row r="1917" spans="2:30" s="649" customFormat="1" ht="54.95" customHeight="1" thickBot="1" x14ac:dyDescent="0.25">
      <c r="B1917" s="474" t="s">
        <v>36</v>
      </c>
      <c r="C1917" s="455" t="s">
        <v>133</v>
      </c>
      <c r="D1917" s="456" t="s">
        <v>2554</v>
      </c>
      <c r="E1917" s="501" t="s">
        <v>2555</v>
      </c>
      <c r="F1917" s="457">
        <v>4504577513</v>
      </c>
      <c r="G1917" s="457" t="s">
        <v>39</v>
      </c>
      <c r="H1917" s="458">
        <v>4341.84</v>
      </c>
      <c r="I1917" s="459" t="s">
        <v>52</v>
      </c>
      <c r="J1917" s="460">
        <v>41017</v>
      </c>
      <c r="K1917" s="461">
        <f t="shared" si="62"/>
        <v>61</v>
      </c>
      <c r="L1917" s="460">
        <v>41078</v>
      </c>
      <c r="M1917" s="460" t="s">
        <v>41</v>
      </c>
      <c r="N1917" s="457" t="s">
        <v>42</v>
      </c>
      <c r="O1917" s="460">
        <v>41065</v>
      </c>
      <c r="P1917" s="461">
        <f t="shared" si="59"/>
        <v>-3</v>
      </c>
      <c r="Q1917" s="591" t="s">
        <v>2636</v>
      </c>
      <c r="R1917" s="757">
        <v>41072</v>
      </c>
      <c r="S1917" s="471">
        <v>41075</v>
      </c>
      <c r="T1917" s="462">
        <v>41092</v>
      </c>
      <c r="U1917" s="461">
        <f t="shared" si="60"/>
        <v>75</v>
      </c>
      <c r="V1917" s="461" t="s">
        <v>53</v>
      </c>
      <c r="W1917" s="493" t="s">
        <v>2641</v>
      </c>
      <c r="X1917" s="457" t="s">
        <v>47</v>
      </c>
      <c r="Y1917" s="592"/>
      <c r="Z1917" s="468" t="s">
        <v>1116</v>
      </c>
      <c r="AA1917" s="457"/>
      <c r="AB1917" s="460" t="s">
        <v>2642</v>
      </c>
      <c r="AC1917" s="722"/>
      <c r="AD1917" s="645" t="str">
        <f t="shared" si="61"/>
        <v>en término</v>
      </c>
    </row>
    <row r="1918" spans="2:30" s="649" customFormat="1" ht="54.95" customHeight="1" thickBot="1" x14ac:dyDescent="0.25">
      <c r="B1918" s="474" t="s">
        <v>36</v>
      </c>
      <c r="C1918" s="455" t="s">
        <v>133</v>
      </c>
      <c r="D1918" s="456" t="s">
        <v>2554</v>
      </c>
      <c r="E1918" s="501" t="s">
        <v>2555</v>
      </c>
      <c r="F1918" s="457">
        <v>4504477780</v>
      </c>
      <c r="G1918" s="457" t="s">
        <v>39</v>
      </c>
      <c r="H1918" s="458">
        <v>84014.65</v>
      </c>
      <c r="I1918" s="459" t="s">
        <v>62</v>
      </c>
      <c r="J1918" s="460">
        <v>40963</v>
      </c>
      <c r="K1918" s="461">
        <f t="shared" si="62"/>
        <v>102</v>
      </c>
      <c r="L1918" s="460">
        <v>41065</v>
      </c>
      <c r="M1918" s="460" t="s">
        <v>41</v>
      </c>
      <c r="N1918" s="457" t="s">
        <v>42</v>
      </c>
      <c r="O1918" s="460">
        <v>41065</v>
      </c>
      <c r="P1918" s="461">
        <f t="shared" si="59"/>
        <v>10</v>
      </c>
      <c r="Q1918" s="591" t="s">
        <v>2636</v>
      </c>
      <c r="R1918" s="757">
        <v>41072</v>
      </c>
      <c r="S1918" s="471">
        <v>41075</v>
      </c>
      <c r="T1918" s="462">
        <v>41092</v>
      </c>
      <c r="U1918" s="461">
        <f t="shared" si="60"/>
        <v>129</v>
      </c>
      <c r="V1918" s="461" t="s">
        <v>2139</v>
      </c>
      <c r="W1918" s="493" t="s">
        <v>2643</v>
      </c>
      <c r="X1918" s="457"/>
      <c r="Y1918" s="457"/>
      <c r="Z1918" s="468" t="s">
        <v>1116</v>
      </c>
      <c r="AA1918" s="457"/>
      <c r="AB1918" s="835" t="s">
        <v>2644</v>
      </c>
      <c r="AC1918" s="722"/>
      <c r="AD1918" s="645" t="str">
        <f t="shared" si="61"/>
        <v>atrasado</v>
      </c>
    </row>
    <row r="1919" spans="2:30" s="649" customFormat="1" ht="54.95" customHeight="1" thickBot="1" x14ac:dyDescent="0.25">
      <c r="B1919" s="474" t="s">
        <v>36</v>
      </c>
      <c r="C1919" s="455" t="s">
        <v>133</v>
      </c>
      <c r="D1919" s="456" t="s">
        <v>2554</v>
      </c>
      <c r="E1919" s="501" t="s">
        <v>2555</v>
      </c>
      <c r="F1919" s="457">
        <v>4504526736</v>
      </c>
      <c r="G1919" s="457" t="s">
        <v>39</v>
      </c>
      <c r="H1919" s="458">
        <v>53906.05</v>
      </c>
      <c r="I1919" s="459" t="s">
        <v>40</v>
      </c>
      <c r="J1919" s="460">
        <v>40990</v>
      </c>
      <c r="K1919" s="461">
        <f t="shared" si="62"/>
        <v>96</v>
      </c>
      <c r="L1919" s="460">
        <v>41086</v>
      </c>
      <c r="M1919" s="460" t="s">
        <v>41</v>
      </c>
      <c r="N1919" s="457" t="s">
        <v>42</v>
      </c>
      <c r="O1919" s="460">
        <v>41079</v>
      </c>
      <c r="P1919" s="461">
        <f t="shared" si="59"/>
        <v>3</v>
      </c>
      <c r="Q1919" s="591" t="s">
        <v>2645</v>
      </c>
      <c r="R1919" s="757">
        <v>41086</v>
      </c>
      <c r="S1919" s="471">
        <v>41089</v>
      </c>
      <c r="T1919" s="462">
        <v>41106</v>
      </c>
      <c r="U1919" s="461">
        <f t="shared" si="60"/>
        <v>116</v>
      </c>
      <c r="V1919" s="461" t="s">
        <v>1832</v>
      </c>
      <c r="W1919" s="493" t="s">
        <v>2331</v>
      </c>
      <c r="X1919" s="460"/>
      <c r="Y1919" s="457"/>
      <c r="Z1919" s="468" t="s">
        <v>2646</v>
      </c>
      <c r="AA1919" s="457"/>
      <c r="AB1919" s="460" t="s">
        <v>2647</v>
      </c>
      <c r="AC1919" s="722"/>
      <c r="AD1919" s="645" t="str">
        <f t="shared" si="61"/>
        <v>atrasado</v>
      </c>
    </row>
    <row r="1920" spans="2:30" s="649" customFormat="1" ht="54.95" customHeight="1" thickBot="1" x14ac:dyDescent="0.25">
      <c r="B1920" s="474" t="s">
        <v>36</v>
      </c>
      <c r="C1920" s="455" t="s">
        <v>133</v>
      </c>
      <c r="D1920" s="456" t="s">
        <v>2554</v>
      </c>
      <c r="E1920" s="501" t="s">
        <v>2555</v>
      </c>
      <c r="F1920" s="457">
        <v>4504529610</v>
      </c>
      <c r="G1920" s="457" t="s">
        <v>39</v>
      </c>
      <c r="H1920" s="458">
        <v>25533.65</v>
      </c>
      <c r="I1920" s="459" t="s">
        <v>142</v>
      </c>
      <c r="J1920" s="460">
        <v>40991</v>
      </c>
      <c r="K1920" s="461">
        <f t="shared" si="62"/>
        <v>90</v>
      </c>
      <c r="L1920" s="460">
        <v>41081</v>
      </c>
      <c r="M1920" s="460" t="s">
        <v>41</v>
      </c>
      <c r="N1920" s="457" t="s">
        <v>42</v>
      </c>
      <c r="O1920" s="460">
        <v>41065</v>
      </c>
      <c r="P1920" s="461">
        <f t="shared" si="59"/>
        <v>-6</v>
      </c>
      <c r="Q1920" s="591" t="s">
        <v>2636</v>
      </c>
      <c r="R1920" s="757">
        <v>41072</v>
      </c>
      <c r="S1920" s="471">
        <v>41075</v>
      </c>
      <c r="T1920" s="462">
        <v>41092</v>
      </c>
      <c r="U1920" s="461">
        <f t="shared" si="60"/>
        <v>101</v>
      </c>
      <c r="V1920" s="461" t="s">
        <v>2648</v>
      </c>
      <c r="W1920" s="493" t="s">
        <v>2649</v>
      </c>
      <c r="X1920" s="457"/>
      <c r="Y1920" s="457"/>
      <c r="Z1920" s="468" t="s">
        <v>1116</v>
      </c>
      <c r="AA1920" s="457"/>
      <c r="AB1920" s="460" t="s">
        <v>2647</v>
      </c>
      <c r="AC1920" s="722"/>
      <c r="AD1920" s="645" t="str">
        <f t="shared" si="61"/>
        <v>en término</v>
      </c>
    </row>
    <row r="1921" spans="2:30" s="649" customFormat="1" ht="54.95" customHeight="1" thickBot="1" x14ac:dyDescent="0.25">
      <c r="B1921" s="474" t="s">
        <v>36</v>
      </c>
      <c r="C1921" s="455" t="s">
        <v>133</v>
      </c>
      <c r="D1921" s="456" t="s">
        <v>2554</v>
      </c>
      <c r="E1921" s="501" t="s">
        <v>2555</v>
      </c>
      <c r="F1921" s="457">
        <v>4504537991</v>
      </c>
      <c r="G1921" s="457" t="s">
        <v>39</v>
      </c>
      <c r="H1921" s="458">
        <v>67109.95</v>
      </c>
      <c r="I1921" s="459" t="s">
        <v>40</v>
      </c>
      <c r="J1921" s="460">
        <v>40996</v>
      </c>
      <c r="K1921" s="461">
        <f t="shared" si="62"/>
        <v>91</v>
      </c>
      <c r="L1921" s="460">
        <v>41087</v>
      </c>
      <c r="M1921" s="460" t="s">
        <v>41</v>
      </c>
      <c r="N1921" s="457" t="s">
        <v>42</v>
      </c>
      <c r="O1921" s="460">
        <v>41079</v>
      </c>
      <c r="P1921" s="461">
        <f t="shared" si="59"/>
        <v>2</v>
      </c>
      <c r="Q1921" s="591" t="s">
        <v>2645</v>
      </c>
      <c r="R1921" s="757">
        <v>41086</v>
      </c>
      <c r="S1921" s="471">
        <v>41089</v>
      </c>
      <c r="T1921" s="462">
        <v>41106</v>
      </c>
      <c r="U1921" s="461">
        <f t="shared" si="60"/>
        <v>110</v>
      </c>
      <c r="V1921" s="461" t="s">
        <v>955</v>
      </c>
      <c r="W1921" s="493" t="s">
        <v>2650</v>
      </c>
      <c r="X1921" s="457"/>
      <c r="Y1921" s="457"/>
      <c r="Z1921" s="468" t="s">
        <v>2646</v>
      </c>
      <c r="AA1921" s="457"/>
      <c r="AB1921" s="460" t="s">
        <v>2647</v>
      </c>
      <c r="AC1921" s="722"/>
      <c r="AD1921" s="645" t="str">
        <f t="shared" si="61"/>
        <v>atrasado</v>
      </c>
    </row>
    <row r="1922" spans="2:30" s="649" customFormat="1" ht="54.95" customHeight="1" thickBot="1" x14ac:dyDescent="0.25">
      <c r="B1922" s="474" t="s">
        <v>36</v>
      </c>
      <c r="C1922" s="455" t="s">
        <v>133</v>
      </c>
      <c r="D1922" s="456" t="s">
        <v>2554</v>
      </c>
      <c r="E1922" s="501" t="s">
        <v>2555</v>
      </c>
      <c r="F1922" s="457">
        <v>4504520553</v>
      </c>
      <c r="G1922" s="457" t="s">
        <v>39</v>
      </c>
      <c r="H1922" s="458">
        <v>267532.28999999998</v>
      </c>
      <c r="I1922" s="459" t="s">
        <v>62</v>
      </c>
      <c r="J1922" s="460">
        <v>40987</v>
      </c>
      <c r="K1922" s="461">
        <f t="shared" si="62"/>
        <v>101</v>
      </c>
      <c r="L1922" s="460">
        <v>41088</v>
      </c>
      <c r="M1922" s="460" t="s">
        <v>41</v>
      </c>
      <c r="N1922" s="457" t="s">
        <v>42</v>
      </c>
      <c r="O1922" s="460">
        <v>41086</v>
      </c>
      <c r="P1922" s="461">
        <f t="shared" si="59"/>
        <v>7</v>
      </c>
      <c r="Q1922" s="591" t="s">
        <v>2651</v>
      </c>
      <c r="R1922" s="757">
        <v>41093</v>
      </c>
      <c r="S1922" s="471">
        <v>41095</v>
      </c>
      <c r="T1922" s="462">
        <f>+S1922+20</f>
        <v>41115</v>
      </c>
      <c r="U1922" s="461">
        <f t="shared" si="60"/>
        <v>128</v>
      </c>
      <c r="V1922" s="461" t="s">
        <v>2652</v>
      </c>
      <c r="W1922" s="493" t="s">
        <v>2653</v>
      </c>
      <c r="X1922" s="457"/>
      <c r="Y1922" s="457"/>
      <c r="Z1922" s="468" t="s">
        <v>46</v>
      </c>
      <c r="AA1922" s="457"/>
      <c r="AB1922" s="589" t="s">
        <v>2654</v>
      </c>
      <c r="AC1922" s="722"/>
      <c r="AD1922" s="645" t="str">
        <f t="shared" si="61"/>
        <v>atrasado</v>
      </c>
    </row>
    <row r="1923" spans="2:30" s="649" customFormat="1" ht="54.95" customHeight="1" thickBot="1" x14ac:dyDescent="0.25">
      <c r="B1923" s="474" t="s">
        <v>36</v>
      </c>
      <c r="C1923" s="455" t="s">
        <v>133</v>
      </c>
      <c r="D1923" s="456" t="s">
        <v>2554</v>
      </c>
      <c r="E1923" s="501" t="s">
        <v>2555</v>
      </c>
      <c r="F1923" s="457">
        <v>4504416314</v>
      </c>
      <c r="G1923" s="457" t="s">
        <v>39</v>
      </c>
      <c r="H1923" s="458">
        <v>38985.21</v>
      </c>
      <c r="I1923" s="459" t="s">
        <v>40</v>
      </c>
      <c r="J1923" s="460">
        <v>41004</v>
      </c>
      <c r="K1923" s="461">
        <f t="shared" si="62"/>
        <v>94</v>
      </c>
      <c r="L1923" s="460">
        <v>41098</v>
      </c>
      <c r="M1923" s="460" t="s">
        <v>41</v>
      </c>
      <c r="N1923" s="457" t="s">
        <v>42</v>
      </c>
      <c r="O1923" s="460">
        <v>41086</v>
      </c>
      <c r="P1923" s="461">
        <f t="shared" si="59"/>
        <v>-3</v>
      </c>
      <c r="Q1923" s="591" t="s">
        <v>2651</v>
      </c>
      <c r="R1923" s="757">
        <v>41093</v>
      </c>
      <c r="S1923" s="471">
        <v>41095</v>
      </c>
      <c r="T1923" s="462">
        <f>+S1923+20</f>
        <v>41115</v>
      </c>
      <c r="U1923" s="461">
        <f t="shared" si="60"/>
        <v>111</v>
      </c>
      <c r="V1923" s="461" t="s">
        <v>53</v>
      </c>
      <c r="W1923" s="493" t="s">
        <v>2655</v>
      </c>
      <c r="X1923" s="457" t="s">
        <v>47</v>
      </c>
      <c r="Y1923" s="592"/>
      <c r="Z1923" s="468" t="s">
        <v>46</v>
      </c>
      <c r="AA1923" s="457"/>
      <c r="AB1923" s="460" t="s">
        <v>2647</v>
      </c>
      <c r="AC1923" s="722"/>
      <c r="AD1923" s="645" t="str">
        <f t="shared" si="61"/>
        <v>en término</v>
      </c>
    </row>
    <row r="1924" spans="2:30" s="649" customFormat="1" ht="54.95" customHeight="1" thickBot="1" x14ac:dyDescent="0.25">
      <c r="B1924" s="474" t="s">
        <v>36</v>
      </c>
      <c r="C1924" s="455" t="s">
        <v>133</v>
      </c>
      <c r="D1924" s="456" t="s">
        <v>2554</v>
      </c>
      <c r="E1924" s="501" t="s">
        <v>2555</v>
      </c>
      <c r="F1924" s="457">
        <v>4504632674</v>
      </c>
      <c r="G1924" s="457" t="s">
        <v>39</v>
      </c>
      <c r="H1924" s="458">
        <v>119254.99</v>
      </c>
      <c r="I1924" s="459" t="s">
        <v>52</v>
      </c>
      <c r="J1924" s="460">
        <v>41045</v>
      </c>
      <c r="K1924" s="461">
        <f t="shared" si="62"/>
        <v>65</v>
      </c>
      <c r="L1924" s="460">
        <v>41110</v>
      </c>
      <c r="M1924" s="460" t="s">
        <v>41</v>
      </c>
      <c r="N1924" s="457" t="s">
        <v>42</v>
      </c>
      <c r="O1924" s="460">
        <v>41092</v>
      </c>
      <c r="P1924" s="461">
        <f t="shared" si="59"/>
        <v>-8</v>
      </c>
      <c r="Q1924" s="461" t="s">
        <v>2656</v>
      </c>
      <c r="R1924" s="757">
        <v>41100</v>
      </c>
      <c r="S1924" s="471">
        <v>41102</v>
      </c>
      <c r="T1924" s="836">
        <v>41120</v>
      </c>
      <c r="U1924" s="461">
        <f t="shared" si="60"/>
        <v>75</v>
      </c>
      <c r="V1924" s="461" t="s">
        <v>2657</v>
      </c>
      <c r="W1924" s="493" t="s">
        <v>2658</v>
      </c>
      <c r="X1924" s="457" t="s">
        <v>47</v>
      </c>
      <c r="Y1924" s="457"/>
      <c r="Z1924" s="468" t="s">
        <v>46</v>
      </c>
      <c r="AA1924" s="457"/>
      <c r="AB1924" s="460" t="s">
        <v>2659</v>
      </c>
      <c r="AC1924" s="722"/>
      <c r="AD1924" s="645" t="str">
        <f t="shared" si="61"/>
        <v>en término</v>
      </c>
    </row>
    <row r="1925" spans="2:30" s="649" customFormat="1" ht="54.95" customHeight="1" thickBot="1" x14ac:dyDescent="0.25">
      <c r="B1925" s="474" t="s">
        <v>36</v>
      </c>
      <c r="C1925" s="455" t="s">
        <v>133</v>
      </c>
      <c r="D1925" s="456" t="s">
        <v>2554</v>
      </c>
      <c r="E1925" s="501" t="s">
        <v>2555</v>
      </c>
      <c r="F1925" s="457">
        <v>4504634287</v>
      </c>
      <c r="G1925" s="457" t="s">
        <v>39</v>
      </c>
      <c r="H1925" s="458">
        <v>4360.22</v>
      </c>
      <c r="I1925" s="459" t="s">
        <v>52</v>
      </c>
      <c r="J1925" s="460">
        <v>41046</v>
      </c>
      <c r="K1925" s="461">
        <f t="shared" si="62"/>
        <v>64</v>
      </c>
      <c r="L1925" s="460">
        <v>41110</v>
      </c>
      <c r="M1925" s="460" t="s">
        <v>41</v>
      </c>
      <c r="N1925" s="457" t="s">
        <v>42</v>
      </c>
      <c r="O1925" s="460">
        <v>41092</v>
      </c>
      <c r="P1925" s="461">
        <f t="shared" si="59"/>
        <v>-8</v>
      </c>
      <c r="Q1925" s="461" t="s">
        <v>2656</v>
      </c>
      <c r="R1925" s="757">
        <v>41100</v>
      </c>
      <c r="S1925" s="471">
        <v>41102</v>
      </c>
      <c r="T1925" s="836">
        <v>41120</v>
      </c>
      <c r="U1925" s="461">
        <f t="shared" si="60"/>
        <v>74</v>
      </c>
      <c r="V1925" s="461" t="s">
        <v>53</v>
      </c>
      <c r="W1925" s="493" t="s">
        <v>2660</v>
      </c>
      <c r="X1925" s="457" t="s">
        <v>47</v>
      </c>
      <c r="Y1925" s="592"/>
      <c r="Z1925" s="468" t="s">
        <v>46</v>
      </c>
      <c r="AA1925" s="457"/>
      <c r="AB1925" s="460" t="s">
        <v>2659</v>
      </c>
      <c r="AC1925" s="722"/>
      <c r="AD1925" s="645" t="str">
        <f t="shared" si="61"/>
        <v>en término</v>
      </c>
    </row>
    <row r="1926" spans="2:30" s="649" customFormat="1" ht="54.95" customHeight="1" thickBot="1" x14ac:dyDescent="0.25">
      <c r="B1926" s="474" t="s">
        <v>36</v>
      </c>
      <c r="C1926" s="455" t="s">
        <v>133</v>
      </c>
      <c r="D1926" s="456" t="s">
        <v>2554</v>
      </c>
      <c r="E1926" s="501" t="s">
        <v>2555</v>
      </c>
      <c r="F1926" s="457">
        <v>4504562842</v>
      </c>
      <c r="G1926" s="457" t="s">
        <v>39</v>
      </c>
      <c r="H1926" s="458">
        <v>78397.19</v>
      </c>
      <c r="I1926" s="459" t="s">
        <v>142</v>
      </c>
      <c r="J1926" s="460">
        <v>41012</v>
      </c>
      <c r="K1926" s="461">
        <f t="shared" si="62"/>
        <v>90</v>
      </c>
      <c r="L1926" s="460">
        <v>41102</v>
      </c>
      <c r="M1926" s="460" t="s">
        <v>41</v>
      </c>
      <c r="N1926" s="457" t="s">
        <v>42</v>
      </c>
      <c r="O1926" s="460">
        <v>41092</v>
      </c>
      <c r="P1926" s="461">
        <f t="shared" si="59"/>
        <v>0</v>
      </c>
      <c r="Q1926" s="461" t="s">
        <v>2656</v>
      </c>
      <c r="R1926" s="757">
        <v>41100</v>
      </c>
      <c r="S1926" s="471">
        <v>41102</v>
      </c>
      <c r="T1926" s="836">
        <v>41120</v>
      </c>
      <c r="U1926" s="461">
        <f t="shared" si="60"/>
        <v>108</v>
      </c>
      <c r="V1926" s="461" t="s">
        <v>2405</v>
      </c>
      <c r="W1926" s="493" t="s">
        <v>2661</v>
      </c>
      <c r="X1926" s="457" t="s">
        <v>47</v>
      </c>
      <c r="Y1926" s="457"/>
      <c r="Z1926" s="468" t="s">
        <v>46</v>
      </c>
      <c r="AA1926" s="457" t="s">
        <v>47</v>
      </c>
      <c r="AB1926" s="460" t="s">
        <v>2662</v>
      </c>
      <c r="AC1926" s="722"/>
      <c r="AD1926" s="645" t="str">
        <f t="shared" si="61"/>
        <v>en término</v>
      </c>
    </row>
    <row r="1927" spans="2:30" s="649" customFormat="1" ht="54.95" customHeight="1" thickBot="1" x14ac:dyDescent="0.25">
      <c r="B1927" s="474" t="s">
        <v>36</v>
      </c>
      <c r="C1927" s="455" t="s">
        <v>37</v>
      </c>
      <c r="D1927" s="456" t="s">
        <v>2663</v>
      </c>
      <c r="E1927" s="591" t="s">
        <v>2664</v>
      </c>
      <c r="F1927" s="457">
        <v>12050001</v>
      </c>
      <c r="G1927" s="457" t="s">
        <v>39</v>
      </c>
      <c r="H1927" s="458">
        <v>43550.8</v>
      </c>
      <c r="I1927" s="459"/>
      <c r="J1927" s="460">
        <v>41037</v>
      </c>
      <c r="K1927" s="461">
        <f t="shared" si="62"/>
        <v>77</v>
      </c>
      <c r="L1927" s="460">
        <v>41114</v>
      </c>
      <c r="M1927" s="460" t="s">
        <v>41</v>
      </c>
      <c r="N1927" s="457" t="s">
        <v>42</v>
      </c>
      <c r="O1927" s="460">
        <v>41100</v>
      </c>
      <c r="P1927" s="461">
        <f t="shared" si="59"/>
        <v>-4</v>
      </c>
      <c r="Q1927" s="815" t="s">
        <v>2665</v>
      </c>
      <c r="R1927" s="757"/>
      <c r="S1927" s="471">
        <v>41110</v>
      </c>
      <c r="T1927" s="836">
        <f>+S1927+25</f>
        <v>41135</v>
      </c>
      <c r="U1927" s="461">
        <f t="shared" si="60"/>
        <v>98</v>
      </c>
      <c r="V1927" s="591" t="s">
        <v>892</v>
      </c>
      <c r="W1927" s="493" t="s">
        <v>2333</v>
      </c>
      <c r="X1927" s="592"/>
      <c r="Y1927" s="592"/>
      <c r="Z1927" s="468" t="s">
        <v>2666</v>
      </c>
      <c r="AA1927" s="457"/>
      <c r="AB1927" s="460" t="s">
        <v>2667</v>
      </c>
      <c r="AC1927" s="722"/>
      <c r="AD1927" s="645" t="str">
        <f t="shared" si="61"/>
        <v>en término</v>
      </c>
    </row>
    <row r="1928" spans="2:30" s="649" customFormat="1" ht="54.95" customHeight="1" thickBot="1" x14ac:dyDescent="0.25">
      <c r="B1928" s="474" t="s">
        <v>36</v>
      </c>
      <c r="C1928" s="455" t="s">
        <v>133</v>
      </c>
      <c r="D1928" s="456" t="s">
        <v>2668</v>
      </c>
      <c r="E1928" s="501" t="s">
        <v>2669</v>
      </c>
      <c r="F1928" s="457">
        <v>4504595983</v>
      </c>
      <c r="G1928" s="457" t="s">
        <v>39</v>
      </c>
      <c r="H1928" s="458">
        <v>41280</v>
      </c>
      <c r="I1928" s="459" t="s">
        <v>52</v>
      </c>
      <c r="J1928" s="460">
        <v>41026</v>
      </c>
      <c r="K1928" s="461">
        <f t="shared" si="62"/>
        <v>85</v>
      </c>
      <c r="L1928" s="460">
        <v>41111</v>
      </c>
      <c r="M1928" s="460" t="s">
        <v>41</v>
      </c>
      <c r="N1928" s="457" t="s">
        <v>42</v>
      </c>
      <c r="O1928" s="460">
        <v>41100</v>
      </c>
      <c r="P1928" s="461">
        <f t="shared" si="59"/>
        <v>-1</v>
      </c>
      <c r="Q1928" s="815" t="s">
        <v>2665</v>
      </c>
      <c r="R1928" s="757"/>
      <c r="S1928" s="471">
        <v>41110</v>
      </c>
      <c r="T1928" s="836">
        <f>+S1928+25</f>
        <v>41135</v>
      </c>
      <c r="U1928" s="461">
        <f t="shared" si="60"/>
        <v>109</v>
      </c>
      <c r="V1928" s="461" t="s">
        <v>2670</v>
      </c>
      <c r="W1928" s="493" t="s">
        <v>2338</v>
      </c>
      <c r="X1928" s="457"/>
      <c r="Y1928" s="592"/>
      <c r="Z1928" s="468" t="s">
        <v>2666</v>
      </c>
      <c r="AA1928" s="457"/>
      <c r="AB1928" s="460" t="s">
        <v>2671</v>
      </c>
      <c r="AC1928" s="722"/>
      <c r="AD1928" s="645" t="str">
        <f t="shared" si="61"/>
        <v>en término</v>
      </c>
    </row>
    <row r="1929" spans="2:30" s="649" customFormat="1" ht="54.95" customHeight="1" thickBot="1" x14ac:dyDescent="0.25">
      <c r="B1929" s="474" t="s">
        <v>36</v>
      </c>
      <c r="C1929" s="455" t="s">
        <v>133</v>
      </c>
      <c r="D1929" s="456" t="s">
        <v>2554</v>
      </c>
      <c r="E1929" s="501" t="s">
        <v>2555</v>
      </c>
      <c r="F1929" s="457">
        <v>4504626554</v>
      </c>
      <c r="G1929" s="457" t="s">
        <v>39</v>
      </c>
      <c r="H1929" s="458">
        <v>96264.43</v>
      </c>
      <c r="I1929" s="459" t="s">
        <v>62</v>
      </c>
      <c r="J1929" s="460">
        <v>41043</v>
      </c>
      <c r="K1929" s="461">
        <f t="shared" si="62"/>
        <v>97</v>
      </c>
      <c r="L1929" s="460">
        <v>41140</v>
      </c>
      <c r="M1929" s="460" t="s">
        <v>41</v>
      </c>
      <c r="N1929" s="457" t="s">
        <v>42</v>
      </c>
      <c r="O1929" s="460">
        <v>41121</v>
      </c>
      <c r="P1929" s="461">
        <f t="shared" si="59"/>
        <v>-6</v>
      </c>
      <c r="Q1929" s="461" t="s">
        <v>2672</v>
      </c>
      <c r="R1929" s="757">
        <v>41128</v>
      </c>
      <c r="S1929" s="836">
        <v>41134</v>
      </c>
      <c r="T1929" s="836">
        <v>41148</v>
      </c>
      <c r="U1929" s="461">
        <f t="shared" si="60"/>
        <v>105</v>
      </c>
      <c r="V1929" s="461" t="s">
        <v>1387</v>
      </c>
      <c r="W1929" s="493" t="s">
        <v>2673</v>
      </c>
      <c r="X1929" s="457" t="s">
        <v>47</v>
      </c>
      <c r="Y1929" s="457"/>
      <c r="Z1929" s="468"/>
      <c r="AA1929" s="457" t="s">
        <v>47</v>
      </c>
      <c r="AB1929" s="460" t="s">
        <v>2674</v>
      </c>
      <c r="AC1929" s="722"/>
      <c r="AD1929" s="645" t="str">
        <f t="shared" si="61"/>
        <v>en término</v>
      </c>
    </row>
    <row r="1930" spans="2:30" s="649" customFormat="1" ht="54.95" customHeight="1" thickBot="1" x14ac:dyDescent="0.25">
      <c r="B1930" s="474" t="s">
        <v>36</v>
      </c>
      <c r="C1930" s="455" t="s">
        <v>133</v>
      </c>
      <c r="D1930" s="456" t="s">
        <v>2554</v>
      </c>
      <c r="E1930" s="501" t="s">
        <v>2555</v>
      </c>
      <c r="F1930" s="457">
        <v>4504686764</v>
      </c>
      <c r="G1930" s="457" t="s">
        <v>39</v>
      </c>
      <c r="H1930" s="458">
        <v>131464.23000000001</v>
      </c>
      <c r="I1930" s="459" t="s">
        <v>52</v>
      </c>
      <c r="J1930" s="460">
        <v>41072</v>
      </c>
      <c r="K1930" s="461">
        <f t="shared" si="62"/>
        <v>63</v>
      </c>
      <c r="L1930" s="460">
        <v>41135</v>
      </c>
      <c r="M1930" s="460" t="s">
        <v>41</v>
      </c>
      <c r="N1930" s="457" t="s">
        <v>42</v>
      </c>
      <c r="O1930" s="460">
        <v>41121</v>
      </c>
      <c r="P1930" s="461">
        <f t="shared" si="59"/>
        <v>-1</v>
      </c>
      <c r="Q1930" s="461" t="s">
        <v>2672</v>
      </c>
      <c r="R1930" s="757">
        <v>41128</v>
      </c>
      <c r="S1930" s="836">
        <v>41134</v>
      </c>
      <c r="T1930" s="836">
        <v>41148</v>
      </c>
      <c r="U1930" s="461">
        <f t="shared" si="60"/>
        <v>76</v>
      </c>
      <c r="V1930" s="461" t="s">
        <v>2657</v>
      </c>
      <c r="W1930" s="493" t="s">
        <v>2368</v>
      </c>
      <c r="X1930" s="457"/>
      <c r="Y1930" s="457"/>
      <c r="Z1930" s="468"/>
      <c r="AA1930" s="457" t="s">
        <v>47</v>
      </c>
      <c r="AB1930" s="460" t="s">
        <v>2675</v>
      </c>
      <c r="AC1930" s="722"/>
      <c r="AD1930" s="645" t="str">
        <f t="shared" si="61"/>
        <v>en término</v>
      </c>
    </row>
    <row r="1931" spans="2:30" s="649" customFormat="1" ht="54.95" customHeight="1" thickBot="1" x14ac:dyDescent="0.25">
      <c r="B1931" s="474" t="s">
        <v>36</v>
      </c>
      <c r="C1931" s="455" t="s">
        <v>133</v>
      </c>
      <c r="D1931" s="456" t="s">
        <v>2554</v>
      </c>
      <c r="E1931" s="501" t="s">
        <v>2555</v>
      </c>
      <c r="F1931" s="457">
        <v>4504688123</v>
      </c>
      <c r="G1931" s="457" t="s">
        <v>39</v>
      </c>
      <c r="H1931" s="458">
        <v>3837.04</v>
      </c>
      <c r="I1931" s="459" t="s">
        <v>52</v>
      </c>
      <c r="J1931" s="460">
        <v>41073</v>
      </c>
      <c r="K1931" s="461">
        <f t="shared" si="62"/>
        <v>62</v>
      </c>
      <c r="L1931" s="460">
        <v>41135</v>
      </c>
      <c r="M1931" s="460" t="s">
        <v>41</v>
      </c>
      <c r="N1931" s="457" t="s">
        <v>42</v>
      </c>
      <c r="O1931" s="460">
        <v>41121</v>
      </c>
      <c r="P1931" s="461">
        <f t="shared" si="59"/>
        <v>-1</v>
      </c>
      <c r="Q1931" s="461" t="s">
        <v>2672</v>
      </c>
      <c r="R1931" s="757">
        <v>41128</v>
      </c>
      <c r="S1931" s="836">
        <v>41134</v>
      </c>
      <c r="T1931" s="836">
        <v>41148</v>
      </c>
      <c r="U1931" s="461">
        <f t="shared" si="60"/>
        <v>75</v>
      </c>
      <c r="V1931" s="461" t="s">
        <v>53</v>
      </c>
      <c r="W1931" s="493" t="s">
        <v>2352</v>
      </c>
      <c r="X1931" s="457"/>
      <c r="Y1931" s="592"/>
      <c r="Z1931" s="468"/>
      <c r="AA1931" s="457" t="s">
        <v>47</v>
      </c>
      <c r="AB1931" s="460" t="s">
        <v>2675</v>
      </c>
      <c r="AC1931" s="722"/>
      <c r="AD1931" s="645" t="str">
        <f t="shared" si="61"/>
        <v>en término</v>
      </c>
    </row>
    <row r="1932" spans="2:30" s="649" customFormat="1" ht="54.95" customHeight="1" thickBot="1" x14ac:dyDescent="0.25">
      <c r="B1932" s="474" t="s">
        <v>36</v>
      </c>
      <c r="C1932" s="455" t="s">
        <v>133</v>
      </c>
      <c r="D1932" s="456" t="s">
        <v>2554</v>
      </c>
      <c r="E1932" s="501" t="s">
        <v>2555</v>
      </c>
      <c r="F1932" s="1028">
        <v>4504638657</v>
      </c>
      <c r="G1932" s="457" t="s">
        <v>39</v>
      </c>
      <c r="H1932" s="1029">
        <v>131689.13</v>
      </c>
      <c r="I1932" s="459" t="s">
        <v>40</v>
      </c>
      <c r="J1932" s="460">
        <v>41050</v>
      </c>
      <c r="K1932" s="461">
        <f t="shared" si="62"/>
        <v>95</v>
      </c>
      <c r="L1932" s="460">
        <v>41145</v>
      </c>
      <c r="M1932" s="460" t="s">
        <v>41</v>
      </c>
      <c r="N1932" s="457" t="s">
        <v>42</v>
      </c>
      <c r="O1932" s="460">
        <v>41134</v>
      </c>
      <c r="P1932" s="461">
        <f t="shared" si="59"/>
        <v>-1</v>
      </c>
      <c r="Q1932" s="461" t="s">
        <v>2676</v>
      </c>
      <c r="R1932" s="757">
        <v>41142</v>
      </c>
      <c r="S1932" s="836">
        <v>41144</v>
      </c>
      <c r="T1932" s="836">
        <v>41162</v>
      </c>
      <c r="U1932" s="461">
        <f t="shared" si="60"/>
        <v>112</v>
      </c>
      <c r="V1932" s="461" t="s">
        <v>2677</v>
      </c>
      <c r="W1932" s="493" t="s">
        <v>2678</v>
      </c>
      <c r="X1932" s="457"/>
      <c r="Y1932" s="457"/>
      <c r="Z1932" s="468" t="s">
        <v>2679</v>
      </c>
      <c r="AA1932" s="457" t="s">
        <v>47</v>
      </c>
      <c r="AB1932" s="460" t="s">
        <v>2680</v>
      </c>
      <c r="AC1932" s="722"/>
      <c r="AD1932" s="645" t="str">
        <f t="shared" si="61"/>
        <v>en término</v>
      </c>
    </row>
    <row r="1933" spans="2:30" s="649" customFormat="1" ht="54.95" customHeight="1" thickBot="1" x14ac:dyDescent="0.25">
      <c r="B1933" s="474" t="s">
        <v>36</v>
      </c>
      <c r="C1933" s="455" t="s">
        <v>133</v>
      </c>
      <c r="D1933" s="456" t="s">
        <v>2554</v>
      </c>
      <c r="E1933" s="501" t="s">
        <v>2555</v>
      </c>
      <c r="F1933" s="457">
        <v>4504602618</v>
      </c>
      <c r="G1933" s="457" t="s">
        <v>39</v>
      </c>
      <c r="H1933" s="458">
        <v>335577.2</v>
      </c>
      <c r="I1933" s="459" t="s">
        <v>40</v>
      </c>
      <c r="J1933" s="460">
        <v>41029</v>
      </c>
      <c r="K1933" s="461">
        <f t="shared" si="62"/>
        <v>121</v>
      </c>
      <c r="L1933" s="460">
        <v>41150</v>
      </c>
      <c r="M1933" s="460" t="s">
        <v>41</v>
      </c>
      <c r="N1933" s="457" t="s">
        <v>42</v>
      </c>
      <c r="O1933" s="460">
        <v>41134</v>
      </c>
      <c r="P1933" s="461">
        <f t="shared" si="59"/>
        <v>-6</v>
      </c>
      <c r="Q1933" s="461" t="s">
        <v>2676</v>
      </c>
      <c r="R1933" s="757">
        <v>41142</v>
      </c>
      <c r="S1933" s="836">
        <v>41144</v>
      </c>
      <c r="T1933" s="836">
        <v>41162</v>
      </c>
      <c r="U1933" s="461">
        <f t="shared" si="60"/>
        <v>133</v>
      </c>
      <c r="V1933" s="461" t="s">
        <v>2681</v>
      </c>
      <c r="W1933" s="493" t="s">
        <v>2386</v>
      </c>
      <c r="X1933" s="457"/>
      <c r="Y1933" s="457"/>
      <c r="Z1933" s="468" t="s">
        <v>2679</v>
      </c>
      <c r="AA1933" s="457" t="s">
        <v>47</v>
      </c>
      <c r="AB1933" s="460" t="s">
        <v>2682</v>
      </c>
      <c r="AC1933" s="722"/>
      <c r="AD1933" s="645" t="str">
        <f t="shared" si="61"/>
        <v>en término</v>
      </c>
    </row>
    <row r="1934" spans="2:30" s="649" customFormat="1" ht="54.95" customHeight="1" thickBot="1" x14ac:dyDescent="0.25">
      <c r="B1934" s="474" t="s">
        <v>36</v>
      </c>
      <c r="C1934" s="455" t="s">
        <v>133</v>
      </c>
      <c r="D1934" s="456" t="s">
        <v>2668</v>
      </c>
      <c r="E1934" s="501" t="s">
        <v>2669</v>
      </c>
      <c r="F1934" s="457">
        <v>4504684963</v>
      </c>
      <c r="G1934" s="457" t="s">
        <v>39</v>
      </c>
      <c r="H1934" s="458">
        <v>13760</v>
      </c>
      <c r="I1934" s="459" t="s">
        <v>52</v>
      </c>
      <c r="J1934" s="460">
        <v>41072</v>
      </c>
      <c r="K1934" s="461">
        <f t="shared" si="62"/>
        <v>72</v>
      </c>
      <c r="L1934" s="460">
        <v>41144</v>
      </c>
      <c r="M1934" s="460" t="s">
        <v>41</v>
      </c>
      <c r="N1934" s="457" t="s">
        <v>42</v>
      </c>
      <c r="O1934" s="460">
        <v>41134</v>
      </c>
      <c r="P1934" s="461">
        <f t="shared" si="59"/>
        <v>0</v>
      </c>
      <c r="Q1934" s="461" t="s">
        <v>2676</v>
      </c>
      <c r="R1934" s="757">
        <v>41142</v>
      </c>
      <c r="S1934" s="836">
        <v>41144</v>
      </c>
      <c r="T1934" s="836">
        <v>41162</v>
      </c>
      <c r="U1934" s="461">
        <f t="shared" si="60"/>
        <v>90</v>
      </c>
      <c r="V1934" s="461" t="s">
        <v>2683</v>
      </c>
      <c r="W1934" s="493" t="s">
        <v>2684</v>
      </c>
      <c r="X1934" s="457"/>
      <c r="Y1934" s="592"/>
      <c r="Z1934" s="468" t="s">
        <v>2679</v>
      </c>
      <c r="AA1934" s="457" t="s">
        <v>47</v>
      </c>
      <c r="AB1934" s="460" t="s">
        <v>2685</v>
      </c>
      <c r="AC1934" s="722"/>
      <c r="AD1934" s="645" t="str">
        <f t="shared" si="61"/>
        <v>en término</v>
      </c>
    </row>
    <row r="1935" spans="2:30" s="649" customFormat="1" ht="54.95" customHeight="1" thickBot="1" x14ac:dyDescent="0.25">
      <c r="B1935" s="474" t="s">
        <v>36</v>
      </c>
      <c r="C1935" s="455" t="s">
        <v>133</v>
      </c>
      <c r="D1935" s="456" t="s">
        <v>2686</v>
      </c>
      <c r="E1935" s="501" t="s">
        <v>2687</v>
      </c>
      <c r="F1935" s="457">
        <v>4504599619</v>
      </c>
      <c r="G1935" s="457" t="s">
        <v>39</v>
      </c>
      <c r="H1935" s="458">
        <v>41502.31</v>
      </c>
      <c r="I1935" s="459" t="s">
        <v>52</v>
      </c>
      <c r="J1935" s="460">
        <v>41026</v>
      </c>
      <c r="K1935" s="461">
        <f t="shared" si="62"/>
        <v>102</v>
      </c>
      <c r="L1935" s="460">
        <v>41128</v>
      </c>
      <c r="M1935" s="460" t="s">
        <v>41</v>
      </c>
      <c r="N1935" s="457" t="s">
        <v>42</v>
      </c>
      <c r="O1935" s="460">
        <v>41134</v>
      </c>
      <c r="P1935" s="461">
        <f t="shared" si="59"/>
        <v>16</v>
      </c>
      <c r="Q1935" s="461" t="s">
        <v>2676</v>
      </c>
      <c r="R1935" s="757">
        <v>41142</v>
      </c>
      <c r="S1935" s="836">
        <v>41144</v>
      </c>
      <c r="T1935" s="462">
        <v>41162</v>
      </c>
      <c r="U1935" s="461">
        <f t="shared" si="60"/>
        <v>136</v>
      </c>
      <c r="V1935" s="461" t="s">
        <v>53</v>
      </c>
      <c r="W1935" s="493" t="s">
        <v>2688</v>
      </c>
      <c r="X1935" s="457"/>
      <c r="Y1935" s="592"/>
      <c r="Z1935" s="468" t="s">
        <v>2679</v>
      </c>
      <c r="AA1935" s="457" t="s">
        <v>47</v>
      </c>
      <c r="AB1935" s="589" t="s">
        <v>2689</v>
      </c>
      <c r="AC1935" s="722"/>
      <c r="AD1935" s="645" t="str">
        <f t="shared" si="61"/>
        <v>atrasado</v>
      </c>
    </row>
    <row r="1936" spans="2:30" s="649" customFormat="1" ht="54.95" customHeight="1" thickBot="1" x14ac:dyDescent="0.25">
      <c r="B1936" s="474" t="s">
        <v>36</v>
      </c>
      <c r="C1936" s="455" t="s">
        <v>133</v>
      </c>
      <c r="D1936" s="456" t="s">
        <v>2668</v>
      </c>
      <c r="E1936" s="501" t="s">
        <v>2669</v>
      </c>
      <c r="F1936" s="457">
        <v>4504744514</v>
      </c>
      <c r="G1936" s="457" t="s">
        <v>39</v>
      </c>
      <c r="H1936" s="458">
        <v>13760</v>
      </c>
      <c r="I1936" s="459" t="s">
        <v>52</v>
      </c>
      <c r="J1936" s="460">
        <v>41102</v>
      </c>
      <c r="K1936" s="461">
        <f t="shared" si="62"/>
        <v>71</v>
      </c>
      <c r="L1936" s="460">
        <v>41173</v>
      </c>
      <c r="M1936" s="460" t="s">
        <v>41</v>
      </c>
      <c r="N1936" s="457" t="s">
        <v>42</v>
      </c>
      <c r="O1936" s="460">
        <v>41156</v>
      </c>
      <c r="P1936" s="461">
        <f t="shared" si="59"/>
        <v>-3</v>
      </c>
      <c r="Q1936" s="591" t="s">
        <v>2690</v>
      </c>
      <c r="R1936" s="757">
        <v>41165</v>
      </c>
      <c r="S1936" s="836">
        <v>41170</v>
      </c>
      <c r="T1936" s="836">
        <v>41182</v>
      </c>
      <c r="U1936" s="461">
        <f t="shared" si="60"/>
        <v>80</v>
      </c>
      <c r="V1936" s="461" t="s">
        <v>2683</v>
      </c>
      <c r="W1936" s="493">
        <v>100</v>
      </c>
      <c r="X1936" s="457"/>
      <c r="Y1936" s="592"/>
      <c r="Z1936" s="468" t="s">
        <v>2691</v>
      </c>
      <c r="AA1936" s="457" t="s">
        <v>47</v>
      </c>
      <c r="AB1936" s="460" t="s">
        <v>1787</v>
      </c>
      <c r="AC1936" s="722"/>
      <c r="AD1936" s="645" t="str">
        <f t="shared" si="61"/>
        <v>en término</v>
      </c>
    </row>
    <row r="1937" spans="2:30" s="649" customFormat="1" ht="54.95" customHeight="1" thickBot="1" x14ac:dyDescent="0.25">
      <c r="B1937" s="474" t="s">
        <v>36</v>
      </c>
      <c r="C1937" s="455" t="s">
        <v>133</v>
      </c>
      <c r="D1937" s="456" t="s">
        <v>2686</v>
      </c>
      <c r="E1937" s="501" t="s">
        <v>2687</v>
      </c>
      <c r="F1937" s="457">
        <v>4504688111</v>
      </c>
      <c r="G1937" s="457" t="s">
        <v>39</v>
      </c>
      <c r="H1937" s="458">
        <v>21919.05</v>
      </c>
      <c r="I1937" s="459" t="s">
        <v>52</v>
      </c>
      <c r="J1937" s="460">
        <v>41073</v>
      </c>
      <c r="K1937" s="461">
        <f t="shared" si="62"/>
        <v>92</v>
      </c>
      <c r="L1937" s="460">
        <v>41165</v>
      </c>
      <c r="M1937" s="460" t="s">
        <v>41</v>
      </c>
      <c r="N1937" s="457" t="s">
        <v>42</v>
      </c>
      <c r="O1937" s="460">
        <v>41156</v>
      </c>
      <c r="P1937" s="461">
        <f t="shared" si="59"/>
        <v>5</v>
      </c>
      <c r="Q1937" s="591" t="s">
        <v>2690</v>
      </c>
      <c r="R1937" s="757">
        <v>41165</v>
      </c>
      <c r="S1937" s="836">
        <v>41170</v>
      </c>
      <c r="T1937" s="462">
        <v>41182</v>
      </c>
      <c r="U1937" s="461">
        <f t="shared" si="60"/>
        <v>109</v>
      </c>
      <c r="V1937" s="461" t="s">
        <v>53</v>
      </c>
      <c r="W1937" s="493" t="s">
        <v>2692</v>
      </c>
      <c r="X1937" s="457"/>
      <c r="Y1937" s="592"/>
      <c r="Z1937" s="468" t="s">
        <v>2691</v>
      </c>
      <c r="AA1937" s="457" t="s">
        <v>47</v>
      </c>
      <c r="AB1937" s="589" t="s">
        <v>2693</v>
      </c>
      <c r="AC1937" s="722"/>
      <c r="AD1937" s="645" t="str">
        <f t="shared" si="61"/>
        <v>atrasado</v>
      </c>
    </row>
    <row r="1938" spans="2:30" s="649" customFormat="1" ht="54.95" customHeight="1" thickBot="1" x14ac:dyDescent="0.25">
      <c r="B1938" s="474" t="s">
        <v>36</v>
      </c>
      <c r="C1938" s="455" t="s">
        <v>133</v>
      </c>
      <c r="D1938" s="456" t="s">
        <v>2554</v>
      </c>
      <c r="E1938" s="501" t="s">
        <v>2555</v>
      </c>
      <c r="F1938" s="457">
        <v>4504741736</v>
      </c>
      <c r="G1938" s="457" t="s">
        <v>39</v>
      </c>
      <c r="H1938" s="458">
        <v>99520.35</v>
      </c>
      <c r="I1938" s="459" t="s">
        <v>52</v>
      </c>
      <c r="J1938" s="460">
        <v>41101</v>
      </c>
      <c r="K1938" s="461">
        <f t="shared" si="62"/>
        <v>62</v>
      </c>
      <c r="L1938" s="460">
        <v>41163</v>
      </c>
      <c r="M1938" s="460" t="s">
        <v>41</v>
      </c>
      <c r="N1938" s="457" t="s">
        <v>42</v>
      </c>
      <c r="O1938" s="460">
        <v>41156</v>
      </c>
      <c r="P1938" s="461">
        <f t="shared" si="59"/>
        <v>7</v>
      </c>
      <c r="Q1938" s="591" t="s">
        <v>2690</v>
      </c>
      <c r="R1938" s="757">
        <v>41165</v>
      </c>
      <c r="S1938" s="836">
        <v>41170</v>
      </c>
      <c r="T1938" s="462">
        <v>41182</v>
      </c>
      <c r="U1938" s="461">
        <f t="shared" si="60"/>
        <v>81</v>
      </c>
      <c r="V1938" s="461" t="s">
        <v>1307</v>
      </c>
      <c r="W1938" s="493" t="s">
        <v>2377</v>
      </c>
      <c r="X1938" s="457"/>
      <c r="Y1938" s="457"/>
      <c r="Z1938" s="468" t="s">
        <v>2691</v>
      </c>
      <c r="AA1938" s="457" t="s">
        <v>47</v>
      </c>
      <c r="AB1938" s="589" t="s">
        <v>2694</v>
      </c>
      <c r="AC1938" s="722"/>
      <c r="AD1938" s="645" t="str">
        <f t="shared" si="61"/>
        <v>atrasado</v>
      </c>
    </row>
    <row r="1939" spans="2:30" s="649" customFormat="1" ht="54.95" customHeight="1" thickBot="1" x14ac:dyDescent="0.25">
      <c r="B1939" s="474" t="s">
        <v>36</v>
      </c>
      <c r="C1939" s="455" t="s">
        <v>133</v>
      </c>
      <c r="D1939" s="456" t="s">
        <v>2554</v>
      </c>
      <c r="E1939" s="501" t="s">
        <v>2555</v>
      </c>
      <c r="F1939" s="457">
        <v>4504747839</v>
      </c>
      <c r="G1939" s="457" t="s">
        <v>39</v>
      </c>
      <c r="H1939" s="458">
        <v>4752.12</v>
      </c>
      <c r="I1939" s="459" t="s">
        <v>52</v>
      </c>
      <c r="J1939" s="460">
        <v>41103</v>
      </c>
      <c r="K1939" s="461">
        <f t="shared" si="62"/>
        <v>63</v>
      </c>
      <c r="L1939" s="460">
        <v>41166</v>
      </c>
      <c r="M1939" s="460" t="s">
        <v>41</v>
      </c>
      <c r="N1939" s="457" t="s">
        <v>42</v>
      </c>
      <c r="O1939" s="460">
        <v>41156</v>
      </c>
      <c r="P1939" s="461">
        <f t="shared" si="59"/>
        <v>4</v>
      </c>
      <c r="Q1939" s="591" t="s">
        <v>2690</v>
      </c>
      <c r="R1939" s="757">
        <v>41165</v>
      </c>
      <c r="S1939" s="836">
        <v>41170</v>
      </c>
      <c r="T1939" s="462">
        <v>41182</v>
      </c>
      <c r="U1939" s="461">
        <f t="shared" si="60"/>
        <v>79</v>
      </c>
      <c r="V1939" s="461" t="s">
        <v>53</v>
      </c>
      <c r="W1939" s="493">
        <v>101</v>
      </c>
      <c r="X1939" s="457"/>
      <c r="Y1939" s="592"/>
      <c r="Z1939" s="468" t="s">
        <v>2691</v>
      </c>
      <c r="AA1939" s="457" t="s">
        <v>47</v>
      </c>
      <c r="AB1939" s="589" t="s">
        <v>2695</v>
      </c>
      <c r="AC1939" s="722"/>
      <c r="AD1939" s="645" t="str">
        <f t="shared" si="61"/>
        <v>atrasado</v>
      </c>
    </row>
    <row r="1940" spans="2:30" s="649" customFormat="1" ht="54.95" customHeight="1" thickBot="1" x14ac:dyDescent="0.25">
      <c r="B1940" s="474" t="s">
        <v>36</v>
      </c>
      <c r="C1940" s="455" t="s">
        <v>37</v>
      </c>
      <c r="D1940" s="456" t="s">
        <v>2696</v>
      </c>
      <c r="E1940" s="591">
        <v>4504710969</v>
      </c>
      <c r="F1940" s="457">
        <v>12070001</v>
      </c>
      <c r="G1940" s="457" t="s">
        <v>39</v>
      </c>
      <c r="H1940" s="458">
        <v>4900</v>
      </c>
      <c r="I1940" s="459"/>
      <c r="J1940" s="460">
        <v>41096</v>
      </c>
      <c r="K1940" s="461">
        <f t="shared" si="62"/>
        <v>96</v>
      </c>
      <c r="L1940" s="460">
        <v>41192</v>
      </c>
      <c r="M1940" s="460" t="s">
        <v>41</v>
      </c>
      <c r="N1940" s="457" t="s">
        <v>42</v>
      </c>
      <c r="O1940" s="460">
        <v>41170</v>
      </c>
      <c r="P1940" s="461">
        <f t="shared" si="59"/>
        <v>-12</v>
      </c>
      <c r="Q1940" s="591" t="s">
        <v>2697</v>
      </c>
      <c r="R1940" s="757">
        <v>41177</v>
      </c>
      <c r="S1940" s="836">
        <v>41180</v>
      </c>
      <c r="T1940" s="462">
        <v>41197</v>
      </c>
      <c r="U1940" s="461">
        <f t="shared" si="60"/>
        <v>101</v>
      </c>
      <c r="V1940" s="591" t="s">
        <v>1228</v>
      </c>
      <c r="W1940" s="493">
        <v>107</v>
      </c>
      <c r="X1940" s="592"/>
      <c r="Y1940" s="592"/>
      <c r="Z1940" s="468" t="s">
        <v>2698</v>
      </c>
      <c r="AA1940" s="457" t="s">
        <v>47</v>
      </c>
      <c r="AB1940" s="460" t="s">
        <v>47</v>
      </c>
      <c r="AC1940" s="722" t="s">
        <v>2699</v>
      </c>
      <c r="AD1940" s="645" t="str">
        <f t="shared" si="61"/>
        <v>en término</v>
      </c>
    </row>
    <row r="1941" spans="2:30" s="649" customFormat="1" ht="54.95" customHeight="1" thickBot="1" x14ac:dyDescent="0.25">
      <c r="B1941" s="474" t="s">
        <v>36</v>
      </c>
      <c r="C1941" s="455" t="s">
        <v>37</v>
      </c>
      <c r="D1941" s="456" t="s">
        <v>2700</v>
      </c>
      <c r="E1941" s="591">
        <v>4504763495</v>
      </c>
      <c r="F1941" s="457">
        <v>12080001</v>
      </c>
      <c r="G1941" s="457" t="s">
        <v>39</v>
      </c>
      <c r="H1941" s="458">
        <v>4200</v>
      </c>
      <c r="I1941" s="459" t="s">
        <v>142</v>
      </c>
      <c r="J1941" s="460">
        <v>41114</v>
      </c>
      <c r="K1941" s="461">
        <v>90</v>
      </c>
      <c r="L1941" s="460">
        <f>+J1941+K1941</f>
        <v>41204</v>
      </c>
      <c r="M1941" s="460" t="s">
        <v>41</v>
      </c>
      <c r="N1941" s="457" t="s">
        <v>42</v>
      </c>
      <c r="O1941" s="460">
        <v>41170</v>
      </c>
      <c r="P1941" s="461">
        <f t="shared" si="59"/>
        <v>-24</v>
      </c>
      <c r="Q1941" s="591" t="s">
        <v>2697</v>
      </c>
      <c r="R1941" s="757">
        <v>41177</v>
      </c>
      <c r="S1941" s="836">
        <v>41180</v>
      </c>
      <c r="T1941" s="462">
        <v>41197</v>
      </c>
      <c r="U1941" s="461">
        <f t="shared" si="60"/>
        <v>83</v>
      </c>
      <c r="V1941" s="591" t="s">
        <v>53</v>
      </c>
      <c r="W1941" s="493">
        <v>107</v>
      </c>
      <c r="X1941" s="592"/>
      <c r="Y1941" s="592"/>
      <c r="Z1941" s="468" t="s">
        <v>2698</v>
      </c>
      <c r="AA1941" s="457" t="s">
        <v>47</v>
      </c>
      <c r="AB1941" s="460" t="s">
        <v>47</v>
      </c>
      <c r="AC1941" s="722" t="s">
        <v>2699</v>
      </c>
      <c r="AD1941" s="645" t="str">
        <f t="shared" si="61"/>
        <v>en término</v>
      </c>
    </row>
    <row r="1942" spans="2:30" s="649" customFormat="1" ht="54.95" customHeight="1" thickBot="1" x14ac:dyDescent="0.25">
      <c r="B1942" s="474" t="s">
        <v>36</v>
      </c>
      <c r="C1942" s="455" t="s">
        <v>37</v>
      </c>
      <c r="D1942" s="456" t="s">
        <v>2701</v>
      </c>
      <c r="E1942" s="591">
        <v>4504801897</v>
      </c>
      <c r="F1942" s="457">
        <v>12080005</v>
      </c>
      <c r="G1942" s="457" t="s">
        <v>39</v>
      </c>
      <c r="H1942" s="458">
        <v>1590</v>
      </c>
      <c r="I1942" s="459" t="s">
        <v>40</v>
      </c>
      <c r="J1942" s="460">
        <v>41130</v>
      </c>
      <c r="K1942" s="461">
        <v>90</v>
      </c>
      <c r="L1942" s="460">
        <v>41197</v>
      </c>
      <c r="M1942" s="460" t="s">
        <v>41</v>
      </c>
      <c r="N1942" s="457" t="s">
        <v>42</v>
      </c>
      <c r="O1942" s="460">
        <v>41170</v>
      </c>
      <c r="P1942" s="461">
        <f t="shared" si="59"/>
        <v>-17</v>
      </c>
      <c r="Q1942" s="591" t="s">
        <v>2697</v>
      </c>
      <c r="R1942" s="757">
        <v>41177</v>
      </c>
      <c r="S1942" s="836">
        <v>41180</v>
      </c>
      <c r="T1942" s="462">
        <v>41197</v>
      </c>
      <c r="U1942" s="461">
        <f t="shared" si="60"/>
        <v>67</v>
      </c>
      <c r="V1942" s="591" t="s">
        <v>53</v>
      </c>
      <c r="W1942" s="493">
        <v>107</v>
      </c>
      <c r="X1942" s="592"/>
      <c r="Y1942" s="592"/>
      <c r="Z1942" s="468" t="s">
        <v>2698</v>
      </c>
      <c r="AA1942" s="457" t="s">
        <v>47</v>
      </c>
      <c r="AB1942" s="460" t="s">
        <v>47</v>
      </c>
      <c r="AC1942" s="722" t="s">
        <v>2699</v>
      </c>
      <c r="AD1942" s="645" t="str">
        <f t="shared" si="61"/>
        <v>en término</v>
      </c>
    </row>
    <row r="1943" spans="2:30" s="649" customFormat="1" ht="54.95" customHeight="1" thickBot="1" x14ac:dyDescent="0.25">
      <c r="B1943" s="474" t="s">
        <v>36</v>
      </c>
      <c r="C1943" s="455" t="s">
        <v>133</v>
      </c>
      <c r="D1943" s="456" t="s">
        <v>2686</v>
      </c>
      <c r="E1943" s="501" t="s">
        <v>2555</v>
      </c>
      <c r="F1943" s="457">
        <v>4504709231</v>
      </c>
      <c r="G1943" s="457" t="s">
        <v>39</v>
      </c>
      <c r="H1943" s="458">
        <v>275919.86</v>
      </c>
      <c r="I1943" s="459" t="s">
        <v>142</v>
      </c>
      <c r="J1943" s="460">
        <v>41086</v>
      </c>
      <c r="K1943" s="461">
        <f t="shared" ref="K1943:K1953" si="63">+L1943-J1943</f>
        <v>91</v>
      </c>
      <c r="L1943" s="460">
        <v>41177</v>
      </c>
      <c r="M1943" s="460" t="s">
        <v>41</v>
      </c>
      <c r="N1943" s="457" t="s">
        <v>42</v>
      </c>
      <c r="O1943" s="460">
        <v>41170</v>
      </c>
      <c r="P1943" s="461">
        <f t="shared" si="59"/>
        <v>3</v>
      </c>
      <c r="Q1943" s="591" t="s">
        <v>2697</v>
      </c>
      <c r="R1943" s="757">
        <v>41177</v>
      </c>
      <c r="S1943" s="836">
        <v>41180</v>
      </c>
      <c r="T1943" s="836">
        <v>41197</v>
      </c>
      <c r="U1943" s="461">
        <f t="shared" si="60"/>
        <v>111</v>
      </c>
      <c r="V1943" s="461" t="s">
        <v>2702</v>
      </c>
      <c r="W1943" s="493">
        <v>108</v>
      </c>
      <c r="X1943" s="457"/>
      <c r="Y1943" s="457"/>
      <c r="Z1943" s="468" t="s">
        <v>2698</v>
      </c>
      <c r="AA1943" s="457" t="s">
        <v>47</v>
      </c>
      <c r="AB1943" s="460" t="s">
        <v>2703</v>
      </c>
      <c r="AC1943" s="722" t="s">
        <v>2704</v>
      </c>
      <c r="AD1943" s="645" t="str">
        <f t="shared" si="61"/>
        <v>atrasado</v>
      </c>
    </row>
    <row r="1944" spans="2:30" s="649" customFormat="1" ht="54.95" customHeight="1" thickBot="1" x14ac:dyDescent="0.25">
      <c r="B1944" s="474" t="s">
        <v>36</v>
      </c>
      <c r="C1944" s="455" t="s">
        <v>133</v>
      </c>
      <c r="D1944" s="456" t="s">
        <v>2554</v>
      </c>
      <c r="E1944" s="501" t="s">
        <v>2555</v>
      </c>
      <c r="F1944" s="457">
        <v>4504701133</v>
      </c>
      <c r="G1944" s="457" t="s">
        <v>39</v>
      </c>
      <c r="H1944" s="458">
        <v>169793.25</v>
      </c>
      <c r="I1944" s="459" t="s">
        <v>40</v>
      </c>
      <c r="J1944" s="460">
        <v>41081</v>
      </c>
      <c r="K1944" s="461">
        <f t="shared" si="63"/>
        <v>99</v>
      </c>
      <c r="L1944" s="460">
        <v>41180</v>
      </c>
      <c r="M1944" s="460" t="s">
        <v>41</v>
      </c>
      <c r="N1944" s="457" t="s">
        <v>42</v>
      </c>
      <c r="O1944" s="460">
        <v>41170</v>
      </c>
      <c r="P1944" s="461">
        <f t="shared" si="59"/>
        <v>0</v>
      </c>
      <c r="Q1944" s="591" t="s">
        <v>2697</v>
      </c>
      <c r="R1944" s="757">
        <v>41177</v>
      </c>
      <c r="S1944" s="836">
        <v>41180</v>
      </c>
      <c r="T1944" s="462">
        <v>41197</v>
      </c>
      <c r="U1944" s="461">
        <f t="shared" si="60"/>
        <v>116</v>
      </c>
      <c r="V1944" s="461" t="s">
        <v>2705</v>
      </c>
      <c r="W1944" s="493">
        <v>109</v>
      </c>
      <c r="X1944" s="457"/>
      <c r="Y1944" s="457"/>
      <c r="Z1944" s="468" t="s">
        <v>2698</v>
      </c>
      <c r="AA1944" s="457" t="s">
        <v>47</v>
      </c>
      <c r="AB1944" s="460" t="s">
        <v>2706</v>
      </c>
      <c r="AC1944" s="722" t="s">
        <v>2699</v>
      </c>
      <c r="AD1944" s="645" t="str">
        <f t="shared" si="61"/>
        <v>en término</v>
      </c>
    </row>
    <row r="1945" spans="2:30" s="649" customFormat="1" ht="54.95" customHeight="1" thickBot="1" x14ac:dyDescent="0.25">
      <c r="B1945" s="474" t="s">
        <v>36</v>
      </c>
      <c r="C1945" s="455" t="s">
        <v>37</v>
      </c>
      <c r="D1945" s="456" t="s">
        <v>2707</v>
      </c>
      <c r="E1945" s="1034">
        <v>4504710477</v>
      </c>
      <c r="F1945" s="1028">
        <v>12070002</v>
      </c>
      <c r="G1945" s="457" t="s">
        <v>39</v>
      </c>
      <c r="H1945" s="458">
        <v>51680</v>
      </c>
      <c r="I1945" s="459" t="s">
        <v>142</v>
      </c>
      <c r="J1945" s="460">
        <v>41094</v>
      </c>
      <c r="K1945" s="461">
        <f t="shared" si="63"/>
        <v>123</v>
      </c>
      <c r="L1945" s="460">
        <v>41217</v>
      </c>
      <c r="M1945" s="460" t="s">
        <v>41</v>
      </c>
      <c r="N1945" s="457" t="s">
        <v>42</v>
      </c>
      <c r="O1945" s="460">
        <v>41184</v>
      </c>
      <c r="P1945" s="461">
        <f t="shared" ref="P1945:P1975" si="64">IF(S1945="","",+S1945-L1945)</f>
        <v>-23</v>
      </c>
      <c r="Q1945" s="591" t="s">
        <v>2708</v>
      </c>
      <c r="R1945" s="757">
        <v>41191</v>
      </c>
      <c r="S1945" s="836">
        <v>41194</v>
      </c>
      <c r="T1945" s="462">
        <v>41211</v>
      </c>
      <c r="U1945" s="461">
        <f t="shared" ref="U1945:U1975" si="65">IF(T1945="","",+T1945-J1945)</f>
        <v>117</v>
      </c>
      <c r="V1945" s="591" t="s">
        <v>2709</v>
      </c>
      <c r="W1945" s="493">
        <v>111</v>
      </c>
      <c r="X1945" s="592"/>
      <c r="Y1945" s="457"/>
      <c r="Z1945" s="468" t="s">
        <v>2710</v>
      </c>
      <c r="AA1945" s="457" t="s">
        <v>47</v>
      </c>
      <c r="AB1945" s="460" t="s">
        <v>47</v>
      </c>
      <c r="AC1945" s="722"/>
      <c r="AD1945" s="645" t="str">
        <f t="shared" ref="AD1945:AD1969" si="66">IF(P1945="","",IF(P1945&lt;=0,"en término","atrasado"))</f>
        <v>en término</v>
      </c>
    </row>
    <row r="1946" spans="2:30" s="649" customFormat="1" ht="54.95" customHeight="1" thickBot="1" x14ac:dyDescent="0.25">
      <c r="B1946" s="474" t="s">
        <v>36</v>
      </c>
      <c r="C1946" s="455" t="s">
        <v>133</v>
      </c>
      <c r="D1946" s="456" t="s">
        <v>2554</v>
      </c>
      <c r="E1946" s="501" t="s">
        <v>2555</v>
      </c>
      <c r="F1946" s="457">
        <v>4504800893</v>
      </c>
      <c r="G1946" s="457" t="s">
        <v>39</v>
      </c>
      <c r="H1946" s="458">
        <v>57152.2</v>
      </c>
      <c r="I1946" s="459" t="s">
        <v>52</v>
      </c>
      <c r="J1946" s="460">
        <v>41130</v>
      </c>
      <c r="K1946" s="461">
        <f t="shared" si="63"/>
        <v>67</v>
      </c>
      <c r="L1946" s="460">
        <v>41197</v>
      </c>
      <c r="M1946" s="460" t="s">
        <v>41</v>
      </c>
      <c r="N1946" s="457" t="s">
        <v>42</v>
      </c>
      <c r="O1946" s="460">
        <v>41184</v>
      </c>
      <c r="P1946" s="461">
        <f t="shared" si="64"/>
        <v>-3</v>
      </c>
      <c r="Q1946" s="591" t="s">
        <v>2708</v>
      </c>
      <c r="R1946" s="757">
        <v>41191</v>
      </c>
      <c r="S1946" s="836">
        <v>41194</v>
      </c>
      <c r="T1946" s="462">
        <v>41211</v>
      </c>
      <c r="U1946" s="461">
        <f t="shared" si="65"/>
        <v>81</v>
      </c>
      <c r="V1946" s="461" t="s">
        <v>955</v>
      </c>
      <c r="W1946" s="493">
        <v>112</v>
      </c>
      <c r="X1946" s="457"/>
      <c r="Y1946" s="457"/>
      <c r="Z1946" s="468" t="s">
        <v>2710</v>
      </c>
      <c r="AA1946" s="457" t="s">
        <v>47</v>
      </c>
      <c r="AB1946" s="460" t="s">
        <v>2711</v>
      </c>
      <c r="AC1946" s="722"/>
      <c r="AD1946" s="645" t="str">
        <f t="shared" si="66"/>
        <v>en término</v>
      </c>
    </row>
    <row r="1947" spans="2:30" s="649" customFormat="1" ht="54.95" customHeight="1" thickBot="1" x14ac:dyDescent="0.25">
      <c r="B1947" s="474" t="s">
        <v>36</v>
      </c>
      <c r="C1947" s="455" t="s">
        <v>133</v>
      </c>
      <c r="D1947" s="456" t="s">
        <v>2554</v>
      </c>
      <c r="E1947" s="501" t="s">
        <v>2555</v>
      </c>
      <c r="F1947" s="457">
        <v>4504800897</v>
      </c>
      <c r="G1947" s="457" t="s">
        <v>39</v>
      </c>
      <c r="H1947" s="458">
        <v>4567.8100000000004</v>
      </c>
      <c r="I1947" s="459" t="s">
        <v>52</v>
      </c>
      <c r="J1947" s="460">
        <v>41130</v>
      </c>
      <c r="K1947" s="461">
        <f t="shared" si="63"/>
        <v>67</v>
      </c>
      <c r="L1947" s="460">
        <v>41197</v>
      </c>
      <c r="M1947" s="460" t="s">
        <v>41</v>
      </c>
      <c r="N1947" s="457" t="s">
        <v>42</v>
      </c>
      <c r="O1947" s="460">
        <v>41184</v>
      </c>
      <c r="P1947" s="461">
        <f t="shared" si="64"/>
        <v>-3</v>
      </c>
      <c r="Q1947" s="591" t="s">
        <v>2708</v>
      </c>
      <c r="R1947" s="757">
        <v>41191</v>
      </c>
      <c r="S1947" s="836">
        <v>41194</v>
      </c>
      <c r="T1947" s="462">
        <v>41211</v>
      </c>
      <c r="U1947" s="461">
        <f t="shared" si="65"/>
        <v>81</v>
      </c>
      <c r="V1947" s="461" t="s">
        <v>53</v>
      </c>
      <c r="W1947" s="493">
        <v>113</v>
      </c>
      <c r="X1947" s="457"/>
      <c r="Y1947" s="592"/>
      <c r="Z1947" s="468" t="s">
        <v>2710</v>
      </c>
      <c r="AA1947" s="457" t="s">
        <v>47</v>
      </c>
      <c r="AB1947" s="460" t="s">
        <v>2712</v>
      </c>
      <c r="AC1947" s="722"/>
      <c r="AD1947" s="645" t="str">
        <f t="shared" si="66"/>
        <v>en término</v>
      </c>
    </row>
    <row r="1948" spans="2:30" s="649" customFormat="1" ht="54.95" customHeight="1" thickBot="1" x14ac:dyDescent="0.25">
      <c r="B1948" s="474" t="s">
        <v>36</v>
      </c>
      <c r="C1948" s="455" t="s">
        <v>133</v>
      </c>
      <c r="D1948" s="456" t="s">
        <v>2668</v>
      </c>
      <c r="E1948" s="501" t="s">
        <v>2669</v>
      </c>
      <c r="F1948" s="457">
        <v>4504801403</v>
      </c>
      <c r="G1948" s="457" t="s">
        <v>39</v>
      </c>
      <c r="H1948" s="458">
        <v>13760</v>
      </c>
      <c r="I1948" s="459" t="s">
        <v>52</v>
      </c>
      <c r="J1948" s="460">
        <v>41130</v>
      </c>
      <c r="K1948" s="461">
        <f t="shared" si="63"/>
        <v>74</v>
      </c>
      <c r="L1948" s="460">
        <v>41204</v>
      </c>
      <c r="M1948" s="460" t="s">
        <v>41</v>
      </c>
      <c r="N1948" s="457" t="s">
        <v>42</v>
      </c>
      <c r="O1948" s="460">
        <v>41184</v>
      </c>
      <c r="P1948" s="461">
        <f t="shared" si="64"/>
        <v>-10</v>
      </c>
      <c r="Q1948" s="591" t="s">
        <v>2708</v>
      </c>
      <c r="R1948" s="757">
        <v>41191</v>
      </c>
      <c r="S1948" s="836">
        <v>41194</v>
      </c>
      <c r="T1948" s="462">
        <v>41211</v>
      </c>
      <c r="U1948" s="461">
        <f t="shared" si="65"/>
        <v>81</v>
      </c>
      <c r="V1948" s="461" t="s">
        <v>2683</v>
      </c>
      <c r="W1948" s="493">
        <v>114</v>
      </c>
      <c r="X1948" s="457"/>
      <c r="Y1948" s="592"/>
      <c r="Z1948" s="468" t="s">
        <v>2710</v>
      </c>
      <c r="AA1948" s="457" t="s">
        <v>47</v>
      </c>
      <c r="AB1948" s="460" t="s">
        <v>2713</v>
      </c>
      <c r="AC1948" s="722"/>
      <c r="AD1948" s="645" t="str">
        <f t="shared" si="66"/>
        <v>en término</v>
      </c>
    </row>
    <row r="1949" spans="2:30" s="649" customFormat="1" ht="54.95" customHeight="1" thickBot="1" x14ac:dyDescent="0.25">
      <c r="B1949" s="474" t="s">
        <v>36</v>
      </c>
      <c r="C1949" s="455" t="s">
        <v>133</v>
      </c>
      <c r="D1949" s="456" t="s">
        <v>2554</v>
      </c>
      <c r="E1949" s="501" t="s">
        <v>2555</v>
      </c>
      <c r="F1949" s="457">
        <v>4504739652</v>
      </c>
      <c r="G1949" s="457" t="s">
        <v>39</v>
      </c>
      <c r="H1949" s="458">
        <v>199095.87</v>
      </c>
      <c r="I1949" s="459" t="s">
        <v>62</v>
      </c>
      <c r="J1949" s="460">
        <v>41100</v>
      </c>
      <c r="K1949" s="461">
        <f t="shared" si="63"/>
        <v>113</v>
      </c>
      <c r="L1949" s="460">
        <v>41213</v>
      </c>
      <c r="M1949" s="460" t="s">
        <v>41</v>
      </c>
      <c r="N1949" s="457" t="s">
        <v>42</v>
      </c>
      <c r="O1949" s="460">
        <v>41198</v>
      </c>
      <c r="P1949" s="461">
        <f t="shared" si="64"/>
        <v>-4</v>
      </c>
      <c r="Q1949" s="591" t="s">
        <v>2714</v>
      </c>
      <c r="R1949" s="757">
        <v>41205</v>
      </c>
      <c r="S1949" s="836">
        <v>41209</v>
      </c>
      <c r="T1949" s="462">
        <v>41225</v>
      </c>
      <c r="U1949" s="461">
        <f t="shared" si="65"/>
        <v>125</v>
      </c>
      <c r="V1949" s="461" t="s">
        <v>2628</v>
      </c>
      <c r="W1949" s="493">
        <v>116</v>
      </c>
      <c r="X1949" s="457"/>
      <c r="Y1949" s="457"/>
      <c r="Z1949" s="468" t="s">
        <v>2715</v>
      </c>
      <c r="AA1949" s="457" t="s">
        <v>47</v>
      </c>
      <c r="AB1949" s="460" t="s">
        <v>2533</v>
      </c>
      <c r="AC1949" s="722"/>
      <c r="AD1949" s="645" t="str">
        <f t="shared" si="66"/>
        <v>en término</v>
      </c>
    </row>
    <row r="1950" spans="2:30" s="649" customFormat="1" ht="54.95" customHeight="1" thickBot="1" x14ac:dyDescent="0.25">
      <c r="B1950" s="474" t="s">
        <v>36</v>
      </c>
      <c r="C1950" s="455" t="s">
        <v>133</v>
      </c>
      <c r="D1950" s="456" t="s">
        <v>2554</v>
      </c>
      <c r="E1950" s="501" t="s">
        <v>2555</v>
      </c>
      <c r="F1950" s="1028">
        <v>4504638657</v>
      </c>
      <c r="G1950" s="457" t="s">
        <v>39</v>
      </c>
      <c r="H1950" s="1029">
        <v>81693.929999999993</v>
      </c>
      <c r="I1950" s="459" t="s">
        <v>40</v>
      </c>
      <c r="J1950" s="460">
        <v>41050</v>
      </c>
      <c r="K1950" s="461">
        <f t="shared" si="63"/>
        <v>156</v>
      </c>
      <c r="L1950" s="460">
        <v>41206</v>
      </c>
      <c r="M1950" s="460" t="s">
        <v>41</v>
      </c>
      <c r="N1950" s="457" t="s">
        <v>42</v>
      </c>
      <c r="O1950" s="460">
        <v>41198</v>
      </c>
      <c r="P1950" s="461">
        <f t="shared" si="64"/>
        <v>3</v>
      </c>
      <c r="Q1950" s="591" t="s">
        <v>2714</v>
      </c>
      <c r="R1950" s="757">
        <v>41205</v>
      </c>
      <c r="S1950" s="836">
        <v>41209</v>
      </c>
      <c r="T1950" s="462">
        <v>41225</v>
      </c>
      <c r="U1950" s="461">
        <f t="shared" si="65"/>
        <v>175</v>
      </c>
      <c r="V1950" s="461" t="s">
        <v>2716</v>
      </c>
      <c r="W1950" s="493">
        <v>115</v>
      </c>
      <c r="X1950" s="457"/>
      <c r="Y1950" s="457"/>
      <c r="Z1950" s="468" t="s">
        <v>2715</v>
      </c>
      <c r="AA1950" s="457" t="s">
        <v>47</v>
      </c>
      <c r="AB1950" s="460" t="s">
        <v>1826</v>
      </c>
      <c r="AC1950" s="722"/>
      <c r="AD1950" s="645" t="str">
        <f t="shared" si="66"/>
        <v>atrasado</v>
      </c>
    </row>
    <row r="1951" spans="2:30" s="649" customFormat="1" ht="54.95" customHeight="1" thickBot="1" x14ac:dyDescent="0.25">
      <c r="B1951" s="474" t="s">
        <v>36</v>
      </c>
      <c r="C1951" s="455" t="s">
        <v>37</v>
      </c>
      <c r="D1951" s="456" t="s">
        <v>2707</v>
      </c>
      <c r="E1951" s="1034">
        <v>4504710477</v>
      </c>
      <c r="F1951" s="1028">
        <v>12070002</v>
      </c>
      <c r="G1951" s="457" t="s">
        <v>39</v>
      </c>
      <c r="H1951" s="458">
        <v>189235</v>
      </c>
      <c r="I1951" s="459"/>
      <c r="J1951" s="460">
        <v>41094</v>
      </c>
      <c r="K1951" s="461">
        <f t="shared" si="63"/>
        <v>123</v>
      </c>
      <c r="L1951" s="460">
        <v>41217</v>
      </c>
      <c r="M1951" s="460" t="s">
        <v>41</v>
      </c>
      <c r="N1951" s="457" t="s">
        <v>42</v>
      </c>
      <c r="O1951" s="460">
        <v>41212</v>
      </c>
      <c r="P1951" s="461">
        <f t="shared" si="64"/>
        <v>5</v>
      </c>
      <c r="Q1951" s="591" t="s">
        <v>2717</v>
      </c>
      <c r="R1951" s="757">
        <v>41219</v>
      </c>
      <c r="S1951" s="836">
        <v>41222</v>
      </c>
      <c r="T1951" s="462">
        <v>41239</v>
      </c>
      <c r="U1951" s="461">
        <f t="shared" si="65"/>
        <v>145</v>
      </c>
      <c r="V1951" s="591" t="s">
        <v>2718</v>
      </c>
      <c r="W1951" s="493">
        <v>118</v>
      </c>
      <c r="X1951" s="592"/>
      <c r="Y1951" s="457"/>
      <c r="Z1951" s="468" t="s">
        <v>2719</v>
      </c>
      <c r="AA1951" s="457" t="s">
        <v>47</v>
      </c>
      <c r="AB1951" s="460" t="s">
        <v>2533</v>
      </c>
      <c r="AC1951" s="722"/>
      <c r="AD1951" s="645" t="str">
        <f t="shared" si="66"/>
        <v>atrasado</v>
      </c>
    </row>
    <row r="1952" spans="2:30" s="649" customFormat="1" ht="54.95" customHeight="1" thickBot="1" x14ac:dyDescent="0.25">
      <c r="B1952" s="474" t="s">
        <v>36</v>
      </c>
      <c r="C1952" s="455" t="s">
        <v>133</v>
      </c>
      <c r="D1952" s="456" t="s">
        <v>2686</v>
      </c>
      <c r="E1952" s="501" t="s">
        <v>2687</v>
      </c>
      <c r="F1952" s="457">
        <v>4504800908</v>
      </c>
      <c r="G1952" s="457" t="s">
        <v>39</v>
      </c>
      <c r="H1952" s="458">
        <v>10651.82</v>
      </c>
      <c r="I1952" s="459" t="s">
        <v>52</v>
      </c>
      <c r="J1952" s="460">
        <v>41130</v>
      </c>
      <c r="K1952" s="461">
        <f t="shared" si="63"/>
        <v>95</v>
      </c>
      <c r="L1952" s="460">
        <v>41225</v>
      </c>
      <c r="M1952" s="460" t="s">
        <v>41</v>
      </c>
      <c r="N1952" s="457" t="s">
        <v>42</v>
      </c>
      <c r="O1952" s="460">
        <v>41212</v>
      </c>
      <c r="P1952" s="461">
        <f t="shared" si="64"/>
        <v>-3</v>
      </c>
      <c r="Q1952" s="815" t="s">
        <v>2717</v>
      </c>
      <c r="R1952" s="757">
        <v>41219</v>
      </c>
      <c r="S1952" s="836">
        <v>41222</v>
      </c>
      <c r="T1952" s="462">
        <v>41239</v>
      </c>
      <c r="U1952" s="461">
        <f t="shared" si="65"/>
        <v>109</v>
      </c>
      <c r="V1952" s="461" t="s">
        <v>53</v>
      </c>
      <c r="W1952" s="493">
        <v>119</v>
      </c>
      <c r="X1952" s="457"/>
      <c r="Y1952" s="592"/>
      <c r="Z1952" s="468" t="s">
        <v>2719</v>
      </c>
      <c r="AA1952" s="457" t="s">
        <v>47</v>
      </c>
      <c r="AB1952" s="460" t="s">
        <v>2720</v>
      </c>
      <c r="AC1952" s="722"/>
      <c r="AD1952" s="645" t="str">
        <f t="shared" si="66"/>
        <v>en término</v>
      </c>
    </row>
    <row r="1953" spans="2:30" s="649" customFormat="1" ht="54.95" customHeight="1" thickBot="1" x14ac:dyDescent="0.25">
      <c r="B1953" s="474" t="s">
        <v>36</v>
      </c>
      <c r="C1953" s="455" t="s">
        <v>133</v>
      </c>
      <c r="D1953" s="456" t="s">
        <v>2668</v>
      </c>
      <c r="E1953" s="501" t="s">
        <v>2669</v>
      </c>
      <c r="F1953" s="457">
        <v>4504866905</v>
      </c>
      <c r="G1953" s="457" t="s">
        <v>39</v>
      </c>
      <c r="H1953" s="458">
        <v>13760</v>
      </c>
      <c r="I1953" s="459" t="s">
        <v>52</v>
      </c>
      <c r="J1953" s="460">
        <v>41165</v>
      </c>
      <c r="K1953" s="461">
        <f t="shared" si="63"/>
        <v>74</v>
      </c>
      <c r="L1953" s="460">
        <v>41239</v>
      </c>
      <c r="M1953" s="460" t="s">
        <v>41</v>
      </c>
      <c r="N1953" s="457" t="s">
        <v>42</v>
      </c>
      <c r="O1953" s="460">
        <v>41219</v>
      </c>
      <c r="P1953" s="461">
        <f t="shared" si="64"/>
        <v>-10</v>
      </c>
      <c r="Q1953" s="591" t="s">
        <v>2721</v>
      </c>
      <c r="R1953" s="757">
        <v>41226</v>
      </c>
      <c r="S1953" s="836">
        <v>41229</v>
      </c>
      <c r="T1953" s="462">
        <v>41246</v>
      </c>
      <c r="U1953" s="461">
        <f t="shared" si="65"/>
        <v>81</v>
      </c>
      <c r="V1953" s="461" t="s">
        <v>2683</v>
      </c>
      <c r="W1953" s="493">
        <v>121</v>
      </c>
      <c r="X1953" s="457"/>
      <c r="Y1953" s="592"/>
      <c r="Z1953" s="468" t="s">
        <v>2722</v>
      </c>
      <c r="AA1953" s="457"/>
      <c r="AB1953" s="460" t="s">
        <v>2720</v>
      </c>
      <c r="AC1953" s="722"/>
      <c r="AD1953" s="645" t="str">
        <f t="shared" si="66"/>
        <v>en término</v>
      </c>
    </row>
    <row r="1954" spans="2:30" s="649" customFormat="1" ht="54.95" customHeight="1" thickBot="1" x14ac:dyDescent="0.25">
      <c r="B1954" s="474" t="s">
        <v>36</v>
      </c>
      <c r="C1954" s="455" t="s">
        <v>37</v>
      </c>
      <c r="D1954" s="456" t="s">
        <v>2723</v>
      </c>
      <c r="E1954" s="591">
        <v>4504751110</v>
      </c>
      <c r="F1954" s="457">
        <v>12100002</v>
      </c>
      <c r="G1954" s="457" t="s">
        <v>39</v>
      </c>
      <c r="H1954" s="458">
        <v>3750</v>
      </c>
      <c r="I1954" s="459" t="s">
        <v>40</v>
      </c>
      <c r="J1954" s="460">
        <v>41191</v>
      </c>
      <c r="K1954" s="461">
        <v>45</v>
      </c>
      <c r="L1954" s="460">
        <f>+J1954+K1954</f>
        <v>41236</v>
      </c>
      <c r="M1954" s="460" t="s">
        <v>41</v>
      </c>
      <c r="N1954" s="457" t="s">
        <v>42</v>
      </c>
      <c r="O1954" s="460">
        <v>41219</v>
      </c>
      <c r="P1954" s="461">
        <f t="shared" si="64"/>
        <v>-7</v>
      </c>
      <c r="Q1954" s="591" t="s">
        <v>2721</v>
      </c>
      <c r="R1954" s="757">
        <v>41226</v>
      </c>
      <c r="S1954" s="836">
        <v>41229</v>
      </c>
      <c r="T1954" s="462">
        <v>41246</v>
      </c>
      <c r="U1954" s="461">
        <f t="shared" si="65"/>
        <v>55</v>
      </c>
      <c r="V1954" s="591" t="s">
        <v>53</v>
      </c>
      <c r="W1954" s="493">
        <v>125</v>
      </c>
      <c r="X1954" s="592"/>
      <c r="Y1954" s="592"/>
      <c r="Z1954" s="468" t="s">
        <v>2722</v>
      </c>
      <c r="AA1954" s="457"/>
      <c r="AB1954" s="460" t="s">
        <v>2533</v>
      </c>
      <c r="AC1954" s="722"/>
      <c r="AD1954" s="645" t="str">
        <f t="shared" si="66"/>
        <v>en término</v>
      </c>
    </row>
    <row r="1955" spans="2:30" s="649" customFormat="1" ht="54.95" customHeight="1" thickBot="1" x14ac:dyDescent="0.25">
      <c r="B1955" s="474" t="s">
        <v>36</v>
      </c>
      <c r="C1955" s="455" t="s">
        <v>37</v>
      </c>
      <c r="D1955" s="456" t="s">
        <v>2724</v>
      </c>
      <c r="E1955" s="591">
        <v>4504930884</v>
      </c>
      <c r="F1955" s="457">
        <v>12100003</v>
      </c>
      <c r="G1955" s="457" t="s">
        <v>39</v>
      </c>
      <c r="H1955" s="458">
        <v>570</v>
      </c>
      <c r="I1955" s="459" t="s">
        <v>142</v>
      </c>
      <c r="J1955" s="460">
        <v>41199</v>
      </c>
      <c r="K1955" s="461">
        <v>40</v>
      </c>
      <c r="L1955" s="460">
        <f>+J1955+K1955</f>
        <v>41239</v>
      </c>
      <c r="M1955" s="460" t="s">
        <v>41</v>
      </c>
      <c r="N1955" s="457" t="s">
        <v>42</v>
      </c>
      <c r="O1955" s="460">
        <v>41219</v>
      </c>
      <c r="P1955" s="461">
        <f t="shared" si="64"/>
        <v>-10</v>
      </c>
      <c r="Q1955" s="591" t="s">
        <v>2721</v>
      </c>
      <c r="R1955" s="757">
        <v>41226</v>
      </c>
      <c r="S1955" s="836">
        <v>41229</v>
      </c>
      <c r="T1955" s="462">
        <v>41246</v>
      </c>
      <c r="U1955" s="461">
        <f t="shared" si="65"/>
        <v>47</v>
      </c>
      <c r="V1955" s="591" t="s">
        <v>53</v>
      </c>
      <c r="W1955" s="493">
        <v>125</v>
      </c>
      <c r="X1955" s="592"/>
      <c r="Y1955" s="592"/>
      <c r="Z1955" s="468" t="s">
        <v>2722</v>
      </c>
      <c r="AA1955" s="457"/>
      <c r="AB1955" s="460" t="s">
        <v>2533</v>
      </c>
      <c r="AC1955" s="722"/>
      <c r="AD1955" s="645" t="str">
        <f t="shared" si="66"/>
        <v>en término</v>
      </c>
    </row>
    <row r="1956" spans="2:30" s="649" customFormat="1" ht="54.95" customHeight="1" thickBot="1" x14ac:dyDescent="0.25">
      <c r="B1956" s="474" t="s">
        <v>36</v>
      </c>
      <c r="C1956" s="455" t="s">
        <v>133</v>
      </c>
      <c r="D1956" s="456" t="s">
        <v>2554</v>
      </c>
      <c r="E1956" s="501" t="s">
        <v>2555</v>
      </c>
      <c r="F1956" s="457">
        <v>4504866922</v>
      </c>
      <c r="G1956" s="457" t="s">
        <v>39</v>
      </c>
      <c r="H1956" s="458">
        <v>4476.21</v>
      </c>
      <c r="I1956" s="459" t="s">
        <v>52</v>
      </c>
      <c r="J1956" s="460">
        <v>41165</v>
      </c>
      <c r="K1956" s="461">
        <f>+L1956-J1956</f>
        <v>64</v>
      </c>
      <c r="L1956" s="460">
        <v>41229</v>
      </c>
      <c r="M1956" s="460" t="s">
        <v>41</v>
      </c>
      <c r="N1956" s="457" t="s">
        <v>42</v>
      </c>
      <c r="O1956" s="460">
        <v>41219</v>
      </c>
      <c r="P1956" s="461">
        <f t="shared" si="64"/>
        <v>0</v>
      </c>
      <c r="Q1956" s="591" t="s">
        <v>2721</v>
      </c>
      <c r="R1956" s="757">
        <v>41226</v>
      </c>
      <c r="S1956" s="836">
        <v>41229</v>
      </c>
      <c r="T1956" s="462">
        <v>41246</v>
      </c>
      <c r="U1956" s="461">
        <f t="shared" si="65"/>
        <v>81</v>
      </c>
      <c r="V1956" s="461" t="s">
        <v>53</v>
      </c>
      <c r="W1956" s="493">
        <v>122</v>
      </c>
      <c r="X1956" s="457"/>
      <c r="Y1956" s="592"/>
      <c r="Z1956" s="468" t="s">
        <v>2722</v>
      </c>
      <c r="AA1956" s="457"/>
      <c r="AB1956" s="460" t="s">
        <v>2720</v>
      </c>
      <c r="AC1956" s="722"/>
      <c r="AD1956" s="645" t="str">
        <f t="shared" si="66"/>
        <v>en término</v>
      </c>
    </row>
    <row r="1957" spans="2:30" s="649" customFormat="1" ht="54.95" customHeight="1" thickBot="1" x14ac:dyDescent="0.25">
      <c r="B1957" s="474" t="s">
        <v>36</v>
      </c>
      <c r="C1957" s="455" t="s">
        <v>133</v>
      </c>
      <c r="D1957" s="456" t="s">
        <v>2554</v>
      </c>
      <c r="E1957" s="501" t="s">
        <v>2555</v>
      </c>
      <c r="F1957" s="457">
        <v>4504866506</v>
      </c>
      <c r="G1957" s="457" t="s">
        <v>39</v>
      </c>
      <c r="H1957" s="458">
        <v>67990.73</v>
      </c>
      <c r="I1957" s="459" t="s">
        <v>52</v>
      </c>
      <c r="J1957" s="460">
        <v>41165</v>
      </c>
      <c r="K1957" s="461">
        <f>+L1957-J1957</f>
        <v>64</v>
      </c>
      <c r="L1957" s="460">
        <v>41229</v>
      </c>
      <c r="M1957" s="460" t="s">
        <v>41</v>
      </c>
      <c r="N1957" s="457" t="s">
        <v>42</v>
      </c>
      <c r="O1957" s="460">
        <v>41219</v>
      </c>
      <c r="P1957" s="461">
        <f t="shared" si="64"/>
        <v>0</v>
      </c>
      <c r="Q1957" s="591" t="s">
        <v>2721</v>
      </c>
      <c r="R1957" s="757">
        <v>41226</v>
      </c>
      <c r="S1957" s="836">
        <v>41229</v>
      </c>
      <c r="T1957" s="462">
        <v>41246</v>
      </c>
      <c r="U1957" s="461">
        <f t="shared" si="65"/>
        <v>81</v>
      </c>
      <c r="V1957" s="461" t="s">
        <v>1387</v>
      </c>
      <c r="W1957" s="493">
        <v>120</v>
      </c>
      <c r="X1957" s="457"/>
      <c r="Y1957" s="457"/>
      <c r="Z1957" s="468" t="s">
        <v>2722</v>
      </c>
      <c r="AA1957" s="457"/>
      <c r="AB1957" s="460" t="s">
        <v>2720</v>
      </c>
      <c r="AC1957" s="722"/>
      <c r="AD1957" s="645" t="str">
        <f t="shared" si="66"/>
        <v>en término</v>
      </c>
    </row>
    <row r="1958" spans="2:30" s="649" customFormat="1" ht="54.95" customHeight="1" thickBot="1" x14ac:dyDescent="0.25">
      <c r="B1958" s="474" t="s">
        <v>36</v>
      </c>
      <c r="C1958" s="455" t="s">
        <v>133</v>
      </c>
      <c r="D1958" s="456" t="s">
        <v>2668</v>
      </c>
      <c r="E1958" s="1027" t="s">
        <v>2669</v>
      </c>
      <c r="F1958" s="446">
        <v>4504812512</v>
      </c>
      <c r="G1958" s="457" t="s">
        <v>39</v>
      </c>
      <c r="H1958" s="458">
        <v>54680.71</v>
      </c>
      <c r="I1958" s="459" t="s">
        <v>62</v>
      </c>
      <c r="J1958" s="460">
        <v>41136</v>
      </c>
      <c r="K1958" s="461">
        <f>+L1958-J1958</f>
        <v>90</v>
      </c>
      <c r="L1958" s="460">
        <v>41226</v>
      </c>
      <c r="M1958" s="460" t="s">
        <v>41</v>
      </c>
      <c r="N1958" s="457" t="s">
        <v>42</v>
      </c>
      <c r="O1958" s="460">
        <v>41219</v>
      </c>
      <c r="P1958" s="461">
        <f t="shared" si="64"/>
        <v>3</v>
      </c>
      <c r="Q1958" s="591" t="s">
        <v>2721</v>
      </c>
      <c r="R1958" s="757">
        <v>41226</v>
      </c>
      <c r="S1958" s="836">
        <v>41229</v>
      </c>
      <c r="T1958" s="836">
        <v>41246</v>
      </c>
      <c r="U1958" s="461">
        <f t="shared" si="65"/>
        <v>110</v>
      </c>
      <c r="V1958" s="461" t="s">
        <v>2725</v>
      </c>
      <c r="W1958" s="493">
        <v>123</v>
      </c>
      <c r="X1958" s="457"/>
      <c r="Y1958" s="592"/>
      <c r="Z1958" s="468" t="s">
        <v>2722</v>
      </c>
      <c r="AA1958" s="457"/>
      <c r="AB1958" s="589" t="s">
        <v>2726</v>
      </c>
      <c r="AC1958" s="722"/>
      <c r="AD1958" s="645" t="str">
        <f t="shared" si="66"/>
        <v>atrasado</v>
      </c>
    </row>
    <row r="1959" spans="2:30" s="649" customFormat="1" ht="54.95" customHeight="1" thickBot="1" x14ac:dyDescent="0.25">
      <c r="B1959" s="474" t="s">
        <v>36</v>
      </c>
      <c r="C1959" s="455" t="s">
        <v>133</v>
      </c>
      <c r="D1959" s="456" t="s">
        <v>2554</v>
      </c>
      <c r="E1959" s="501" t="s">
        <v>2555</v>
      </c>
      <c r="F1959" s="457">
        <v>4504859962</v>
      </c>
      <c r="G1959" s="457" t="s">
        <v>39</v>
      </c>
      <c r="H1959" s="458">
        <v>43197.68</v>
      </c>
      <c r="I1959" s="459" t="s">
        <v>40</v>
      </c>
      <c r="J1959" s="460">
        <v>41162</v>
      </c>
      <c r="K1959" s="461">
        <f>+L1959-J1959</f>
        <v>92</v>
      </c>
      <c r="L1959" s="460">
        <v>41254</v>
      </c>
      <c r="M1959" s="460" t="s">
        <v>41</v>
      </c>
      <c r="N1959" s="457" t="s">
        <v>42</v>
      </c>
      <c r="O1959" s="460">
        <v>41219</v>
      </c>
      <c r="P1959" s="461">
        <f t="shared" si="64"/>
        <v>-25</v>
      </c>
      <c r="Q1959" s="591" t="s">
        <v>2721</v>
      </c>
      <c r="R1959" s="757">
        <v>41226</v>
      </c>
      <c r="S1959" s="836">
        <v>41229</v>
      </c>
      <c r="T1959" s="836">
        <v>41246</v>
      </c>
      <c r="U1959" s="461">
        <f t="shared" si="65"/>
        <v>84</v>
      </c>
      <c r="V1959" s="461" t="s">
        <v>1795</v>
      </c>
      <c r="W1959" s="493">
        <v>124</v>
      </c>
      <c r="X1959" s="457"/>
      <c r="Y1959" s="457"/>
      <c r="Z1959" s="468" t="s">
        <v>2722</v>
      </c>
      <c r="AA1959" s="457"/>
      <c r="AB1959" s="460" t="s">
        <v>2727</v>
      </c>
      <c r="AC1959" s="722"/>
      <c r="AD1959" s="645" t="str">
        <f t="shared" si="66"/>
        <v>en término</v>
      </c>
    </row>
    <row r="1960" spans="2:30" s="649" customFormat="1" ht="54.95" customHeight="1" thickBot="1" x14ac:dyDescent="0.25">
      <c r="B1960" s="474" t="s">
        <v>36</v>
      </c>
      <c r="C1960" s="455" t="s">
        <v>133</v>
      </c>
      <c r="D1960" s="456" t="s">
        <v>2554</v>
      </c>
      <c r="E1960" s="501" t="s">
        <v>2555</v>
      </c>
      <c r="F1960" s="457">
        <v>4504790083</v>
      </c>
      <c r="G1960" s="457" t="s">
        <v>39</v>
      </c>
      <c r="H1960" s="458">
        <v>94264.6</v>
      </c>
      <c r="I1960" s="459" t="s">
        <v>40</v>
      </c>
      <c r="J1960" s="460">
        <v>41124</v>
      </c>
      <c r="K1960" s="461">
        <f>+L1960-J1960</f>
        <v>119</v>
      </c>
      <c r="L1960" s="460">
        <v>41243</v>
      </c>
      <c r="M1960" s="460" t="s">
        <v>41</v>
      </c>
      <c r="N1960" s="457" t="s">
        <v>42</v>
      </c>
      <c r="O1960" s="460">
        <v>41226</v>
      </c>
      <c r="P1960" s="461">
        <f t="shared" si="64"/>
        <v>-7</v>
      </c>
      <c r="Q1960" s="591" t="s">
        <v>2728</v>
      </c>
      <c r="R1960" s="757">
        <v>41233</v>
      </c>
      <c r="S1960" s="836">
        <v>41236</v>
      </c>
      <c r="T1960" s="462">
        <v>41253</v>
      </c>
      <c r="U1960" s="461">
        <f t="shared" si="65"/>
        <v>129</v>
      </c>
      <c r="V1960" s="461" t="s">
        <v>1812</v>
      </c>
      <c r="W1960" s="493">
        <v>126</v>
      </c>
      <c r="X1960" s="457"/>
      <c r="Y1960" s="457"/>
      <c r="Z1960" s="468" t="s">
        <v>2729</v>
      </c>
      <c r="AA1960" s="457" t="s">
        <v>47</v>
      </c>
      <c r="AB1960" s="460" t="s">
        <v>47</v>
      </c>
      <c r="AC1960" s="722"/>
      <c r="AD1960" s="645" t="str">
        <f t="shared" si="66"/>
        <v>en término</v>
      </c>
    </row>
    <row r="1961" spans="2:30" s="649" customFormat="1" ht="54.95" customHeight="1" thickBot="1" x14ac:dyDescent="0.25">
      <c r="B1961" s="474" t="s">
        <v>36</v>
      </c>
      <c r="C1961" s="455" t="s">
        <v>37</v>
      </c>
      <c r="D1961" s="456" t="s">
        <v>2730</v>
      </c>
      <c r="E1961" s="591" t="s">
        <v>2731</v>
      </c>
      <c r="F1961" s="457">
        <v>12110001</v>
      </c>
      <c r="G1961" s="457" t="s">
        <v>39</v>
      </c>
      <c r="H1961" s="458">
        <f>6640+80</f>
        <v>6720</v>
      </c>
      <c r="I1961" s="459"/>
      <c r="J1961" s="460">
        <v>41214</v>
      </c>
      <c r="K1961" s="461">
        <v>70</v>
      </c>
      <c r="L1961" s="460">
        <f>+J1961+K1961</f>
        <v>41284</v>
      </c>
      <c r="M1961" s="460" t="s">
        <v>41</v>
      </c>
      <c r="N1961" s="457" t="s">
        <v>42</v>
      </c>
      <c r="O1961" s="460">
        <v>41247</v>
      </c>
      <c r="P1961" s="461">
        <f t="shared" si="64"/>
        <v>-27</v>
      </c>
      <c r="Q1961" s="591" t="s">
        <v>2732</v>
      </c>
      <c r="R1961" s="757">
        <v>41254</v>
      </c>
      <c r="S1961" s="836">
        <v>41257</v>
      </c>
      <c r="T1961" s="462">
        <v>41274</v>
      </c>
      <c r="U1961" s="461">
        <f t="shared" si="65"/>
        <v>60</v>
      </c>
      <c r="V1961" s="591" t="s">
        <v>2733</v>
      </c>
      <c r="W1961" s="493">
        <v>136</v>
      </c>
      <c r="X1961" s="592"/>
      <c r="Y1961" s="592"/>
      <c r="Z1961" s="468" t="s">
        <v>2734</v>
      </c>
      <c r="AA1961" s="457"/>
      <c r="AB1961" s="460" t="s">
        <v>2533</v>
      </c>
      <c r="AC1961" s="722"/>
      <c r="AD1961" s="645" t="str">
        <f t="shared" si="66"/>
        <v>en término</v>
      </c>
    </row>
    <row r="1962" spans="2:30" s="649" customFormat="1" ht="54.95" customHeight="1" thickBot="1" x14ac:dyDescent="0.25">
      <c r="B1962" s="474" t="s">
        <v>36</v>
      </c>
      <c r="C1962" s="455" t="s">
        <v>133</v>
      </c>
      <c r="D1962" s="456" t="s">
        <v>2554</v>
      </c>
      <c r="E1962" s="501" t="s">
        <v>2555</v>
      </c>
      <c r="F1962" s="457">
        <v>4504923231</v>
      </c>
      <c r="G1962" s="457" t="s">
        <v>39</v>
      </c>
      <c r="H1962" s="458">
        <v>7293.64</v>
      </c>
      <c r="I1962" s="459" t="s">
        <v>142</v>
      </c>
      <c r="J1962" s="460">
        <v>41197</v>
      </c>
      <c r="K1962" s="461">
        <f t="shared" ref="K1962:K1975" si="67">+L1962-J1962</f>
        <v>90</v>
      </c>
      <c r="L1962" s="460">
        <v>41287</v>
      </c>
      <c r="M1962" s="460" t="s">
        <v>41</v>
      </c>
      <c r="N1962" s="457" t="s">
        <v>42</v>
      </c>
      <c r="O1962" s="460">
        <v>41247</v>
      </c>
      <c r="P1962" s="461">
        <f t="shared" si="64"/>
        <v>-30</v>
      </c>
      <c r="Q1962" s="591" t="s">
        <v>2732</v>
      </c>
      <c r="R1962" s="757">
        <v>41254</v>
      </c>
      <c r="S1962" s="836">
        <v>41257</v>
      </c>
      <c r="T1962" s="462">
        <v>41274</v>
      </c>
      <c r="U1962" s="461">
        <f t="shared" si="65"/>
        <v>77</v>
      </c>
      <c r="V1962" s="461" t="s">
        <v>53</v>
      </c>
      <c r="W1962" s="493">
        <v>132</v>
      </c>
      <c r="X1962" s="457"/>
      <c r="Y1962" s="592"/>
      <c r="Z1962" s="468" t="s">
        <v>2734</v>
      </c>
      <c r="AA1962" s="457" t="s">
        <v>47</v>
      </c>
      <c r="AB1962" s="460" t="s">
        <v>2735</v>
      </c>
      <c r="AC1962" s="722" t="s">
        <v>2736</v>
      </c>
      <c r="AD1962" s="645" t="str">
        <f t="shared" si="66"/>
        <v>en término</v>
      </c>
    </row>
    <row r="1963" spans="2:30" s="649" customFormat="1" ht="54.95" customHeight="1" thickBot="1" x14ac:dyDescent="0.25">
      <c r="B1963" s="474" t="s">
        <v>36</v>
      </c>
      <c r="C1963" s="455" t="s">
        <v>133</v>
      </c>
      <c r="D1963" s="456" t="s">
        <v>2554</v>
      </c>
      <c r="E1963" s="501" t="s">
        <v>2555</v>
      </c>
      <c r="F1963" s="457">
        <v>4504850644</v>
      </c>
      <c r="G1963" s="457" t="s">
        <v>39</v>
      </c>
      <c r="H1963" s="458">
        <v>61544.14</v>
      </c>
      <c r="I1963" s="459" t="s">
        <v>62</v>
      </c>
      <c r="J1963" s="460">
        <v>41155</v>
      </c>
      <c r="K1963" s="461">
        <f t="shared" si="67"/>
        <v>102</v>
      </c>
      <c r="L1963" s="460">
        <v>41257</v>
      </c>
      <c r="M1963" s="460" t="s">
        <v>41</v>
      </c>
      <c r="N1963" s="457" t="s">
        <v>42</v>
      </c>
      <c r="O1963" s="460">
        <v>41247</v>
      </c>
      <c r="P1963" s="461">
        <f t="shared" si="64"/>
        <v>0</v>
      </c>
      <c r="Q1963" s="591" t="s">
        <v>2732</v>
      </c>
      <c r="R1963" s="757">
        <v>41254</v>
      </c>
      <c r="S1963" s="836">
        <v>41257</v>
      </c>
      <c r="T1963" s="462">
        <v>41274</v>
      </c>
      <c r="U1963" s="461">
        <f t="shared" si="65"/>
        <v>119</v>
      </c>
      <c r="V1963" s="461" t="s">
        <v>2116</v>
      </c>
      <c r="W1963" s="493">
        <v>129</v>
      </c>
      <c r="X1963" s="457"/>
      <c r="Y1963" s="457"/>
      <c r="Z1963" s="468" t="s">
        <v>2734</v>
      </c>
      <c r="AA1963" s="457" t="s">
        <v>47</v>
      </c>
      <c r="AB1963" s="460" t="s">
        <v>47</v>
      </c>
      <c r="AC1963" s="722"/>
      <c r="AD1963" s="645" t="str">
        <f t="shared" si="66"/>
        <v>en término</v>
      </c>
    </row>
    <row r="1964" spans="2:30" s="649" customFormat="1" ht="54.95" customHeight="1" thickBot="1" x14ac:dyDescent="0.25">
      <c r="B1964" s="474" t="s">
        <v>36</v>
      </c>
      <c r="C1964" s="455" t="s">
        <v>133</v>
      </c>
      <c r="D1964" s="456" t="s">
        <v>2554</v>
      </c>
      <c r="E1964" s="501" t="s">
        <v>2555</v>
      </c>
      <c r="F1964" s="457">
        <v>4504885210</v>
      </c>
      <c r="G1964" s="457" t="s">
        <v>39</v>
      </c>
      <c r="H1964" s="458">
        <v>95661.6</v>
      </c>
      <c r="I1964" s="459" t="s">
        <v>40</v>
      </c>
      <c r="J1964" s="460">
        <v>41177</v>
      </c>
      <c r="K1964" s="461">
        <f t="shared" si="67"/>
        <v>94</v>
      </c>
      <c r="L1964" s="460">
        <v>41271</v>
      </c>
      <c r="M1964" s="460" t="s">
        <v>41</v>
      </c>
      <c r="N1964" s="457" t="s">
        <v>42</v>
      </c>
      <c r="O1964" s="460">
        <v>41247</v>
      </c>
      <c r="P1964" s="461">
        <f t="shared" si="64"/>
        <v>-14</v>
      </c>
      <c r="Q1964" s="591" t="s">
        <v>2732</v>
      </c>
      <c r="R1964" s="757">
        <v>41254</v>
      </c>
      <c r="S1964" s="836">
        <v>41257</v>
      </c>
      <c r="T1964" s="462">
        <v>41274</v>
      </c>
      <c r="U1964" s="461">
        <f t="shared" si="65"/>
        <v>97</v>
      </c>
      <c r="V1964" s="461" t="s">
        <v>2737</v>
      </c>
      <c r="W1964" s="493">
        <v>131</v>
      </c>
      <c r="X1964" s="457"/>
      <c r="Y1964" s="457"/>
      <c r="Z1964" s="468" t="s">
        <v>2734</v>
      </c>
      <c r="AA1964" s="457" t="s">
        <v>47</v>
      </c>
      <c r="AB1964" s="460" t="s">
        <v>47</v>
      </c>
      <c r="AC1964" s="722"/>
      <c r="AD1964" s="645" t="str">
        <f t="shared" si="66"/>
        <v>en término</v>
      </c>
    </row>
    <row r="1965" spans="2:30" s="649" customFormat="1" ht="54.95" customHeight="1" thickBot="1" x14ac:dyDescent="0.25">
      <c r="B1965" s="474" t="s">
        <v>36</v>
      </c>
      <c r="C1965" s="455" t="s">
        <v>133</v>
      </c>
      <c r="D1965" s="456" t="s">
        <v>2554</v>
      </c>
      <c r="E1965" s="501" t="s">
        <v>2555</v>
      </c>
      <c r="F1965" s="457">
        <v>4504865460</v>
      </c>
      <c r="G1965" s="457" t="s">
        <v>39</v>
      </c>
      <c r="H1965" s="458">
        <v>66159.259999999995</v>
      </c>
      <c r="I1965" s="459" t="s">
        <v>62</v>
      </c>
      <c r="J1965" s="460">
        <v>41165</v>
      </c>
      <c r="K1965" s="461">
        <f t="shared" si="67"/>
        <v>100</v>
      </c>
      <c r="L1965" s="460">
        <v>41265</v>
      </c>
      <c r="M1965" s="460" t="s">
        <v>41</v>
      </c>
      <c r="N1965" s="457" t="s">
        <v>42</v>
      </c>
      <c r="O1965" s="460">
        <v>41247</v>
      </c>
      <c r="P1965" s="461">
        <f t="shared" si="64"/>
        <v>-8</v>
      </c>
      <c r="Q1965" s="591" t="s">
        <v>2732</v>
      </c>
      <c r="R1965" s="757">
        <v>41254</v>
      </c>
      <c r="S1965" s="836">
        <v>41257</v>
      </c>
      <c r="T1965" s="462">
        <v>41274</v>
      </c>
      <c r="U1965" s="461">
        <f t="shared" si="65"/>
        <v>109</v>
      </c>
      <c r="V1965" s="461" t="s">
        <v>750</v>
      </c>
      <c r="W1965" s="493">
        <v>130</v>
      </c>
      <c r="X1965" s="457"/>
      <c r="Y1965" s="457"/>
      <c r="Z1965" s="468" t="s">
        <v>2734</v>
      </c>
      <c r="AA1965" s="457" t="s">
        <v>47</v>
      </c>
      <c r="AB1965" s="460" t="s">
        <v>47</v>
      </c>
      <c r="AC1965" s="722"/>
      <c r="AD1965" s="645" t="str">
        <f t="shared" si="66"/>
        <v>en término</v>
      </c>
    </row>
    <row r="1966" spans="2:30" s="649" customFormat="1" ht="54.95" customHeight="1" thickBot="1" x14ac:dyDescent="0.25">
      <c r="B1966" s="474" t="s">
        <v>36</v>
      </c>
      <c r="C1966" s="455" t="s">
        <v>133</v>
      </c>
      <c r="D1966" s="456" t="s">
        <v>2668</v>
      </c>
      <c r="E1966" s="501" t="s">
        <v>2669</v>
      </c>
      <c r="F1966" s="457">
        <v>4504920792</v>
      </c>
      <c r="G1966" s="457" t="s">
        <v>39</v>
      </c>
      <c r="H1966" s="458">
        <v>18600</v>
      </c>
      <c r="I1966" s="459" t="s">
        <v>52</v>
      </c>
      <c r="J1966" s="460">
        <v>41192</v>
      </c>
      <c r="K1966" s="461">
        <f t="shared" si="67"/>
        <v>75</v>
      </c>
      <c r="L1966" s="460">
        <v>41267</v>
      </c>
      <c r="M1966" s="460" t="s">
        <v>41</v>
      </c>
      <c r="N1966" s="457" t="s">
        <v>42</v>
      </c>
      <c r="O1966" s="460">
        <v>41247</v>
      </c>
      <c r="P1966" s="461">
        <f t="shared" si="64"/>
        <v>-10</v>
      </c>
      <c r="Q1966" s="591" t="s">
        <v>2732</v>
      </c>
      <c r="R1966" s="757">
        <v>41254</v>
      </c>
      <c r="S1966" s="836">
        <v>41257</v>
      </c>
      <c r="T1966" s="462">
        <v>41274</v>
      </c>
      <c r="U1966" s="461">
        <f t="shared" si="65"/>
        <v>82</v>
      </c>
      <c r="V1966" s="461" t="s">
        <v>1564</v>
      </c>
      <c r="W1966" s="493">
        <v>134</v>
      </c>
      <c r="X1966" s="457"/>
      <c r="Y1966" s="592"/>
      <c r="Z1966" s="468" t="s">
        <v>2734</v>
      </c>
      <c r="AA1966" s="457" t="s">
        <v>47</v>
      </c>
      <c r="AB1966" s="460" t="s">
        <v>47</v>
      </c>
      <c r="AC1966" s="722"/>
      <c r="AD1966" s="645" t="str">
        <f t="shared" si="66"/>
        <v>en término</v>
      </c>
    </row>
    <row r="1967" spans="2:30" s="649" customFormat="1" ht="54.95" customHeight="1" thickBot="1" x14ac:dyDescent="0.25">
      <c r="B1967" s="474" t="s">
        <v>36</v>
      </c>
      <c r="C1967" s="455" t="s">
        <v>133</v>
      </c>
      <c r="D1967" s="456" t="s">
        <v>2554</v>
      </c>
      <c r="E1967" s="501" t="s">
        <v>2555</v>
      </c>
      <c r="F1967" s="457">
        <v>4504919843</v>
      </c>
      <c r="G1967" s="457" t="s">
        <v>39</v>
      </c>
      <c r="H1967" s="458">
        <v>115968.91</v>
      </c>
      <c r="I1967" s="459" t="s">
        <v>52</v>
      </c>
      <c r="J1967" s="460">
        <v>41192</v>
      </c>
      <c r="K1967" s="461">
        <f t="shared" si="67"/>
        <v>65</v>
      </c>
      <c r="L1967" s="460">
        <v>41257</v>
      </c>
      <c r="M1967" s="460" t="s">
        <v>41</v>
      </c>
      <c r="N1967" s="457" t="s">
        <v>42</v>
      </c>
      <c r="O1967" s="460">
        <v>41247</v>
      </c>
      <c r="P1967" s="461">
        <f t="shared" si="64"/>
        <v>0</v>
      </c>
      <c r="Q1967" s="591" t="s">
        <v>2732</v>
      </c>
      <c r="R1967" s="757">
        <v>41254</v>
      </c>
      <c r="S1967" s="836">
        <v>41257</v>
      </c>
      <c r="T1967" s="462">
        <v>41274</v>
      </c>
      <c r="U1967" s="461">
        <f t="shared" si="65"/>
        <v>82</v>
      </c>
      <c r="V1967" s="461" t="s">
        <v>1581</v>
      </c>
      <c r="W1967" s="493">
        <v>133</v>
      </c>
      <c r="X1967" s="457"/>
      <c r="Y1967" s="457"/>
      <c r="Z1967" s="468" t="s">
        <v>2734</v>
      </c>
      <c r="AA1967" s="457" t="s">
        <v>47</v>
      </c>
      <c r="AB1967" s="460" t="s">
        <v>47</v>
      </c>
      <c r="AC1967" s="722"/>
      <c r="AD1967" s="645" t="str">
        <f t="shared" si="66"/>
        <v>en término</v>
      </c>
    </row>
    <row r="1968" spans="2:30" s="649" customFormat="1" ht="54.95" customHeight="1" thickBot="1" x14ac:dyDescent="0.25">
      <c r="B1968" s="474" t="s">
        <v>36</v>
      </c>
      <c r="C1968" s="455" t="s">
        <v>133</v>
      </c>
      <c r="D1968" s="456" t="s">
        <v>2554</v>
      </c>
      <c r="E1968" s="501" t="s">
        <v>2555</v>
      </c>
      <c r="F1968" s="457">
        <v>4505924095</v>
      </c>
      <c r="G1968" s="457" t="s">
        <v>39</v>
      </c>
      <c r="H1968" s="458">
        <v>10023.84</v>
      </c>
      <c r="I1968" s="459" t="s">
        <v>52</v>
      </c>
      <c r="J1968" s="460">
        <v>41193</v>
      </c>
      <c r="K1968" s="461">
        <f t="shared" si="67"/>
        <v>67</v>
      </c>
      <c r="L1968" s="460">
        <v>41260</v>
      </c>
      <c r="M1968" s="460" t="s">
        <v>41</v>
      </c>
      <c r="N1968" s="457" t="s">
        <v>42</v>
      </c>
      <c r="O1968" s="460">
        <v>41247</v>
      </c>
      <c r="P1968" s="461">
        <f t="shared" si="64"/>
        <v>-3</v>
      </c>
      <c r="Q1968" s="591" t="s">
        <v>2732</v>
      </c>
      <c r="R1968" s="757">
        <v>41254</v>
      </c>
      <c r="S1968" s="836">
        <v>41257</v>
      </c>
      <c r="T1968" s="462">
        <v>41274</v>
      </c>
      <c r="U1968" s="461">
        <f t="shared" si="65"/>
        <v>81</v>
      </c>
      <c r="V1968" s="461" t="s">
        <v>53</v>
      </c>
      <c r="W1968" s="493">
        <v>135</v>
      </c>
      <c r="X1968" s="457"/>
      <c r="Y1968" s="592"/>
      <c r="Z1968" s="468" t="s">
        <v>2734</v>
      </c>
      <c r="AA1968" s="457" t="s">
        <v>47</v>
      </c>
      <c r="AB1968" s="460" t="s">
        <v>47</v>
      </c>
      <c r="AC1968" s="722"/>
      <c r="AD1968" s="645" t="str">
        <f t="shared" si="66"/>
        <v>en término</v>
      </c>
    </row>
    <row r="1969" spans="2:39" s="649" customFormat="1" ht="54.95" customHeight="1" thickBot="1" x14ac:dyDescent="0.25">
      <c r="B1969" s="474" t="s">
        <v>36</v>
      </c>
      <c r="C1969" s="455" t="s">
        <v>133</v>
      </c>
      <c r="D1969" s="456" t="s">
        <v>2668</v>
      </c>
      <c r="E1969" s="501" t="s">
        <v>2669</v>
      </c>
      <c r="F1969" s="1028">
        <v>4504944370</v>
      </c>
      <c r="G1969" s="457" t="s">
        <v>39</v>
      </c>
      <c r="H1969" s="458">
        <v>18360</v>
      </c>
      <c r="I1969" s="459" t="s">
        <v>40</v>
      </c>
      <c r="J1969" s="460">
        <v>41207</v>
      </c>
      <c r="K1969" s="461">
        <f t="shared" si="67"/>
        <v>71</v>
      </c>
      <c r="L1969" s="460">
        <v>41278</v>
      </c>
      <c r="M1969" s="460" t="s">
        <v>41</v>
      </c>
      <c r="N1969" s="457" t="s">
        <v>42</v>
      </c>
      <c r="O1969" s="460">
        <v>41257</v>
      </c>
      <c r="P1969" s="461">
        <f t="shared" si="64"/>
        <v>-7</v>
      </c>
      <c r="Q1969" s="461" t="s">
        <v>2738</v>
      </c>
      <c r="R1969" s="757">
        <v>41268</v>
      </c>
      <c r="S1969" s="462">
        <v>41271</v>
      </c>
      <c r="T1969" s="462">
        <v>41288</v>
      </c>
      <c r="U1969" s="461">
        <f t="shared" si="65"/>
        <v>81</v>
      </c>
      <c r="V1969" s="461" t="s">
        <v>2739</v>
      </c>
      <c r="W1969" s="493">
        <v>139</v>
      </c>
      <c r="X1969" s="457"/>
      <c r="Y1969" s="592"/>
      <c r="Z1969" s="468" t="s">
        <v>2740</v>
      </c>
      <c r="AA1969" s="457" t="s">
        <v>47</v>
      </c>
      <c r="AB1969" s="460" t="s">
        <v>47</v>
      </c>
      <c r="AC1969" s="722"/>
      <c r="AD1969" s="649" t="str">
        <f t="shared" si="66"/>
        <v>en término</v>
      </c>
      <c r="AE1969" s="645"/>
    </row>
    <row r="1970" spans="2:39" s="649" customFormat="1" ht="54.95" customHeight="1" thickBot="1" x14ac:dyDescent="0.25">
      <c r="B1970" s="474" t="s">
        <v>36</v>
      </c>
      <c r="C1970" s="455" t="s">
        <v>37</v>
      </c>
      <c r="D1970" s="456" t="s">
        <v>2741</v>
      </c>
      <c r="E1970" s="591" t="s">
        <v>2742</v>
      </c>
      <c r="F1970" s="457"/>
      <c r="G1970" s="457" t="s">
        <v>39</v>
      </c>
      <c r="H1970" s="458">
        <v>66</v>
      </c>
      <c r="I1970" s="459"/>
      <c r="J1970" s="460">
        <v>41242</v>
      </c>
      <c r="K1970" s="461">
        <f t="shared" si="67"/>
        <v>14</v>
      </c>
      <c r="L1970" s="460">
        <v>41256</v>
      </c>
      <c r="M1970" s="460" t="s">
        <v>41</v>
      </c>
      <c r="N1970" s="457" t="s">
        <v>42</v>
      </c>
      <c r="O1970" s="460">
        <v>41261</v>
      </c>
      <c r="P1970" s="461" t="str">
        <f t="shared" si="64"/>
        <v/>
      </c>
      <c r="Q1970" s="591"/>
      <c r="R1970" s="757"/>
      <c r="S1970" s="836"/>
      <c r="T1970" s="462"/>
      <c r="U1970" s="461" t="str">
        <f t="shared" si="65"/>
        <v/>
      </c>
      <c r="V1970" s="591" t="s">
        <v>53</v>
      </c>
      <c r="W1970" s="493"/>
      <c r="X1970" s="592"/>
      <c r="Y1970" s="592"/>
      <c r="Z1970" s="468"/>
      <c r="AA1970" s="457"/>
      <c r="AB1970" s="473" t="str">
        <f>IF(S1970="","",IF('o.c.'!$Z$1&lt;(S1970+180),(S1970+180),"VENCIDA"))</f>
        <v/>
      </c>
      <c r="AC1970" s="839" t="s">
        <v>2743</v>
      </c>
      <c r="AE1970" s="645" t="str">
        <f>IF(P1970="","",IF(P1970&lt;=0,"en término","atrasado"))</f>
        <v/>
      </c>
    </row>
    <row r="1971" spans="2:39" s="649" customFormat="1" ht="54.95" customHeight="1" thickBot="1" x14ac:dyDescent="0.25">
      <c r="B1971" s="474" t="s">
        <v>36</v>
      </c>
      <c r="C1971" s="455" t="s">
        <v>133</v>
      </c>
      <c r="D1971" s="456" t="s">
        <v>2554</v>
      </c>
      <c r="E1971" s="501" t="s">
        <v>2555</v>
      </c>
      <c r="F1971" s="457">
        <v>4504931635</v>
      </c>
      <c r="G1971" s="457" t="s">
        <v>39</v>
      </c>
      <c r="H1971" s="458">
        <v>31394.31</v>
      </c>
      <c r="I1971" s="459" t="s">
        <v>40</v>
      </c>
      <c r="J1971" s="460">
        <v>41200</v>
      </c>
      <c r="K1971" s="461">
        <f t="shared" si="67"/>
        <v>92</v>
      </c>
      <c r="L1971" s="460">
        <v>41292</v>
      </c>
      <c r="M1971" s="460" t="s">
        <v>41</v>
      </c>
      <c r="N1971" s="457" t="s">
        <v>42</v>
      </c>
      <c r="O1971" s="460">
        <v>41271</v>
      </c>
      <c r="P1971" s="461">
        <f t="shared" si="64"/>
        <v>-8</v>
      </c>
      <c r="Q1971" s="591" t="s">
        <v>2744</v>
      </c>
      <c r="R1971" s="757">
        <v>41282</v>
      </c>
      <c r="S1971" s="836">
        <v>41284</v>
      </c>
      <c r="T1971" s="462">
        <v>41302</v>
      </c>
      <c r="U1971" s="461">
        <f t="shared" si="65"/>
        <v>102</v>
      </c>
      <c r="V1971" s="461" t="s">
        <v>53</v>
      </c>
      <c r="W1971" s="493">
        <v>141</v>
      </c>
      <c r="X1971" s="457"/>
      <c r="Y1971" s="592"/>
      <c r="Z1971" s="468" t="s">
        <v>2745</v>
      </c>
      <c r="AA1971" s="457"/>
      <c r="AB1971" s="460" t="s">
        <v>2573</v>
      </c>
      <c r="AC1971" s="722"/>
      <c r="AD1971" s="645" t="str">
        <f>IF(P1971="","",IF(P1971&lt;=0,"en término","atrasado"))</f>
        <v>en término</v>
      </c>
    </row>
    <row r="1972" spans="2:39" s="649" customFormat="1" ht="54.95" customHeight="1" thickBot="1" x14ac:dyDescent="0.25">
      <c r="B1972" s="474" t="s">
        <v>36</v>
      </c>
      <c r="C1972" s="455" t="s">
        <v>133</v>
      </c>
      <c r="D1972" s="456" t="s">
        <v>2554</v>
      </c>
      <c r="E1972" s="501" t="s">
        <v>2555</v>
      </c>
      <c r="F1972" s="457">
        <v>4504991260</v>
      </c>
      <c r="G1972" s="457" t="s">
        <v>39</v>
      </c>
      <c r="H1972" s="458">
        <v>96185.79</v>
      </c>
      <c r="I1972" s="459" t="s">
        <v>52</v>
      </c>
      <c r="J1972" s="460">
        <v>41236</v>
      </c>
      <c r="K1972" s="461">
        <f t="shared" si="67"/>
        <v>63</v>
      </c>
      <c r="L1972" s="460">
        <v>41299</v>
      </c>
      <c r="M1972" s="460" t="s">
        <v>41</v>
      </c>
      <c r="N1972" s="457" t="s">
        <v>42</v>
      </c>
      <c r="O1972" s="460">
        <v>41271</v>
      </c>
      <c r="P1972" s="461">
        <f t="shared" si="64"/>
        <v>-15</v>
      </c>
      <c r="Q1972" s="591" t="s">
        <v>2744</v>
      </c>
      <c r="R1972" s="757">
        <v>41282</v>
      </c>
      <c r="S1972" s="836">
        <v>41284</v>
      </c>
      <c r="T1972" s="462">
        <v>41302</v>
      </c>
      <c r="U1972" s="461">
        <f t="shared" si="65"/>
        <v>66</v>
      </c>
      <c r="V1972" s="461" t="s">
        <v>786</v>
      </c>
      <c r="W1972" s="493">
        <v>143</v>
      </c>
      <c r="X1972" s="457"/>
      <c r="Y1972" s="457"/>
      <c r="Z1972" s="468" t="s">
        <v>2745</v>
      </c>
      <c r="AA1972" s="457"/>
      <c r="AB1972" s="460" t="s">
        <v>2573</v>
      </c>
      <c r="AC1972" s="722"/>
      <c r="AD1972" s="645" t="str">
        <f>IF(P1972="","",IF(P1972&lt;=0,"en término","atrasado"))</f>
        <v>en término</v>
      </c>
    </row>
    <row r="1973" spans="2:39" s="649" customFormat="1" ht="54.95" customHeight="1" thickBot="1" x14ac:dyDescent="0.25">
      <c r="B1973" s="474" t="s">
        <v>36</v>
      </c>
      <c r="C1973" s="455" t="s">
        <v>133</v>
      </c>
      <c r="D1973" s="456" t="s">
        <v>2554</v>
      </c>
      <c r="E1973" s="501" t="s">
        <v>2555</v>
      </c>
      <c r="F1973" s="457">
        <v>4504997760</v>
      </c>
      <c r="G1973" s="457" t="s">
        <v>39</v>
      </c>
      <c r="H1973" s="458">
        <v>6181.61</v>
      </c>
      <c r="I1973" s="459" t="s">
        <v>52</v>
      </c>
      <c r="J1973" s="460">
        <v>41241</v>
      </c>
      <c r="K1973" s="461">
        <f t="shared" si="67"/>
        <v>61</v>
      </c>
      <c r="L1973" s="460">
        <v>41302</v>
      </c>
      <c r="M1973" s="460" t="s">
        <v>41</v>
      </c>
      <c r="N1973" s="457" t="s">
        <v>42</v>
      </c>
      <c r="O1973" s="460">
        <v>41271</v>
      </c>
      <c r="P1973" s="461">
        <f t="shared" si="64"/>
        <v>-18</v>
      </c>
      <c r="Q1973" s="591" t="s">
        <v>2744</v>
      </c>
      <c r="R1973" s="757">
        <v>41282</v>
      </c>
      <c r="S1973" s="836">
        <v>41284</v>
      </c>
      <c r="T1973" s="462">
        <v>41302</v>
      </c>
      <c r="U1973" s="461">
        <f t="shared" si="65"/>
        <v>61</v>
      </c>
      <c r="V1973" s="461" t="s">
        <v>53</v>
      </c>
      <c r="W1973" s="493">
        <v>144</v>
      </c>
      <c r="X1973" s="457"/>
      <c r="Y1973" s="592"/>
      <c r="Z1973" s="468" t="s">
        <v>2745</v>
      </c>
      <c r="AA1973" s="457"/>
      <c r="AB1973" s="460" t="s">
        <v>2573</v>
      </c>
      <c r="AC1973" s="722"/>
      <c r="AD1973" s="645" t="str">
        <f>IF(P1973="","",IF(P1973&lt;=0,"en término","atrasado"))</f>
        <v>en término</v>
      </c>
    </row>
    <row r="1974" spans="2:39" s="649" customFormat="1" ht="54.95" customHeight="1" thickBot="1" x14ac:dyDescent="0.25">
      <c r="B1974" s="474" t="s">
        <v>36</v>
      </c>
      <c r="C1974" s="455" t="s">
        <v>133</v>
      </c>
      <c r="D1974" s="456" t="s">
        <v>2668</v>
      </c>
      <c r="E1974" s="1027" t="s">
        <v>2669</v>
      </c>
      <c r="F1974" s="446">
        <v>4504812512</v>
      </c>
      <c r="G1974" s="457" t="s">
        <v>39</v>
      </c>
      <c r="H1974" s="458">
        <v>30420</v>
      </c>
      <c r="I1974" s="459" t="s">
        <v>62</v>
      </c>
      <c r="J1974" s="460">
        <v>41136</v>
      </c>
      <c r="K1974" s="461">
        <f t="shared" si="67"/>
        <v>155</v>
      </c>
      <c r="L1974" s="460">
        <v>41291</v>
      </c>
      <c r="M1974" s="460" t="s">
        <v>41</v>
      </c>
      <c r="N1974" s="457" t="s">
        <v>42</v>
      </c>
      <c r="O1974" s="460">
        <v>41271</v>
      </c>
      <c r="P1974" s="461">
        <f t="shared" si="64"/>
        <v>-7</v>
      </c>
      <c r="Q1974" s="591" t="s">
        <v>2744</v>
      </c>
      <c r="R1974" s="757">
        <v>41282</v>
      </c>
      <c r="S1974" s="836">
        <v>41284</v>
      </c>
      <c r="T1974" s="462">
        <v>41302</v>
      </c>
      <c r="U1974" s="461">
        <f t="shared" si="65"/>
        <v>166</v>
      </c>
      <c r="V1974" s="461" t="s">
        <v>2746</v>
      </c>
      <c r="W1974" s="493">
        <v>140</v>
      </c>
      <c r="X1974" s="457"/>
      <c r="Y1974" s="592"/>
      <c r="Z1974" s="468" t="s">
        <v>2745</v>
      </c>
      <c r="AA1974" s="457"/>
      <c r="AB1974" s="460" t="s">
        <v>47</v>
      </c>
      <c r="AC1974" s="722"/>
      <c r="AD1974" s="645" t="str">
        <f>IF(P1974="","",IF(P1974&lt;=0,"en término","atrasado"))</f>
        <v>en término</v>
      </c>
    </row>
    <row r="1975" spans="2:39" s="649" customFormat="1" ht="54.95" customHeight="1" thickBot="1" x14ac:dyDescent="0.25">
      <c r="B1975" s="474" t="s">
        <v>36</v>
      </c>
      <c r="C1975" s="455" t="s">
        <v>133</v>
      </c>
      <c r="D1975" s="456" t="s">
        <v>2686</v>
      </c>
      <c r="E1975" s="501" t="s">
        <v>2687</v>
      </c>
      <c r="F1975" s="457">
        <v>4504924098</v>
      </c>
      <c r="G1975" s="457" t="s">
        <v>39</v>
      </c>
      <c r="H1975" s="458">
        <v>12302.35</v>
      </c>
      <c r="I1975" s="459" t="s">
        <v>52</v>
      </c>
      <c r="J1975" s="460">
        <v>41193</v>
      </c>
      <c r="K1975" s="461">
        <f t="shared" si="67"/>
        <v>95</v>
      </c>
      <c r="L1975" s="460">
        <v>41288</v>
      </c>
      <c r="M1975" s="460" t="s">
        <v>41</v>
      </c>
      <c r="N1975" s="457" t="s">
        <v>42</v>
      </c>
      <c r="O1975" s="460">
        <v>41271</v>
      </c>
      <c r="P1975" s="461">
        <f t="shared" si="64"/>
        <v>-4</v>
      </c>
      <c r="Q1975" s="591" t="s">
        <v>2744</v>
      </c>
      <c r="R1975" s="757">
        <v>41282</v>
      </c>
      <c r="S1975" s="836">
        <v>41284</v>
      </c>
      <c r="T1975" s="462">
        <v>41302</v>
      </c>
      <c r="U1975" s="461">
        <f t="shared" si="65"/>
        <v>109</v>
      </c>
      <c r="V1975" s="461" t="s">
        <v>53</v>
      </c>
      <c r="W1975" s="493">
        <v>142</v>
      </c>
      <c r="X1975" s="457"/>
      <c r="Y1975" s="592"/>
      <c r="Z1975" s="468" t="s">
        <v>2745</v>
      </c>
      <c r="AA1975" s="457" t="s">
        <v>47</v>
      </c>
      <c r="AB1975" s="460" t="s">
        <v>2747</v>
      </c>
      <c r="AC1975" s="722"/>
      <c r="AD1975" s="645" t="str">
        <f>IF(P1975="","",IF(P1975&lt;=0,"en término","atrasado"))</f>
        <v>en término</v>
      </c>
    </row>
    <row r="1976" spans="2:39" x14ac:dyDescent="0.2">
      <c r="B1976" s="9"/>
      <c r="C1976" s="9"/>
      <c r="D1976" s="9"/>
      <c r="E1976" s="9"/>
      <c r="F1976" s="10"/>
      <c r="G1976" s="10"/>
      <c r="H1976" s="9"/>
      <c r="I1976" s="10"/>
      <c r="J1976" s="9"/>
      <c r="K1976" s="9"/>
      <c r="L1976" s="9"/>
      <c r="M1976" s="9"/>
      <c r="N1976" s="9"/>
      <c r="O1976" s="9"/>
      <c r="P1976" s="9"/>
      <c r="Q1976" s="9"/>
      <c r="R1976" s="9"/>
      <c r="S1976" s="9"/>
      <c r="T1976" s="9"/>
      <c r="U1976" s="9"/>
      <c r="V1976" s="9"/>
      <c r="W1976" s="10"/>
      <c r="X1976" s="10"/>
      <c r="Y1976" s="10"/>
      <c r="Z1976" s="9"/>
      <c r="AA1976" s="9"/>
      <c r="AB1976" s="9"/>
      <c r="AC1976" s="10"/>
      <c r="AD1976" s="10"/>
      <c r="AE1976" s="9"/>
      <c r="AF1976" s="9"/>
      <c r="AG1976" s="9"/>
      <c r="AH1976" s="9"/>
      <c r="AI1976" s="9"/>
      <c r="AJ1976" s="9"/>
      <c r="AK1976" s="9"/>
      <c r="AL1976" s="9"/>
      <c r="AM1976" s="9"/>
    </row>
    <row r="1977" spans="2:39" x14ac:dyDescent="0.2">
      <c r="B1977" s="9"/>
      <c r="C1977" s="9"/>
      <c r="D1977" s="9"/>
      <c r="E1977" s="9"/>
      <c r="F1977" s="10"/>
      <c r="G1977" s="10"/>
      <c r="H1977" s="9"/>
      <c r="I1977" s="10"/>
      <c r="J1977" s="9"/>
      <c r="K1977" s="9"/>
      <c r="L1977" s="9"/>
      <c r="M1977" s="9"/>
      <c r="N1977" s="9"/>
      <c r="O1977" s="9"/>
      <c r="P1977" s="9"/>
      <c r="Q1977" s="9"/>
      <c r="R1977" s="9"/>
      <c r="S1977" s="9"/>
      <c r="T1977" s="9"/>
      <c r="U1977" s="9"/>
      <c r="V1977" s="9"/>
      <c r="W1977" s="10"/>
      <c r="X1977" s="10"/>
      <c r="Y1977" s="10"/>
      <c r="Z1977" s="9"/>
      <c r="AA1977" s="9"/>
      <c r="AB1977" s="9"/>
      <c r="AC1977" s="10"/>
      <c r="AD1977" s="10"/>
      <c r="AE1977" s="9"/>
      <c r="AF1977" s="9"/>
      <c r="AG1977" s="9"/>
      <c r="AH1977" s="9"/>
      <c r="AI1977" s="9"/>
      <c r="AJ1977" s="9"/>
      <c r="AK1977" s="9"/>
      <c r="AL1977" s="9"/>
      <c r="AM1977" s="9"/>
    </row>
    <row r="1978" spans="2:39" x14ac:dyDescent="0.2">
      <c r="B1978" s="9"/>
      <c r="C1978" s="9"/>
      <c r="D1978" s="9"/>
      <c r="E1978" s="9"/>
      <c r="F1978" s="10"/>
      <c r="G1978" s="10"/>
      <c r="H1978" s="9"/>
      <c r="I1978" s="10"/>
      <c r="J1978" s="9"/>
      <c r="K1978" s="9"/>
      <c r="L1978" s="9"/>
      <c r="M1978" s="9"/>
      <c r="N1978" s="9"/>
      <c r="O1978" s="9"/>
      <c r="P1978" s="9"/>
      <c r="Q1978" s="9"/>
      <c r="R1978" s="9"/>
      <c r="S1978" s="9"/>
      <c r="T1978" s="9"/>
      <c r="U1978" s="9"/>
      <c r="V1978" s="9"/>
      <c r="W1978" s="10"/>
      <c r="X1978" s="10"/>
      <c r="Y1978" s="10"/>
      <c r="Z1978" s="9"/>
      <c r="AA1978" s="9"/>
      <c r="AB1978" s="9"/>
      <c r="AC1978" s="10"/>
      <c r="AD1978" s="10"/>
      <c r="AE1978" s="9"/>
      <c r="AF1978" s="9"/>
      <c r="AG1978" s="9"/>
      <c r="AH1978" s="9"/>
      <c r="AI1978" s="9"/>
      <c r="AJ1978" s="9"/>
      <c r="AK1978" s="9"/>
      <c r="AL1978" s="9"/>
      <c r="AM1978" s="9"/>
    </row>
    <row r="1979" spans="2:39" x14ac:dyDescent="0.2">
      <c r="B1979" s="9"/>
      <c r="C1979" s="9"/>
      <c r="D1979" s="9"/>
      <c r="E1979" s="9"/>
      <c r="F1979" s="10"/>
      <c r="G1979" s="10"/>
      <c r="H1979" s="9"/>
      <c r="I1979" s="10"/>
      <c r="J1979" s="9"/>
      <c r="K1979" s="9"/>
      <c r="L1979" s="9"/>
      <c r="M1979" s="9"/>
      <c r="N1979" s="9"/>
      <c r="O1979" s="9"/>
      <c r="P1979" s="9"/>
      <c r="Q1979" s="9"/>
      <c r="R1979" s="9"/>
      <c r="S1979" s="9"/>
      <c r="T1979" s="9"/>
      <c r="U1979" s="9"/>
      <c r="V1979" s="9"/>
      <c r="W1979" s="10"/>
      <c r="X1979" s="10"/>
      <c r="Y1979" s="10"/>
      <c r="Z1979" s="9"/>
      <c r="AA1979" s="743">
        <v>2012</v>
      </c>
      <c r="AB1979" s="9"/>
      <c r="AC1979" s="10"/>
      <c r="AD1979" s="10"/>
      <c r="AE1979" s="9"/>
      <c r="AF1979" s="9"/>
      <c r="AG1979" s="9"/>
      <c r="AH1979" s="9"/>
      <c r="AI1979" s="9"/>
      <c r="AJ1979" s="9"/>
      <c r="AK1979" s="9"/>
      <c r="AL1979" s="9"/>
      <c r="AM1979" s="9"/>
    </row>
    <row r="1980" spans="2:39" ht="12.75" x14ac:dyDescent="0.2">
      <c r="B1980" s="9"/>
      <c r="C1980" s="9"/>
      <c r="D1980" s="9"/>
      <c r="E1980" s="9"/>
      <c r="F1980" s="10"/>
      <c r="G1980" s="10"/>
      <c r="H1980" s="9"/>
      <c r="I1980" s="10"/>
      <c r="J1980" s="9"/>
      <c r="K1980" s="9"/>
      <c r="L1980" s="9"/>
      <c r="M1980" s="9"/>
      <c r="N1980" s="9"/>
      <c r="O1980" s="9"/>
      <c r="P1980" s="9"/>
      <c r="Q1980" s="9"/>
      <c r="R1980" s="9"/>
      <c r="S1980" s="9"/>
      <c r="T1980" s="9"/>
      <c r="U1980" s="9"/>
      <c r="V1980" s="9"/>
      <c r="W1980" s="10"/>
      <c r="X1980" s="10"/>
      <c r="Y1980" s="10"/>
      <c r="Z1980" s="9"/>
      <c r="AA1980" s="1049" t="s">
        <v>813</v>
      </c>
      <c r="AB1980" s="1050">
        <f>COUNTA(AD1881:AD1977)</f>
        <v>94</v>
      </c>
      <c r="AC1980" s="10"/>
      <c r="AD1980" s="10"/>
      <c r="AE1980" s="9"/>
      <c r="AF1980" s="9"/>
      <c r="AG1980" s="9"/>
      <c r="AH1980" s="9"/>
      <c r="AI1980" s="9"/>
      <c r="AJ1980" s="9"/>
      <c r="AK1980" s="9"/>
      <c r="AL1980" s="9"/>
      <c r="AM1980" s="9"/>
    </row>
    <row r="1981" spans="2:39" ht="12.75" x14ac:dyDescent="0.2">
      <c r="B1981" s="9"/>
      <c r="C1981" s="9"/>
      <c r="D1981" s="9"/>
      <c r="E1981" s="9"/>
      <c r="F1981" s="10"/>
      <c r="G1981" s="10"/>
      <c r="H1981" s="9"/>
      <c r="I1981" s="10"/>
      <c r="J1981" s="9"/>
      <c r="K1981" s="9"/>
      <c r="L1981" s="9"/>
      <c r="M1981" s="9"/>
      <c r="N1981" s="9"/>
      <c r="O1981" s="9"/>
      <c r="P1981" s="9"/>
      <c r="Q1981" s="9"/>
      <c r="R1981" s="9"/>
      <c r="S1981" s="9"/>
      <c r="T1981" s="9"/>
      <c r="U1981" s="9"/>
      <c r="V1981" s="9"/>
      <c r="W1981" s="10"/>
      <c r="X1981" s="10"/>
      <c r="Y1981" s="10"/>
      <c r="Z1981" s="9"/>
      <c r="AA1981" s="1049" t="s">
        <v>815</v>
      </c>
      <c r="AB1981" s="1050">
        <f>COUNTIF(AD1881:AD1977,"en término")</f>
        <v>56</v>
      </c>
      <c r="AC1981" s="10"/>
      <c r="AD1981" s="10"/>
      <c r="AE1981" s="9"/>
      <c r="AF1981" s="9"/>
      <c r="AG1981" s="9"/>
      <c r="AH1981" s="9"/>
      <c r="AI1981" s="9"/>
      <c r="AJ1981" s="9"/>
      <c r="AK1981" s="9"/>
      <c r="AL1981" s="9"/>
      <c r="AM1981" s="9"/>
    </row>
    <row r="1982" spans="2:39" ht="12.75" x14ac:dyDescent="0.2">
      <c r="B1982" s="9"/>
      <c r="C1982" s="9"/>
      <c r="D1982" s="9"/>
      <c r="E1982" s="9"/>
      <c r="F1982" s="10"/>
      <c r="G1982" s="10"/>
      <c r="H1982" s="9"/>
      <c r="I1982" s="10"/>
      <c r="J1982" s="9"/>
      <c r="K1982" s="9"/>
      <c r="L1982" s="9"/>
      <c r="M1982" s="9"/>
      <c r="N1982" s="9"/>
      <c r="O1982" s="9"/>
      <c r="P1982" s="9"/>
      <c r="Q1982" s="9"/>
      <c r="R1982" s="9"/>
      <c r="S1982" s="9"/>
      <c r="T1982" s="9"/>
      <c r="U1982" s="9"/>
      <c r="V1982" s="9"/>
      <c r="W1982" s="10"/>
      <c r="X1982" s="10"/>
      <c r="Y1982" s="10"/>
      <c r="Z1982" s="9"/>
      <c r="AA1982" s="1049" t="s">
        <v>817</v>
      </c>
      <c r="AB1982" s="742">
        <f>+AB1981/AB1980</f>
        <v>0.5957446808510638</v>
      </c>
      <c r="AC1982" s="10"/>
      <c r="AD1982" s="10"/>
      <c r="AE1982" s="9"/>
      <c r="AF1982" s="9"/>
      <c r="AG1982" s="9"/>
      <c r="AH1982" s="9"/>
      <c r="AI1982" s="9"/>
      <c r="AJ1982" s="9"/>
      <c r="AK1982" s="9"/>
      <c r="AL1982" s="9"/>
      <c r="AM1982" s="9"/>
    </row>
    <row r="1983" spans="2:39" x14ac:dyDescent="0.2">
      <c r="B1983" s="9"/>
      <c r="C1983" s="9"/>
      <c r="D1983" s="9"/>
      <c r="E1983" s="9"/>
      <c r="F1983" s="10"/>
      <c r="G1983" s="10"/>
      <c r="H1983" s="9"/>
      <c r="I1983" s="10"/>
      <c r="J1983" s="9"/>
      <c r="K1983" s="9"/>
      <c r="L1983" s="9"/>
      <c r="M1983" s="9"/>
      <c r="N1983" s="9"/>
      <c r="O1983" s="9"/>
      <c r="P1983" s="9"/>
      <c r="Q1983" s="9"/>
      <c r="R1983" s="9"/>
      <c r="S1983" s="9"/>
      <c r="T1983" s="9"/>
      <c r="U1983" s="9"/>
      <c r="V1983" s="9"/>
      <c r="W1983" s="10"/>
      <c r="X1983" s="10"/>
      <c r="Y1983" s="10"/>
      <c r="Z1983" s="9"/>
      <c r="AA1983" s="9"/>
      <c r="AB1983" s="9"/>
      <c r="AC1983" s="10"/>
      <c r="AD1983" s="10"/>
      <c r="AE1983" s="9"/>
      <c r="AF1983" s="9"/>
      <c r="AG1983" s="9"/>
      <c r="AH1983" s="9"/>
      <c r="AI1983" s="9"/>
      <c r="AJ1983" s="9"/>
      <c r="AK1983" s="9"/>
      <c r="AL1983" s="9"/>
      <c r="AM1983" s="9"/>
    </row>
    <row r="1984" spans="2:39" x14ac:dyDescent="0.2">
      <c r="B1984" s="9"/>
      <c r="C1984" s="9"/>
      <c r="D1984" s="9"/>
      <c r="E1984" s="9"/>
      <c r="F1984" s="10"/>
      <c r="G1984" s="10"/>
      <c r="H1984" s="9"/>
      <c r="I1984" s="10"/>
      <c r="J1984" s="9"/>
      <c r="K1984" s="9"/>
      <c r="L1984" s="9"/>
      <c r="M1984" s="9"/>
      <c r="N1984" s="9"/>
      <c r="O1984" s="9"/>
      <c r="P1984" s="9"/>
      <c r="Q1984" s="9"/>
      <c r="R1984" s="9"/>
      <c r="S1984" s="9"/>
      <c r="T1984" s="9"/>
      <c r="U1984" s="9"/>
      <c r="V1984" s="9"/>
      <c r="W1984" s="10"/>
      <c r="X1984" s="10"/>
      <c r="Y1984" s="10"/>
      <c r="Z1984" s="9"/>
      <c r="AA1984" s="9"/>
      <c r="AB1984" s="9"/>
      <c r="AC1984" s="10"/>
      <c r="AD1984" s="10"/>
      <c r="AE1984" s="9"/>
      <c r="AF1984" s="9"/>
      <c r="AG1984" s="9"/>
      <c r="AH1984" s="9"/>
      <c r="AI1984" s="9"/>
      <c r="AJ1984" s="9"/>
      <c r="AK1984" s="9"/>
      <c r="AL1984" s="9"/>
      <c r="AM1984" s="9"/>
    </row>
    <row r="1985" spans="1:39" ht="12" thickBot="1" x14ac:dyDescent="0.25">
      <c r="B1985" s="9"/>
      <c r="C1985" s="9"/>
      <c r="D1985" s="9"/>
      <c r="E1985" s="9"/>
      <c r="F1985" s="10"/>
      <c r="G1985" s="10"/>
      <c r="H1985" s="9"/>
      <c r="I1985" s="10"/>
      <c r="J1985" s="9"/>
      <c r="K1985" s="9"/>
      <c r="L1985" s="9"/>
      <c r="M1985" s="9"/>
      <c r="N1985" s="9"/>
      <c r="O1985" s="9"/>
      <c r="P1985" s="9"/>
      <c r="Q1985" s="9"/>
      <c r="R1985" s="9"/>
      <c r="S1985" s="9"/>
      <c r="T1985" s="9"/>
      <c r="U1985" s="9"/>
      <c r="V1985" s="9"/>
      <c r="W1985" s="10"/>
      <c r="X1985" s="10"/>
      <c r="Y1985" s="10"/>
      <c r="Z1985" s="9"/>
      <c r="AA1985" s="9"/>
      <c r="AB1985" s="9"/>
      <c r="AC1985" s="10"/>
      <c r="AD1985" s="10"/>
      <c r="AE1985" s="9"/>
      <c r="AF1985" s="9"/>
      <c r="AG1985" s="9"/>
      <c r="AH1985" s="9"/>
      <c r="AI1985" s="9"/>
      <c r="AJ1985" s="9"/>
      <c r="AK1985" s="9"/>
      <c r="AL1985" s="9"/>
      <c r="AM1985" s="9"/>
    </row>
    <row r="1986" spans="1:39" s="556" customFormat="1" ht="39.950000000000003" customHeight="1" thickBot="1" x14ac:dyDescent="0.4">
      <c r="A1986" s="554"/>
      <c r="B1986" s="1611">
        <v>2013</v>
      </c>
      <c r="C1986" s="1612"/>
      <c r="D1986" s="1612"/>
      <c r="E1986" s="1612"/>
      <c r="F1986" s="1612"/>
      <c r="G1986" s="1612"/>
      <c r="H1986" s="1612"/>
      <c r="I1986" s="1612"/>
      <c r="J1986" s="1612"/>
      <c r="K1986" s="1612"/>
      <c r="L1986" s="1612"/>
      <c r="M1986" s="1612"/>
      <c r="N1986" s="1612"/>
      <c r="O1986" s="1612"/>
      <c r="P1986" s="1612"/>
      <c r="Q1986" s="1612"/>
      <c r="R1986" s="1612"/>
      <c r="S1986" s="1612"/>
      <c r="T1986" s="1612"/>
      <c r="U1986" s="1612"/>
      <c r="V1986" s="1612"/>
      <c r="W1986" s="1612"/>
      <c r="X1986" s="1612"/>
      <c r="Y1986" s="1612"/>
      <c r="Z1986" s="1612"/>
      <c r="AA1986" s="1612"/>
      <c r="AB1986" s="1612"/>
      <c r="AC1986" s="1613"/>
      <c r="AD1986" s="555"/>
    </row>
    <row r="1987" spans="1:39" s="441" customFormat="1" ht="60" customHeight="1" thickBot="1" x14ac:dyDescent="0.25">
      <c r="A1987" s="438"/>
      <c r="B1987" s="451" t="s">
        <v>130</v>
      </c>
      <c r="C1987" s="451" t="s">
        <v>4</v>
      </c>
      <c r="D1987" s="451" t="s">
        <v>5</v>
      </c>
      <c r="E1987" s="451" t="s">
        <v>6</v>
      </c>
      <c r="F1987" s="451" t="s">
        <v>7</v>
      </c>
      <c r="G1987" s="451" t="s">
        <v>8</v>
      </c>
      <c r="H1987" s="453" t="s">
        <v>9</v>
      </c>
      <c r="I1987" s="453" t="s">
        <v>10</v>
      </c>
      <c r="J1987" s="451" t="s">
        <v>11</v>
      </c>
      <c r="K1987" s="451" t="s">
        <v>12</v>
      </c>
      <c r="L1987" s="451" t="s">
        <v>13</v>
      </c>
      <c r="M1987" s="451" t="s">
        <v>14</v>
      </c>
      <c r="N1987" s="451" t="s">
        <v>15</v>
      </c>
      <c r="O1987" s="452" t="s">
        <v>16</v>
      </c>
      <c r="P1987" s="454" t="s">
        <v>17</v>
      </c>
      <c r="Q1987" s="451" t="s">
        <v>18</v>
      </c>
      <c r="R1987" s="452" t="s">
        <v>19</v>
      </c>
      <c r="S1987" s="451" t="s">
        <v>20</v>
      </c>
      <c r="T1987" s="451" t="s">
        <v>21</v>
      </c>
      <c r="U1987" s="452" t="s">
        <v>22</v>
      </c>
      <c r="V1987" s="451" t="s">
        <v>131</v>
      </c>
      <c r="W1987" s="451" t="s">
        <v>24</v>
      </c>
      <c r="X1987" s="451" t="s">
        <v>132</v>
      </c>
      <c r="Y1987" s="451" t="s">
        <v>26</v>
      </c>
      <c r="Z1987" s="451" t="s">
        <v>27</v>
      </c>
      <c r="AA1987" s="451" t="s">
        <v>28</v>
      </c>
      <c r="AB1987" s="451" t="s">
        <v>29</v>
      </c>
      <c r="AC1987" s="451" t="s">
        <v>30</v>
      </c>
      <c r="AD1987" s="439"/>
      <c r="AE1987" s="440"/>
      <c r="AF1987" s="440"/>
      <c r="AG1987" s="440"/>
      <c r="AH1987" s="440"/>
      <c r="AI1987" s="440"/>
      <c r="AJ1987" s="440"/>
      <c r="AK1987" s="440"/>
      <c r="AL1987" s="440"/>
      <c r="AM1987" s="440"/>
    </row>
    <row r="1988" spans="1:39" s="649" customFormat="1" ht="54.95" customHeight="1" thickBot="1" x14ac:dyDescent="0.25">
      <c r="B1988" s="474" t="s">
        <v>36</v>
      </c>
      <c r="C1988" s="455" t="s">
        <v>133</v>
      </c>
      <c r="D1988" s="456" t="s">
        <v>2554</v>
      </c>
      <c r="E1988" s="501" t="s">
        <v>2555</v>
      </c>
      <c r="F1988" s="457">
        <v>4504927792</v>
      </c>
      <c r="G1988" s="457" t="s">
        <v>39</v>
      </c>
      <c r="H1988" s="458">
        <v>84488.59</v>
      </c>
      <c r="I1988" s="459" t="s">
        <v>62</v>
      </c>
      <c r="J1988" s="460">
        <v>41221</v>
      </c>
      <c r="K1988" s="461">
        <f t="shared" ref="K1988:K2006" si="68">+L1988-J1988</f>
        <v>90</v>
      </c>
      <c r="L1988" s="460">
        <v>41311</v>
      </c>
      <c r="M1988" s="460" t="s">
        <v>41</v>
      </c>
      <c r="N1988" s="457" t="s">
        <v>42</v>
      </c>
      <c r="O1988" s="460">
        <v>41289</v>
      </c>
      <c r="P1988" s="461">
        <f t="shared" ref="P1988:P2034" si="69">IF(S1988="","",+S1988-L1988)</f>
        <v>-13</v>
      </c>
      <c r="Q1988" s="591" t="s">
        <v>2748</v>
      </c>
      <c r="R1988" s="757">
        <v>41296</v>
      </c>
      <c r="S1988" s="836">
        <v>41298</v>
      </c>
      <c r="T1988" s="462">
        <v>41316</v>
      </c>
      <c r="U1988" s="461">
        <f t="shared" ref="U1988:U2019" si="70">IF(T1988="","",+T1988-J1988)</f>
        <v>95</v>
      </c>
      <c r="V1988" s="461" t="s">
        <v>1831</v>
      </c>
      <c r="W1988" s="493" t="s">
        <v>2418</v>
      </c>
      <c r="X1988" s="457"/>
      <c r="Y1988" s="457"/>
      <c r="Z1988" s="468" t="s">
        <v>2749</v>
      </c>
      <c r="AA1988" s="457" t="s">
        <v>47</v>
      </c>
      <c r="AB1988" s="460" t="s">
        <v>2750</v>
      </c>
      <c r="AC1988" s="722"/>
      <c r="AD1988" s="645" t="str">
        <f t="shared" ref="AD1988:AD2022" si="71">IF(P1988="","",IF(P1988&lt;=0,"en término","atrasado"))</f>
        <v>en término</v>
      </c>
    </row>
    <row r="1989" spans="1:39" s="649" customFormat="1" ht="54.95" customHeight="1" thickBot="1" x14ac:dyDescent="0.25">
      <c r="B1989" s="474" t="s">
        <v>36</v>
      </c>
      <c r="C1989" s="455" t="s">
        <v>133</v>
      </c>
      <c r="D1989" s="456" t="s">
        <v>2554</v>
      </c>
      <c r="E1989" s="501" t="s">
        <v>2555</v>
      </c>
      <c r="F1989" s="457">
        <v>4504866162</v>
      </c>
      <c r="G1989" s="457" t="s">
        <v>39</v>
      </c>
      <c r="H1989" s="458">
        <v>27696</v>
      </c>
      <c r="I1989" s="459" t="s">
        <v>62</v>
      </c>
      <c r="J1989" s="460">
        <v>41220</v>
      </c>
      <c r="K1989" s="461">
        <f t="shared" si="68"/>
        <v>90</v>
      </c>
      <c r="L1989" s="460">
        <v>41310</v>
      </c>
      <c r="M1989" s="460" t="s">
        <v>41</v>
      </c>
      <c r="N1989" s="457" t="s">
        <v>42</v>
      </c>
      <c r="O1989" s="460">
        <v>41289</v>
      </c>
      <c r="P1989" s="461">
        <f t="shared" si="69"/>
        <v>-12</v>
      </c>
      <c r="Q1989" s="591" t="s">
        <v>2748</v>
      </c>
      <c r="R1989" s="757">
        <v>41296</v>
      </c>
      <c r="S1989" s="836">
        <v>41298</v>
      </c>
      <c r="T1989" s="462">
        <v>41316</v>
      </c>
      <c r="U1989" s="461">
        <f t="shared" si="70"/>
        <v>96</v>
      </c>
      <c r="V1989" s="461" t="s">
        <v>53</v>
      </c>
      <c r="W1989" s="493" t="s">
        <v>100</v>
      </c>
      <c r="X1989" s="457"/>
      <c r="Y1989" s="592"/>
      <c r="Z1989" s="468" t="s">
        <v>2749</v>
      </c>
      <c r="AA1989" s="457" t="s">
        <v>47</v>
      </c>
      <c r="AB1989" s="460" t="s">
        <v>2750</v>
      </c>
      <c r="AC1989" s="722"/>
      <c r="AD1989" s="645" t="str">
        <f t="shared" si="71"/>
        <v>en término</v>
      </c>
    </row>
    <row r="1990" spans="1:39" s="649" customFormat="1" ht="54.95" customHeight="1" thickBot="1" x14ac:dyDescent="0.25">
      <c r="B1990" s="474" t="s">
        <v>36</v>
      </c>
      <c r="C1990" s="455" t="s">
        <v>133</v>
      </c>
      <c r="D1990" s="456" t="s">
        <v>2668</v>
      </c>
      <c r="E1990" s="501" t="s">
        <v>2669</v>
      </c>
      <c r="F1990" s="1028">
        <v>4504944370</v>
      </c>
      <c r="G1990" s="457" t="s">
        <v>39</v>
      </c>
      <c r="H1990" s="458">
        <v>20400</v>
      </c>
      <c r="I1990" s="459" t="s">
        <v>40</v>
      </c>
      <c r="J1990" s="460">
        <v>41207</v>
      </c>
      <c r="K1990" s="461">
        <f t="shared" si="68"/>
        <v>102</v>
      </c>
      <c r="L1990" s="460">
        <v>41309</v>
      </c>
      <c r="M1990" s="460" t="s">
        <v>41</v>
      </c>
      <c r="N1990" s="457" t="s">
        <v>42</v>
      </c>
      <c r="O1990" s="460">
        <v>41289</v>
      </c>
      <c r="P1990" s="461">
        <f t="shared" si="69"/>
        <v>-11</v>
      </c>
      <c r="Q1990" s="591" t="s">
        <v>2748</v>
      </c>
      <c r="R1990" s="757">
        <v>41296</v>
      </c>
      <c r="S1990" s="836">
        <v>41298</v>
      </c>
      <c r="T1990" s="462">
        <v>41316</v>
      </c>
      <c r="U1990" s="461">
        <f t="shared" si="70"/>
        <v>109</v>
      </c>
      <c r="V1990" s="461" t="s">
        <v>2751</v>
      </c>
      <c r="W1990" s="493" t="s">
        <v>2415</v>
      </c>
      <c r="X1990" s="457"/>
      <c r="Y1990" s="592"/>
      <c r="Z1990" s="468" t="s">
        <v>2749</v>
      </c>
      <c r="AA1990" s="457" t="s">
        <v>47</v>
      </c>
      <c r="AB1990" s="460" t="s">
        <v>2752</v>
      </c>
      <c r="AC1990" s="722"/>
      <c r="AD1990" s="645" t="str">
        <f t="shared" si="71"/>
        <v>en término</v>
      </c>
    </row>
    <row r="1991" spans="1:39" s="649" customFormat="1" ht="54.95" customHeight="1" thickBot="1" x14ac:dyDescent="0.25">
      <c r="B1991" s="474" t="s">
        <v>36</v>
      </c>
      <c r="C1991" s="455" t="s">
        <v>133</v>
      </c>
      <c r="D1991" s="456" t="s">
        <v>2554</v>
      </c>
      <c r="E1991" s="501" t="s">
        <v>2555</v>
      </c>
      <c r="F1991" s="457">
        <v>4504982682</v>
      </c>
      <c r="G1991" s="457" t="s">
        <v>39</v>
      </c>
      <c r="H1991" s="458">
        <v>12972.27</v>
      </c>
      <c r="I1991" s="459" t="s">
        <v>142</v>
      </c>
      <c r="J1991" s="460">
        <v>41233</v>
      </c>
      <c r="K1991" s="461">
        <f t="shared" si="68"/>
        <v>83</v>
      </c>
      <c r="L1991" s="460">
        <v>41316</v>
      </c>
      <c r="M1991" s="460" t="s">
        <v>41</v>
      </c>
      <c r="N1991" s="457" t="s">
        <v>42</v>
      </c>
      <c r="O1991" s="460">
        <v>41289</v>
      </c>
      <c r="P1991" s="461">
        <f t="shared" si="69"/>
        <v>-18</v>
      </c>
      <c r="Q1991" s="591" t="s">
        <v>2748</v>
      </c>
      <c r="R1991" s="757">
        <v>41296</v>
      </c>
      <c r="S1991" s="836">
        <v>41298</v>
      </c>
      <c r="T1991" s="462">
        <v>41316</v>
      </c>
      <c r="U1991" s="461">
        <f t="shared" si="70"/>
        <v>83</v>
      </c>
      <c r="V1991" s="461" t="s">
        <v>752</v>
      </c>
      <c r="W1991" s="493" t="s">
        <v>2208</v>
      </c>
      <c r="X1991" s="457"/>
      <c r="Y1991" s="457"/>
      <c r="Z1991" s="468" t="s">
        <v>2749</v>
      </c>
      <c r="AA1991" s="457" t="s">
        <v>47</v>
      </c>
      <c r="AB1991" s="460" t="s">
        <v>2753</v>
      </c>
      <c r="AC1991" s="722"/>
      <c r="AD1991" s="645" t="str">
        <f t="shared" si="71"/>
        <v>en término</v>
      </c>
    </row>
    <row r="1992" spans="1:39" s="649" customFormat="1" ht="54.95" customHeight="1" thickBot="1" x14ac:dyDescent="0.25">
      <c r="B1992" s="474" t="s">
        <v>36</v>
      </c>
      <c r="C1992" s="455" t="s">
        <v>133</v>
      </c>
      <c r="D1992" s="456" t="s">
        <v>2554</v>
      </c>
      <c r="E1992" s="501" t="s">
        <v>2555</v>
      </c>
      <c r="F1992" s="457">
        <v>4504985237</v>
      </c>
      <c r="G1992" s="457" t="s">
        <v>39</v>
      </c>
      <c r="H1992" s="458">
        <v>91414.11</v>
      </c>
      <c r="I1992" s="459" t="s">
        <v>62</v>
      </c>
      <c r="J1992" s="460">
        <v>41234</v>
      </c>
      <c r="K1992" s="461">
        <f t="shared" si="68"/>
        <v>91</v>
      </c>
      <c r="L1992" s="460">
        <v>41325</v>
      </c>
      <c r="M1992" s="460" t="s">
        <v>41</v>
      </c>
      <c r="N1992" s="457" t="s">
        <v>42</v>
      </c>
      <c r="O1992" s="460">
        <v>41289</v>
      </c>
      <c r="P1992" s="461">
        <f t="shared" si="69"/>
        <v>-27</v>
      </c>
      <c r="Q1992" s="591" t="s">
        <v>2748</v>
      </c>
      <c r="R1992" s="757">
        <v>41296</v>
      </c>
      <c r="S1992" s="836">
        <v>41298</v>
      </c>
      <c r="T1992" s="462">
        <v>41316</v>
      </c>
      <c r="U1992" s="461">
        <f t="shared" si="70"/>
        <v>82</v>
      </c>
      <c r="V1992" s="461" t="s">
        <v>1242</v>
      </c>
      <c r="W1992" s="493" t="s">
        <v>2199</v>
      </c>
      <c r="X1992" s="457"/>
      <c r="Y1992" s="457"/>
      <c r="Z1992" s="468" t="s">
        <v>2749</v>
      </c>
      <c r="AA1992" s="457" t="s">
        <v>47</v>
      </c>
      <c r="AB1992" s="460" t="s">
        <v>2752</v>
      </c>
      <c r="AC1992" s="722"/>
      <c r="AD1992" s="645" t="str">
        <f t="shared" si="71"/>
        <v>en término</v>
      </c>
    </row>
    <row r="1993" spans="1:39" s="649" customFormat="1" ht="54.95" customHeight="1" thickBot="1" x14ac:dyDescent="0.25">
      <c r="B1993" s="474" t="s">
        <v>36</v>
      </c>
      <c r="C1993" s="455" t="s">
        <v>133</v>
      </c>
      <c r="D1993" s="456" t="s">
        <v>2668</v>
      </c>
      <c r="E1993" s="501" t="s">
        <v>2669</v>
      </c>
      <c r="F1993" s="457">
        <v>4504990841</v>
      </c>
      <c r="G1993" s="457" t="s">
        <v>39</v>
      </c>
      <c r="H1993" s="458">
        <v>18105</v>
      </c>
      <c r="I1993" s="459" t="s">
        <v>52</v>
      </c>
      <c r="J1993" s="460">
        <v>41235</v>
      </c>
      <c r="K1993" s="461">
        <f t="shared" si="68"/>
        <v>71</v>
      </c>
      <c r="L1993" s="460">
        <v>41306</v>
      </c>
      <c r="M1993" s="460" t="s">
        <v>41</v>
      </c>
      <c r="N1993" s="457" t="s">
        <v>42</v>
      </c>
      <c r="O1993" s="460">
        <v>41289</v>
      </c>
      <c r="P1993" s="461">
        <f t="shared" si="69"/>
        <v>-8</v>
      </c>
      <c r="Q1993" s="591" t="s">
        <v>2748</v>
      </c>
      <c r="R1993" s="757">
        <v>41296</v>
      </c>
      <c r="S1993" s="836">
        <v>41298</v>
      </c>
      <c r="T1993" s="462">
        <v>41316</v>
      </c>
      <c r="U1993" s="461">
        <f t="shared" si="70"/>
        <v>81</v>
      </c>
      <c r="V1993" s="461" t="s">
        <v>1564</v>
      </c>
      <c r="W1993" s="493" t="s">
        <v>2582</v>
      </c>
      <c r="X1993" s="457"/>
      <c r="Y1993" s="592"/>
      <c r="Z1993" s="468" t="s">
        <v>2749</v>
      </c>
      <c r="AA1993" s="457" t="s">
        <v>47</v>
      </c>
      <c r="AB1993" s="460" t="s">
        <v>2753</v>
      </c>
      <c r="AC1993" s="722"/>
      <c r="AD1993" s="645" t="str">
        <f t="shared" si="71"/>
        <v>en término</v>
      </c>
    </row>
    <row r="1994" spans="1:39" s="649" customFormat="1" ht="54.95" customHeight="1" thickBot="1" x14ac:dyDescent="0.25">
      <c r="B1994" s="474" t="s">
        <v>36</v>
      </c>
      <c r="C1994" s="455" t="s">
        <v>133</v>
      </c>
      <c r="D1994" s="456" t="s">
        <v>2554</v>
      </c>
      <c r="E1994" s="501" t="s">
        <v>2555</v>
      </c>
      <c r="F1994" s="457">
        <v>4504985247</v>
      </c>
      <c r="G1994" s="457" t="s">
        <v>39</v>
      </c>
      <c r="H1994" s="458">
        <v>2191.04</v>
      </c>
      <c r="I1994" s="459" t="s">
        <v>62</v>
      </c>
      <c r="J1994" s="460">
        <v>41232</v>
      </c>
      <c r="K1994" s="461">
        <f t="shared" si="68"/>
        <v>76</v>
      </c>
      <c r="L1994" s="460">
        <v>41308</v>
      </c>
      <c r="M1994" s="460" t="s">
        <v>41</v>
      </c>
      <c r="N1994" s="457" t="s">
        <v>42</v>
      </c>
      <c r="O1994" s="460">
        <v>41289</v>
      </c>
      <c r="P1994" s="461">
        <f t="shared" si="69"/>
        <v>-10</v>
      </c>
      <c r="Q1994" s="591" t="s">
        <v>2748</v>
      </c>
      <c r="R1994" s="757">
        <v>41296</v>
      </c>
      <c r="S1994" s="836">
        <v>41298</v>
      </c>
      <c r="T1994" s="836">
        <v>41316</v>
      </c>
      <c r="U1994" s="461">
        <f t="shared" si="70"/>
        <v>84</v>
      </c>
      <c r="V1994" s="461" t="s">
        <v>53</v>
      </c>
      <c r="W1994" s="493" t="s">
        <v>2203</v>
      </c>
      <c r="X1994" s="457"/>
      <c r="Y1994" s="592"/>
      <c r="Z1994" s="468" t="s">
        <v>2749</v>
      </c>
      <c r="AA1994" s="457" t="s">
        <v>47</v>
      </c>
      <c r="AB1994" s="460" t="s">
        <v>2754</v>
      </c>
      <c r="AC1994" s="722"/>
      <c r="AD1994" s="645" t="str">
        <f t="shared" si="71"/>
        <v>en término</v>
      </c>
    </row>
    <row r="1995" spans="1:39" s="649" customFormat="1" ht="54.95" customHeight="1" thickBot="1" x14ac:dyDescent="0.25">
      <c r="B1995" s="474" t="s">
        <v>36</v>
      </c>
      <c r="C1995" s="455" t="s">
        <v>133</v>
      </c>
      <c r="D1995" s="456" t="s">
        <v>2554</v>
      </c>
      <c r="E1995" s="501" t="s">
        <v>2555</v>
      </c>
      <c r="F1995" s="457">
        <v>4505047030</v>
      </c>
      <c r="G1995" s="457" t="s">
        <v>39</v>
      </c>
      <c r="H1995" s="458">
        <v>108808</v>
      </c>
      <c r="I1995" s="459" t="s">
        <v>52</v>
      </c>
      <c r="J1995" s="460">
        <v>41269</v>
      </c>
      <c r="K1995" s="461">
        <f t="shared" si="68"/>
        <v>61</v>
      </c>
      <c r="L1995" s="460">
        <v>41330</v>
      </c>
      <c r="M1995" s="460" t="s">
        <v>41</v>
      </c>
      <c r="N1995" s="457" t="s">
        <v>42</v>
      </c>
      <c r="O1995" s="460">
        <v>41313</v>
      </c>
      <c r="P1995" s="461">
        <f t="shared" si="69"/>
        <v>-5</v>
      </c>
      <c r="Q1995" s="591" t="s">
        <v>2755</v>
      </c>
      <c r="R1995" s="757">
        <v>41324</v>
      </c>
      <c r="S1995" s="836">
        <v>41325</v>
      </c>
      <c r="T1995" s="462">
        <v>41343</v>
      </c>
      <c r="U1995" s="461">
        <f t="shared" si="70"/>
        <v>74</v>
      </c>
      <c r="V1995" s="461" t="s">
        <v>1322</v>
      </c>
      <c r="W1995" s="493" t="s">
        <v>2215</v>
      </c>
      <c r="X1995" s="457"/>
      <c r="Y1995" s="457"/>
      <c r="Z1995" s="468" t="s">
        <v>2756</v>
      </c>
      <c r="AA1995" s="457" t="s">
        <v>47</v>
      </c>
      <c r="AB1995" s="460" t="s">
        <v>2752</v>
      </c>
      <c r="AC1995" s="722"/>
      <c r="AD1995" s="645" t="str">
        <f t="shared" si="71"/>
        <v>en término</v>
      </c>
    </row>
    <row r="1996" spans="1:39" s="649" customFormat="1" ht="54.95" customHeight="1" thickBot="1" x14ac:dyDescent="0.25">
      <c r="B1996" s="474" t="s">
        <v>36</v>
      </c>
      <c r="C1996" s="455" t="s">
        <v>133</v>
      </c>
      <c r="D1996" s="456" t="s">
        <v>2668</v>
      </c>
      <c r="E1996" s="501" t="s">
        <v>2669</v>
      </c>
      <c r="F1996" s="457">
        <v>4505047049</v>
      </c>
      <c r="G1996" s="457" t="s">
        <v>39</v>
      </c>
      <c r="H1996" s="458">
        <v>20410</v>
      </c>
      <c r="I1996" s="459" t="s">
        <v>52</v>
      </c>
      <c r="J1996" s="460">
        <v>41269</v>
      </c>
      <c r="K1996" s="461">
        <f t="shared" si="68"/>
        <v>71</v>
      </c>
      <c r="L1996" s="460">
        <v>41340</v>
      </c>
      <c r="M1996" s="460" t="s">
        <v>41</v>
      </c>
      <c r="N1996" s="457" t="s">
        <v>42</v>
      </c>
      <c r="O1996" s="460">
        <v>41313</v>
      </c>
      <c r="P1996" s="461">
        <f t="shared" si="69"/>
        <v>-15</v>
      </c>
      <c r="Q1996" s="591" t="s">
        <v>2755</v>
      </c>
      <c r="R1996" s="757">
        <v>41324</v>
      </c>
      <c r="S1996" s="836">
        <v>41325</v>
      </c>
      <c r="T1996" s="462">
        <v>41343</v>
      </c>
      <c r="U1996" s="461">
        <f t="shared" si="70"/>
        <v>74</v>
      </c>
      <c r="V1996" s="461" t="s">
        <v>2757</v>
      </c>
      <c r="W1996" s="493" t="s">
        <v>2224</v>
      </c>
      <c r="X1996" s="457"/>
      <c r="Y1996" s="592"/>
      <c r="Z1996" s="468" t="s">
        <v>2756</v>
      </c>
      <c r="AA1996" s="457" t="s">
        <v>47</v>
      </c>
      <c r="AB1996" s="460" t="s">
        <v>2752</v>
      </c>
      <c r="AC1996" s="722"/>
      <c r="AD1996" s="645" t="str">
        <f t="shared" si="71"/>
        <v>en término</v>
      </c>
    </row>
    <row r="1997" spans="1:39" s="649" customFormat="1" ht="54.95" customHeight="1" thickBot="1" x14ac:dyDescent="0.25">
      <c r="B1997" s="474" t="s">
        <v>36</v>
      </c>
      <c r="C1997" s="455" t="s">
        <v>133</v>
      </c>
      <c r="D1997" s="456" t="s">
        <v>2554</v>
      </c>
      <c r="E1997" s="501" t="s">
        <v>2555</v>
      </c>
      <c r="F1997" s="457">
        <v>4505050417</v>
      </c>
      <c r="G1997" s="457" t="s">
        <v>39</v>
      </c>
      <c r="H1997" s="458">
        <v>15085.66</v>
      </c>
      <c r="I1997" s="459" t="s">
        <v>52</v>
      </c>
      <c r="J1997" s="460">
        <v>41269</v>
      </c>
      <c r="K1997" s="461">
        <f t="shared" si="68"/>
        <v>61</v>
      </c>
      <c r="L1997" s="460">
        <v>41330</v>
      </c>
      <c r="M1997" s="460" t="s">
        <v>41</v>
      </c>
      <c r="N1997" s="457" t="s">
        <v>42</v>
      </c>
      <c r="O1997" s="460">
        <v>41313</v>
      </c>
      <c r="P1997" s="461">
        <f t="shared" si="69"/>
        <v>-5</v>
      </c>
      <c r="Q1997" s="591" t="s">
        <v>2755</v>
      </c>
      <c r="R1997" s="757">
        <v>41324</v>
      </c>
      <c r="S1997" s="836">
        <v>41325</v>
      </c>
      <c r="T1997" s="462">
        <v>41343</v>
      </c>
      <c r="U1997" s="461">
        <f t="shared" si="70"/>
        <v>74</v>
      </c>
      <c r="V1997" s="461" t="s">
        <v>53</v>
      </c>
      <c r="W1997" s="493" t="s">
        <v>2758</v>
      </c>
      <c r="X1997" s="457"/>
      <c r="Y1997" s="592"/>
      <c r="Z1997" s="468" t="s">
        <v>2756</v>
      </c>
      <c r="AA1997" s="457" t="s">
        <v>47</v>
      </c>
      <c r="AB1997" s="460" t="s">
        <v>2747</v>
      </c>
      <c r="AC1997" s="722"/>
      <c r="AD1997" s="645" t="str">
        <f t="shared" si="71"/>
        <v>en término</v>
      </c>
    </row>
    <row r="1998" spans="1:39" s="649" customFormat="1" ht="54.95" customHeight="1" thickBot="1" x14ac:dyDescent="0.25">
      <c r="B1998" s="474" t="s">
        <v>36</v>
      </c>
      <c r="C1998" s="455" t="s">
        <v>133</v>
      </c>
      <c r="D1998" s="456" t="s">
        <v>2554</v>
      </c>
      <c r="E1998" s="501" t="s">
        <v>2555</v>
      </c>
      <c r="F1998" s="457">
        <v>4505029595</v>
      </c>
      <c r="G1998" s="457" t="s">
        <v>39</v>
      </c>
      <c r="H1998" s="458">
        <v>32976.92</v>
      </c>
      <c r="I1998" s="459" t="s">
        <v>142</v>
      </c>
      <c r="J1998" s="460">
        <v>41253</v>
      </c>
      <c r="K1998" s="461">
        <f t="shared" si="68"/>
        <v>91</v>
      </c>
      <c r="L1998" s="460">
        <v>41344</v>
      </c>
      <c r="M1998" s="460" t="s">
        <v>41</v>
      </c>
      <c r="N1998" s="457" t="s">
        <v>42</v>
      </c>
      <c r="O1998" s="460">
        <v>41313</v>
      </c>
      <c r="P1998" s="461">
        <f t="shared" si="69"/>
        <v>-19</v>
      </c>
      <c r="Q1998" s="591" t="s">
        <v>2755</v>
      </c>
      <c r="R1998" s="757">
        <v>41324</v>
      </c>
      <c r="S1998" s="836">
        <v>41325</v>
      </c>
      <c r="T1998" s="836">
        <v>41343</v>
      </c>
      <c r="U1998" s="461">
        <f t="shared" si="70"/>
        <v>90</v>
      </c>
      <c r="V1998" s="461" t="s">
        <v>2759</v>
      </c>
      <c r="W1998" s="493" t="s">
        <v>2217</v>
      </c>
      <c r="X1998" s="457"/>
      <c r="Y1998" s="457"/>
      <c r="Z1998" s="468" t="s">
        <v>2756</v>
      </c>
      <c r="AA1998" s="457" t="s">
        <v>47</v>
      </c>
      <c r="AB1998" s="460" t="s">
        <v>47</v>
      </c>
      <c r="AC1998" s="722"/>
      <c r="AD1998" s="645" t="str">
        <f t="shared" si="71"/>
        <v>en término</v>
      </c>
    </row>
    <row r="1999" spans="1:39" s="649" customFormat="1" ht="54.95" customHeight="1" thickBot="1" x14ac:dyDescent="0.25">
      <c r="B1999" s="474" t="s">
        <v>36</v>
      </c>
      <c r="C1999" s="455" t="s">
        <v>37</v>
      </c>
      <c r="D1999" s="456" t="s">
        <v>2760</v>
      </c>
      <c r="E1999" s="591" t="s">
        <v>2761</v>
      </c>
      <c r="F1999" s="457">
        <v>12120003</v>
      </c>
      <c r="G1999" s="457" t="s">
        <v>39</v>
      </c>
      <c r="H1999" s="458">
        <v>2927</v>
      </c>
      <c r="I1999" s="459"/>
      <c r="J1999" s="460">
        <v>41250</v>
      </c>
      <c r="K1999" s="461">
        <f t="shared" si="68"/>
        <v>90</v>
      </c>
      <c r="L1999" s="460">
        <v>41340</v>
      </c>
      <c r="M1999" s="460" t="s">
        <v>41</v>
      </c>
      <c r="N1999" s="457" t="s">
        <v>110</v>
      </c>
      <c r="O1999" s="460">
        <v>41324</v>
      </c>
      <c r="P1999" s="461">
        <f t="shared" si="69"/>
        <v>-6</v>
      </c>
      <c r="Q1999" s="591"/>
      <c r="R1999" s="757"/>
      <c r="S1999" s="836">
        <v>41334</v>
      </c>
      <c r="T1999" s="836">
        <f>+S1999+5</f>
        <v>41339</v>
      </c>
      <c r="U1999" s="461">
        <f t="shared" si="70"/>
        <v>89</v>
      </c>
      <c r="V1999" s="591" t="s">
        <v>2762</v>
      </c>
      <c r="W1999" s="493" t="s">
        <v>2445</v>
      </c>
      <c r="X1999" s="592"/>
      <c r="Y1999" s="592"/>
      <c r="Z1999" s="468" t="s">
        <v>2763</v>
      </c>
      <c r="AA1999" s="457" t="s">
        <v>47</v>
      </c>
      <c r="AB1999" s="460" t="s">
        <v>2764</v>
      </c>
      <c r="AC1999" s="476" t="s">
        <v>2765</v>
      </c>
      <c r="AD1999" s="645" t="str">
        <f t="shared" si="71"/>
        <v>en término</v>
      </c>
    </row>
    <row r="2000" spans="1:39" s="649" customFormat="1" ht="54.95" customHeight="1" thickBot="1" x14ac:dyDescent="0.25">
      <c r="B2000" s="474" t="s">
        <v>36</v>
      </c>
      <c r="C2000" s="455" t="s">
        <v>133</v>
      </c>
      <c r="D2000" s="456" t="s">
        <v>2554</v>
      </c>
      <c r="E2000" s="501" t="s">
        <v>2555</v>
      </c>
      <c r="F2000" s="457">
        <v>4505040789</v>
      </c>
      <c r="G2000" s="457" t="s">
        <v>39</v>
      </c>
      <c r="H2000" s="458">
        <v>64775.39</v>
      </c>
      <c r="I2000" s="459" t="s">
        <v>40</v>
      </c>
      <c r="J2000" s="460">
        <v>41260</v>
      </c>
      <c r="K2000" s="461">
        <f t="shared" si="68"/>
        <v>91</v>
      </c>
      <c r="L2000" s="460">
        <v>41351</v>
      </c>
      <c r="M2000" s="460" t="s">
        <v>41</v>
      </c>
      <c r="N2000" s="457" t="s">
        <v>42</v>
      </c>
      <c r="O2000" s="460">
        <v>41345</v>
      </c>
      <c r="P2000" s="461">
        <f t="shared" si="69"/>
        <v>3</v>
      </c>
      <c r="Q2000" s="591" t="s">
        <v>2766</v>
      </c>
      <c r="R2000" s="757">
        <v>41352</v>
      </c>
      <c r="S2000" s="836">
        <v>41354</v>
      </c>
      <c r="T2000" s="836">
        <v>41372</v>
      </c>
      <c r="U2000" s="461">
        <f t="shared" si="70"/>
        <v>112</v>
      </c>
      <c r="V2000" s="461" t="s">
        <v>892</v>
      </c>
      <c r="W2000" s="493" t="s">
        <v>2437</v>
      </c>
      <c r="X2000" s="457"/>
      <c r="Y2000" s="457"/>
      <c r="Z2000" s="468" t="s">
        <v>46</v>
      </c>
      <c r="AA2000" s="457" t="s">
        <v>47</v>
      </c>
      <c r="AB2000" s="589" t="s">
        <v>2767</v>
      </c>
      <c r="AC2000" s="722"/>
      <c r="AD2000" s="645" t="str">
        <f t="shared" si="71"/>
        <v>atrasado</v>
      </c>
    </row>
    <row r="2001" spans="2:30" s="649" customFormat="1" ht="54.95" customHeight="1" thickBot="1" x14ac:dyDescent="0.25">
      <c r="B2001" s="474" t="s">
        <v>36</v>
      </c>
      <c r="C2001" s="455" t="s">
        <v>133</v>
      </c>
      <c r="D2001" s="456" t="s">
        <v>2554</v>
      </c>
      <c r="E2001" s="501" t="s">
        <v>2555</v>
      </c>
      <c r="F2001" s="457">
        <v>4505046249</v>
      </c>
      <c r="G2001" s="457" t="s">
        <v>39</v>
      </c>
      <c r="H2001" s="458">
        <v>4558.1099999999997</v>
      </c>
      <c r="I2001" s="459" t="s">
        <v>40</v>
      </c>
      <c r="J2001" s="460">
        <v>41269</v>
      </c>
      <c r="K2001" s="461">
        <f t="shared" si="68"/>
        <v>86</v>
      </c>
      <c r="L2001" s="460">
        <v>41355</v>
      </c>
      <c r="M2001" s="460" t="s">
        <v>41</v>
      </c>
      <c r="N2001" s="457" t="s">
        <v>42</v>
      </c>
      <c r="O2001" s="460">
        <v>41345</v>
      </c>
      <c r="P2001" s="461">
        <f t="shared" si="69"/>
        <v>-1</v>
      </c>
      <c r="Q2001" s="591" t="s">
        <v>2766</v>
      </c>
      <c r="R2001" s="757">
        <v>41352</v>
      </c>
      <c r="S2001" s="836">
        <v>41354</v>
      </c>
      <c r="T2001" s="836">
        <v>41372</v>
      </c>
      <c r="U2001" s="461">
        <f t="shared" si="70"/>
        <v>103</v>
      </c>
      <c r="V2001" s="461" t="s">
        <v>53</v>
      </c>
      <c r="W2001" s="493" t="s">
        <v>2449</v>
      </c>
      <c r="X2001" s="457"/>
      <c r="Y2001" s="592"/>
      <c r="Z2001" s="468" t="s">
        <v>46</v>
      </c>
      <c r="AA2001" s="457" t="s">
        <v>47</v>
      </c>
      <c r="AB2001" s="460" t="s">
        <v>2754</v>
      </c>
      <c r="AC2001" s="722"/>
      <c r="AD2001" s="645" t="str">
        <f t="shared" si="71"/>
        <v>en término</v>
      </c>
    </row>
    <row r="2002" spans="2:30" s="649" customFormat="1" ht="54.95" customHeight="1" thickBot="1" x14ac:dyDescent="0.25">
      <c r="B2002" s="474" t="s">
        <v>36</v>
      </c>
      <c r="C2002" s="455" t="s">
        <v>133</v>
      </c>
      <c r="D2002" s="456" t="s">
        <v>2554</v>
      </c>
      <c r="E2002" s="501" t="s">
        <v>2555</v>
      </c>
      <c r="F2002" s="457">
        <v>4505080725</v>
      </c>
      <c r="G2002" s="457" t="s">
        <v>39</v>
      </c>
      <c r="H2002" s="458">
        <v>108740.04</v>
      </c>
      <c r="I2002" s="459" t="s">
        <v>52</v>
      </c>
      <c r="J2002" s="460">
        <v>41288</v>
      </c>
      <c r="K2002" s="461">
        <f t="shared" si="68"/>
        <v>59</v>
      </c>
      <c r="L2002" s="460">
        <v>41347</v>
      </c>
      <c r="M2002" s="460" t="s">
        <v>41</v>
      </c>
      <c r="N2002" s="457" t="s">
        <v>42</v>
      </c>
      <c r="O2002" s="460">
        <v>41345</v>
      </c>
      <c r="P2002" s="461">
        <f t="shared" si="69"/>
        <v>7</v>
      </c>
      <c r="Q2002" s="591" t="s">
        <v>2766</v>
      </c>
      <c r="R2002" s="757">
        <v>41352</v>
      </c>
      <c r="S2002" s="836">
        <v>41354</v>
      </c>
      <c r="T2002" s="836">
        <v>41372</v>
      </c>
      <c r="U2002" s="461">
        <f t="shared" si="70"/>
        <v>84</v>
      </c>
      <c r="V2002" s="461" t="s">
        <v>1322</v>
      </c>
      <c r="W2002" s="493" t="s">
        <v>2235</v>
      </c>
      <c r="X2002" s="457"/>
      <c r="Y2002" s="457"/>
      <c r="Z2002" s="468" t="s">
        <v>46</v>
      </c>
      <c r="AA2002" s="457" t="s">
        <v>47</v>
      </c>
      <c r="AB2002" s="589" t="s">
        <v>2768</v>
      </c>
      <c r="AC2002" s="722" t="s">
        <v>2769</v>
      </c>
      <c r="AD2002" s="645" t="str">
        <f t="shared" si="71"/>
        <v>atrasado</v>
      </c>
    </row>
    <row r="2003" spans="2:30" s="649" customFormat="1" ht="54.95" customHeight="1" thickBot="1" x14ac:dyDescent="0.25">
      <c r="B2003" s="474" t="s">
        <v>36</v>
      </c>
      <c r="C2003" s="455" t="s">
        <v>133</v>
      </c>
      <c r="D2003" s="456" t="s">
        <v>2554</v>
      </c>
      <c r="E2003" s="501" t="s">
        <v>2555</v>
      </c>
      <c r="F2003" s="457">
        <v>4505085965</v>
      </c>
      <c r="G2003" s="457" t="s">
        <v>39</v>
      </c>
      <c r="H2003" s="458">
        <v>13231.93</v>
      </c>
      <c r="I2003" s="459" t="s">
        <v>52</v>
      </c>
      <c r="J2003" s="460">
        <v>41289</v>
      </c>
      <c r="K2003" s="461">
        <f t="shared" si="68"/>
        <v>60</v>
      </c>
      <c r="L2003" s="460">
        <v>41349</v>
      </c>
      <c r="M2003" s="460" t="s">
        <v>41</v>
      </c>
      <c r="N2003" s="457" t="s">
        <v>42</v>
      </c>
      <c r="O2003" s="460">
        <v>41345</v>
      </c>
      <c r="P2003" s="461">
        <f t="shared" si="69"/>
        <v>5</v>
      </c>
      <c r="Q2003" s="591" t="s">
        <v>2766</v>
      </c>
      <c r="R2003" s="757">
        <v>41352</v>
      </c>
      <c r="S2003" s="836">
        <v>41354</v>
      </c>
      <c r="T2003" s="836">
        <v>41372</v>
      </c>
      <c r="U2003" s="461">
        <f t="shared" si="70"/>
        <v>83</v>
      </c>
      <c r="V2003" s="461" t="s">
        <v>53</v>
      </c>
      <c r="W2003" s="493" t="s">
        <v>2232</v>
      </c>
      <c r="X2003" s="457"/>
      <c r="Y2003" s="592"/>
      <c r="Z2003" s="468" t="s">
        <v>46</v>
      </c>
      <c r="AA2003" s="457" t="s">
        <v>47</v>
      </c>
      <c r="AB2003" s="589" t="s">
        <v>2770</v>
      </c>
      <c r="AC2003" s="722" t="s">
        <v>2769</v>
      </c>
      <c r="AD2003" s="645" t="str">
        <f t="shared" si="71"/>
        <v>atrasado</v>
      </c>
    </row>
    <row r="2004" spans="2:30" s="649" customFormat="1" ht="54.95" customHeight="1" thickBot="1" x14ac:dyDescent="0.25">
      <c r="B2004" s="474" t="s">
        <v>36</v>
      </c>
      <c r="C2004" s="455" t="s">
        <v>133</v>
      </c>
      <c r="D2004" s="456" t="s">
        <v>2668</v>
      </c>
      <c r="E2004" s="501" t="s">
        <v>2669</v>
      </c>
      <c r="F2004" s="457">
        <v>4504987797</v>
      </c>
      <c r="G2004" s="457" t="s">
        <v>39</v>
      </c>
      <c r="H2004" s="458">
        <v>34895</v>
      </c>
      <c r="I2004" s="459" t="s">
        <v>62</v>
      </c>
      <c r="J2004" s="460">
        <v>41235</v>
      </c>
      <c r="K2004" s="461">
        <f t="shared" si="68"/>
        <v>128</v>
      </c>
      <c r="L2004" s="460">
        <v>41363</v>
      </c>
      <c r="M2004" s="460" t="s">
        <v>41</v>
      </c>
      <c r="N2004" s="457" t="s">
        <v>42</v>
      </c>
      <c r="O2004" s="460">
        <v>41345</v>
      </c>
      <c r="P2004" s="461">
        <f t="shared" si="69"/>
        <v>-9</v>
      </c>
      <c r="Q2004" s="591" t="s">
        <v>2766</v>
      </c>
      <c r="R2004" s="757">
        <v>41352</v>
      </c>
      <c r="S2004" s="836">
        <v>41354</v>
      </c>
      <c r="T2004" s="836">
        <v>41372</v>
      </c>
      <c r="U2004" s="461">
        <f t="shared" si="70"/>
        <v>137</v>
      </c>
      <c r="V2004" s="461" t="s">
        <v>2771</v>
      </c>
      <c r="W2004" s="493" t="s">
        <v>2434</v>
      </c>
      <c r="X2004" s="457"/>
      <c r="Y2004" s="592"/>
      <c r="Z2004" s="468" t="s">
        <v>46</v>
      </c>
      <c r="AA2004" s="457" t="s">
        <v>47</v>
      </c>
      <c r="AB2004" s="460" t="s">
        <v>2772</v>
      </c>
      <c r="AC2004" s="722"/>
      <c r="AD2004" s="645" t="str">
        <f t="shared" si="71"/>
        <v>en término</v>
      </c>
    </row>
    <row r="2005" spans="2:30" s="649" customFormat="1" ht="54.95" customHeight="1" thickBot="1" x14ac:dyDescent="0.25">
      <c r="B2005" s="474" t="s">
        <v>36</v>
      </c>
      <c r="C2005" s="455" t="s">
        <v>133</v>
      </c>
      <c r="D2005" s="456" t="s">
        <v>2554</v>
      </c>
      <c r="E2005" s="501" t="s">
        <v>2555</v>
      </c>
      <c r="F2005" s="457">
        <v>4505021824</v>
      </c>
      <c r="G2005" s="457" t="s">
        <v>39</v>
      </c>
      <c r="H2005" s="458">
        <v>17393.72</v>
      </c>
      <c r="I2005" s="459" t="s">
        <v>142</v>
      </c>
      <c r="J2005" s="460">
        <v>41248</v>
      </c>
      <c r="K2005" s="461">
        <f t="shared" si="68"/>
        <v>90</v>
      </c>
      <c r="L2005" s="460">
        <v>41338</v>
      </c>
      <c r="M2005" s="460" t="s">
        <v>41</v>
      </c>
      <c r="N2005" s="457" t="s">
        <v>42</v>
      </c>
      <c r="O2005" s="460">
        <v>41345</v>
      </c>
      <c r="P2005" s="461">
        <f t="shared" si="69"/>
        <v>16</v>
      </c>
      <c r="Q2005" s="591" t="s">
        <v>2766</v>
      </c>
      <c r="R2005" s="757">
        <v>41352</v>
      </c>
      <c r="S2005" s="836">
        <v>41354</v>
      </c>
      <c r="T2005" s="836">
        <v>41372</v>
      </c>
      <c r="U2005" s="461">
        <f t="shared" si="70"/>
        <v>124</v>
      </c>
      <c r="V2005" s="461" t="s">
        <v>53</v>
      </c>
      <c r="W2005" s="493" t="s">
        <v>2436</v>
      </c>
      <c r="X2005" s="457"/>
      <c r="Y2005" s="592"/>
      <c r="Z2005" s="468" t="s">
        <v>46</v>
      </c>
      <c r="AA2005" s="457" t="s">
        <v>47</v>
      </c>
      <c r="AB2005" s="460" t="s">
        <v>2772</v>
      </c>
      <c r="AC2005" s="722"/>
      <c r="AD2005" s="645" t="str">
        <f t="shared" si="71"/>
        <v>atrasado</v>
      </c>
    </row>
    <row r="2006" spans="2:30" s="649" customFormat="1" ht="54.95" customHeight="1" thickBot="1" x14ac:dyDescent="0.25">
      <c r="B2006" s="474" t="s">
        <v>36</v>
      </c>
      <c r="C2006" s="455" t="s">
        <v>133</v>
      </c>
      <c r="D2006" s="456" t="s">
        <v>2554</v>
      </c>
      <c r="E2006" s="501" t="s">
        <v>2555</v>
      </c>
      <c r="F2006" s="457">
        <v>4505080380</v>
      </c>
      <c r="G2006" s="457" t="s">
        <v>39</v>
      </c>
      <c r="H2006" s="458">
        <v>74154.8</v>
      </c>
      <c r="I2006" s="459" t="s">
        <v>142</v>
      </c>
      <c r="J2006" s="460">
        <v>41283</v>
      </c>
      <c r="K2006" s="461">
        <f t="shared" si="68"/>
        <v>90</v>
      </c>
      <c r="L2006" s="460">
        <v>41373</v>
      </c>
      <c r="M2006" s="460" t="s">
        <v>41</v>
      </c>
      <c r="N2006" s="457" t="s">
        <v>42</v>
      </c>
      <c r="O2006" s="460">
        <v>41355</v>
      </c>
      <c r="P2006" s="461">
        <f t="shared" si="69"/>
        <v>-3</v>
      </c>
      <c r="Q2006" s="591" t="s">
        <v>2773</v>
      </c>
      <c r="R2006" s="757">
        <v>41359</v>
      </c>
      <c r="S2006" s="836">
        <v>41370</v>
      </c>
      <c r="T2006" s="836">
        <v>41379</v>
      </c>
      <c r="U2006" s="461">
        <f t="shared" si="70"/>
        <v>96</v>
      </c>
      <c r="V2006" s="461" t="s">
        <v>1828</v>
      </c>
      <c r="W2006" s="493" t="s">
        <v>2240</v>
      </c>
      <c r="X2006" s="457"/>
      <c r="Y2006" s="456">
        <v>41355</v>
      </c>
      <c r="Z2006" s="468" t="s">
        <v>2774</v>
      </c>
      <c r="AA2006" s="457" t="s">
        <v>47</v>
      </c>
      <c r="AB2006" s="460" t="s">
        <v>2775</v>
      </c>
      <c r="AC2006" s="722"/>
      <c r="AD2006" s="645" t="str">
        <f t="shared" si="71"/>
        <v>en término</v>
      </c>
    </row>
    <row r="2007" spans="2:30" s="649" customFormat="1" ht="54.95" customHeight="1" thickBot="1" x14ac:dyDescent="0.25">
      <c r="B2007" s="474" t="s">
        <v>36</v>
      </c>
      <c r="C2007" s="455" t="s">
        <v>37</v>
      </c>
      <c r="D2007" s="456" t="s">
        <v>2776</v>
      </c>
      <c r="E2007" s="591" t="s">
        <v>2777</v>
      </c>
      <c r="F2007" s="457">
        <v>13010003</v>
      </c>
      <c r="G2007" s="457" t="s">
        <v>39</v>
      </c>
      <c r="H2007" s="458">
        <v>13960</v>
      </c>
      <c r="I2007" s="459"/>
      <c r="J2007" s="460">
        <v>41291</v>
      </c>
      <c r="K2007" s="461">
        <v>90</v>
      </c>
      <c r="L2007" s="460">
        <f>+J2007+K2007</f>
        <v>41381</v>
      </c>
      <c r="M2007" s="460" t="s">
        <v>41</v>
      </c>
      <c r="N2007" s="457" t="s">
        <v>42</v>
      </c>
      <c r="O2007" s="460">
        <v>41361</v>
      </c>
      <c r="P2007" s="461">
        <f t="shared" si="69"/>
        <v>-7</v>
      </c>
      <c r="Q2007" s="591"/>
      <c r="R2007" s="757">
        <v>41372</v>
      </c>
      <c r="S2007" s="836">
        <v>41374</v>
      </c>
      <c r="T2007" s="462">
        <f>+S2007+20</f>
        <v>41394</v>
      </c>
      <c r="U2007" s="461">
        <f t="shared" si="70"/>
        <v>103</v>
      </c>
      <c r="V2007" s="591" t="s">
        <v>1680</v>
      </c>
      <c r="W2007" s="493" t="s">
        <v>2247</v>
      </c>
      <c r="X2007" s="592"/>
      <c r="Y2007" s="592"/>
      <c r="Z2007" s="468" t="s">
        <v>46</v>
      </c>
      <c r="AA2007" s="457"/>
      <c r="AB2007" s="460" t="s">
        <v>2778</v>
      </c>
      <c r="AC2007" s="722"/>
      <c r="AD2007" s="645" t="str">
        <f t="shared" si="71"/>
        <v>en término</v>
      </c>
    </row>
    <row r="2008" spans="2:30" s="649" customFormat="1" ht="54.95" customHeight="1" thickBot="1" x14ac:dyDescent="0.25">
      <c r="B2008" s="474" t="s">
        <v>36</v>
      </c>
      <c r="C2008" s="455" t="s">
        <v>37</v>
      </c>
      <c r="D2008" s="456" t="s">
        <v>2779</v>
      </c>
      <c r="E2008" s="591" t="s">
        <v>2780</v>
      </c>
      <c r="F2008" s="457">
        <v>13010007</v>
      </c>
      <c r="G2008" s="457" t="s">
        <v>39</v>
      </c>
      <c r="H2008" s="458">
        <v>950</v>
      </c>
      <c r="I2008" s="459" t="s">
        <v>142</v>
      </c>
      <c r="J2008" s="460">
        <v>41302</v>
      </c>
      <c r="K2008" s="461">
        <v>120</v>
      </c>
      <c r="L2008" s="460">
        <f>+J2008+K2008</f>
        <v>41422</v>
      </c>
      <c r="M2008" s="460" t="s">
        <v>41</v>
      </c>
      <c r="N2008" s="457" t="s">
        <v>42</v>
      </c>
      <c r="O2008" s="460">
        <v>41361</v>
      </c>
      <c r="P2008" s="461">
        <f t="shared" si="69"/>
        <v>-48</v>
      </c>
      <c r="Q2008" s="591"/>
      <c r="R2008" s="757">
        <v>41372</v>
      </c>
      <c r="S2008" s="836">
        <v>41374</v>
      </c>
      <c r="T2008" s="462">
        <f>+S2008+20</f>
        <v>41394</v>
      </c>
      <c r="U2008" s="461">
        <f t="shared" si="70"/>
        <v>92</v>
      </c>
      <c r="V2008" s="461" t="s">
        <v>53</v>
      </c>
      <c r="W2008" s="493" t="s">
        <v>2247</v>
      </c>
      <c r="X2008" s="592"/>
      <c r="Y2008" s="592"/>
      <c r="Z2008" s="468" t="s">
        <v>46</v>
      </c>
      <c r="AA2008" s="457"/>
      <c r="AB2008" s="460" t="s">
        <v>2778</v>
      </c>
      <c r="AC2008" s="722"/>
      <c r="AD2008" s="645" t="str">
        <f t="shared" si="71"/>
        <v>en término</v>
      </c>
    </row>
    <row r="2009" spans="2:30" s="649" customFormat="1" ht="54.95" customHeight="1" thickBot="1" x14ac:dyDescent="0.25">
      <c r="B2009" s="474" t="s">
        <v>36</v>
      </c>
      <c r="C2009" s="455" t="s">
        <v>133</v>
      </c>
      <c r="D2009" s="456" t="s">
        <v>2554</v>
      </c>
      <c r="E2009" s="501" t="s">
        <v>2555</v>
      </c>
      <c r="F2009" s="457">
        <v>4504866162</v>
      </c>
      <c r="G2009" s="457" t="s">
        <v>39</v>
      </c>
      <c r="H2009" s="458">
        <v>17051.29</v>
      </c>
      <c r="I2009" s="459" t="s">
        <v>62</v>
      </c>
      <c r="J2009" s="460">
        <v>41220</v>
      </c>
      <c r="K2009" s="461">
        <f t="shared" ref="K2009:K2023" si="72">+L2009-J2009</f>
        <v>159</v>
      </c>
      <c r="L2009" s="460">
        <v>41379</v>
      </c>
      <c r="M2009" s="460" t="s">
        <v>41</v>
      </c>
      <c r="N2009" s="457" t="s">
        <v>42</v>
      </c>
      <c r="O2009" s="460">
        <v>41361</v>
      </c>
      <c r="P2009" s="461">
        <f t="shared" si="69"/>
        <v>-5</v>
      </c>
      <c r="Q2009" s="591"/>
      <c r="R2009" s="757">
        <v>41372</v>
      </c>
      <c r="S2009" s="836">
        <v>41374</v>
      </c>
      <c r="T2009" s="462">
        <f>+S2009+20</f>
        <v>41394</v>
      </c>
      <c r="U2009" s="461">
        <f t="shared" si="70"/>
        <v>174</v>
      </c>
      <c r="V2009" s="461" t="s">
        <v>53</v>
      </c>
      <c r="W2009" s="493" t="s">
        <v>2441</v>
      </c>
      <c r="X2009" s="457"/>
      <c r="Y2009" s="592"/>
      <c r="Z2009" s="468" t="s">
        <v>46</v>
      </c>
      <c r="AA2009" s="457" t="s">
        <v>47</v>
      </c>
      <c r="AB2009" s="460" t="s">
        <v>1901</v>
      </c>
      <c r="AC2009" s="722"/>
      <c r="AD2009" s="645" t="str">
        <f t="shared" si="71"/>
        <v>en término</v>
      </c>
    </row>
    <row r="2010" spans="2:30" s="649" customFormat="1" ht="54.95" customHeight="1" thickBot="1" x14ac:dyDescent="0.25">
      <c r="B2010" s="474" t="s">
        <v>36</v>
      </c>
      <c r="C2010" s="455" t="s">
        <v>133</v>
      </c>
      <c r="D2010" s="456" t="s">
        <v>2554</v>
      </c>
      <c r="E2010" s="501" t="s">
        <v>2555</v>
      </c>
      <c r="F2010" s="457">
        <v>4505091104</v>
      </c>
      <c r="G2010" s="457" t="s">
        <v>39</v>
      </c>
      <c r="H2010" s="458">
        <v>75475</v>
      </c>
      <c r="I2010" s="459" t="s">
        <v>40</v>
      </c>
      <c r="J2010" s="460">
        <v>41291</v>
      </c>
      <c r="K2010" s="461">
        <f t="shared" si="72"/>
        <v>91</v>
      </c>
      <c r="L2010" s="460">
        <v>41382</v>
      </c>
      <c r="M2010" s="460" t="s">
        <v>41</v>
      </c>
      <c r="N2010" s="457" t="s">
        <v>42</v>
      </c>
      <c r="O2010" s="460">
        <v>41373</v>
      </c>
      <c r="P2010" s="461">
        <f t="shared" si="69"/>
        <v>0</v>
      </c>
      <c r="Q2010" s="591" t="s">
        <v>2781</v>
      </c>
      <c r="R2010" s="757">
        <v>41381</v>
      </c>
      <c r="S2010" s="836">
        <v>41382</v>
      </c>
      <c r="T2010" s="462">
        <v>41400</v>
      </c>
      <c r="U2010" s="461">
        <f t="shared" si="70"/>
        <v>109</v>
      </c>
      <c r="V2010" s="461" t="s">
        <v>2782</v>
      </c>
      <c r="W2010" s="493" t="s">
        <v>45</v>
      </c>
      <c r="X2010" s="457"/>
      <c r="Y2010" s="457"/>
      <c r="Z2010" s="468" t="s">
        <v>2783</v>
      </c>
      <c r="AA2010" s="457"/>
      <c r="AB2010" s="460" t="s">
        <v>2784</v>
      </c>
      <c r="AC2010" s="722"/>
      <c r="AD2010" s="645" t="str">
        <f t="shared" si="71"/>
        <v>en término</v>
      </c>
    </row>
    <row r="2011" spans="2:30" s="649" customFormat="1" ht="54.95" customHeight="1" thickBot="1" x14ac:dyDescent="0.25">
      <c r="B2011" s="474" t="s">
        <v>36</v>
      </c>
      <c r="C2011" s="455" t="s">
        <v>133</v>
      </c>
      <c r="D2011" s="456" t="s">
        <v>2668</v>
      </c>
      <c r="E2011" s="501" t="s">
        <v>2669</v>
      </c>
      <c r="F2011" s="457">
        <v>4505080384</v>
      </c>
      <c r="G2011" s="457" t="s">
        <v>39</v>
      </c>
      <c r="H2011" s="458">
        <v>30966</v>
      </c>
      <c r="I2011" s="459" t="s">
        <v>142</v>
      </c>
      <c r="J2011" s="460">
        <v>41283</v>
      </c>
      <c r="K2011" s="461">
        <f t="shared" si="72"/>
        <v>70</v>
      </c>
      <c r="L2011" s="460">
        <v>41353</v>
      </c>
      <c r="M2011" s="460" t="s">
        <v>41</v>
      </c>
      <c r="N2011" s="457" t="s">
        <v>42</v>
      </c>
      <c r="O2011" s="460">
        <v>41380</v>
      </c>
      <c r="P2011" s="461">
        <f t="shared" si="69"/>
        <v>35</v>
      </c>
      <c r="Q2011" s="461" t="s">
        <v>2785</v>
      </c>
      <c r="R2011" s="757">
        <v>41387</v>
      </c>
      <c r="S2011" s="836">
        <v>41388</v>
      </c>
      <c r="T2011" s="462">
        <v>41407</v>
      </c>
      <c r="U2011" s="461">
        <f t="shared" si="70"/>
        <v>124</v>
      </c>
      <c r="V2011" s="461" t="s">
        <v>2786</v>
      </c>
      <c r="W2011" s="493" t="s">
        <v>2261</v>
      </c>
      <c r="X2011" s="457"/>
      <c r="Y2011" s="592"/>
      <c r="Z2011" s="468" t="s">
        <v>46</v>
      </c>
      <c r="AA2011" s="457"/>
      <c r="AB2011" s="460" t="s">
        <v>2787</v>
      </c>
      <c r="AC2011" s="476"/>
      <c r="AD2011" s="645" t="str">
        <f t="shared" si="71"/>
        <v>atrasado</v>
      </c>
    </row>
    <row r="2012" spans="2:30" s="649" customFormat="1" ht="54.95" customHeight="1" thickBot="1" x14ac:dyDescent="0.25">
      <c r="B2012" s="474" t="s">
        <v>36</v>
      </c>
      <c r="C2012" s="455" t="s">
        <v>133</v>
      </c>
      <c r="D2012" s="456" t="s">
        <v>2788</v>
      </c>
      <c r="E2012" s="501" t="s">
        <v>2789</v>
      </c>
      <c r="F2012" s="457">
        <v>4505063317</v>
      </c>
      <c r="G2012" s="457" t="s">
        <v>39</v>
      </c>
      <c r="H2012" s="458">
        <v>26176.6</v>
      </c>
      <c r="I2012" s="459" t="s">
        <v>40</v>
      </c>
      <c r="J2012" s="460">
        <v>41271</v>
      </c>
      <c r="K2012" s="461">
        <f t="shared" si="72"/>
        <v>118</v>
      </c>
      <c r="L2012" s="460">
        <v>41389</v>
      </c>
      <c r="M2012" s="460" t="s">
        <v>41</v>
      </c>
      <c r="N2012" s="457" t="s">
        <v>42</v>
      </c>
      <c r="O2012" s="460">
        <v>41380</v>
      </c>
      <c r="P2012" s="461">
        <f t="shared" si="69"/>
        <v>-1</v>
      </c>
      <c r="Q2012" s="461" t="s">
        <v>2785</v>
      </c>
      <c r="R2012" s="757">
        <v>41387</v>
      </c>
      <c r="S2012" s="836">
        <v>41388</v>
      </c>
      <c r="T2012" s="462">
        <v>41407</v>
      </c>
      <c r="U2012" s="461">
        <f t="shared" si="70"/>
        <v>136</v>
      </c>
      <c r="V2012" s="461" t="s">
        <v>2790</v>
      </c>
      <c r="W2012" s="493" t="s">
        <v>2257</v>
      </c>
      <c r="X2012" s="457"/>
      <c r="Y2012" s="592"/>
      <c r="Z2012" s="468" t="s">
        <v>46</v>
      </c>
      <c r="AA2012" s="457"/>
      <c r="AB2012" s="460" t="s">
        <v>1703</v>
      </c>
      <c r="AC2012" s="476"/>
      <c r="AD2012" s="645" t="str">
        <f t="shared" si="71"/>
        <v>en término</v>
      </c>
    </row>
    <row r="2013" spans="2:30" s="649" customFormat="1" ht="54.95" customHeight="1" thickBot="1" x14ac:dyDescent="0.25">
      <c r="B2013" s="474" t="s">
        <v>36</v>
      </c>
      <c r="C2013" s="455" t="s">
        <v>133</v>
      </c>
      <c r="D2013" s="456" t="s">
        <v>2668</v>
      </c>
      <c r="E2013" s="501" t="s">
        <v>2669</v>
      </c>
      <c r="F2013" s="1028">
        <v>4504944370</v>
      </c>
      <c r="G2013" s="457" t="s">
        <v>39</v>
      </c>
      <c r="H2013" s="458">
        <v>61200</v>
      </c>
      <c r="I2013" s="459" t="s">
        <v>40</v>
      </c>
      <c r="J2013" s="460">
        <v>41207</v>
      </c>
      <c r="K2013" s="461">
        <f t="shared" si="72"/>
        <v>130</v>
      </c>
      <c r="L2013" s="460">
        <v>41337</v>
      </c>
      <c r="M2013" s="460" t="s">
        <v>41</v>
      </c>
      <c r="N2013" s="457" t="s">
        <v>42</v>
      </c>
      <c r="O2013" s="460">
        <v>41380</v>
      </c>
      <c r="P2013" s="461">
        <f t="shared" si="69"/>
        <v>51</v>
      </c>
      <c r="Q2013" s="461" t="s">
        <v>2785</v>
      </c>
      <c r="R2013" s="757">
        <v>41387</v>
      </c>
      <c r="S2013" s="836">
        <v>41388</v>
      </c>
      <c r="T2013" s="462">
        <v>41407</v>
      </c>
      <c r="U2013" s="461">
        <f t="shared" si="70"/>
        <v>200</v>
      </c>
      <c r="V2013" s="461" t="s">
        <v>2791</v>
      </c>
      <c r="W2013" s="493" t="s">
        <v>2792</v>
      </c>
      <c r="X2013" s="457"/>
      <c r="Y2013" s="592"/>
      <c r="Z2013" s="468" t="s">
        <v>46</v>
      </c>
      <c r="AA2013" s="457"/>
      <c r="AB2013" s="589" t="s">
        <v>2793</v>
      </c>
      <c r="AC2013" s="476"/>
      <c r="AD2013" s="645" t="str">
        <f t="shared" si="71"/>
        <v>atrasado</v>
      </c>
    </row>
    <row r="2014" spans="2:30" s="649" customFormat="1" ht="54.95" customHeight="1" thickBot="1" x14ac:dyDescent="0.25">
      <c r="B2014" s="474" t="s">
        <v>36</v>
      </c>
      <c r="C2014" s="455" t="s">
        <v>133</v>
      </c>
      <c r="D2014" s="456" t="s">
        <v>2788</v>
      </c>
      <c r="E2014" s="501" t="s">
        <v>2789</v>
      </c>
      <c r="F2014" s="457">
        <v>4505093404</v>
      </c>
      <c r="G2014" s="457" t="s">
        <v>39</v>
      </c>
      <c r="H2014" s="458">
        <v>77618.33</v>
      </c>
      <c r="I2014" s="459" t="s">
        <v>40</v>
      </c>
      <c r="J2014" s="460">
        <v>41292</v>
      </c>
      <c r="K2014" s="461">
        <f t="shared" si="72"/>
        <v>120</v>
      </c>
      <c r="L2014" s="460">
        <v>41412</v>
      </c>
      <c r="M2014" s="460" t="s">
        <v>41</v>
      </c>
      <c r="N2014" s="457" t="s">
        <v>42</v>
      </c>
      <c r="O2014" s="460">
        <v>41401</v>
      </c>
      <c r="P2014" s="461">
        <f t="shared" si="69"/>
        <v>-2</v>
      </c>
      <c r="Q2014" s="591" t="s">
        <v>2794</v>
      </c>
      <c r="R2014" s="757">
        <v>41408</v>
      </c>
      <c r="S2014" s="836">
        <v>41410</v>
      </c>
      <c r="T2014" s="462">
        <v>41428</v>
      </c>
      <c r="U2014" s="461">
        <f t="shared" si="70"/>
        <v>136</v>
      </c>
      <c r="V2014" s="461" t="s">
        <v>2795</v>
      </c>
      <c r="W2014" s="493" t="s">
        <v>2796</v>
      </c>
      <c r="X2014" s="457"/>
      <c r="Y2014" s="592"/>
      <c r="Z2014" s="468" t="s">
        <v>2797</v>
      </c>
      <c r="AA2014" s="457"/>
      <c r="AB2014" s="460" t="s">
        <v>2798</v>
      </c>
      <c r="AC2014" s="476"/>
      <c r="AD2014" s="645" t="str">
        <f t="shared" si="71"/>
        <v>en término</v>
      </c>
    </row>
    <row r="2015" spans="2:30" s="649" customFormat="1" ht="54.95" customHeight="1" thickBot="1" x14ac:dyDescent="0.25">
      <c r="B2015" s="474" t="s">
        <v>36</v>
      </c>
      <c r="C2015" s="455" t="s">
        <v>133</v>
      </c>
      <c r="D2015" s="456" t="s">
        <v>2799</v>
      </c>
      <c r="E2015" s="501" t="s">
        <v>2800</v>
      </c>
      <c r="F2015" s="457">
        <v>4505143661</v>
      </c>
      <c r="G2015" s="457" t="s">
        <v>39</v>
      </c>
      <c r="H2015" s="458">
        <v>5479.14</v>
      </c>
      <c r="I2015" s="459" t="s">
        <v>142</v>
      </c>
      <c r="J2015" s="460">
        <v>41325</v>
      </c>
      <c r="K2015" s="461">
        <f t="shared" si="72"/>
        <v>90</v>
      </c>
      <c r="L2015" s="460">
        <v>41415</v>
      </c>
      <c r="M2015" s="460" t="s">
        <v>41</v>
      </c>
      <c r="N2015" s="457" t="s">
        <v>42</v>
      </c>
      <c r="O2015" s="460">
        <v>41401</v>
      </c>
      <c r="P2015" s="461">
        <f t="shared" si="69"/>
        <v>-5</v>
      </c>
      <c r="Q2015" s="591" t="s">
        <v>2794</v>
      </c>
      <c r="R2015" s="757">
        <v>41408</v>
      </c>
      <c r="S2015" s="836">
        <v>41410</v>
      </c>
      <c r="T2015" s="462">
        <v>41428</v>
      </c>
      <c r="U2015" s="461">
        <f t="shared" si="70"/>
        <v>103</v>
      </c>
      <c r="V2015" s="461" t="s">
        <v>53</v>
      </c>
      <c r="W2015" s="493" t="s">
        <v>2801</v>
      </c>
      <c r="X2015" s="457"/>
      <c r="Y2015" s="592"/>
      <c r="Z2015" s="468" t="s">
        <v>2797</v>
      </c>
      <c r="AA2015" s="457"/>
      <c r="AB2015" s="460" t="s">
        <v>2802</v>
      </c>
      <c r="AC2015" s="476"/>
      <c r="AD2015" s="645" t="str">
        <f t="shared" si="71"/>
        <v>en término</v>
      </c>
    </row>
    <row r="2016" spans="2:30" s="649" customFormat="1" ht="54.95" customHeight="1" thickBot="1" x14ac:dyDescent="0.25">
      <c r="B2016" s="474" t="s">
        <v>36</v>
      </c>
      <c r="C2016" s="455" t="s">
        <v>133</v>
      </c>
      <c r="D2016" s="456" t="s">
        <v>2799</v>
      </c>
      <c r="E2016" s="501" t="s">
        <v>2800</v>
      </c>
      <c r="F2016" s="457">
        <v>4505146004</v>
      </c>
      <c r="G2016" s="457" t="s">
        <v>39</v>
      </c>
      <c r="H2016" s="458">
        <v>153298.53</v>
      </c>
      <c r="I2016" s="459" t="s">
        <v>142</v>
      </c>
      <c r="J2016" s="460">
        <v>41326</v>
      </c>
      <c r="K2016" s="461">
        <f t="shared" si="72"/>
        <v>90</v>
      </c>
      <c r="L2016" s="460">
        <v>41416</v>
      </c>
      <c r="M2016" s="460" t="s">
        <v>41</v>
      </c>
      <c r="N2016" s="457" t="s">
        <v>42</v>
      </c>
      <c r="O2016" s="460">
        <v>41401</v>
      </c>
      <c r="P2016" s="461">
        <f t="shared" si="69"/>
        <v>-6</v>
      </c>
      <c r="Q2016" s="591" t="s">
        <v>2794</v>
      </c>
      <c r="R2016" s="757">
        <v>41408</v>
      </c>
      <c r="S2016" s="836">
        <v>41410</v>
      </c>
      <c r="T2016" s="462">
        <v>41428</v>
      </c>
      <c r="U2016" s="461">
        <f t="shared" si="70"/>
        <v>102</v>
      </c>
      <c r="V2016" s="461" t="s">
        <v>2803</v>
      </c>
      <c r="W2016" s="493" t="s">
        <v>2286</v>
      </c>
      <c r="X2016" s="457"/>
      <c r="Y2016" s="457"/>
      <c r="Z2016" s="468" t="s">
        <v>2797</v>
      </c>
      <c r="AA2016" s="457"/>
      <c r="AB2016" s="460" t="s">
        <v>2802</v>
      </c>
      <c r="AC2016" s="476"/>
      <c r="AD2016" s="645" t="str">
        <f t="shared" si="71"/>
        <v>en término</v>
      </c>
    </row>
    <row r="2017" spans="2:31" s="649" customFormat="1" ht="54.95" customHeight="1" thickBot="1" x14ac:dyDescent="0.25">
      <c r="B2017" s="474" t="s">
        <v>36</v>
      </c>
      <c r="C2017" s="455" t="s">
        <v>133</v>
      </c>
      <c r="D2017" s="456" t="s">
        <v>2799</v>
      </c>
      <c r="E2017" s="501" t="s">
        <v>2800</v>
      </c>
      <c r="F2017" s="457">
        <v>4505155241</v>
      </c>
      <c r="G2017" s="457" t="s">
        <v>39</v>
      </c>
      <c r="H2017" s="458">
        <v>109126</v>
      </c>
      <c r="I2017" s="459" t="s">
        <v>40</v>
      </c>
      <c r="J2017" s="460">
        <v>41332</v>
      </c>
      <c r="K2017" s="461">
        <f t="shared" si="72"/>
        <v>90</v>
      </c>
      <c r="L2017" s="460">
        <v>41422</v>
      </c>
      <c r="M2017" s="460" t="s">
        <v>41</v>
      </c>
      <c r="N2017" s="457" t="s">
        <v>42</v>
      </c>
      <c r="O2017" s="460">
        <v>41408</v>
      </c>
      <c r="P2017" s="461">
        <f t="shared" si="69"/>
        <v>-4</v>
      </c>
      <c r="Q2017" s="591" t="s">
        <v>2804</v>
      </c>
      <c r="R2017" s="757">
        <v>41416</v>
      </c>
      <c r="S2017" s="836">
        <v>41418</v>
      </c>
      <c r="T2017" s="462">
        <v>41435</v>
      </c>
      <c r="U2017" s="461">
        <f t="shared" si="70"/>
        <v>103</v>
      </c>
      <c r="V2017" s="461" t="s">
        <v>2442</v>
      </c>
      <c r="W2017" s="493" t="s">
        <v>2295</v>
      </c>
      <c r="X2017" s="457"/>
      <c r="Y2017" s="457"/>
      <c r="Z2017" s="468" t="s">
        <v>2805</v>
      </c>
      <c r="AA2017" s="457"/>
      <c r="AB2017" s="460" t="s">
        <v>1703</v>
      </c>
      <c r="AC2017" s="476"/>
      <c r="AD2017" s="645" t="str">
        <f t="shared" si="71"/>
        <v>en término</v>
      </c>
    </row>
    <row r="2018" spans="2:31" s="649" customFormat="1" ht="54.95" customHeight="1" thickBot="1" x14ac:dyDescent="0.25">
      <c r="B2018" s="474" t="s">
        <v>36</v>
      </c>
      <c r="C2018" s="455" t="s">
        <v>133</v>
      </c>
      <c r="D2018" s="456" t="s">
        <v>2799</v>
      </c>
      <c r="E2018" s="501" t="s">
        <v>2800</v>
      </c>
      <c r="F2018" s="457">
        <v>4505165743</v>
      </c>
      <c r="G2018" s="457" t="s">
        <v>39</v>
      </c>
      <c r="H2018" s="458">
        <v>148188.74</v>
      </c>
      <c r="I2018" s="459" t="s">
        <v>52</v>
      </c>
      <c r="J2018" s="460">
        <v>41334</v>
      </c>
      <c r="K2018" s="461">
        <f t="shared" si="72"/>
        <v>96</v>
      </c>
      <c r="L2018" s="460">
        <v>41430</v>
      </c>
      <c r="M2018" s="460" t="s">
        <v>41</v>
      </c>
      <c r="N2018" s="457" t="s">
        <v>42</v>
      </c>
      <c r="O2018" s="460">
        <v>41408</v>
      </c>
      <c r="P2018" s="461">
        <f t="shared" si="69"/>
        <v>-12</v>
      </c>
      <c r="Q2018" s="591" t="s">
        <v>2804</v>
      </c>
      <c r="R2018" s="757">
        <v>41416</v>
      </c>
      <c r="S2018" s="836">
        <v>41418</v>
      </c>
      <c r="T2018" s="462">
        <v>41435</v>
      </c>
      <c r="U2018" s="461">
        <f t="shared" si="70"/>
        <v>101</v>
      </c>
      <c r="V2018" s="461" t="s">
        <v>1327</v>
      </c>
      <c r="W2018" s="493" t="s">
        <v>2298</v>
      </c>
      <c r="X2018" s="457"/>
      <c r="Y2018" s="457"/>
      <c r="Z2018" s="468" t="s">
        <v>2805</v>
      </c>
      <c r="AA2018" s="457"/>
      <c r="AB2018" s="460" t="s">
        <v>1703</v>
      </c>
      <c r="AC2018" s="476"/>
      <c r="AD2018" s="645" t="str">
        <f t="shared" si="71"/>
        <v>en término</v>
      </c>
    </row>
    <row r="2019" spans="2:31" s="649" customFormat="1" ht="54.95" customHeight="1" thickBot="1" x14ac:dyDescent="0.25">
      <c r="B2019" s="474" t="s">
        <v>36</v>
      </c>
      <c r="C2019" s="455" t="s">
        <v>133</v>
      </c>
      <c r="D2019" s="456" t="s">
        <v>2799</v>
      </c>
      <c r="E2019" s="501" t="s">
        <v>2800</v>
      </c>
      <c r="F2019" s="457">
        <v>4505169037</v>
      </c>
      <c r="G2019" s="457" t="s">
        <v>39</v>
      </c>
      <c r="H2019" s="458">
        <v>13385.7</v>
      </c>
      <c r="I2019" s="459" t="s">
        <v>52</v>
      </c>
      <c r="J2019" s="460">
        <v>41337</v>
      </c>
      <c r="K2019" s="461">
        <f t="shared" si="72"/>
        <v>93</v>
      </c>
      <c r="L2019" s="460">
        <v>41430</v>
      </c>
      <c r="M2019" s="460" t="s">
        <v>41</v>
      </c>
      <c r="N2019" s="457" t="s">
        <v>42</v>
      </c>
      <c r="O2019" s="460">
        <v>41408</v>
      </c>
      <c r="P2019" s="461">
        <f t="shared" si="69"/>
        <v>-12</v>
      </c>
      <c r="Q2019" s="591" t="s">
        <v>2804</v>
      </c>
      <c r="R2019" s="757">
        <v>41416</v>
      </c>
      <c r="S2019" s="836">
        <v>41418</v>
      </c>
      <c r="T2019" s="462">
        <v>41435</v>
      </c>
      <c r="U2019" s="461">
        <f t="shared" si="70"/>
        <v>98</v>
      </c>
      <c r="V2019" s="461" t="s">
        <v>2806</v>
      </c>
      <c r="W2019" s="493" t="s">
        <v>2807</v>
      </c>
      <c r="X2019" s="457"/>
      <c r="Y2019" s="592"/>
      <c r="Z2019" s="468" t="s">
        <v>2805</v>
      </c>
      <c r="AA2019" s="457"/>
      <c r="AB2019" s="460" t="s">
        <v>1703</v>
      </c>
      <c r="AC2019" s="476"/>
      <c r="AD2019" s="645" t="str">
        <f t="shared" si="71"/>
        <v>en término</v>
      </c>
    </row>
    <row r="2020" spans="2:31" s="649" customFormat="1" ht="54.95" customHeight="1" thickBot="1" x14ac:dyDescent="0.25">
      <c r="B2020" s="474" t="s">
        <v>36</v>
      </c>
      <c r="C2020" s="455" t="s">
        <v>133</v>
      </c>
      <c r="D2020" s="456" t="s">
        <v>2799</v>
      </c>
      <c r="E2020" s="501" t="s">
        <v>2800</v>
      </c>
      <c r="F2020" s="457">
        <v>4505178234</v>
      </c>
      <c r="G2020" s="457" t="s">
        <v>39</v>
      </c>
      <c r="H2020" s="458">
        <v>11553.13</v>
      </c>
      <c r="I2020" s="459" t="s">
        <v>52</v>
      </c>
      <c r="J2020" s="460">
        <v>41341</v>
      </c>
      <c r="K2020" s="461">
        <f t="shared" si="72"/>
        <v>94</v>
      </c>
      <c r="L2020" s="460">
        <v>41435</v>
      </c>
      <c r="M2020" s="460" t="s">
        <v>41</v>
      </c>
      <c r="N2020" s="457" t="s">
        <v>42</v>
      </c>
      <c r="O2020" s="460">
        <v>41422</v>
      </c>
      <c r="P2020" s="461">
        <f t="shared" si="69"/>
        <v>-3</v>
      </c>
      <c r="Q2020" s="591" t="s">
        <v>2808</v>
      </c>
      <c r="R2020" s="757">
        <v>41430</v>
      </c>
      <c r="S2020" s="836">
        <v>41432</v>
      </c>
      <c r="T2020" s="462">
        <v>41449</v>
      </c>
      <c r="U2020" s="461">
        <f t="shared" ref="U2020:U2051" si="73">IF(T2020="","",+T2020-J2020)</f>
        <v>108</v>
      </c>
      <c r="V2020" s="461" t="s">
        <v>2806</v>
      </c>
      <c r="W2020" s="493" t="s">
        <v>2308</v>
      </c>
      <c r="X2020" s="457"/>
      <c r="Y2020" s="592"/>
      <c r="Z2020" s="468" t="s">
        <v>2809</v>
      </c>
      <c r="AA2020" s="457"/>
      <c r="AB2020" s="460" t="s">
        <v>2810</v>
      </c>
      <c r="AC2020" s="476"/>
      <c r="AD2020" s="645" t="str">
        <f t="shared" si="71"/>
        <v>en término</v>
      </c>
    </row>
    <row r="2021" spans="2:31" s="649" customFormat="1" ht="54.95" customHeight="1" thickBot="1" x14ac:dyDescent="0.25">
      <c r="B2021" s="474" t="s">
        <v>36</v>
      </c>
      <c r="C2021" s="455" t="s">
        <v>133</v>
      </c>
      <c r="D2021" s="456" t="s">
        <v>2799</v>
      </c>
      <c r="E2021" s="501" t="s">
        <v>2800</v>
      </c>
      <c r="F2021" s="457">
        <v>4505178228</v>
      </c>
      <c r="G2021" s="457" t="s">
        <v>39</v>
      </c>
      <c r="H2021" s="458">
        <v>129717.35</v>
      </c>
      <c r="I2021" s="459" t="s">
        <v>52</v>
      </c>
      <c r="J2021" s="460">
        <v>41341</v>
      </c>
      <c r="K2021" s="461">
        <f t="shared" si="72"/>
        <v>94</v>
      </c>
      <c r="L2021" s="460">
        <v>41435</v>
      </c>
      <c r="M2021" s="460" t="s">
        <v>41</v>
      </c>
      <c r="N2021" s="457" t="s">
        <v>42</v>
      </c>
      <c r="O2021" s="460">
        <v>41422</v>
      </c>
      <c r="P2021" s="461">
        <f t="shared" si="69"/>
        <v>-3</v>
      </c>
      <c r="Q2021" s="591" t="s">
        <v>2808</v>
      </c>
      <c r="R2021" s="757">
        <v>41430</v>
      </c>
      <c r="S2021" s="836">
        <v>41432</v>
      </c>
      <c r="T2021" s="462">
        <v>41449</v>
      </c>
      <c r="U2021" s="461">
        <f t="shared" si="73"/>
        <v>108</v>
      </c>
      <c r="V2021" s="461" t="s">
        <v>1332</v>
      </c>
      <c r="W2021" s="493" t="s">
        <v>2811</v>
      </c>
      <c r="X2021" s="457"/>
      <c r="Y2021" s="457"/>
      <c r="Z2021" s="468" t="s">
        <v>2809</v>
      </c>
      <c r="AA2021" s="457"/>
      <c r="AB2021" s="460" t="s">
        <v>2810</v>
      </c>
      <c r="AC2021" s="476"/>
      <c r="AD2021" s="645" t="str">
        <f t="shared" si="71"/>
        <v>en término</v>
      </c>
    </row>
    <row r="2022" spans="2:31" s="649" customFormat="1" ht="54.95" customHeight="1" thickBot="1" x14ac:dyDescent="0.25">
      <c r="B2022" s="474" t="s">
        <v>36</v>
      </c>
      <c r="C2022" s="455" t="s">
        <v>133</v>
      </c>
      <c r="D2022" s="456" t="s">
        <v>2799</v>
      </c>
      <c r="E2022" s="501" t="s">
        <v>2800</v>
      </c>
      <c r="F2022" s="457">
        <v>4505234922</v>
      </c>
      <c r="G2022" s="457" t="s">
        <v>39</v>
      </c>
      <c r="H2022" s="458">
        <v>4408.12</v>
      </c>
      <c r="I2022" s="459" t="s">
        <v>52</v>
      </c>
      <c r="J2022" s="460">
        <v>41374</v>
      </c>
      <c r="K2022" s="461">
        <f t="shared" si="72"/>
        <v>61</v>
      </c>
      <c r="L2022" s="460">
        <v>41435</v>
      </c>
      <c r="M2022" s="460" t="s">
        <v>41</v>
      </c>
      <c r="N2022" s="457" t="s">
        <v>42</v>
      </c>
      <c r="O2022" s="460">
        <v>41422</v>
      </c>
      <c r="P2022" s="461">
        <f t="shared" si="69"/>
        <v>-3</v>
      </c>
      <c r="Q2022" s="591" t="s">
        <v>2808</v>
      </c>
      <c r="R2022" s="757">
        <v>41430</v>
      </c>
      <c r="S2022" s="836">
        <v>41432</v>
      </c>
      <c r="T2022" s="462">
        <v>41449</v>
      </c>
      <c r="U2022" s="461">
        <f t="shared" si="73"/>
        <v>75</v>
      </c>
      <c r="V2022" s="461" t="s">
        <v>53</v>
      </c>
      <c r="W2022" s="493" t="s">
        <v>2311</v>
      </c>
      <c r="X2022" s="457"/>
      <c r="Y2022" s="457"/>
      <c r="Z2022" s="468" t="s">
        <v>2809</v>
      </c>
      <c r="AA2022" s="457"/>
      <c r="AB2022" s="460" t="s">
        <v>2810</v>
      </c>
      <c r="AC2022" s="476" t="s">
        <v>2812</v>
      </c>
      <c r="AD2022" s="645" t="str">
        <f t="shared" si="71"/>
        <v>en término</v>
      </c>
    </row>
    <row r="2023" spans="2:31" s="638" customFormat="1" ht="54.95" customHeight="1" thickBot="1" x14ac:dyDescent="0.25">
      <c r="B2023" s="759" t="s">
        <v>36</v>
      </c>
      <c r="C2023" s="414" t="s">
        <v>133</v>
      </c>
      <c r="D2023" s="415" t="s">
        <v>2799</v>
      </c>
      <c r="E2023" s="635" t="s">
        <v>2800</v>
      </c>
      <c r="F2023" s="595">
        <v>4505227056</v>
      </c>
      <c r="G2023" s="595" t="s">
        <v>39</v>
      </c>
      <c r="H2023" s="596">
        <v>139950.65</v>
      </c>
      <c r="I2023" s="597" t="s">
        <v>52</v>
      </c>
      <c r="J2023" s="598">
        <v>41369</v>
      </c>
      <c r="K2023" s="599">
        <f t="shared" si="72"/>
        <v>66</v>
      </c>
      <c r="L2023" s="598">
        <v>41435</v>
      </c>
      <c r="M2023" s="598" t="s">
        <v>41</v>
      </c>
      <c r="N2023" s="595" t="s">
        <v>42</v>
      </c>
      <c r="O2023" s="416">
        <v>41439</v>
      </c>
      <c r="P2023" s="417" t="str">
        <f t="shared" si="69"/>
        <v/>
      </c>
      <c r="Q2023" s="805"/>
      <c r="R2023" s="751"/>
      <c r="S2023" s="806"/>
      <c r="T2023" s="806"/>
      <c r="U2023" s="599" t="str">
        <f t="shared" si="73"/>
        <v/>
      </c>
      <c r="V2023" s="599" t="s">
        <v>2813</v>
      </c>
      <c r="W2023" s="600"/>
      <c r="X2023" s="595"/>
      <c r="Y2023" s="595"/>
      <c r="Z2023" s="437"/>
      <c r="AA2023" s="595"/>
      <c r="AB2023" s="601" t="str">
        <f>IF(S2023="","",IF('o.c.'!$Z$1&lt;(S2023+60),(S2023+60),"VENCIDA"))</f>
        <v/>
      </c>
      <c r="AC2023" s="720" t="s">
        <v>2814</v>
      </c>
      <c r="AE2023" s="646" t="str">
        <f>IF(P2023="","",IF(P2023&lt;=0,"en término","atrasado"))</f>
        <v/>
      </c>
    </row>
    <row r="2024" spans="2:31" s="649" customFormat="1" ht="54.95" customHeight="1" thickBot="1" x14ac:dyDescent="0.25">
      <c r="B2024" s="474" t="s">
        <v>36</v>
      </c>
      <c r="C2024" s="455" t="s">
        <v>37</v>
      </c>
      <c r="D2024" s="456" t="s">
        <v>2815</v>
      </c>
      <c r="E2024" s="591" t="s">
        <v>2816</v>
      </c>
      <c r="F2024" s="457">
        <v>13060001</v>
      </c>
      <c r="G2024" s="457" t="s">
        <v>39</v>
      </c>
      <c r="H2024" s="458">
        <v>1090</v>
      </c>
      <c r="I2024" s="459" t="s">
        <v>62</v>
      </c>
      <c r="J2024" s="460">
        <v>41428</v>
      </c>
      <c r="K2024" s="461">
        <v>15</v>
      </c>
      <c r="L2024" s="460">
        <f>+J2024+K2024</f>
        <v>41443</v>
      </c>
      <c r="M2024" s="460" t="s">
        <v>41</v>
      </c>
      <c r="N2024" s="457" t="s">
        <v>110</v>
      </c>
      <c r="O2024" s="460">
        <v>41437</v>
      </c>
      <c r="P2024" s="461">
        <f t="shared" si="69"/>
        <v>-1</v>
      </c>
      <c r="Q2024" s="591"/>
      <c r="R2024" s="757"/>
      <c r="S2024" s="836">
        <v>41442</v>
      </c>
      <c r="T2024" s="462">
        <f>+S2024+5</f>
        <v>41447</v>
      </c>
      <c r="U2024" s="461">
        <f t="shared" si="73"/>
        <v>19</v>
      </c>
      <c r="V2024" s="461" t="s">
        <v>53</v>
      </c>
      <c r="W2024" s="493" t="s">
        <v>2622</v>
      </c>
      <c r="X2024" s="592"/>
      <c r="Y2024" s="592"/>
      <c r="Z2024" s="468" t="s">
        <v>2817</v>
      </c>
      <c r="AA2024" s="457"/>
      <c r="AB2024" s="460" t="s">
        <v>2818</v>
      </c>
      <c r="AC2024" s="476"/>
      <c r="AD2024" s="645" t="str">
        <f t="shared" ref="AD2024:AD2034" si="74">IF(P2024="","",IF(P2024&lt;=0,"en término","atrasado"))</f>
        <v>en término</v>
      </c>
    </row>
    <row r="2025" spans="2:31" s="649" customFormat="1" ht="54.95" customHeight="1" thickBot="1" x14ac:dyDescent="0.25">
      <c r="B2025" s="474" t="s">
        <v>36</v>
      </c>
      <c r="C2025" s="455" t="s">
        <v>37</v>
      </c>
      <c r="D2025" s="456" t="s">
        <v>2819</v>
      </c>
      <c r="E2025" s="591" t="s">
        <v>2820</v>
      </c>
      <c r="F2025" s="457">
        <v>13060002</v>
      </c>
      <c r="G2025" s="457" t="s">
        <v>39</v>
      </c>
      <c r="H2025" s="458">
        <v>1815</v>
      </c>
      <c r="I2025" s="459" t="s">
        <v>62</v>
      </c>
      <c r="J2025" s="460">
        <v>41442</v>
      </c>
      <c r="K2025" s="461">
        <v>45</v>
      </c>
      <c r="L2025" s="460">
        <f>+J2025+K2025</f>
        <v>41487</v>
      </c>
      <c r="M2025" s="460" t="s">
        <v>41</v>
      </c>
      <c r="N2025" s="457" t="s">
        <v>110</v>
      </c>
      <c r="O2025" s="460"/>
      <c r="P2025" s="461">
        <f t="shared" si="69"/>
        <v>-12</v>
      </c>
      <c r="Q2025" s="591"/>
      <c r="R2025" s="757">
        <v>41474</v>
      </c>
      <c r="S2025" s="836">
        <v>41475</v>
      </c>
      <c r="T2025" s="462">
        <v>41477</v>
      </c>
      <c r="U2025" s="461">
        <f t="shared" si="73"/>
        <v>35</v>
      </c>
      <c r="V2025" s="461" t="s">
        <v>2821</v>
      </c>
      <c r="W2025" s="493"/>
      <c r="X2025" s="592"/>
      <c r="Y2025" s="592"/>
      <c r="Z2025" s="468"/>
      <c r="AA2025" s="457"/>
      <c r="AB2025" s="460" t="s">
        <v>2822</v>
      </c>
      <c r="AC2025" s="476"/>
      <c r="AD2025" s="645" t="str">
        <f t="shared" si="74"/>
        <v>en término</v>
      </c>
    </row>
    <row r="2026" spans="2:31" s="649" customFormat="1" ht="54.95" customHeight="1" thickBot="1" x14ac:dyDescent="0.25">
      <c r="B2026" s="474" t="s">
        <v>36</v>
      </c>
      <c r="C2026" s="455" t="s">
        <v>133</v>
      </c>
      <c r="D2026" s="456" t="s">
        <v>2799</v>
      </c>
      <c r="E2026" s="501" t="s">
        <v>2800</v>
      </c>
      <c r="F2026" s="457">
        <v>4505224873</v>
      </c>
      <c r="G2026" s="457" t="s">
        <v>39</v>
      </c>
      <c r="H2026" s="458">
        <v>6256.63</v>
      </c>
      <c r="I2026" s="459" t="s">
        <v>62</v>
      </c>
      <c r="J2026" s="460">
        <v>41369</v>
      </c>
      <c r="K2026" s="461">
        <f t="shared" ref="K2026:K2033" si="75">+L2026-J2026</f>
        <v>93</v>
      </c>
      <c r="L2026" s="460">
        <v>41462</v>
      </c>
      <c r="M2026" s="460" t="s">
        <v>41</v>
      </c>
      <c r="N2026" s="457" t="s">
        <v>42</v>
      </c>
      <c r="O2026" s="460">
        <v>41439</v>
      </c>
      <c r="P2026" s="461">
        <f t="shared" si="69"/>
        <v>-9</v>
      </c>
      <c r="Q2026" s="591" t="s">
        <v>2823</v>
      </c>
      <c r="R2026" s="757">
        <v>41450</v>
      </c>
      <c r="S2026" s="836">
        <v>41453</v>
      </c>
      <c r="T2026" s="462">
        <v>41469</v>
      </c>
      <c r="U2026" s="461">
        <f t="shared" si="73"/>
        <v>100</v>
      </c>
      <c r="V2026" s="461" t="s">
        <v>53</v>
      </c>
      <c r="W2026" s="493" t="s">
        <v>2629</v>
      </c>
      <c r="X2026" s="457"/>
      <c r="Y2026" s="457"/>
      <c r="Z2026" s="468" t="s">
        <v>46</v>
      </c>
      <c r="AA2026" s="457"/>
      <c r="AB2026" s="460" t="s">
        <v>2824</v>
      </c>
      <c r="AC2026" s="476"/>
      <c r="AD2026" s="645" t="str">
        <f t="shared" si="74"/>
        <v>en término</v>
      </c>
    </row>
    <row r="2027" spans="2:31" s="649" customFormat="1" ht="54.95" customHeight="1" thickBot="1" x14ac:dyDescent="0.25">
      <c r="B2027" s="474" t="s">
        <v>36</v>
      </c>
      <c r="C2027" s="455" t="s">
        <v>133</v>
      </c>
      <c r="D2027" s="456" t="s">
        <v>2799</v>
      </c>
      <c r="E2027" s="501" t="s">
        <v>2800</v>
      </c>
      <c r="F2027" s="457">
        <v>4505821206</v>
      </c>
      <c r="G2027" s="457" t="s">
        <v>39</v>
      </c>
      <c r="H2027" s="458">
        <v>79406.600000000006</v>
      </c>
      <c r="I2027" s="459" t="s">
        <v>52</v>
      </c>
      <c r="J2027" s="460">
        <v>41404</v>
      </c>
      <c r="K2027" s="461">
        <f t="shared" si="75"/>
        <v>60</v>
      </c>
      <c r="L2027" s="460">
        <v>41464</v>
      </c>
      <c r="M2027" s="460" t="s">
        <v>41</v>
      </c>
      <c r="N2027" s="457" t="s">
        <v>42</v>
      </c>
      <c r="O2027" s="460">
        <v>41439</v>
      </c>
      <c r="P2027" s="461">
        <f t="shared" si="69"/>
        <v>-11</v>
      </c>
      <c r="Q2027" s="591" t="s">
        <v>2823</v>
      </c>
      <c r="R2027" s="757">
        <v>41450</v>
      </c>
      <c r="S2027" s="836">
        <v>41453</v>
      </c>
      <c r="T2027" s="462">
        <v>41469</v>
      </c>
      <c r="U2027" s="461">
        <f t="shared" si="73"/>
        <v>65</v>
      </c>
      <c r="V2027" s="461" t="s">
        <v>1307</v>
      </c>
      <c r="W2027" s="493" t="s">
        <v>2634</v>
      </c>
      <c r="X2027" s="457"/>
      <c r="Y2027" s="457"/>
      <c r="Z2027" s="468" t="s">
        <v>46</v>
      </c>
      <c r="AA2027" s="457"/>
      <c r="AB2027" s="460" t="s">
        <v>2824</v>
      </c>
      <c r="AC2027" s="476"/>
      <c r="AD2027" s="645" t="str">
        <f t="shared" si="74"/>
        <v>en término</v>
      </c>
    </row>
    <row r="2028" spans="2:31" s="649" customFormat="1" ht="54.95" customHeight="1" thickBot="1" x14ac:dyDescent="0.25">
      <c r="B2028" s="474" t="s">
        <v>36</v>
      </c>
      <c r="C2028" s="455" t="s">
        <v>133</v>
      </c>
      <c r="D2028" s="456" t="s">
        <v>2799</v>
      </c>
      <c r="E2028" s="501" t="s">
        <v>2800</v>
      </c>
      <c r="F2028" s="457">
        <v>4505224017</v>
      </c>
      <c r="G2028" s="457" t="s">
        <v>39</v>
      </c>
      <c r="H2028" s="458">
        <v>48935.66</v>
      </c>
      <c r="I2028" s="459" t="s">
        <v>142</v>
      </c>
      <c r="J2028" s="460">
        <v>41367</v>
      </c>
      <c r="K2028" s="461">
        <f t="shared" si="75"/>
        <v>90</v>
      </c>
      <c r="L2028" s="460">
        <v>41457</v>
      </c>
      <c r="M2028" s="460" t="s">
        <v>41</v>
      </c>
      <c r="N2028" s="457" t="s">
        <v>42</v>
      </c>
      <c r="O2028" s="460">
        <v>41439</v>
      </c>
      <c r="P2028" s="461">
        <f t="shared" si="69"/>
        <v>-4</v>
      </c>
      <c r="Q2028" s="591" t="s">
        <v>2823</v>
      </c>
      <c r="R2028" s="757">
        <v>41450</v>
      </c>
      <c r="S2028" s="836">
        <v>41453</v>
      </c>
      <c r="T2028" s="462">
        <v>41469</v>
      </c>
      <c r="U2028" s="461">
        <f t="shared" si="73"/>
        <v>102</v>
      </c>
      <c r="V2028" s="461" t="s">
        <v>944</v>
      </c>
      <c r="W2028" s="493" t="s">
        <v>2825</v>
      </c>
      <c r="X2028" s="457"/>
      <c r="Y2028" s="457"/>
      <c r="Z2028" s="468" t="s">
        <v>46</v>
      </c>
      <c r="AA2028" s="457"/>
      <c r="AB2028" s="460" t="s">
        <v>2826</v>
      </c>
      <c r="AC2028" s="476"/>
      <c r="AD2028" s="645" t="str">
        <f t="shared" si="74"/>
        <v>en término</v>
      </c>
    </row>
    <row r="2029" spans="2:31" s="649" customFormat="1" ht="54.95" customHeight="1" thickBot="1" x14ac:dyDescent="0.25">
      <c r="B2029" s="474" t="s">
        <v>36</v>
      </c>
      <c r="C2029" s="455" t="s">
        <v>133</v>
      </c>
      <c r="D2029" s="456" t="s">
        <v>2799</v>
      </c>
      <c r="E2029" s="501" t="s">
        <v>2800</v>
      </c>
      <c r="F2029" s="457">
        <v>4505287421</v>
      </c>
      <c r="G2029" s="457" t="s">
        <v>39</v>
      </c>
      <c r="H2029" s="458">
        <v>7356.01</v>
      </c>
      <c r="I2029" s="459" t="s">
        <v>52</v>
      </c>
      <c r="J2029" s="460">
        <v>41404</v>
      </c>
      <c r="K2029" s="461">
        <f t="shared" si="75"/>
        <v>60</v>
      </c>
      <c r="L2029" s="460">
        <v>41464</v>
      </c>
      <c r="M2029" s="460" t="s">
        <v>41</v>
      </c>
      <c r="N2029" s="457" t="s">
        <v>42</v>
      </c>
      <c r="O2029" s="460">
        <v>41439</v>
      </c>
      <c r="P2029" s="461">
        <f t="shared" si="69"/>
        <v>-11</v>
      </c>
      <c r="Q2029" s="591" t="s">
        <v>2823</v>
      </c>
      <c r="R2029" s="757">
        <v>41450</v>
      </c>
      <c r="S2029" s="836">
        <v>41453</v>
      </c>
      <c r="T2029" s="462">
        <v>41469</v>
      </c>
      <c r="U2029" s="461">
        <f t="shared" si="73"/>
        <v>65</v>
      </c>
      <c r="V2029" s="461" t="s">
        <v>53</v>
      </c>
      <c r="W2029" s="493" t="s">
        <v>2827</v>
      </c>
      <c r="X2029" s="592"/>
      <c r="Y2029" s="592"/>
      <c r="Z2029" s="468" t="s">
        <v>46</v>
      </c>
      <c r="AA2029" s="457"/>
      <c r="AB2029" s="460" t="s">
        <v>2826</v>
      </c>
      <c r="AC2029" s="476"/>
      <c r="AD2029" s="645" t="str">
        <f t="shared" si="74"/>
        <v>en término</v>
      </c>
    </row>
    <row r="2030" spans="2:31" s="649" customFormat="1" ht="54.95" customHeight="1" thickBot="1" x14ac:dyDescent="0.25">
      <c r="B2030" s="474" t="s">
        <v>36</v>
      </c>
      <c r="C2030" s="455" t="s">
        <v>133</v>
      </c>
      <c r="D2030" s="456" t="s">
        <v>2799</v>
      </c>
      <c r="E2030" s="501" t="s">
        <v>2800</v>
      </c>
      <c r="F2030" s="457">
        <v>4505209618</v>
      </c>
      <c r="G2030" s="457" t="s">
        <v>39</v>
      </c>
      <c r="H2030" s="458">
        <v>243460</v>
      </c>
      <c r="I2030" s="459" t="s">
        <v>62</v>
      </c>
      <c r="J2030" s="460">
        <v>41379</v>
      </c>
      <c r="K2030" s="461">
        <f t="shared" si="75"/>
        <v>90</v>
      </c>
      <c r="L2030" s="460">
        <v>41469</v>
      </c>
      <c r="M2030" s="460" t="s">
        <v>41</v>
      </c>
      <c r="N2030" s="457" t="s">
        <v>42</v>
      </c>
      <c r="O2030" s="460">
        <v>41453</v>
      </c>
      <c r="P2030" s="461">
        <f t="shared" si="69"/>
        <v>4</v>
      </c>
      <c r="Q2030" s="591" t="s">
        <v>2828</v>
      </c>
      <c r="R2030" s="757">
        <v>41464</v>
      </c>
      <c r="S2030" s="836">
        <v>41473</v>
      </c>
      <c r="T2030" s="462">
        <v>41490</v>
      </c>
      <c r="U2030" s="461">
        <f t="shared" si="73"/>
        <v>111</v>
      </c>
      <c r="V2030" s="461" t="s">
        <v>1058</v>
      </c>
      <c r="W2030" s="493" t="s">
        <v>2320</v>
      </c>
      <c r="X2030" s="457"/>
      <c r="Y2030" s="457"/>
      <c r="Z2030" s="468" t="s">
        <v>2829</v>
      </c>
      <c r="AA2030" s="457"/>
      <c r="AB2030" s="589" t="s">
        <v>2830</v>
      </c>
      <c r="AC2030" s="476"/>
      <c r="AD2030" s="645" t="str">
        <f t="shared" si="74"/>
        <v>atrasado</v>
      </c>
    </row>
    <row r="2031" spans="2:31" s="649" customFormat="1" ht="54.95" customHeight="1" thickBot="1" x14ac:dyDescent="0.25">
      <c r="B2031" s="474" t="s">
        <v>36</v>
      </c>
      <c r="C2031" s="455" t="s">
        <v>133</v>
      </c>
      <c r="D2031" s="456" t="s">
        <v>2799</v>
      </c>
      <c r="E2031" s="501" t="s">
        <v>2800</v>
      </c>
      <c r="F2031" s="457">
        <v>4505252429</v>
      </c>
      <c r="G2031" s="457" t="s">
        <v>39</v>
      </c>
      <c r="H2031" s="458">
        <v>88090.11</v>
      </c>
      <c r="I2031" s="459" t="s">
        <v>40</v>
      </c>
      <c r="J2031" s="460">
        <v>41387</v>
      </c>
      <c r="K2031" s="461">
        <f t="shared" si="75"/>
        <v>92</v>
      </c>
      <c r="L2031" s="460">
        <v>41479</v>
      </c>
      <c r="M2031" s="460" t="s">
        <v>41</v>
      </c>
      <c r="N2031" s="457" t="s">
        <v>42</v>
      </c>
      <c r="O2031" s="460">
        <v>41465</v>
      </c>
      <c r="P2031" s="461">
        <f t="shared" si="69"/>
        <v>-6</v>
      </c>
      <c r="Q2031" s="591" t="s">
        <v>2831</v>
      </c>
      <c r="R2031" s="757">
        <v>41472</v>
      </c>
      <c r="S2031" s="836">
        <v>41473</v>
      </c>
      <c r="T2031" s="462">
        <v>41490</v>
      </c>
      <c r="U2031" s="461">
        <f t="shared" si="73"/>
        <v>103</v>
      </c>
      <c r="V2031" s="461" t="s">
        <v>2782</v>
      </c>
      <c r="W2031" s="493" t="s">
        <v>2832</v>
      </c>
      <c r="X2031" s="457"/>
      <c r="Y2031" s="457"/>
      <c r="Z2031" s="468" t="s">
        <v>2829</v>
      </c>
      <c r="AA2031" s="457"/>
      <c r="AB2031" s="460" t="s">
        <v>2833</v>
      </c>
      <c r="AC2031" s="476"/>
      <c r="AD2031" s="645" t="str">
        <f t="shared" si="74"/>
        <v>en término</v>
      </c>
    </row>
    <row r="2032" spans="2:31" s="649" customFormat="1" ht="54.95" customHeight="1" thickBot="1" x14ac:dyDescent="0.25">
      <c r="B2032" s="474" t="s">
        <v>36</v>
      </c>
      <c r="C2032" s="455" t="s">
        <v>133</v>
      </c>
      <c r="D2032" s="456" t="s">
        <v>2799</v>
      </c>
      <c r="E2032" s="501" t="s">
        <v>2800</v>
      </c>
      <c r="F2032" s="457">
        <v>4505256281</v>
      </c>
      <c r="G2032" s="457" t="s">
        <v>39</v>
      </c>
      <c r="H2032" s="458">
        <v>111463.45</v>
      </c>
      <c r="I2032" s="459" t="s">
        <v>40</v>
      </c>
      <c r="J2032" s="460">
        <v>41393</v>
      </c>
      <c r="K2032" s="461">
        <f t="shared" si="75"/>
        <v>88</v>
      </c>
      <c r="L2032" s="460">
        <v>41481</v>
      </c>
      <c r="M2032" s="460" t="s">
        <v>41</v>
      </c>
      <c r="N2032" s="457" t="s">
        <v>42</v>
      </c>
      <c r="O2032" s="460">
        <v>41465</v>
      </c>
      <c r="P2032" s="461">
        <f t="shared" si="69"/>
        <v>-8</v>
      </c>
      <c r="Q2032" s="591" t="s">
        <v>2831</v>
      </c>
      <c r="R2032" s="757">
        <v>41472</v>
      </c>
      <c r="S2032" s="836">
        <v>41473</v>
      </c>
      <c r="T2032" s="462">
        <v>41490</v>
      </c>
      <c r="U2032" s="461">
        <f t="shared" si="73"/>
        <v>97</v>
      </c>
      <c r="V2032" s="461" t="s">
        <v>2442</v>
      </c>
      <c r="W2032" s="493" t="s">
        <v>2641</v>
      </c>
      <c r="X2032" s="457"/>
      <c r="Y2032" s="457"/>
      <c r="Z2032" s="468" t="s">
        <v>2829</v>
      </c>
      <c r="AA2032" s="457"/>
      <c r="AB2032" s="460" t="s">
        <v>2833</v>
      </c>
      <c r="AC2032" s="476"/>
      <c r="AD2032" s="645" t="str">
        <f t="shared" si="74"/>
        <v>en término</v>
      </c>
    </row>
    <row r="2033" spans="2:31" s="649" customFormat="1" ht="54.95" customHeight="1" thickBot="1" x14ac:dyDescent="0.25">
      <c r="B2033" s="474" t="s">
        <v>36</v>
      </c>
      <c r="C2033" s="455" t="s">
        <v>133</v>
      </c>
      <c r="D2033" s="456" t="s">
        <v>2799</v>
      </c>
      <c r="E2033" s="501" t="s">
        <v>2800</v>
      </c>
      <c r="F2033" s="457">
        <v>4505274789</v>
      </c>
      <c r="G2033" s="457" t="s">
        <v>39</v>
      </c>
      <c r="H2033" s="458">
        <v>83416.44</v>
      </c>
      <c r="I2033" s="459" t="s">
        <v>142</v>
      </c>
      <c r="J2033" s="460">
        <v>41396</v>
      </c>
      <c r="K2033" s="461">
        <f t="shared" si="75"/>
        <v>90</v>
      </c>
      <c r="L2033" s="460">
        <v>41486</v>
      </c>
      <c r="M2033" s="460" t="s">
        <v>41</v>
      </c>
      <c r="N2033" s="457" t="s">
        <v>42</v>
      </c>
      <c r="O2033" s="460">
        <v>41465</v>
      </c>
      <c r="P2033" s="461">
        <f t="shared" si="69"/>
        <v>-13</v>
      </c>
      <c r="Q2033" s="591" t="s">
        <v>2831</v>
      </c>
      <c r="R2033" s="757">
        <v>41472</v>
      </c>
      <c r="S2033" s="836">
        <v>41473</v>
      </c>
      <c r="T2033" s="462">
        <v>41490</v>
      </c>
      <c r="U2033" s="461">
        <f t="shared" si="73"/>
        <v>94</v>
      </c>
      <c r="V2033" s="461" t="s">
        <v>955</v>
      </c>
      <c r="W2033" s="493" t="s">
        <v>2649</v>
      </c>
      <c r="X2033" s="457"/>
      <c r="Y2033" s="457"/>
      <c r="Z2033" s="468" t="s">
        <v>2829</v>
      </c>
      <c r="AA2033" s="457"/>
      <c r="AB2033" s="460" t="s">
        <v>2834</v>
      </c>
      <c r="AC2033" s="476"/>
      <c r="AD2033" s="645" t="str">
        <f t="shared" si="74"/>
        <v>en término</v>
      </c>
    </row>
    <row r="2034" spans="2:31" s="649" customFormat="1" ht="54.95" customHeight="1" thickBot="1" x14ac:dyDescent="0.25">
      <c r="B2034" s="474" t="s">
        <v>36</v>
      </c>
      <c r="C2034" s="455" t="s">
        <v>37</v>
      </c>
      <c r="D2034" s="456" t="s">
        <v>2835</v>
      </c>
      <c r="E2034" s="591" t="s">
        <v>2836</v>
      </c>
      <c r="F2034" s="457">
        <v>13040003</v>
      </c>
      <c r="G2034" s="457" t="s">
        <v>39</v>
      </c>
      <c r="H2034" s="458">
        <v>7800</v>
      </c>
      <c r="I2034" s="459" t="s">
        <v>142</v>
      </c>
      <c r="J2034" s="460">
        <v>41386</v>
      </c>
      <c r="K2034" s="461">
        <v>100</v>
      </c>
      <c r="L2034" s="460">
        <f>+J2034+K2034</f>
        <v>41486</v>
      </c>
      <c r="M2034" s="460" t="s">
        <v>41</v>
      </c>
      <c r="N2034" s="457" t="s">
        <v>110</v>
      </c>
      <c r="O2034" s="460">
        <v>41467</v>
      </c>
      <c r="P2034" s="461">
        <f t="shared" si="69"/>
        <v>-2</v>
      </c>
      <c r="Q2034" s="591"/>
      <c r="R2034" s="757"/>
      <c r="S2034" s="836">
        <v>41484</v>
      </c>
      <c r="T2034" s="462">
        <f>+S2034+5</f>
        <v>41489</v>
      </c>
      <c r="U2034" s="461">
        <f t="shared" si="73"/>
        <v>103</v>
      </c>
      <c r="V2034" s="461" t="s">
        <v>53</v>
      </c>
      <c r="W2034" s="493" t="s">
        <v>2327</v>
      </c>
      <c r="X2034" s="592"/>
      <c r="Y2034" s="592"/>
      <c r="Z2034" s="468" t="s">
        <v>1676</v>
      </c>
      <c r="AA2034" s="457"/>
      <c r="AB2034" s="460" t="s">
        <v>2824</v>
      </c>
      <c r="AC2034" s="476"/>
      <c r="AD2034" s="645" t="str">
        <f t="shared" si="74"/>
        <v>en término</v>
      </c>
    </row>
    <row r="2035" spans="2:31" s="649" customFormat="1" ht="54.95" customHeight="1" thickBot="1" x14ac:dyDescent="0.25">
      <c r="B2035" s="474" t="s">
        <v>36</v>
      </c>
      <c r="C2035" s="455" t="s">
        <v>37</v>
      </c>
      <c r="D2035" s="456" t="s">
        <v>2819</v>
      </c>
      <c r="E2035" s="501" t="s">
        <v>2837</v>
      </c>
      <c r="F2035" s="457">
        <v>13080002</v>
      </c>
      <c r="G2035" s="457" t="s">
        <v>39</v>
      </c>
      <c r="H2035" s="458">
        <v>2040</v>
      </c>
      <c r="I2035" s="459" t="s">
        <v>52</v>
      </c>
      <c r="J2035" s="460">
        <v>41498</v>
      </c>
      <c r="K2035" s="461">
        <f t="shared" ref="K2035:K2049" si="76">+L2035-J2035</f>
        <v>38</v>
      </c>
      <c r="L2035" s="460">
        <v>41536</v>
      </c>
      <c r="M2035" s="460" t="s">
        <v>41</v>
      </c>
      <c r="N2035" s="457" t="s">
        <v>110</v>
      </c>
      <c r="O2035" s="460"/>
      <c r="P2035" s="461"/>
      <c r="Q2035" s="591"/>
      <c r="R2035" s="757"/>
      <c r="S2035" s="836">
        <v>41509</v>
      </c>
      <c r="T2035" s="836">
        <v>41511</v>
      </c>
      <c r="U2035" s="461">
        <f t="shared" si="73"/>
        <v>13</v>
      </c>
      <c r="V2035" s="461" t="s">
        <v>2838</v>
      </c>
      <c r="W2035" s="493">
        <v>68179</v>
      </c>
      <c r="X2035" s="457"/>
      <c r="Y2035" s="592"/>
      <c r="Z2035" s="468"/>
      <c r="AA2035" s="457"/>
      <c r="AB2035" s="589" t="s">
        <v>2839</v>
      </c>
      <c r="AC2035" s="476"/>
      <c r="AE2035" s="645" t="str">
        <f>IF(P2035="","",IF(P2035&lt;=0,"en término","atrasado"))</f>
        <v/>
      </c>
    </row>
    <row r="2036" spans="2:31" s="638" customFormat="1" ht="54.95" customHeight="1" thickBot="1" x14ac:dyDescent="0.25">
      <c r="B2036" s="759" t="s">
        <v>36</v>
      </c>
      <c r="C2036" s="414" t="s">
        <v>133</v>
      </c>
      <c r="D2036" s="415" t="s">
        <v>2799</v>
      </c>
      <c r="E2036" s="635" t="s">
        <v>2800</v>
      </c>
      <c r="F2036" s="595">
        <v>4505452289</v>
      </c>
      <c r="G2036" s="595" t="s">
        <v>39</v>
      </c>
      <c r="H2036" s="596">
        <v>396.03</v>
      </c>
      <c r="I2036" s="597" t="s">
        <v>62</v>
      </c>
      <c r="J2036" s="598">
        <v>41508</v>
      </c>
      <c r="K2036" s="599">
        <f t="shared" si="76"/>
        <v>87</v>
      </c>
      <c r="L2036" s="598">
        <v>41595</v>
      </c>
      <c r="M2036" s="598" t="s">
        <v>41</v>
      </c>
      <c r="N2036" s="595" t="s">
        <v>42</v>
      </c>
      <c r="O2036" s="416">
        <v>41562</v>
      </c>
      <c r="P2036" s="417">
        <f t="shared" ref="P2036:P2063" si="77">IF(S2036="","",+S2036-L2036)</f>
        <v>-23</v>
      </c>
      <c r="Q2036" s="805" t="s">
        <v>2840</v>
      </c>
      <c r="R2036" s="751">
        <v>41570</v>
      </c>
      <c r="S2036" s="806">
        <v>41572</v>
      </c>
      <c r="T2036" s="806">
        <v>41587</v>
      </c>
      <c r="U2036" s="599">
        <f t="shared" si="73"/>
        <v>79</v>
      </c>
      <c r="V2036" s="599" t="s">
        <v>53</v>
      </c>
      <c r="W2036" s="600"/>
      <c r="X2036" s="595"/>
      <c r="Y2036" s="602"/>
      <c r="Z2036" s="437"/>
      <c r="AA2036" s="595"/>
      <c r="AB2036" s="601" t="str">
        <f ca="1">IF(S2036="","",IF('o.c.'!$Z$1&lt;(S2036+60),(S2036+60),"VENCIDA"))</f>
        <v>VENCIDA</v>
      </c>
      <c r="AC2036" s="845" t="s">
        <v>2841</v>
      </c>
      <c r="AE2036" s="646" t="str">
        <f>IF(P2036="","",IF(P2036&lt;=0,"en término","atrasado"))</f>
        <v>en término</v>
      </c>
    </row>
    <row r="2037" spans="2:31" s="649" customFormat="1" ht="54.95" customHeight="1" thickBot="1" x14ac:dyDescent="0.25">
      <c r="B2037" s="474" t="s">
        <v>36</v>
      </c>
      <c r="C2037" s="455" t="s">
        <v>133</v>
      </c>
      <c r="D2037" s="456" t="s">
        <v>2799</v>
      </c>
      <c r="E2037" s="501" t="s">
        <v>2800</v>
      </c>
      <c r="F2037" s="457">
        <v>4505335308</v>
      </c>
      <c r="G2037" s="457" t="s">
        <v>39</v>
      </c>
      <c r="H2037" s="458">
        <v>180782.03</v>
      </c>
      <c r="I2037" s="459" t="s">
        <v>52</v>
      </c>
      <c r="J2037" s="460">
        <v>41435</v>
      </c>
      <c r="K2037" s="461">
        <f t="shared" si="76"/>
        <v>63</v>
      </c>
      <c r="L2037" s="460">
        <v>41498</v>
      </c>
      <c r="M2037" s="460" t="s">
        <v>41</v>
      </c>
      <c r="N2037" s="457" t="s">
        <v>42</v>
      </c>
      <c r="O2037" s="460">
        <v>41520</v>
      </c>
      <c r="P2037" s="461">
        <f t="shared" si="77"/>
        <v>39</v>
      </c>
      <c r="Q2037" s="591" t="s">
        <v>2842</v>
      </c>
      <c r="R2037" s="757">
        <v>41527</v>
      </c>
      <c r="S2037" s="836">
        <v>41537</v>
      </c>
      <c r="T2037" s="462">
        <v>41552</v>
      </c>
      <c r="U2037" s="461">
        <f t="shared" si="73"/>
        <v>117</v>
      </c>
      <c r="V2037" s="461" t="s">
        <v>1426</v>
      </c>
      <c r="W2037" s="493" t="s">
        <v>2658</v>
      </c>
      <c r="X2037" s="457"/>
      <c r="Y2037" s="457"/>
      <c r="Z2037" s="468" t="s">
        <v>2843</v>
      </c>
      <c r="AA2037" s="457"/>
      <c r="AB2037" s="460" t="s">
        <v>2844</v>
      </c>
      <c r="AC2037" s="476" t="s">
        <v>2845</v>
      </c>
      <c r="AD2037" s="645" t="str">
        <f t="shared" ref="AD2037:AD2063" si="78">IF(P2037="","",IF(P2037&lt;=0,"en término","atrasado"))</f>
        <v>atrasado</v>
      </c>
      <c r="AE2037" s="468" t="s">
        <v>2846</v>
      </c>
    </row>
    <row r="2038" spans="2:31" s="649" customFormat="1" ht="54.95" customHeight="1" thickBot="1" x14ac:dyDescent="0.25">
      <c r="B2038" s="474" t="s">
        <v>36</v>
      </c>
      <c r="C2038" s="455" t="s">
        <v>133</v>
      </c>
      <c r="D2038" s="456" t="s">
        <v>2686</v>
      </c>
      <c r="E2038" s="501" t="s">
        <v>2687</v>
      </c>
      <c r="F2038" s="457">
        <v>4505374398</v>
      </c>
      <c r="G2038" s="457" t="s">
        <v>39</v>
      </c>
      <c r="H2038" s="458">
        <v>25519.35</v>
      </c>
      <c r="I2038" s="459" t="s">
        <v>52</v>
      </c>
      <c r="J2038" s="460">
        <v>41456</v>
      </c>
      <c r="K2038" s="461">
        <f t="shared" si="76"/>
        <v>91</v>
      </c>
      <c r="L2038" s="460">
        <v>41547</v>
      </c>
      <c r="M2038" s="460" t="s">
        <v>41</v>
      </c>
      <c r="N2038" s="457" t="s">
        <v>42</v>
      </c>
      <c r="O2038" s="460">
        <v>41520</v>
      </c>
      <c r="P2038" s="461">
        <f t="shared" si="77"/>
        <v>-10</v>
      </c>
      <c r="Q2038" s="591" t="s">
        <v>2842</v>
      </c>
      <c r="R2038" s="757">
        <v>41527</v>
      </c>
      <c r="S2038" s="836">
        <v>41537</v>
      </c>
      <c r="T2038" s="462">
        <v>41552</v>
      </c>
      <c r="U2038" s="461">
        <f t="shared" si="73"/>
        <v>96</v>
      </c>
      <c r="V2038" s="461" t="s">
        <v>53</v>
      </c>
      <c r="W2038" s="493" t="s">
        <v>2368</v>
      </c>
      <c r="X2038" s="457"/>
      <c r="Y2038" s="592"/>
      <c r="Z2038" s="468" t="s">
        <v>2843</v>
      </c>
      <c r="AA2038" s="457"/>
      <c r="AB2038" s="460" t="s">
        <v>2847</v>
      </c>
      <c r="AC2038" s="476"/>
      <c r="AD2038" s="645" t="str">
        <f t="shared" si="78"/>
        <v>en término</v>
      </c>
      <c r="AE2038" s="468" t="s">
        <v>2846</v>
      </c>
    </row>
    <row r="2039" spans="2:31" s="649" customFormat="1" ht="54.95" customHeight="1" thickBot="1" x14ac:dyDescent="0.25">
      <c r="B2039" s="474" t="s">
        <v>36</v>
      </c>
      <c r="C2039" s="455" t="s">
        <v>133</v>
      </c>
      <c r="D2039" s="456" t="s">
        <v>2799</v>
      </c>
      <c r="E2039" s="501" t="s">
        <v>2800</v>
      </c>
      <c r="F2039" s="457">
        <v>4505335319</v>
      </c>
      <c r="G2039" s="457" t="s">
        <v>39</v>
      </c>
      <c r="H2039" s="458">
        <v>1944.17</v>
      </c>
      <c r="I2039" s="459" t="s">
        <v>52</v>
      </c>
      <c r="J2039" s="460">
        <v>41435</v>
      </c>
      <c r="K2039" s="461">
        <f t="shared" si="76"/>
        <v>63</v>
      </c>
      <c r="L2039" s="460">
        <v>41498</v>
      </c>
      <c r="M2039" s="460" t="s">
        <v>41</v>
      </c>
      <c r="N2039" s="457" t="s">
        <v>42</v>
      </c>
      <c r="O2039" s="460">
        <v>41520</v>
      </c>
      <c r="P2039" s="461">
        <f t="shared" si="77"/>
        <v>39</v>
      </c>
      <c r="Q2039" s="591" t="s">
        <v>2842</v>
      </c>
      <c r="R2039" s="757">
        <v>41527</v>
      </c>
      <c r="S2039" s="836">
        <v>41537</v>
      </c>
      <c r="T2039" s="462">
        <v>41552</v>
      </c>
      <c r="U2039" s="461">
        <f t="shared" si="73"/>
        <v>117</v>
      </c>
      <c r="V2039" s="461" t="s">
        <v>53</v>
      </c>
      <c r="W2039" s="493" t="s">
        <v>2660</v>
      </c>
      <c r="X2039" s="457"/>
      <c r="Y2039" s="592"/>
      <c r="Z2039" s="468" t="s">
        <v>2843</v>
      </c>
      <c r="AA2039" s="457"/>
      <c r="AB2039" s="460" t="s">
        <v>2848</v>
      </c>
      <c r="AC2039" s="847" t="s">
        <v>2849</v>
      </c>
      <c r="AD2039" s="645" t="str">
        <f t="shared" si="78"/>
        <v>atrasado</v>
      </c>
      <c r="AE2039" s="468" t="s">
        <v>2846</v>
      </c>
    </row>
    <row r="2040" spans="2:31" s="649" customFormat="1" ht="54.95" customHeight="1" thickBot="1" x14ac:dyDescent="0.25">
      <c r="B2040" s="474" t="s">
        <v>36</v>
      </c>
      <c r="C2040" s="455" t="s">
        <v>133</v>
      </c>
      <c r="D2040" s="456" t="s">
        <v>2799</v>
      </c>
      <c r="E2040" s="501" t="s">
        <v>2800</v>
      </c>
      <c r="F2040" s="457">
        <v>4505347399</v>
      </c>
      <c r="G2040" s="457" t="s">
        <v>39</v>
      </c>
      <c r="H2040" s="458">
        <v>111176</v>
      </c>
      <c r="I2040" s="459" t="s">
        <v>62</v>
      </c>
      <c r="J2040" s="460">
        <v>41444</v>
      </c>
      <c r="K2040" s="461">
        <f t="shared" si="76"/>
        <v>92</v>
      </c>
      <c r="L2040" s="460">
        <v>41536</v>
      </c>
      <c r="M2040" s="460" t="s">
        <v>41</v>
      </c>
      <c r="N2040" s="457" t="s">
        <v>42</v>
      </c>
      <c r="O2040" s="460">
        <v>41520</v>
      </c>
      <c r="P2040" s="461">
        <f t="shared" si="77"/>
        <v>1</v>
      </c>
      <c r="Q2040" s="591" t="s">
        <v>2842</v>
      </c>
      <c r="R2040" s="757">
        <v>41527</v>
      </c>
      <c r="S2040" s="836">
        <v>41537</v>
      </c>
      <c r="T2040" s="462">
        <v>41552</v>
      </c>
      <c r="U2040" s="461">
        <f t="shared" si="73"/>
        <v>108</v>
      </c>
      <c r="V2040" s="461" t="s">
        <v>1090</v>
      </c>
      <c r="W2040" s="493" t="s">
        <v>2338</v>
      </c>
      <c r="X2040" s="457"/>
      <c r="Y2040" s="457"/>
      <c r="Z2040" s="468" t="s">
        <v>2843</v>
      </c>
      <c r="AA2040" s="457"/>
      <c r="AB2040" s="460" t="s">
        <v>2848</v>
      </c>
      <c r="AC2040" s="847" t="s">
        <v>2849</v>
      </c>
      <c r="AD2040" s="645" t="str">
        <f t="shared" si="78"/>
        <v>atrasado</v>
      </c>
      <c r="AE2040" s="468" t="s">
        <v>2846</v>
      </c>
    </row>
    <row r="2041" spans="2:31" s="649" customFormat="1" ht="54.95" customHeight="1" thickBot="1" x14ac:dyDescent="0.25">
      <c r="B2041" s="474" t="s">
        <v>36</v>
      </c>
      <c r="C2041" s="455" t="s">
        <v>133</v>
      </c>
      <c r="D2041" s="456" t="s">
        <v>2799</v>
      </c>
      <c r="E2041" s="501" t="s">
        <v>2800</v>
      </c>
      <c r="F2041" s="457">
        <v>4505322332</v>
      </c>
      <c r="G2041" s="457" t="s">
        <v>39</v>
      </c>
      <c r="H2041" s="458">
        <v>109546</v>
      </c>
      <c r="I2041" s="459" t="s">
        <v>40</v>
      </c>
      <c r="J2041" s="460">
        <v>41444</v>
      </c>
      <c r="K2041" s="461">
        <f t="shared" si="76"/>
        <v>93</v>
      </c>
      <c r="L2041" s="460">
        <v>41537</v>
      </c>
      <c r="M2041" s="460" t="s">
        <v>41</v>
      </c>
      <c r="N2041" s="457" t="s">
        <v>42</v>
      </c>
      <c r="O2041" s="460">
        <v>41520</v>
      </c>
      <c r="P2041" s="461">
        <f t="shared" si="77"/>
        <v>0</v>
      </c>
      <c r="Q2041" s="591" t="s">
        <v>2842</v>
      </c>
      <c r="R2041" s="757">
        <v>41527</v>
      </c>
      <c r="S2041" s="836">
        <v>41537</v>
      </c>
      <c r="T2041" s="462">
        <v>41552</v>
      </c>
      <c r="U2041" s="461">
        <f t="shared" si="73"/>
        <v>108</v>
      </c>
      <c r="V2041" s="461" t="s">
        <v>1812</v>
      </c>
      <c r="W2041" s="493" t="s">
        <v>2333</v>
      </c>
      <c r="X2041" s="457"/>
      <c r="Y2041" s="457"/>
      <c r="Z2041" s="468" t="s">
        <v>2843</v>
      </c>
      <c r="AA2041" s="457"/>
      <c r="AB2041" s="460" t="s">
        <v>2850</v>
      </c>
      <c r="AC2041" s="847" t="s">
        <v>2849</v>
      </c>
      <c r="AD2041" s="645" t="str">
        <f t="shared" si="78"/>
        <v>en término</v>
      </c>
      <c r="AE2041" s="468" t="s">
        <v>2846</v>
      </c>
    </row>
    <row r="2042" spans="2:31" s="649" customFormat="1" ht="54.95" customHeight="1" thickBot="1" x14ac:dyDescent="0.25">
      <c r="B2042" s="474" t="s">
        <v>36</v>
      </c>
      <c r="C2042" s="455" t="s">
        <v>133</v>
      </c>
      <c r="D2042" s="456" t="s">
        <v>2799</v>
      </c>
      <c r="E2042" s="501" t="s">
        <v>2800</v>
      </c>
      <c r="F2042" s="457">
        <v>4505358867</v>
      </c>
      <c r="G2042" s="457" t="s">
        <v>39</v>
      </c>
      <c r="H2042" s="458">
        <v>32265</v>
      </c>
      <c r="I2042" s="459" t="s">
        <v>142</v>
      </c>
      <c r="J2042" s="460">
        <v>41446</v>
      </c>
      <c r="K2042" s="461">
        <f t="shared" si="76"/>
        <v>90</v>
      </c>
      <c r="L2042" s="460">
        <v>41536</v>
      </c>
      <c r="M2042" s="460" t="s">
        <v>41</v>
      </c>
      <c r="N2042" s="457" t="s">
        <v>42</v>
      </c>
      <c r="O2042" s="460">
        <v>41520</v>
      </c>
      <c r="P2042" s="461">
        <f t="shared" si="77"/>
        <v>1</v>
      </c>
      <c r="Q2042" s="591" t="s">
        <v>2842</v>
      </c>
      <c r="R2042" s="757">
        <v>41527</v>
      </c>
      <c r="S2042" s="836">
        <v>41537</v>
      </c>
      <c r="T2042" s="462">
        <v>41552</v>
      </c>
      <c r="U2042" s="461">
        <f t="shared" si="73"/>
        <v>106</v>
      </c>
      <c r="V2042" s="461" t="s">
        <v>1795</v>
      </c>
      <c r="W2042" s="493" t="s">
        <v>2673</v>
      </c>
      <c r="X2042" s="457"/>
      <c r="Y2042" s="457"/>
      <c r="Z2042" s="468" t="s">
        <v>2843</v>
      </c>
      <c r="AA2042" s="457"/>
      <c r="AB2042" s="460" t="s">
        <v>2851</v>
      </c>
      <c r="AC2042" s="847" t="s">
        <v>2849</v>
      </c>
      <c r="AD2042" s="645" t="str">
        <f t="shared" si="78"/>
        <v>atrasado</v>
      </c>
      <c r="AE2042" s="468" t="s">
        <v>2846</v>
      </c>
    </row>
    <row r="2043" spans="2:31" s="649" customFormat="1" ht="54.95" customHeight="1" thickBot="1" x14ac:dyDescent="0.25">
      <c r="B2043" s="474" t="s">
        <v>36</v>
      </c>
      <c r="C2043" s="455" t="s">
        <v>133</v>
      </c>
      <c r="D2043" s="456" t="s">
        <v>2799</v>
      </c>
      <c r="E2043" s="501" t="s">
        <v>2800</v>
      </c>
      <c r="F2043" s="457">
        <v>4505255013</v>
      </c>
      <c r="G2043" s="457" t="s">
        <v>39</v>
      </c>
      <c r="H2043" s="458">
        <v>215225</v>
      </c>
      <c r="I2043" s="459" t="s">
        <v>62</v>
      </c>
      <c r="J2043" s="460">
        <v>41408</v>
      </c>
      <c r="K2043" s="461">
        <f t="shared" si="76"/>
        <v>91</v>
      </c>
      <c r="L2043" s="460">
        <v>41499</v>
      </c>
      <c r="M2043" s="460" t="s">
        <v>41</v>
      </c>
      <c r="N2043" s="457" t="s">
        <v>42</v>
      </c>
      <c r="O2043" s="460">
        <v>41520</v>
      </c>
      <c r="P2043" s="461">
        <f t="shared" si="77"/>
        <v>38</v>
      </c>
      <c r="Q2043" s="591" t="s">
        <v>2842</v>
      </c>
      <c r="R2043" s="757">
        <v>41527</v>
      </c>
      <c r="S2043" s="836">
        <v>41537</v>
      </c>
      <c r="T2043" s="462">
        <v>41552</v>
      </c>
      <c r="U2043" s="461">
        <f t="shared" si="73"/>
        <v>144</v>
      </c>
      <c r="V2043" s="461" t="s">
        <v>1542</v>
      </c>
      <c r="W2043" s="493" t="s">
        <v>2661</v>
      </c>
      <c r="X2043" s="457"/>
      <c r="Y2043" s="457"/>
      <c r="Z2043" s="468" t="s">
        <v>2843</v>
      </c>
      <c r="AA2043" s="457"/>
      <c r="AB2043" s="460" t="s">
        <v>2852</v>
      </c>
      <c r="AC2043" s="847" t="s">
        <v>2853</v>
      </c>
      <c r="AD2043" s="645" t="str">
        <f t="shared" si="78"/>
        <v>atrasado</v>
      </c>
      <c r="AE2043" s="468" t="s">
        <v>2846</v>
      </c>
    </row>
    <row r="2044" spans="2:31" s="649" customFormat="1" ht="54.95" customHeight="1" thickBot="1" x14ac:dyDescent="0.25">
      <c r="B2044" s="474" t="s">
        <v>36</v>
      </c>
      <c r="C2044" s="455" t="s">
        <v>133</v>
      </c>
      <c r="D2044" s="456" t="s">
        <v>2799</v>
      </c>
      <c r="E2044" s="501" t="s">
        <v>2800</v>
      </c>
      <c r="F2044" s="457">
        <v>4505381868</v>
      </c>
      <c r="G2044" s="457" t="s">
        <v>39</v>
      </c>
      <c r="H2044" s="458">
        <v>297144.75</v>
      </c>
      <c r="I2044" s="459" t="s">
        <v>40</v>
      </c>
      <c r="J2044" s="460">
        <v>41459</v>
      </c>
      <c r="K2044" s="461">
        <f t="shared" si="76"/>
        <v>91</v>
      </c>
      <c r="L2044" s="460">
        <v>41550</v>
      </c>
      <c r="M2044" s="460" t="s">
        <v>41</v>
      </c>
      <c r="N2044" s="457" t="s">
        <v>42</v>
      </c>
      <c r="O2044" s="460">
        <v>41534</v>
      </c>
      <c r="P2044" s="461">
        <f t="shared" si="77"/>
        <v>3</v>
      </c>
      <c r="Q2044" s="591" t="s">
        <v>2854</v>
      </c>
      <c r="R2044" s="757">
        <v>41548</v>
      </c>
      <c r="S2044" s="836">
        <v>41553</v>
      </c>
      <c r="T2044" s="462">
        <v>41564</v>
      </c>
      <c r="U2044" s="461">
        <f t="shared" si="73"/>
        <v>105</v>
      </c>
      <c r="V2044" s="461" t="s">
        <v>2855</v>
      </c>
      <c r="W2044" s="493" t="s">
        <v>2355</v>
      </c>
      <c r="X2044" s="457"/>
      <c r="Y2044" s="457"/>
      <c r="Z2044" s="468">
        <v>8044430752</v>
      </c>
      <c r="AA2044" s="457"/>
      <c r="AB2044" s="589" t="s">
        <v>2856</v>
      </c>
      <c r="AC2044" s="476"/>
      <c r="AD2044" s="645" t="str">
        <f t="shared" si="78"/>
        <v>atrasado</v>
      </c>
      <c r="AE2044" s="468" t="s">
        <v>2857</v>
      </c>
    </row>
    <row r="2045" spans="2:31" s="649" customFormat="1" ht="54.95" customHeight="1" thickBot="1" x14ac:dyDescent="0.25">
      <c r="B2045" s="474" t="s">
        <v>36</v>
      </c>
      <c r="C2045" s="455" t="s">
        <v>133</v>
      </c>
      <c r="D2045" s="456" t="s">
        <v>2788</v>
      </c>
      <c r="E2045" s="501" t="s">
        <v>2789</v>
      </c>
      <c r="F2045" s="457">
        <v>4505430361</v>
      </c>
      <c r="G2045" s="457" t="s">
        <v>39</v>
      </c>
      <c r="H2045" s="458">
        <v>20927.25</v>
      </c>
      <c r="I2045" s="459" t="s">
        <v>142</v>
      </c>
      <c r="J2045" s="460">
        <v>41487</v>
      </c>
      <c r="K2045" s="461">
        <f t="shared" si="76"/>
        <v>81</v>
      </c>
      <c r="L2045" s="460">
        <v>41568</v>
      </c>
      <c r="M2045" s="460" t="s">
        <v>41</v>
      </c>
      <c r="N2045" s="457" t="s">
        <v>42</v>
      </c>
      <c r="O2045" s="460">
        <v>41534</v>
      </c>
      <c r="P2045" s="461">
        <f t="shared" si="77"/>
        <v>-15</v>
      </c>
      <c r="Q2045" s="591" t="s">
        <v>2854</v>
      </c>
      <c r="R2045" s="757">
        <v>41548</v>
      </c>
      <c r="S2045" s="836">
        <v>41553</v>
      </c>
      <c r="T2045" s="462">
        <v>41564</v>
      </c>
      <c r="U2045" s="461">
        <f t="shared" si="73"/>
        <v>77</v>
      </c>
      <c r="V2045" s="461" t="s">
        <v>1564</v>
      </c>
      <c r="W2045" s="493" t="s">
        <v>2858</v>
      </c>
      <c r="X2045" s="457"/>
      <c r="Y2045" s="592"/>
      <c r="Z2045" s="468">
        <v>8044430752</v>
      </c>
      <c r="AA2045" s="457"/>
      <c r="AB2045" s="460" t="s">
        <v>1810</v>
      </c>
      <c r="AC2045" s="476"/>
      <c r="AD2045" s="645" t="str">
        <f t="shared" si="78"/>
        <v>en término</v>
      </c>
      <c r="AE2045" s="468" t="s">
        <v>2857</v>
      </c>
    </row>
    <row r="2046" spans="2:31" s="649" customFormat="1" ht="54.95" customHeight="1" thickBot="1" x14ac:dyDescent="0.25">
      <c r="B2046" s="474" t="s">
        <v>36</v>
      </c>
      <c r="C2046" s="455" t="s">
        <v>133</v>
      </c>
      <c r="D2046" s="456" t="s">
        <v>2799</v>
      </c>
      <c r="E2046" s="501" t="s">
        <v>2800</v>
      </c>
      <c r="F2046" s="457">
        <v>4505401052</v>
      </c>
      <c r="G2046" s="457" t="s">
        <v>39</v>
      </c>
      <c r="H2046" s="458">
        <v>42059.09</v>
      </c>
      <c r="I2046" s="459" t="s">
        <v>142</v>
      </c>
      <c r="J2046" s="460">
        <v>41472</v>
      </c>
      <c r="K2046" s="461">
        <f t="shared" si="76"/>
        <v>90</v>
      </c>
      <c r="L2046" s="460">
        <v>41562</v>
      </c>
      <c r="M2046" s="460" t="s">
        <v>41</v>
      </c>
      <c r="N2046" s="457" t="s">
        <v>42</v>
      </c>
      <c r="O2046" s="460">
        <v>41548</v>
      </c>
      <c r="P2046" s="461">
        <f t="shared" si="77"/>
        <v>6</v>
      </c>
      <c r="Q2046" s="591" t="s">
        <v>2859</v>
      </c>
      <c r="R2046" s="757">
        <v>41558</v>
      </c>
      <c r="S2046" s="836">
        <v>41568</v>
      </c>
      <c r="T2046" s="462">
        <v>41581</v>
      </c>
      <c r="U2046" s="461">
        <f t="shared" si="73"/>
        <v>109</v>
      </c>
      <c r="V2046" s="461" t="s">
        <v>944</v>
      </c>
      <c r="W2046" s="493" t="s">
        <v>2386</v>
      </c>
      <c r="X2046" s="457"/>
      <c r="Y2046" s="457"/>
      <c r="Z2046" s="468">
        <v>3572157691</v>
      </c>
      <c r="AA2046" s="457"/>
      <c r="AB2046" s="460" t="s">
        <v>1810</v>
      </c>
      <c r="AC2046" s="476"/>
      <c r="AD2046" s="645" t="str">
        <f t="shared" si="78"/>
        <v>atrasado</v>
      </c>
      <c r="AE2046" s="468" t="s">
        <v>2860</v>
      </c>
    </row>
    <row r="2047" spans="2:31" s="649" customFormat="1" ht="54.95" customHeight="1" thickBot="1" x14ac:dyDescent="0.25">
      <c r="B2047" s="474" t="s">
        <v>36</v>
      </c>
      <c r="C2047" s="455" t="s">
        <v>133</v>
      </c>
      <c r="D2047" s="456" t="s">
        <v>2799</v>
      </c>
      <c r="E2047" s="501" t="s">
        <v>2800</v>
      </c>
      <c r="F2047" s="457">
        <v>4505410772</v>
      </c>
      <c r="G2047" s="457" t="s">
        <v>39</v>
      </c>
      <c r="H2047" s="458">
        <v>9150</v>
      </c>
      <c r="I2047" s="459" t="s">
        <v>142</v>
      </c>
      <c r="J2047" s="460">
        <v>41478</v>
      </c>
      <c r="K2047" s="461">
        <f t="shared" si="76"/>
        <v>90</v>
      </c>
      <c r="L2047" s="460">
        <v>41568</v>
      </c>
      <c r="M2047" s="460" t="s">
        <v>41</v>
      </c>
      <c r="N2047" s="457" t="s">
        <v>42</v>
      </c>
      <c r="O2047" s="460">
        <v>41548</v>
      </c>
      <c r="P2047" s="461">
        <f t="shared" si="77"/>
        <v>0</v>
      </c>
      <c r="Q2047" s="591" t="s">
        <v>2859</v>
      </c>
      <c r="R2047" s="757">
        <v>41558</v>
      </c>
      <c r="S2047" s="836">
        <v>41568</v>
      </c>
      <c r="T2047" s="462">
        <v>41581</v>
      </c>
      <c r="U2047" s="461">
        <f t="shared" si="73"/>
        <v>103</v>
      </c>
      <c r="V2047" s="461" t="s">
        <v>53</v>
      </c>
      <c r="W2047" s="493" t="s">
        <v>2861</v>
      </c>
      <c r="X2047" s="457"/>
      <c r="Y2047" s="592"/>
      <c r="Z2047" s="468">
        <v>3572157691</v>
      </c>
      <c r="AA2047" s="457"/>
      <c r="AB2047" s="589" t="s">
        <v>1810</v>
      </c>
      <c r="AC2047" s="476"/>
      <c r="AD2047" s="645" t="str">
        <f t="shared" si="78"/>
        <v>en término</v>
      </c>
      <c r="AE2047" s="468" t="s">
        <v>2860</v>
      </c>
    </row>
    <row r="2048" spans="2:31" s="649" customFormat="1" ht="54.95" customHeight="1" thickBot="1" x14ac:dyDescent="0.25">
      <c r="B2048" s="474" t="s">
        <v>36</v>
      </c>
      <c r="C2048" s="455" t="s">
        <v>133</v>
      </c>
      <c r="D2048" s="456" t="s">
        <v>2788</v>
      </c>
      <c r="E2048" s="501" t="s">
        <v>2789</v>
      </c>
      <c r="F2048" s="457">
        <v>4505406649</v>
      </c>
      <c r="G2048" s="457" t="s">
        <v>39</v>
      </c>
      <c r="H2048" s="458">
        <v>69990.91</v>
      </c>
      <c r="I2048" s="459" t="s">
        <v>52</v>
      </c>
      <c r="J2048" s="460">
        <v>41478</v>
      </c>
      <c r="K2048" s="461">
        <f t="shared" si="76"/>
        <v>83</v>
      </c>
      <c r="L2048" s="460">
        <v>41561</v>
      </c>
      <c r="M2048" s="460" t="s">
        <v>41</v>
      </c>
      <c r="N2048" s="457" t="s">
        <v>42</v>
      </c>
      <c r="O2048" s="460">
        <v>41548</v>
      </c>
      <c r="P2048" s="461">
        <f t="shared" si="77"/>
        <v>7</v>
      </c>
      <c r="Q2048" s="591" t="s">
        <v>2859</v>
      </c>
      <c r="R2048" s="757">
        <v>41558</v>
      </c>
      <c r="S2048" s="836">
        <v>41568</v>
      </c>
      <c r="T2048" s="462">
        <v>41581</v>
      </c>
      <c r="U2048" s="461">
        <f t="shared" si="73"/>
        <v>103</v>
      </c>
      <c r="V2048" s="461" t="s">
        <v>2862</v>
      </c>
      <c r="W2048" s="493" t="s">
        <v>2678</v>
      </c>
      <c r="X2048" s="457"/>
      <c r="Y2048" s="592"/>
      <c r="Z2048" s="468">
        <v>3572157691</v>
      </c>
      <c r="AA2048" s="457"/>
      <c r="AB2048" s="589" t="s">
        <v>2863</v>
      </c>
      <c r="AC2048" s="476" t="s">
        <v>2864</v>
      </c>
      <c r="AD2048" s="645" t="str">
        <f t="shared" si="78"/>
        <v>atrasado</v>
      </c>
      <c r="AE2048" s="468" t="s">
        <v>2865</v>
      </c>
    </row>
    <row r="2049" spans="2:39" s="649" customFormat="1" ht="54.95" customHeight="1" thickBot="1" x14ac:dyDescent="0.25">
      <c r="B2049" s="474" t="s">
        <v>36</v>
      </c>
      <c r="C2049" s="455" t="s">
        <v>133</v>
      </c>
      <c r="D2049" s="456" t="s">
        <v>2799</v>
      </c>
      <c r="E2049" s="501" t="s">
        <v>2800</v>
      </c>
      <c r="F2049" s="457">
        <v>4505441738</v>
      </c>
      <c r="G2049" s="457" t="s">
        <v>39</v>
      </c>
      <c r="H2049" s="458">
        <v>19094.5</v>
      </c>
      <c r="I2049" s="459" t="s">
        <v>52</v>
      </c>
      <c r="J2049" s="460">
        <v>41495</v>
      </c>
      <c r="K2049" s="461">
        <f t="shared" si="76"/>
        <v>90</v>
      </c>
      <c r="L2049" s="460">
        <v>41585</v>
      </c>
      <c r="M2049" s="460" t="s">
        <v>41</v>
      </c>
      <c r="N2049" s="457" t="s">
        <v>42</v>
      </c>
      <c r="O2049" s="460">
        <v>41562</v>
      </c>
      <c r="P2049" s="461">
        <f t="shared" si="77"/>
        <v>-12</v>
      </c>
      <c r="Q2049" s="591" t="s">
        <v>2840</v>
      </c>
      <c r="R2049" s="757">
        <v>41570</v>
      </c>
      <c r="S2049" s="836">
        <v>41573</v>
      </c>
      <c r="T2049" s="462">
        <v>41587</v>
      </c>
      <c r="U2049" s="461">
        <f t="shared" si="73"/>
        <v>92</v>
      </c>
      <c r="V2049" s="461" t="s">
        <v>53</v>
      </c>
      <c r="W2049" s="493">
        <v>100</v>
      </c>
      <c r="X2049" s="457"/>
      <c r="Y2049" s="592"/>
      <c r="Z2049" s="468">
        <v>9704729112</v>
      </c>
      <c r="AA2049" s="457"/>
      <c r="AB2049" s="460" t="s">
        <v>2356</v>
      </c>
      <c r="AC2049" s="476"/>
      <c r="AD2049" s="645" t="str">
        <f t="shared" si="78"/>
        <v>en término</v>
      </c>
      <c r="AE2049" s="468" t="s">
        <v>2866</v>
      </c>
    </row>
    <row r="2050" spans="2:39" s="649" customFormat="1" ht="54.95" customHeight="1" thickBot="1" x14ac:dyDescent="0.25">
      <c r="B2050" s="474" t="s">
        <v>36</v>
      </c>
      <c r="C2050" s="455" t="s">
        <v>37</v>
      </c>
      <c r="D2050" s="456" t="s">
        <v>2867</v>
      </c>
      <c r="E2050" s="591" t="s">
        <v>2868</v>
      </c>
      <c r="F2050" s="457">
        <v>13080004</v>
      </c>
      <c r="G2050" s="457" t="s">
        <v>39</v>
      </c>
      <c r="H2050" s="458">
        <v>2050</v>
      </c>
      <c r="I2050" s="459" t="s">
        <v>40</v>
      </c>
      <c r="J2050" s="460">
        <v>41509</v>
      </c>
      <c r="K2050" s="461">
        <v>100</v>
      </c>
      <c r="L2050" s="460">
        <f>+J2050+K2050</f>
        <v>41609</v>
      </c>
      <c r="M2050" s="460" t="s">
        <v>41</v>
      </c>
      <c r="N2050" s="457" t="s">
        <v>42</v>
      </c>
      <c r="O2050" s="460">
        <v>41562</v>
      </c>
      <c r="P2050" s="461">
        <f t="shared" si="77"/>
        <v>-36</v>
      </c>
      <c r="Q2050" s="591" t="s">
        <v>2840</v>
      </c>
      <c r="R2050" s="757">
        <v>41570</v>
      </c>
      <c r="S2050" s="836">
        <v>41573</v>
      </c>
      <c r="T2050" s="462">
        <v>41587</v>
      </c>
      <c r="U2050" s="461">
        <f t="shared" si="73"/>
        <v>78</v>
      </c>
      <c r="V2050" s="461" t="s">
        <v>53</v>
      </c>
      <c r="W2050" s="493" t="s">
        <v>2692</v>
      </c>
      <c r="X2050" s="592"/>
      <c r="Y2050" s="592"/>
      <c r="Z2050" s="468">
        <v>9704729112</v>
      </c>
      <c r="AA2050" s="457"/>
      <c r="AB2050" s="460" t="s">
        <v>2869</v>
      </c>
      <c r="AC2050" s="476"/>
      <c r="AD2050" s="645" t="str">
        <f t="shared" si="78"/>
        <v>en término</v>
      </c>
      <c r="AE2050" s="468" t="s">
        <v>2870</v>
      </c>
    </row>
    <row r="2051" spans="2:39" s="649" customFormat="1" ht="54.95" customHeight="1" thickBot="1" x14ac:dyDescent="0.25">
      <c r="B2051" s="474" t="s">
        <v>36</v>
      </c>
      <c r="C2051" s="455" t="s">
        <v>37</v>
      </c>
      <c r="D2051" s="456" t="s">
        <v>2871</v>
      </c>
      <c r="E2051" s="591" t="s">
        <v>2872</v>
      </c>
      <c r="F2051" s="457">
        <v>13090002</v>
      </c>
      <c r="G2051" s="457" t="s">
        <v>39</v>
      </c>
      <c r="H2051" s="458">
        <v>3570</v>
      </c>
      <c r="I2051" s="459" t="s">
        <v>142</v>
      </c>
      <c r="J2051" s="460">
        <v>41526</v>
      </c>
      <c r="K2051" s="461">
        <v>75</v>
      </c>
      <c r="L2051" s="460">
        <f>+J2051+K2051</f>
        <v>41601</v>
      </c>
      <c r="M2051" s="460" t="s">
        <v>41</v>
      </c>
      <c r="N2051" s="457" t="s">
        <v>42</v>
      </c>
      <c r="O2051" s="460">
        <v>41562</v>
      </c>
      <c r="P2051" s="461">
        <f t="shared" si="77"/>
        <v>-28</v>
      </c>
      <c r="Q2051" s="591" t="s">
        <v>2840</v>
      </c>
      <c r="R2051" s="757">
        <v>41570</v>
      </c>
      <c r="S2051" s="836">
        <v>41573</v>
      </c>
      <c r="T2051" s="462">
        <v>41587</v>
      </c>
      <c r="U2051" s="461">
        <f t="shared" si="73"/>
        <v>61</v>
      </c>
      <c r="V2051" s="461" t="s">
        <v>53</v>
      </c>
      <c r="W2051" s="493" t="s">
        <v>2692</v>
      </c>
      <c r="X2051" s="592"/>
      <c r="Y2051" s="592"/>
      <c r="Z2051" s="468">
        <v>9704729112</v>
      </c>
      <c r="AA2051" s="457"/>
      <c r="AB2051" s="460" t="s">
        <v>2869</v>
      </c>
      <c r="AC2051" s="476"/>
      <c r="AD2051" s="645" t="str">
        <f t="shared" si="78"/>
        <v>en término</v>
      </c>
      <c r="AE2051" s="468" t="s">
        <v>2870</v>
      </c>
    </row>
    <row r="2052" spans="2:39" s="649" customFormat="1" ht="54.95" customHeight="1" thickBot="1" x14ac:dyDescent="0.25">
      <c r="B2052" s="900" t="s">
        <v>36</v>
      </c>
      <c r="C2052" s="887" t="s">
        <v>133</v>
      </c>
      <c r="D2052" s="888" t="s">
        <v>2799</v>
      </c>
      <c r="E2052" s="907" t="s">
        <v>2800</v>
      </c>
      <c r="F2052" s="889">
        <v>4505441664</v>
      </c>
      <c r="G2052" s="889" t="s">
        <v>39</v>
      </c>
      <c r="H2052" s="890">
        <v>76632.7</v>
      </c>
      <c r="I2052" s="902" t="s">
        <v>40</v>
      </c>
      <c r="J2052" s="892">
        <v>41494</v>
      </c>
      <c r="K2052" s="893">
        <f>+L2052-J2052</f>
        <v>95</v>
      </c>
      <c r="L2052" s="892">
        <v>41589</v>
      </c>
      <c r="M2052" s="892" t="s">
        <v>41</v>
      </c>
      <c r="N2052" s="889" t="s">
        <v>42</v>
      </c>
      <c r="O2052" s="892">
        <v>41562</v>
      </c>
      <c r="P2052" s="893">
        <f t="shared" si="77"/>
        <v>-16</v>
      </c>
      <c r="Q2052" s="901" t="s">
        <v>2840</v>
      </c>
      <c r="R2052" s="903">
        <v>41570</v>
      </c>
      <c r="S2052" s="904">
        <v>41573</v>
      </c>
      <c r="T2052" s="894">
        <v>41587</v>
      </c>
      <c r="U2052" s="893">
        <f t="shared" ref="U2052:U2063" si="79">IF(T2052="","",+T2052-J2052)</f>
        <v>93</v>
      </c>
      <c r="V2052" s="893" t="s">
        <v>955</v>
      </c>
      <c r="W2052" s="897" t="s">
        <v>2377</v>
      </c>
      <c r="X2052" s="889"/>
      <c r="Y2052" s="889"/>
      <c r="Z2052" s="895">
        <v>9704729112</v>
      </c>
      <c r="AA2052" s="889"/>
      <c r="AB2052" s="892" t="s">
        <v>2873</v>
      </c>
      <c r="AC2052" s="906"/>
      <c r="AD2052" s="645" t="str">
        <f t="shared" si="78"/>
        <v>en término</v>
      </c>
      <c r="AE2052" s="468" t="s">
        <v>2866</v>
      </c>
    </row>
    <row r="2053" spans="2:39" s="649" customFormat="1" ht="54.95" customHeight="1" thickBot="1" x14ac:dyDescent="0.25">
      <c r="B2053" s="900" t="s">
        <v>36</v>
      </c>
      <c r="C2053" s="887" t="s">
        <v>133</v>
      </c>
      <c r="D2053" s="888" t="s">
        <v>2799</v>
      </c>
      <c r="E2053" s="907" t="s">
        <v>2800</v>
      </c>
      <c r="F2053" s="889">
        <v>4505458529</v>
      </c>
      <c r="G2053" s="889" t="s">
        <v>39</v>
      </c>
      <c r="H2053" s="890">
        <v>258799.5</v>
      </c>
      <c r="I2053" s="902" t="s">
        <v>40</v>
      </c>
      <c r="J2053" s="892">
        <v>41507</v>
      </c>
      <c r="K2053" s="893">
        <f>+L2053-J2053</f>
        <v>91</v>
      </c>
      <c r="L2053" s="892">
        <v>41598</v>
      </c>
      <c r="M2053" s="892" t="s">
        <v>41</v>
      </c>
      <c r="N2053" s="889" t="s">
        <v>42</v>
      </c>
      <c r="O2053" s="892">
        <v>41576</v>
      </c>
      <c r="P2053" s="893">
        <f t="shared" si="77"/>
        <v>-13</v>
      </c>
      <c r="Q2053" s="901" t="s">
        <v>2874</v>
      </c>
      <c r="R2053" s="903">
        <v>41584</v>
      </c>
      <c r="S2053" s="904">
        <v>41585</v>
      </c>
      <c r="T2053" s="894">
        <v>41601</v>
      </c>
      <c r="U2053" s="893">
        <f t="shared" si="79"/>
        <v>94</v>
      </c>
      <c r="V2053" s="893" t="s">
        <v>2467</v>
      </c>
      <c r="W2053" s="897">
        <v>103</v>
      </c>
      <c r="X2053" s="889"/>
      <c r="Y2053" s="889"/>
      <c r="Z2053" s="895">
        <v>8312344213</v>
      </c>
      <c r="AA2053" s="889"/>
      <c r="AB2053" s="892" t="s">
        <v>2873</v>
      </c>
      <c r="AC2053" s="906"/>
      <c r="AD2053" s="645" t="str">
        <f t="shared" si="78"/>
        <v>en término</v>
      </c>
      <c r="AE2053" s="468" t="s">
        <v>2875</v>
      </c>
    </row>
    <row r="2054" spans="2:39" s="649" customFormat="1" ht="54.95" customHeight="1" thickBot="1" x14ac:dyDescent="0.25">
      <c r="B2054" s="474" t="s">
        <v>36</v>
      </c>
      <c r="C2054" s="455" t="s">
        <v>37</v>
      </c>
      <c r="D2054" s="456" t="s">
        <v>2876</v>
      </c>
      <c r="E2054" s="591" t="s">
        <v>2877</v>
      </c>
      <c r="F2054" s="457">
        <v>13090003</v>
      </c>
      <c r="G2054" s="457" t="s">
        <v>39</v>
      </c>
      <c r="H2054" s="458">
        <v>3750</v>
      </c>
      <c r="I2054" s="459" t="s">
        <v>52</v>
      </c>
      <c r="J2054" s="460">
        <v>41534</v>
      </c>
      <c r="K2054" s="461">
        <v>60</v>
      </c>
      <c r="L2054" s="460">
        <f>+J2054+K2054</f>
        <v>41594</v>
      </c>
      <c r="M2054" s="460" t="s">
        <v>41</v>
      </c>
      <c r="N2054" s="457" t="s">
        <v>42</v>
      </c>
      <c r="O2054" s="460">
        <v>41576</v>
      </c>
      <c r="P2054" s="461">
        <f t="shared" si="77"/>
        <v>-9</v>
      </c>
      <c r="Q2054" s="591" t="s">
        <v>2874</v>
      </c>
      <c r="R2054" s="757">
        <v>41584</v>
      </c>
      <c r="S2054" s="836">
        <v>41585</v>
      </c>
      <c r="T2054" s="462">
        <v>41601</v>
      </c>
      <c r="U2054" s="461">
        <f t="shared" si="79"/>
        <v>67</v>
      </c>
      <c r="V2054" s="461" t="s">
        <v>433</v>
      </c>
      <c r="W2054" s="493">
        <v>105</v>
      </c>
      <c r="X2054" s="592"/>
      <c r="Y2054" s="592"/>
      <c r="Z2054" s="468">
        <v>8312344213</v>
      </c>
      <c r="AA2054" s="457"/>
      <c r="AB2054" s="460" t="s">
        <v>2869</v>
      </c>
      <c r="AC2054" s="476"/>
      <c r="AD2054" s="645" t="str">
        <f t="shared" si="78"/>
        <v>en término</v>
      </c>
      <c r="AE2054" s="468" t="s">
        <v>2878</v>
      </c>
    </row>
    <row r="2055" spans="2:39" s="649" customFormat="1" ht="54.95" customHeight="1" thickBot="1" x14ac:dyDescent="0.25">
      <c r="B2055" s="474" t="s">
        <v>36</v>
      </c>
      <c r="C2055" s="455" t="s">
        <v>133</v>
      </c>
      <c r="D2055" s="456" t="s">
        <v>2799</v>
      </c>
      <c r="E2055" s="501" t="s">
        <v>2800</v>
      </c>
      <c r="F2055" s="457">
        <v>4505463336</v>
      </c>
      <c r="G2055" s="457" t="s">
        <v>39</v>
      </c>
      <c r="H2055" s="458">
        <v>45284</v>
      </c>
      <c r="I2055" s="459" t="s">
        <v>62</v>
      </c>
      <c r="J2055" s="460">
        <v>41509</v>
      </c>
      <c r="K2055" s="461">
        <f>+L2055-J2055</f>
        <v>95</v>
      </c>
      <c r="L2055" s="460">
        <v>41604</v>
      </c>
      <c r="M2055" s="460" t="s">
        <v>41</v>
      </c>
      <c r="N2055" s="457" t="s">
        <v>42</v>
      </c>
      <c r="O2055" s="460">
        <v>41576</v>
      </c>
      <c r="P2055" s="461">
        <f t="shared" si="77"/>
        <v>-19</v>
      </c>
      <c r="Q2055" s="591" t="s">
        <v>2874</v>
      </c>
      <c r="R2055" s="757">
        <v>41584</v>
      </c>
      <c r="S2055" s="836">
        <v>41585</v>
      </c>
      <c r="T2055" s="462">
        <v>41601</v>
      </c>
      <c r="U2055" s="461">
        <f t="shared" si="79"/>
        <v>92</v>
      </c>
      <c r="V2055" s="461" t="s">
        <v>758</v>
      </c>
      <c r="W2055" s="493">
        <v>104</v>
      </c>
      <c r="X2055" s="457"/>
      <c r="Y2055" s="457"/>
      <c r="Z2055" s="468">
        <v>8312344213</v>
      </c>
      <c r="AA2055" s="457"/>
      <c r="AB2055" s="460" t="s">
        <v>2879</v>
      </c>
      <c r="AC2055" s="476"/>
      <c r="AD2055" s="645" t="str">
        <f t="shared" si="78"/>
        <v>en término</v>
      </c>
      <c r="AE2055" s="468" t="s">
        <v>2875</v>
      </c>
    </row>
    <row r="2056" spans="2:39" s="649" customFormat="1" ht="54.95" customHeight="1" thickBot="1" x14ac:dyDescent="0.25">
      <c r="B2056" s="900" t="s">
        <v>36</v>
      </c>
      <c r="C2056" s="887" t="s">
        <v>133</v>
      </c>
      <c r="D2056" s="888" t="s">
        <v>2799</v>
      </c>
      <c r="E2056" s="907" t="s">
        <v>2800</v>
      </c>
      <c r="F2056" s="889">
        <v>4505513159</v>
      </c>
      <c r="G2056" s="889" t="s">
        <v>39</v>
      </c>
      <c r="H2056" s="890">
        <v>8664.1200000000008</v>
      </c>
      <c r="I2056" s="902" t="s">
        <v>52</v>
      </c>
      <c r="J2056" s="892">
        <v>41537</v>
      </c>
      <c r="K2056" s="893">
        <f>+L2056-J2056</f>
        <v>91</v>
      </c>
      <c r="L2056" s="892">
        <v>41628</v>
      </c>
      <c r="M2056" s="892" t="s">
        <v>41</v>
      </c>
      <c r="N2056" s="889" t="s">
        <v>42</v>
      </c>
      <c r="O2056" s="892">
        <v>41611</v>
      </c>
      <c r="P2056" s="893">
        <f t="shared" si="77"/>
        <v>-5</v>
      </c>
      <c r="Q2056" s="901" t="s">
        <v>2880</v>
      </c>
      <c r="R2056" s="903">
        <v>41619</v>
      </c>
      <c r="S2056" s="904">
        <v>41623</v>
      </c>
      <c r="T2056" s="894">
        <v>41636</v>
      </c>
      <c r="U2056" s="893">
        <f t="shared" si="79"/>
        <v>99</v>
      </c>
      <c r="V2056" s="893" t="s">
        <v>53</v>
      </c>
      <c r="W2056" s="897">
        <v>114</v>
      </c>
      <c r="X2056" s="889"/>
      <c r="Y2056" s="905"/>
      <c r="Z2056" s="895">
        <v>6176105611</v>
      </c>
      <c r="AA2056" s="889"/>
      <c r="AB2056" s="892" t="s">
        <v>2881</v>
      </c>
      <c r="AC2056" s="906"/>
      <c r="AD2056" s="645" t="str">
        <f t="shared" si="78"/>
        <v>en término</v>
      </c>
      <c r="AE2056" s="468" t="s">
        <v>2882</v>
      </c>
    </row>
    <row r="2057" spans="2:39" s="649" customFormat="1" ht="54.95" customHeight="1" thickBot="1" x14ac:dyDescent="0.25">
      <c r="B2057" s="900" t="s">
        <v>36</v>
      </c>
      <c r="C2057" s="887" t="s">
        <v>133</v>
      </c>
      <c r="D2057" s="888" t="s">
        <v>2799</v>
      </c>
      <c r="E2057" s="907" t="s">
        <v>2800</v>
      </c>
      <c r="F2057" s="889">
        <v>4505519888</v>
      </c>
      <c r="G2057" s="889" t="s">
        <v>39</v>
      </c>
      <c r="H2057" s="890">
        <v>228714.79</v>
      </c>
      <c r="I2057" s="902" t="s">
        <v>40</v>
      </c>
      <c r="J2057" s="892">
        <v>41542</v>
      </c>
      <c r="K2057" s="893">
        <f>+L2057-J2057</f>
        <v>92</v>
      </c>
      <c r="L2057" s="892">
        <v>41634</v>
      </c>
      <c r="M2057" s="892" t="s">
        <v>41</v>
      </c>
      <c r="N2057" s="889" t="s">
        <v>42</v>
      </c>
      <c r="O2057" s="892">
        <v>41611</v>
      </c>
      <c r="P2057" s="893">
        <f t="shared" si="77"/>
        <v>-11</v>
      </c>
      <c r="Q2057" s="901" t="s">
        <v>2880</v>
      </c>
      <c r="R2057" s="903">
        <v>41619</v>
      </c>
      <c r="S2057" s="904">
        <v>41623</v>
      </c>
      <c r="T2057" s="894">
        <v>41636</v>
      </c>
      <c r="U2057" s="893">
        <f t="shared" si="79"/>
        <v>94</v>
      </c>
      <c r="V2057" s="893" t="s">
        <v>1775</v>
      </c>
      <c r="W2057" s="897">
        <v>112</v>
      </c>
      <c r="X2057" s="889"/>
      <c r="Y2057" s="889"/>
      <c r="Z2057" s="895">
        <v>6176105611</v>
      </c>
      <c r="AA2057" s="889"/>
      <c r="AB2057" s="892" t="s">
        <v>2881</v>
      </c>
      <c r="AC2057" s="906"/>
      <c r="AD2057" s="645" t="str">
        <f t="shared" si="78"/>
        <v>en término</v>
      </c>
      <c r="AE2057" s="468" t="s">
        <v>2882</v>
      </c>
    </row>
    <row r="2058" spans="2:39" s="649" customFormat="1" ht="54.95" customHeight="1" thickBot="1" x14ac:dyDescent="0.25">
      <c r="B2058" s="900" t="s">
        <v>36</v>
      </c>
      <c r="C2058" s="887" t="s">
        <v>133</v>
      </c>
      <c r="D2058" s="888" t="s">
        <v>2788</v>
      </c>
      <c r="E2058" s="907" t="s">
        <v>2789</v>
      </c>
      <c r="F2058" s="889">
        <v>4505519905</v>
      </c>
      <c r="G2058" s="889" t="s">
        <v>39</v>
      </c>
      <c r="H2058" s="890">
        <v>114410.55</v>
      </c>
      <c r="I2058" s="902" t="s">
        <v>40</v>
      </c>
      <c r="J2058" s="892">
        <v>41542</v>
      </c>
      <c r="K2058" s="893">
        <f>+L2058-J2058</f>
        <v>82</v>
      </c>
      <c r="L2058" s="892">
        <v>41624</v>
      </c>
      <c r="M2058" s="892" t="s">
        <v>41</v>
      </c>
      <c r="N2058" s="889" t="s">
        <v>42</v>
      </c>
      <c r="O2058" s="892">
        <v>41611</v>
      </c>
      <c r="P2058" s="893">
        <f t="shared" si="77"/>
        <v>-1</v>
      </c>
      <c r="Q2058" s="901" t="s">
        <v>2880</v>
      </c>
      <c r="R2058" s="903">
        <v>41619</v>
      </c>
      <c r="S2058" s="904">
        <v>41623</v>
      </c>
      <c r="T2058" s="894">
        <v>41636</v>
      </c>
      <c r="U2058" s="893">
        <f t="shared" si="79"/>
        <v>94</v>
      </c>
      <c r="V2058" s="893" t="s">
        <v>2883</v>
      </c>
      <c r="W2058" s="897">
        <v>113</v>
      </c>
      <c r="X2058" s="889"/>
      <c r="Y2058" s="905"/>
      <c r="Z2058" s="895">
        <v>6176105611</v>
      </c>
      <c r="AA2058" s="889"/>
      <c r="AB2058" s="892" t="s">
        <v>2881</v>
      </c>
      <c r="AC2058" s="906"/>
      <c r="AD2058" s="645" t="str">
        <f t="shared" si="78"/>
        <v>en término</v>
      </c>
      <c r="AE2058" s="468" t="s">
        <v>2882</v>
      </c>
    </row>
    <row r="2059" spans="2:39" s="649" customFormat="1" ht="54.95" customHeight="1" thickBot="1" x14ac:dyDescent="0.25">
      <c r="B2059" s="900" t="s">
        <v>36</v>
      </c>
      <c r="C2059" s="887" t="s">
        <v>133</v>
      </c>
      <c r="D2059" s="888" t="s">
        <v>2799</v>
      </c>
      <c r="E2059" s="907" t="s">
        <v>2800</v>
      </c>
      <c r="F2059" s="889">
        <v>4505517992</v>
      </c>
      <c r="G2059" s="889" t="s">
        <v>39</v>
      </c>
      <c r="H2059" s="890">
        <v>116738.89</v>
      </c>
      <c r="I2059" s="902" t="s">
        <v>62</v>
      </c>
      <c r="J2059" s="892">
        <v>41571</v>
      </c>
      <c r="K2059" s="893">
        <f>+L2059-J2059</f>
        <v>81</v>
      </c>
      <c r="L2059" s="892">
        <v>41652</v>
      </c>
      <c r="M2059" s="892" t="s">
        <v>41</v>
      </c>
      <c r="N2059" s="889" t="s">
        <v>42</v>
      </c>
      <c r="O2059" s="892">
        <v>41611</v>
      </c>
      <c r="P2059" s="893">
        <f t="shared" si="77"/>
        <v>-29</v>
      </c>
      <c r="Q2059" s="901" t="s">
        <v>2880</v>
      </c>
      <c r="R2059" s="903">
        <v>41619</v>
      </c>
      <c r="S2059" s="904">
        <v>41623</v>
      </c>
      <c r="T2059" s="894">
        <v>41636</v>
      </c>
      <c r="U2059" s="893">
        <f t="shared" si="79"/>
        <v>65</v>
      </c>
      <c r="V2059" s="893" t="s">
        <v>2884</v>
      </c>
      <c r="W2059" s="897">
        <v>111</v>
      </c>
      <c r="X2059" s="889"/>
      <c r="Y2059" s="889"/>
      <c r="Z2059" s="895">
        <v>6176105611</v>
      </c>
      <c r="AA2059" s="889"/>
      <c r="AB2059" s="892" t="s">
        <v>2885</v>
      </c>
      <c r="AC2059" s="906"/>
      <c r="AD2059" s="645" t="str">
        <f t="shared" si="78"/>
        <v>en término</v>
      </c>
      <c r="AE2059" s="468" t="s">
        <v>2882</v>
      </c>
    </row>
    <row r="2060" spans="2:39" s="649" customFormat="1" ht="54.95" customHeight="1" thickBot="1" x14ac:dyDescent="0.25">
      <c r="B2060" s="900" t="s">
        <v>36</v>
      </c>
      <c r="C2060" s="887" t="s">
        <v>37</v>
      </c>
      <c r="D2060" s="888" t="s">
        <v>2886</v>
      </c>
      <c r="E2060" s="901" t="s">
        <v>2887</v>
      </c>
      <c r="F2060" s="889">
        <v>13090001</v>
      </c>
      <c r="G2060" s="889" t="s">
        <v>39</v>
      </c>
      <c r="H2060" s="890">
        <v>146100</v>
      </c>
      <c r="I2060" s="902" t="s">
        <v>142</v>
      </c>
      <c r="J2060" s="892">
        <v>41515</v>
      </c>
      <c r="K2060" s="893">
        <v>100</v>
      </c>
      <c r="L2060" s="892">
        <f>+J2060+K2060</f>
        <v>41615</v>
      </c>
      <c r="M2060" s="892" t="s">
        <v>41</v>
      </c>
      <c r="N2060" s="889" t="s">
        <v>42</v>
      </c>
      <c r="O2060" s="892">
        <v>41625</v>
      </c>
      <c r="P2060" s="893">
        <f t="shared" si="77"/>
        <v>27</v>
      </c>
      <c r="Q2060" s="901" t="s">
        <v>2888</v>
      </c>
      <c r="R2060" s="903">
        <v>41640</v>
      </c>
      <c r="S2060" s="904">
        <v>41642</v>
      </c>
      <c r="T2060" s="894">
        <v>41663</v>
      </c>
      <c r="U2060" s="893">
        <f t="shared" si="79"/>
        <v>148</v>
      </c>
      <c r="V2060" s="893" t="s">
        <v>2889</v>
      </c>
      <c r="W2060" s="897" t="s">
        <v>84</v>
      </c>
      <c r="X2060" s="905"/>
      <c r="Y2060" s="905"/>
      <c r="Z2060" s="895">
        <v>9024702341</v>
      </c>
      <c r="AA2060" s="889"/>
      <c r="AB2060" s="892" t="s">
        <v>2879</v>
      </c>
      <c r="AC2060" s="906" t="s">
        <v>2890</v>
      </c>
      <c r="AD2060" s="645" t="str">
        <f t="shared" si="78"/>
        <v>atrasado</v>
      </c>
      <c r="AE2060" s="468" t="s">
        <v>2891</v>
      </c>
    </row>
    <row r="2061" spans="2:39" s="649" customFormat="1" ht="54.95" customHeight="1" thickBot="1" x14ac:dyDescent="0.25">
      <c r="B2061" s="900" t="s">
        <v>36</v>
      </c>
      <c r="C2061" s="887" t="s">
        <v>37</v>
      </c>
      <c r="D2061" s="888" t="s">
        <v>2892</v>
      </c>
      <c r="E2061" s="901" t="s">
        <v>2893</v>
      </c>
      <c r="F2061" s="889">
        <v>13090004</v>
      </c>
      <c r="G2061" s="889" t="s">
        <v>39</v>
      </c>
      <c r="H2061" s="890">
        <v>47250</v>
      </c>
      <c r="I2061" s="902" t="s">
        <v>40</v>
      </c>
      <c r="J2061" s="892">
        <v>41540</v>
      </c>
      <c r="K2061" s="893">
        <v>90</v>
      </c>
      <c r="L2061" s="892">
        <f>+J2061+K2061</f>
        <v>41630</v>
      </c>
      <c r="M2061" s="892" t="s">
        <v>41</v>
      </c>
      <c r="N2061" s="889" t="s">
        <v>42</v>
      </c>
      <c r="O2061" s="892">
        <v>41625</v>
      </c>
      <c r="P2061" s="893">
        <f t="shared" si="77"/>
        <v>12</v>
      </c>
      <c r="Q2061" s="901" t="s">
        <v>2888</v>
      </c>
      <c r="R2061" s="903">
        <v>41640</v>
      </c>
      <c r="S2061" s="904">
        <v>41642</v>
      </c>
      <c r="T2061" s="894">
        <v>41663</v>
      </c>
      <c r="U2061" s="893">
        <f t="shared" si="79"/>
        <v>123</v>
      </c>
      <c r="V2061" s="893" t="s">
        <v>2894</v>
      </c>
      <c r="W2061" s="897" t="s">
        <v>84</v>
      </c>
      <c r="X2061" s="905"/>
      <c r="Y2061" s="905"/>
      <c r="Z2061" s="895">
        <v>9024702341</v>
      </c>
      <c r="AA2061" s="889"/>
      <c r="AB2061" s="892" t="s">
        <v>2879</v>
      </c>
      <c r="AC2061" s="906" t="s">
        <v>2890</v>
      </c>
      <c r="AD2061" s="645" t="str">
        <f t="shared" si="78"/>
        <v>atrasado</v>
      </c>
      <c r="AE2061" s="468" t="s">
        <v>2891</v>
      </c>
    </row>
    <row r="2062" spans="2:39" s="649" customFormat="1" ht="54.95" customHeight="1" thickBot="1" x14ac:dyDescent="0.25">
      <c r="B2062" s="900" t="s">
        <v>36</v>
      </c>
      <c r="C2062" s="887" t="s">
        <v>37</v>
      </c>
      <c r="D2062" s="888" t="s">
        <v>2895</v>
      </c>
      <c r="E2062" s="901" t="s">
        <v>2896</v>
      </c>
      <c r="F2062" s="889">
        <v>13100002</v>
      </c>
      <c r="G2062" s="889" t="s">
        <v>39</v>
      </c>
      <c r="H2062" s="890">
        <v>4125</v>
      </c>
      <c r="I2062" s="902" t="s">
        <v>142</v>
      </c>
      <c r="J2062" s="892">
        <v>41562</v>
      </c>
      <c r="K2062" s="893">
        <v>90</v>
      </c>
      <c r="L2062" s="892">
        <f>+J2062+K2062</f>
        <v>41652</v>
      </c>
      <c r="M2062" s="892" t="s">
        <v>41</v>
      </c>
      <c r="N2062" s="889" t="s">
        <v>42</v>
      </c>
      <c r="O2062" s="892">
        <v>41625</v>
      </c>
      <c r="P2062" s="893">
        <f t="shared" si="77"/>
        <v>-10</v>
      </c>
      <c r="Q2062" s="901" t="s">
        <v>2888</v>
      </c>
      <c r="R2062" s="903">
        <v>41640</v>
      </c>
      <c r="S2062" s="904">
        <v>41642</v>
      </c>
      <c r="T2062" s="894">
        <v>41663</v>
      </c>
      <c r="U2062" s="893">
        <f t="shared" si="79"/>
        <v>101</v>
      </c>
      <c r="V2062" s="893" t="s">
        <v>53</v>
      </c>
      <c r="W2062" s="897" t="s">
        <v>90</v>
      </c>
      <c r="X2062" s="905"/>
      <c r="Y2062" s="905"/>
      <c r="Z2062" s="895">
        <v>9024702341</v>
      </c>
      <c r="AA2062" s="889"/>
      <c r="AB2062" s="892" t="s">
        <v>2879</v>
      </c>
      <c r="AC2062" s="906" t="s">
        <v>2890</v>
      </c>
      <c r="AD2062" s="645" t="str">
        <f t="shared" si="78"/>
        <v>en término</v>
      </c>
      <c r="AE2062" s="468" t="s">
        <v>2897</v>
      </c>
    </row>
    <row r="2063" spans="2:39" s="649" customFormat="1" ht="54.95" customHeight="1" thickBot="1" x14ac:dyDescent="0.25">
      <c r="B2063" s="900" t="s">
        <v>36</v>
      </c>
      <c r="C2063" s="887" t="s">
        <v>37</v>
      </c>
      <c r="D2063" s="888" t="s">
        <v>2898</v>
      </c>
      <c r="E2063" s="901" t="s">
        <v>2899</v>
      </c>
      <c r="F2063" s="889">
        <v>13110003</v>
      </c>
      <c r="G2063" s="889" t="s">
        <v>39</v>
      </c>
      <c r="H2063" s="890">
        <v>1500</v>
      </c>
      <c r="I2063" s="902" t="s">
        <v>52</v>
      </c>
      <c r="J2063" s="892">
        <v>41583</v>
      </c>
      <c r="K2063" s="893">
        <v>75</v>
      </c>
      <c r="L2063" s="892">
        <f>+J2063+K2063</f>
        <v>41658</v>
      </c>
      <c r="M2063" s="892" t="s">
        <v>41</v>
      </c>
      <c r="N2063" s="889" t="s">
        <v>42</v>
      </c>
      <c r="O2063" s="892">
        <v>41625</v>
      </c>
      <c r="P2063" s="893">
        <f t="shared" si="77"/>
        <v>-16</v>
      </c>
      <c r="Q2063" s="901" t="s">
        <v>2888</v>
      </c>
      <c r="R2063" s="903">
        <v>41640</v>
      </c>
      <c r="S2063" s="904">
        <v>41642</v>
      </c>
      <c r="T2063" s="894">
        <v>41663</v>
      </c>
      <c r="U2063" s="893">
        <f t="shared" si="79"/>
        <v>80</v>
      </c>
      <c r="V2063" s="893" t="s">
        <v>53</v>
      </c>
      <c r="W2063" s="897" t="s">
        <v>90</v>
      </c>
      <c r="X2063" s="905"/>
      <c r="Y2063" s="905"/>
      <c r="Z2063" s="895">
        <v>9024702341</v>
      </c>
      <c r="AA2063" s="889"/>
      <c r="AB2063" s="892" t="s">
        <v>2879</v>
      </c>
      <c r="AC2063" s="906" t="s">
        <v>2890</v>
      </c>
      <c r="AD2063" s="645" t="str">
        <f t="shared" si="78"/>
        <v>en término</v>
      </c>
      <c r="AE2063" s="468" t="s">
        <v>2897</v>
      </c>
    </row>
    <row r="2064" spans="2:39" x14ac:dyDescent="0.2">
      <c r="B2064" s="9"/>
      <c r="C2064" s="9"/>
      <c r="D2064" s="9"/>
      <c r="E2064" s="9"/>
      <c r="F2064" s="10"/>
      <c r="G2064" s="10"/>
      <c r="H2064" s="9"/>
      <c r="I2064" s="10"/>
      <c r="J2064" s="9"/>
      <c r="K2064" s="9"/>
      <c r="L2064" s="9"/>
      <c r="M2064" s="9"/>
      <c r="N2064" s="9"/>
      <c r="O2064" s="9"/>
      <c r="P2064" s="9"/>
      <c r="Q2064" s="9"/>
      <c r="R2064" s="9"/>
      <c r="S2064" s="9"/>
      <c r="T2064" s="9"/>
      <c r="U2064" s="9"/>
      <c r="V2064" s="9"/>
      <c r="W2064" s="10"/>
      <c r="X2064" s="10"/>
      <c r="Y2064" s="10"/>
      <c r="Z2064" s="9"/>
      <c r="AA2064" s="9"/>
      <c r="AB2064" s="9"/>
      <c r="AC2064" s="10"/>
      <c r="AD2064" s="10"/>
      <c r="AE2064" s="9"/>
      <c r="AF2064" s="9"/>
      <c r="AG2064" s="9"/>
      <c r="AH2064" s="9"/>
      <c r="AI2064" s="9"/>
      <c r="AJ2064" s="9"/>
      <c r="AK2064" s="9"/>
      <c r="AL2064" s="9"/>
      <c r="AM2064" s="9"/>
    </row>
    <row r="2065" spans="1:39" x14ac:dyDescent="0.2">
      <c r="B2065" s="9"/>
      <c r="C2065" s="9"/>
      <c r="D2065" s="9"/>
      <c r="E2065" s="9"/>
      <c r="F2065" s="10"/>
      <c r="G2065" s="10"/>
      <c r="H2065" s="9"/>
      <c r="I2065" s="10"/>
      <c r="J2065" s="9"/>
      <c r="K2065" s="9"/>
      <c r="L2065" s="9"/>
      <c r="M2065" s="9"/>
      <c r="N2065" s="9"/>
      <c r="O2065" s="9"/>
      <c r="P2065" s="9"/>
      <c r="Q2065" s="9"/>
      <c r="R2065" s="9"/>
      <c r="S2065" s="9"/>
      <c r="T2065" s="9"/>
      <c r="U2065" s="9"/>
      <c r="V2065" s="9"/>
      <c r="W2065" s="10"/>
      <c r="X2065" s="10"/>
      <c r="Y2065" s="10"/>
      <c r="Z2065" s="9"/>
      <c r="AA2065" s="9"/>
      <c r="AB2065" s="9"/>
      <c r="AC2065" s="10"/>
      <c r="AD2065" s="10"/>
      <c r="AE2065" s="9"/>
      <c r="AF2065" s="9"/>
      <c r="AG2065" s="9"/>
      <c r="AH2065" s="9"/>
      <c r="AI2065" s="9"/>
      <c r="AJ2065" s="9"/>
      <c r="AK2065" s="9"/>
      <c r="AL2065" s="9"/>
      <c r="AM2065" s="9"/>
    </row>
    <row r="2066" spans="1:39" x14ac:dyDescent="0.2">
      <c r="B2066" s="9"/>
      <c r="C2066" s="9"/>
      <c r="D2066" s="9"/>
      <c r="E2066" s="9"/>
      <c r="F2066" s="10"/>
      <c r="G2066" s="10"/>
      <c r="H2066" s="9"/>
      <c r="I2066" s="10"/>
      <c r="J2066" s="9"/>
      <c r="K2066" s="9"/>
      <c r="L2066" s="9"/>
      <c r="M2066" s="9"/>
      <c r="N2066" s="9"/>
      <c r="O2066" s="9"/>
      <c r="P2066" s="9"/>
      <c r="Q2066" s="9"/>
      <c r="R2066" s="9"/>
      <c r="S2066" s="9"/>
      <c r="T2066" s="9"/>
      <c r="U2066" s="9"/>
      <c r="V2066" s="9"/>
      <c r="W2066" s="10"/>
      <c r="X2066" s="10"/>
      <c r="Y2066" s="10"/>
      <c r="Z2066" s="9"/>
      <c r="AA2066" s="9"/>
      <c r="AB2066" s="9"/>
      <c r="AC2066" s="10"/>
      <c r="AD2066" s="10"/>
      <c r="AE2066" s="9"/>
      <c r="AF2066" s="9"/>
      <c r="AG2066" s="9"/>
      <c r="AH2066" s="9"/>
      <c r="AI2066" s="9"/>
      <c r="AJ2066" s="9"/>
      <c r="AK2066" s="9"/>
      <c r="AL2066" s="9"/>
      <c r="AM2066" s="9"/>
    </row>
    <row r="2067" spans="1:39" x14ac:dyDescent="0.2">
      <c r="B2067" s="9"/>
      <c r="C2067" s="9"/>
      <c r="D2067" s="9"/>
      <c r="E2067" s="9"/>
      <c r="F2067" s="10"/>
      <c r="G2067" s="10"/>
      <c r="H2067" s="9"/>
      <c r="I2067" s="10"/>
      <c r="J2067" s="9"/>
      <c r="K2067" s="9"/>
      <c r="L2067" s="9"/>
      <c r="M2067" s="9"/>
      <c r="N2067" s="9"/>
      <c r="O2067" s="9"/>
      <c r="P2067" s="9"/>
      <c r="Q2067" s="9"/>
      <c r="R2067" s="9"/>
      <c r="S2067" s="9"/>
      <c r="T2067" s="9"/>
      <c r="U2067" s="9"/>
      <c r="V2067" s="9"/>
      <c r="W2067" s="10"/>
      <c r="X2067" s="10"/>
      <c r="Y2067" s="10"/>
      <c r="Z2067" s="9"/>
      <c r="AA2067" s="743">
        <v>2013</v>
      </c>
      <c r="AB2067" s="9"/>
      <c r="AC2067" s="10"/>
      <c r="AD2067" s="10"/>
      <c r="AE2067" s="9"/>
      <c r="AF2067" s="9"/>
      <c r="AG2067" s="9"/>
      <c r="AH2067" s="9"/>
      <c r="AI2067" s="9"/>
      <c r="AJ2067" s="9"/>
      <c r="AK2067" s="9"/>
      <c r="AL2067" s="9"/>
      <c r="AM2067" s="9"/>
    </row>
    <row r="2068" spans="1:39" ht="12.75" x14ac:dyDescent="0.2">
      <c r="B2068" s="9"/>
      <c r="C2068" s="9"/>
      <c r="D2068" s="9"/>
      <c r="E2068" s="9"/>
      <c r="F2068" s="10"/>
      <c r="G2068" s="10"/>
      <c r="H2068" s="9"/>
      <c r="I2068" s="10"/>
      <c r="J2068" s="9"/>
      <c r="K2068" s="9"/>
      <c r="L2068" s="9"/>
      <c r="M2068" s="9"/>
      <c r="N2068" s="9"/>
      <c r="O2068" s="9"/>
      <c r="P2068" s="9"/>
      <c r="Q2068" s="9"/>
      <c r="R2068" s="9"/>
      <c r="S2068" s="9"/>
      <c r="T2068" s="9"/>
      <c r="U2068" s="9"/>
      <c r="V2068" s="9"/>
      <c r="W2068" s="10"/>
      <c r="X2068" s="10"/>
      <c r="Y2068" s="10"/>
      <c r="Z2068" s="9"/>
      <c r="AA2068" s="1049" t="s">
        <v>813</v>
      </c>
      <c r="AB2068" s="1050">
        <f>COUNTA(AD1988:AD2065)</f>
        <v>73</v>
      </c>
      <c r="AC2068" s="10"/>
      <c r="AD2068" s="10"/>
      <c r="AE2068" s="9"/>
      <c r="AF2068" s="9"/>
      <c r="AG2068" s="9"/>
      <c r="AH2068" s="9"/>
      <c r="AI2068" s="9"/>
      <c r="AJ2068" s="9"/>
      <c r="AK2068" s="9"/>
      <c r="AL2068" s="9"/>
      <c r="AM2068" s="9"/>
    </row>
    <row r="2069" spans="1:39" ht="12.75" x14ac:dyDescent="0.2">
      <c r="B2069" s="9"/>
      <c r="C2069" s="9"/>
      <c r="D2069" s="9"/>
      <c r="E2069" s="9"/>
      <c r="F2069" s="10"/>
      <c r="G2069" s="10"/>
      <c r="H2069" s="9"/>
      <c r="I2069" s="10"/>
      <c r="J2069" s="9"/>
      <c r="K2069" s="9"/>
      <c r="L2069" s="9"/>
      <c r="M2069" s="9"/>
      <c r="N2069" s="9"/>
      <c r="O2069" s="9"/>
      <c r="P2069" s="9"/>
      <c r="Q2069" s="9"/>
      <c r="R2069" s="9"/>
      <c r="S2069" s="9"/>
      <c r="T2069" s="9"/>
      <c r="U2069" s="9"/>
      <c r="V2069" s="9"/>
      <c r="W2069" s="10"/>
      <c r="X2069" s="10"/>
      <c r="Y2069" s="10"/>
      <c r="Z2069" s="9"/>
      <c r="AA2069" s="1049" t="s">
        <v>815</v>
      </c>
      <c r="AB2069" s="1050">
        <f>COUNTIF(AD1988:AD2065,"en término")</f>
        <v>56</v>
      </c>
      <c r="AC2069" s="10"/>
      <c r="AD2069" s="10"/>
      <c r="AE2069" s="9"/>
      <c r="AF2069" s="9"/>
      <c r="AG2069" s="9"/>
      <c r="AH2069" s="9"/>
      <c r="AI2069" s="9"/>
      <c r="AJ2069" s="9"/>
      <c r="AK2069" s="9"/>
      <c r="AL2069" s="9"/>
      <c r="AM2069" s="9"/>
    </row>
    <row r="2070" spans="1:39" ht="12.75" x14ac:dyDescent="0.2">
      <c r="B2070" s="9"/>
      <c r="C2070" s="9"/>
      <c r="D2070" s="9"/>
      <c r="E2070" s="9"/>
      <c r="F2070" s="10"/>
      <c r="G2070" s="10"/>
      <c r="H2070" s="9"/>
      <c r="I2070" s="10"/>
      <c r="J2070" s="9"/>
      <c r="K2070" s="9"/>
      <c r="L2070" s="9"/>
      <c r="M2070" s="9"/>
      <c r="N2070" s="9"/>
      <c r="O2070" s="9"/>
      <c r="P2070" s="9"/>
      <c r="Q2070" s="9"/>
      <c r="R2070" s="9"/>
      <c r="S2070" s="9"/>
      <c r="T2070" s="9"/>
      <c r="U2070" s="9"/>
      <c r="V2070" s="9"/>
      <c r="W2070" s="10"/>
      <c r="X2070" s="10"/>
      <c r="Y2070" s="10"/>
      <c r="Z2070" s="9"/>
      <c r="AA2070" s="1049" t="s">
        <v>817</v>
      </c>
      <c r="AB2070" s="742">
        <f>+AB2069/AB2068</f>
        <v>0.76712328767123283</v>
      </c>
      <c r="AC2070" s="10"/>
      <c r="AD2070" s="10"/>
      <c r="AE2070" s="9"/>
      <c r="AF2070" s="9"/>
      <c r="AG2070" s="9"/>
      <c r="AH2070" s="9"/>
      <c r="AI2070" s="9"/>
      <c r="AJ2070" s="9"/>
      <c r="AK2070" s="9"/>
      <c r="AL2070" s="9"/>
      <c r="AM2070" s="9"/>
    </row>
    <row r="2071" spans="1:39" x14ac:dyDescent="0.2">
      <c r="B2071" s="9"/>
      <c r="C2071" s="9"/>
      <c r="D2071" s="9"/>
      <c r="E2071" s="9"/>
      <c r="F2071" s="10"/>
      <c r="G2071" s="10"/>
      <c r="H2071" s="9"/>
      <c r="I2071" s="10"/>
      <c r="J2071" s="9"/>
      <c r="K2071" s="9"/>
      <c r="L2071" s="9"/>
      <c r="M2071" s="9"/>
      <c r="N2071" s="9"/>
      <c r="O2071" s="9"/>
      <c r="P2071" s="9"/>
      <c r="Q2071" s="9"/>
      <c r="R2071" s="9"/>
      <c r="S2071" s="9"/>
      <c r="T2071" s="9"/>
      <c r="U2071" s="9"/>
      <c r="V2071" s="9"/>
      <c r="W2071" s="10"/>
      <c r="X2071" s="10"/>
      <c r="Y2071" s="10"/>
      <c r="Z2071" s="9"/>
      <c r="AA2071" s="9"/>
      <c r="AB2071" s="9"/>
      <c r="AC2071" s="10"/>
      <c r="AD2071" s="10"/>
      <c r="AE2071" s="9"/>
      <c r="AF2071" s="9"/>
      <c r="AG2071" s="9"/>
      <c r="AH2071" s="9"/>
      <c r="AI2071" s="9"/>
      <c r="AJ2071" s="9"/>
      <c r="AK2071" s="9"/>
      <c r="AL2071" s="9"/>
      <c r="AM2071" s="9"/>
    </row>
    <row r="2072" spans="1:39" ht="12" thickBot="1" x14ac:dyDescent="0.25">
      <c r="B2072" s="9"/>
      <c r="C2072" s="9"/>
      <c r="D2072" s="9"/>
      <c r="E2072" s="9"/>
      <c r="F2072" s="10"/>
      <c r="G2072" s="10"/>
      <c r="H2072" s="9"/>
      <c r="I2072" s="10"/>
      <c r="J2072" s="9"/>
      <c r="K2072" s="9"/>
      <c r="L2072" s="9"/>
      <c r="M2072" s="9"/>
      <c r="N2072" s="9"/>
      <c r="O2072" s="9"/>
      <c r="P2072" s="9"/>
      <c r="Q2072" s="9"/>
      <c r="R2072" s="9"/>
      <c r="S2072" s="9"/>
      <c r="T2072" s="9"/>
      <c r="U2072" s="9"/>
      <c r="V2072" s="9"/>
      <c r="W2072" s="10"/>
      <c r="X2072" s="10"/>
      <c r="Y2072" s="10"/>
      <c r="Z2072" s="9"/>
      <c r="AA2072" s="9"/>
      <c r="AB2072" s="9"/>
      <c r="AC2072" s="10"/>
      <c r="AD2072" s="10"/>
      <c r="AE2072" s="9"/>
      <c r="AF2072" s="9"/>
      <c r="AG2072" s="9"/>
      <c r="AH2072" s="9"/>
      <c r="AI2072" s="9"/>
      <c r="AJ2072" s="9"/>
      <c r="AK2072" s="9"/>
      <c r="AL2072" s="9"/>
      <c r="AM2072" s="9"/>
    </row>
    <row r="2073" spans="1:39" s="556" customFormat="1" ht="39.950000000000003" customHeight="1" thickBot="1" x14ac:dyDescent="0.4">
      <c r="A2073" s="554"/>
      <c r="B2073" s="1611">
        <v>2014</v>
      </c>
      <c r="C2073" s="1612"/>
      <c r="D2073" s="1612"/>
      <c r="E2073" s="1612"/>
      <c r="F2073" s="1612"/>
      <c r="G2073" s="1612"/>
      <c r="H2073" s="1612"/>
      <c r="I2073" s="1612"/>
      <c r="J2073" s="1612"/>
      <c r="K2073" s="1612"/>
      <c r="L2073" s="1612"/>
      <c r="M2073" s="1612"/>
      <c r="N2073" s="1612"/>
      <c r="O2073" s="1612"/>
      <c r="P2073" s="1612"/>
      <c r="Q2073" s="1612"/>
      <c r="R2073" s="1612"/>
      <c r="S2073" s="1612"/>
      <c r="T2073" s="1612"/>
      <c r="U2073" s="1612"/>
      <c r="V2073" s="1612"/>
      <c r="W2073" s="1612"/>
      <c r="X2073" s="1612"/>
      <c r="Y2073" s="1612"/>
      <c r="Z2073" s="1612"/>
      <c r="AA2073" s="1612"/>
      <c r="AB2073" s="1612"/>
      <c r="AC2073" s="1613"/>
      <c r="AD2073" s="555"/>
    </row>
    <row r="2074" spans="1:39" s="441" customFormat="1" ht="60" customHeight="1" thickBot="1" x14ac:dyDescent="0.25">
      <c r="A2074" s="438"/>
      <c r="B2074" s="451" t="s">
        <v>130</v>
      </c>
      <c r="C2074" s="451" t="s">
        <v>4</v>
      </c>
      <c r="D2074" s="451" t="s">
        <v>5</v>
      </c>
      <c r="E2074" s="451" t="s">
        <v>6</v>
      </c>
      <c r="F2074" s="451" t="s">
        <v>7</v>
      </c>
      <c r="G2074" s="451" t="s">
        <v>8</v>
      </c>
      <c r="H2074" s="453" t="s">
        <v>9</v>
      </c>
      <c r="I2074" s="453" t="s">
        <v>10</v>
      </c>
      <c r="J2074" s="451" t="s">
        <v>11</v>
      </c>
      <c r="K2074" s="451" t="s">
        <v>12</v>
      </c>
      <c r="L2074" s="451" t="s">
        <v>13</v>
      </c>
      <c r="M2074" s="451" t="s">
        <v>14</v>
      </c>
      <c r="N2074" s="451" t="s">
        <v>15</v>
      </c>
      <c r="O2074" s="452" t="s">
        <v>16</v>
      </c>
      <c r="P2074" s="454" t="s">
        <v>17</v>
      </c>
      <c r="Q2074" s="451" t="s">
        <v>18</v>
      </c>
      <c r="R2074" s="452" t="s">
        <v>19</v>
      </c>
      <c r="S2074" s="451" t="s">
        <v>20</v>
      </c>
      <c r="T2074" s="451" t="s">
        <v>21</v>
      </c>
      <c r="U2074" s="452" t="s">
        <v>22</v>
      </c>
      <c r="V2074" s="451" t="s">
        <v>131</v>
      </c>
      <c r="W2074" s="451" t="s">
        <v>24</v>
      </c>
      <c r="X2074" s="451" t="s">
        <v>132</v>
      </c>
      <c r="Y2074" s="451" t="s">
        <v>26</v>
      </c>
      <c r="Z2074" s="451" t="s">
        <v>27</v>
      </c>
      <c r="AA2074" s="451" t="s">
        <v>28</v>
      </c>
      <c r="AB2074" s="451" t="s">
        <v>29</v>
      </c>
      <c r="AC2074" s="451" t="s">
        <v>30</v>
      </c>
      <c r="AD2074" s="439"/>
      <c r="AE2074" s="440"/>
      <c r="AF2074" s="440"/>
      <c r="AG2074" s="440"/>
      <c r="AH2074" s="440"/>
      <c r="AI2074" s="440"/>
      <c r="AJ2074" s="440"/>
      <c r="AK2074" s="440"/>
      <c r="AL2074" s="440"/>
      <c r="AM2074" s="440"/>
    </row>
    <row r="2075" spans="1:39" s="649" customFormat="1" ht="54.95" customHeight="1" thickBot="1" x14ac:dyDescent="0.25">
      <c r="B2075" s="900" t="s">
        <v>36</v>
      </c>
      <c r="C2075" s="887" t="s">
        <v>37</v>
      </c>
      <c r="D2075" s="888" t="s">
        <v>2900</v>
      </c>
      <c r="E2075" s="901" t="s">
        <v>2901</v>
      </c>
      <c r="F2075" s="889">
        <v>13110004</v>
      </c>
      <c r="G2075" s="889" t="s">
        <v>39</v>
      </c>
      <c r="H2075" s="890">
        <v>62000</v>
      </c>
      <c r="I2075" s="902" t="s">
        <v>40</v>
      </c>
      <c r="J2075" s="892">
        <v>41605</v>
      </c>
      <c r="K2075" s="893">
        <v>60</v>
      </c>
      <c r="L2075" s="892">
        <f>+J2075+K2075</f>
        <v>41665</v>
      </c>
      <c r="M2075" s="892" t="s">
        <v>41</v>
      </c>
      <c r="N2075" s="889" t="s">
        <v>42</v>
      </c>
      <c r="O2075" s="892">
        <v>41652</v>
      </c>
      <c r="P2075" s="893">
        <f t="shared" ref="P2075:P2109" si="80">IF(S2075="","",+S2075-L2075)</f>
        <v>-3</v>
      </c>
      <c r="Q2075" s="901" t="s">
        <v>2902</v>
      </c>
      <c r="R2075" s="903">
        <v>41661</v>
      </c>
      <c r="S2075" s="904">
        <v>41662</v>
      </c>
      <c r="T2075" s="894">
        <v>41678</v>
      </c>
      <c r="U2075" s="893">
        <f t="shared" ref="U2075:U2109" si="81">IF(T2075="","",+T2075-J2075)</f>
        <v>73</v>
      </c>
      <c r="V2075" s="893" t="s">
        <v>53</v>
      </c>
      <c r="W2075" s="897" t="s">
        <v>2217</v>
      </c>
      <c r="X2075" s="905"/>
      <c r="Y2075" s="889"/>
      <c r="Z2075" s="895">
        <v>7638734084</v>
      </c>
      <c r="AA2075" s="889"/>
      <c r="AB2075" s="892" t="s">
        <v>2903</v>
      </c>
      <c r="AC2075" s="906"/>
      <c r="AD2075" s="645" t="str">
        <f t="shared" ref="AD2075:AD2109" si="82">IF(P2075="","",IF(P2075&lt;=0,"en término","atrasado"))</f>
        <v>en término</v>
      </c>
      <c r="AE2075" s="468" t="s">
        <v>2904</v>
      </c>
    </row>
    <row r="2076" spans="1:39" s="649" customFormat="1" ht="54.95" customHeight="1" thickBot="1" x14ac:dyDescent="0.25">
      <c r="B2076" s="900" t="s">
        <v>36</v>
      </c>
      <c r="C2076" s="887" t="s">
        <v>37</v>
      </c>
      <c r="D2076" s="888" t="s">
        <v>2905</v>
      </c>
      <c r="E2076" s="901" t="s">
        <v>2906</v>
      </c>
      <c r="F2076" s="889">
        <v>13120003</v>
      </c>
      <c r="G2076" s="889" t="s">
        <v>39</v>
      </c>
      <c r="H2076" s="890">
        <v>4400</v>
      </c>
      <c r="I2076" s="902" t="s">
        <v>40</v>
      </c>
      <c r="J2076" s="892">
        <v>41618</v>
      </c>
      <c r="K2076" s="893">
        <v>70</v>
      </c>
      <c r="L2076" s="892">
        <v>41692</v>
      </c>
      <c r="M2076" s="892" t="s">
        <v>41</v>
      </c>
      <c r="N2076" s="889" t="s">
        <v>42</v>
      </c>
      <c r="O2076" s="892">
        <v>41652</v>
      </c>
      <c r="P2076" s="893">
        <f t="shared" si="80"/>
        <v>-30</v>
      </c>
      <c r="Q2076" s="901" t="s">
        <v>2902</v>
      </c>
      <c r="R2076" s="903">
        <v>41661</v>
      </c>
      <c r="S2076" s="904">
        <v>41662</v>
      </c>
      <c r="T2076" s="894">
        <v>41678</v>
      </c>
      <c r="U2076" s="893">
        <f t="shared" si="81"/>
        <v>60</v>
      </c>
      <c r="V2076" s="893" t="s">
        <v>53</v>
      </c>
      <c r="W2076" s="897" t="s">
        <v>2217</v>
      </c>
      <c r="X2076" s="889"/>
      <c r="Y2076" s="889"/>
      <c r="Z2076" s="895">
        <v>7638734084</v>
      </c>
      <c r="AA2076" s="889"/>
      <c r="AB2076" s="892" t="s">
        <v>1835</v>
      </c>
      <c r="AC2076" s="906"/>
      <c r="AD2076" s="645" t="str">
        <f t="shared" si="82"/>
        <v>en término</v>
      </c>
      <c r="AE2076" s="468" t="s">
        <v>2904</v>
      </c>
    </row>
    <row r="2077" spans="1:39" s="649" customFormat="1" ht="54.95" customHeight="1" thickBot="1" x14ac:dyDescent="0.25">
      <c r="B2077" s="900" t="s">
        <v>36</v>
      </c>
      <c r="C2077" s="887" t="s">
        <v>133</v>
      </c>
      <c r="D2077" s="888" t="s">
        <v>2799</v>
      </c>
      <c r="E2077" s="907" t="s">
        <v>2800</v>
      </c>
      <c r="F2077" s="889">
        <v>4505574988</v>
      </c>
      <c r="G2077" s="889" t="s">
        <v>39</v>
      </c>
      <c r="H2077" s="890">
        <v>80668</v>
      </c>
      <c r="I2077" s="902" t="s">
        <v>142</v>
      </c>
      <c r="J2077" s="892">
        <v>41582</v>
      </c>
      <c r="K2077" s="893">
        <f>+L2077-J2077</f>
        <v>91</v>
      </c>
      <c r="L2077" s="892">
        <v>41673</v>
      </c>
      <c r="M2077" s="892" t="s">
        <v>41</v>
      </c>
      <c r="N2077" s="889" t="s">
        <v>42</v>
      </c>
      <c r="O2077" s="892">
        <v>41652</v>
      </c>
      <c r="P2077" s="893">
        <f t="shared" si="80"/>
        <v>-11</v>
      </c>
      <c r="Q2077" s="901" t="s">
        <v>2902</v>
      </c>
      <c r="R2077" s="903">
        <v>41661</v>
      </c>
      <c r="S2077" s="904">
        <v>41662</v>
      </c>
      <c r="T2077" s="894">
        <v>41678</v>
      </c>
      <c r="U2077" s="893">
        <f t="shared" si="81"/>
        <v>96</v>
      </c>
      <c r="V2077" s="893" t="s">
        <v>750</v>
      </c>
      <c r="W2077" s="897" t="s">
        <v>2208</v>
      </c>
      <c r="X2077" s="889"/>
      <c r="Y2077" s="889"/>
      <c r="Z2077" s="895">
        <v>7638734084</v>
      </c>
      <c r="AA2077" s="889"/>
      <c r="AB2077" s="892" t="s">
        <v>2907</v>
      </c>
      <c r="AC2077" s="906"/>
      <c r="AD2077" s="645" t="str">
        <f t="shared" si="82"/>
        <v>en término</v>
      </c>
      <c r="AE2077" s="468" t="s">
        <v>2908</v>
      </c>
    </row>
    <row r="2078" spans="1:39" s="649" customFormat="1" ht="54.95" customHeight="1" thickBot="1" x14ac:dyDescent="0.25">
      <c r="B2078" s="900" t="s">
        <v>36</v>
      </c>
      <c r="C2078" s="887" t="s">
        <v>133</v>
      </c>
      <c r="D2078" s="888" t="s">
        <v>2799</v>
      </c>
      <c r="E2078" s="907" t="s">
        <v>2800</v>
      </c>
      <c r="F2078" s="889">
        <v>4505616874</v>
      </c>
      <c r="G2078" s="889" t="s">
        <v>39</v>
      </c>
      <c r="H2078" s="890">
        <v>1586.27</v>
      </c>
      <c r="I2078" s="902" t="s">
        <v>142</v>
      </c>
      <c r="J2078" s="892">
        <v>41590</v>
      </c>
      <c r="K2078" s="893">
        <f>+L2078-J2078</f>
        <v>90</v>
      </c>
      <c r="L2078" s="892">
        <v>41680</v>
      </c>
      <c r="M2078" s="892" t="s">
        <v>41</v>
      </c>
      <c r="N2078" s="889" t="s">
        <v>42</v>
      </c>
      <c r="O2078" s="892">
        <v>41652</v>
      </c>
      <c r="P2078" s="893">
        <f t="shared" si="80"/>
        <v>-18</v>
      </c>
      <c r="Q2078" s="901" t="s">
        <v>2902</v>
      </c>
      <c r="R2078" s="903">
        <v>41661</v>
      </c>
      <c r="S2078" s="904">
        <v>41662</v>
      </c>
      <c r="T2078" s="894">
        <v>41678</v>
      </c>
      <c r="U2078" s="893">
        <f t="shared" si="81"/>
        <v>88</v>
      </c>
      <c r="V2078" s="893" t="s">
        <v>53</v>
      </c>
      <c r="W2078" s="897" t="s">
        <v>2219</v>
      </c>
      <c r="X2078" s="889"/>
      <c r="Y2078" s="905"/>
      <c r="Z2078" s="895">
        <v>7638734084</v>
      </c>
      <c r="AA2078" s="889"/>
      <c r="AB2078" s="892" t="s">
        <v>2909</v>
      </c>
      <c r="AC2078" s="910" t="s">
        <v>2910</v>
      </c>
      <c r="AD2078" s="645" t="str">
        <f t="shared" si="82"/>
        <v>en término</v>
      </c>
      <c r="AE2078" s="468" t="s">
        <v>2908</v>
      </c>
    </row>
    <row r="2079" spans="1:39" s="649" customFormat="1" ht="54.95" customHeight="1" thickBot="1" x14ac:dyDescent="0.25">
      <c r="B2079" s="900" t="s">
        <v>36</v>
      </c>
      <c r="C2079" s="887" t="s">
        <v>133</v>
      </c>
      <c r="D2079" s="888" t="s">
        <v>2799</v>
      </c>
      <c r="E2079" s="907" t="s">
        <v>2800</v>
      </c>
      <c r="F2079" s="889">
        <v>4505610330</v>
      </c>
      <c r="G2079" s="889" t="s">
        <v>39</v>
      </c>
      <c r="H2079" s="890">
        <v>145199.84</v>
      </c>
      <c r="I2079" s="902" t="s">
        <v>40</v>
      </c>
      <c r="J2079" s="892">
        <v>41586</v>
      </c>
      <c r="K2079" s="893">
        <f>+L2079-J2079</f>
        <v>94</v>
      </c>
      <c r="L2079" s="892">
        <v>41680</v>
      </c>
      <c r="M2079" s="892" t="s">
        <v>41</v>
      </c>
      <c r="N2079" s="889" t="s">
        <v>42</v>
      </c>
      <c r="O2079" s="892">
        <v>41652</v>
      </c>
      <c r="P2079" s="893">
        <f t="shared" si="80"/>
        <v>-18</v>
      </c>
      <c r="Q2079" s="901" t="s">
        <v>2902</v>
      </c>
      <c r="R2079" s="903">
        <v>41661</v>
      </c>
      <c r="S2079" s="904">
        <v>41662</v>
      </c>
      <c r="T2079" s="894">
        <v>41678</v>
      </c>
      <c r="U2079" s="893">
        <f t="shared" si="81"/>
        <v>92</v>
      </c>
      <c r="V2079" s="893" t="s">
        <v>2911</v>
      </c>
      <c r="W2079" s="897" t="s">
        <v>2415</v>
      </c>
      <c r="X2079" s="889"/>
      <c r="Y2079" s="889"/>
      <c r="Z2079" s="895">
        <v>7638734084</v>
      </c>
      <c r="AA2079" s="889"/>
      <c r="AB2079" s="892" t="s">
        <v>2912</v>
      </c>
      <c r="AC2079" s="906"/>
      <c r="AD2079" s="645" t="str">
        <f t="shared" si="82"/>
        <v>en término</v>
      </c>
      <c r="AE2079" s="468" t="s">
        <v>2908</v>
      </c>
    </row>
    <row r="2080" spans="1:39" s="649" customFormat="1" ht="54.95" customHeight="1" thickBot="1" x14ac:dyDescent="0.25">
      <c r="B2080" s="900" t="s">
        <v>36</v>
      </c>
      <c r="C2080" s="887" t="s">
        <v>133</v>
      </c>
      <c r="D2080" s="888" t="s">
        <v>2799</v>
      </c>
      <c r="E2080" s="907" t="s">
        <v>2800</v>
      </c>
      <c r="F2080" s="889">
        <v>4505581395</v>
      </c>
      <c r="G2080" s="889" t="s">
        <v>39</v>
      </c>
      <c r="H2080" s="890">
        <v>3925.53</v>
      </c>
      <c r="I2080" s="902" t="s">
        <v>62</v>
      </c>
      <c r="J2080" s="892">
        <v>41576</v>
      </c>
      <c r="K2080" s="893">
        <f>+L2080-J2080</f>
        <v>91</v>
      </c>
      <c r="L2080" s="892">
        <v>41667</v>
      </c>
      <c r="M2080" s="892" t="s">
        <v>41</v>
      </c>
      <c r="N2080" s="889" t="s">
        <v>42</v>
      </c>
      <c r="O2080" s="892">
        <v>41652</v>
      </c>
      <c r="P2080" s="893">
        <f t="shared" si="80"/>
        <v>-5</v>
      </c>
      <c r="Q2080" s="901" t="s">
        <v>2902</v>
      </c>
      <c r="R2080" s="903">
        <v>41661</v>
      </c>
      <c r="S2080" s="904">
        <v>41662</v>
      </c>
      <c r="T2080" s="894">
        <v>41678</v>
      </c>
      <c r="U2080" s="893">
        <f t="shared" si="81"/>
        <v>102</v>
      </c>
      <c r="V2080" s="893" t="s">
        <v>53</v>
      </c>
      <c r="W2080" s="897" t="s">
        <v>2199</v>
      </c>
      <c r="X2080" s="889"/>
      <c r="Y2080" s="905"/>
      <c r="Z2080" s="895">
        <v>7638734084</v>
      </c>
      <c r="AA2080" s="889"/>
      <c r="AB2080" s="892" t="s">
        <v>2913</v>
      </c>
      <c r="AC2080" s="906"/>
      <c r="AD2080" s="645" t="str">
        <f t="shared" si="82"/>
        <v>en término</v>
      </c>
      <c r="AE2080" s="468" t="s">
        <v>2908</v>
      </c>
    </row>
    <row r="2081" spans="2:32" s="649" customFormat="1" ht="54.95" customHeight="1" thickBot="1" x14ac:dyDescent="0.25">
      <c r="B2081" s="900" t="s">
        <v>36</v>
      </c>
      <c r="C2081" s="887" t="s">
        <v>133</v>
      </c>
      <c r="D2081" s="888" t="s">
        <v>2799</v>
      </c>
      <c r="E2081" s="907" t="s">
        <v>2800</v>
      </c>
      <c r="F2081" s="889">
        <v>4505590387</v>
      </c>
      <c r="G2081" s="889" t="s">
        <v>39</v>
      </c>
      <c r="H2081" s="890">
        <v>141267.01999999999</v>
      </c>
      <c r="I2081" s="902" t="s">
        <v>62</v>
      </c>
      <c r="J2081" s="892">
        <v>41586</v>
      </c>
      <c r="K2081" s="893">
        <f>+L2081-J2081</f>
        <v>93</v>
      </c>
      <c r="L2081" s="892">
        <v>41679</v>
      </c>
      <c r="M2081" s="892" t="s">
        <v>41</v>
      </c>
      <c r="N2081" s="889" t="s">
        <v>42</v>
      </c>
      <c r="O2081" s="892">
        <v>41652</v>
      </c>
      <c r="P2081" s="893">
        <f t="shared" si="80"/>
        <v>-17</v>
      </c>
      <c r="Q2081" s="901" t="s">
        <v>2902</v>
      </c>
      <c r="R2081" s="903">
        <v>41661</v>
      </c>
      <c r="S2081" s="904">
        <v>41662</v>
      </c>
      <c r="T2081" s="894">
        <v>41678</v>
      </c>
      <c r="U2081" s="893">
        <f t="shared" si="81"/>
        <v>92</v>
      </c>
      <c r="V2081" s="893" t="s">
        <v>2914</v>
      </c>
      <c r="W2081" s="897" t="s">
        <v>2203</v>
      </c>
      <c r="X2081" s="889"/>
      <c r="Y2081" s="889"/>
      <c r="Z2081" s="895">
        <v>7638734084</v>
      </c>
      <c r="AA2081" s="889"/>
      <c r="AB2081" s="892" t="s">
        <v>2913</v>
      </c>
      <c r="AC2081" s="906"/>
      <c r="AD2081" s="645" t="str">
        <f t="shared" si="82"/>
        <v>en término</v>
      </c>
      <c r="AE2081" s="468" t="s">
        <v>2908</v>
      </c>
    </row>
    <row r="2082" spans="2:32" s="649" customFormat="1" ht="54.95" customHeight="1" thickBot="1" x14ac:dyDescent="0.25">
      <c r="B2082" s="900" t="s">
        <v>36</v>
      </c>
      <c r="C2082" s="887" t="s">
        <v>37</v>
      </c>
      <c r="D2082" s="888" t="s">
        <v>2915</v>
      </c>
      <c r="E2082" s="901" t="s">
        <v>2916</v>
      </c>
      <c r="F2082" s="889">
        <v>13120005</v>
      </c>
      <c r="G2082" s="889" t="s">
        <v>39</v>
      </c>
      <c r="H2082" s="890">
        <v>1392</v>
      </c>
      <c r="I2082" s="902" t="s">
        <v>52</v>
      </c>
      <c r="J2082" s="892">
        <v>41625</v>
      </c>
      <c r="K2082" s="893">
        <v>35</v>
      </c>
      <c r="L2082" s="892">
        <f>+J2082+K2082</f>
        <v>41660</v>
      </c>
      <c r="M2082" s="892" t="s">
        <v>41</v>
      </c>
      <c r="N2082" s="889" t="s">
        <v>42</v>
      </c>
      <c r="O2082" s="892"/>
      <c r="P2082" s="893">
        <f t="shared" si="80"/>
        <v>17</v>
      </c>
      <c r="Q2082" s="901"/>
      <c r="R2082" s="903"/>
      <c r="S2082" s="904">
        <v>41677</v>
      </c>
      <c r="T2082" s="894">
        <v>41680</v>
      </c>
      <c r="U2082" s="893">
        <f t="shared" si="81"/>
        <v>55</v>
      </c>
      <c r="V2082" s="893" t="s">
        <v>2917</v>
      </c>
      <c r="W2082" s="897"/>
      <c r="X2082" s="889"/>
      <c r="Y2082" s="889"/>
      <c r="Z2082" s="895"/>
      <c r="AA2082" s="889"/>
      <c r="AB2082" s="892" t="s">
        <v>1835</v>
      </c>
      <c r="AC2082" s="906"/>
      <c r="AD2082" s="645" t="str">
        <f t="shared" si="82"/>
        <v>atrasado</v>
      </c>
      <c r="AE2082" s="468"/>
    </row>
    <row r="2083" spans="2:32" s="649" customFormat="1" ht="54.95" customHeight="1" thickBot="1" x14ac:dyDescent="0.25">
      <c r="B2083" s="900" t="s">
        <v>36</v>
      </c>
      <c r="C2083" s="887" t="s">
        <v>133</v>
      </c>
      <c r="D2083" s="888" t="s">
        <v>2799</v>
      </c>
      <c r="E2083" s="907" t="s">
        <v>2800</v>
      </c>
      <c r="F2083" s="889">
        <v>4505564697</v>
      </c>
      <c r="G2083" s="889" t="s">
        <v>39</v>
      </c>
      <c r="H2083" s="890">
        <v>21783.27</v>
      </c>
      <c r="I2083" s="902" t="s">
        <v>52</v>
      </c>
      <c r="J2083" s="892">
        <v>41575</v>
      </c>
      <c r="K2083" s="893">
        <f>+L2083-J2083</f>
        <v>91</v>
      </c>
      <c r="L2083" s="892">
        <v>41666</v>
      </c>
      <c r="M2083" s="892" t="s">
        <v>41</v>
      </c>
      <c r="N2083" s="889" t="s">
        <v>42</v>
      </c>
      <c r="O2083" s="892">
        <v>41652</v>
      </c>
      <c r="P2083" s="893">
        <f t="shared" si="80"/>
        <v>-4</v>
      </c>
      <c r="Q2083" s="901" t="s">
        <v>2902</v>
      </c>
      <c r="R2083" s="903">
        <v>41661</v>
      </c>
      <c r="S2083" s="904">
        <v>41662</v>
      </c>
      <c r="T2083" s="904">
        <v>41678</v>
      </c>
      <c r="U2083" s="893">
        <f t="shared" si="81"/>
        <v>103</v>
      </c>
      <c r="V2083" s="893" t="s">
        <v>53</v>
      </c>
      <c r="W2083" s="897" t="s">
        <v>2582</v>
      </c>
      <c r="X2083" s="889"/>
      <c r="Y2083" s="905"/>
      <c r="Z2083" s="895">
        <v>7638734084</v>
      </c>
      <c r="AA2083" s="889"/>
      <c r="AB2083" s="892" t="s">
        <v>2918</v>
      </c>
      <c r="AC2083" s="906"/>
      <c r="AD2083" s="645" t="str">
        <f t="shared" si="82"/>
        <v>en término</v>
      </c>
      <c r="AE2083" s="468" t="s">
        <v>2919</v>
      </c>
    </row>
    <row r="2084" spans="2:32" s="649" customFormat="1" ht="54.95" customHeight="1" thickBot="1" x14ac:dyDescent="0.25">
      <c r="B2084" s="900" t="s">
        <v>36</v>
      </c>
      <c r="C2084" s="887" t="s">
        <v>37</v>
      </c>
      <c r="D2084" s="888" t="s">
        <v>2920</v>
      </c>
      <c r="E2084" s="901" t="s">
        <v>2921</v>
      </c>
      <c r="F2084" s="889">
        <v>13120002</v>
      </c>
      <c r="G2084" s="889" t="s">
        <v>39</v>
      </c>
      <c r="H2084" s="890">
        <v>29850</v>
      </c>
      <c r="I2084" s="902" t="s">
        <v>40</v>
      </c>
      <c r="J2084" s="892">
        <v>41612</v>
      </c>
      <c r="K2084" s="893">
        <v>70</v>
      </c>
      <c r="L2084" s="892">
        <f>+J2084+K2084</f>
        <v>41682</v>
      </c>
      <c r="M2084" s="892" t="s">
        <v>41</v>
      </c>
      <c r="N2084" s="889" t="s">
        <v>42</v>
      </c>
      <c r="O2084" s="892">
        <v>41708</v>
      </c>
      <c r="P2084" s="893">
        <f t="shared" si="80"/>
        <v>36</v>
      </c>
      <c r="Q2084" s="901" t="s">
        <v>2922</v>
      </c>
      <c r="R2084" s="903">
        <v>41715</v>
      </c>
      <c r="S2084" s="904">
        <v>41718</v>
      </c>
      <c r="T2084" s="904">
        <v>41732</v>
      </c>
      <c r="U2084" s="893">
        <f t="shared" si="81"/>
        <v>120</v>
      </c>
      <c r="V2084" s="893" t="s">
        <v>2923</v>
      </c>
      <c r="W2084" s="897" t="s">
        <v>2758</v>
      </c>
      <c r="X2084" s="889"/>
      <c r="Y2084" s="889"/>
      <c r="Z2084" s="895" t="s">
        <v>2924</v>
      </c>
      <c r="AA2084" s="889"/>
      <c r="AB2084" s="892" t="s">
        <v>2918</v>
      </c>
      <c r="AC2084" s="906"/>
      <c r="AD2084" s="645" t="str">
        <f t="shared" si="82"/>
        <v>atrasado</v>
      </c>
      <c r="AE2084" s="468"/>
    </row>
    <row r="2085" spans="2:32" s="649" customFormat="1" ht="54.95" customHeight="1" thickBot="1" x14ac:dyDescent="0.25">
      <c r="B2085" s="900" t="s">
        <v>36</v>
      </c>
      <c r="C2085" s="887" t="s">
        <v>37</v>
      </c>
      <c r="D2085" s="888" t="s">
        <v>2905</v>
      </c>
      <c r="E2085" s="901" t="s">
        <v>2925</v>
      </c>
      <c r="F2085" s="889">
        <v>14010002</v>
      </c>
      <c r="G2085" s="889" t="s">
        <v>39</v>
      </c>
      <c r="H2085" s="890">
        <v>4700</v>
      </c>
      <c r="I2085" s="902" t="s">
        <v>40</v>
      </c>
      <c r="J2085" s="892">
        <v>41655</v>
      </c>
      <c r="K2085" s="893">
        <v>105</v>
      </c>
      <c r="L2085" s="892">
        <f>+J2085+K2085</f>
        <v>41760</v>
      </c>
      <c r="M2085" s="892" t="s">
        <v>41</v>
      </c>
      <c r="N2085" s="889" t="s">
        <v>42</v>
      </c>
      <c r="O2085" s="892">
        <v>41729</v>
      </c>
      <c r="P2085" s="893">
        <f t="shared" si="80"/>
        <v>-18</v>
      </c>
      <c r="Q2085" s="901" t="s">
        <v>2926</v>
      </c>
      <c r="R2085" s="903">
        <v>41736</v>
      </c>
      <c r="S2085" s="904">
        <v>41742</v>
      </c>
      <c r="T2085" s="904">
        <v>41756</v>
      </c>
      <c r="U2085" s="893">
        <f t="shared" si="81"/>
        <v>101</v>
      </c>
      <c r="V2085" s="893" t="s">
        <v>53</v>
      </c>
      <c r="W2085" s="897" t="s">
        <v>2232</v>
      </c>
      <c r="X2085" s="889"/>
      <c r="Y2085" s="905"/>
      <c r="Z2085" s="468" t="s">
        <v>46</v>
      </c>
      <c r="AA2085" s="889"/>
      <c r="AB2085" s="892" t="s">
        <v>2918</v>
      </c>
      <c r="AC2085" s="906"/>
      <c r="AD2085" s="645" t="str">
        <f t="shared" si="82"/>
        <v>en término</v>
      </c>
      <c r="AE2085" s="468"/>
    </row>
    <row r="2086" spans="2:32" s="649" customFormat="1" ht="54.95" customHeight="1" thickBot="1" x14ac:dyDescent="0.25">
      <c r="B2086" s="900" t="s">
        <v>36</v>
      </c>
      <c r="C2086" s="887" t="s">
        <v>133</v>
      </c>
      <c r="D2086" s="888" t="s">
        <v>2799</v>
      </c>
      <c r="E2086" s="907" t="s">
        <v>2800</v>
      </c>
      <c r="F2086" s="889">
        <v>4505720410</v>
      </c>
      <c r="G2086" s="889" t="s">
        <v>39</v>
      </c>
      <c r="H2086" s="890">
        <v>298878.62</v>
      </c>
      <c r="I2086" s="902" t="s">
        <v>40</v>
      </c>
      <c r="J2086" s="892">
        <v>41647</v>
      </c>
      <c r="K2086" s="893">
        <f t="shared" ref="K2086:K2102" si="83">+L2086-J2086</f>
        <v>90</v>
      </c>
      <c r="L2086" s="892">
        <v>41737</v>
      </c>
      <c r="M2086" s="892" t="s">
        <v>41</v>
      </c>
      <c r="N2086" s="889" t="s">
        <v>42</v>
      </c>
      <c r="O2086" s="892">
        <v>41729</v>
      </c>
      <c r="P2086" s="893">
        <f t="shared" si="80"/>
        <v>5</v>
      </c>
      <c r="Q2086" s="901" t="s">
        <v>2926</v>
      </c>
      <c r="R2086" s="903">
        <v>41736</v>
      </c>
      <c r="S2086" s="904">
        <v>41742</v>
      </c>
      <c r="T2086" s="904">
        <v>41756</v>
      </c>
      <c r="U2086" s="893">
        <f t="shared" si="81"/>
        <v>109</v>
      </c>
      <c r="V2086" s="893" t="s">
        <v>2412</v>
      </c>
      <c r="W2086" s="897" t="s">
        <v>2443</v>
      </c>
      <c r="X2086" s="889"/>
      <c r="Y2086" s="889"/>
      <c r="Z2086" s="468" t="s">
        <v>46</v>
      </c>
      <c r="AA2086" s="889"/>
      <c r="AB2086" s="892" t="s">
        <v>2927</v>
      </c>
      <c r="AC2086" s="910"/>
      <c r="AD2086" s="645" t="str">
        <f t="shared" si="82"/>
        <v>atrasado</v>
      </c>
      <c r="AE2086" s="468" t="s">
        <v>2928</v>
      </c>
      <c r="AF2086" s="468" t="s">
        <v>2929</v>
      </c>
    </row>
    <row r="2087" spans="2:32" s="649" customFormat="1" ht="54.95" customHeight="1" thickBot="1" x14ac:dyDescent="0.25">
      <c r="B2087" s="900" t="s">
        <v>36</v>
      </c>
      <c r="C2087" s="887" t="s">
        <v>133</v>
      </c>
      <c r="D2087" s="888" t="s">
        <v>2799</v>
      </c>
      <c r="E2087" s="907" t="s">
        <v>2800</v>
      </c>
      <c r="F2087" s="889">
        <v>4505695791</v>
      </c>
      <c r="G2087" s="889" t="s">
        <v>39</v>
      </c>
      <c r="H2087" s="890">
        <v>7889.58</v>
      </c>
      <c r="I2087" s="902" t="s">
        <v>40</v>
      </c>
      <c r="J2087" s="892">
        <v>41652</v>
      </c>
      <c r="K2087" s="893">
        <f t="shared" si="83"/>
        <v>92</v>
      </c>
      <c r="L2087" s="892">
        <v>41744</v>
      </c>
      <c r="M2087" s="892" t="s">
        <v>41</v>
      </c>
      <c r="N2087" s="889" t="s">
        <v>42</v>
      </c>
      <c r="O2087" s="892">
        <v>41729</v>
      </c>
      <c r="P2087" s="893">
        <f t="shared" si="80"/>
        <v>-2</v>
      </c>
      <c r="Q2087" s="901" t="s">
        <v>2926</v>
      </c>
      <c r="R2087" s="903">
        <v>41736</v>
      </c>
      <c r="S2087" s="904">
        <v>41742</v>
      </c>
      <c r="T2087" s="904">
        <v>41756</v>
      </c>
      <c r="U2087" s="893">
        <f t="shared" si="81"/>
        <v>104</v>
      </c>
      <c r="V2087" s="893" t="s">
        <v>2239</v>
      </c>
      <c r="W2087" s="897" t="s">
        <v>2445</v>
      </c>
      <c r="X2087" s="889"/>
      <c r="Y2087" s="905"/>
      <c r="Z2087" s="468" t="s">
        <v>46</v>
      </c>
      <c r="AA2087" s="889"/>
      <c r="AB2087" s="892" t="s">
        <v>2927</v>
      </c>
      <c r="AC2087" s="910"/>
      <c r="AD2087" s="645" t="str">
        <f t="shared" si="82"/>
        <v>en término</v>
      </c>
      <c r="AE2087" s="468" t="s">
        <v>2928</v>
      </c>
      <c r="AF2087" s="468" t="s">
        <v>2929</v>
      </c>
    </row>
    <row r="2088" spans="2:32" s="649" customFormat="1" ht="54.95" customHeight="1" thickBot="1" x14ac:dyDescent="0.25">
      <c r="B2088" s="900" t="s">
        <v>36</v>
      </c>
      <c r="C2088" s="887" t="s">
        <v>133</v>
      </c>
      <c r="D2088" s="888" t="s">
        <v>2799</v>
      </c>
      <c r="E2088" s="907" t="s">
        <v>2800</v>
      </c>
      <c r="F2088" s="889">
        <v>4505730798</v>
      </c>
      <c r="G2088" s="889" t="s">
        <v>39</v>
      </c>
      <c r="H2088" s="890">
        <v>2956.11</v>
      </c>
      <c r="I2088" s="902" t="s">
        <v>62</v>
      </c>
      <c r="J2088" s="892">
        <v>41654</v>
      </c>
      <c r="K2088" s="893">
        <f t="shared" si="83"/>
        <v>91</v>
      </c>
      <c r="L2088" s="892">
        <v>41745</v>
      </c>
      <c r="M2088" s="892" t="s">
        <v>41</v>
      </c>
      <c r="N2088" s="889" t="s">
        <v>42</v>
      </c>
      <c r="O2088" s="892">
        <v>41729</v>
      </c>
      <c r="P2088" s="893">
        <f t="shared" si="80"/>
        <v>-3</v>
      </c>
      <c r="Q2088" s="901" t="s">
        <v>2926</v>
      </c>
      <c r="R2088" s="903">
        <v>41736</v>
      </c>
      <c r="S2088" s="904">
        <v>41742</v>
      </c>
      <c r="T2088" s="904">
        <v>41756</v>
      </c>
      <c r="U2088" s="893">
        <f t="shared" si="81"/>
        <v>102</v>
      </c>
      <c r="V2088" s="893" t="s">
        <v>53</v>
      </c>
      <c r="W2088" s="897" t="s">
        <v>2436</v>
      </c>
      <c r="X2088" s="889"/>
      <c r="Y2088" s="905"/>
      <c r="Z2088" s="468" t="s">
        <v>46</v>
      </c>
      <c r="AA2088" s="889"/>
      <c r="AB2088" s="892" t="s">
        <v>2927</v>
      </c>
      <c r="AC2088" s="910"/>
      <c r="AD2088" s="645" t="str">
        <f t="shared" si="82"/>
        <v>en término</v>
      </c>
      <c r="AE2088" s="468" t="s">
        <v>2928</v>
      </c>
      <c r="AF2088" s="468" t="s">
        <v>2929</v>
      </c>
    </row>
    <row r="2089" spans="2:32" s="649" customFormat="1" ht="54.95" customHeight="1" thickBot="1" x14ac:dyDescent="0.25">
      <c r="B2089" s="900" t="s">
        <v>36</v>
      </c>
      <c r="C2089" s="887" t="s">
        <v>133</v>
      </c>
      <c r="D2089" s="888" t="s">
        <v>2799</v>
      </c>
      <c r="E2089" s="907" t="s">
        <v>2800</v>
      </c>
      <c r="F2089" s="889">
        <v>4505745074</v>
      </c>
      <c r="G2089" s="889" t="s">
        <v>39</v>
      </c>
      <c r="H2089" s="890">
        <v>6706.53</v>
      </c>
      <c r="I2089" s="902" t="s">
        <v>62</v>
      </c>
      <c r="J2089" s="892">
        <v>41663</v>
      </c>
      <c r="K2089" s="893">
        <f t="shared" si="83"/>
        <v>94</v>
      </c>
      <c r="L2089" s="892">
        <v>41757</v>
      </c>
      <c r="M2089" s="892" t="s">
        <v>41</v>
      </c>
      <c r="N2089" s="889" t="s">
        <v>42</v>
      </c>
      <c r="O2089" s="892">
        <v>41729</v>
      </c>
      <c r="P2089" s="893">
        <f t="shared" si="80"/>
        <v>-15</v>
      </c>
      <c r="Q2089" s="901" t="s">
        <v>2926</v>
      </c>
      <c r="R2089" s="903">
        <v>41736</v>
      </c>
      <c r="S2089" s="904">
        <v>41742</v>
      </c>
      <c r="T2089" s="904">
        <v>41756</v>
      </c>
      <c r="U2089" s="893">
        <f t="shared" si="81"/>
        <v>93</v>
      </c>
      <c r="V2089" s="893" t="s">
        <v>73</v>
      </c>
      <c r="W2089" s="897" t="s">
        <v>2437</v>
      </c>
      <c r="X2089" s="889"/>
      <c r="Y2089" s="889"/>
      <c r="Z2089" s="468" t="s">
        <v>46</v>
      </c>
      <c r="AA2089" s="889"/>
      <c r="AB2089" s="892" t="s">
        <v>2927</v>
      </c>
      <c r="AC2089" s="910"/>
      <c r="AD2089" s="645" t="str">
        <f t="shared" si="82"/>
        <v>en término</v>
      </c>
      <c r="AE2089" s="468" t="s">
        <v>2928</v>
      </c>
      <c r="AF2089" s="468" t="s">
        <v>2929</v>
      </c>
    </row>
    <row r="2090" spans="2:32" s="649" customFormat="1" ht="54.95" customHeight="1" thickBot="1" x14ac:dyDescent="0.25">
      <c r="B2090" s="900" t="s">
        <v>36</v>
      </c>
      <c r="C2090" s="887" t="s">
        <v>133</v>
      </c>
      <c r="D2090" s="888" t="s">
        <v>2799</v>
      </c>
      <c r="E2090" s="907" t="s">
        <v>2800</v>
      </c>
      <c r="F2090" s="889">
        <v>4505614164</v>
      </c>
      <c r="G2090" s="889" t="s">
        <v>39</v>
      </c>
      <c r="H2090" s="890">
        <v>1562.83</v>
      </c>
      <c r="I2090" s="902" t="s">
        <v>62</v>
      </c>
      <c r="J2090" s="892">
        <v>41663</v>
      </c>
      <c r="K2090" s="893">
        <f t="shared" si="83"/>
        <v>94</v>
      </c>
      <c r="L2090" s="892">
        <v>41757</v>
      </c>
      <c r="M2090" s="892" t="s">
        <v>41</v>
      </c>
      <c r="N2090" s="889" t="s">
        <v>42</v>
      </c>
      <c r="O2090" s="892">
        <v>41729</v>
      </c>
      <c r="P2090" s="893">
        <f t="shared" si="80"/>
        <v>-15</v>
      </c>
      <c r="Q2090" s="901" t="s">
        <v>2926</v>
      </c>
      <c r="R2090" s="903">
        <v>41736</v>
      </c>
      <c r="S2090" s="904">
        <v>41742</v>
      </c>
      <c r="T2090" s="904">
        <v>41756</v>
      </c>
      <c r="U2090" s="893">
        <f t="shared" si="81"/>
        <v>93</v>
      </c>
      <c r="V2090" s="893" t="s">
        <v>53</v>
      </c>
      <c r="W2090" s="897" t="s">
        <v>2447</v>
      </c>
      <c r="X2090" s="889"/>
      <c r="Y2090" s="905"/>
      <c r="Z2090" s="468" t="s">
        <v>46</v>
      </c>
      <c r="AA2090" s="889"/>
      <c r="AB2090" s="892" t="s">
        <v>2927</v>
      </c>
      <c r="AC2090" s="910"/>
      <c r="AD2090" s="645" t="str">
        <f t="shared" si="82"/>
        <v>en término</v>
      </c>
      <c r="AE2090" s="468" t="s">
        <v>2928</v>
      </c>
      <c r="AF2090" s="468" t="s">
        <v>2929</v>
      </c>
    </row>
    <row r="2091" spans="2:32" s="649" customFormat="1" ht="54.95" customHeight="1" thickBot="1" x14ac:dyDescent="0.25">
      <c r="B2091" s="900" t="s">
        <v>36</v>
      </c>
      <c r="C2091" s="887" t="s">
        <v>133</v>
      </c>
      <c r="D2091" s="888" t="s">
        <v>2799</v>
      </c>
      <c r="E2091" s="907" t="s">
        <v>2800</v>
      </c>
      <c r="F2091" s="889">
        <v>4505682601</v>
      </c>
      <c r="G2091" s="889" t="s">
        <v>39</v>
      </c>
      <c r="H2091" s="890">
        <v>237120</v>
      </c>
      <c r="I2091" s="902" t="s">
        <v>62</v>
      </c>
      <c r="J2091" s="892">
        <v>41663</v>
      </c>
      <c r="K2091" s="893">
        <f t="shared" si="83"/>
        <v>94</v>
      </c>
      <c r="L2091" s="892">
        <v>41757</v>
      </c>
      <c r="M2091" s="892" t="s">
        <v>41</v>
      </c>
      <c r="N2091" s="889" t="s">
        <v>42</v>
      </c>
      <c r="O2091" s="892">
        <v>41737</v>
      </c>
      <c r="P2091" s="893">
        <f t="shared" si="80"/>
        <v>-6</v>
      </c>
      <c r="Q2091" s="901" t="s">
        <v>2930</v>
      </c>
      <c r="R2091" s="903">
        <v>41750</v>
      </c>
      <c r="S2091" s="904">
        <v>41751</v>
      </c>
      <c r="T2091" s="904">
        <v>41767</v>
      </c>
      <c r="U2091" s="893">
        <f t="shared" si="81"/>
        <v>104</v>
      </c>
      <c r="V2091" s="893" t="s">
        <v>1010</v>
      </c>
      <c r="W2091" s="897" t="s">
        <v>2247</v>
      </c>
      <c r="X2091" s="889"/>
      <c r="Y2091" s="889"/>
      <c r="Z2091" s="468" t="s">
        <v>46</v>
      </c>
      <c r="AA2091" s="889"/>
      <c r="AB2091" s="892" t="s">
        <v>2931</v>
      </c>
      <c r="AC2091" s="910"/>
      <c r="AD2091" s="645" t="str">
        <f t="shared" si="82"/>
        <v>en término</v>
      </c>
      <c r="AE2091" s="468" t="s">
        <v>2932</v>
      </c>
      <c r="AF2091" s="468" t="s">
        <v>2929</v>
      </c>
    </row>
    <row r="2092" spans="2:32" s="649" customFormat="1" ht="54.95" customHeight="1" thickBot="1" x14ac:dyDescent="0.25">
      <c r="B2092" s="900" t="s">
        <v>36</v>
      </c>
      <c r="C2092" s="887" t="s">
        <v>133</v>
      </c>
      <c r="D2092" s="888" t="s">
        <v>2799</v>
      </c>
      <c r="E2092" s="907" t="s">
        <v>2800</v>
      </c>
      <c r="F2092" s="889">
        <v>4505735045</v>
      </c>
      <c r="G2092" s="889" t="s">
        <v>39</v>
      </c>
      <c r="H2092" s="890">
        <v>125197.19</v>
      </c>
      <c r="I2092" s="902" t="s">
        <v>62</v>
      </c>
      <c r="J2092" s="892">
        <v>41663</v>
      </c>
      <c r="K2092" s="893">
        <f t="shared" si="83"/>
        <v>94</v>
      </c>
      <c r="L2092" s="892">
        <v>41757</v>
      </c>
      <c r="M2092" s="892" t="s">
        <v>41</v>
      </c>
      <c r="N2092" s="889" t="s">
        <v>42</v>
      </c>
      <c r="O2092" s="892">
        <v>41729</v>
      </c>
      <c r="P2092" s="893">
        <f t="shared" si="80"/>
        <v>-15</v>
      </c>
      <c r="Q2092" s="901" t="s">
        <v>2926</v>
      </c>
      <c r="R2092" s="903">
        <v>41736</v>
      </c>
      <c r="S2092" s="904">
        <v>41742</v>
      </c>
      <c r="T2092" s="904">
        <v>41756</v>
      </c>
      <c r="U2092" s="893">
        <f t="shared" si="81"/>
        <v>93</v>
      </c>
      <c r="V2092" s="893" t="s">
        <v>2446</v>
      </c>
      <c r="W2092" s="897" t="s">
        <v>2434</v>
      </c>
      <c r="X2092" s="889"/>
      <c r="Y2092" s="889"/>
      <c r="Z2092" s="468" t="s">
        <v>46</v>
      </c>
      <c r="AA2092" s="889"/>
      <c r="AB2092" s="892" t="s">
        <v>2927</v>
      </c>
      <c r="AC2092" s="910"/>
      <c r="AD2092" s="645" t="str">
        <f t="shared" si="82"/>
        <v>en término</v>
      </c>
      <c r="AE2092" s="468" t="s">
        <v>2928</v>
      </c>
      <c r="AF2092" s="468" t="s">
        <v>2929</v>
      </c>
    </row>
    <row r="2093" spans="2:32" s="649" customFormat="1" ht="54.95" customHeight="1" thickBot="1" x14ac:dyDescent="0.25">
      <c r="B2093" s="900" t="s">
        <v>36</v>
      </c>
      <c r="C2093" s="887" t="s">
        <v>133</v>
      </c>
      <c r="D2093" s="888" t="s">
        <v>2799</v>
      </c>
      <c r="E2093" s="907" t="s">
        <v>2800</v>
      </c>
      <c r="F2093" s="889">
        <v>4505722942</v>
      </c>
      <c r="G2093" s="889" t="s">
        <v>39</v>
      </c>
      <c r="H2093" s="890">
        <v>41001.54</v>
      </c>
      <c r="I2093" s="902" t="s">
        <v>52</v>
      </c>
      <c r="J2093" s="892">
        <v>41653</v>
      </c>
      <c r="K2093" s="893">
        <f t="shared" si="83"/>
        <v>104</v>
      </c>
      <c r="L2093" s="892">
        <v>41757</v>
      </c>
      <c r="M2093" s="892" t="s">
        <v>41</v>
      </c>
      <c r="N2093" s="889" t="s">
        <v>42</v>
      </c>
      <c r="O2093" s="892">
        <v>41729</v>
      </c>
      <c r="P2093" s="893">
        <f t="shared" si="80"/>
        <v>-15</v>
      </c>
      <c r="Q2093" s="901" t="s">
        <v>2926</v>
      </c>
      <c r="R2093" s="903">
        <v>41736</v>
      </c>
      <c r="S2093" s="904">
        <v>41742</v>
      </c>
      <c r="T2093" s="904">
        <v>41756</v>
      </c>
      <c r="U2093" s="893">
        <f t="shared" si="81"/>
        <v>103</v>
      </c>
      <c r="V2093" s="893" t="s">
        <v>53</v>
      </c>
      <c r="W2093" s="897" t="s">
        <v>2235</v>
      </c>
      <c r="X2093" s="889"/>
      <c r="Y2093" s="905"/>
      <c r="Z2093" s="468" t="s">
        <v>46</v>
      </c>
      <c r="AA2093" s="889"/>
      <c r="AB2093" s="892" t="s">
        <v>2933</v>
      </c>
      <c r="AC2093" s="910"/>
      <c r="AD2093" s="645" t="str">
        <f t="shared" si="82"/>
        <v>en término</v>
      </c>
      <c r="AE2093" s="468" t="s">
        <v>2928</v>
      </c>
      <c r="AF2093" s="468" t="s">
        <v>2929</v>
      </c>
    </row>
    <row r="2094" spans="2:32" s="649" customFormat="1" ht="54.95" customHeight="1" thickBot="1" x14ac:dyDescent="0.25">
      <c r="B2094" s="900" t="s">
        <v>36</v>
      </c>
      <c r="C2094" s="887" t="s">
        <v>133</v>
      </c>
      <c r="D2094" s="888" t="s">
        <v>2799</v>
      </c>
      <c r="E2094" s="907" t="s">
        <v>2800</v>
      </c>
      <c r="F2094" s="889">
        <v>4505698493</v>
      </c>
      <c r="G2094" s="889" t="s">
        <v>39</v>
      </c>
      <c r="H2094" s="890">
        <v>308026.38</v>
      </c>
      <c r="I2094" s="902" t="s">
        <v>52</v>
      </c>
      <c r="J2094" s="892">
        <v>41653</v>
      </c>
      <c r="K2094" s="893">
        <f t="shared" si="83"/>
        <v>98</v>
      </c>
      <c r="L2094" s="892">
        <v>41751</v>
      </c>
      <c r="M2094" s="892" t="s">
        <v>41</v>
      </c>
      <c r="N2094" s="889" t="s">
        <v>42</v>
      </c>
      <c r="O2094" s="892">
        <v>41729</v>
      </c>
      <c r="P2094" s="893">
        <f t="shared" si="80"/>
        <v>-9</v>
      </c>
      <c r="Q2094" s="901" t="s">
        <v>2926</v>
      </c>
      <c r="R2094" s="903">
        <v>41736</v>
      </c>
      <c r="S2094" s="904">
        <v>41742</v>
      </c>
      <c r="T2094" s="904">
        <v>41756</v>
      </c>
      <c r="U2094" s="893">
        <f t="shared" si="81"/>
        <v>103</v>
      </c>
      <c r="V2094" s="893" t="s">
        <v>2934</v>
      </c>
      <c r="W2094" s="897" t="s">
        <v>2449</v>
      </c>
      <c r="X2094" s="889"/>
      <c r="Y2094" s="889"/>
      <c r="Z2094" s="468" t="s">
        <v>46</v>
      </c>
      <c r="AA2094" s="889"/>
      <c r="AB2094" s="892" t="s">
        <v>2933</v>
      </c>
      <c r="AC2094" s="910"/>
      <c r="AD2094" s="645" t="str">
        <f t="shared" si="82"/>
        <v>en término</v>
      </c>
      <c r="AE2094" s="468" t="s">
        <v>2928</v>
      </c>
      <c r="AF2094" s="468" t="s">
        <v>2929</v>
      </c>
    </row>
    <row r="2095" spans="2:32" s="649" customFormat="1" ht="54.95" customHeight="1" thickBot="1" x14ac:dyDescent="0.25">
      <c r="B2095" s="900" t="s">
        <v>36</v>
      </c>
      <c r="C2095" s="887" t="s">
        <v>133</v>
      </c>
      <c r="D2095" s="888" t="s">
        <v>2686</v>
      </c>
      <c r="E2095" s="907" t="s">
        <v>2687</v>
      </c>
      <c r="F2095" s="889">
        <v>4505745202</v>
      </c>
      <c r="G2095" s="889" t="s">
        <v>39</v>
      </c>
      <c r="H2095" s="890">
        <v>36363.83</v>
      </c>
      <c r="I2095" s="902" t="s">
        <v>52</v>
      </c>
      <c r="J2095" s="892">
        <v>41663</v>
      </c>
      <c r="K2095" s="893">
        <f t="shared" si="83"/>
        <v>94</v>
      </c>
      <c r="L2095" s="892">
        <v>41757</v>
      </c>
      <c r="M2095" s="892" t="s">
        <v>41</v>
      </c>
      <c r="N2095" s="889" t="s">
        <v>42</v>
      </c>
      <c r="O2095" s="892">
        <v>41771</v>
      </c>
      <c r="P2095" s="893">
        <f t="shared" si="80"/>
        <v>22</v>
      </c>
      <c r="Q2095" s="901"/>
      <c r="R2095" s="903">
        <v>41773</v>
      </c>
      <c r="S2095" s="904">
        <v>41779</v>
      </c>
      <c r="T2095" s="904">
        <f>+S2095+15</f>
        <v>41794</v>
      </c>
      <c r="U2095" s="893">
        <f t="shared" si="81"/>
        <v>131</v>
      </c>
      <c r="V2095" s="893" t="s">
        <v>53</v>
      </c>
      <c r="W2095" s="897" t="s">
        <v>2257</v>
      </c>
      <c r="X2095" s="889"/>
      <c r="Y2095" s="905"/>
      <c r="Z2095" s="895" t="s">
        <v>46</v>
      </c>
      <c r="AA2095" s="889"/>
      <c r="AB2095" s="909" t="s">
        <v>2935</v>
      </c>
      <c r="AC2095" s="910"/>
      <c r="AD2095" s="645" t="str">
        <f t="shared" si="82"/>
        <v>atrasado</v>
      </c>
      <c r="AE2095" s="468" t="s">
        <v>2936</v>
      </c>
      <c r="AF2095" s="468" t="s">
        <v>2937</v>
      </c>
    </row>
    <row r="2096" spans="2:32" s="649" customFormat="1" ht="54.95" customHeight="1" thickBot="1" x14ac:dyDescent="0.25">
      <c r="B2096" s="900" t="s">
        <v>36</v>
      </c>
      <c r="C2096" s="887" t="s">
        <v>133</v>
      </c>
      <c r="D2096" s="888" t="s">
        <v>2799</v>
      </c>
      <c r="E2096" s="907" t="s">
        <v>2800</v>
      </c>
      <c r="F2096" s="889">
        <v>4505678524</v>
      </c>
      <c r="G2096" s="889" t="s">
        <v>39</v>
      </c>
      <c r="H2096" s="890">
        <v>272495.17</v>
      </c>
      <c r="I2096" s="902" t="s">
        <v>142</v>
      </c>
      <c r="J2096" s="892">
        <v>41652</v>
      </c>
      <c r="K2096" s="893">
        <f t="shared" si="83"/>
        <v>121</v>
      </c>
      <c r="L2096" s="892">
        <v>41773</v>
      </c>
      <c r="M2096" s="892" t="s">
        <v>41</v>
      </c>
      <c r="N2096" s="889" t="s">
        <v>42</v>
      </c>
      <c r="O2096" s="892">
        <v>41771</v>
      </c>
      <c r="P2096" s="893">
        <f t="shared" si="80"/>
        <v>6</v>
      </c>
      <c r="Q2096" s="901"/>
      <c r="R2096" s="903">
        <v>41773</v>
      </c>
      <c r="S2096" s="904">
        <v>41779</v>
      </c>
      <c r="T2096" s="904">
        <f>+S2096+15</f>
        <v>41794</v>
      </c>
      <c r="U2096" s="893">
        <f t="shared" si="81"/>
        <v>142</v>
      </c>
      <c r="V2096" s="893" t="s">
        <v>2938</v>
      </c>
      <c r="W2096" s="897" t="s">
        <v>2261</v>
      </c>
      <c r="X2096" s="889"/>
      <c r="Y2096" s="889"/>
      <c r="Z2096" s="468" t="s">
        <v>46</v>
      </c>
      <c r="AA2096" s="889"/>
      <c r="AB2096" s="892" t="s">
        <v>1957</v>
      </c>
      <c r="AC2096" s="910" t="s">
        <v>2939</v>
      </c>
      <c r="AD2096" s="645" t="str">
        <f t="shared" si="82"/>
        <v>atrasado</v>
      </c>
      <c r="AE2096" s="468" t="s">
        <v>2936</v>
      </c>
      <c r="AF2096" s="468" t="s">
        <v>2937</v>
      </c>
    </row>
    <row r="2097" spans="2:39" s="649" customFormat="1" ht="54.95" customHeight="1" thickBot="1" x14ac:dyDescent="0.25">
      <c r="B2097" s="900" t="s">
        <v>36</v>
      </c>
      <c r="C2097" s="887" t="s">
        <v>133</v>
      </c>
      <c r="D2097" s="888" t="s">
        <v>2799</v>
      </c>
      <c r="E2097" s="907" t="s">
        <v>2800</v>
      </c>
      <c r="F2097" s="889">
        <v>4505736102</v>
      </c>
      <c r="G2097" s="889" t="s">
        <v>39</v>
      </c>
      <c r="H2097" s="890">
        <v>177875.64</v>
      </c>
      <c r="I2097" s="902" t="s">
        <v>62</v>
      </c>
      <c r="J2097" s="892">
        <v>41663</v>
      </c>
      <c r="K2097" s="893">
        <f t="shared" si="83"/>
        <v>123</v>
      </c>
      <c r="L2097" s="892">
        <v>41786</v>
      </c>
      <c r="M2097" s="892" t="s">
        <v>41</v>
      </c>
      <c r="N2097" s="889" t="s">
        <v>42</v>
      </c>
      <c r="O2097" s="892">
        <v>41792</v>
      </c>
      <c r="P2097" s="893">
        <f t="shared" si="80"/>
        <v>15</v>
      </c>
      <c r="Q2097" s="901" t="s">
        <v>2940</v>
      </c>
      <c r="R2097" s="903">
        <v>41799</v>
      </c>
      <c r="S2097" s="904">
        <v>41801</v>
      </c>
      <c r="T2097" s="904">
        <v>41815</v>
      </c>
      <c r="U2097" s="893">
        <f t="shared" si="81"/>
        <v>152</v>
      </c>
      <c r="V2097" s="893" t="s">
        <v>1127</v>
      </c>
      <c r="W2097" s="897" t="s">
        <v>2263</v>
      </c>
      <c r="X2097" s="889"/>
      <c r="Y2097" s="889"/>
      <c r="Z2097" s="895">
        <v>7525208283</v>
      </c>
      <c r="AA2097" s="889"/>
      <c r="AB2097" s="892" t="s">
        <v>2941</v>
      </c>
      <c r="AC2097" s="910"/>
      <c r="AD2097" s="645" t="str">
        <f t="shared" si="82"/>
        <v>atrasado</v>
      </c>
      <c r="AE2097" s="468" t="s">
        <v>2942</v>
      </c>
      <c r="AF2097" s="468" t="s">
        <v>2943</v>
      </c>
    </row>
    <row r="2098" spans="2:39" s="649" customFormat="1" ht="54.95" customHeight="1" thickBot="1" x14ac:dyDescent="0.25">
      <c r="B2098" s="900" t="s">
        <v>36</v>
      </c>
      <c r="C2098" s="887" t="s">
        <v>133</v>
      </c>
      <c r="D2098" s="888" t="s">
        <v>2799</v>
      </c>
      <c r="E2098" s="907" t="s">
        <v>2800</v>
      </c>
      <c r="F2098" s="889">
        <v>4505745759</v>
      </c>
      <c r="G2098" s="889" t="s">
        <v>39</v>
      </c>
      <c r="H2098" s="890">
        <v>379282.57</v>
      </c>
      <c r="I2098" s="902" t="s">
        <v>52</v>
      </c>
      <c r="J2098" s="892">
        <v>41663</v>
      </c>
      <c r="K2098" s="893">
        <f t="shared" si="83"/>
        <v>122</v>
      </c>
      <c r="L2098" s="892">
        <v>41785</v>
      </c>
      <c r="M2098" s="892" t="s">
        <v>41</v>
      </c>
      <c r="N2098" s="889" t="s">
        <v>42</v>
      </c>
      <c r="O2098" s="892">
        <v>41792</v>
      </c>
      <c r="P2098" s="893">
        <f t="shared" si="80"/>
        <v>16</v>
      </c>
      <c r="Q2098" s="901" t="s">
        <v>2940</v>
      </c>
      <c r="R2098" s="903">
        <v>41799</v>
      </c>
      <c r="S2098" s="904">
        <v>41801</v>
      </c>
      <c r="T2098" s="904">
        <v>41815</v>
      </c>
      <c r="U2098" s="893">
        <f t="shared" si="81"/>
        <v>152</v>
      </c>
      <c r="V2098" s="893" t="s">
        <v>2944</v>
      </c>
      <c r="W2098" s="897" t="s">
        <v>2458</v>
      </c>
      <c r="X2098" s="889"/>
      <c r="Y2098" s="889"/>
      <c r="Z2098" s="895">
        <v>7525208283</v>
      </c>
      <c r="AA2098" s="889"/>
      <c r="AB2098" s="892" t="s">
        <v>2945</v>
      </c>
      <c r="AC2098" s="910"/>
      <c r="AD2098" s="645" t="str">
        <f t="shared" si="82"/>
        <v>atrasado</v>
      </c>
      <c r="AE2098" s="468" t="s">
        <v>2942</v>
      </c>
      <c r="AF2098" s="468" t="s">
        <v>2943</v>
      </c>
    </row>
    <row r="2099" spans="2:39" s="649" customFormat="1" ht="54.95" customHeight="1" thickBot="1" x14ac:dyDescent="0.25">
      <c r="B2099" s="900" t="s">
        <v>36</v>
      </c>
      <c r="C2099" s="887" t="s">
        <v>133</v>
      </c>
      <c r="D2099" s="888" t="s">
        <v>2799</v>
      </c>
      <c r="E2099" s="907" t="s">
        <v>2800</v>
      </c>
      <c r="F2099" s="889">
        <v>4505744008</v>
      </c>
      <c r="G2099" s="889" t="s">
        <v>39</v>
      </c>
      <c r="H2099" s="890">
        <v>36041.39</v>
      </c>
      <c r="I2099" s="902" t="s">
        <v>52</v>
      </c>
      <c r="J2099" s="892">
        <v>41663</v>
      </c>
      <c r="K2099" s="893">
        <f t="shared" si="83"/>
        <v>124</v>
      </c>
      <c r="L2099" s="892">
        <v>41787</v>
      </c>
      <c r="M2099" s="892" t="s">
        <v>41</v>
      </c>
      <c r="N2099" s="889" t="s">
        <v>42</v>
      </c>
      <c r="O2099" s="892">
        <v>41792</v>
      </c>
      <c r="P2099" s="893">
        <f t="shared" si="80"/>
        <v>14</v>
      </c>
      <c r="Q2099" s="901" t="s">
        <v>2940</v>
      </c>
      <c r="R2099" s="903">
        <v>41799</v>
      </c>
      <c r="S2099" s="904">
        <v>41801</v>
      </c>
      <c r="T2099" s="904">
        <v>41815</v>
      </c>
      <c r="U2099" s="893">
        <f t="shared" si="81"/>
        <v>152</v>
      </c>
      <c r="V2099" s="893" t="s">
        <v>53</v>
      </c>
      <c r="W2099" s="897" t="s">
        <v>2270</v>
      </c>
      <c r="X2099" s="889"/>
      <c r="Y2099" s="905"/>
      <c r="Z2099" s="895">
        <v>7525208283</v>
      </c>
      <c r="AA2099" s="889"/>
      <c r="AB2099" s="892" t="s">
        <v>2945</v>
      </c>
      <c r="AC2099" s="910"/>
      <c r="AD2099" s="645" t="str">
        <f t="shared" si="82"/>
        <v>atrasado</v>
      </c>
      <c r="AE2099" s="468" t="s">
        <v>2942</v>
      </c>
      <c r="AF2099" s="468" t="s">
        <v>2943</v>
      </c>
    </row>
    <row r="2100" spans="2:39" s="649" customFormat="1" ht="54.95" customHeight="1" thickBot="1" x14ac:dyDescent="0.25">
      <c r="B2100" s="900" t="s">
        <v>36</v>
      </c>
      <c r="C2100" s="887" t="s">
        <v>37</v>
      </c>
      <c r="D2100" s="888" t="s">
        <v>2946</v>
      </c>
      <c r="E2100" s="901" t="s">
        <v>2947</v>
      </c>
      <c r="F2100" s="1635">
        <v>14050002</v>
      </c>
      <c r="G2100" s="889" t="s">
        <v>39</v>
      </c>
      <c r="H2100" s="890">
        <v>1960</v>
      </c>
      <c r="I2100" s="902" t="s">
        <v>40</v>
      </c>
      <c r="J2100" s="892">
        <v>41787</v>
      </c>
      <c r="K2100" s="893">
        <f t="shared" si="83"/>
        <v>73</v>
      </c>
      <c r="L2100" s="892">
        <v>41860</v>
      </c>
      <c r="M2100" s="892" t="s">
        <v>41</v>
      </c>
      <c r="N2100" s="889" t="s">
        <v>110</v>
      </c>
      <c r="O2100" s="892">
        <v>41841</v>
      </c>
      <c r="P2100" s="893">
        <f t="shared" si="80"/>
        <v>-10</v>
      </c>
      <c r="Q2100" s="901"/>
      <c r="R2100" s="903">
        <v>41842</v>
      </c>
      <c r="S2100" s="904">
        <v>41850</v>
      </c>
      <c r="T2100" s="894">
        <f>+S2100+10</f>
        <v>41860</v>
      </c>
      <c r="U2100" s="893">
        <f t="shared" si="81"/>
        <v>73</v>
      </c>
      <c r="V2100" s="893" t="s">
        <v>53</v>
      </c>
      <c r="W2100" s="897" t="s">
        <v>2807</v>
      </c>
      <c r="X2100" s="889"/>
      <c r="Y2100" s="905"/>
      <c r="Z2100" s="895" t="s">
        <v>1676</v>
      </c>
      <c r="AA2100" s="889"/>
      <c r="AB2100" s="892" t="s">
        <v>2948</v>
      </c>
      <c r="AC2100" s="906"/>
      <c r="AD2100" s="645" t="str">
        <f t="shared" si="82"/>
        <v>en término</v>
      </c>
      <c r="AE2100" s="468"/>
      <c r="AF2100" s="468" t="s">
        <v>2949</v>
      </c>
    </row>
    <row r="2101" spans="2:39" s="649" customFormat="1" ht="54.95" customHeight="1" thickBot="1" x14ac:dyDescent="0.25">
      <c r="B2101" s="900" t="s">
        <v>36</v>
      </c>
      <c r="C2101" s="887" t="s">
        <v>37</v>
      </c>
      <c r="D2101" s="888" t="s">
        <v>2946</v>
      </c>
      <c r="E2101" s="901" t="s">
        <v>2950</v>
      </c>
      <c r="F2101" s="1636"/>
      <c r="G2101" s="889" t="s">
        <v>39</v>
      </c>
      <c r="H2101" s="890">
        <v>2750</v>
      </c>
      <c r="I2101" s="902" t="s">
        <v>142</v>
      </c>
      <c r="J2101" s="892">
        <v>41787</v>
      </c>
      <c r="K2101" s="893">
        <f t="shared" si="83"/>
        <v>75</v>
      </c>
      <c r="L2101" s="892">
        <v>41862</v>
      </c>
      <c r="M2101" s="892" t="s">
        <v>41</v>
      </c>
      <c r="N2101" s="889" t="s">
        <v>110</v>
      </c>
      <c r="O2101" s="892">
        <v>41841</v>
      </c>
      <c r="P2101" s="893">
        <f t="shared" si="80"/>
        <v>-12</v>
      </c>
      <c r="Q2101" s="901"/>
      <c r="R2101" s="903">
        <v>41842</v>
      </c>
      <c r="S2101" s="904">
        <v>41850</v>
      </c>
      <c r="T2101" s="894">
        <f>+S2101+10</f>
        <v>41860</v>
      </c>
      <c r="U2101" s="893">
        <f t="shared" si="81"/>
        <v>73</v>
      </c>
      <c r="V2101" s="893" t="s">
        <v>53</v>
      </c>
      <c r="W2101" s="897" t="s">
        <v>2807</v>
      </c>
      <c r="X2101" s="889"/>
      <c r="Y2101" s="905"/>
      <c r="Z2101" s="895" t="s">
        <v>1676</v>
      </c>
      <c r="AA2101" s="889"/>
      <c r="AB2101" s="892" t="s">
        <v>2948</v>
      </c>
      <c r="AC2101" s="906"/>
      <c r="AD2101" s="645" t="str">
        <f t="shared" si="82"/>
        <v>en término</v>
      </c>
      <c r="AE2101" s="468"/>
      <c r="AF2101" s="468" t="s">
        <v>2949</v>
      </c>
    </row>
    <row r="2102" spans="2:39" s="649" customFormat="1" ht="54.95" customHeight="1" thickBot="1" x14ac:dyDescent="0.25">
      <c r="B2102" s="900" t="s">
        <v>36</v>
      </c>
      <c r="C2102" s="887" t="s">
        <v>37</v>
      </c>
      <c r="D2102" s="888" t="s">
        <v>2951</v>
      </c>
      <c r="E2102" s="901" t="s">
        <v>2952</v>
      </c>
      <c r="F2102" s="913">
        <v>14060001</v>
      </c>
      <c r="G2102" s="889" t="s">
        <v>39</v>
      </c>
      <c r="H2102" s="890">
        <v>2960</v>
      </c>
      <c r="I2102" s="902" t="s">
        <v>142</v>
      </c>
      <c r="J2102" s="892">
        <v>41793</v>
      </c>
      <c r="K2102" s="893">
        <f t="shared" si="83"/>
        <v>109</v>
      </c>
      <c r="L2102" s="892">
        <v>41902</v>
      </c>
      <c r="M2102" s="892" t="s">
        <v>41</v>
      </c>
      <c r="N2102" s="889" t="s">
        <v>110</v>
      </c>
      <c r="O2102" s="892">
        <v>41841</v>
      </c>
      <c r="P2102" s="893">
        <f t="shared" si="80"/>
        <v>-52</v>
      </c>
      <c r="Q2102" s="901"/>
      <c r="R2102" s="903">
        <v>41842</v>
      </c>
      <c r="S2102" s="904">
        <v>41850</v>
      </c>
      <c r="T2102" s="894">
        <f>+S2102+10</f>
        <v>41860</v>
      </c>
      <c r="U2102" s="893">
        <f t="shared" si="81"/>
        <v>67</v>
      </c>
      <c r="V2102" s="893" t="s">
        <v>53</v>
      </c>
      <c r="W2102" s="897" t="s">
        <v>2953</v>
      </c>
      <c r="X2102" s="889"/>
      <c r="Y2102" s="905"/>
      <c r="Z2102" s="895" t="s">
        <v>1676</v>
      </c>
      <c r="AA2102" s="889"/>
      <c r="AB2102" s="892" t="s">
        <v>2948</v>
      </c>
      <c r="AC2102" s="906"/>
      <c r="AD2102" s="645" t="str">
        <f t="shared" si="82"/>
        <v>en término</v>
      </c>
      <c r="AE2102" s="468"/>
      <c r="AF2102" s="468" t="s">
        <v>2949</v>
      </c>
    </row>
    <row r="2103" spans="2:39" s="649" customFormat="1" ht="54.95" customHeight="1" thickBot="1" x14ac:dyDescent="0.25">
      <c r="B2103" s="900" t="s">
        <v>36</v>
      </c>
      <c r="C2103" s="887" t="s">
        <v>37</v>
      </c>
      <c r="D2103" s="888" t="s">
        <v>2954</v>
      </c>
      <c r="E2103" s="901" t="s">
        <v>2955</v>
      </c>
      <c r="F2103" s="913">
        <v>14060002</v>
      </c>
      <c r="G2103" s="889" t="s">
        <v>39</v>
      </c>
      <c r="H2103" s="890">
        <v>12320</v>
      </c>
      <c r="I2103" s="902" t="s">
        <v>142</v>
      </c>
      <c r="J2103" s="892">
        <v>41814</v>
      </c>
      <c r="K2103" s="893">
        <v>60</v>
      </c>
      <c r="L2103" s="892">
        <f>+J2103+K2103</f>
        <v>41874</v>
      </c>
      <c r="M2103" s="892" t="s">
        <v>41</v>
      </c>
      <c r="N2103" s="889" t="s">
        <v>42</v>
      </c>
      <c r="O2103" s="892">
        <v>41866</v>
      </c>
      <c r="P2103" s="893">
        <f t="shared" si="80"/>
        <v>17</v>
      </c>
      <c r="Q2103" s="901"/>
      <c r="R2103" s="903">
        <v>41890</v>
      </c>
      <c r="S2103" s="904">
        <v>41891</v>
      </c>
      <c r="T2103" s="894">
        <f>+S2103+20</f>
        <v>41911</v>
      </c>
      <c r="U2103" s="893">
        <f t="shared" si="81"/>
        <v>97</v>
      </c>
      <c r="V2103" s="893" t="s">
        <v>53</v>
      </c>
      <c r="W2103" s="897" t="s">
        <v>2311</v>
      </c>
      <c r="X2103" s="889"/>
      <c r="Y2103" s="905"/>
      <c r="Z2103" s="895">
        <v>8215867925</v>
      </c>
      <c r="AA2103" s="889"/>
      <c r="AB2103" s="892" t="s">
        <v>2956</v>
      </c>
      <c r="AC2103" s="906"/>
      <c r="AD2103" s="645" t="str">
        <f t="shared" si="82"/>
        <v>atrasado</v>
      </c>
      <c r="AE2103" s="468"/>
      <c r="AF2103" s="468" t="s">
        <v>2957</v>
      </c>
    </row>
    <row r="2104" spans="2:39" s="649" customFormat="1" ht="54.95" customHeight="1" thickBot="1" x14ac:dyDescent="0.25">
      <c r="B2104" s="900" t="s">
        <v>36</v>
      </c>
      <c r="C2104" s="887" t="s">
        <v>37</v>
      </c>
      <c r="D2104" s="888" t="s">
        <v>2958</v>
      </c>
      <c r="E2104" s="901" t="s">
        <v>2959</v>
      </c>
      <c r="F2104" s="913">
        <v>14080003</v>
      </c>
      <c r="G2104" s="889" t="s">
        <v>39</v>
      </c>
      <c r="H2104" s="890">
        <v>3000</v>
      </c>
      <c r="I2104" s="902" t="s">
        <v>40</v>
      </c>
      <c r="J2104" s="892">
        <v>41865</v>
      </c>
      <c r="K2104" s="893">
        <v>60</v>
      </c>
      <c r="L2104" s="892">
        <f>+J2104+K2104</f>
        <v>41925</v>
      </c>
      <c r="M2104" s="892" t="s">
        <v>41</v>
      </c>
      <c r="N2104" s="889" t="s">
        <v>110</v>
      </c>
      <c r="O2104" s="892">
        <v>41898</v>
      </c>
      <c r="P2104" s="893">
        <f t="shared" si="80"/>
        <v>-13</v>
      </c>
      <c r="Q2104" s="901"/>
      <c r="R2104" s="903"/>
      <c r="S2104" s="904">
        <v>41912</v>
      </c>
      <c r="T2104" s="894">
        <f>+S2104+6</f>
        <v>41918</v>
      </c>
      <c r="U2104" s="893">
        <f t="shared" si="81"/>
        <v>53</v>
      </c>
      <c r="V2104" s="893" t="s">
        <v>53</v>
      </c>
      <c r="W2104" s="897" t="s">
        <v>2622</v>
      </c>
      <c r="X2104" s="889"/>
      <c r="Y2104" s="905"/>
      <c r="Z2104" s="895">
        <v>3031509762</v>
      </c>
      <c r="AA2104" s="889" t="s">
        <v>1575</v>
      </c>
      <c r="AB2104" s="892" t="s">
        <v>2960</v>
      </c>
      <c r="AC2104" s="906"/>
      <c r="AD2104" s="645" t="str">
        <f t="shared" si="82"/>
        <v>en término</v>
      </c>
      <c r="AE2104" s="468"/>
      <c r="AF2104" s="468" t="s">
        <v>2961</v>
      </c>
    </row>
    <row r="2105" spans="2:39" s="649" customFormat="1" ht="54.95" customHeight="1" thickBot="1" x14ac:dyDescent="0.25">
      <c r="B2105" s="900" t="s">
        <v>36</v>
      </c>
      <c r="C2105" s="887" t="s">
        <v>37</v>
      </c>
      <c r="D2105" s="888" t="s">
        <v>2962</v>
      </c>
      <c r="E2105" s="901" t="s">
        <v>2963</v>
      </c>
      <c r="F2105" s="913">
        <v>14080005</v>
      </c>
      <c r="G2105" s="889" t="s">
        <v>39</v>
      </c>
      <c r="H2105" s="890">
        <v>2900</v>
      </c>
      <c r="I2105" s="902" t="s">
        <v>142</v>
      </c>
      <c r="J2105" s="892">
        <v>41879</v>
      </c>
      <c r="K2105" s="893">
        <f>+L2105-J2105</f>
        <v>69</v>
      </c>
      <c r="L2105" s="892">
        <v>41948</v>
      </c>
      <c r="M2105" s="892" t="s">
        <v>41</v>
      </c>
      <c r="N2105" s="889" t="s">
        <v>110</v>
      </c>
      <c r="O2105" s="892">
        <v>41898</v>
      </c>
      <c r="P2105" s="893">
        <f t="shared" si="80"/>
        <v>-36</v>
      </c>
      <c r="Q2105" s="901"/>
      <c r="R2105" s="903"/>
      <c r="S2105" s="904">
        <v>41912</v>
      </c>
      <c r="T2105" s="894">
        <f>+S2105+6</f>
        <v>41918</v>
      </c>
      <c r="U2105" s="893">
        <f t="shared" si="81"/>
        <v>39</v>
      </c>
      <c r="V2105" s="893" t="s">
        <v>53</v>
      </c>
      <c r="W2105" s="897" t="s">
        <v>2629</v>
      </c>
      <c r="X2105" s="889"/>
      <c r="Y2105" s="905"/>
      <c r="Z2105" s="895">
        <v>3031509762</v>
      </c>
      <c r="AA2105" s="889" t="s">
        <v>47</v>
      </c>
      <c r="AB2105" s="892" t="s">
        <v>2960</v>
      </c>
      <c r="AC2105" s="906"/>
      <c r="AD2105" s="645" t="str">
        <f t="shared" si="82"/>
        <v>en término</v>
      </c>
      <c r="AE2105" s="468"/>
      <c r="AF2105" s="468" t="s">
        <v>2961</v>
      </c>
    </row>
    <row r="2106" spans="2:39" s="649" customFormat="1" ht="54.95" customHeight="1" thickBot="1" x14ac:dyDescent="0.25">
      <c r="B2106" s="900" t="s">
        <v>36</v>
      </c>
      <c r="C2106" s="887" t="s">
        <v>37</v>
      </c>
      <c r="D2106" s="888" t="s">
        <v>2964</v>
      </c>
      <c r="E2106" s="901" t="s">
        <v>2965</v>
      </c>
      <c r="F2106" s="913">
        <v>14100002</v>
      </c>
      <c r="G2106" s="889" t="s">
        <v>39</v>
      </c>
      <c r="H2106" s="890">
        <v>26365</v>
      </c>
      <c r="I2106" s="902" t="s">
        <v>52</v>
      </c>
      <c r="J2106" s="892">
        <v>41921</v>
      </c>
      <c r="K2106" s="893">
        <f>+L2106-J2106</f>
        <v>67</v>
      </c>
      <c r="L2106" s="892">
        <v>41988</v>
      </c>
      <c r="M2106" s="892" t="s">
        <v>41</v>
      </c>
      <c r="N2106" s="889" t="s">
        <v>42</v>
      </c>
      <c r="O2106" s="892">
        <v>41989</v>
      </c>
      <c r="P2106" s="893">
        <f t="shared" si="80"/>
        <v>30</v>
      </c>
      <c r="Q2106" s="901" t="s">
        <v>2966</v>
      </c>
      <c r="R2106" s="903">
        <v>42016</v>
      </c>
      <c r="S2106" s="904">
        <v>42018</v>
      </c>
      <c r="T2106" s="894">
        <v>42034</v>
      </c>
      <c r="U2106" s="893">
        <f t="shared" si="81"/>
        <v>113</v>
      </c>
      <c r="V2106" s="893" t="s">
        <v>53</v>
      </c>
      <c r="W2106" s="897" t="s">
        <v>84</v>
      </c>
      <c r="X2106" s="889"/>
      <c r="Y2106" s="905"/>
      <c r="Z2106" s="895">
        <v>3751256176</v>
      </c>
      <c r="AA2106" s="889" t="s">
        <v>47</v>
      </c>
      <c r="AB2106" s="892" t="s">
        <v>47</v>
      </c>
      <c r="AC2106" s="906" t="s">
        <v>2967</v>
      </c>
      <c r="AD2106" s="645" t="str">
        <f t="shared" si="82"/>
        <v>atrasado</v>
      </c>
      <c r="AE2106" s="468"/>
      <c r="AF2106" s="468" t="s">
        <v>2968</v>
      </c>
    </row>
    <row r="2107" spans="2:39" s="649" customFormat="1" ht="54.95" customHeight="1" thickBot="1" x14ac:dyDescent="0.25">
      <c r="B2107" s="900" t="s">
        <v>36</v>
      </c>
      <c r="C2107" s="887" t="s">
        <v>37</v>
      </c>
      <c r="D2107" s="888" t="s">
        <v>2969</v>
      </c>
      <c r="E2107" s="901" t="s">
        <v>2970</v>
      </c>
      <c r="F2107" s="913">
        <v>14100003</v>
      </c>
      <c r="G2107" s="889" t="s">
        <v>39</v>
      </c>
      <c r="H2107" s="890">
        <f>154800</f>
        <v>154800</v>
      </c>
      <c r="I2107" s="902" t="s">
        <v>40</v>
      </c>
      <c r="J2107" s="892">
        <v>41935</v>
      </c>
      <c r="K2107" s="893">
        <f>+L2107-J2107</f>
        <v>102</v>
      </c>
      <c r="L2107" s="892">
        <v>42037</v>
      </c>
      <c r="M2107" s="892" t="s">
        <v>41</v>
      </c>
      <c r="N2107" s="889" t="s">
        <v>42</v>
      </c>
      <c r="O2107" s="892">
        <v>41989</v>
      </c>
      <c r="P2107" s="893">
        <f t="shared" si="80"/>
        <v>-19</v>
      </c>
      <c r="Q2107" s="901" t="s">
        <v>2966</v>
      </c>
      <c r="R2107" s="903">
        <v>42016</v>
      </c>
      <c r="S2107" s="904">
        <v>42018</v>
      </c>
      <c r="T2107" s="894">
        <v>42034</v>
      </c>
      <c r="U2107" s="893">
        <f t="shared" si="81"/>
        <v>99</v>
      </c>
      <c r="V2107" s="893" t="s">
        <v>1332</v>
      </c>
      <c r="W2107" s="897" t="s">
        <v>90</v>
      </c>
      <c r="X2107" s="889"/>
      <c r="Y2107" s="905"/>
      <c r="Z2107" s="895">
        <v>3751256176</v>
      </c>
      <c r="AA2107" s="889" t="s">
        <v>1575</v>
      </c>
      <c r="AB2107" s="892" t="s">
        <v>47</v>
      </c>
      <c r="AC2107" s="906" t="s">
        <v>2967</v>
      </c>
      <c r="AD2107" s="645" t="str">
        <f t="shared" si="82"/>
        <v>en término</v>
      </c>
      <c r="AE2107" s="468"/>
      <c r="AF2107" s="468" t="s">
        <v>2968</v>
      </c>
    </row>
    <row r="2108" spans="2:39" s="649" customFormat="1" ht="54.95" customHeight="1" thickBot="1" x14ac:dyDescent="0.25">
      <c r="B2108" s="900" t="s">
        <v>36</v>
      </c>
      <c r="C2108" s="887" t="s">
        <v>37</v>
      </c>
      <c r="D2108" s="888" t="s">
        <v>2969</v>
      </c>
      <c r="E2108" s="901" t="s">
        <v>2970</v>
      </c>
      <c r="F2108" s="913">
        <v>14100003</v>
      </c>
      <c r="G2108" s="889" t="s">
        <v>39</v>
      </c>
      <c r="H2108" s="890">
        <v>93200</v>
      </c>
      <c r="I2108" s="902" t="s">
        <v>40</v>
      </c>
      <c r="J2108" s="892">
        <v>41935</v>
      </c>
      <c r="K2108" s="893">
        <f>+L2108-J2108</f>
        <v>120</v>
      </c>
      <c r="L2108" s="892">
        <v>42055</v>
      </c>
      <c r="M2108" s="892" t="s">
        <v>41</v>
      </c>
      <c r="N2108" s="889" t="s">
        <v>42</v>
      </c>
      <c r="O2108" s="892">
        <v>41989</v>
      </c>
      <c r="P2108" s="893">
        <f t="shared" si="80"/>
        <v>-37</v>
      </c>
      <c r="Q2108" s="901" t="s">
        <v>2966</v>
      </c>
      <c r="R2108" s="903">
        <v>42016</v>
      </c>
      <c r="S2108" s="904">
        <v>42018</v>
      </c>
      <c r="T2108" s="894">
        <v>42034</v>
      </c>
      <c r="U2108" s="893">
        <f t="shared" si="81"/>
        <v>99</v>
      </c>
      <c r="V2108" s="893" t="s">
        <v>2971</v>
      </c>
      <c r="W2108" s="897" t="s">
        <v>90</v>
      </c>
      <c r="X2108" s="889"/>
      <c r="Y2108" s="905"/>
      <c r="Z2108" s="895">
        <v>3751256176</v>
      </c>
      <c r="AA2108" s="889" t="s">
        <v>1575</v>
      </c>
      <c r="AB2108" s="892" t="s">
        <v>47</v>
      </c>
      <c r="AC2108" s="906" t="s">
        <v>2967</v>
      </c>
      <c r="AD2108" s="645" t="str">
        <f t="shared" si="82"/>
        <v>en término</v>
      </c>
      <c r="AE2108" s="468"/>
      <c r="AF2108" s="468" t="s">
        <v>2968</v>
      </c>
    </row>
    <row r="2109" spans="2:39" s="649" customFormat="1" ht="54.95" customHeight="1" thickBot="1" x14ac:dyDescent="0.25">
      <c r="B2109" s="900" t="s">
        <v>36</v>
      </c>
      <c r="C2109" s="887" t="s">
        <v>37</v>
      </c>
      <c r="D2109" s="888" t="s">
        <v>2972</v>
      </c>
      <c r="E2109" s="901" t="s">
        <v>2973</v>
      </c>
      <c r="F2109" s="913">
        <v>14110003</v>
      </c>
      <c r="G2109" s="889" t="s">
        <v>39</v>
      </c>
      <c r="H2109" s="890">
        <v>456</v>
      </c>
      <c r="I2109" s="902" t="s">
        <v>142</v>
      </c>
      <c r="J2109" s="892">
        <v>41954</v>
      </c>
      <c r="K2109" s="893">
        <v>75</v>
      </c>
      <c r="L2109" s="892">
        <f>+J2109+K2109</f>
        <v>42029</v>
      </c>
      <c r="M2109" s="892" t="s">
        <v>41</v>
      </c>
      <c r="N2109" s="889" t="s">
        <v>42</v>
      </c>
      <c r="O2109" s="892">
        <v>41989</v>
      </c>
      <c r="P2109" s="893">
        <f t="shared" si="80"/>
        <v>-11</v>
      </c>
      <c r="Q2109" s="901" t="s">
        <v>2966</v>
      </c>
      <c r="R2109" s="903">
        <v>42016</v>
      </c>
      <c r="S2109" s="904">
        <v>42018</v>
      </c>
      <c r="T2109" s="894">
        <v>42034</v>
      </c>
      <c r="U2109" s="893">
        <f t="shared" si="81"/>
        <v>80</v>
      </c>
      <c r="V2109" s="893" t="s">
        <v>53</v>
      </c>
      <c r="W2109" s="897" t="s">
        <v>84</v>
      </c>
      <c r="X2109" s="889"/>
      <c r="Y2109" s="905"/>
      <c r="Z2109" s="895">
        <v>3751256176</v>
      </c>
      <c r="AA2109" s="889" t="s">
        <v>1575</v>
      </c>
      <c r="AB2109" s="892" t="s">
        <v>47</v>
      </c>
      <c r="AC2109" s="906" t="s">
        <v>2967</v>
      </c>
      <c r="AD2109" s="645" t="str">
        <f t="shared" si="82"/>
        <v>en término</v>
      </c>
      <c r="AE2109" s="468"/>
      <c r="AF2109" s="468" t="s">
        <v>2968</v>
      </c>
    </row>
    <row r="2110" spans="2:39" x14ac:dyDescent="0.2">
      <c r="B2110" s="9"/>
      <c r="C2110" s="9"/>
      <c r="D2110" s="9"/>
      <c r="E2110" s="9"/>
      <c r="F2110" s="10"/>
      <c r="G2110" s="10"/>
      <c r="H2110" s="9"/>
      <c r="I2110" s="10"/>
      <c r="J2110" s="9"/>
      <c r="K2110" s="9"/>
      <c r="L2110" s="9"/>
      <c r="M2110" s="9"/>
      <c r="N2110" s="9"/>
      <c r="O2110" s="9"/>
      <c r="P2110" s="9"/>
      <c r="Q2110" s="9"/>
      <c r="R2110" s="9"/>
      <c r="S2110" s="9"/>
      <c r="T2110" s="9"/>
      <c r="U2110" s="9"/>
      <c r="V2110" s="9"/>
      <c r="W2110" s="10"/>
      <c r="X2110" s="10"/>
      <c r="Y2110" s="10"/>
      <c r="Z2110" s="9"/>
      <c r="AA2110" s="9"/>
      <c r="AB2110" s="9"/>
      <c r="AC2110" s="10"/>
      <c r="AD2110" s="10"/>
      <c r="AE2110" s="9"/>
      <c r="AF2110" s="9"/>
      <c r="AG2110" s="9"/>
      <c r="AH2110" s="9"/>
      <c r="AI2110" s="9"/>
      <c r="AJ2110" s="9"/>
      <c r="AK2110" s="9"/>
      <c r="AL2110" s="9"/>
      <c r="AM2110" s="9"/>
    </row>
    <row r="2111" spans="2:39" x14ac:dyDescent="0.2">
      <c r="B2111" s="9"/>
      <c r="C2111" s="9"/>
      <c r="D2111" s="9"/>
      <c r="E2111" s="9"/>
      <c r="F2111" s="10"/>
      <c r="G2111" s="10"/>
      <c r="H2111" s="9"/>
      <c r="I2111" s="10"/>
      <c r="J2111" s="9"/>
      <c r="K2111" s="9"/>
      <c r="L2111" s="9"/>
      <c r="M2111" s="9"/>
      <c r="N2111" s="9"/>
      <c r="O2111" s="9"/>
      <c r="P2111" s="9"/>
      <c r="Q2111" s="9"/>
      <c r="R2111" s="9"/>
      <c r="S2111" s="9"/>
      <c r="T2111" s="9"/>
      <c r="U2111" s="9"/>
      <c r="V2111" s="9"/>
      <c r="W2111" s="10"/>
      <c r="X2111" s="10"/>
      <c r="Y2111" s="10"/>
      <c r="Z2111" s="9"/>
      <c r="AA2111" s="9"/>
      <c r="AB2111" s="9"/>
      <c r="AC2111" s="10"/>
      <c r="AD2111" s="10"/>
      <c r="AE2111" s="9"/>
      <c r="AF2111" s="9"/>
      <c r="AG2111" s="9"/>
      <c r="AH2111" s="9"/>
      <c r="AI2111" s="9"/>
      <c r="AJ2111" s="9"/>
      <c r="AK2111" s="9"/>
      <c r="AL2111" s="9"/>
      <c r="AM2111" s="9"/>
    </row>
    <row r="2112" spans="2:39" x14ac:dyDescent="0.2">
      <c r="B2112" s="9"/>
      <c r="C2112" s="9"/>
      <c r="D2112" s="9"/>
      <c r="E2112" s="9"/>
      <c r="F2112" s="10"/>
      <c r="G2112" s="10"/>
      <c r="H2112" s="9"/>
      <c r="I2112" s="10"/>
      <c r="J2112" s="9"/>
      <c r="K2112" s="9"/>
      <c r="L2112" s="9"/>
      <c r="M2112" s="9"/>
      <c r="N2112" s="9"/>
      <c r="O2112" s="9"/>
      <c r="P2112" s="9"/>
      <c r="Q2112" s="9"/>
      <c r="R2112" s="9"/>
      <c r="S2112" s="9"/>
      <c r="T2112" s="9"/>
      <c r="U2112" s="9"/>
      <c r="V2112" s="9"/>
      <c r="W2112" s="10"/>
      <c r="X2112" s="10"/>
      <c r="Y2112" s="10"/>
      <c r="Z2112" s="9"/>
      <c r="AA2112" s="9"/>
      <c r="AB2112" s="9"/>
      <c r="AC2112" s="10"/>
      <c r="AD2112" s="10"/>
      <c r="AE2112" s="9"/>
      <c r="AF2112" s="9"/>
      <c r="AG2112" s="9"/>
      <c r="AH2112" s="9"/>
      <c r="AI2112" s="9"/>
      <c r="AJ2112" s="9"/>
      <c r="AK2112" s="9"/>
      <c r="AL2112" s="9"/>
      <c r="AM2112" s="9"/>
    </row>
    <row r="2113" spans="1:39" x14ac:dyDescent="0.2">
      <c r="B2113" s="9"/>
      <c r="C2113" s="9"/>
      <c r="D2113" s="9"/>
      <c r="E2113" s="9"/>
      <c r="F2113" s="10"/>
      <c r="G2113" s="10"/>
      <c r="H2113" s="9"/>
      <c r="I2113" s="10"/>
      <c r="J2113" s="9"/>
      <c r="K2113" s="9"/>
      <c r="L2113" s="9"/>
      <c r="M2113" s="9"/>
      <c r="N2113" s="9"/>
      <c r="O2113" s="9"/>
      <c r="P2113" s="9"/>
      <c r="Q2113" s="9"/>
      <c r="R2113" s="9"/>
      <c r="S2113" s="9"/>
      <c r="T2113" s="9"/>
      <c r="U2113" s="9"/>
      <c r="V2113" s="9"/>
      <c r="W2113" s="10"/>
      <c r="X2113" s="10"/>
      <c r="Y2113" s="10"/>
      <c r="Z2113" s="9"/>
      <c r="AA2113" s="743">
        <v>2014</v>
      </c>
      <c r="AB2113" s="9"/>
      <c r="AC2113" s="10"/>
      <c r="AD2113" s="10"/>
      <c r="AE2113" s="9"/>
      <c r="AF2113" s="9"/>
      <c r="AG2113" s="9"/>
      <c r="AH2113" s="9"/>
      <c r="AI2113" s="9"/>
      <c r="AJ2113" s="9"/>
      <c r="AK2113" s="9"/>
      <c r="AL2113" s="9"/>
      <c r="AM2113" s="9"/>
    </row>
    <row r="2114" spans="1:39" ht="12.75" x14ac:dyDescent="0.2">
      <c r="B2114" s="9"/>
      <c r="C2114" s="9"/>
      <c r="D2114" s="9"/>
      <c r="E2114" s="9"/>
      <c r="F2114" s="10"/>
      <c r="G2114" s="10"/>
      <c r="H2114" s="9"/>
      <c r="I2114" s="10"/>
      <c r="J2114" s="9"/>
      <c r="K2114" s="9"/>
      <c r="L2114" s="9"/>
      <c r="M2114" s="9"/>
      <c r="N2114" s="9"/>
      <c r="O2114" s="9"/>
      <c r="P2114" s="9"/>
      <c r="Q2114" s="9"/>
      <c r="R2114" s="9"/>
      <c r="S2114" s="9"/>
      <c r="T2114" s="9"/>
      <c r="U2114" s="9"/>
      <c r="V2114" s="9"/>
      <c r="W2114" s="10"/>
      <c r="X2114" s="10"/>
      <c r="Y2114" s="10"/>
      <c r="Z2114" s="9"/>
      <c r="AA2114" s="1049" t="s">
        <v>813</v>
      </c>
      <c r="AB2114" s="1050">
        <f>COUNTA(AD2075:AD2111)</f>
        <v>35</v>
      </c>
      <c r="AC2114" s="10"/>
      <c r="AD2114" s="10"/>
      <c r="AE2114" s="9"/>
      <c r="AF2114" s="9"/>
      <c r="AG2114" s="9"/>
      <c r="AH2114" s="9"/>
      <c r="AI2114" s="9"/>
      <c r="AJ2114" s="9"/>
      <c r="AK2114" s="9"/>
      <c r="AL2114" s="9"/>
      <c r="AM2114" s="9"/>
    </row>
    <row r="2115" spans="1:39" ht="12.75" x14ac:dyDescent="0.2">
      <c r="B2115" s="9"/>
      <c r="C2115" s="9"/>
      <c r="D2115" s="9"/>
      <c r="E2115" s="9"/>
      <c r="F2115" s="10"/>
      <c r="G2115" s="10"/>
      <c r="H2115" s="9"/>
      <c r="I2115" s="10"/>
      <c r="J2115" s="9"/>
      <c r="K2115" s="9"/>
      <c r="L2115" s="9"/>
      <c r="M2115" s="9"/>
      <c r="N2115" s="9"/>
      <c r="O2115" s="9"/>
      <c r="P2115" s="9"/>
      <c r="Q2115" s="9"/>
      <c r="R2115" s="9"/>
      <c r="S2115" s="9"/>
      <c r="T2115" s="9"/>
      <c r="U2115" s="9"/>
      <c r="V2115" s="9"/>
      <c r="W2115" s="10"/>
      <c r="X2115" s="10"/>
      <c r="Y2115" s="10"/>
      <c r="Z2115" s="9"/>
      <c r="AA2115" s="1049" t="s">
        <v>815</v>
      </c>
      <c r="AB2115" s="1050">
        <f>COUNTIF(AD2075:AD2111,"en término")</f>
        <v>25</v>
      </c>
      <c r="AC2115" s="10"/>
      <c r="AD2115" s="10"/>
      <c r="AE2115" s="9"/>
      <c r="AF2115" s="9"/>
      <c r="AG2115" s="9"/>
      <c r="AH2115" s="9"/>
      <c r="AI2115" s="9"/>
      <c r="AJ2115" s="9"/>
      <c r="AK2115" s="9"/>
      <c r="AL2115" s="9"/>
      <c r="AM2115" s="9"/>
    </row>
    <row r="2116" spans="1:39" ht="12.75" x14ac:dyDescent="0.2">
      <c r="B2116" s="9"/>
      <c r="C2116" s="9"/>
      <c r="D2116" s="9"/>
      <c r="E2116" s="9"/>
      <c r="F2116" s="10"/>
      <c r="G2116" s="10"/>
      <c r="H2116" s="9"/>
      <c r="I2116" s="10"/>
      <c r="J2116" s="9"/>
      <c r="K2116" s="9"/>
      <c r="L2116" s="9"/>
      <c r="M2116" s="9"/>
      <c r="N2116" s="9"/>
      <c r="O2116" s="9"/>
      <c r="P2116" s="9"/>
      <c r="Q2116" s="9"/>
      <c r="R2116" s="9"/>
      <c r="S2116" s="9"/>
      <c r="T2116" s="9"/>
      <c r="U2116" s="9"/>
      <c r="V2116" s="9"/>
      <c r="W2116" s="10"/>
      <c r="X2116" s="10"/>
      <c r="Y2116" s="10"/>
      <c r="Z2116" s="9"/>
      <c r="AA2116" s="1049" t="s">
        <v>817</v>
      </c>
      <c r="AB2116" s="742">
        <f>+AB2115/AB2114</f>
        <v>0.7142857142857143</v>
      </c>
      <c r="AC2116" s="10"/>
      <c r="AD2116" s="10"/>
      <c r="AE2116" s="9"/>
      <c r="AF2116" s="9"/>
      <c r="AG2116" s="9"/>
      <c r="AH2116" s="9"/>
      <c r="AI2116" s="9"/>
      <c r="AJ2116" s="9"/>
      <c r="AK2116" s="9"/>
      <c r="AL2116" s="9"/>
      <c r="AM2116" s="9"/>
    </row>
    <row r="2117" spans="1:39" x14ac:dyDescent="0.2">
      <c r="B2117" s="9"/>
      <c r="C2117" s="9"/>
      <c r="D2117" s="9"/>
      <c r="E2117" s="9"/>
      <c r="F2117" s="10"/>
      <c r="G2117" s="10"/>
      <c r="H2117" s="9"/>
      <c r="I2117" s="10"/>
      <c r="J2117" s="9"/>
      <c r="K2117" s="9"/>
      <c r="L2117" s="9"/>
      <c r="M2117" s="9"/>
      <c r="N2117" s="9"/>
      <c r="O2117" s="9"/>
      <c r="P2117" s="9"/>
      <c r="Q2117" s="9"/>
      <c r="R2117" s="9"/>
      <c r="S2117" s="9"/>
      <c r="T2117" s="9"/>
      <c r="U2117" s="9"/>
      <c r="V2117" s="9"/>
      <c r="W2117" s="10"/>
      <c r="X2117" s="10"/>
      <c r="Y2117" s="10"/>
      <c r="Z2117" s="9"/>
      <c r="AA2117" s="9"/>
      <c r="AB2117" s="9"/>
      <c r="AC2117" s="10"/>
      <c r="AD2117" s="10"/>
      <c r="AE2117" s="9"/>
      <c r="AF2117" s="9"/>
      <c r="AG2117" s="9"/>
      <c r="AH2117" s="9"/>
      <c r="AI2117" s="9"/>
      <c r="AJ2117" s="9"/>
      <c r="AK2117" s="9"/>
      <c r="AL2117" s="9"/>
      <c r="AM2117" s="9"/>
    </row>
    <row r="2118" spans="1:39" x14ac:dyDescent="0.2">
      <c r="B2118" s="9"/>
      <c r="C2118" s="9"/>
      <c r="D2118" s="9"/>
      <c r="E2118" s="9"/>
      <c r="F2118" s="10"/>
      <c r="G2118" s="10"/>
      <c r="H2118" s="9"/>
      <c r="I2118" s="10"/>
      <c r="J2118" s="9"/>
      <c r="K2118" s="9"/>
      <c r="L2118" s="9"/>
      <c r="M2118" s="9"/>
      <c r="N2118" s="9"/>
      <c r="O2118" s="9"/>
      <c r="P2118" s="9"/>
      <c r="Q2118" s="9"/>
      <c r="R2118" s="9"/>
      <c r="S2118" s="9"/>
      <c r="T2118" s="9"/>
      <c r="U2118" s="9"/>
      <c r="V2118" s="9"/>
      <c r="W2118" s="10"/>
      <c r="X2118" s="10"/>
      <c r="Y2118" s="10"/>
      <c r="Z2118" s="9"/>
      <c r="AA2118" s="9"/>
      <c r="AB2118" s="9"/>
      <c r="AC2118" s="10"/>
      <c r="AD2118" s="10"/>
      <c r="AE2118" s="9"/>
      <c r="AF2118" s="9"/>
      <c r="AG2118" s="9"/>
      <c r="AH2118" s="9"/>
      <c r="AI2118" s="9"/>
      <c r="AJ2118" s="9"/>
      <c r="AK2118" s="9"/>
      <c r="AL2118" s="9"/>
      <c r="AM2118" s="9"/>
    </row>
    <row r="2119" spans="1:39" x14ac:dyDescent="0.2">
      <c r="B2119" s="9"/>
      <c r="C2119" s="9"/>
      <c r="D2119" s="9"/>
      <c r="E2119" s="9"/>
      <c r="F2119" s="10"/>
      <c r="G2119" s="10"/>
      <c r="H2119" s="9"/>
      <c r="I2119" s="10"/>
      <c r="J2119" s="9"/>
      <c r="K2119" s="9"/>
      <c r="L2119" s="9"/>
      <c r="M2119" s="9"/>
      <c r="N2119" s="9"/>
      <c r="O2119" s="9"/>
      <c r="P2119" s="9"/>
      <c r="Q2119" s="9"/>
      <c r="R2119" s="9"/>
      <c r="S2119" s="9"/>
      <c r="T2119" s="9"/>
      <c r="U2119" s="9"/>
      <c r="V2119" s="9"/>
      <c r="W2119" s="10"/>
      <c r="X2119" s="10"/>
      <c r="Y2119" s="10"/>
      <c r="Z2119" s="9"/>
      <c r="AA2119" s="9"/>
      <c r="AB2119" s="9"/>
      <c r="AC2119" s="10"/>
      <c r="AD2119" s="10"/>
      <c r="AE2119" s="9"/>
      <c r="AF2119" s="9"/>
      <c r="AG2119" s="9"/>
      <c r="AH2119" s="9"/>
      <c r="AI2119" s="9"/>
      <c r="AJ2119" s="9"/>
      <c r="AK2119" s="9"/>
      <c r="AL2119" s="9"/>
      <c r="AM2119" s="9"/>
    </row>
    <row r="2120" spans="1:39" ht="12" thickBot="1" x14ac:dyDescent="0.25">
      <c r="B2120" s="9"/>
      <c r="C2120" s="9"/>
      <c r="D2120" s="9"/>
      <c r="E2120" s="9"/>
      <c r="F2120" s="10"/>
      <c r="G2120" s="10"/>
      <c r="H2120" s="9"/>
      <c r="I2120" s="10"/>
      <c r="J2120" s="9"/>
      <c r="K2120" s="9"/>
      <c r="L2120" s="9"/>
      <c r="M2120" s="9"/>
      <c r="N2120" s="9"/>
      <c r="O2120" s="9"/>
      <c r="P2120" s="9"/>
      <c r="Q2120" s="9"/>
      <c r="R2120" s="9"/>
      <c r="S2120" s="9"/>
      <c r="T2120" s="9"/>
      <c r="U2120" s="9"/>
      <c r="V2120" s="9"/>
      <c r="W2120" s="10"/>
      <c r="X2120" s="10"/>
      <c r="Y2120" s="10"/>
      <c r="Z2120" s="9"/>
      <c r="AA2120" s="9"/>
      <c r="AB2120" s="9"/>
      <c r="AC2120" s="10"/>
      <c r="AD2120" s="10"/>
      <c r="AE2120" s="9"/>
      <c r="AF2120" s="9"/>
      <c r="AG2120" s="9"/>
      <c r="AH2120" s="9"/>
      <c r="AI2120" s="9"/>
      <c r="AJ2120" s="9"/>
      <c r="AK2120" s="9"/>
      <c r="AL2120" s="9"/>
      <c r="AM2120" s="9"/>
    </row>
    <row r="2121" spans="1:39" s="556" customFormat="1" ht="39.950000000000003" customHeight="1" thickBot="1" x14ac:dyDescent="0.4">
      <c r="A2121" s="554"/>
      <c r="B2121" s="1611">
        <v>2015</v>
      </c>
      <c r="C2121" s="1612"/>
      <c r="D2121" s="1612"/>
      <c r="E2121" s="1612"/>
      <c r="F2121" s="1612"/>
      <c r="G2121" s="1612"/>
      <c r="H2121" s="1612"/>
      <c r="I2121" s="1612"/>
      <c r="J2121" s="1612"/>
      <c r="K2121" s="1612"/>
      <c r="L2121" s="1612"/>
      <c r="M2121" s="1612"/>
      <c r="N2121" s="1612"/>
      <c r="O2121" s="1612"/>
      <c r="P2121" s="1612"/>
      <c r="Q2121" s="1612"/>
      <c r="R2121" s="1612"/>
      <c r="S2121" s="1612"/>
      <c r="T2121" s="1612"/>
      <c r="U2121" s="1612"/>
      <c r="V2121" s="1612"/>
      <c r="W2121" s="1612"/>
      <c r="X2121" s="1612"/>
      <c r="Y2121" s="1612"/>
      <c r="Z2121" s="1612"/>
      <c r="AA2121" s="1612"/>
      <c r="AB2121" s="1612"/>
      <c r="AC2121" s="1613"/>
      <c r="AD2121" s="555"/>
    </row>
    <row r="2122" spans="1:39" s="441" customFormat="1" ht="60" customHeight="1" thickBot="1" x14ac:dyDescent="0.25">
      <c r="A2122" s="438"/>
      <c r="B2122" s="451" t="s">
        <v>130</v>
      </c>
      <c r="C2122" s="451" t="s">
        <v>4</v>
      </c>
      <c r="D2122" s="451" t="s">
        <v>5</v>
      </c>
      <c r="E2122" s="451" t="s">
        <v>6</v>
      </c>
      <c r="F2122" s="451" t="s">
        <v>7</v>
      </c>
      <c r="G2122" s="451" t="s">
        <v>8</v>
      </c>
      <c r="H2122" s="453" t="s">
        <v>9</v>
      </c>
      <c r="I2122" s="453" t="s">
        <v>10</v>
      </c>
      <c r="J2122" s="451" t="s">
        <v>11</v>
      </c>
      <c r="K2122" s="451" t="s">
        <v>12</v>
      </c>
      <c r="L2122" s="451" t="s">
        <v>13</v>
      </c>
      <c r="M2122" s="451" t="s">
        <v>14</v>
      </c>
      <c r="N2122" s="451" t="s">
        <v>15</v>
      </c>
      <c r="O2122" s="452" t="s">
        <v>16</v>
      </c>
      <c r="P2122" s="454" t="s">
        <v>17</v>
      </c>
      <c r="Q2122" s="451" t="s">
        <v>18</v>
      </c>
      <c r="R2122" s="452" t="s">
        <v>19</v>
      </c>
      <c r="S2122" s="451" t="s">
        <v>20</v>
      </c>
      <c r="T2122" s="451" t="s">
        <v>21</v>
      </c>
      <c r="U2122" s="452" t="s">
        <v>22</v>
      </c>
      <c r="V2122" s="451" t="s">
        <v>131</v>
      </c>
      <c r="W2122" s="451" t="s">
        <v>24</v>
      </c>
      <c r="X2122" s="451" t="s">
        <v>132</v>
      </c>
      <c r="Y2122" s="451" t="s">
        <v>26</v>
      </c>
      <c r="Z2122" s="451" t="s">
        <v>27</v>
      </c>
      <c r="AA2122" s="451" t="s">
        <v>28</v>
      </c>
      <c r="AB2122" s="451" t="s">
        <v>29</v>
      </c>
      <c r="AC2122" s="451" t="s">
        <v>30</v>
      </c>
      <c r="AD2122" s="439"/>
      <c r="AE2122" s="440"/>
      <c r="AF2122" s="440"/>
      <c r="AG2122" s="440"/>
      <c r="AH2122" s="440"/>
      <c r="AI2122" s="440"/>
      <c r="AJ2122" s="440"/>
      <c r="AK2122" s="440"/>
      <c r="AL2122" s="440"/>
      <c r="AM2122" s="440"/>
    </row>
    <row r="2123" spans="1:39" s="649" customFormat="1" ht="54.95" customHeight="1" thickBot="1" x14ac:dyDescent="0.25">
      <c r="B2123" s="900" t="s">
        <v>36</v>
      </c>
      <c r="C2123" s="887" t="s">
        <v>2974</v>
      </c>
      <c r="D2123" s="888" t="s">
        <v>2975</v>
      </c>
      <c r="E2123" s="901"/>
      <c r="F2123" s="913">
        <v>4100593573</v>
      </c>
      <c r="G2123" s="889" t="s">
        <v>39</v>
      </c>
      <c r="H2123" s="890">
        <v>26400</v>
      </c>
      <c r="I2123" s="902" t="s">
        <v>40</v>
      </c>
      <c r="J2123" s="892">
        <v>41906</v>
      </c>
      <c r="K2123" s="893">
        <v>90</v>
      </c>
      <c r="L2123" s="892">
        <v>42007</v>
      </c>
      <c r="M2123" s="892" t="s">
        <v>41</v>
      </c>
      <c r="N2123" s="889" t="s">
        <v>42</v>
      </c>
      <c r="O2123" s="892">
        <v>42009</v>
      </c>
      <c r="P2123" s="893">
        <f t="shared" ref="P2123:P2137" si="84">IF(S2123="","",+S2123-L2123)</f>
        <v>36</v>
      </c>
      <c r="Q2123" s="901" t="s">
        <v>2976</v>
      </c>
      <c r="R2123" s="903"/>
      <c r="S2123" s="904">
        <v>42043</v>
      </c>
      <c r="T2123" s="894">
        <v>42049</v>
      </c>
      <c r="U2123" s="893">
        <f t="shared" ref="U2123:U2153" si="85">IF(T2123="","",+T2123-J2123)</f>
        <v>143</v>
      </c>
      <c r="V2123" s="901" t="s">
        <v>2977</v>
      </c>
      <c r="W2123" s="897" t="s">
        <v>2305</v>
      </c>
      <c r="X2123" s="889"/>
      <c r="Y2123" s="920">
        <v>41985</v>
      </c>
      <c r="Z2123" s="895" t="s">
        <v>2978</v>
      </c>
      <c r="AA2123" s="889"/>
      <c r="AB2123" s="892" t="s">
        <v>2735</v>
      </c>
      <c r="AC2123" s="906" t="s">
        <v>2979</v>
      </c>
      <c r="AD2123" s="645" t="str">
        <f t="shared" ref="AD2123:AD2153" si="86">IF(P2123="","",IF(P2123&lt;=0,"en término","atrasado"))</f>
        <v>atrasado</v>
      </c>
      <c r="AE2123" s="468" t="s">
        <v>2980</v>
      </c>
      <c r="AF2123" s="468" t="s">
        <v>2981</v>
      </c>
    </row>
    <row r="2124" spans="1:39" s="649" customFormat="1" ht="54.95" customHeight="1" thickBot="1" x14ac:dyDescent="0.25">
      <c r="B2124" s="900" t="s">
        <v>36</v>
      </c>
      <c r="C2124" s="887" t="s">
        <v>2974</v>
      </c>
      <c r="D2124" s="888" t="s">
        <v>2982</v>
      </c>
      <c r="E2124" s="901"/>
      <c r="F2124" s="913">
        <v>4100594376</v>
      </c>
      <c r="G2124" s="889" t="s">
        <v>39</v>
      </c>
      <c r="H2124" s="890">
        <v>78750</v>
      </c>
      <c r="I2124" s="902" t="s">
        <v>40</v>
      </c>
      <c r="J2124" s="892">
        <v>41906</v>
      </c>
      <c r="K2124" s="893">
        <v>90</v>
      </c>
      <c r="L2124" s="892">
        <v>42009</v>
      </c>
      <c r="M2124" s="892" t="s">
        <v>41</v>
      </c>
      <c r="N2124" s="889" t="s">
        <v>42</v>
      </c>
      <c r="O2124" s="892">
        <v>42009</v>
      </c>
      <c r="P2124" s="893">
        <f t="shared" si="84"/>
        <v>64</v>
      </c>
      <c r="Q2124" s="901" t="s">
        <v>2983</v>
      </c>
      <c r="R2124" s="903">
        <v>42053</v>
      </c>
      <c r="S2124" s="904">
        <v>42073</v>
      </c>
      <c r="T2124" s="894">
        <f>+S2124+30</f>
        <v>42103</v>
      </c>
      <c r="U2124" s="893">
        <f t="shared" si="85"/>
        <v>197</v>
      </c>
      <c r="V2124" s="901" t="s">
        <v>2984</v>
      </c>
      <c r="W2124" s="897" t="s">
        <v>2314</v>
      </c>
      <c r="X2124" s="889"/>
      <c r="Y2124" s="920">
        <v>41985</v>
      </c>
      <c r="Z2124" s="895" t="s">
        <v>2978</v>
      </c>
      <c r="AA2124" s="889"/>
      <c r="AB2124" s="892" t="s">
        <v>2735</v>
      </c>
      <c r="AC2124" s="906" t="s">
        <v>2979</v>
      </c>
      <c r="AD2124" s="645" t="str">
        <f t="shared" si="86"/>
        <v>atrasado</v>
      </c>
      <c r="AE2124" s="468" t="s">
        <v>2985</v>
      </c>
      <c r="AF2124" s="468" t="s">
        <v>2981</v>
      </c>
    </row>
    <row r="2125" spans="1:39" s="649" customFormat="1" ht="54.95" customHeight="1" thickBot="1" x14ac:dyDescent="0.25">
      <c r="B2125" s="900" t="s">
        <v>36</v>
      </c>
      <c r="C2125" s="887" t="s">
        <v>37</v>
      </c>
      <c r="D2125" s="888" t="s">
        <v>2986</v>
      </c>
      <c r="E2125" s="901" t="s">
        <v>2987</v>
      </c>
      <c r="F2125" s="913">
        <v>14110004</v>
      </c>
      <c r="G2125" s="889" t="s">
        <v>39</v>
      </c>
      <c r="H2125" s="890">
        <v>390000</v>
      </c>
      <c r="I2125" s="902" t="s">
        <v>40</v>
      </c>
      <c r="J2125" s="892">
        <v>41950</v>
      </c>
      <c r="K2125" s="893">
        <v>150</v>
      </c>
      <c r="L2125" s="892">
        <f>+J2125+K2125</f>
        <v>42100</v>
      </c>
      <c r="M2125" s="892" t="s">
        <v>41</v>
      </c>
      <c r="N2125" s="889" t="s">
        <v>42</v>
      </c>
      <c r="O2125" s="892">
        <v>42079</v>
      </c>
      <c r="P2125" s="893">
        <f t="shared" si="84"/>
        <v>-13</v>
      </c>
      <c r="Q2125" s="901"/>
      <c r="R2125" s="903">
        <v>42083</v>
      </c>
      <c r="S2125" s="904">
        <v>42087</v>
      </c>
      <c r="T2125" s="904">
        <f>+S2125+20</f>
        <v>42107</v>
      </c>
      <c r="U2125" s="893">
        <f t="shared" si="85"/>
        <v>157</v>
      </c>
      <c r="V2125" s="893" t="s">
        <v>2988</v>
      </c>
      <c r="W2125" s="897" t="s">
        <v>100</v>
      </c>
      <c r="X2125" s="889"/>
      <c r="Y2125" s="905"/>
      <c r="Z2125" s="895" t="s">
        <v>46</v>
      </c>
      <c r="AA2125" s="889" t="s">
        <v>47</v>
      </c>
      <c r="AB2125" s="892" t="s">
        <v>2989</v>
      </c>
      <c r="AC2125" s="906"/>
      <c r="AD2125" s="645" t="str">
        <f t="shared" si="86"/>
        <v>en término</v>
      </c>
      <c r="AE2125" s="468"/>
      <c r="AF2125" s="468"/>
    </row>
    <row r="2126" spans="1:39" s="649" customFormat="1" ht="54.95" customHeight="1" thickBot="1" x14ac:dyDescent="0.25">
      <c r="B2126" s="900" t="s">
        <v>36</v>
      </c>
      <c r="C2126" s="887" t="s">
        <v>37</v>
      </c>
      <c r="D2126" s="888" t="s">
        <v>2990</v>
      </c>
      <c r="E2126" s="901" t="s">
        <v>2991</v>
      </c>
      <c r="F2126" s="913">
        <v>15010001</v>
      </c>
      <c r="G2126" s="889" t="s">
        <v>39</v>
      </c>
      <c r="H2126" s="890">
        <v>5445</v>
      </c>
      <c r="I2126" s="902" t="s">
        <v>142</v>
      </c>
      <c r="J2126" s="892">
        <v>42002</v>
      </c>
      <c r="K2126" s="893">
        <v>90</v>
      </c>
      <c r="L2126" s="892">
        <v>42099</v>
      </c>
      <c r="M2126" s="892" t="s">
        <v>41</v>
      </c>
      <c r="N2126" s="889" t="s">
        <v>42</v>
      </c>
      <c r="O2126" s="892">
        <v>42079</v>
      </c>
      <c r="P2126" s="893">
        <f t="shared" si="84"/>
        <v>-12</v>
      </c>
      <c r="Q2126" s="901"/>
      <c r="R2126" s="903">
        <v>42083</v>
      </c>
      <c r="S2126" s="904">
        <v>42087</v>
      </c>
      <c r="T2126" s="904">
        <f>+S2126+20</f>
        <v>42107</v>
      </c>
      <c r="U2126" s="893">
        <f t="shared" si="85"/>
        <v>105</v>
      </c>
      <c r="V2126" s="893" t="s">
        <v>433</v>
      </c>
      <c r="W2126" s="897" t="s">
        <v>100</v>
      </c>
      <c r="X2126" s="889"/>
      <c r="Y2126" s="905"/>
      <c r="Z2126" s="895" t="s">
        <v>46</v>
      </c>
      <c r="AA2126" s="889" t="s">
        <v>47</v>
      </c>
      <c r="AB2126" s="892" t="s">
        <v>2989</v>
      </c>
      <c r="AC2126" s="906"/>
      <c r="AD2126" s="645" t="str">
        <f t="shared" si="86"/>
        <v>en término</v>
      </c>
      <c r="AE2126" s="468"/>
      <c r="AF2126" s="468"/>
    </row>
    <row r="2127" spans="1:39" s="649" customFormat="1" ht="54.95" customHeight="1" thickBot="1" x14ac:dyDescent="0.25">
      <c r="B2127" s="900" t="s">
        <v>36</v>
      </c>
      <c r="C2127" s="887" t="s">
        <v>37</v>
      </c>
      <c r="D2127" s="888" t="s">
        <v>2992</v>
      </c>
      <c r="E2127" s="901" t="s">
        <v>2993</v>
      </c>
      <c r="F2127" s="913">
        <v>14120001</v>
      </c>
      <c r="G2127" s="889" t="s">
        <v>39</v>
      </c>
      <c r="H2127" s="890">
        <v>185339</v>
      </c>
      <c r="I2127" s="902" t="s">
        <v>52</v>
      </c>
      <c r="J2127" s="892">
        <v>41975</v>
      </c>
      <c r="K2127" s="893">
        <v>90</v>
      </c>
      <c r="L2127" s="892">
        <f>+J2127+K2127</f>
        <v>42065</v>
      </c>
      <c r="M2127" s="892" t="s">
        <v>41</v>
      </c>
      <c r="N2127" s="889" t="s">
        <v>42</v>
      </c>
      <c r="O2127" s="892">
        <v>42100</v>
      </c>
      <c r="P2127" s="893">
        <f t="shared" si="84"/>
        <v>44</v>
      </c>
      <c r="Q2127" s="901" t="s">
        <v>2994</v>
      </c>
      <c r="R2127" s="903">
        <v>42107</v>
      </c>
      <c r="S2127" s="904">
        <v>42109</v>
      </c>
      <c r="T2127" s="904">
        <v>42125</v>
      </c>
      <c r="U2127" s="893">
        <f t="shared" si="85"/>
        <v>150</v>
      </c>
      <c r="V2127" s="893" t="s">
        <v>53</v>
      </c>
      <c r="W2127" s="897" t="s">
        <v>2199</v>
      </c>
      <c r="X2127" s="889"/>
      <c r="Y2127" s="905"/>
      <c r="Z2127" s="895" t="s">
        <v>46</v>
      </c>
      <c r="AA2127" s="889" t="s">
        <v>47</v>
      </c>
      <c r="AB2127" s="892" t="s">
        <v>2995</v>
      </c>
      <c r="AC2127" s="906"/>
      <c r="AD2127" s="645" t="str">
        <f t="shared" si="86"/>
        <v>atrasado</v>
      </c>
      <c r="AE2127" s="468"/>
      <c r="AF2127" s="468"/>
    </row>
    <row r="2128" spans="1:39" s="649" customFormat="1" ht="54.95" customHeight="1" thickBot="1" x14ac:dyDescent="0.25">
      <c r="B2128" s="900" t="s">
        <v>36</v>
      </c>
      <c r="C2128" s="887" t="s">
        <v>37</v>
      </c>
      <c r="D2128" s="888" t="s">
        <v>2996</v>
      </c>
      <c r="E2128" s="901" t="s">
        <v>2997</v>
      </c>
      <c r="F2128" s="913">
        <v>15010003</v>
      </c>
      <c r="G2128" s="889" t="s">
        <v>39</v>
      </c>
      <c r="H2128" s="890">
        <v>79425</v>
      </c>
      <c r="I2128" s="902" t="s">
        <v>52</v>
      </c>
      <c r="J2128" s="892">
        <v>42003</v>
      </c>
      <c r="K2128" s="893">
        <v>100</v>
      </c>
      <c r="L2128" s="892">
        <f>+J2128+K2128</f>
        <v>42103</v>
      </c>
      <c r="M2128" s="892" t="s">
        <v>41</v>
      </c>
      <c r="N2128" s="889" t="s">
        <v>42</v>
      </c>
      <c r="O2128" s="892">
        <v>42100</v>
      </c>
      <c r="P2128" s="893">
        <f t="shared" si="84"/>
        <v>6</v>
      </c>
      <c r="Q2128" s="901" t="s">
        <v>2994</v>
      </c>
      <c r="R2128" s="903">
        <v>42107</v>
      </c>
      <c r="S2128" s="904">
        <v>42109</v>
      </c>
      <c r="T2128" s="904">
        <v>42125</v>
      </c>
      <c r="U2128" s="893">
        <f t="shared" si="85"/>
        <v>122</v>
      </c>
      <c r="V2128" s="893" t="s">
        <v>2998</v>
      </c>
      <c r="W2128" s="897" t="s">
        <v>2199</v>
      </c>
      <c r="X2128" s="889"/>
      <c r="Y2128" s="888">
        <v>42095</v>
      </c>
      <c r="Z2128" s="895" t="s">
        <v>46</v>
      </c>
      <c r="AA2128" s="889" t="s">
        <v>47</v>
      </c>
      <c r="AB2128" s="892" t="s">
        <v>2995</v>
      </c>
      <c r="AC2128" s="906"/>
      <c r="AD2128" s="645" t="str">
        <f t="shared" si="86"/>
        <v>atrasado</v>
      </c>
      <c r="AE2128" s="468"/>
      <c r="AF2128" s="468"/>
    </row>
    <row r="2129" spans="2:32" s="649" customFormat="1" ht="54.95" customHeight="1" thickBot="1" x14ac:dyDescent="0.25">
      <c r="B2129" s="900" t="s">
        <v>36</v>
      </c>
      <c r="C2129" s="887" t="s">
        <v>37</v>
      </c>
      <c r="D2129" s="888" t="s">
        <v>2999</v>
      </c>
      <c r="E2129" s="901" t="s">
        <v>3000</v>
      </c>
      <c r="F2129" s="913">
        <v>15010004</v>
      </c>
      <c r="G2129" s="889" t="s">
        <v>39</v>
      </c>
      <c r="H2129" s="890">
        <v>312510</v>
      </c>
      <c r="I2129" s="902" t="s">
        <v>52</v>
      </c>
      <c r="J2129" s="892">
        <v>42018</v>
      </c>
      <c r="K2129" s="893">
        <v>120</v>
      </c>
      <c r="L2129" s="892">
        <f>+J2129+K2129</f>
        <v>42138</v>
      </c>
      <c r="M2129" s="892" t="s">
        <v>41</v>
      </c>
      <c r="N2129" s="889" t="s">
        <v>42</v>
      </c>
      <c r="O2129" s="892">
        <v>42128</v>
      </c>
      <c r="P2129" s="893">
        <f t="shared" si="84"/>
        <v>-2</v>
      </c>
      <c r="Q2129" s="901" t="s">
        <v>3001</v>
      </c>
      <c r="R2129" s="903">
        <v>42135</v>
      </c>
      <c r="S2129" s="904">
        <v>42136</v>
      </c>
      <c r="T2129" s="904">
        <v>42153</v>
      </c>
      <c r="U2129" s="893">
        <f t="shared" si="85"/>
        <v>135</v>
      </c>
      <c r="V2129" s="893" t="s">
        <v>2364</v>
      </c>
      <c r="W2129" s="897" t="s">
        <v>2219</v>
      </c>
      <c r="X2129" s="889"/>
      <c r="Y2129" s="888" t="s">
        <v>3002</v>
      </c>
      <c r="Z2129" s="895" t="s">
        <v>46</v>
      </c>
      <c r="AA2129" s="889" t="s">
        <v>47</v>
      </c>
      <c r="AB2129" s="892" t="s">
        <v>1920</v>
      </c>
      <c r="AC2129" s="906"/>
      <c r="AD2129" s="645" t="str">
        <f t="shared" si="86"/>
        <v>en término</v>
      </c>
      <c r="AE2129" s="468" t="s">
        <v>3003</v>
      </c>
      <c r="AF2129" s="468" t="s">
        <v>2937</v>
      </c>
    </row>
    <row r="2130" spans="2:32" s="649" customFormat="1" ht="54.95" customHeight="1" thickBot="1" x14ac:dyDescent="0.25">
      <c r="B2130" s="900" t="s">
        <v>36</v>
      </c>
      <c r="C2130" s="887" t="s">
        <v>37</v>
      </c>
      <c r="D2130" s="888" t="s">
        <v>3004</v>
      </c>
      <c r="E2130" s="901" t="s">
        <v>3005</v>
      </c>
      <c r="F2130" s="913">
        <v>15020002</v>
      </c>
      <c r="G2130" s="889" t="s">
        <v>39</v>
      </c>
      <c r="H2130" s="890">
        <v>8160</v>
      </c>
      <c r="I2130" s="902" t="s">
        <v>142</v>
      </c>
      <c r="J2130" s="892">
        <v>42034</v>
      </c>
      <c r="K2130" s="893">
        <v>100</v>
      </c>
      <c r="L2130" s="892">
        <f>+J2130+K2130</f>
        <v>42134</v>
      </c>
      <c r="M2130" s="892" t="s">
        <v>41</v>
      </c>
      <c r="N2130" s="889" t="s">
        <v>42</v>
      </c>
      <c r="O2130" s="892">
        <v>42128</v>
      </c>
      <c r="P2130" s="893">
        <f t="shared" si="84"/>
        <v>2</v>
      </c>
      <c r="Q2130" s="901" t="s">
        <v>3001</v>
      </c>
      <c r="R2130" s="903">
        <v>42135</v>
      </c>
      <c r="S2130" s="904">
        <v>42136</v>
      </c>
      <c r="T2130" s="904">
        <v>42153</v>
      </c>
      <c r="U2130" s="893">
        <f t="shared" si="85"/>
        <v>119</v>
      </c>
      <c r="V2130" s="893" t="s">
        <v>3006</v>
      </c>
      <c r="W2130" s="897" t="s">
        <v>2219</v>
      </c>
      <c r="X2130" s="889"/>
      <c r="Y2130" s="905"/>
      <c r="Z2130" s="895" t="s">
        <v>46</v>
      </c>
      <c r="AA2130" s="889" t="s">
        <v>47</v>
      </c>
      <c r="AB2130" s="892" t="s">
        <v>1920</v>
      </c>
      <c r="AC2130" s="906"/>
      <c r="AD2130" s="645" t="str">
        <f t="shared" si="86"/>
        <v>atrasado</v>
      </c>
      <c r="AE2130" s="468" t="s">
        <v>3003</v>
      </c>
      <c r="AF2130" s="468" t="s">
        <v>2937</v>
      </c>
    </row>
    <row r="2131" spans="2:32" s="649" customFormat="1" ht="54.95" customHeight="1" thickBot="1" x14ac:dyDescent="0.25">
      <c r="B2131" s="900" t="s">
        <v>36</v>
      </c>
      <c r="C2131" s="887" t="s">
        <v>37</v>
      </c>
      <c r="D2131" s="888" t="s">
        <v>3007</v>
      </c>
      <c r="E2131" s="901" t="s">
        <v>3008</v>
      </c>
      <c r="F2131" s="913">
        <v>15020001</v>
      </c>
      <c r="G2131" s="889" t="s">
        <v>39</v>
      </c>
      <c r="H2131" s="890">
        <v>67650</v>
      </c>
      <c r="I2131" s="902" t="s">
        <v>52</v>
      </c>
      <c r="J2131" s="892">
        <v>42034</v>
      </c>
      <c r="K2131" s="893">
        <v>120</v>
      </c>
      <c r="L2131" s="892">
        <f>+J2131+K2131</f>
        <v>42154</v>
      </c>
      <c r="M2131" s="892" t="s">
        <v>41</v>
      </c>
      <c r="N2131" s="889" t="s">
        <v>42</v>
      </c>
      <c r="O2131" s="892">
        <v>42128</v>
      </c>
      <c r="P2131" s="893">
        <f t="shared" si="84"/>
        <v>-18</v>
      </c>
      <c r="Q2131" s="901" t="s">
        <v>3001</v>
      </c>
      <c r="R2131" s="903">
        <v>42135</v>
      </c>
      <c r="S2131" s="904">
        <v>42136</v>
      </c>
      <c r="T2131" s="904">
        <v>42153</v>
      </c>
      <c r="U2131" s="893">
        <f t="shared" si="85"/>
        <v>119</v>
      </c>
      <c r="V2131" s="893" t="s">
        <v>53</v>
      </c>
      <c r="W2131" s="897" t="s">
        <v>2219</v>
      </c>
      <c r="X2131" s="889"/>
      <c r="Y2131" s="905"/>
      <c r="Z2131" s="895" t="s">
        <v>46</v>
      </c>
      <c r="AA2131" s="889" t="s">
        <v>1575</v>
      </c>
      <c r="AB2131" s="892" t="s">
        <v>1920</v>
      </c>
      <c r="AC2131" s="906"/>
      <c r="AD2131" s="645" t="str">
        <f t="shared" si="86"/>
        <v>en término</v>
      </c>
      <c r="AE2131" s="468" t="s">
        <v>3003</v>
      </c>
      <c r="AF2131" s="468" t="s">
        <v>2937</v>
      </c>
    </row>
    <row r="2132" spans="2:32" s="649" customFormat="1" ht="54.95" customHeight="1" thickBot="1" x14ac:dyDescent="0.25">
      <c r="B2132" s="900" t="s">
        <v>36</v>
      </c>
      <c r="C2132" s="887" t="s">
        <v>37</v>
      </c>
      <c r="D2132" s="888" t="s">
        <v>3009</v>
      </c>
      <c r="E2132" s="901" t="s">
        <v>3010</v>
      </c>
      <c r="F2132" s="913">
        <v>15030001</v>
      </c>
      <c r="G2132" s="889" t="s">
        <v>39</v>
      </c>
      <c r="H2132" s="890">
        <v>15600</v>
      </c>
      <c r="I2132" s="902" t="s">
        <v>40</v>
      </c>
      <c r="J2132" s="892">
        <v>42065</v>
      </c>
      <c r="K2132" s="893">
        <f>+L2132-J2132</f>
        <v>71</v>
      </c>
      <c r="L2132" s="892">
        <v>42136</v>
      </c>
      <c r="M2132" s="892" t="s">
        <v>41</v>
      </c>
      <c r="N2132" s="889" t="s">
        <v>42</v>
      </c>
      <c r="O2132" s="892">
        <v>42128</v>
      </c>
      <c r="P2132" s="893">
        <f t="shared" si="84"/>
        <v>0</v>
      </c>
      <c r="Q2132" s="901" t="s">
        <v>3001</v>
      </c>
      <c r="R2132" s="903">
        <v>42135</v>
      </c>
      <c r="S2132" s="904">
        <v>42136</v>
      </c>
      <c r="T2132" s="904">
        <v>42153</v>
      </c>
      <c r="U2132" s="893">
        <f t="shared" si="85"/>
        <v>88</v>
      </c>
      <c r="V2132" s="893" t="s">
        <v>3011</v>
      </c>
      <c r="W2132" s="897" t="s">
        <v>2219</v>
      </c>
      <c r="X2132" s="889"/>
      <c r="Y2132" s="905"/>
      <c r="Z2132" s="895" t="s">
        <v>46</v>
      </c>
      <c r="AA2132" s="889" t="s">
        <v>47</v>
      </c>
      <c r="AB2132" s="892" t="s">
        <v>1920</v>
      </c>
      <c r="AC2132" s="906"/>
      <c r="AD2132" s="645" t="str">
        <f t="shared" si="86"/>
        <v>en término</v>
      </c>
      <c r="AE2132" s="468" t="s">
        <v>3003</v>
      </c>
      <c r="AF2132" s="468" t="s">
        <v>2937</v>
      </c>
    </row>
    <row r="2133" spans="2:32" s="649" customFormat="1" ht="54.95" customHeight="1" thickBot="1" x14ac:dyDescent="0.25">
      <c r="B2133" s="900" t="s">
        <v>36</v>
      </c>
      <c r="C2133" s="887" t="s">
        <v>37</v>
      </c>
      <c r="D2133" s="888" t="s">
        <v>3012</v>
      </c>
      <c r="E2133" s="901" t="s">
        <v>3013</v>
      </c>
      <c r="F2133" s="913">
        <v>15040001</v>
      </c>
      <c r="G2133" s="889" t="s">
        <v>39</v>
      </c>
      <c r="H2133" s="890">
        <v>89500</v>
      </c>
      <c r="I2133" s="902" t="s">
        <v>52</v>
      </c>
      <c r="J2133" s="892">
        <v>42081</v>
      </c>
      <c r="K2133" s="893">
        <v>100</v>
      </c>
      <c r="L2133" s="892">
        <f>+J2133+K2133</f>
        <v>42181</v>
      </c>
      <c r="M2133" s="892" t="s">
        <v>41</v>
      </c>
      <c r="N2133" s="889" t="s">
        <v>42</v>
      </c>
      <c r="O2133" s="892">
        <v>42163</v>
      </c>
      <c r="P2133" s="893">
        <f t="shared" si="84"/>
        <v>-10</v>
      </c>
      <c r="Q2133" s="901" t="s">
        <v>3014</v>
      </c>
      <c r="R2133" s="903">
        <v>42169</v>
      </c>
      <c r="S2133" s="904">
        <v>42171</v>
      </c>
      <c r="T2133" s="894">
        <v>42188</v>
      </c>
      <c r="U2133" s="893">
        <f t="shared" si="85"/>
        <v>107</v>
      </c>
      <c r="V2133" s="893" t="s">
        <v>3015</v>
      </c>
      <c r="W2133" s="897" t="s">
        <v>2758</v>
      </c>
      <c r="X2133" s="889"/>
      <c r="Y2133" s="888">
        <v>42163</v>
      </c>
      <c r="Z2133" s="895">
        <v>4568973264</v>
      </c>
      <c r="AA2133" s="889" t="s">
        <v>47</v>
      </c>
      <c r="AB2133" s="892" t="s">
        <v>47</v>
      </c>
      <c r="AC2133" s="906"/>
      <c r="AD2133" s="645" t="str">
        <f t="shared" si="86"/>
        <v>en término</v>
      </c>
      <c r="AE2133" s="468" t="s">
        <v>3016</v>
      </c>
      <c r="AF2133" s="468" t="s">
        <v>2943</v>
      </c>
    </row>
    <row r="2134" spans="2:32" s="649" customFormat="1" ht="54.95" customHeight="1" thickBot="1" x14ac:dyDescent="0.25">
      <c r="B2134" s="900" t="s">
        <v>36</v>
      </c>
      <c r="C2134" s="887" t="s">
        <v>37</v>
      </c>
      <c r="D2134" s="888" t="s">
        <v>3017</v>
      </c>
      <c r="E2134" s="901" t="s">
        <v>3018</v>
      </c>
      <c r="F2134" s="913">
        <v>15050001</v>
      </c>
      <c r="G2134" s="889" t="s">
        <v>39</v>
      </c>
      <c r="H2134" s="890">
        <v>9060</v>
      </c>
      <c r="I2134" s="902" t="s">
        <v>142</v>
      </c>
      <c r="J2134" s="892">
        <v>42130</v>
      </c>
      <c r="K2134" s="893">
        <f>+L2134-J2134</f>
        <v>89</v>
      </c>
      <c r="L2134" s="892">
        <v>42219</v>
      </c>
      <c r="M2134" s="892" t="s">
        <v>41</v>
      </c>
      <c r="N2134" s="889" t="s">
        <v>42</v>
      </c>
      <c r="O2134" s="892">
        <v>42202</v>
      </c>
      <c r="P2134" s="893">
        <f t="shared" si="84"/>
        <v>-5</v>
      </c>
      <c r="Q2134" s="901" t="s">
        <v>3019</v>
      </c>
      <c r="R2134" s="903">
        <v>42212</v>
      </c>
      <c r="S2134" s="904">
        <v>42214</v>
      </c>
      <c r="T2134" s="894">
        <v>42230</v>
      </c>
      <c r="U2134" s="893">
        <f t="shared" si="85"/>
        <v>100</v>
      </c>
      <c r="V2134" s="893" t="s">
        <v>53</v>
      </c>
      <c r="W2134" s="897" t="s">
        <v>2436</v>
      </c>
      <c r="X2134" s="889"/>
      <c r="Y2134" s="905"/>
      <c r="Z2134" s="895">
        <v>5064589036</v>
      </c>
      <c r="AA2134" s="889" t="s">
        <v>47</v>
      </c>
      <c r="AB2134" s="892" t="s">
        <v>3020</v>
      </c>
      <c r="AC2134" s="906"/>
      <c r="AD2134" s="645" t="str">
        <f t="shared" si="86"/>
        <v>en término</v>
      </c>
      <c r="AE2134" s="468" t="s">
        <v>3021</v>
      </c>
      <c r="AF2134" s="468" t="s">
        <v>2949</v>
      </c>
    </row>
    <row r="2135" spans="2:32" s="649" customFormat="1" ht="54.95" customHeight="1" thickBot="1" x14ac:dyDescent="0.25">
      <c r="B2135" s="900" t="s">
        <v>36</v>
      </c>
      <c r="C2135" s="887" t="s">
        <v>37</v>
      </c>
      <c r="D2135" s="888" t="s">
        <v>3022</v>
      </c>
      <c r="E2135" s="901" t="s">
        <v>3023</v>
      </c>
      <c r="F2135" s="913">
        <v>15050002</v>
      </c>
      <c r="G2135" s="889" t="s">
        <v>39</v>
      </c>
      <c r="H2135" s="890">
        <v>10640</v>
      </c>
      <c r="I2135" s="902" t="s">
        <v>40</v>
      </c>
      <c r="J2135" s="892">
        <v>42131</v>
      </c>
      <c r="K2135" s="893">
        <f>+L2135-J2135</f>
        <v>96</v>
      </c>
      <c r="L2135" s="892">
        <v>42227</v>
      </c>
      <c r="M2135" s="892" t="s">
        <v>41</v>
      </c>
      <c r="N2135" s="889" t="s">
        <v>42</v>
      </c>
      <c r="O2135" s="892">
        <v>42202</v>
      </c>
      <c r="P2135" s="893">
        <f t="shared" si="84"/>
        <v>-13</v>
      </c>
      <c r="Q2135" s="901" t="s">
        <v>3019</v>
      </c>
      <c r="R2135" s="903">
        <v>42212</v>
      </c>
      <c r="S2135" s="904">
        <v>42214</v>
      </c>
      <c r="T2135" s="894">
        <v>42230</v>
      </c>
      <c r="U2135" s="893">
        <f t="shared" si="85"/>
        <v>99</v>
      </c>
      <c r="V2135" s="893" t="s">
        <v>3024</v>
      </c>
      <c r="W2135" s="897" t="s">
        <v>2436</v>
      </c>
      <c r="X2135" s="889"/>
      <c r="Y2135" s="905"/>
      <c r="Z2135" s="895">
        <v>5064589036</v>
      </c>
      <c r="AA2135" s="889" t="s">
        <v>47</v>
      </c>
      <c r="AB2135" s="892" t="s">
        <v>3020</v>
      </c>
      <c r="AC2135" s="906"/>
      <c r="AD2135" s="645" t="str">
        <f t="shared" si="86"/>
        <v>en término</v>
      </c>
      <c r="AE2135" s="468" t="s">
        <v>3021</v>
      </c>
      <c r="AF2135" s="468" t="s">
        <v>2949</v>
      </c>
    </row>
    <row r="2136" spans="2:32" s="649" customFormat="1" ht="54.95" customHeight="1" thickBot="1" x14ac:dyDescent="0.25">
      <c r="B2136" s="900" t="s">
        <v>36</v>
      </c>
      <c r="C2136" s="887" t="s">
        <v>37</v>
      </c>
      <c r="D2136" s="888" t="s">
        <v>3025</v>
      </c>
      <c r="E2136" s="901" t="s">
        <v>3026</v>
      </c>
      <c r="F2136" s="913">
        <v>15050004</v>
      </c>
      <c r="G2136" s="889" t="s">
        <v>39</v>
      </c>
      <c r="H2136" s="890">
        <v>393930</v>
      </c>
      <c r="I2136" s="902" t="s">
        <v>52</v>
      </c>
      <c r="J2136" s="892">
        <v>42149</v>
      </c>
      <c r="K2136" s="893">
        <f>+L2136-J2136</f>
        <v>82</v>
      </c>
      <c r="L2136" s="892">
        <v>42231</v>
      </c>
      <c r="M2136" s="892" t="s">
        <v>41</v>
      </c>
      <c r="N2136" s="889" t="s">
        <v>42</v>
      </c>
      <c r="O2136" s="892">
        <v>42202</v>
      </c>
      <c r="P2136" s="893">
        <f t="shared" si="84"/>
        <v>-17</v>
      </c>
      <c r="Q2136" s="901" t="s">
        <v>3019</v>
      </c>
      <c r="R2136" s="903">
        <v>42212</v>
      </c>
      <c r="S2136" s="904">
        <v>42214</v>
      </c>
      <c r="T2136" s="894">
        <v>42230</v>
      </c>
      <c r="U2136" s="893">
        <f t="shared" si="85"/>
        <v>81</v>
      </c>
      <c r="V2136" s="893" t="s">
        <v>3027</v>
      </c>
      <c r="W2136" s="897" t="s">
        <v>2436</v>
      </c>
      <c r="X2136" s="889"/>
      <c r="Y2136" s="889" t="s">
        <v>3028</v>
      </c>
      <c r="Z2136" s="895">
        <v>5064589036</v>
      </c>
      <c r="AA2136" s="889" t="s">
        <v>47</v>
      </c>
      <c r="AB2136" s="892" t="s">
        <v>3020</v>
      </c>
      <c r="AC2136" s="906"/>
      <c r="AD2136" s="645" t="str">
        <f t="shared" si="86"/>
        <v>en término</v>
      </c>
      <c r="AE2136" s="468" t="s">
        <v>3021</v>
      </c>
      <c r="AF2136" s="468" t="s">
        <v>2949</v>
      </c>
    </row>
    <row r="2137" spans="2:32" s="649" customFormat="1" ht="54.95" customHeight="1" thickBot="1" x14ac:dyDescent="0.25">
      <c r="B2137" s="900" t="s">
        <v>36</v>
      </c>
      <c r="C2137" s="887" t="s">
        <v>37</v>
      </c>
      <c r="D2137" s="888" t="s">
        <v>3029</v>
      </c>
      <c r="E2137" s="901" t="s">
        <v>3030</v>
      </c>
      <c r="F2137" s="913">
        <v>15050005</v>
      </c>
      <c r="G2137" s="889" t="s">
        <v>39</v>
      </c>
      <c r="H2137" s="890">
        <v>8050</v>
      </c>
      <c r="I2137" s="902" t="s">
        <v>142</v>
      </c>
      <c r="J2137" s="892">
        <v>42151</v>
      </c>
      <c r="K2137" s="893">
        <f>+L2137-J2137</f>
        <v>93</v>
      </c>
      <c r="L2137" s="892">
        <v>42244</v>
      </c>
      <c r="M2137" s="892" t="s">
        <v>41</v>
      </c>
      <c r="N2137" s="889" t="s">
        <v>42</v>
      </c>
      <c r="O2137" s="892">
        <v>42202</v>
      </c>
      <c r="P2137" s="893">
        <f t="shared" si="84"/>
        <v>-30</v>
      </c>
      <c r="Q2137" s="901" t="s">
        <v>3019</v>
      </c>
      <c r="R2137" s="903">
        <v>42212</v>
      </c>
      <c r="S2137" s="904">
        <v>42214</v>
      </c>
      <c r="T2137" s="894">
        <v>42230</v>
      </c>
      <c r="U2137" s="893">
        <f t="shared" si="85"/>
        <v>79</v>
      </c>
      <c r="V2137" s="893" t="s">
        <v>2239</v>
      </c>
      <c r="W2137" s="897" t="s">
        <v>2436</v>
      </c>
      <c r="X2137" s="889"/>
      <c r="Y2137" s="905"/>
      <c r="Z2137" s="895">
        <v>5064589036</v>
      </c>
      <c r="AA2137" s="889" t="s">
        <v>47</v>
      </c>
      <c r="AB2137" s="892" t="s">
        <v>3020</v>
      </c>
      <c r="AC2137" s="906"/>
      <c r="AD2137" s="645" t="str">
        <f t="shared" si="86"/>
        <v>en término</v>
      </c>
      <c r="AE2137" s="468" t="s">
        <v>3021</v>
      </c>
      <c r="AF2137" s="468" t="s">
        <v>2949</v>
      </c>
    </row>
    <row r="2138" spans="2:32" s="649" customFormat="1" ht="54.95" customHeight="1" thickBot="1" x14ac:dyDescent="0.25">
      <c r="B2138" s="900" t="s">
        <v>36</v>
      </c>
      <c r="C2138" s="887" t="s">
        <v>37</v>
      </c>
      <c r="D2138" s="456" t="s">
        <v>3031</v>
      </c>
      <c r="E2138" s="901" t="s">
        <v>2993</v>
      </c>
      <c r="F2138" s="913">
        <v>15060008</v>
      </c>
      <c r="G2138" s="889" t="s">
        <v>39</v>
      </c>
      <c r="H2138" s="890">
        <v>2940</v>
      </c>
      <c r="I2138" s="902" t="s">
        <v>52</v>
      </c>
      <c r="J2138" s="892"/>
      <c r="K2138" s="893"/>
      <c r="L2138" s="892"/>
      <c r="M2138" s="892" t="s">
        <v>41</v>
      </c>
      <c r="N2138" s="889" t="s">
        <v>42</v>
      </c>
      <c r="O2138" s="892">
        <v>42202</v>
      </c>
      <c r="P2138" s="893"/>
      <c r="Q2138" s="901" t="s">
        <v>3019</v>
      </c>
      <c r="R2138" s="903">
        <v>42212</v>
      </c>
      <c r="S2138" s="904">
        <v>42214</v>
      </c>
      <c r="T2138" s="894">
        <v>42230</v>
      </c>
      <c r="U2138" s="893">
        <f t="shared" si="85"/>
        <v>42230</v>
      </c>
      <c r="V2138" s="893" t="s">
        <v>3032</v>
      </c>
      <c r="W2138" s="897" t="s">
        <v>2436</v>
      </c>
      <c r="X2138" s="889"/>
      <c r="Y2138" s="905"/>
      <c r="Z2138" s="895">
        <v>5064589036</v>
      </c>
      <c r="AA2138" s="889" t="s">
        <v>47</v>
      </c>
      <c r="AB2138" s="892" t="s">
        <v>3020</v>
      </c>
      <c r="AC2138" s="906"/>
      <c r="AD2138" s="645" t="str">
        <f t="shared" si="86"/>
        <v/>
      </c>
      <c r="AE2138" s="468" t="s">
        <v>3021</v>
      </c>
      <c r="AF2138" s="468" t="s">
        <v>2949</v>
      </c>
    </row>
    <row r="2139" spans="2:32" s="649" customFormat="1" ht="54.95" customHeight="1" thickBot="1" x14ac:dyDescent="0.25">
      <c r="B2139" s="900" t="s">
        <v>36</v>
      </c>
      <c r="C2139" s="887" t="s">
        <v>2180</v>
      </c>
      <c r="D2139" s="888" t="s">
        <v>3033</v>
      </c>
      <c r="E2139" s="901"/>
      <c r="F2139" s="913">
        <v>38536</v>
      </c>
      <c r="G2139" s="889" t="s">
        <v>39</v>
      </c>
      <c r="H2139" s="890">
        <v>14164</v>
      </c>
      <c r="I2139" s="902"/>
      <c r="J2139" s="892">
        <v>42132</v>
      </c>
      <c r="K2139" s="893">
        <f t="shared" ref="K2139:K2146" si="87">+L2139-J2139</f>
        <v>100</v>
      </c>
      <c r="L2139" s="892">
        <v>42232</v>
      </c>
      <c r="M2139" s="892" t="s">
        <v>41</v>
      </c>
      <c r="N2139" s="889" t="s">
        <v>42</v>
      </c>
      <c r="O2139" s="892">
        <v>42216</v>
      </c>
      <c r="P2139" s="893">
        <f t="shared" ref="P2139:P2153" si="88">IF(S2139="","",+S2139-L2139)</f>
        <v>0</v>
      </c>
      <c r="Q2139" s="901" t="s">
        <v>3034</v>
      </c>
      <c r="R2139" s="903">
        <v>42222</v>
      </c>
      <c r="S2139" s="904">
        <v>42232</v>
      </c>
      <c r="T2139" s="894">
        <f>+S2139+20</f>
        <v>42252</v>
      </c>
      <c r="U2139" s="893">
        <f t="shared" si="85"/>
        <v>120</v>
      </c>
      <c r="V2139" s="893" t="s">
        <v>53</v>
      </c>
      <c r="W2139" s="897" t="s">
        <v>2437</v>
      </c>
      <c r="X2139" s="889"/>
      <c r="Y2139" s="905"/>
      <c r="Z2139" s="895">
        <v>2660201504</v>
      </c>
      <c r="AA2139" s="889"/>
      <c r="AB2139" s="892" t="s">
        <v>3020</v>
      </c>
      <c r="AC2139" s="906"/>
      <c r="AD2139" s="645" t="str">
        <f t="shared" si="86"/>
        <v>en término</v>
      </c>
      <c r="AE2139" s="468" t="s">
        <v>3035</v>
      </c>
      <c r="AF2139" s="468" t="s">
        <v>2957</v>
      </c>
    </row>
    <row r="2140" spans="2:32" s="649" customFormat="1" ht="54.95" customHeight="1" thickBot="1" x14ac:dyDescent="0.25">
      <c r="B2140" s="900" t="s">
        <v>36</v>
      </c>
      <c r="C2140" s="887" t="s">
        <v>37</v>
      </c>
      <c r="D2140" s="888" t="s">
        <v>3036</v>
      </c>
      <c r="E2140" s="901" t="s">
        <v>3037</v>
      </c>
      <c r="F2140" s="913">
        <v>15060001</v>
      </c>
      <c r="G2140" s="889" t="s">
        <v>39</v>
      </c>
      <c r="H2140" s="890">
        <v>30276</v>
      </c>
      <c r="I2140" s="902" t="s">
        <v>142</v>
      </c>
      <c r="J2140" s="892">
        <v>42157</v>
      </c>
      <c r="K2140" s="893">
        <f t="shared" si="87"/>
        <v>76</v>
      </c>
      <c r="L2140" s="892">
        <v>42233</v>
      </c>
      <c r="M2140" s="892" t="s">
        <v>41</v>
      </c>
      <c r="N2140" s="889" t="s">
        <v>42</v>
      </c>
      <c r="O2140" s="892">
        <v>42223</v>
      </c>
      <c r="P2140" s="893">
        <f t="shared" si="88"/>
        <v>9</v>
      </c>
      <c r="Q2140" s="901" t="s">
        <v>3038</v>
      </c>
      <c r="R2140" s="903">
        <v>42239</v>
      </c>
      <c r="S2140" s="904">
        <v>42242</v>
      </c>
      <c r="T2140" s="894">
        <v>42258</v>
      </c>
      <c r="U2140" s="893">
        <f t="shared" si="85"/>
        <v>101</v>
      </c>
      <c r="V2140" s="893" t="s">
        <v>53</v>
      </c>
      <c r="W2140" s="897" t="s">
        <v>2449</v>
      </c>
      <c r="X2140" s="889"/>
      <c r="Y2140" s="905"/>
      <c r="Z2140" s="895">
        <v>5519416604</v>
      </c>
      <c r="AA2140" s="889" t="s">
        <v>47</v>
      </c>
      <c r="AB2140" s="892" t="s">
        <v>2387</v>
      </c>
      <c r="AC2140" s="906"/>
      <c r="AD2140" s="645" t="str">
        <f t="shared" si="86"/>
        <v>atrasado</v>
      </c>
      <c r="AE2140" s="468" t="s">
        <v>3039</v>
      </c>
      <c r="AF2140" s="468" t="s">
        <v>2957</v>
      </c>
    </row>
    <row r="2141" spans="2:32" s="649" customFormat="1" ht="54.95" customHeight="1" thickBot="1" x14ac:dyDescent="0.25">
      <c r="B2141" s="900" t="s">
        <v>36</v>
      </c>
      <c r="C2141" s="887" t="s">
        <v>37</v>
      </c>
      <c r="D2141" s="888" t="s">
        <v>3040</v>
      </c>
      <c r="E2141" s="901" t="s">
        <v>3041</v>
      </c>
      <c r="F2141" s="913">
        <v>15060004</v>
      </c>
      <c r="G2141" s="889" t="s">
        <v>39</v>
      </c>
      <c r="H2141" s="890">
        <v>2140</v>
      </c>
      <c r="I2141" s="902" t="s">
        <v>142</v>
      </c>
      <c r="J2141" s="892">
        <v>42160</v>
      </c>
      <c r="K2141" s="893">
        <f t="shared" si="87"/>
        <v>53</v>
      </c>
      <c r="L2141" s="892">
        <v>42213</v>
      </c>
      <c r="M2141" s="892" t="s">
        <v>41</v>
      </c>
      <c r="N2141" s="889" t="s">
        <v>42</v>
      </c>
      <c r="O2141" s="892">
        <v>42223</v>
      </c>
      <c r="P2141" s="893">
        <f t="shared" si="88"/>
        <v>29</v>
      </c>
      <c r="Q2141" s="901" t="s">
        <v>3038</v>
      </c>
      <c r="R2141" s="903">
        <v>42239</v>
      </c>
      <c r="S2141" s="904">
        <v>42242</v>
      </c>
      <c r="T2141" s="894">
        <v>42258</v>
      </c>
      <c r="U2141" s="893">
        <f t="shared" si="85"/>
        <v>98</v>
      </c>
      <c r="V2141" s="893" t="s">
        <v>53</v>
      </c>
      <c r="W2141" s="897" t="s">
        <v>2449</v>
      </c>
      <c r="X2141" s="889"/>
      <c r="Y2141" s="905"/>
      <c r="Z2141" s="895">
        <v>5519416604</v>
      </c>
      <c r="AA2141" s="889" t="s">
        <v>47</v>
      </c>
      <c r="AB2141" s="892" t="s">
        <v>2387</v>
      </c>
      <c r="AC2141" s="906"/>
      <c r="AD2141" s="645" t="str">
        <f t="shared" si="86"/>
        <v>atrasado</v>
      </c>
      <c r="AE2141" s="468" t="s">
        <v>3039</v>
      </c>
      <c r="AF2141" s="468" t="s">
        <v>2957</v>
      </c>
    </row>
    <row r="2142" spans="2:32" s="649" customFormat="1" ht="54.95" customHeight="1" thickBot="1" x14ac:dyDescent="0.25">
      <c r="B2142" s="900" t="s">
        <v>36</v>
      </c>
      <c r="C2142" s="887" t="s">
        <v>37</v>
      </c>
      <c r="D2142" s="888" t="s">
        <v>3042</v>
      </c>
      <c r="E2142" s="901" t="s">
        <v>3043</v>
      </c>
      <c r="F2142" s="913">
        <v>15060003</v>
      </c>
      <c r="G2142" s="889" t="s">
        <v>39</v>
      </c>
      <c r="H2142" s="890">
        <v>475</v>
      </c>
      <c r="I2142" s="902" t="s">
        <v>142</v>
      </c>
      <c r="J2142" s="892">
        <v>42165</v>
      </c>
      <c r="K2142" s="893">
        <f t="shared" si="87"/>
        <v>68</v>
      </c>
      <c r="L2142" s="892">
        <v>42233</v>
      </c>
      <c r="M2142" s="892" t="s">
        <v>41</v>
      </c>
      <c r="N2142" s="889" t="s">
        <v>42</v>
      </c>
      <c r="O2142" s="892">
        <v>42223</v>
      </c>
      <c r="P2142" s="893">
        <f t="shared" si="88"/>
        <v>9</v>
      </c>
      <c r="Q2142" s="901" t="s">
        <v>3038</v>
      </c>
      <c r="R2142" s="903">
        <v>42239</v>
      </c>
      <c r="S2142" s="904">
        <v>42242</v>
      </c>
      <c r="T2142" s="894">
        <v>42258</v>
      </c>
      <c r="U2142" s="893">
        <f t="shared" si="85"/>
        <v>93</v>
      </c>
      <c r="V2142" s="893" t="s">
        <v>53</v>
      </c>
      <c r="W2142" s="897" t="s">
        <v>2449</v>
      </c>
      <c r="X2142" s="889"/>
      <c r="Y2142" s="905"/>
      <c r="Z2142" s="895">
        <v>5519416604</v>
      </c>
      <c r="AA2142" s="889" t="s">
        <v>47</v>
      </c>
      <c r="AB2142" s="892" t="s">
        <v>2387</v>
      </c>
      <c r="AC2142" s="906"/>
      <c r="AD2142" s="645" t="str">
        <f t="shared" si="86"/>
        <v>atrasado</v>
      </c>
      <c r="AE2142" s="468" t="s">
        <v>3039</v>
      </c>
      <c r="AF2142" s="468" t="s">
        <v>2957</v>
      </c>
    </row>
    <row r="2143" spans="2:32" s="649" customFormat="1" ht="54.95" customHeight="1" thickBot="1" x14ac:dyDescent="0.25">
      <c r="B2143" s="900" t="s">
        <v>36</v>
      </c>
      <c r="C2143" s="887" t="s">
        <v>37</v>
      </c>
      <c r="D2143" s="888" t="s">
        <v>3044</v>
      </c>
      <c r="E2143" s="901" t="s">
        <v>3045</v>
      </c>
      <c r="F2143" s="913">
        <v>15060005</v>
      </c>
      <c r="G2143" s="889" t="s">
        <v>39</v>
      </c>
      <c r="H2143" s="890">
        <v>9200</v>
      </c>
      <c r="I2143" s="902" t="s">
        <v>40</v>
      </c>
      <c r="J2143" s="892">
        <v>42174</v>
      </c>
      <c r="K2143" s="893">
        <f t="shared" si="87"/>
        <v>92</v>
      </c>
      <c r="L2143" s="892">
        <v>42266</v>
      </c>
      <c r="M2143" s="892" t="s">
        <v>41</v>
      </c>
      <c r="N2143" s="889" t="s">
        <v>42</v>
      </c>
      <c r="O2143" s="892">
        <v>42223</v>
      </c>
      <c r="P2143" s="893">
        <f t="shared" si="88"/>
        <v>-24</v>
      </c>
      <c r="Q2143" s="901" t="s">
        <v>3038</v>
      </c>
      <c r="R2143" s="903">
        <v>42239</v>
      </c>
      <c r="S2143" s="904">
        <v>42242</v>
      </c>
      <c r="T2143" s="894">
        <v>42258</v>
      </c>
      <c r="U2143" s="893">
        <f t="shared" si="85"/>
        <v>84</v>
      </c>
      <c r="V2143" s="893" t="s">
        <v>53</v>
      </c>
      <c r="W2143" s="897" t="s">
        <v>2449</v>
      </c>
      <c r="X2143" s="889"/>
      <c r="Y2143" s="905"/>
      <c r="Z2143" s="895">
        <v>5519416604</v>
      </c>
      <c r="AA2143" s="889" t="s">
        <v>47</v>
      </c>
      <c r="AB2143" s="892" t="s">
        <v>2387</v>
      </c>
      <c r="AC2143" s="906"/>
      <c r="AD2143" s="645" t="str">
        <f t="shared" si="86"/>
        <v>en término</v>
      </c>
      <c r="AE2143" s="468" t="s">
        <v>3039</v>
      </c>
      <c r="AF2143" s="468" t="s">
        <v>2957</v>
      </c>
    </row>
    <row r="2144" spans="2:32" s="649" customFormat="1" ht="54.95" customHeight="1" thickBot="1" x14ac:dyDescent="0.25">
      <c r="B2144" s="900" t="s">
        <v>36</v>
      </c>
      <c r="C2144" s="887" t="s">
        <v>37</v>
      </c>
      <c r="D2144" s="888" t="s">
        <v>3046</v>
      </c>
      <c r="E2144" s="901" t="s">
        <v>3047</v>
      </c>
      <c r="F2144" s="913">
        <v>15060006</v>
      </c>
      <c r="G2144" s="889" t="s">
        <v>39</v>
      </c>
      <c r="H2144" s="890">
        <v>275</v>
      </c>
      <c r="I2144" s="902" t="s">
        <v>142</v>
      </c>
      <c r="J2144" s="892">
        <v>42181</v>
      </c>
      <c r="K2144" s="893">
        <f t="shared" si="87"/>
        <v>85</v>
      </c>
      <c r="L2144" s="892">
        <v>42266</v>
      </c>
      <c r="M2144" s="892" t="s">
        <v>41</v>
      </c>
      <c r="N2144" s="889" t="s">
        <v>42</v>
      </c>
      <c r="O2144" s="892">
        <v>42223</v>
      </c>
      <c r="P2144" s="893">
        <f t="shared" si="88"/>
        <v>-24</v>
      </c>
      <c r="Q2144" s="901" t="s">
        <v>3038</v>
      </c>
      <c r="R2144" s="903">
        <v>42239</v>
      </c>
      <c r="S2144" s="904">
        <v>42242</v>
      </c>
      <c r="T2144" s="894">
        <v>42258</v>
      </c>
      <c r="U2144" s="893">
        <f t="shared" si="85"/>
        <v>77</v>
      </c>
      <c r="V2144" s="893" t="s">
        <v>53</v>
      </c>
      <c r="W2144" s="897" t="s">
        <v>2449</v>
      </c>
      <c r="X2144" s="889"/>
      <c r="Y2144" s="905"/>
      <c r="Z2144" s="895">
        <v>5519416604</v>
      </c>
      <c r="AA2144" s="889" t="s">
        <v>47</v>
      </c>
      <c r="AB2144" s="892" t="s">
        <v>2387</v>
      </c>
      <c r="AC2144" s="906"/>
      <c r="AD2144" s="645" t="str">
        <f t="shared" si="86"/>
        <v>en término</v>
      </c>
      <c r="AE2144" s="468" t="s">
        <v>3039</v>
      </c>
      <c r="AF2144" s="468" t="s">
        <v>2957</v>
      </c>
    </row>
    <row r="2145" spans="2:39" s="649" customFormat="1" ht="54.95" customHeight="1" thickBot="1" x14ac:dyDescent="0.25">
      <c r="B2145" s="900" t="s">
        <v>36</v>
      </c>
      <c r="C2145" s="887" t="s">
        <v>37</v>
      </c>
      <c r="D2145" s="888" t="s">
        <v>3048</v>
      </c>
      <c r="E2145" s="901" t="s">
        <v>3049</v>
      </c>
      <c r="F2145" s="913">
        <v>15060007</v>
      </c>
      <c r="G2145" s="889" t="s">
        <v>39</v>
      </c>
      <c r="H2145" s="890">
        <v>1680</v>
      </c>
      <c r="I2145" s="902" t="s">
        <v>142</v>
      </c>
      <c r="J2145" s="892">
        <v>42181</v>
      </c>
      <c r="K2145" s="893">
        <f t="shared" si="87"/>
        <v>92</v>
      </c>
      <c r="L2145" s="892">
        <v>42273</v>
      </c>
      <c r="M2145" s="892" t="s">
        <v>41</v>
      </c>
      <c r="N2145" s="889" t="s">
        <v>42</v>
      </c>
      <c r="O2145" s="892">
        <v>42223</v>
      </c>
      <c r="P2145" s="893">
        <f t="shared" si="88"/>
        <v>-31</v>
      </c>
      <c r="Q2145" s="901" t="s">
        <v>3038</v>
      </c>
      <c r="R2145" s="903">
        <v>42239</v>
      </c>
      <c r="S2145" s="904">
        <v>42242</v>
      </c>
      <c r="T2145" s="894">
        <v>42258</v>
      </c>
      <c r="U2145" s="893">
        <f t="shared" si="85"/>
        <v>77</v>
      </c>
      <c r="V2145" s="893" t="s">
        <v>53</v>
      </c>
      <c r="W2145" s="897" t="s">
        <v>2449</v>
      </c>
      <c r="X2145" s="889"/>
      <c r="Y2145" s="905"/>
      <c r="Z2145" s="895">
        <v>5519416604</v>
      </c>
      <c r="AA2145" s="889" t="s">
        <v>47</v>
      </c>
      <c r="AB2145" s="892" t="s">
        <v>2387</v>
      </c>
      <c r="AC2145" s="906"/>
      <c r="AD2145" s="645" t="str">
        <f t="shared" si="86"/>
        <v>en término</v>
      </c>
      <c r="AE2145" s="468" t="s">
        <v>3039</v>
      </c>
      <c r="AF2145" s="468" t="s">
        <v>2957</v>
      </c>
    </row>
    <row r="2146" spans="2:39" s="649" customFormat="1" ht="54.95" customHeight="1" thickBot="1" x14ac:dyDescent="0.25">
      <c r="B2146" s="900" t="s">
        <v>36</v>
      </c>
      <c r="C2146" s="887" t="s">
        <v>37</v>
      </c>
      <c r="D2146" s="888" t="s">
        <v>3050</v>
      </c>
      <c r="E2146" s="901" t="s">
        <v>3051</v>
      </c>
      <c r="F2146" s="913">
        <v>15050003</v>
      </c>
      <c r="G2146" s="889" t="s">
        <v>39</v>
      </c>
      <c r="H2146" s="890">
        <v>366120</v>
      </c>
      <c r="I2146" s="902" t="s">
        <v>142</v>
      </c>
      <c r="J2146" s="892">
        <v>42150</v>
      </c>
      <c r="K2146" s="893">
        <f t="shared" si="87"/>
        <v>126</v>
      </c>
      <c r="L2146" s="892">
        <v>42276</v>
      </c>
      <c r="M2146" s="892" t="s">
        <v>41</v>
      </c>
      <c r="N2146" s="889" t="s">
        <v>42</v>
      </c>
      <c r="O2146" s="892">
        <v>42261</v>
      </c>
      <c r="P2146" s="893">
        <f t="shared" si="88"/>
        <v>-4</v>
      </c>
      <c r="Q2146" s="901" t="s">
        <v>3052</v>
      </c>
      <c r="R2146" s="903">
        <v>42268</v>
      </c>
      <c r="S2146" s="904">
        <v>42272</v>
      </c>
      <c r="T2146" s="894">
        <v>42286</v>
      </c>
      <c r="U2146" s="893">
        <f t="shared" si="85"/>
        <v>136</v>
      </c>
      <c r="V2146" s="893" t="s">
        <v>3053</v>
      </c>
      <c r="W2146" s="897" t="s">
        <v>2237</v>
      </c>
      <c r="X2146" s="889"/>
      <c r="Y2146" s="888">
        <v>42255</v>
      </c>
      <c r="Z2146" s="895" t="s">
        <v>3054</v>
      </c>
      <c r="AA2146" s="889" t="s">
        <v>47</v>
      </c>
      <c r="AB2146" s="892" t="s">
        <v>47</v>
      </c>
      <c r="AC2146" s="906"/>
      <c r="AD2146" s="645" t="str">
        <f t="shared" si="86"/>
        <v>en término</v>
      </c>
      <c r="AE2146" s="468" t="s">
        <v>3055</v>
      </c>
      <c r="AF2146" s="468" t="s">
        <v>3056</v>
      </c>
    </row>
    <row r="2147" spans="2:39" s="649" customFormat="1" ht="54.95" customHeight="1" thickBot="1" x14ac:dyDescent="0.25">
      <c r="B2147" s="900" t="s">
        <v>36</v>
      </c>
      <c r="C2147" s="887" t="s">
        <v>37</v>
      </c>
      <c r="D2147" s="888" t="s">
        <v>3057</v>
      </c>
      <c r="E2147" s="901" t="s">
        <v>3058</v>
      </c>
      <c r="F2147" s="913">
        <v>15070002</v>
      </c>
      <c r="G2147" s="889" t="s">
        <v>39</v>
      </c>
      <c r="H2147" s="890">
        <v>800</v>
      </c>
      <c r="I2147" s="902" t="s">
        <v>142</v>
      </c>
      <c r="J2147" s="892">
        <v>42213</v>
      </c>
      <c r="K2147" s="893">
        <v>88</v>
      </c>
      <c r="L2147" s="892">
        <f>+J2147+K2147</f>
        <v>42301</v>
      </c>
      <c r="M2147" s="892" t="s">
        <v>41</v>
      </c>
      <c r="N2147" s="889" t="s">
        <v>42</v>
      </c>
      <c r="O2147" s="892">
        <v>42261</v>
      </c>
      <c r="P2147" s="893">
        <f t="shared" si="88"/>
        <v>-29</v>
      </c>
      <c r="Q2147" s="901" t="s">
        <v>3052</v>
      </c>
      <c r="R2147" s="903">
        <v>42268</v>
      </c>
      <c r="S2147" s="904">
        <v>42272</v>
      </c>
      <c r="T2147" s="894">
        <v>42286</v>
      </c>
      <c r="U2147" s="893">
        <f t="shared" si="85"/>
        <v>73</v>
      </c>
      <c r="V2147" s="893" t="s">
        <v>3059</v>
      </c>
      <c r="W2147" s="897" t="s">
        <v>2237</v>
      </c>
      <c r="X2147" s="889"/>
      <c r="Y2147" s="905"/>
      <c r="Z2147" s="895" t="s">
        <v>3054</v>
      </c>
      <c r="AA2147" s="889" t="s">
        <v>47</v>
      </c>
      <c r="AB2147" s="892" t="s">
        <v>47</v>
      </c>
      <c r="AC2147" s="476" t="s">
        <v>3060</v>
      </c>
      <c r="AD2147" s="645" t="str">
        <f t="shared" si="86"/>
        <v>en término</v>
      </c>
      <c r="AE2147" s="468" t="s">
        <v>3055</v>
      </c>
      <c r="AF2147" s="468" t="s">
        <v>3056</v>
      </c>
    </row>
    <row r="2148" spans="2:39" s="649" customFormat="1" ht="54.95" customHeight="1" thickBot="1" x14ac:dyDescent="0.25">
      <c r="B2148" s="900" t="s">
        <v>36</v>
      </c>
      <c r="C2148" s="887" t="s">
        <v>37</v>
      </c>
      <c r="D2148" s="888" t="s">
        <v>3061</v>
      </c>
      <c r="E2148" s="901" t="s">
        <v>3062</v>
      </c>
      <c r="F2148" s="913">
        <v>15060002</v>
      </c>
      <c r="G2148" s="889" t="s">
        <v>39</v>
      </c>
      <c r="H2148" s="890">
        <v>47260</v>
      </c>
      <c r="I2148" s="902" t="s">
        <v>142</v>
      </c>
      <c r="J2148" s="892">
        <v>42158</v>
      </c>
      <c r="K2148" s="893">
        <f>+L2148-J2148</f>
        <v>167</v>
      </c>
      <c r="L2148" s="892">
        <v>42325</v>
      </c>
      <c r="M2148" s="892" t="s">
        <v>41</v>
      </c>
      <c r="N2148" s="889" t="s">
        <v>42</v>
      </c>
      <c r="O2148" s="892">
        <v>42282</v>
      </c>
      <c r="P2148" s="893">
        <f t="shared" si="88"/>
        <v>-27</v>
      </c>
      <c r="Q2148" s="901" t="s">
        <v>3063</v>
      </c>
      <c r="R2148" s="903">
        <v>42293</v>
      </c>
      <c r="S2148" s="904">
        <v>42298</v>
      </c>
      <c r="T2148" s="894">
        <v>42310</v>
      </c>
      <c r="U2148" s="893">
        <f t="shared" si="85"/>
        <v>152</v>
      </c>
      <c r="V2148" s="893" t="s">
        <v>3064</v>
      </c>
      <c r="W2148" s="897" t="s">
        <v>45</v>
      </c>
      <c r="X2148" s="889"/>
      <c r="Y2148" s="905"/>
      <c r="Z2148" s="895">
        <v>2319992872</v>
      </c>
      <c r="AA2148" s="889" t="s">
        <v>47</v>
      </c>
      <c r="AB2148" s="892" t="s">
        <v>3065</v>
      </c>
      <c r="AC2148" s="906"/>
      <c r="AD2148" s="645" t="str">
        <f t="shared" si="86"/>
        <v>en término</v>
      </c>
      <c r="AE2148" s="468" t="s">
        <v>3066</v>
      </c>
      <c r="AF2148" s="468" t="s">
        <v>3067</v>
      </c>
    </row>
    <row r="2149" spans="2:39" s="649" customFormat="1" ht="54.95" customHeight="1" thickBot="1" x14ac:dyDescent="0.25">
      <c r="B2149" s="900" t="s">
        <v>36</v>
      </c>
      <c r="C2149" s="887" t="s">
        <v>37</v>
      </c>
      <c r="D2149" s="888" t="s">
        <v>3068</v>
      </c>
      <c r="E2149" s="901" t="s">
        <v>3069</v>
      </c>
      <c r="F2149" s="913">
        <v>15080002</v>
      </c>
      <c r="G2149" s="889" t="s">
        <v>39</v>
      </c>
      <c r="H2149" s="890">
        <v>20390</v>
      </c>
      <c r="I2149" s="902" t="s">
        <v>62</v>
      </c>
      <c r="J2149" s="892">
        <v>42234</v>
      </c>
      <c r="K2149" s="893">
        <v>120</v>
      </c>
      <c r="L2149" s="892">
        <f>+J2149+K2149</f>
        <v>42354</v>
      </c>
      <c r="M2149" s="892" t="s">
        <v>41</v>
      </c>
      <c r="N2149" s="889" t="s">
        <v>42</v>
      </c>
      <c r="O2149" s="892">
        <v>42282</v>
      </c>
      <c r="P2149" s="893">
        <f t="shared" si="88"/>
        <v>-56</v>
      </c>
      <c r="Q2149" s="901" t="s">
        <v>3063</v>
      </c>
      <c r="R2149" s="903">
        <v>42293</v>
      </c>
      <c r="S2149" s="904">
        <v>42298</v>
      </c>
      <c r="T2149" s="894">
        <v>42310</v>
      </c>
      <c r="U2149" s="893">
        <f t="shared" si="85"/>
        <v>76</v>
      </c>
      <c r="V2149" s="893" t="s">
        <v>3070</v>
      </c>
      <c r="W2149" s="897" t="s">
        <v>45</v>
      </c>
      <c r="X2149" s="889"/>
      <c r="Y2149" s="905"/>
      <c r="Z2149" s="895">
        <v>2319992872</v>
      </c>
      <c r="AA2149" s="889" t="s">
        <v>47</v>
      </c>
      <c r="AB2149" s="892" t="s">
        <v>3065</v>
      </c>
      <c r="AC2149" s="476"/>
      <c r="AD2149" s="645" t="str">
        <f t="shared" si="86"/>
        <v>en término</v>
      </c>
      <c r="AE2149" s="468" t="s">
        <v>3066</v>
      </c>
      <c r="AF2149" s="468" t="s">
        <v>3067</v>
      </c>
    </row>
    <row r="2150" spans="2:39" s="649" customFormat="1" ht="54.95" customHeight="1" thickBot="1" x14ac:dyDescent="0.25">
      <c r="B2150" s="900" t="s">
        <v>36</v>
      </c>
      <c r="C2150" s="887" t="s">
        <v>37</v>
      </c>
      <c r="D2150" s="888" t="s">
        <v>3068</v>
      </c>
      <c r="E2150" s="901" t="s">
        <v>3069</v>
      </c>
      <c r="F2150" s="913">
        <v>15080002</v>
      </c>
      <c r="G2150" s="889" t="s">
        <v>39</v>
      </c>
      <c r="H2150" s="890">
        <v>843765</v>
      </c>
      <c r="I2150" s="902" t="s">
        <v>62</v>
      </c>
      <c r="J2150" s="892">
        <v>42234</v>
      </c>
      <c r="K2150" s="893">
        <v>120</v>
      </c>
      <c r="L2150" s="892">
        <f>+J2150+K2150</f>
        <v>42354</v>
      </c>
      <c r="M2150" s="892" t="s">
        <v>41</v>
      </c>
      <c r="N2150" s="889" t="s">
        <v>42</v>
      </c>
      <c r="O2150" s="892">
        <v>42328</v>
      </c>
      <c r="P2150" s="893">
        <f t="shared" si="88"/>
        <v>-13</v>
      </c>
      <c r="Q2150" s="901" t="s">
        <v>3071</v>
      </c>
      <c r="R2150" s="903">
        <v>42338</v>
      </c>
      <c r="S2150" s="904">
        <v>42341</v>
      </c>
      <c r="T2150" s="894">
        <v>42356</v>
      </c>
      <c r="U2150" s="893">
        <f t="shared" si="85"/>
        <v>122</v>
      </c>
      <c r="V2150" s="893" t="s">
        <v>3072</v>
      </c>
      <c r="W2150" s="897" t="s">
        <v>2265</v>
      </c>
      <c r="X2150" s="889"/>
      <c r="Y2150" s="888">
        <v>42327</v>
      </c>
      <c r="Z2150" s="895"/>
      <c r="AA2150" s="889" t="s">
        <v>47</v>
      </c>
      <c r="AB2150" s="892" t="s">
        <v>47</v>
      </c>
      <c r="AC2150" s="476"/>
      <c r="AD2150" s="645" t="str">
        <f t="shared" si="86"/>
        <v>en término</v>
      </c>
      <c r="AE2150" s="468" t="s">
        <v>3073</v>
      </c>
      <c r="AF2150" s="468" t="s">
        <v>3074</v>
      </c>
    </row>
    <row r="2151" spans="2:39" s="649" customFormat="1" ht="54.95" customHeight="1" thickBot="1" x14ac:dyDescent="0.25">
      <c r="B2151" s="900" t="s">
        <v>36</v>
      </c>
      <c r="C2151" s="887" t="s">
        <v>37</v>
      </c>
      <c r="D2151" s="888" t="s">
        <v>3075</v>
      </c>
      <c r="E2151" s="901" t="s">
        <v>3076</v>
      </c>
      <c r="F2151" s="913">
        <v>15090003</v>
      </c>
      <c r="G2151" s="889" t="s">
        <v>39</v>
      </c>
      <c r="H2151" s="890">
        <v>1100</v>
      </c>
      <c r="I2151" s="902" t="s">
        <v>142</v>
      </c>
      <c r="J2151" s="892">
        <v>42264</v>
      </c>
      <c r="K2151" s="893">
        <v>75</v>
      </c>
      <c r="L2151" s="892">
        <f>+J2151+K2151</f>
        <v>42339</v>
      </c>
      <c r="M2151" s="892" t="s">
        <v>41</v>
      </c>
      <c r="N2151" s="889" t="s">
        <v>42</v>
      </c>
      <c r="O2151" s="892">
        <v>42328</v>
      </c>
      <c r="P2151" s="893">
        <f t="shared" si="88"/>
        <v>2</v>
      </c>
      <c r="Q2151" s="901" t="s">
        <v>3071</v>
      </c>
      <c r="R2151" s="903">
        <v>42338</v>
      </c>
      <c r="S2151" s="904">
        <v>42341</v>
      </c>
      <c r="T2151" s="894">
        <v>42356</v>
      </c>
      <c r="U2151" s="893">
        <f t="shared" si="85"/>
        <v>92</v>
      </c>
      <c r="V2151" s="893" t="s">
        <v>53</v>
      </c>
      <c r="W2151" s="897" t="s">
        <v>2265</v>
      </c>
      <c r="X2151" s="889"/>
      <c r="Y2151" s="905"/>
      <c r="Z2151" s="895"/>
      <c r="AA2151" s="889" t="s">
        <v>47</v>
      </c>
      <c r="AB2151" s="892" t="s">
        <v>47</v>
      </c>
      <c r="AC2151" s="476"/>
      <c r="AD2151" s="645" t="str">
        <f t="shared" si="86"/>
        <v>atrasado</v>
      </c>
      <c r="AE2151" s="468" t="s">
        <v>3073</v>
      </c>
      <c r="AF2151" s="468" t="s">
        <v>3074</v>
      </c>
    </row>
    <row r="2152" spans="2:39" s="649" customFormat="1" ht="54.95" customHeight="1" thickBot="1" x14ac:dyDescent="0.25">
      <c r="B2152" s="900" t="s">
        <v>36</v>
      </c>
      <c r="C2152" s="887" t="s">
        <v>37</v>
      </c>
      <c r="D2152" s="888" t="s">
        <v>3077</v>
      </c>
      <c r="E2152" s="901" t="s">
        <v>3078</v>
      </c>
      <c r="F2152" s="913">
        <v>15100001</v>
      </c>
      <c r="G2152" s="889" t="s">
        <v>39</v>
      </c>
      <c r="H2152" s="890">
        <v>3795</v>
      </c>
      <c r="I2152" s="902" t="s">
        <v>142</v>
      </c>
      <c r="J2152" s="892">
        <v>42297</v>
      </c>
      <c r="K2152" s="893">
        <f>+L2152-J2152</f>
        <v>83</v>
      </c>
      <c r="L2152" s="892">
        <v>42380</v>
      </c>
      <c r="M2152" s="892" t="s">
        <v>41</v>
      </c>
      <c r="N2152" s="889" t="s">
        <v>42</v>
      </c>
      <c r="O2152" s="892">
        <v>42328</v>
      </c>
      <c r="P2152" s="893">
        <f t="shared" si="88"/>
        <v>-39</v>
      </c>
      <c r="Q2152" s="901" t="s">
        <v>3071</v>
      </c>
      <c r="R2152" s="903">
        <v>42338</v>
      </c>
      <c r="S2152" s="904">
        <v>42341</v>
      </c>
      <c r="T2152" s="894">
        <v>42356</v>
      </c>
      <c r="U2152" s="893">
        <f t="shared" si="85"/>
        <v>59</v>
      </c>
      <c r="V2152" s="893" t="s">
        <v>53</v>
      </c>
      <c r="W2152" s="897" t="s">
        <v>2265</v>
      </c>
      <c r="X2152" s="889"/>
      <c r="Y2152" s="905"/>
      <c r="Z2152" s="895"/>
      <c r="AA2152" s="889" t="s">
        <v>47</v>
      </c>
      <c r="AB2152" s="892" t="s">
        <v>47</v>
      </c>
      <c r="AC2152" s="476"/>
      <c r="AD2152" s="645" t="str">
        <f t="shared" si="86"/>
        <v>en término</v>
      </c>
      <c r="AE2152" s="468" t="s">
        <v>3073</v>
      </c>
      <c r="AF2152" s="468" t="s">
        <v>3074</v>
      </c>
    </row>
    <row r="2153" spans="2:39" s="649" customFormat="1" ht="54.95" customHeight="1" thickBot="1" x14ac:dyDescent="0.25">
      <c r="B2153" s="900" t="s">
        <v>36</v>
      </c>
      <c r="C2153" s="887" t="s">
        <v>37</v>
      </c>
      <c r="D2153" s="888" t="s">
        <v>3068</v>
      </c>
      <c r="E2153" s="901" t="s">
        <v>3069</v>
      </c>
      <c r="F2153" s="913">
        <v>15080002</v>
      </c>
      <c r="G2153" s="889" t="s">
        <v>39</v>
      </c>
      <c r="H2153" s="890">
        <v>149820.79999999999</v>
      </c>
      <c r="I2153" s="902" t="s">
        <v>62</v>
      </c>
      <c r="J2153" s="892">
        <v>42234</v>
      </c>
      <c r="K2153" s="893">
        <v>150</v>
      </c>
      <c r="L2153" s="892">
        <f>+J2153+K2153</f>
        <v>42384</v>
      </c>
      <c r="M2153" s="892" t="s">
        <v>41</v>
      </c>
      <c r="N2153" s="889" t="s">
        <v>42</v>
      </c>
      <c r="O2153" s="892">
        <v>42352</v>
      </c>
      <c r="P2153" s="893">
        <f t="shared" si="88"/>
        <v>-23</v>
      </c>
      <c r="Q2153" s="901" t="s">
        <v>3079</v>
      </c>
      <c r="R2153" s="903">
        <v>42359</v>
      </c>
      <c r="S2153" s="904">
        <v>42361</v>
      </c>
      <c r="T2153" s="894">
        <v>42377</v>
      </c>
      <c r="U2153" s="893">
        <f t="shared" si="85"/>
        <v>143</v>
      </c>
      <c r="V2153" s="893" t="s">
        <v>3080</v>
      </c>
      <c r="W2153" s="897" t="s">
        <v>2270</v>
      </c>
      <c r="X2153" s="889"/>
      <c r="Y2153" s="888">
        <v>42349</v>
      </c>
      <c r="Z2153" s="895"/>
      <c r="AA2153" s="889" t="s">
        <v>47</v>
      </c>
      <c r="AB2153" s="892" t="s">
        <v>47</v>
      </c>
      <c r="AC2153" s="476"/>
      <c r="AD2153" s="645" t="str">
        <f t="shared" si="86"/>
        <v>en término</v>
      </c>
      <c r="AE2153" s="468" t="s">
        <v>3081</v>
      </c>
      <c r="AF2153" s="468" t="s">
        <v>3082</v>
      </c>
    </row>
    <row r="2154" spans="2:39" s="649" customFormat="1" ht="26.25" customHeight="1" x14ac:dyDescent="0.2">
      <c r="B2154" s="970"/>
      <c r="C2154" s="971"/>
      <c r="D2154" s="972"/>
      <c r="E2154" s="973"/>
      <c r="F2154" s="974"/>
      <c r="G2154" s="974"/>
      <c r="H2154" s="975"/>
      <c r="I2154" s="976"/>
      <c r="J2154" s="977"/>
      <c r="K2154" s="978"/>
      <c r="L2154" s="977"/>
      <c r="M2154" s="977"/>
      <c r="N2154" s="974"/>
      <c r="O2154" s="977"/>
      <c r="P2154" s="978"/>
      <c r="Q2154" s="973"/>
      <c r="R2154" s="979"/>
      <c r="S2154" s="980"/>
      <c r="T2154" s="981"/>
      <c r="U2154" s="978"/>
      <c r="V2154" s="978"/>
      <c r="W2154" s="982"/>
      <c r="X2154" s="974"/>
      <c r="Y2154" s="972"/>
      <c r="Z2154" s="983"/>
      <c r="AA2154" s="974"/>
      <c r="AB2154" s="977"/>
      <c r="AC2154" s="702"/>
      <c r="AD2154" s="645"/>
      <c r="AE2154" s="656"/>
      <c r="AF2154" s="656"/>
    </row>
    <row r="2155" spans="2:39" x14ac:dyDescent="0.2">
      <c r="B2155" s="9"/>
      <c r="C2155" s="9"/>
      <c r="D2155" s="9"/>
      <c r="E2155" s="9"/>
      <c r="F2155" s="10"/>
      <c r="G2155" s="10"/>
      <c r="H2155" s="9"/>
      <c r="I2155" s="10"/>
      <c r="J2155" s="9"/>
      <c r="K2155" s="9"/>
      <c r="L2155" s="9"/>
      <c r="M2155" s="9"/>
      <c r="N2155" s="9"/>
      <c r="O2155" s="9"/>
      <c r="P2155" s="9"/>
      <c r="Q2155" s="9"/>
      <c r="R2155" s="9"/>
      <c r="S2155" s="9"/>
      <c r="T2155" s="9"/>
      <c r="U2155" s="9"/>
      <c r="V2155" s="9"/>
      <c r="W2155" s="10"/>
      <c r="X2155" s="10"/>
      <c r="Y2155" s="10"/>
      <c r="Z2155" s="9"/>
      <c r="AA2155" s="9"/>
      <c r="AB2155" s="9"/>
      <c r="AC2155" s="10"/>
      <c r="AD2155" s="10"/>
      <c r="AE2155" s="9"/>
      <c r="AF2155" s="9"/>
      <c r="AG2155" s="9"/>
      <c r="AH2155" s="9"/>
      <c r="AI2155" s="9"/>
      <c r="AJ2155" s="9"/>
      <c r="AK2155" s="9"/>
      <c r="AL2155" s="9"/>
      <c r="AM2155" s="9"/>
    </row>
    <row r="2156" spans="2:39" x14ac:dyDescent="0.2">
      <c r="B2156" s="9"/>
      <c r="C2156" s="9"/>
      <c r="D2156" s="9"/>
      <c r="E2156" s="9"/>
      <c r="F2156" s="10"/>
      <c r="G2156" s="10"/>
      <c r="H2156" s="9"/>
      <c r="I2156" s="10"/>
      <c r="J2156" s="9"/>
      <c r="K2156" s="9"/>
      <c r="L2156" s="9"/>
      <c r="M2156" s="9"/>
      <c r="N2156" s="9"/>
      <c r="O2156" s="9"/>
      <c r="P2156" s="9"/>
      <c r="Q2156" s="9"/>
      <c r="R2156" s="9"/>
      <c r="S2156" s="9"/>
      <c r="T2156" s="9"/>
      <c r="U2156" s="9"/>
      <c r="V2156" s="9"/>
      <c r="W2156" s="10"/>
      <c r="X2156" s="10"/>
      <c r="Y2156" s="10"/>
      <c r="Z2156" s="9"/>
      <c r="AA2156" s="743">
        <v>2015</v>
      </c>
      <c r="AB2156" s="9"/>
      <c r="AC2156" s="10"/>
      <c r="AD2156" s="10"/>
      <c r="AE2156" s="9"/>
      <c r="AF2156" s="9"/>
      <c r="AG2156" s="9"/>
      <c r="AH2156" s="9"/>
      <c r="AI2156" s="9"/>
      <c r="AJ2156" s="9"/>
      <c r="AK2156" s="9"/>
      <c r="AL2156" s="9"/>
      <c r="AM2156" s="9"/>
    </row>
    <row r="2157" spans="2:39" ht="12.75" x14ac:dyDescent="0.2">
      <c r="B2157" s="9"/>
      <c r="C2157" s="9"/>
      <c r="D2157" s="9"/>
      <c r="E2157" s="9"/>
      <c r="F2157" s="10"/>
      <c r="G2157" s="10"/>
      <c r="H2157" s="9"/>
      <c r="I2157" s="10"/>
      <c r="J2157" s="9"/>
      <c r="K2157" s="9"/>
      <c r="L2157" s="9"/>
      <c r="M2157" s="9"/>
      <c r="N2157" s="9"/>
      <c r="O2157" s="9"/>
      <c r="P2157" s="9"/>
      <c r="Q2157" s="9"/>
      <c r="R2157" s="9"/>
      <c r="S2157" s="9"/>
      <c r="T2157" s="9"/>
      <c r="U2157" s="9"/>
      <c r="V2157" s="9"/>
      <c r="W2157" s="10"/>
      <c r="X2157" s="10"/>
      <c r="Y2157" s="10"/>
      <c r="Z2157" s="9"/>
      <c r="AA2157" s="1049" t="s">
        <v>813</v>
      </c>
      <c r="AB2157" s="1050">
        <f>COUNTA(AD2123:AD2153)</f>
        <v>31</v>
      </c>
      <c r="AC2157" s="10"/>
      <c r="AD2157" s="10"/>
      <c r="AE2157" s="9"/>
      <c r="AF2157" s="9"/>
      <c r="AG2157" s="9"/>
      <c r="AH2157" s="9"/>
      <c r="AI2157" s="9"/>
      <c r="AJ2157" s="9"/>
      <c r="AK2157" s="9"/>
      <c r="AL2157" s="9"/>
      <c r="AM2157" s="9"/>
    </row>
    <row r="2158" spans="2:39" ht="12.75" x14ac:dyDescent="0.2">
      <c r="B2158" s="9"/>
      <c r="C2158" s="9"/>
      <c r="D2158" s="9"/>
      <c r="E2158" s="9"/>
      <c r="F2158" s="10"/>
      <c r="G2158" s="10"/>
      <c r="H2158" s="9"/>
      <c r="I2158" s="10"/>
      <c r="J2158" s="9"/>
      <c r="K2158" s="9"/>
      <c r="L2158" s="9"/>
      <c r="M2158" s="9"/>
      <c r="N2158" s="9"/>
      <c r="O2158" s="9"/>
      <c r="P2158" s="9"/>
      <c r="Q2158" s="9"/>
      <c r="R2158" s="9"/>
      <c r="S2158" s="9"/>
      <c r="T2158" s="9"/>
      <c r="U2158" s="9"/>
      <c r="V2158" s="9"/>
      <c r="W2158" s="10"/>
      <c r="X2158" s="10"/>
      <c r="Y2158" s="10"/>
      <c r="Z2158" s="9"/>
      <c r="AA2158" s="1049" t="s">
        <v>815</v>
      </c>
      <c r="AB2158" s="1050">
        <f>COUNTIF(AD2122:AD2153,"en término")</f>
        <v>21</v>
      </c>
      <c r="AC2158" s="10"/>
      <c r="AD2158" s="10"/>
      <c r="AE2158" s="9"/>
      <c r="AF2158" s="9"/>
      <c r="AG2158" s="9"/>
      <c r="AH2158" s="9"/>
      <c r="AI2158" s="9"/>
      <c r="AJ2158" s="9"/>
      <c r="AK2158" s="9"/>
      <c r="AL2158" s="9"/>
      <c r="AM2158" s="9"/>
    </row>
    <row r="2159" spans="2:39" ht="12.75" x14ac:dyDescent="0.2">
      <c r="B2159" s="9"/>
      <c r="C2159" s="9"/>
      <c r="D2159" s="9"/>
      <c r="E2159" s="9"/>
      <c r="F2159" s="10"/>
      <c r="G2159" s="10"/>
      <c r="H2159" s="9"/>
      <c r="I2159" s="10"/>
      <c r="J2159" s="9"/>
      <c r="K2159" s="9"/>
      <c r="L2159" s="9"/>
      <c r="M2159" s="9"/>
      <c r="N2159" s="9"/>
      <c r="O2159" s="9"/>
      <c r="P2159" s="9"/>
      <c r="Q2159" s="9"/>
      <c r="R2159" s="9"/>
      <c r="S2159" s="9"/>
      <c r="T2159" s="9"/>
      <c r="U2159" s="9"/>
      <c r="V2159" s="9"/>
      <c r="W2159" s="10"/>
      <c r="X2159" s="10"/>
      <c r="Y2159" s="10"/>
      <c r="Z2159" s="9"/>
      <c r="AA2159" s="1049" t="s">
        <v>817</v>
      </c>
      <c r="AB2159" s="742">
        <f>+AB2158/AB2157</f>
        <v>0.67741935483870963</v>
      </c>
      <c r="AC2159" s="10"/>
      <c r="AD2159" s="10"/>
      <c r="AE2159" s="9"/>
      <c r="AF2159" s="9"/>
      <c r="AG2159" s="9"/>
      <c r="AH2159" s="9"/>
      <c r="AI2159" s="9"/>
      <c r="AJ2159" s="9"/>
      <c r="AK2159" s="9"/>
      <c r="AL2159" s="9"/>
      <c r="AM2159" s="9"/>
    </row>
    <row r="2160" spans="2:39" x14ac:dyDescent="0.2">
      <c r="B2160" s="9"/>
      <c r="C2160" s="9"/>
      <c r="D2160" s="9"/>
      <c r="E2160" s="9"/>
      <c r="F2160" s="10"/>
      <c r="G2160" s="10"/>
      <c r="H2160" s="9"/>
      <c r="I2160" s="10"/>
      <c r="J2160" s="9"/>
      <c r="K2160" s="9"/>
      <c r="L2160" s="9"/>
      <c r="M2160" s="9"/>
      <c r="N2160" s="9"/>
      <c r="O2160" s="9"/>
      <c r="P2160" s="9"/>
      <c r="Q2160" s="9"/>
      <c r="R2160" s="9"/>
      <c r="S2160" s="9"/>
      <c r="T2160" s="9"/>
      <c r="U2160" s="9"/>
      <c r="V2160" s="9"/>
      <c r="W2160" s="10"/>
      <c r="X2160" s="10"/>
      <c r="Y2160" s="10"/>
      <c r="Z2160" s="9"/>
      <c r="AA2160" s="9"/>
      <c r="AB2160" s="9"/>
      <c r="AC2160" s="10"/>
      <c r="AD2160" s="10"/>
      <c r="AE2160" s="9"/>
      <c r="AF2160" s="9"/>
      <c r="AG2160" s="9"/>
      <c r="AH2160" s="9"/>
      <c r="AI2160" s="9"/>
      <c r="AJ2160" s="9"/>
      <c r="AK2160" s="9"/>
      <c r="AL2160" s="9"/>
      <c r="AM2160" s="9"/>
    </row>
    <row r="2161" spans="1:39" x14ac:dyDescent="0.2">
      <c r="B2161" s="9"/>
      <c r="C2161" s="9"/>
      <c r="D2161" s="9"/>
      <c r="E2161" s="9"/>
      <c r="F2161" s="10"/>
      <c r="G2161" s="10"/>
      <c r="H2161" s="9"/>
      <c r="I2161" s="10"/>
      <c r="J2161" s="9"/>
      <c r="K2161" s="9"/>
      <c r="L2161" s="9"/>
      <c r="M2161" s="9"/>
      <c r="N2161" s="9"/>
      <c r="O2161" s="9"/>
      <c r="P2161" s="9"/>
      <c r="Q2161" s="9"/>
      <c r="R2161" s="9"/>
      <c r="S2161" s="9"/>
      <c r="T2161" s="9"/>
      <c r="U2161" s="9"/>
      <c r="V2161" s="9"/>
      <c r="W2161" s="10"/>
      <c r="X2161" s="10"/>
      <c r="Y2161" s="10"/>
      <c r="Z2161" s="9"/>
      <c r="AA2161" s="9"/>
      <c r="AB2161" s="9"/>
      <c r="AC2161" s="10"/>
      <c r="AD2161" s="10"/>
      <c r="AE2161" s="9"/>
      <c r="AF2161" s="9"/>
      <c r="AG2161" s="9"/>
      <c r="AH2161" s="9"/>
      <c r="AI2161" s="9"/>
      <c r="AJ2161" s="9"/>
      <c r="AK2161" s="9"/>
      <c r="AL2161" s="9"/>
      <c r="AM2161" s="9"/>
    </row>
    <row r="2162" spans="1:39" x14ac:dyDescent="0.2">
      <c r="B2162" s="9"/>
      <c r="C2162" s="9"/>
      <c r="D2162" s="9"/>
      <c r="E2162" s="9"/>
      <c r="F2162" s="10"/>
      <c r="G2162" s="10"/>
      <c r="H2162" s="9"/>
      <c r="I2162" s="10"/>
      <c r="J2162" s="9"/>
      <c r="K2162" s="9"/>
      <c r="L2162" s="9"/>
      <c r="M2162" s="9"/>
      <c r="N2162" s="9"/>
      <c r="O2162" s="9"/>
      <c r="P2162" s="9"/>
      <c r="Q2162" s="9"/>
      <c r="R2162" s="9"/>
      <c r="S2162" s="9"/>
      <c r="T2162" s="9"/>
      <c r="U2162" s="9"/>
      <c r="V2162" s="9"/>
      <c r="W2162" s="10"/>
      <c r="X2162" s="10"/>
      <c r="Y2162" s="10"/>
      <c r="Z2162" s="9"/>
      <c r="AA2162" s="9"/>
      <c r="AB2162" s="9"/>
      <c r="AC2162" s="10"/>
      <c r="AD2162" s="10"/>
      <c r="AE2162" s="9"/>
      <c r="AF2162" s="9"/>
      <c r="AG2162" s="9"/>
      <c r="AH2162" s="9"/>
      <c r="AI2162" s="9"/>
      <c r="AJ2162" s="9"/>
      <c r="AK2162" s="9"/>
      <c r="AL2162" s="9"/>
      <c r="AM2162" s="9"/>
    </row>
    <row r="2163" spans="1:39" ht="12" thickBot="1" x14ac:dyDescent="0.25">
      <c r="B2163" s="9"/>
      <c r="C2163" s="9"/>
      <c r="D2163" s="9"/>
      <c r="E2163" s="9"/>
      <c r="F2163" s="10"/>
      <c r="G2163" s="10"/>
      <c r="H2163" s="9"/>
      <c r="I2163" s="10"/>
      <c r="J2163" s="9"/>
      <c r="K2163" s="9"/>
      <c r="L2163" s="9"/>
      <c r="M2163" s="9"/>
      <c r="N2163" s="9"/>
      <c r="O2163" s="9"/>
      <c r="P2163" s="9"/>
      <c r="Q2163" s="9"/>
      <c r="R2163" s="9"/>
      <c r="S2163" s="9"/>
      <c r="T2163" s="9"/>
      <c r="U2163" s="9"/>
      <c r="V2163" s="9"/>
      <c r="W2163" s="10"/>
      <c r="X2163" s="10"/>
      <c r="Y2163" s="10"/>
      <c r="Z2163" s="9"/>
      <c r="AA2163" s="9"/>
      <c r="AB2163" s="9"/>
      <c r="AC2163" s="10"/>
      <c r="AD2163" s="10"/>
      <c r="AE2163" s="9"/>
      <c r="AF2163" s="9"/>
      <c r="AG2163" s="9"/>
      <c r="AH2163" s="9"/>
      <c r="AI2163" s="9"/>
      <c r="AJ2163" s="9"/>
      <c r="AK2163" s="9"/>
      <c r="AL2163" s="9"/>
      <c r="AM2163" s="9"/>
    </row>
    <row r="2164" spans="1:39" s="556" customFormat="1" ht="39.950000000000003" customHeight="1" thickBot="1" x14ac:dyDescent="0.4">
      <c r="A2164" s="554"/>
      <c r="B2164" s="1611">
        <v>2016</v>
      </c>
      <c r="C2164" s="1612"/>
      <c r="D2164" s="1612"/>
      <c r="E2164" s="1612"/>
      <c r="F2164" s="1612"/>
      <c r="G2164" s="1612"/>
      <c r="H2164" s="1612"/>
      <c r="I2164" s="1612"/>
      <c r="J2164" s="1612"/>
      <c r="K2164" s="1612"/>
      <c r="L2164" s="1612"/>
      <c r="M2164" s="1612"/>
      <c r="N2164" s="1612"/>
      <c r="O2164" s="1612"/>
      <c r="P2164" s="1612"/>
      <c r="Q2164" s="1612"/>
      <c r="R2164" s="1612"/>
      <c r="S2164" s="1612"/>
      <c r="T2164" s="1612"/>
      <c r="U2164" s="1612"/>
      <c r="V2164" s="1612"/>
      <c r="W2164" s="1612"/>
      <c r="X2164" s="1612"/>
      <c r="Y2164" s="1612"/>
      <c r="Z2164" s="1612"/>
      <c r="AA2164" s="1612"/>
      <c r="AB2164" s="1612"/>
      <c r="AC2164" s="1613"/>
      <c r="AD2164" s="555"/>
    </row>
    <row r="2165" spans="1:39" s="441" customFormat="1" ht="60" customHeight="1" thickBot="1" x14ac:dyDescent="0.25">
      <c r="A2165" s="438"/>
      <c r="B2165" s="451" t="s">
        <v>130</v>
      </c>
      <c r="C2165" s="451" t="s">
        <v>4</v>
      </c>
      <c r="D2165" s="451" t="s">
        <v>5</v>
      </c>
      <c r="E2165" s="451" t="s">
        <v>6</v>
      </c>
      <c r="F2165" s="451" t="s">
        <v>7</v>
      </c>
      <c r="G2165" s="451" t="s">
        <v>8</v>
      </c>
      <c r="H2165" s="453" t="s">
        <v>9</v>
      </c>
      <c r="I2165" s="453" t="s">
        <v>10</v>
      </c>
      <c r="J2165" s="451" t="s">
        <v>11</v>
      </c>
      <c r="K2165" s="451" t="s">
        <v>12</v>
      </c>
      <c r="L2165" s="451" t="s">
        <v>13</v>
      </c>
      <c r="M2165" s="451" t="s">
        <v>14</v>
      </c>
      <c r="N2165" s="451" t="s">
        <v>15</v>
      </c>
      <c r="O2165" s="452" t="s">
        <v>16</v>
      </c>
      <c r="P2165" s="454" t="s">
        <v>17</v>
      </c>
      <c r="Q2165" s="451" t="s">
        <v>18</v>
      </c>
      <c r="R2165" s="452" t="s">
        <v>19</v>
      </c>
      <c r="S2165" s="451" t="s">
        <v>20</v>
      </c>
      <c r="T2165" s="451" t="s">
        <v>21</v>
      </c>
      <c r="U2165" s="452" t="s">
        <v>22</v>
      </c>
      <c r="V2165" s="451" t="s">
        <v>131</v>
      </c>
      <c r="W2165" s="451" t="s">
        <v>24</v>
      </c>
      <c r="X2165" s="451" t="s">
        <v>132</v>
      </c>
      <c r="Y2165" s="451" t="s">
        <v>26</v>
      </c>
      <c r="Z2165" s="451" t="s">
        <v>27</v>
      </c>
      <c r="AA2165" s="451" t="s">
        <v>28</v>
      </c>
      <c r="AB2165" s="451" t="s">
        <v>29</v>
      </c>
      <c r="AC2165" s="451" t="s">
        <v>30</v>
      </c>
      <c r="AD2165" s="439"/>
      <c r="AE2165" s="440"/>
      <c r="AF2165" s="440"/>
      <c r="AG2165" s="440"/>
      <c r="AH2165" s="440"/>
      <c r="AI2165" s="440"/>
      <c r="AJ2165" s="440"/>
      <c r="AK2165" s="440"/>
      <c r="AL2165" s="440"/>
      <c r="AM2165" s="440"/>
    </row>
    <row r="2166" spans="1:39" s="649" customFormat="1" ht="54.95" customHeight="1" thickBot="1" x14ac:dyDescent="0.25">
      <c r="B2166" s="900" t="s">
        <v>36</v>
      </c>
      <c r="C2166" s="887" t="s">
        <v>37</v>
      </c>
      <c r="D2166" s="888" t="s">
        <v>3068</v>
      </c>
      <c r="E2166" s="901" t="s">
        <v>3069</v>
      </c>
      <c r="F2166" s="913">
        <v>15080002</v>
      </c>
      <c r="G2166" s="889" t="s">
        <v>39</v>
      </c>
      <c r="H2166" s="890">
        <v>74036.899999999994</v>
      </c>
      <c r="I2166" s="902" t="s">
        <v>62</v>
      </c>
      <c r="J2166" s="892">
        <v>42234</v>
      </c>
      <c r="K2166" s="893">
        <v>180</v>
      </c>
      <c r="L2166" s="892">
        <f>+J2166+K2166</f>
        <v>42414</v>
      </c>
      <c r="M2166" s="892" t="s">
        <v>41</v>
      </c>
      <c r="N2166" s="889" t="s">
        <v>42</v>
      </c>
      <c r="O2166" s="892">
        <v>42419</v>
      </c>
      <c r="P2166" s="893">
        <f t="shared" ref="P2166:P2180" si="89">IF(S2166="","",+S2166-L2166)</f>
        <v>16</v>
      </c>
      <c r="Q2166" s="901" t="s">
        <v>3083</v>
      </c>
      <c r="R2166" s="903">
        <v>42429</v>
      </c>
      <c r="S2166" s="904">
        <v>42430</v>
      </c>
      <c r="T2166" s="894">
        <v>42447</v>
      </c>
      <c r="U2166" s="893">
        <f t="shared" ref="U2166:U2181" si="90">IF(T2166="","",+T2166-J2166)</f>
        <v>213</v>
      </c>
      <c r="V2166" s="893" t="s">
        <v>3084</v>
      </c>
      <c r="W2166" s="897" t="s">
        <v>90</v>
      </c>
      <c r="X2166" s="889"/>
      <c r="Y2166" s="888">
        <v>42417</v>
      </c>
      <c r="Z2166" s="895">
        <v>6618930802</v>
      </c>
      <c r="AA2166" s="889" t="s">
        <v>47</v>
      </c>
      <c r="AB2166" s="892" t="s">
        <v>47</v>
      </c>
      <c r="AC2166" s="476"/>
      <c r="AD2166" s="645" t="str">
        <f t="shared" ref="AD2166:AD2181" si="91">IF(P2166="","",IF(P2166&lt;=0,"en término","atrasado"))</f>
        <v>atrasado</v>
      </c>
      <c r="AE2166" s="468" t="s">
        <v>3085</v>
      </c>
      <c r="AF2166" s="468" t="s">
        <v>3086</v>
      </c>
    </row>
    <row r="2167" spans="1:39" s="649" customFormat="1" ht="54.95" customHeight="1" thickBot="1" x14ac:dyDescent="0.25">
      <c r="B2167" s="900" t="s">
        <v>36</v>
      </c>
      <c r="C2167" s="887" t="s">
        <v>37</v>
      </c>
      <c r="D2167" s="888" t="s">
        <v>3087</v>
      </c>
      <c r="E2167" s="901" t="s">
        <v>3088</v>
      </c>
      <c r="F2167" s="913">
        <v>15120001</v>
      </c>
      <c r="G2167" s="889" t="s">
        <v>39</v>
      </c>
      <c r="H2167" s="890">
        <v>74035</v>
      </c>
      <c r="I2167" s="902" t="s">
        <v>62</v>
      </c>
      <c r="J2167" s="892">
        <v>42334</v>
      </c>
      <c r="K2167" s="893">
        <f>+L2167-J2167</f>
        <v>95</v>
      </c>
      <c r="L2167" s="892">
        <v>42429</v>
      </c>
      <c r="M2167" s="892" t="s">
        <v>41</v>
      </c>
      <c r="N2167" s="889" t="s">
        <v>42</v>
      </c>
      <c r="O2167" s="892">
        <v>42419</v>
      </c>
      <c r="P2167" s="893">
        <f t="shared" si="89"/>
        <v>1</v>
      </c>
      <c r="Q2167" s="901" t="s">
        <v>3083</v>
      </c>
      <c r="R2167" s="903">
        <v>42429</v>
      </c>
      <c r="S2167" s="904">
        <v>42430</v>
      </c>
      <c r="T2167" s="894">
        <v>42447</v>
      </c>
      <c r="U2167" s="893">
        <f t="shared" si="90"/>
        <v>113</v>
      </c>
      <c r="V2167" s="893" t="s">
        <v>1250</v>
      </c>
      <c r="W2167" s="897" t="s">
        <v>90</v>
      </c>
      <c r="X2167" s="889"/>
      <c r="Y2167" s="888">
        <v>42417</v>
      </c>
      <c r="Z2167" s="895">
        <v>6618930802</v>
      </c>
      <c r="AA2167" s="889" t="s">
        <v>47</v>
      </c>
      <c r="AB2167" s="892" t="s">
        <v>47</v>
      </c>
      <c r="AC2167" s="476"/>
      <c r="AD2167" s="645" t="str">
        <f t="shared" si="91"/>
        <v>atrasado</v>
      </c>
      <c r="AE2167" s="468" t="s">
        <v>3085</v>
      </c>
      <c r="AF2167" s="468" t="s">
        <v>3086</v>
      </c>
    </row>
    <row r="2168" spans="1:39" s="649" customFormat="1" ht="54.95" customHeight="1" thickBot="1" x14ac:dyDescent="0.25">
      <c r="B2168" s="900" t="s">
        <v>36</v>
      </c>
      <c r="C2168" s="887" t="s">
        <v>37</v>
      </c>
      <c r="D2168" s="888" t="s">
        <v>3089</v>
      </c>
      <c r="E2168" s="901" t="s">
        <v>3090</v>
      </c>
      <c r="F2168" s="913">
        <v>15120002</v>
      </c>
      <c r="G2168" s="889" t="s">
        <v>39</v>
      </c>
      <c r="H2168" s="890">
        <v>7820</v>
      </c>
      <c r="I2168" s="902" t="s">
        <v>40</v>
      </c>
      <c r="J2168" s="892">
        <v>42349</v>
      </c>
      <c r="K2168" s="893">
        <f>+L2168-J2168</f>
        <v>91</v>
      </c>
      <c r="L2168" s="892">
        <v>42440</v>
      </c>
      <c r="M2168" s="892" t="s">
        <v>41</v>
      </c>
      <c r="N2168" s="889" t="s">
        <v>42</v>
      </c>
      <c r="O2168" s="892">
        <v>42419</v>
      </c>
      <c r="P2168" s="893">
        <f t="shared" si="89"/>
        <v>-10</v>
      </c>
      <c r="Q2168" s="901" t="s">
        <v>3083</v>
      </c>
      <c r="R2168" s="903">
        <v>42429</v>
      </c>
      <c r="S2168" s="904">
        <v>42430</v>
      </c>
      <c r="T2168" s="894">
        <v>42447</v>
      </c>
      <c r="U2168" s="893">
        <f t="shared" si="90"/>
        <v>98</v>
      </c>
      <c r="V2168" s="893" t="s">
        <v>3091</v>
      </c>
      <c r="W2168" s="897" t="s">
        <v>90</v>
      </c>
      <c r="X2168" s="889"/>
      <c r="Y2168" s="905"/>
      <c r="Z2168" s="895">
        <v>6618930802</v>
      </c>
      <c r="AA2168" s="889" t="s">
        <v>47</v>
      </c>
      <c r="AB2168" s="892" t="s">
        <v>47</v>
      </c>
      <c r="AC2168" s="476"/>
      <c r="AD2168" s="645" t="str">
        <f t="shared" si="91"/>
        <v>en término</v>
      </c>
      <c r="AE2168" s="468" t="s">
        <v>3085</v>
      </c>
      <c r="AF2168" s="468" t="s">
        <v>3086</v>
      </c>
    </row>
    <row r="2169" spans="1:39" s="649" customFormat="1" ht="54.95" customHeight="1" thickBot="1" x14ac:dyDescent="0.25">
      <c r="B2169" s="900" t="s">
        <v>36</v>
      </c>
      <c r="C2169" s="887" t="s">
        <v>37</v>
      </c>
      <c r="D2169" s="888" t="s">
        <v>3092</v>
      </c>
      <c r="E2169" s="901" t="s">
        <v>3093</v>
      </c>
      <c r="F2169" s="913">
        <v>16030006</v>
      </c>
      <c r="G2169" s="889" t="s">
        <v>39</v>
      </c>
      <c r="H2169" s="890">
        <v>5540</v>
      </c>
      <c r="I2169" s="902"/>
      <c r="J2169" s="892">
        <v>42402</v>
      </c>
      <c r="K2169" s="893">
        <f>+L2169-J2169</f>
        <v>104</v>
      </c>
      <c r="L2169" s="892">
        <v>42506</v>
      </c>
      <c r="M2169" s="892" t="s">
        <v>41</v>
      </c>
      <c r="N2169" s="889" t="s">
        <v>42</v>
      </c>
      <c r="O2169" s="892">
        <v>42489</v>
      </c>
      <c r="P2169" s="893">
        <f t="shared" si="89"/>
        <v>-6</v>
      </c>
      <c r="Q2169" s="901" t="s">
        <v>3094</v>
      </c>
      <c r="R2169" s="903">
        <v>42497</v>
      </c>
      <c r="S2169" s="904">
        <v>42500</v>
      </c>
      <c r="T2169" s="894">
        <v>42517</v>
      </c>
      <c r="U2169" s="893">
        <f t="shared" si="90"/>
        <v>115</v>
      </c>
      <c r="V2169" s="893" t="s">
        <v>2183</v>
      </c>
      <c r="W2169" s="897" t="s">
        <v>2418</v>
      </c>
      <c r="X2169" s="889"/>
      <c r="Y2169" s="905"/>
      <c r="Z2169" s="895">
        <v>1453513180</v>
      </c>
      <c r="AA2169" s="889" t="s">
        <v>47</v>
      </c>
      <c r="AB2169" s="892" t="s">
        <v>3095</v>
      </c>
      <c r="AC2169" s="476" t="s">
        <v>3096</v>
      </c>
      <c r="AD2169" s="645" t="str">
        <f t="shared" si="91"/>
        <v>en término</v>
      </c>
      <c r="AE2169" s="468" t="s">
        <v>3097</v>
      </c>
      <c r="AF2169" s="468" t="s">
        <v>3098</v>
      </c>
    </row>
    <row r="2170" spans="1:39" s="649" customFormat="1" ht="54.95" customHeight="1" thickBot="1" x14ac:dyDescent="0.25">
      <c r="B2170" s="900" t="s">
        <v>36</v>
      </c>
      <c r="C2170" s="887" t="s">
        <v>37</v>
      </c>
      <c r="D2170" s="888" t="s">
        <v>3099</v>
      </c>
      <c r="E2170" s="901" t="s">
        <v>3100</v>
      </c>
      <c r="F2170" s="913">
        <v>16030002</v>
      </c>
      <c r="G2170" s="889" t="s">
        <v>39</v>
      </c>
      <c r="H2170" s="890">
        <v>12752</v>
      </c>
      <c r="I2170" s="902" t="s">
        <v>142</v>
      </c>
      <c r="J2170" s="892">
        <v>42430</v>
      </c>
      <c r="K2170" s="893">
        <v>90</v>
      </c>
      <c r="L2170" s="892">
        <f t="shared" ref="L2170:L2176" si="92">+J2170+K2170</f>
        <v>42520</v>
      </c>
      <c r="M2170" s="892" t="s">
        <v>41</v>
      </c>
      <c r="N2170" s="889" t="s">
        <v>42</v>
      </c>
      <c r="O2170" s="892">
        <v>42489</v>
      </c>
      <c r="P2170" s="893">
        <f t="shared" si="89"/>
        <v>-20</v>
      </c>
      <c r="Q2170" s="901" t="s">
        <v>3094</v>
      </c>
      <c r="R2170" s="903">
        <v>42497</v>
      </c>
      <c r="S2170" s="904">
        <v>42500</v>
      </c>
      <c r="T2170" s="894">
        <v>42517</v>
      </c>
      <c r="U2170" s="893">
        <f t="shared" si="90"/>
        <v>87</v>
      </c>
      <c r="V2170" s="893" t="s">
        <v>53</v>
      </c>
      <c r="W2170" s="897" t="s">
        <v>2418</v>
      </c>
      <c r="X2170" s="889"/>
      <c r="Y2170" s="905"/>
      <c r="Z2170" s="895">
        <v>1453513180</v>
      </c>
      <c r="AA2170" s="889" t="s">
        <v>47</v>
      </c>
      <c r="AB2170" s="892" t="s">
        <v>3095</v>
      </c>
      <c r="AC2170" s="476"/>
      <c r="AD2170" s="645" t="str">
        <f t="shared" si="91"/>
        <v>en término</v>
      </c>
      <c r="AE2170" s="468" t="s">
        <v>3097</v>
      </c>
      <c r="AF2170" s="468" t="s">
        <v>3098</v>
      </c>
    </row>
    <row r="2171" spans="1:39" s="649" customFormat="1" ht="54.95" customHeight="1" thickBot="1" x14ac:dyDescent="0.25">
      <c r="B2171" s="900" t="s">
        <v>36</v>
      </c>
      <c r="C2171" s="887" t="s">
        <v>37</v>
      </c>
      <c r="D2171" s="888" t="s">
        <v>3099</v>
      </c>
      <c r="E2171" s="901" t="s">
        <v>3101</v>
      </c>
      <c r="F2171" s="913">
        <v>16030003</v>
      </c>
      <c r="G2171" s="889" t="s">
        <v>39</v>
      </c>
      <c r="H2171" s="890">
        <v>95858</v>
      </c>
      <c r="I2171" s="902" t="s">
        <v>52</v>
      </c>
      <c r="J2171" s="892">
        <v>42430</v>
      </c>
      <c r="K2171" s="893">
        <v>90</v>
      </c>
      <c r="L2171" s="892">
        <f t="shared" si="92"/>
        <v>42520</v>
      </c>
      <c r="M2171" s="892" t="s">
        <v>41</v>
      </c>
      <c r="N2171" s="889" t="s">
        <v>42</v>
      </c>
      <c r="O2171" s="892">
        <v>42489</v>
      </c>
      <c r="P2171" s="893">
        <f t="shared" si="89"/>
        <v>-20</v>
      </c>
      <c r="Q2171" s="901" t="s">
        <v>3094</v>
      </c>
      <c r="R2171" s="903">
        <v>42497</v>
      </c>
      <c r="S2171" s="904">
        <v>42500</v>
      </c>
      <c r="T2171" s="894">
        <v>42517</v>
      </c>
      <c r="U2171" s="893">
        <f t="shared" si="90"/>
        <v>87</v>
      </c>
      <c r="V2171" s="893" t="s">
        <v>3102</v>
      </c>
      <c r="W2171" s="897" t="s">
        <v>2418</v>
      </c>
      <c r="X2171" s="889"/>
      <c r="Y2171" s="889" t="s">
        <v>3103</v>
      </c>
      <c r="Z2171" s="895">
        <v>1453513180</v>
      </c>
      <c r="AA2171" s="889" t="s">
        <v>47</v>
      </c>
      <c r="AB2171" s="892" t="s">
        <v>3095</v>
      </c>
      <c r="AC2171" s="476"/>
      <c r="AD2171" s="645" t="str">
        <f t="shared" si="91"/>
        <v>en término</v>
      </c>
      <c r="AE2171" s="468" t="s">
        <v>3097</v>
      </c>
      <c r="AF2171" s="468" t="s">
        <v>3098</v>
      </c>
    </row>
    <row r="2172" spans="1:39" s="649" customFormat="1" ht="54.95" customHeight="1" thickBot="1" x14ac:dyDescent="0.25">
      <c r="B2172" s="900" t="s">
        <v>36</v>
      </c>
      <c r="C2172" s="887" t="s">
        <v>37</v>
      </c>
      <c r="D2172" s="888" t="s">
        <v>3099</v>
      </c>
      <c r="E2172" s="901" t="s">
        <v>3104</v>
      </c>
      <c r="F2172" s="913">
        <v>16030004</v>
      </c>
      <c r="G2172" s="889" t="s">
        <v>39</v>
      </c>
      <c r="H2172" s="890">
        <v>27667</v>
      </c>
      <c r="I2172" s="902" t="s">
        <v>62</v>
      </c>
      <c r="J2172" s="892">
        <v>42430</v>
      </c>
      <c r="K2172" s="893">
        <v>90</v>
      </c>
      <c r="L2172" s="892">
        <f t="shared" si="92"/>
        <v>42520</v>
      </c>
      <c r="M2172" s="892" t="s">
        <v>41</v>
      </c>
      <c r="N2172" s="889" t="s">
        <v>42</v>
      </c>
      <c r="O2172" s="892">
        <v>42489</v>
      </c>
      <c r="P2172" s="893">
        <f t="shared" si="89"/>
        <v>-20</v>
      </c>
      <c r="Q2172" s="901" t="s">
        <v>3094</v>
      </c>
      <c r="R2172" s="903">
        <v>42497</v>
      </c>
      <c r="S2172" s="904">
        <v>42500</v>
      </c>
      <c r="T2172" s="894">
        <v>42517</v>
      </c>
      <c r="U2172" s="893">
        <f t="shared" si="90"/>
        <v>87</v>
      </c>
      <c r="V2172" s="893" t="s">
        <v>3105</v>
      </c>
      <c r="W2172" s="897" t="s">
        <v>2418</v>
      </c>
      <c r="X2172" s="889"/>
      <c r="Y2172" s="889" t="s">
        <v>3103</v>
      </c>
      <c r="Z2172" s="895">
        <v>1453513180</v>
      </c>
      <c r="AA2172" s="889" t="s">
        <v>47</v>
      </c>
      <c r="AB2172" s="892" t="s">
        <v>3095</v>
      </c>
      <c r="AC2172" s="476"/>
      <c r="AD2172" s="645" t="str">
        <f t="shared" si="91"/>
        <v>en término</v>
      </c>
      <c r="AE2172" s="468" t="s">
        <v>3097</v>
      </c>
      <c r="AF2172" s="468" t="s">
        <v>3098</v>
      </c>
    </row>
    <row r="2173" spans="1:39" s="649" customFormat="1" ht="54.95" customHeight="1" thickBot="1" x14ac:dyDescent="0.25">
      <c r="B2173" s="900" t="s">
        <v>36</v>
      </c>
      <c r="C2173" s="887" t="s">
        <v>37</v>
      </c>
      <c r="D2173" s="888" t="s">
        <v>3099</v>
      </c>
      <c r="E2173" s="901" t="s">
        <v>3106</v>
      </c>
      <c r="F2173" s="913">
        <v>16030005</v>
      </c>
      <c r="G2173" s="889" t="s">
        <v>39</v>
      </c>
      <c r="H2173" s="890">
        <v>134592</v>
      </c>
      <c r="I2173" s="902" t="s">
        <v>40</v>
      </c>
      <c r="J2173" s="892">
        <v>42430</v>
      </c>
      <c r="K2173" s="893">
        <v>90</v>
      </c>
      <c r="L2173" s="892">
        <f t="shared" si="92"/>
        <v>42520</v>
      </c>
      <c r="M2173" s="892" t="s">
        <v>41</v>
      </c>
      <c r="N2173" s="889" t="s">
        <v>42</v>
      </c>
      <c r="O2173" s="892">
        <v>42489</v>
      </c>
      <c r="P2173" s="893">
        <f t="shared" si="89"/>
        <v>-20</v>
      </c>
      <c r="Q2173" s="901" t="s">
        <v>3094</v>
      </c>
      <c r="R2173" s="903">
        <v>42497</v>
      </c>
      <c r="S2173" s="904">
        <v>42500</v>
      </c>
      <c r="T2173" s="894">
        <v>42517</v>
      </c>
      <c r="U2173" s="893">
        <f t="shared" si="90"/>
        <v>87</v>
      </c>
      <c r="V2173" s="893" t="s">
        <v>3107</v>
      </c>
      <c r="W2173" s="897" t="s">
        <v>2418</v>
      </c>
      <c r="X2173" s="889"/>
      <c r="Y2173" s="889" t="s">
        <v>3103</v>
      </c>
      <c r="Z2173" s="895">
        <v>1453513180</v>
      </c>
      <c r="AA2173" s="889" t="s">
        <v>47</v>
      </c>
      <c r="AB2173" s="892" t="s">
        <v>3095</v>
      </c>
      <c r="AC2173" s="476"/>
      <c r="AD2173" s="645" t="str">
        <f t="shared" si="91"/>
        <v>en término</v>
      </c>
      <c r="AE2173" s="468" t="s">
        <v>3097</v>
      </c>
      <c r="AF2173" s="468" t="s">
        <v>3098</v>
      </c>
    </row>
    <row r="2174" spans="1:39" s="649" customFormat="1" ht="54.95" customHeight="1" thickBot="1" x14ac:dyDescent="0.25">
      <c r="B2174" s="900" t="s">
        <v>36</v>
      </c>
      <c r="C2174" s="887" t="s">
        <v>37</v>
      </c>
      <c r="D2174" s="888" t="s">
        <v>3099</v>
      </c>
      <c r="E2174" s="901" t="s">
        <v>3101</v>
      </c>
      <c r="F2174" s="913">
        <v>16030003</v>
      </c>
      <c r="G2174" s="889" t="s">
        <v>39</v>
      </c>
      <c r="H2174" s="890">
        <v>52303</v>
      </c>
      <c r="I2174" s="902" t="s">
        <v>52</v>
      </c>
      <c r="J2174" s="892">
        <v>42430</v>
      </c>
      <c r="K2174" s="893">
        <v>120</v>
      </c>
      <c r="L2174" s="892">
        <f t="shared" si="92"/>
        <v>42550</v>
      </c>
      <c r="M2174" s="892" t="s">
        <v>41</v>
      </c>
      <c r="N2174" s="889" t="s">
        <v>42</v>
      </c>
      <c r="O2174" s="892">
        <v>42522</v>
      </c>
      <c r="P2174" s="893">
        <f t="shared" si="89"/>
        <v>-14</v>
      </c>
      <c r="Q2174" s="901" t="s">
        <v>3108</v>
      </c>
      <c r="R2174" s="903">
        <v>42532</v>
      </c>
      <c r="S2174" s="904">
        <v>42536</v>
      </c>
      <c r="T2174" s="894">
        <v>42552</v>
      </c>
      <c r="U2174" s="893">
        <f t="shared" si="90"/>
        <v>122</v>
      </c>
      <c r="V2174" s="893" t="s">
        <v>3109</v>
      </c>
      <c r="W2174" s="897" t="s">
        <v>2203</v>
      </c>
      <c r="X2174" s="889"/>
      <c r="Y2174" s="888">
        <v>42516</v>
      </c>
      <c r="Z2174" s="895">
        <v>1902279713</v>
      </c>
      <c r="AA2174" s="889" t="s">
        <v>47</v>
      </c>
      <c r="AB2174" s="892" t="s">
        <v>3110</v>
      </c>
      <c r="AC2174" s="476"/>
      <c r="AD2174" s="645" t="str">
        <f t="shared" si="91"/>
        <v>en término</v>
      </c>
      <c r="AE2174" s="468" t="s">
        <v>3111</v>
      </c>
      <c r="AF2174" s="468" t="s">
        <v>187</v>
      </c>
    </row>
    <row r="2175" spans="1:39" s="649" customFormat="1" ht="54.95" customHeight="1" thickBot="1" x14ac:dyDescent="0.25">
      <c r="B2175" s="900" t="s">
        <v>36</v>
      </c>
      <c r="C2175" s="887" t="s">
        <v>37</v>
      </c>
      <c r="D2175" s="888" t="s">
        <v>3099</v>
      </c>
      <c r="E2175" s="901" t="s">
        <v>3104</v>
      </c>
      <c r="F2175" s="913">
        <v>16030004</v>
      </c>
      <c r="G2175" s="889" t="s">
        <v>39</v>
      </c>
      <c r="H2175" s="890">
        <v>16532</v>
      </c>
      <c r="I2175" s="902" t="s">
        <v>62</v>
      </c>
      <c r="J2175" s="892">
        <v>42430</v>
      </c>
      <c r="K2175" s="893">
        <v>120</v>
      </c>
      <c r="L2175" s="892">
        <f t="shared" si="92"/>
        <v>42550</v>
      </c>
      <c r="M2175" s="892" t="s">
        <v>41</v>
      </c>
      <c r="N2175" s="889" t="s">
        <v>42</v>
      </c>
      <c r="O2175" s="892">
        <v>42522</v>
      </c>
      <c r="P2175" s="893">
        <f t="shared" si="89"/>
        <v>-14</v>
      </c>
      <c r="Q2175" s="901" t="s">
        <v>3108</v>
      </c>
      <c r="R2175" s="903">
        <v>42532</v>
      </c>
      <c r="S2175" s="904">
        <v>42536</v>
      </c>
      <c r="T2175" s="894">
        <v>42552</v>
      </c>
      <c r="U2175" s="893">
        <f t="shared" si="90"/>
        <v>122</v>
      </c>
      <c r="V2175" s="893" t="s">
        <v>3112</v>
      </c>
      <c r="W2175" s="897" t="s">
        <v>2203</v>
      </c>
      <c r="X2175" s="889"/>
      <c r="Y2175" s="888">
        <v>42516</v>
      </c>
      <c r="Z2175" s="895">
        <v>1902279713</v>
      </c>
      <c r="AA2175" s="889" t="s">
        <v>47</v>
      </c>
      <c r="AB2175" s="892" t="s">
        <v>3110</v>
      </c>
      <c r="AC2175" s="476"/>
      <c r="AD2175" s="645" t="str">
        <f t="shared" si="91"/>
        <v>en término</v>
      </c>
      <c r="AE2175" s="468" t="s">
        <v>3111</v>
      </c>
      <c r="AF2175" s="468" t="s">
        <v>187</v>
      </c>
    </row>
    <row r="2176" spans="1:39" s="649" customFormat="1" ht="54.95" customHeight="1" thickBot="1" x14ac:dyDescent="0.25">
      <c r="B2176" s="900" t="s">
        <v>36</v>
      </c>
      <c r="C2176" s="887" t="s">
        <v>37</v>
      </c>
      <c r="D2176" s="888" t="s">
        <v>3099</v>
      </c>
      <c r="E2176" s="901" t="s">
        <v>3106</v>
      </c>
      <c r="F2176" s="913">
        <v>16030005</v>
      </c>
      <c r="G2176" s="889" t="s">
        <v>39</v>
      </c>
      <c r="H2176" s="890">
        <v>56160</v>
      </c>
      <c r="I2176" s="902" t="s">
        <v>40</v>
      </c>
      <c r="J2176" s="892">
        <v>42430</v>
      </c>
      <c r="K2176" s="893">
        <v>120</v>
      </c>
      <c r="L2176" s="892">
        <f t="shared" si="92"/>
        <v>42550</v>
      </c>
      <c r="M2176" s="892" t="s">
        <v>41</v>
      </c>
      <c r="N2176" s="889" t="s">
        <v>42</v>
      </c>
      <c r="O2176" s="892">
        <v>42522</v>
      </c>
      <c r="P2176" s="893">
        <f t="shared" si="89"/>
        <v>-14</v>
      </c>
      <c r="Q2176" s="901" t="s">
        <v>3108</v>
      </c>
      <c r="R2176" s="903">
        <v>42532</v>
      </c>
      <c r="S2176" s="904">
        <v>42536</v>
      </c>
      <c r="T2176" s="894">
        <v>42552</v>
      </c>
      <c r="U2176" s="893">
        <f t="shared" si="90"/>
        <v>122</v>
      </c>
      <c r="V2176" s="893" t="s">
        <v>3113</v>
      </c>
      <c r="W2176" s="897" t="s">
        <v>2203</v>
      </c>
      <c r="X2176" s="889"/>
      <c r="Y2176" s="888">
        <v>42516</v>
      </c>
      <c r="Z2176" s="895">
        <v>1902279713</v>
      </c>
      <c r="AA2176" s="889" t="s">
        <v>47</v>
      </c>
      <c r="AB2176" s="892" t="s">
        <v>3110</v>
      </c>
      <c r="AC2176" s="476"/>
      <c r="AD2176" s="645" t="str">
        <f t="shared" si="91"/>
        <v>en término</v>
      </c>
      <c r="AE2176" s="468" t="s">
        <v>3111</v>
      </c>
      <c r="AF2176" s="468" t="s">
        <v>187</v>
      </c>
    </row>
    <row r="2177" spans="1:39" s="649" customFormat="1" ht="54.95" customHeight="1" thickBot="1" x14ac:dyDescent="0.25">
      <c r="B2177" s="900" t="s">
        <v>36</v>
      </c>
      <c r="C2177" s="887" t="s">
        <v>37</v>
      </c>
      <c r="D2177" s="888" t="s">
        <v>3114</v>
      </c>
      <c r="E2177" s="901" t="s">
        <v>3115</v>
      </c>
      <c r="F2177" s="913">
        <v>16030001</v>
      </c>
      <c r="G2177" s="889" t="s">
        <v>39</v>
      </c>
      <c r="H2177" s="890">
        <v>29500</v>
      </c>
      <c r="I2177" s="902" t="s">
        <v>40</v>
      </c>
      <c r="J2177" s="892">
        <v>42446</v>
      </c>
      <c r="K2177" s="893">
        <v>80</v>
      </c>
      <c r="L2177" s="892">
        <v>42541</v>
      </c>
      <c r="M2177" s="892" t="s">
        <v>41</v>
      </c>
      <c r="N2177" s="889" t="s">
        <v>42</v>
      </c>
      <c r="O2177" s="892">
        <v>42529</v>
      </c>
      <c r="P2177" s="893">
        <f t="shared" si="89"/>
        <v>1</v>
      </c>
      <c r="Q2177" s="901" t="s">
        <v>3116</v>
      </c>
      <c r="R2177" s="903">
        <v>42539</v>
      </c>
      <c r="S2177" s="904">
        <v>42542</v>
      </c>
      <c r="T2177" s="894">
        <v>42559</v>
      </c>
      <c r="U2177" s="893">
        <f t="shared" si="90"/>
        <v>113</v>
      </c>
      <c r="V2177" s="893" t="s">
        <v>3117</v>
      </c>
      <c r="W2177" s="897" t="s">
        <v>2582</v>
      </c>
      <c r="X2177" s="889"/>
      <c r="Y2177" s="905"/>
      <c r="Z2177" s="895" t="s">
        <v>1116</v>
      </c>
      <c r="AA2177" s="889" t="s">
        <v>47</v>
      </c>
      <c r="AB2177" s="892" t="s">
        <v>3110</v>
      </c>
      <c r="AC2177" s="476" t="s">
        <v>3118</v>
      </c>
      <c r="AD2177" s="645" t="str">
        <f t="shared" si="91"/>
        <v>atrasado</v>
      </c>
      <c r="AE2177" s="468" t="s">
        <v>3119</v>
      </c>
      <c r="AF2177" s="468" t="s">
        <v>2943</v>
      </c>
    </row>
    <row r="2178" spans="1:39" s="649" customFormat="1" ht="54.95" customHeight="1" thickBot="1" x14ac:dyDescent="0.25">
      <c r="B2178" s="900" t="s">
        <v>36</v>
      </c>
      <c r="C2178" s="887" t="s">
        <v>37</v>
      </c>
      <c r="D2178" s="888" t="s">
        <v>3120</v>
      </c>
      <c r="E2178" s="901" t="s">
        <v>3121</v>
      </c>
      <c r="F2178" s="913">
        <v>16050001</v>
      </c>
      <c r="G2178" s="889" t="s">
        <v>39</v>
      </c>
      <c r="H2178" s="890">
        <v>580</v>
      </c>
      <c r="I2178" s="902" t="s">
        <v>62</v>
      </c>
      <c r="J2178" s="892">
        <v>42471</v>
      </c>
      <c r="K2178" s="893">
        <f>+L2178-J2178</f>
        <v>61</v>
      </c>
      <c r="L2178" s="892">
        <v>42532</v>
      </c>
      <c r="M2178" s="892" t="s">
        <v>41</v>
      </c>
      <c r="N2178" s="889" t="s">
        <v>42</v>
      </c>
      <c r="O2178" s="892">
        <v>42522</v>
      </c>
      <c r="P2178" s="893">
        <f t="shared" si="89"/>
        <v>4</v>
      </c>
      <c r="Q2178" s="901" t="s">
        <v>3108</v>
      </c>
      <c r="R2178" s="903">
        <v>42532</v>
      </c>
      <c r="S2178" s="904">
        <v>42536</v>
      </c>
      <c r="T2178" s="894">
        <v>42552</v>
      </c>
      <c r="U2178" s="893">
        <f t="shared" si="90"/>
        <v>81</v>
      </c>
      <c r="V2178" s="893" t="s">
        <v>53</v>
      </c>
      <c r="W2178" s="897" t="s">
        <v>2203</v>
      </c>
      <c r="X2178" s="889"/>
      <c r="Y2178" s="905"/>
      <c r="Z2178" s="895">
        <v>1902279713</v>
      </c>
      <c r="AA2178" s="889" t="s">
        <v>47</v>
      </c>
      <c r="AB2178" s="892" t="s">
        <v>3110</v>
      </c>
      <c r="AC2178" s="476"/>
      <c r="AD2178" s="645" t="str">
        <f t="shared" si="91"/>
        <v>atrasado</v>
      </c>
      <c r="AE2178" s="468" t="s">
        <v>3111</v>
      </c>
      <c r="AF2178" s="468" t="s">
        <v>187</v>
      </c>
    </row>
    <row r="2179" spans="1:39" s="649" customFormat="1" ht="54.95" customHeight="1" thickBot="1" x14ac:dyDescent="0.25">
      <c r="B2179" s="900" t="s">
        <v>36</v>
      </c>
      <c r="C2179" s="887" t="s">
        <v>37</v>
      </c>
      <c r="D2179" s="888" t="s">
        <v>3122</v>
      </c>
      <c r="E2179" s="901" t="s">
        <v>3123</v>
      </c>
      <c r="F2179" s="913">
        <v>16060001</v>
      </c>
      <c r="G2179" s="889" t="s">
        <v>39</v>
      </c>
      <c r="H2179" s="890">
        <v>1224</v>
      </c>
      <c r="I2179" s="902" t="s">
        <v>62</v>
      </c>
      <c r="J2179" s="892">
        <v>42530</v>
      </c>
      <c r="K2179" s="893">
        <v>60</v>
      </c>
      <c r="L2179" s="892">
        <f>+J2179+K2179</f>
        <v>42590</v>
      </c>
      <c r="M2179" s="892" t="s">
        <v>41</v>
      </c>
      <c r="N2179" s="889" t="s">
        <v>42</v>
      </c>
      <c r="O2179" s="892">
        <v>42566</v>
      </c>
      <c r="P2179" s="893">
        <f t="shared" si="89"/>
        <v>-19</v>
      </c>
      <c r="Q2179" s="901"/>
      <c r="R2179" s="903"/>
      <c r="S2179" s="904">
        <v>42571</v>
      </c>
      <c r="T2179" s="894">
        <v>42576</v>
      </c>
      <c r="U2179" s="893">
        <f t="shared" si="90"/>
        <v>46</v>
      </c>
      <c r="V2179" s="893" t="s">
        <v>53</v>
      </c>
      <c r="W2179" s="897" t="s">
        <v>2208</v>
      </c>
      <c r="X2179" s="889"/>
      <c r="Y2179" s="905"/>
      <c r="Z2179" s="895" t="s">
        <v>1116</v>
      </c>
      <c r="AA2179" s="889" t="s">
        <v>47</v>
      </c>
      <c r="AB2179" s="892" t="s">
        <v>47</v>
      </c>
      <c r="AC2179" s="476"/>
      <c r="AD2179" s="645" t="str">
        <f t="shared" si="91"/>
        <v>en término</v>
      </c>
      <c r="AE2179" s="468"/>
      <c r="AF2179" s="468"/>
    </row>
    <row r="2180" spans="1:39" s="649" customFormat="1" ht="54.95" customHeight="1" thickBot="1" x14ac:dyDescent="0.25">
      <c r="B2180" s="900" t="s">
        <v>36</v>
      </c>
      <c r="C2180" s="887" t="s">
        <v>37</v>
      </c>
      <c r="D2180" s="888" t="s">
        <v>3114</v>
      </c>
      <c r="E2180" s="901" t="s">
        <v>3115</v>
      </c>
      <c r="F2180" s="913">
        <v>16030001</v>
      </c>
      <c r="G2180" s="889" t="s">
        <v>39</v>
      </c>
      <c r="H2180" s="890">
        <v>118000</v>
      </c>
      <c r="I2180" s="902" t="s">
        <v>40</v>
      </c>
      <c r="J2180" s="892">
        <v>42446</v>
      </c>
      <c r="K2180" s="893">
        <v>200</v>
      </c>
      <c r="L2180" s="892">
        <f>+J2180+K2180</f>
        <v>42646</v>
      </c>
      <c r="M2180" s="892" t="s">
        <v>41</v>
      </c>
      <c r="N2180" s="889" t="s">
        <v>42</v>
      </c>
      <c r="O2180" s="892">
        <v>42622</v>
      </c>
      <c r="P2180" s="893">
        <f t="shared" si="89"/>
        <v>-13</v>
      </c>
      <c r="Q2180" s="901" t="s">
        <v>3124</v>
      </c>
      <c r="R2180" s="903">
        <v>42630</v>
      </c>
      <c r="S2180" s="904">
        <v>42633</v>
      </c>
      <c r="T2180" s="894">
        <v>42650</v>
      </c>
      <c r="U2180" s="893">
        <f t="shared" si="90"/>
        <v>204</v>
      </c>
      <c r="V2180" s="893" t="s">
        <v>3125</v>
      </c>
      <c r="W2180" s="897" t="s">
        <v>2215</v>
      </c>
      <c r="X2180" s="889"/>
      <c r="Y2180" s="888">
        <v>42621</v>
      </c>
      <c r="Z2180" s="895">
        <v>3267391610</v>
      </c>
      <c r="AA2180" s="889" t="s">
        <v>3126</v>
      </c>
      <c r="AB2180" s="892" t="s">
        <v>3127</v>
      </c>
      <c r="AC2180" s="476"/>
      <c r="AD2180" s="645" t="str">
        <f t="shared" si="91"/>
        <v>en término</v>
      </c>
      <c r="AE2180" s="468" t="s">
        <v>3128</v>
      </c>
      <c r="AF2180" s="468" t="s">
        <v>3129</v>
      </c>
    </row>
    <row r="2181" spans="1:39" s="649" customFormat="1" ht="54.95" customHeight="1" thickBot="1" x14ac:dyDescent="0.25">
      <c r="B2181" s="900" t="s">
        <v>36</v>
      </c>
      <c r="C2181" s="887" t="s">
        <v>37</v>
      </c>
      <c r="D2181" s="888" t="s">
        <v>3130</v>
      </c>
      <c r="E2181" s="901" t="s">
        <v>3131</v>
      </c>
      <c r="F2181" s="913">
        <v>16090001</v>
      </c>
      <c r="G2181" s="889" t="s">
        <v>39</v>
      </c>
      <c r="H2181" s="890">
        <v>5033</v>
      </c>
      <c r="I2181" s="902" t="s">
        <v>52</v>
      </c>
      <c r="J2181" s="892">
        <v>42627</v>
      </c>
      <c r="K2181" s="893">
        <v>75</v>
      </c>
      <c r="L2181" s="892">
        <f>+J2181+K2181</f>
        <v>42702</v>
      </c>
      <c r="M2181" s="892" t="s">
        <v>41</v>
      </c>
      <c r="N2181" s="889" t="s">
        <v>42</v>
      </c>
      <c r="O2181" s="892">
        <v>42681</v>
      </c>
      <c r="P2181" s="893">
        <f>IF(R2181="","",+R2181-L2181)</f>
        <v>-9</v>
      </c>
      <c r="Q2181" s="901" t="s">
        <v>3132</v>
      </c>
      <c r="R2181" s="903">
        <v>42693</v>
      </c>
      <c r="S2181" s="904">
        <v>42695</v>
      </c>
      <c r="T2181" s="894">
        <v>42712</v>
      </c>
      <c r="U2181" s="893">
        <f t="shared" si="90"/>
        <v>85</v>
      </c>
      <c r="V2181" s="893" t="s">
        <v>53</v>
      </c>
      <c r="W2181" s="897" t="s">
        <v>2447</v>
      </c>
      <c r="X2181" s="889"/>
      <c r="Y2181" s="905"/>
      <c r="Z2181" s="895">
        <v>4113034354</v>
      </c>
      <c r="AA2181" s="889" t="s">
        <v>47</v>
      </c>
      <c r="AB2181" s="892" t="s">
        <v>47</v>
      </c>
      <c r="AC2181" s="476" t="s">
        <v>3133</v>
      </c>
      <c r="AD2181" s="645" t="str">
        <f t="shared" si="91"/>
        <v>en término</v>
      </c>
      <c r="AE2181" s="468" t="s">
        <v>3134</v>
      </c>
      <c r="AF2181" s="468" t="s">
        <v>3074</v>
      </c>
    </row>
    <row r="2182" spans="1:39" x14ac:dyDescent="0.2">
      <c r="B2182" s="9"/>
      <c r="C2182" s="9"/>
      <c r="D2182" s="9"/>
      <c r="E2182" s="9"/>
      <c r="F2182" s="10"/>
      <c r="G2182" s="10"/>
      <c r="H2182" s="9"/>
      <c r="I2182" s="10"/>
      <c r="J2182" s="9"/>
      <c r="K2182" s="9"/>
      <c r="L2182" s="9"/>
      <c r="M2182" s="9"/>
      <c r="N2182" s="9"/>
      <c r="O2182" s="9"/>
      <c r="P2182" s="9"/>
      <c r="Q2182" s="9"/>
      <c r="R2182" s="9"/>
      <c r="S2182" s="9"/>
      <c r="T2182" s="9"/>
      <c r="U2182" s="9"/>
      <c r="V2182" s="9"/>
      <c r="W2182" s="10"/>
      <c r="X2182" s="10"/>
      <c r="Y2182" s="10"/>
      <c r="Z2182" s="9"/>
      <c r="AA2182" s="9"/>
      <c r="AB2182" s="9"/>
      <c r="AC2182" s="10"/>
      <c r="AD2182" s="10"/>
      <c r="AE2182" s="9"/>
      <c r="AF2182" s="9"/>
      <c r="AG2182" s="9"/>
      <c r="AH2182" s="9"/>
      <c r="AI2182" s="9"/>
      <c r="AJ2182" s="9"/>
      <c r="AK2182" s="9"/>
      <c r="AL2182" s="9"/>
      <c r="AM2182" s="9"/>
    </row>
    <row r="2183" spans="1:39" x14ac:dyDescent="0.2">
      <c r="B2183" s="9"/>
      <c r="C2183" s="9"/>
      <c r="D2183" s="9"/>
      <c r="E2183" s="9"/>
      <c r="F2183" s="10"/>
      <c r="G2183" s="10"/>
      <c r="H2183" s="9"/>
      <c r="I2183" s="10"/>
      <c r="J2183" s="9"/>
      <c r="K2183" s="9"/>
      <c r="L2183" s="9"/>
      <c r="M2183" s="9"/>
      <c r="N2183" s="9"/>
      <c r="O2183" s="9"/>
      <c r="P2183" s="9"/>
      <c r="Q2183" s="9"/>
      <c r="R2183" s="9"/>
      <c r="S2183" s="9"/>
      <c r="T2183" s="9"/>
      <c r="U2183" s="9"/>
      <c r="V2183" s="9"/>
      <c r="W2183" s="10"/>
      <c r="X2183" s="10"/>
      <c r="Y2183" s="10"/>
      <c r="Z2183" s="9"/>
      <c r="AA2183" s="9"/>
      <c r="AB2183" s="9"/>
      <c r="AC2183" s="10"/>
      <c r="AD2183" s="10"/>
      <c r="AE2183" s="9"/>
      <c r="AF2183" s="9"/>
      <c r="AG2183" s="9"/>
      <c r="AH2183" s="9"/>
      <c r="AI2183" s="9"/>
      <c r="AJ2183" s="9"/>
      <c r="AK2183" s="9"/>
      <c r="AL2183" s="9"/>
      <c r="AM2183" s="9"/>
    </row>
    <row r="2184" spans="1:39" x14ac:dyDescent="0.2">
      <c r="B2184" s="9"/>
      <c r="C2184" s="9"/>
      <c r="D2184" s="9"/>
      <c r="E2184" s="9"/>
      <c r="F2184" s="10"/>
      <c r="G2184" s="10"/>
      <c r="H2184" s="9"/>
      <c r="I2184" s="10"/>
      <c r="J2184" s="9"/>
      <c r="K2184" s="9"/>
      <c r="L2184" s="9"/>
      <c r="M2184" s="9"/>
      <c r="N2184" s="9"/>
      <c r="O2184" s="9"/>
      <c r="P2184" s="9"/>
      <c r="Q2184" s="9"/>
      <c r="R2184" s="9"/>
      <c r="S2184" s="9"/>
      <c r="T2184" s="9"/>
      <c r="U2184" s="9"/>
      <c r="V2184" s="9"/>
      <c r="W2184" s="10"/>
      <c r="X2184" s="10"/>
      <c r="Y2184" s="10"/>
      <c r="Z2184" s="9"/>
      <c r="AA2184" s="9"/>
      <c r="AB2184" s="9"/>
      <c r="AC2184" s="10"/>
      <c r="AD2184" s="10"/>
      <c r="AE2184" s="9"/>
      <c r="AF2184" s="9"/>
      <c r="AG2184" s="9"/>
      <c r="AH2184" s="9"/>
      <c r="AI2184" s="9"/>
      <c r="AJ2184" s="9"/>
      <c r="AK2184" s="9"/>
      <c r="AL2184" s="9"/>
      <c r="AM2184" s="9"/>
    </row>
    <row r="2185" spans="1:39" x14ac:dyDescent="0.2">
      <c r="B2185" s="9"/>
      <c r="C2185" s="9"/>
      <c r="D2185" s="9"/>
      <c r="E2185" s="9"/>
      <c r="F2185" s="10"/>
      <c r="G2185" s="10"/>
      <c r="H2185" s="9"/>
      <c r="I2185" s="10"/>
      <c r="J2185" s="9"/>
      <c r="K2185" s="9"/>
      <c r="L2185" s="9"/>
      <c r="M2185" s="9"/>
      <c r="N2185" s="9"/>
      <c r="O2185" s="9"/>
      <c r="P2185" s="9"/>
      <c r="Q2185" s="9"/>
      <c r="R2185" s="9"/>
      <c r="S2185" s="9"/>
      <c r="T2185" s="9"/>
      <c r="U2185" s="9"/>
      <c r="V2185" s="9"/>
      <c r="W2185" s="10"/>
      <c r="X2185" s="10"/>
      <c r="Y2185" s="10"/>
      <c r="Z2185" s="9"/>
      <c r="AA2185" s="9"/>
      <c r="AB2185" s="9"/>
      <c r="AC2185" s="10"/>
      <c r="AD2185" s="10"/>
      <c r="AE2185" s="9"/>
      <c r="AF2185" s="9"/>
      <c r="AG2185" s="9"/>
      <c r="AH2185" s="9"/>
      <c r="AI2185" s="9"/>
      <c r="AJ2185" s="9"/>
      <c r="AK2185" s="9"/>
      <c r="AL2185" s="9"/>
      <c r="AM2185" s="9"/>
    </row>
    <row r="2186" spans="1:39" x14ac:dyDescent="0.2">
      <c r="B2186" s="9"/>
      <c r="C2186" s="9"/>
      <c r="D2186" s="9"/>
      <c r="E2186" s="9"/>
      <c r="F2186" s="10"/>
      <c r="G2186" s="10"/>
      <c r="H2186" s="9"/>
      <c r="I2186" s="10"/>
      <c r="J2186" s="9"/>
      <c r="K2186" s="9"/>
      <c r="L2186" s="9"/>
      <c r="M2186" s="9"/>
      <c r="N2186" s="9"/>
      <c r="O2186" s="9"/>
      <c r="P2186" s="9"/>
      <c r="Q2186" s="9"/>
      <c r="R2186" s="9"/>
      <c r="S2186" s="9"/>
      <c r="T2186" s="9"/>
      <c r="U2186" s="9"/>
      <c r="V2186" s="9"/>
      <c r="W2186" s="10"/>
      <c r="X2186" s="10"/>
      <c r="Y2186" s="10"/>
      <c r="Z2186" s="9"/>
      <c r="AA2186" s="9"/>
      <c r="AB2186" s="9"/>
      <c r="AC2186" s="10"/>
      <c r="AD2186" s="10"/>
      <c r="AE2186" s="9"/>
      <c r="AF2186" s="9"/>
      <c r="AG2186" s="9"/>
      <c r="AH2186" s="9"/>
      <c r="AI2186" s="9"/>
      <c r="AJ2186" s="9"/>
      <c r="AK2186" s="9"/>
      <c r="AL2186" s="9"/>
      <c r="AM2186" s="9"/>
    </row>
    <row r="2187" spans="1:39" ht="12" thickBot="1" x14ac:dyDescent="0.25">
      <c r="B2187" s="9"/>
      <c r="C2187" s="9"/>
      <c r="D2187" s="9"/>
      <c r="E2187" s="9"/>
      <c r="F2187" s="10"/>
      <c r="G2187" s="10"/>
      <c r="H2187" s="9"/>
      <c r="I2187" s="10"/>
      <c r="J2187" s="9"/>
      <c r="K2187" s="9"/>
      <c r="L2187" s="9"/>
      <c r="M2187" s="9"/>
      <c r="N2187" s="9"/>
      <c r="O2187" s="9"/>
      <c r="P2187" s="9"/>
      <c r="Q2187" s="9"/>
      <c r="R2187" s="9"/>
      <c r="S2187" s="9"/>
      <c r="T2187" s="9"/>
      <c r="U2187" s="9"/>
      <c r="V2187" s="9"/>
      <c r="W2187" s="10"/>
      <c r="X2187" s="10"/>
      <c r="Y2187" s="10"/>
      <c r="Z2187" s="9"/>
      <c r="AA2187" s="9"/>
      <c r="AB2187" s="9"/>
      <c r="AC2187" s="10"/>
      <c r="AD2187" s="10"/>
      <c r="AE2187" s="9"/>
      <c r="AF2187" s="9"/>
      <c r="AG2187" s="9"/>
      <c r="AH2187" s="9"/>
      <c r="AI2187" s="9"/>
      <c r="AJ2187" s="9"/>
      <c r="AK2187" s="9"/>
      <c r="AL2187" s="9"/>
      <c r="AM2187" s="9"/>
    </row>
    <row r="2188" spans="1:39" s="556" customFormat="1" ht="39.950000000000003" customHeight="1" thickBot="1" x14ac:dyDescent="0.4">
      <c r="A2188" s="554"/>
      <c r="B2188" s="1611">
        <v>2017</v>
      </c>
      <c r="C2188" s="1612"/>
      <c r="D2188" s="1612"/>
      <c r="E2188" s="1612"/>
      <c r="F2188" s="1612"/>
      <c r="G2188" s="1612"/>
      <c r="H2188" s="1612"/>
      <c r="I2188" s="1612"/>
      <c r="J2188" s="1612"/>
      <c r="K2188" s="1612"/>
      <c r="L2188" s="1612"/>
      <c r="M2188" s="1612"/>
      <c r="N2188" s="1612"/>
      <c r="O2188" s="1612"/>
      <c r="P2188" s="1612"/>
      <c r="Q2188" s="1612"/>
      <c r="R2188" s="1612"/>
      <c r="S2188" s="1612"/>
      <c r="T2188" s="1612"/>
      <c r="U2188" s="1612"/>
      <c r="V2188" s="1612"/>
      <c r="W2188" s="1612"/>
      <c r="X2188" s="1612"/>
      <c r="Y2188" s="1612"/>
      <c r="Z2188" s="1612"/>
      <c r="AA2188" s="1612"/>
      <c r="AB2188" s="1612"/>
      <c r="AC2188" s="1613"/>
      <c r="AD2188" s="555"/>
    </row>
    <row r="2189" spans="1:39" s="441" customFormat="1" ht="60" customHeight="1" thickBot="1" x14ac:dyDescent="0.25">
      <c r="A2189" s="438"/>
      <c r="B2189" s="451" t="s">
        <v>130</v>
      </c>
      <c r="C2189" s="451" t="s">
        <v>4</v>
      </c>
      <c r="D2189" s="451" t="s">
        <v>5</v>
      </c>
      <c r="E2189" s="451" t="s">
        <v>6</v>
      </c>
      <c r="F2189" s="451" t="s">
        <v>7</v>
      </c>
      <c r="G2189" s="451" t="s">
        <v>8</v>
      </c>
      <c r="H2189" s="453" t="s">
        <v>9</v>
      </c>
      <c r="I2189" s="453" t="s">
        <v>10</v>
      </c>
      <c r="J2189" s="451" t="s">
        <v>11</v>
      </c>
      <c r="K2189" s="451" t="s">
        <v>12</v>
      </c>
      <c r="L2189" s="451" t="s">
        <v>13</v>
      </c>
      <c r="M2189" s="451" t="s">
        <v>14</v>
      </c>
      <c r="N2189" s="451" t="s">
        <v>15</v>
      </c>
      <c r="O2189" s="452" t="s">
        <v>16</v>
      </c>
      <c r="P2189" s="454" t="s">
        <v>17</v>
      </c>
      <c r="Q2189" s="451" t="s">
        <v>18</v>
      </c>
      <c r="R2189" s="452" t="s">
        <v>19</v>
      </c>
      <c r="S2189" s="451" t="s">
        <v>20</v>
      </c>
      <c r="T2189" s="451" t="s">
        <v>21</v>
      </c>
      <c r="U2189" s="452" t="s">
        <v>22</v>
      </c>
      <c r="V2189" s="451" t="s">
        <v>131</v>
      </c>
      <c r="W2189" s="451" t="s">
        <v>24</v>
      </c>
      <c r="X2189" s="451" t="s">
        <v>132</v>
      </c>
      <c r="Y2189" s="451" t="s">
        <v>26</v>
      </c>
      <c r="Z2189" s="451" t="s">
        <v>27</v>
      </c>
      <c r="AA2189" s="451" t="s">
        <v>28</v>
      </c>
      <c r="AB2189" s="451" t="s">
        <v>29</v>
      </c>
      <c r="AC2189" s="451" t="s">
        <v>30</v>
      </c>
      <c r="AD2189" s="439"/>
      <c r="AE2189" s="440"/>
      <c r="AF2189" s="440"/>
      <c r="AG2189" s="440"/>
      <c r="AH2189" s="440"/>
      <c r="AI2189" s="440"/>
      <c r="AJ2189" s="440"/>
      <c r="AK2189" s="440"/>
      <c r="AL2189" s="440"/>
      <c r="AM2189" s="440"/>
    </row>
    <row r="2190" spans="1:39" s="649" customFormat="1" ht="54.95" customHeight="1" thickBot="1" x14ac:dyDescent="0.25">
      <c r="B2190" s="900" t="s">
        <v>36</v>
      </c>
      <c r="C2190" s="887" t="s">
        <v>37</v>
      </c>
      <c r="D2190" s="888" t="s">
        <v>3135</v>
      </c>
      <c r="E2190" s="901">
        <v>4507543335</v>
      </c>
      <c r="F2190" s="913">
        <v>17010001</v>
      </c>
      <c r="G2190" s="889" t="s">
        <v>39</v>
      </c>
      <c r="H2190" s="890">
        <v>4726</v>
      </c>
      <c r="I2190" s="902" t="s">
        <v>40</v>
      </c>
      <c r="J2190" s="892">
        <v>42759</v>
      </c>
      <c r="K2190" s="893">
        <f>+L2190-J2190</f>
        <v>90</v>
      </c>
      <c r="L2190" s="892">
        <v>42849</v>
      </c>
      <c r="M2190" s="892" t="s">
        <v>41</v>
      </c>
      <c r="N2190" s="889" t="s">
        <v>42</v>
      </c>
      <c r="O2190" s="892">
        <v>42837</v>
      </c>
      <c r="P2190" s="893">
        <f t="shared" ref="P2190:P2203" si="93">IF(R2190="","",+R2190-L2190)</f>
        <v>-3</v>
      </c>
      <c r="Q2190" s="901" t="s">
        <v>3136</v>
      </c>
      <c r="R2190" s="903">
        <v>42846</v>
      </c>
      <c r="S2190" s="904">
        <v>42849</v>
      </c>
      <c r="T2190" s="894">
        <v>42867</v>
      </c>
      <c r="U2190" s="893">
        <f t="shared" ref="U2190:U2203" si="94">IF(T2190="","",+T2190-J2190)</f>
        <v>108</v>
      </c>
      <c r="V2190" s="893" t="s">
        <v>53</v>
      </c>
      <c r="W2190" s="897" t="s">
        <v>2415</v>
      </c>
      <c r="X2190" s="889"/>
      <c r="Y2190" s="905"/>
      <c r="Z2190" s="895" t="s">
        <v>3137</v>
      </c>
      <c r="AA2190" s="889" t="s">
        <v>1575</v>
      </c>
      <c r="AB2190" s="892" t="s">
        <v>3138</v>
      </c>
      <c r="AC2190" s="476" t="s">
        <v>3139</v>
      </c>
      <c r="AD2190" s="645" t="str">
        <f t="shared" ref="AD2190:AD2203" si="95">IF(P2190="","",IF(P2190&lt;=0,"en término","atrasado"))</f>
        <v>en término</v>
      </c>
      <c r="AE2190" s="468" t="s">
        <v>3134</v>
      </c>
      <c r="AF2190" s="468" t="s">
        <v>3074</v>
      </c>
    </row>
    <row r="2191" spans="1:39" s="649" customFormat="1" ht="54.95" customHeight="1" thickBot="1" x14ac:dyDescent="0.25">
      <c r="B2191" s="900" t="s">
        <v>36</v>
      </c>
      <c r="C2191" s="887" t="s">
        <v>37</v>
      </c>
      <c r="D2191" s="888" t="s">
        <v>3140</v>
      </c>
      <c r="E2191" s="901">
        <v>4507572017</v>
      </c>
      <c r="F2191" s="913">
        <v>17020001</v>
      </c>
      <c r="G2191" s="889" t="s">
        <v>39</v>
      </c>
      <c r="H2191" s="890">
        <v>180884.7</v>
      </c>
      <c r="I2191" s="902" t="s">
        <v>52</v>
      </c>
      <c r="J2191" s="892">
        <v>42766</v>
      </c>
      <c r="K2191" s="893">
        <f>+L2191-J2191</f>
        <v>78</v>
      </c>
      <c r="L2191" s="892">
        <v>42844</v>
      </c>
      <c r="M2191" s="892" t="s">
        <v>41</v>
      </c>
      <c r="N2191" s="889" t="s">
        <v>42</v>
      </c>
      <c r="O2191" s="892">
        <v>42837</v>
      </c>
      <c r="P2191" s="893">
        <f t="shared" si="93"/>
        <v>2</v>
      </c>
      <c r="Q2191" s="901" t="s">
        <v>3136</v>
      </c>
      <c r="R2191" s="903">
        <v>42846</v>
      </c>
      <c r="S2191" s="904">
        <v>42849</v>
      </c>
      <c r="T2191" s="894">
        <v>42867</v>
      </c>
      <c r="U2191" s="893">
        <f t="shared" si="94"/>
        <v>101</v>
      </c>
      <c r="V2191" s="893" t="s">
        <v>3141</v>
      </c>
      <c r="W2191" s="897" t="s">
        <v>2415</v>
      </c>
      <c r="X2191" s="889"/>
      <c r="Y2191" s="905"/>
      <c r="Z2191" s="895" t="s">
        <v>3137</v>
      </c>
      <c r="AA2191" s="889" t="s">
        <v>1575</v>
      </c>
      <c r="AB2191" s="892" t="s">
        <v>3138</v>
      </c>
      <c r="AC2191" s="847" t="s">
        <v>3142</v>
      </c>
      <c r="AD2191" s="645" t="str">
        <f t="shared" si="95"/>
        <v>atrasado</v>
      </c>
      <c r="AE2191" s="468" t="s">
        <v>3134</v>
      </c>
      <c r="AF2191" s="468" t="s">
        <v>3074</v>
      </c>
    </row>
    <row r="2192" spans="1:39" s="649" customFormat="1" ht="54.95" customHeight="1" thickBot="1" x14ac:dyDescent="0.25">
      <c r="B2192" s="900" t="s">
        <v>36</v>
      </c>
      <c r="C2192" s="887" t="s">
        <v>37</v>
      </c>
      <c r="D2192" s="888" t="s">
        <v>3143</v>
      </c>
      <c r="E2192" s="901">
        <v>4507476527</v>
      </c>
      <c r="F2192" s="913">
        <v>17030001</v>
      </c>
      <c r="G2192" s="889" t="s">
        <v>39</v>
      </c>
      <c r="H2192" s="890">
        <v>327580</v>
      </c>
      <c r="I2192" s="902" t="s">
        <v>62</v>
      </c>
      <c r="J2192" s="892">
        <v>42816</v>
      </c>
      <c r="K2192" s="893">
        <f>+L2192-J2192</f>
        <v>113</v>
      </c>
      <c r="L2192" s="892">
        <v>42929</v>
      </c>
      <c r="M2192" s="892" t="s">
        <v>41</v>
      </c>
      <c r="N2192" s="889" t="s">
        <v>42</v>
      </c>
      <c r="O2192" s="892">
        <v>42902</v>
      </c>
      <c r="P2192" s="893">
        <f t="shared" si="93"/>
        <v>-20</v>
      </c>
      <c r="Q2192" s="901" t="s">
        <v>3144</v>
      </c>
      <c r="R2192" s="903">
        <v>42909</v>
      </c>
      <c r="S2192" s="904">
        <v>42912</v>
      </c>
      <c r="T2192" s="894">
        <v>42930</v>
      </c>
      <c r="U2192" s="893">
        <f t="shared" si="94"/>
        <v>114</v>
      </c>
      <c r="V2192" s="893" t="s">
        <v>3145</v>
      </c>
      <c r="W2192" s="897" t="s">
        <v>2443</v>
      </c>
      <c r="X2192" s="889"/>
      <c r="Y2192" s="889" t="s">
        <v>3146</v>
      </c>
      <c r="Z2192" s="895">
        <v>9578747721</v>
      </c>
      <c r="AA2192" s="889" t="s">
        <v>47</v>
      </c>
      <c r="AB2192" s="892" t="s">
        <v>1575</v>
      </c>
      <c r="AC2192" s="476"/>
      <c r="AD2192" s="645" t="str">
        <f t="shared" si="95"/>
        <v>en término</v>
      </c>
      <c r="AE2192" s="468" t="s">
        <v>3147</v>
      </c>
      <c r="AF2192" s="468" t="s">
        <v>2943</v>
      </c>
    </row>
    <row r="2193" spans="1:39" s="649" customFormat="1" ht="54.95" customHeight="1" thickBot="1" x14ac:dyDescent="0.25">
      <c r="B2193" s="900" t="s">
        <v>36</v>
      </c>
      <c r="C2193" s="887" t="s">
        <v>37</v>
      </c>
      <c r="D2193" s="888" t="s">
        <v>3148</v>
      </c>
      <c r="E2193" s="901" t="s">
        <v>3149</v>
      </c>
      <c r="F2193" s="913">
        <v>17060001</v>
      </c>
      <c r="G2193" s="889" t="s">
        <v>39</v>
      </c>
      <c r="H2193" s="890">
        <f>1480+588</f>
        <v>2068</v>
      </c>
      <c r="I2193" s="902" t="s">
        <v>62</v>
      </c>
      <c r="J2193" s="892">
        <v>42891</v>
      </c>
      <c r="K2193" s="893">
        <v>75</v>
      </c>
      <c r="L2193" s="892">
        <f>+J2193+K2193</f>
        <v>42966</v>
      </c>
      <c r="M2193" s="892" t="s">
        <v>41</v>
      </c>
      <c r="N2193" s="889" t="s">
        <v>42</v>
      </c>
      <c r="O2193" s="892">
        <v>42902</v>
      </c>
      <c r="P2193" s="893">
        <f t="shared" si="93"/>
        <v>-57</v>
      </c>
      <c r="Q2193" s="901" t="s">
        <v>3144</v>
      </c>
      <c r="R2193" s="903">
        <v>42909</v>
      </c>
      <c r="S2193" s="904">
        <v>42912</v>
      </c>
      <c r="T2193" s="894">
        <v>42930</v>
      </c>
      <c r="U2193" s="893">
        <f t="shared" si="94"/>
        <v>39</v>
      </c>
      <c r="V2193" s="893" t="s">
        <v>3150</v>
      </c>
      <c r="W2193" s="897" t="s">
        <v>2443</v>
      </c>
      <c r="X2193" s="889"/>
      <c r="Y2193" s="905"/>
      <c r="Z2193" s="895">
        <v>9578747721</v>
      </c>
      <c r="AA2193" s="889" t="s">
        <v>47</v>
      </c>
      <c r="AB2193" s="892" t="s">
        <v>47</v>
      </c>
      <c r="AC2193" s="476"/>
      <c r="AD2193" s="645" t="str">
        <f t="shared" si="95"/>
        <v>en término</v>
      </c>
      <c r="AE2193" s="468" t="s">
        <v>3147</v>
      </c>
      <c r="AF2193" s="468" t="s">
        <v>2943</v>
      </c>
    </row>
    <row r="2194" spans="1:39" s="649" customFormat="1" ht="54.95" customHeight="1" thickBot="1" x14ac:dyDescent="0.25">
      <c r="B2194" s="900" t="s">
        <v>36</v>
      </c>
      <c r="C2194" s="887" t="s">
        <v>37</v>
      </c>
      <c r="D2194" s="888" t="s">
        <v>3143</v>
      </c>
      <c r="E2194" s="901">
        <v>4507476527</v>
      </c>
      <c r="F2194" s="913">
        <v>17070002</v>
      </c>
      <c r="G2194" s="889" t="s">
        <v>39</v>
      </c>
      <c r="H2194" s="890">
        <f>125440+92910</f>
        <v>218350</v>
      </c>
      <c r="I2194" s="902" t="s">
        <v>62</v>
      </c>
      <c r="J2194" s="892">
        <v>42816</v>
      </c>
      <c r="K2194" s="893">
        <f>+L2194-J2194</f>
        <v>189</v>
      </c>
      <c r="L2194" s="892">
        <v>43005</v>
      </c>
      <c r="M2194" s="892" t="s">
        <v>41</v>
      </c>
      <c r="N2194" s="889" t="s">
        <v>42</v>
      </c>
      <c r="O2194" s="892">
        <v>42992</v>
      </c>
      <c r="P2194" s="893">
        <f t="shared" si="93"/>
        <v>-4</v>
      </c>
      <c r="Q2194" s="901" t="s">
        <v>3151</v>
      </c>
      <c r="R2194" s="903">
        <v>43001</v>
      </c>
      <c r="S2194" s="904">
        <v>43003</v>
      </c>
      <c r="T2194" s="894">
        <v>43021</v>
      </c>
      <c r="U2194" s="893">
        <f t="shared" si="94"/>
        <v>205</v>
      </c>
      <c r="V2194" s="893" t="s">
        <v>3152</v>
      </c>
      <c r="W2194" s="897" t="s">
        <v>2434</v>
      </c>
      <c r="X2194" s="889"/>
      <c r="Y2194" s="889"/>
      <c r="Z2194" s="895"/>
      <c r="AA2194" s="889" t="s">
        <v>47</v>
      </c>
      <c r="AB2194" s="892" t="s">
        <v>47</v>
      </c>
      <c r="AC2194" s="476" t="s">
        <v>48</v>
      </c>
      <c r="AD2194" s="645" t="str">
        <f t="shared" si="95"/>
        <v>en término</v>
      </c>
      <c r="AE2194" s="468" t="s">
        <v>3153</v>
      </c>
      <c r="AF2194" s="468" t="s">
        <v>2943</v>
      </c>
    </row>
    <row r="2195" spans="1:39" s="649" customFormat="1" ht="54.95" customHeight="1" thickBot="1" x14ac:dyDescent="0.25">
      <c r="B2195" s="900" t="s">
        <v>36</v>
      </c>
      <c r="C2195" s="887" t="s">
        <v>37</v>
      </c>
      <c r="D2195" s="888" t="s">
        <v>3154</v>
      </c>
      <c r="E2195" s="901">
        <v>4507842702</v>
      </c>
      <c r="F2195" s="913">
        <v>17070001</v>
      </c>
      <c r="G2195" s="889" t="s">
        <v>39</v>
      </c>
      <c r="H2195" s="890">
        <v>123000</v>
      </c>
      <c r="I2195" s="902" t="s">
        <v>142</v>
      </c>
      <c r="J2195" s="892">
        <v>42926</v>
      </c>
      <c r="K2195" s="893">
        <v>90</v>
      </c>
      <c r="L2195" s="892">
        <f>+J2195+K2195</f>
        <v>43016</v>
      </c>
      <c r="M2195" s="892" t="s">
        <v>41</v>
      </c>
      <c r="N2195" s="889" t="s">
        <v>42</v>
      </c>
      <c r="O2195" s="892">
        <v>42992</v>
      </c>
      <c r="P2195" s="893">
        <f t="shared" si="93"/>
        <v>-15</v>
      </c>
      <c r="Q2195" s="901" t="s">
        <v>3151</v>
      </c>
      <c r="R2195" s="903">
        <v>43001</v>
      </c>
      <c r="S2195" s="904">
        <v>43003</v>
      </c>
      <c r="T2195" s="894">
        <v>43021</v>
      </c>
      <c r="U2195" s="893">
        <f t="shared" si="94"/>
        <v>95</v>
      </c>
      <c r="V2195" s="893" t="s">
        <v>3155</v>
      </c>
      <c r="W2195" s="897" t="s">
        <v>2434</v>
      </c>
      <c r="X2195" s="889"/>
      <c r="Y2195" s="889"/>
      <c r="Z2195" s="895"/>
      <c r="AA2195" s="889" t="s">
        <v>47</v>
      </c>
      <c r="AB2195" s="892" t="s">
        <v>47</v>
      </c>
      <c r="AC2195" s="476" t="s">
        <v>48</v>
      </c>
      <c r="AD2195" s="645" t="str">
        <f t="shared" si="95"/>
        <v>en término</v>
      </c>
      <c r="AE2195" s="468" t="s">
        <v>3153</v>
      </c>
      <c r="AF2195" s="468" t="s">
        <v>2943</v>
      </c>
    </row>
    <row r="2196" spans="1:39" s="649" customFormat="1" ht="54.95" customHeight="1" thickBot="1" x14ac:dyDescent="0.25">
      <c r="B2196" s="900" t="s">
        <v>36</v>
      </c>
      <c r="C2196" s="887" t="s">
        <v>37</v>
      </c>
      <c r="D2196" s="888" t="s">
        <v>3156</v>
      </c>
      <c r="E2196" s="901">
        <v>4507855548</v>
      </c>
      <c r="F2196" s="913">
        <v>17080001</v>
      </c>
      <c r="G2196" s="889" t="s">
        <v>39</v>
      </c>
      <c r="H2196" s="890">
        <v>327707.24</v>
      </c>
      <c r="I2196" s="902" t="s">
        <v>62</v>
      </c>
      <c r="J2196" s="892">
        <v>42934</v>
      </c>
      <c r="K2196" s="893">
        <v>150</v>
      </c>
      <c r="L2196" s="892">
        <f>+J2196+K2196</f>
        <v>43084</v>
      </c>
      <c r="M2196" s="892" t="s">
        <v>41</v>
      </c>
      <c r="N2196" s="889" t="s">
        <v>42</v>
      </c>
      <c r="O2196" s="892">
        <v>43020</v>
      </c>
      <c r="P2196" s="893">
        <f t="shared" si="93"/>
        <v>-55</v>
      </c>
      <c r="Q2196" s="901" t="s">
        <v>3157</v>
      </c>
      <c r="R2196" s="903">
        <v>43029</v>
      </c>
      <c r="S2196" s="904">
        <v>43032</v>
      </c>
      <c r="T2196" s="894">
        <v>43049</v>
      </c>
      <c r="U2196" s="893">
        <f t="shared" si="94"/>
        <v>115</v>
      </c>
      <c r="V2196" s="893" t="s">
        <v>1691</v>
      </c>
      <c r="W2196" s="897" t="s">
        <v>2235</v>
      </c>
      <c r="X2196" s="889"/>
      <c r="Y2196" s="889"/>
      <c r="Z2196" s="895">
        <v>2837683310</v>
      </c>
      <c r="AA2196" s="889" t="s">
        <v>47</v>
      </c>
      <c r="AB2196" s="892" t="s">
        <v>47</v>
      </c>
      <c r="AC2196" s="476" t="s">
        <v>48</v>
      </c>
      <c r="AD2196" s="645" t="str">
        <f t="shared" si="95"/>
        <v>en término</v>
      </c>
      <c r="AE2196" s="468" t="s">
        <v>3158</v>
      </c>
      <c r="AF2196" s="468" t="s">
        <v>2943</v>
      </c>
    </row>
    <row r="2197" spans="1:39" s="649" customFormat="1" ht="54.95" customHeight="1" thickBot="1" x14ac:dyDescent="0.25">
      <c r="B2197" s="900" t="s">
        <v>36</v>
      </c>
      <c r="C2197" s="887" t="s">
        <v>37</v>
      </c>
      <c r="D2197" s="888" t="s">
        <v>3159</v>
      </c>
      <c r="E2197" s="901" t="s">
        <v>3160</v>
      </c>
      <c r="F2197" s="913">
        <v>17080003</v>
      </c>
      <c r="G2197" s="889" t="s">
        <v>39</v>
      </c>
      <c r="H2197" s="890">
        <v>3200</v>
      </c>
      <c r="I2197" s="902"/>
      <c r="J2197" s="892">
        <v>42956</v>
      </c>
      <c r="K2197" s="893">
        <v>75</v>
      </c>
      <c r="L2197" s="892">
        <f>+J2197+K2197</f>
        <v>43031</v>
      </c>
      <c r="M2197" s="892" t="s">
        <v>41</v>
      </c>
      <c r="N2197" s="889" t="s">
        <v>42</v>
      </c>
      <c r="O2197" s="892">
        <v>43020</v>
      </c>
      <c r="P2197" s="893">
        <f t="shared" si="93"/>
        <v>-2</v>
      </c>
      <c r="Q2197" s="901" t="s">
        <v>3157</v>
      </c>
      <c r="R2197" s="903">
        <v>43029</v>
      </c>
      <c r="S2197" s="904">
        <v>43032</v>
      </c>
      <c r="T2197" s="894">
        <v>43049</v>
      </c>
      <c r="U2197" s="893">
        <f t="shared" si="94"/>
        <v>93</v>
      </c>
      <c r="V2197" s="893" t="s">
        <v>3161</v>
      </c>
      <c r="W2197" s="897" t="s">
        <v>2235</v>
      </c>
      <c r="X2197" s="889"/>
      <c r="Y2197" s="889"/>
      <c r="Z2197" s="895">
        <v>2837683310</v>
      </c>
      <c r="AA2197" s="889" t="s">
        <v>47</v>
      </c>
      <c r="AB2197" s="892" t="s">
        <v>47</v>
      </c>
      <c r="AC2197" s="476" t="s">
        <v>3162</v>
      </c>
      <c r="AD2197" s="645" t="str">
        <f t="shared" si="95"/>
        <v>en término</v>
      </c>
      <c r="AE2197" s="468" t="s">
        <v>3158</v>
      </c>
      <c r="AF2197" s="468" t="s">
        <v>2943</v>
      </c>
    </row>
    <row r="2198" spans="1:39" s="649" customFormat="1" ht="54.95" customHeight="1" thickBot="1" x14ac:dyDescent="0.25">
      <c r="B2198" s="900" t="s">
        <v>36</v>
      </c>
      <c r="C2198" s="887" t="s">
        <v>37</v>
      </c>
      <c r="D2198" s="888" t="s">
        <v>61</v>
      </c>
      <c r="E2198" s="901">
        <v>4600543885</v>
      </c>
      <c r="F2198" s="913">
        <v>17080004</v>
      </c>
      <c r="G2198" s="889" t="s">
        <v>39</v>
      </c>
      <c r="H2198" s="890">
        <v>7373.5</v>
      </c>
      <c r="I2198" s="902" t="s">
        <v>62</v>
      </c>
      <c r="J2198" s="892">
        <v>42961</v>
      </c>
      <c r="K2198" s="893">
        <v>75</v>
      </c>
      <c r="L2198" s="892">
        <f>+J2198+K2198</f>
        <v>43036</v>
      </c>
      <c r="M2198" s="892" t="s">
        <v>41</v>
      </c>
      <c r="N2198" s="889" t="s">
        <v>42</v>
      </c>
      <c r="O2198" s="892">
        <v>43020</v>
      </c>
      <c r="P2198" s="893">
        <f t="shared" si="93"/>
        <v>-7</v>
      </c>
      <c r="Q2198" s="901" t="s">
        <v>3157</v>
      </c>
      <c r="R2198" s="903">
        <v>43029</v>
      </c>
      <c r="S2198" s="904">
        <v>43032</v>
      </c>
      <c r="T2198" s="894">
        <v>43049</v>
      </c>
      <c r="U2198" s="893">
        <f t="shared" si="94"/>
        <v>88</v>
      </c>
      <c r="V2198" s="893" t="s">
        <v>53</v>
      </c>
      <c r="W2198" s="897" t="s">
        <v>2235</v>
      </c>
      <c r="X2198" s="889"/>
      <c r="Y2198" s="889"/>
      <c r="Z2198" s="895">
        <v>2837683310</v>
      </c>
      <c r="AA2198" s="889" t="s">
        <v>47</v>
      </c>
      <c r="AB2198" s="892" t="s">
        <v>47</v>
      </c>
      <c r="AC2198" s="476" t="s">
        <v>48</v>
      </c>
      <c r="AD2198" s="645" t="str">
        <f t="shared" si="95"/>
        <v>en término</v>
      </c>
      <c r="AE2198" s="468" t="s">
        <v>3158</v>
      </c>
      <c r="AF2198" s="468" t="s">
        <v>2943</v>
      </c>
    </row>
    <row r="2199" spans="1:39" s="649" customFormat="1" ht="54.95" customHeight="1" thickBot="1" x14ac:dyDescent="0.25">
      <c r="B2199" s="900" t="s">
        <v>36</v>
      </c>
      <c r="C2199" s="887" t="s">
        <v>37</v>
      </c>
      <c r="D2199" s="888" t="s">
        <v>3163</v>
      </c>
      <c r="E2199" s="901">
        <v>4507947592</v>
      </c>
      <c r="F2199" s="913">
        <v>17100001</v>
      </c>
      <c r="G2199" s="889" t="s">
        <v>39</v>
      </c>
      <c r="H2199" s="890">
        <v>5238</v>
      </c>
      <c r="I2199" s="902" t="s">
        <v>62</v>
      </c>
      <c r="J2199" s="892">
        <v>42991</v>
      </c>
      <c r="K2199" s="893">
        <f>+L2199-J2199</f>
        <v>66</v>
      </c>
      <c r="L2199" s="892">
        <v>43057</v>
      </c>
      <c r="M2199" s="892" t="s">
        <v>41</v>
      </c>
      <c r="N2199" s="889" t="s">
        <v>42</v>
      </c>
      <c r="O2199" s="892">
        <v>43020</v>
      </c>
      <c r="P2199" s="893">
        <f t="shared" si="93"/>
        <v>-28</v>
      </c>
      <c r="Q2199" s="901" t="s">
        <v>3157</v>
      </c>
      <c r="R2199" s="903">
        <v>43029</v>
      </c>
      <c r="S2199" s="904">
        <v>43032</v>
      </c>
      <c r="T2199" s="894">
        <v>43049</v>
      </c>
      <c r="U2199" s="893">
        <f t="shared" si="94"/>
        <v>58</v>
      </c>
      <c r="V2199" s="893" t="s">
        <v>3164</v>
      </c>
      <c r="W2199" s="897" t="s">
        <v>2235</v>
      </c>
      <c r="X2199" s="889"/>
      <c r="Y2199" s="889"/>
      <c r="Z2199" s="895">
        <v>2837683310</v>
      </c>
      <c r="AA2199" s="889" t="s">
        <v>47</v>
      </c>
      <c r="AB2199" s="892" t="s">
        <v>47</v>
      </c>
      <c r="AC2199" s="476" t="s">
        <v>48</v>
      </c>
      <c r="AD2199" s="645" t="str">
        <f t="shared" si="95"/>
        <v>en término</v>
      </c>
      <c r="AE2199" s="468" t="s">
        <v>3158</v>
      </c>
      <c r="AF2199" s="468" t="s">
        <v>2943</v>
      </c>
    </row>
    <row r="2200" spans="1:39" s="649" customFormat="1" ht="54.95" customHeight="1" thickBot="1" x14ac:dyDescent="0.25">
      <c r="B2200" s="900" t="s">
        <v>36</v>
      </c>
      <c r="C2200" s="887" t="s">
        <v>37</v>
      </c>
      <c r="D2200" s="888" t="s">
        <v>38</v>
      </c>
      <c r="E2200" s="901">
        <v>4507979282</v>
      </c>
      <c r="F2200" s="913">
        <v>17100002</v>
      </c>
      <c r="G2200" s="889" t="s">
        <v>39</v>
      </c>
      <c r="H2200" s="890">
        <v>18312</v>
      </c>
      <c r="I2200" s="902" t="s">
        <v>40</v>
      </c>
      <c r="J2200" s="892">
        <v>43007</v>
      </c>
      <c r="K2200" s="893">
        <v>75</v>
      </c>
      <c r="L2200" s="892">
        <f>+J2200+K2200</f>
        <v>43082</v>
      </c>
      <c r="M2200" s="892" t="s">
        <v>41</v>
      </c>
      <c r="N2200" s="889" t="s">
        <v>42</v>
      </c>
      <c r="O2200" s="892">
        <v>43063</v>
      </c>
      <c r="P2200" s="893">
        <f t="shared" si="93"/>
        <v>-4</v>
      </c>
      <c r="Q2200" s="901" t="s">
        <v>43</v>
      </c>
      <c r="R2200" s="903">
        <v>43078</v>
      </c>
      <c r="S2200" s="904">
        <v>43080</v>
      </c>
      <c r="T2200" s="894">
        <v>43098</v>
      </c>
      <c r="U2200" s="893">
        <f t="shared" si="94"/>
        <v>91</v>
      </c>
      <c r="V2200" s="893" t="s">
        <v>44</v>
      </c>
      <c r="W2200" s="897" t="s">
        <v>45</v>
      </c>
      <c r="X2200" s="889"/>
      <c r="Y2200" s="889"/>
      <c r="Z2200" s="895" t="s">
        <v>46</v>
      </c>
      <c r="AA2200" s="889" t="s">
        <v>47</v>
      </c>
      <c r="AB2200" s="1025">
        <v>43105</v>
      </c>
      <c r="AC2200" s="476" t="s">
        <v>48</v>
      </c>
      <c r="AD2200" s="645" t="str">
        <f t="shared" si="95"/>
        <v>en término</v>
      </c>
      <c r="AE2200" s="468" t="s">
        <v>49</v>
      </c>
      <c r="AF2200" s="468" t="s">
        <v>50</v>
      </c>
    </row>
    <row r="2201" spans="1:39" s="649" customFormat="1" ht="54.95" customHeight="1" thickBot="1" x14ac:dyDescent="0.25">
      <c r="B2201" s="900" t="s">
        <v>36</v>
      </c>
      <c r="C2201" s="887" t="s">
        <v>37</v>
      </c>
      <c r="D2201" s="888" t="s">
        <v>51</v>
      </c>
      <c r="E2201" s="901">
        <v>4507970589</v>
      </c>
      <c r="F2201" s="913">
        <v>17100003</v>
      </c>
      <c r="G2201" s="889" t="s">
        <v>39</v>
      </c>
      <c r="H2201" s="890">
        <v>6626</v>
      </c>
      <c r="I2201" s="902" t="s">
        <v>52</v>
      </c>
      <c r="J2201" s="892">
        <v>43019</v>
      </c>
      <c r="K2201" s="893">
        <f>+L2201-J2201</f>
        <v>88</v>
      </c>
      <c r="L2201" s="892">
        <v>43107</v>
      </c>
      <c r="M2201" s="892" t="s">
        <v>41</v>
      </c>
      <c r="N2201" s="889" t="s">
        <v>42</v>
      </c>
      <c r="O2201" s="892">
        <v>43063</v>
      </c>
      <c r="P2201" s="893">
        <f t="shared" si="93"/>
        <v>-29</v>
      </c>
      <c r="Q2201" s="901" t="s">
        <v>43</v>
      </c>
      <c r="R2201" s="903">
        <v>43078</v>
      </c>
      <c r="S2201" s="904">
        <v>43080</v>
      </c>
      <c r="T2201" s="894">
        <v>43098</v>
      </c>
      <c r="U2201" s="893">
        <f t="shared" si="94"/>
        <v>79</v>
      </c>
      <c r="V2201" s="893" t="s">
        <v>53</v>
      </c>
      <c r="W2201" s="897" t="s">
        <v>45</v>
      </c>
      <c r="X2201" s="889"/>
      <c r="Y2201" s="889"/>
      <c r="Z2201" s="895" t="s">
        <v>46</v>
      </c>
      <c r="AA2201" s="889" t="s">
        <v>47</v>
      </c>
      <c r="AB2201" s="1025">
        <v>43105</v>
      </c>
      <c r="AC2201" s="476" t="s">
        <v>48</v>
      </c>
      <c r="AD2201" s="645" t="str">
        <f t="shared" si="95"/>
        <v>en término</v>
      </c>
      <c r="AE2201" s="468" t="s">
        <v>49</v>
      </c>
      <c r="AF2201" s="468" t="s">
        <v>50</v>
      </c>
    </row>
    <row r="2202" spans="1:39" s="649" customFormat="1" ht="54.95" customHeight="1" thickBot="1" x14ac:dyDescent="0.25">
      <c r="B2202" s="900" t="s">
        <v>36</v>
      </c>
      <c r="C2202" s="887" t="s">
        <v>37</v>
      </c>
      <c r="D2202" s="888" t="s">
        <v>54</v>
      </c>
      <c r="E2202" s="901">
        <v>4507965804</v>
      </c>
      <c r="F2202" s="913">
        <v>17100005</v>
      </c>
      <c r="G2202" s="889" t="s">
        <v>39</v>
      </c>
      <c r="H2202" s="890">
        <v>291826</v>
      </c>
      <c r="I2202" s="902" t="s">
        <v>52</v>
      </c>
      <c r="J2202" s="892">
        <v>43019</v>
      </c>
      <c r="K2202" s="893">
        <f>+L2202-J2202</f>
        <v>88</v>
      </c>
      <c r="L2202" s="892">
        <v>43107</v>
      </c>
      <c r="M2202" s="892" t="s">
        <v>41</v>
      </c>
      <c r="N2202" s="889" t="s">
        <v>42</v>
      </c>
      <c r="O2202" s="892">
        <v>43090</v>
      </c>
      <c r="P2202" s="893">
        <f t="shared" si="93"/>
        <v>-8</v>
      </c>
      <c r="Q2202" s="901" t="s">
        <v>55</v>
      </c>
      <c r="R2202" s="903">
        <v>43099</v>
      </c>
      <c r="S2202" s="904">
        <v>43101</v>
      </c>
      <c r="T2202" s="894">
        <v>43119</v>
      </c>
      <c r="U2202" s="893">
        <f t="shared" si="94"/>
        <v>100</v>
      </c>
      <c r="V2202" s="893" t="s">
        <v>56</v>
      </c>
      <c r="W2202" s="897" t="s">
        <v>57</v>
      </c>
      <c r="X2202" s="889"/>
      <c r="Y2202" s="889" t="s">
        <v>58</v>
      </c>
      <c r="Z2202" s="895">
        <v>2653198295</v>
      </c>
      <c r="AA2202" s="889" t="s">
        <v>47</v>
      </c>
      <c r="AB2202" s="1025" t="str">
        <f>IF(S2202="","",IF($Z$1&lt;(S2202+90),(S2202+90),"VENCIDA"))</f>
        <v>VENCIDA</v>
      </c>
      <c r="AC2202" s="476" t="s">
        <v>48</v>
      </c>
      <c r="AD2202" s="645" t="str">
        <f t="shared" si="95"/>
        <v>en término</v>
      </c>
      <c r="AE2202" s="468" t="s">
        <v>59</v>
      </c>
      <c r="AF2202" s="468" t="s">
        <v>60</v>
      </c>
    </row>
    <row r="2203" spans="1:39" s="649" customFormat="1" ht="54.95" customHeight="1" thickBot="1" x14ac:dyDescent="0.25">
      <c r="B2203" s="900" t="s">
        <v>36</v>
      </c>
      <c r="C2203" s="887" t="s">
        <v>37</v>
      </c>
      <c r="D2203" s="888" t="s">
        <v>61</v>
      </c>
      <c r="E2203" s="901">
        <v>4600543885</v>
      </c>
      <c r="F2203" s="913">
        <v>17110001</v>
      </c>
      <c r="G2203" s="889" t="s">
        <v>39</v>
      </c>
      <c r="H2203" s="890">
        <v>2470</v>
      </c>
      <c r="I2203" s="902" t="s">
        <v>62</v>
      </c>
      <c r="J2203" s="892">
        <v>43062</v>
      </c>
      <c r="K2203" s="893">
        <v>60</v>
      </c>
      <c r="L2203" s="892">
        <f>+J2203+K2203</f>
        <v>43122</v>
      </c>
      <c r="M2203" s="892" t="s">
        <v>41</v>
      </c>
      <c r="N2203" s="889" t="s">
        <v>42</v>
      </c>
      <c r="O2203" s="892">
        <v>43090</v>
      </c>
      <c r="P2203" s="893">
        <f t="shared" si="93"/>
        <v>-23</v>
      </c>
      <c r="Q2203" s="901" t="s">
        <v>55</v>
      </c>
      <c r="R2203" s="903">
        <v>43099</v>
      </c>
      <c r="S2203" s="904">
        <v>43101</v>
      </c>
      <c r="T2203" s="894">
        <v>43119</v>
      </c>
      <c r="U2203" s="893">
        <f t="shared" si="94"/>
        <v>57</v>
      </c>
      <c r="V2203" s="893" t="s">
        <v>53</v>
      </c>
      <c r="W2203" s="897" t="s">
        <v>57</v>
      </c>
      <c r="X2203" s="889"/>
      <c r="Y2203" s="889"/>
      <c r="Z2203" s="895">
        <v>2653198295</v>
      </c>
      <c r="AA2203" s="889" t="s">
        <v>47</v>
      </c>
      <c r="AB2203" s="1025" t="str">
        <f>IF(S2203="","",IF($Z$1&lt;(S2203+90),(S2203+90),"VENCIDA"))</f>
        <v>VENCIDA</v>
      </c>
      <c r="AC2203" s="476" t="s">
        <v>48</v>
      </c>
      <c r="AD2203" s="645" t="str">
        <f t="shared" si="95"/>
        <v>en término</v>
      </c>
      <c r="AE2203" s="468" t="s">
        <v>59</v>
      </c>
      <c r="AF2203" s="468" t="s">
        <v>60</v>
      </c>
    </row>
    <row r="2204" spans="1:39" ht="12" thickBot="1" x14ac:dyDescent="0.25">
      <c r="B2204" s="9"/>
      <c r="C2204" s="9"/>
      <c r="D2204" s="9"/>
      <c r="E2204" s="9"/>
      <c r="F2204" s="10"/>
      <c r="G2204" s="10"/>
      <c r="H2204" s="9"/>
      <c r="I2204" s="10"/>
      <c r="J2204" s="9"/>
      <c r="K2204" s="9"/>
      <c r="L2204" s="9"/>
      <c r="M2204" s="9"/>
      <c r="N2204" s="9"/>
      <c r="O2204" s="9"/>
      <c r="P2204" s="9"/>
      <c r="Q2204" s="9"/>
      <c r="R2204" s="9"/>
      <c r="S2204" s="9"/>
      <c r="T2204" s="9"/>
      <c r="U2204" s="9"/>
      <c r="V2204" s="9"/>
      <c r="W2204" s="10"/>
      <c r="X2204" s="10"/>
      <c r="Y2204" s="10"/>
      <c r="Z2204" s="9"/>
      <c r="AA2204" s="9"/>
      <c r="AB2204" s="9"/>
      <c r="AC2204" s="10"/>
      <c r="AD2204" s="10"/>
      <c r="AE2204" s="9"/>
      <c r="AF2204" s="9"/>
      <c r="AG2204" s="9"/>
      <c r="AH2204" s="9"/>
      <c r="AI2204" s="9"/>
      <c r="AJ2204" s="9"/>
      <c r="AK2204" s="9"/>
      <c r="AL2204" s="9"/>
      <c r="AM2204" s="9"/>
    </row>
    <row r="2205" spans="1:39" s="556" customFormat="1" ht="39.950000000000003" customHeight="1" thickBot="1" x14ac:dyDescent="0.4">
      <c r="A2205" s="554"/>
      <c r="B2205" s="1611">
        <v>2018</v>
      </c>
      <c r="C2205" s="1612"/>
      <c r="D2205" s="1612"/>
      <c r="E2205" s="1612"/>
      <c r="F2205" s="1612"/>
      <c r="G2205" s="1612"/>
      <c r="H2205" s="1612"/>
      <c r="I2205" s="1612"/>
      <c r="J2205" s="1612"/>
      <c r="K2205" s="1612"/>
      <c r="L2205" s="1612"/>
      <c r="M2205" s="1612"/>
      <c r="N2205" s="1612"/>
      <c r="O2205" s="1612"/>
      <c r="P2205" s="1612"/>
      <c r="Q2205" s="1612"/>
      <c r="R2205" s="1612"/>
      <c r="S2205" s="1612"/>
      <c r="T2205" s="1612"/>
      <c r="U2205" s="1612"/>
      <c r="V2205" s="1612"/>
      <c r="W2205" s="1612"/>
      <c r="X2205" s="1612"/>
      <c r="Y2205" s="1612"/>
      <c r="Z2205" s="1612"/>
      <c r="AA2205" s="1612"/>
      <c r="AB2205" s="1612"/>
      <c r="AC2205" s="1613"/>
      <c r="AD2205" s="555"/>
    </row>
    <row r="2206" spans="1:39" s="441" customFormat="1" ht="60" customHeight="1" thickBot="1" x14ac:dyDescent="0.25">
      <c r="A2206" s="438"/>
      <c r="B2206" s="451" t="s">
        <v>130</v>
      </c>
      <c r="C2206" s="451" t="s">
        <v>4</v>
      </c>
      <c r="D2206" s="451" t="s">
        <v>5</v>
      </c>
      <c r="E2206" s="451" t="s">
        <v>6</v>
      </c>
      <c r="F2206" s="451" t="s">
        <v>7</v>
      </c>
      <c r="G2206" s="451" t="s">
        <v>8</v>
      </c>
      <c r="H2206" s="453" t="s">
        <v>9</v>
      </c>
      <c r="I2206" s="453" t="s">
        <v>10</v>
      </c>
      <c r="J2206" s="451" t="s">
        <v>11</v>
      </c>
      <c r="K2206" s="451" t="s">
        <v>12</v>
      </c>
      <c r="L2206" s="451" t="s">
        <v>13</v>
      </c>
      <c r="M2206" s="451" t="s">
        <v>14</v>
      </c>
      <c r="N2206" s="451" t="s">
        <v>15</v>
      </c>
      <c r="O2206" s="452" t="s">
        <v>16</v>
      </c>
      <c r="P2206" s="454" t="s">
        <v>17</v>
      </c>
      <c r="Q2206" s="451" t="s">
        <v>18</v>
      </c>
      <c r="R2206" s="452" t="s">
        <v>19</v>
      </c>
      <c r="S2206" s="451" t="s">
        <v>20</v>
      </c>
      <c r="T2206" s="451" t="s">
        <v>21</v>
      </c>
      <c r="U2206" s="452" t="s">
        <v>22</v>
      </c>
      <c r="V2206" s="451" t="s">
        <v>131</v>
      </c>
      <c r="W2206" s="451" t="s">
        <v>24</v>
      </c>
      <c r="X2206" s="451" t="s">
        <v>132</v>
      </c>
      <c r="Y2206" s="451" t="s">
        <v>26</v>
      </c>
      <c r="Z2206" s="451" t="s">
        <v>27</v>
      </c>
      <c r="AA2206" s="451" t="s">
        <v>28</v>
      </c>
      <c r="AB2206" s="451" t="s">
        <v>29</v>
      </c>
      <c r="AC2206" s="451" t="s">
        <v>30</v>
      </c>
      <c r="AD2206" s="439"/>
      <c r="AE2206" s="440"/>
      <c r="AF2206" s="440"/>
      <c r="AG2206" s="440"/>
      <c r="AH2206" s="440"/>
      <c r="AI2206" s="440"/>
      <c r="AJ2206" s="440"/>
      <c r="AK2206" s="440"/>
      <c r="AL2206" s="440"/>
      <c r="AM2206" s="440"/>
    </row>
    <row r="2207" spans="1:39" s="649" customFormat="1" ht="54.95" customHeight="1" thickBot="1" x14ac:dyDescent="0.25">
      <c r="B2207" s="900" t="s">
        <v>36</v>
      </c>
      <c r="C2207" s="887" t="s">
        <v>37</v>
      </c>
      <c r="D2207" s="888" t="s">
        <v>61</v>
      </c>
      <c r="E2207" s="901">
        <v>4600543885</v>
      </c>
      <c r="F2207" s="913">
        <v>18010001</v>
      </c>
      <c r="G2207" s="889" t="s">
        <v>39</v>
      </c>
      <c r="H2207" s="890">
        <v>2052</v>
      </c>
      <c r="I2207" s="902" t="s">
        <v>62</v>
      </c>
      <c r="J2207" s="892">
        <v>43097</v>
      </c>
      <c r="K2207" s="893">
        <f t="shared" ref="K2207:K2245" si="96">+L2207-J2207</f>
        <v>71</v>
      </c>
      <c r="L2207" s="892">
        <v>43168</v>
      </c>
      <c r="M2207" s="892" t="s">
        <v>41</v>
      </c>
      <c r="N2207" s="889" t="s">
        <v>42</v>
      </c>
      <c r="O2207" s="892">
        <v>43161</v>
      </c>
      <c r="P2207" s="893">
        <f t="shared" ref="P2207:P2245" si="97">IF(R2207="","",+R2207-L2207)</f>
        <v>8</v>
      </c>
      <c r="Q2207" s="901" t="s">
        <v>63</v>
      </c>
      <c r="R2207" s="903">
        <v>43176</v>
      </c>
      <c r="S2207" s="904">
        <v>43178</v>
      </c>
      <c r="T2207" s="894">
        <v>43196</v>
      </c>
      <c r="U2207" s="893">
        <f t="shared" ref="U2207:U2245" si="98">IF(T2207="","",+T2207-J2207)</f>
        <v>99</v>
      </c>
      <c r="V2207" s="893" t="s">
        <v>53</v>
      </c>
      <c r="W2207" s="897" t="s">
        <v>2418</v>
      </c>
      <c r="X2207" s="889"/>
      <c r="Y2207" s="889"/>
      <c r="Z2207" s="895" t="s">
        <v>6453</v>
      </c>
      <c r="AA2207" s="889" t="s">
        <v>47</v>
      </c>
      <c r="AB2207" s="1025" t="str">
        <f t="shared" ref="AB2207:AB2212" si="99">IF(S2207="","",IF($Z$1&lt;(S2207+90),(S2207+90),"VENCIDA"))</f>
        <v>VENCIDA</v>
      </c>
      <c r="AC2207" s="476" t="s">
        <v>64</v>
      </c>
      <c r="AD2207" s="645" t="str">
        <f t="shared" ref="AD2207:AD2245" si="100">IF(P2207="","",IF(P2207&lt;=0,"en término","atrasado"))</f>
        <v>atrasado</v>
      </c>
      <c r="AE2207" s="468"/>
      <c r="AF2207" s="468"/>
    </row>
    <row r="2208" spans="1:39" s="649" customFormat="1" ht="54.95" customHeight="1" thickBot="1" x14ac:dyDescent="0.25">
      <c r="B2208" s="900" t="s">
        <v>36</v>
      </c>
      <c r="C2208" s="887" t="s">
        <v>37</v>
      </c>
      <c r="D2208" s="888" t="s">
        <v>65</v>
      </c>
      <c r="E2208" s="901">
        <v>4600548677</v>
      </c>
      <c r="F2208" s="1061" t="s">
        <v>66</v>
      </c>
      <c r="G2208" s="889" t="s">
        <v>39</v>
      </c>
      <c r="H2208" s="890">
        <v>11988</v>
      </c>
      <c r="I2208" s="902" t="s">
        <v>40</v>
      </c>
      <c r="J2208" s="892">
        <v>43129</v>
      </c>
      <c r="K2208" s="893">
        <f t="shared" si="96"/>
        <v>92</v>
      </c>
      <c r="L2208" s="892">
        <v>43221</v>
      </c>
      <c r="M2208" s="892" t="s">
        <v>41</v>
      </c>
      <c r="N2208" s="889" t="s">
        <v>42</v>
      </c>
      <c r="O2208" s="892">
        <v>43181</v>
      </c>
      <c r="P2208" s="893">
        <f t="shared" si="97"/>
        <v>-24</v>
      </c>
      <c r="Q2208" s="901" t="s">
        <v>67</v>
      </c>
      <c r="R2208" s="903">
        <v>43197</v>
      </c>
      <c r="S2208" s="904">
        <v>43199</v>
      </c>
      <c r="T2208" s="894">
        <v>43217</v>
      </c>
      <c r="U2208" s="893">
        <f t="shared" si="98"/>
        <v>88</v>
      </c>
      <c r="V2208" s="893" t="s">
        <v>68</v>
      </c>
      <c r="W2208" s="897" t="s">
        <v>2415</v>
      </c>
      <c r="X2208" s="889"/>
      <c r="Y2208" s="889"/>
      <c r="Z2208" s="895" t="s">
        <v>6453</v>
      </c>
      <c r="AA2208" s="889" t="s">
        <v>47</v>
      </c>
      <c r="AB2208" s="1025" t="str">
        <f t="shared" si="99"/>
        <v>VENCIDA</v>
      </c>
      <c r="AC2208" s="476" t="s">
        <v>48</v>
      </c>
      <c r="AD2208" s="645" t="str">
        <f t="shared" si="100"/>
        <v>en término</v>
      </c>
      <c r="AE2208" s="468"/>
      <c r="AF2208" s="468"/>
    </row>
    <row r="2209" spans="2:35" s="649" customFormat="1" ht="54.95" customHeight="1" thickBot="1" x14ac:dyDescent="0.25">
      <c r="B2209" s="900" t="s">
        <v>36</v>
      </c>
      <c r="C2209" s="887" t="s">
        <v>37</v>
      </c>
      <c r="D2209" s="888" t="s">
        <v>69</v>
      </c>
      <c r="E2209" s="901">
        <v>4508172681</v>
      </c>
      <c r="F2209" s="913">
        <v>18020001</v>
      </c>
      <c r="G2209" s="889" t="s">
        <v>39</v>
      </c>
      <c r="H2209" s="890">
        <v>25520</v>
      </c>
      <c r="I2209" s="902" t="s">
        <v>40</v>
      </c>
      <c r="J2209" s="892">
        <v>43131</v>
      </c>
      <c r="K2209" s="893">
        <f t="shared" si="96"/>
        <v>95</v>
      </c>
      <c r="L2209" s="892">
        <v>43226</v>
      </c>
      <c r="M2209" s="892" t="s">
        <v>41</v>
      </c>
      <c r="N2209" s="889" t="s">
        <v>42</v>
      </c>
      <c r="O2209" s="892">
        <v>43181</v>
      </c>
      <c r="P2209" s="893">
        <f t="shared" si="97"/>
        <v>-29</v>
      </c>
      <c r="Q2209" s="901" t="s">
        <v>67</v>
      </c>
      <c r="R2209" s="903">
        <v>43197</v>
      </c>
      <c r="S2209" s="904">
        <v>43199</v>
      </c>
      <c r="T2209" s="894">
        <v>43217</v>
      </c>
      <c r="U2209" s="893">
        <f t="shared" si="98"/>
        <v>86</v>
      </c>
      <c r="V2209" s="893" t="s">
        <v>70</v>
      </c>
      <c r="W2209" s="897" t="s">
        <v>2415</v>
      </c>
      <c r="X2209" s="889"/>
      <c r="Y2209" s="888">
        <v>43180</v>
      </c>
      <c r="Z2209" s="895" t="s">
        <v>6453</v>
      </c>
      <c r="AA2209" s="889" t="s">
        <v>47</v>
      </c>
      <c r="AB2209" s="1025" t="str">
        <f t="shared" si="99"/>
        <v>VENCIDA</v>
      </c>
      <c r="AC2209" s="476" t="s">
        <v>48</v>
      </c>
      <c r="AD2209" s="645" t="str">
        <f t="shared" si="100"/>
        <v>en término</v>
      </c>
      <c r="AE2209" s="468"/>
      <c r="AF2209" s="468"/>
    </row>
    <row r="2210" spans="2:35" s="649" customFormat="1" ht="54.95" customHeight="1" thickBot="1" x14ac:dyDescent="0.25">
      <c r="B2210" s="900" t="s">
        <v>36</v>
      </c>
      <c r="C2210" s="887" t="s">
        <v>37</v>
      </c>
      <c r="D2210" s="888" t="s">
        <v>71</v>
      </c>
      <c r="E2210" s="901" t="s">
        <v>72</v>
      </c>
      <c r="F2210" s="913">
        <v>18020002</v>
      </c>
      <c r="G2210" s="889" t="s">
        <v>39</v>
      </c>
      <c r="H2210" s="890">
        <v>5545</v>
      </c>
      <c r="I2210" s="902"/>
      <c r="J2210" s="892">
        <v>43150</v>
      </c>
      <c r="K2210" s="893">
        <f t="shared" si="96"/>
        <v>13</v>
      </c>
      <c r="L2210" s="892">
        <v>43163</v>
      </c>
      <c r="M2210" s="892" t="s">
        <v>41</v>
      </c>
      <c r="N2210" s="889" t="s">
        <v>42</v>
      </c>
      <c r="O2210" s="892">
        <v>43161</v>
      </c>
      <c r="P2210" s="893">
        <f t="shared" si="97"/>
        <v>13</v>
      </c>
      <c r="Q2210" s="901" t="s">
        <v>63</v>
      </c>
      <c r="R2210" s="903">
        <v>43176</v>
      </c>
      <c r="S2210" s="904">
        <v>43178</v>
      </c>
      <c r="T2210" s="894">
        <v>43196</v>
      </c>
      <c r="U2210" s="893">
        <f t="shared" si="98"/>
        <v>46</v>
      </c>
      <c r="V2210" s="893" t="s">
        <v>73</v>
      </c>
      <c r="W2210" s="897" t="s">
        <v>2418</v>
      </c>
      <c r="X2210" s="889"/>
      <c r="Y2210" s="889"/>
      <c r="Z2210" s="895" t="s">
        <v>6453</v>
      </c>
      <c r="AA2210" s="889" t="s">
        <v>47</v>
      </c>
      <c r="AB2210" s="1025" t="str">
        <f t="shared" si="99"/>
        <v>VENCIDA</v>
      </c>
      <c r="AC2210" s="476" t="s">
        <v>48</v>
      </c>
      <c r="AD2210" s="645" t="str">
        <f t="shared" si="100"/>
        <v>atrasado</v>
      </c>
      <c r="AE2210" s="468"/>
      <c r="AF2210" s="468"/>
    </row>
    <row r="2211" spans="2:35" s="649" customFormat="1" ht="54.95" customHeight="1" thickBot="1" x14ac:dyDescent="0.25">
      <c r="B2211" s="900" t="s">
        <v>36</v>
      </c>
      <c r="C2211" s="887" t="s">
        <v>37</v>
      </c>
      <c r="D2211" s="888" t="s">
        <v>65</v>
      </c>
      <c r="E2211" s="901">
        <v>4600548677</v>
      </c>
      <c r="F2211" s="1061" t="s">
        <v>74</v>
      </c>
      <c r="G2211" s="889" t="s">
        <v>39</v>
      </c>
      <c r="H2211" s="890">
        <v>59940</v>
      </c>
      <c r="I2211" s="902" t="s">
        <v>40</v>
      </c>
      <c r="J2211" s="892">
        <v>43166</v>
      </c>
      <c r="K2211" s="893">
        <f t="shared" si="96"/>
        <v>94</v>
      </c>
      <c r="L2211" s="892">
        <v>43260</v>
      </c>
      <c r="M2211" s="892" t="s">
        <v>41</v>
      </c>
      <c r="N2211" s="889" t="s">
        <v>42</v>
      </c>
      <c r="O2211" s="892">
        <v>43244</v>
      </c>
      <c r="P2211" s="893">
        <f t="shared" si="97"/>
        <v>-17</v>
      </c>
      <c r="Q2211" s="901" t="s">
        <v>75</v>
      </c>
      <c r="R2211" s="903">
        <v>43243</v>
      </c>
      <c r="S2211" s="904">
        <v>43255</v>
      </c>
      <c r="T2211" s="894">
        <v>43273</v>
      </c>
      <c r="U2211" s="893">
        <f t="shared" si="98"/>
        <v>107</v>
      </c>
      <c r="V2211" s="893" t="s">
        <v>76</v>
      </c>
      <c r="W2211" s="897" t="s">
        <v>2215</v>
      </c>
      <c r="X2211" s="889"/>
      <c r="Y2211" s="889"/>
      <c r="Z2211" s="895" t="s">
        <v>6453</v>
      </c>
      <c r="AA2211" s="889" t="s">
        <v>47</v>
      </c>
      <c r="AB2211" s="1025" t="str">
        <f t="shared" si="99"/>
        <v>VENCIDA</v>
      </c>
      <c r="AC2211" s="476" t="s">
        <v>48</v>
      </c>
      <c r="AD2211" s="645" t="str">
        <f t="shared" si="100"/>
        <v>en término</v>
      </c>
      <c r="AE2211" s="468"/>
      <c r="AF2211" s="468"/>
    </row>
    <row r="2212" spans="2:35" s="649" customFormat="1" ht="54.95" customHeight="1" thickBot="1" x14ac:dyDescent="0.25">
      <c r="B2212" s="900" t="s">
        <v>36</v>
      </c>
      <c r="C2212" s="887" t="s">
        <v>37</v>
      </c>
      <c r="D2212" s="888" t="s">
        <v>6524</v>
      </c>
      <c r="E2212" s="901">
        <v>27080</v>
      </c>
      <c r="F2212" s="1061">
        <v>18040001</v>
      </c>
      <c r="G2212" s="889" t="s">
        <v>39</v>
      </c>
      <c r="H2212" s="890">
        <v>2200</v>
      </c>
      <c r="I2212" s="902"/>
      <c r="J2212" s="892">
        <v>43193</v>
      </c>
      <c r="K2212" s="893">
        <f t="shared" si="96"/>
        <v>63</v>
      </c>
      <c r="L2212" s="892">
        <v>43256</v>
      </c>
      <c r="M2212" s="892" t="s">
        <v>41</v>
      </c>
      <c r="N2212" s="889" t="s">
        <v>42</v>
      </c>
      <c r="O2212" s="892">
        <v>43244</v>
      </c>
      <c r="P2212" s="893">
        <f t="shared" si="97"/>
        <v>-13</v>
      </c>
      <c r="Q2212" s="901" t="s">
        <v>75</v>
      </c>
      <c r="R2212" s="903">
        <v>43243</v>
      </c>
      <c r="S2212" s="904">
        <v>43255</v>
      </c>
      <c r="T2212" s="894">
        <v>43273</v>
      </c>
      <c r="U2212" s="893">
        <f t="shared" si="98"/>
        <v>80</v>
      </c>
      <c r="V2212" s="893" t="s">
        <v>1020</v>
      </c>
      <c r="W2212" s="897" t="s">
        <v>2215</v>
      </c>
      <c r="X2212" s="889"/>
      <c r="Y2212" s="889"/>
      <c r="Z2212" s="895" t="s">
        <v>6453</v>
      </c>
      <c r="AA2212" s="889" t="s">
        <v>47</v>
      </c>
      <c r="AB2212" s="1025" t="str">
        <f t="shared" si="99"/>
        <v>VENCIDA</v>
      </c>
      <c r="AC2212" s="476" t="s">
        <v>48</v>
      </c>
      <c r="AD2212" s="645" t="str">
        <f t="shared" si="100"/>
        <v>en término</v>
      </c>
      <c r="AE2212" s="468"/>
      <c r="AF2212" s="468"/>
    </row>
    <row r="2213" spans="2:35" s="649" customFormat="1" ht="54.95" customHeight="1" thickBot="1" x14ac:dyDescent="0.25">
      <c r="B2213" s="900" t="s">
        <v>36</v>
      </c>
      <c r="C2213" s="887" t="s">
        <v>37</v>
      </c>
      <c r="D2213" s="888" t="s">
        <v>6429</v>
      </c>
      <c r="E2213" s="901">
        <v>4600558097</v>
      </c>
      <c r="F2213" s="1061" t="s">
        <v>6436</v>
      </c>
      <c r="G2213" s="889" t="s">
        <v>39</v>
      </c>
      <c r="H2213" s="890">
        <v>176548.87</v>
      </c>
      <c r="I2213" s="902" t="s">
        <v>40</v>
      </c>
      <c r="J2213" s="892">
        <v>43187</v>
      </c>
      <c r="K2213" s="893">
        <f t="shared" si="96"/>
        <v>121</v>
      </c>
      <c r="L2213" s="892">
        <v>43308</v>
      </c>
      <c r="M2213" s="892" t="s">
        <v>41</v>
      </c>
      <c r="N2213" s="889" t="s">
        <v>42</v>
      </c>
      <c r="O2213" s="892">
        <v>43264</v>
      </c>
      <c r="P2213" s="893">
        <f t="shared" si="97"/>
        <v>-65</v>
      </c>
      <c r="Q2213" s="901" t="s">
        <v>6437</v>
      </c>
      <c r="R2213" s="903">
        <v>43243</v>
      </c>
      <c r="S2213" s="904">
        <v>43277</v>
      </c>
      <c r="T2213" s="894">
        <v>43293</v>
      </c>
      <c r="U2213" s="893">
        <f t="shared" si="98"/>
        <v>106</v>
      </c>
      <c r="V2213" s="893" t="s">
        <v>6435</v>
      </c>
      <c r="W2213" s="897" t="s">
        <v>2443</v>
      </c>
      <c r="X2213" s="889"/>
      <c r="Y2213" s="888">
        <v>43262</v>
      </c>
      <c r="Z2213" s="895" t="s">
        <v>6453</v>
      </c>
      <c r="AA2213" s="889" t="s">
        <v>47</v>
      </c>
      <c r="AB2213" s="892" t="s">
        <v>6469</v>
      </c>
      <c r="AC2213" s="476" t="s">
        <v>48</v>
      </c>
      <c r="AD2213" s="645" t="str">
        <f t="shared" si="100"/>
        <v>en término</v>
      </c>
      <c r="AE2213" s="468"/>
      <c r="AF2213" s="468"/>
    </row>
    <row r="2214" spans="2:35" s="649" customFormat="1" ht="54.95" customHeight="1" thickBot="1" x14ac:dyDescent="0.25">
      <c r="B2214" s="900" t="s">
        <v>36</v>
      </c>
      <c r="C2214" s="887" t="s">
        <v>37</v>
      </c>
      <c r="D2214" s="888" t="s">
        <v>61</v>
      </c>
      <c r="E2214" s="901">
        <v>4600543885</v>
      </c>
      <c r="F2214" s="1061" t="s">
        <v>6549</v>
      </c>
      <c r="G2214" s="889" t="s">
        <v>39</v>
      </c>
      <c r="H2214" s="890">
        <v>708</v>
      </c>
      <c r="I2214" s="902" t="s">
        <v>40</v>
      </c>
      <c r="J2214" s="892">
        <v>43224</v>
      </c>
      <c r="K2214" s="893">
        <f t="shared" si="96"/>
        <v>106</v>
      </c>
      <c r="L2214" s="892">
        <v>43330</v>
      </c>
      <c r="M2214" s="892" t="s">
        <v>41</v>
      </c>
      <c r="N2214" s="889" t="s">
        <v>42</v>
      </c>
      <c r="O2214" s="892">
        <v>43264</v>
      </c>
      <c r="P2214" s="893">
        <f t="shared" si="97"/>
        <v>-66</v>
      </c>
      <c r="Q2214" s="901" t="s">
        <v>6519</v>
      </c>
      <c r="R2214" s="903">
        <v>43264</v>
      </c>
      <c r="S2214" s="904">
        <v>43277</v>
      </c>
      <c r="T2214" s="894">
        <v>43293</v>
      </c>
      <c r="U2214" s="893">
        <f t="shared" si="98"/>
        <v>69</v>
      </c>
      <c r="V2214" s="893" t="s">
        <v>53</v>
      </c>
      <c r="W2214" s="897"/>
      <c r="X2214" s="889"/>
      <c r="Y2214" s="888">
        <v>43262</v>
      </c>
      <c r="Z2214" s="895" t="s">
        <v>6453</v>
      </c>
      <c r="AA2214" s="889" t="s">
        <v>47</v>
      </c>
      <c r="AB2214" s="892" t="s">
        <v>6469</v>
      </c>
      <c r="AC2214" s="476" t="s">
        <v>48</v>
      </c>
      <c r="AD2214" s="645" t="str">
        <f t="shared" si="100"/>
        <v>en término</v>
      </c>
      <c r="AE2214" s="468"/>
      <c r="AF2214" s="468"/>
    </row>
    <row r="2215" spans="2:35" s="649" customFormat="1" ht="54.95" customHeight="1" thickBot="1" x14ac:dyDescent="0.25">
      <c r="B2215" s="900" t="s">
        <v>36</v>
      </c>
      <c r="C2215" s="887" t="s">
        <v>37</v>
      </c>
      <c r="D2215" s="888" t="s">
        <v>6429</v>
      </c>
      <c r="E2215" s="901">
        <v>4600558097</v>
      </c>
      <c r="F2215" s="1061" t="s">
        <v>6470</v>
      </c>
      <c r="G2215" s="889" t="s">
        <v>39</v>
      </c>
      <c r="H2215" s="890">
        <v>430671.53</v>
      </c>
      <c r="I2215" s="902" t="s">
        <v>40</v>
      </c>
      <c r="J2215" s="892">
        <v>43207</v>
      </c>
      <c r="K2215" s="893">
        <f t="shared" si="96"/>
        <v>153</v>
      </c>
      <c r="L2215" s="892">
        <v>43360</v>
      </c>
      <c r="M2215" s="892" t="s">
        <v>41</v>
      </c>
      <c r="N2215" s="889" t="s">
        <v>42</v>
      </c>
      <c r="O2215" s="892">
        <v>43307</v>
      </c>
      <c r="P2215" s="893">
        <f t="shared" si="97"/>
        <v>-43</v>
      </c>
      <c r="Q2215" s="901" t="s">
        <v>6451</v>
      </c>
      <c r="R2215" s="903">
        <v>43317</v>
      </c>
      <c r="S2215" s="904">
        <v>43318</v>
      </c>
      <c r="T2215" s="894">
        <v>43335</v>
      </c>
      <c r="U2215" s="893">
        <f t="shared" si="98"/>
        <v>128</v>
      </c>
      <c r="V2215" s="893" t="s">
        <v>6427</v>
      </c>
      <c r="W2215" s="897"/>
      <c r="X2215" s="889"/>
      <c r="Y2215" s="888" t="s">
        <v>6452</v>
      </c>
      <c r="Z2215" s="895" t="s">
        <v>6453</v>
      </c>
      <c r="AA2215" s="889" t="s">
        <v>47</v>
      </c>
      <c r="AB2215" s="892" t="s">
        <v>47</v>
      </c>
      <c r="AC2215" s="476" t="s">
        <v>48</v>
      </c>
      <c r="AD2215" s="645" t="str">
        <f t="shared" si="100"/>
        <v>en término</v>
      </c>
      <c r="AE2215" s="468"/>
      <c r="AF2215" s="468"/>
    </row>
    <row r="2216" spans="2:35" s="649" customFormat="1" ht="54.95" customHeight="1" thickBot="1" x14ac:dyDescent="0.25">
      <c r="B2216" s="900" t="s">
        <v>36</v>
      </c>
      <c r="C2216" s="887" t="s">
        <v>37</v>
      </c>
      <c r="D2216" s="888" t="s">
        <v>65</v>
      </c>
      <c r="E2216" s="901">
        <v>4600548677</v>
      </c>
      <c r="F2216" s="1061" t="s">
        <v>6509</v>
      </c>
      <c r="G2216" s="889" t="s">
        <v>39</v>
      </c>
      <c r="H2216" s="890">
        <v>3960</v>
      </c>
      <c r="I2216" s="902" t="s">
        <v>40</v>
      </c>
      <c r="J2216" s="892">
        <v>43237</v>
      </c>
      <c r="K2216" s="893">
        <f t="shared" si="96"/>
        <v>121</v>
      </c>
      <c r="L2216" s="892">
        <v>43358</v>
      </c>
      <c r="M2216" s="892" t="s">
        <v>41</v>
      </c>
      <c r="N2216" s="889" t="s">
        <v>42</v>
      </c>
      <c r="O2216" s="892">
        <v>43307</v>
      </c>
      <c r="P2216" s="893">
        <f t="shared" si="97"/>
        <v>-41</v>
      </c>
      <c r="Q2216" s="901" t="s">
        <v>6451</v>
      </c>
      <c r="R2216" s="903">
        <v>43317</v>
      </c>
      <c r="S2216" s="904">
        <v>43318</v>
      </c>
      <c r="T2216" s="894">
        <v>43335</v>
      </c>
      <c r="U2216" s="893">
        <f t="shared" si="98"/>
        <v>98</v>
      </c>
      <c r="V2216" s="893" t="s">
        <v>6438</v>
      </c>
      <c r="W2216" s="897"/>
      <c r="X2216" s="889"/>
      <c r="Y2216" s="889"/>
      <c r="Z2216" s="895"/>
      <c r="AA2216" s="889"/>
      <c r="AB2216" s="892" t="s">
        <v>47</v>
      </c>
      <c r="AC2216" s="476" t="s">
        <v>48</v>
      </c>
      <c r="AD2216" s="645" t="str">
        <f t="shared" si="100"/>
        <v>en término</v>
      </c>
      <c r="AE2216" s="468"/>
      <c r="AF2216" s="468"/>
    </row>
    <row r="2217" spans="2:35" s="649" customFormat="1" ht="54.95" customHeight="1" thickBot="1" x14ac:dyDescent="0.25">
      <c r="B2217" s="900" t="s">
        <v>36</v>
      </c>
      <c r="C2217" s="887" t="s">
        <v>37</v>
      </c>
      <c r="D2217" s="888" t="s">
        <v>6441</v>
      </c>
      <c r="E2217" s="901">
        <v>4600557062</v>
      </c>
      <c r="F2217" s="1061" t="s">
        <v>6550</v>
      </c>
      <c r="G2217" s="889" t="s">
        <v>39</v>
      </c>
      <c r="H2217" s="890">
        <v>153138.26</v>
      </c>
      <c r="I2217" s="902" t="s">
        <v>40</v>
      </c>
      <c r="J2217" s="892">
        <v>43236</v>
      </c>
      <c r="K2217" s="893">
        <f t="shared" si="96"/>
        <v>125</v>
      </c>
      <c r="L2217" s="892">
        <v>43361</v>
      </c>
      <c r="M2217" s="892" t="s">
        <v>41</v>
      </c>
      <c r="N2217" s="889" t="s">
        <v>42</v>
      </c>
      <c r="O2217" s="892">
        <v>43363</v>
      </c>
      <c r="P2217" s="893">
        <f t="shared" si="97"/>
        <v>12</v>
      </c>
      <c r="Q2217" s="901" t="s">
        <v>6479</v>
      </c>
      <c r="R2217" s="903">
        <v>43373</v>
      </c>
      <c r="S2217" s="904">
        <v>43375</v>
      </c>
      <c r="T2217" s="894">
        <f>+S2217+20</f>
        <v>43395</v>
      </c>
      <c r="U2217" s="893">
        <f t="shared" si="98"/>
        <v>159</v>
      </c>
      <c r="V2217" s="901" t="s">
        <v>6478</v>
      </c>
      <c r="W2217" s="897" t="s">
        <v>2232</v>
      </c>
      <c r="X2217" s="889"/>
      <c r="Y2217" s="889" t="s">
        <v>6474</v>
      </c>
      <c r="Z2217" s="895" t="s">
        <v>6453</v>
      </c>
      <c r="AA2217" s="889" t="s">
        <v>47</v>
      </c>
      <c r="AB2217" s="892" t="s">
        <v>6613</v>
      </c>
      <c r="AC2217" s="476" t="s">
        <v>6463</v>
      </c>
      <c r="AD2217" s="645" t="str">
        <f t="shared" si="100"/>
        <v>atrasado</v>
      </c>
      <c r="AE2217" s="468" t="s">
        <v>6614</v>
      </c>
      <c r="AF2217" s="468" t="s">
        <v>6615</v>
      </c>
      <c r="AH2217" s="1099"/>
    </row>
    <row r="2218" spans="2:35" s="649" customFormat="1" ht="54.95" customHeight="1" thickBot="1" x14ac:dyDescent="0.25">
      <c r="B2218" s="900" t="s">
        <v>36</v>
      </c>
      <c r="C2218" s="887" t="s">
        <v>37</v>
      </c>
      <c r="D2218" s="888" t="s">
        <v>6441</v>
      </c>
      <c r="E2218" s="901">
        <v>4600557062</v>
      </c>
      <c r="F2218" s="1061" t="s">
        <v>6485</v>
      </c>
      <c r="G2218" s="889" t="s">
        <v>39</v>
      </c>
      <c r="H2218" s="890">
        <v>95682.6</v>
      </c>
      <c r="I2218" s="902" t="s">
        <v>142</v>
      </c>
      <c r="J2218" s="892">
        <v>43243</v>
      </c>
      <c r="K2218" s="893">
        <f t="shared" si="96"/>
        <v>94</v>
      </c>
      <c r="L2218" s="892">
        <v>43337</v>
      </c>
      <c r="M2218" s="892" t="s">
        <v>41</v>
      </c>
      <c r="N2218" s="889" t="s">
        <v>42</v>
      </c>
      <c r="O2218" s="892">
        <v>43363</v>
      </c>
      <c r="P2218" s="893">
        <f t="shared" si="97"/>
        <v>36</v>
      </c>
      <c r="Q2218" s="901" t="s">
        <v>6479</v>
      </c>
      <c r="R2218" s="903">
        <v>43373</v>
      </c>
      <c r="S2218" s="904">
        <v>43375</v>
      </c>
      <c r="T2218" s="894">
        <v>43395</v>
      </c>
      <c r="U2218" s="893">
        <f t="shared" si="98"/>
        <v>152</v>
      </c>
      <c r="V2218" s="893" t="s">
        <v>6484</v>
      </c>
      <c r="W2218" s="897" t="s">
        <v>2232</v>
      </c>
      <c r="X2218" s="889"/>
      <c r="Y2218" s="889"/>
      <c r="Z2218" s="895" t="s">
        <v>6453</v>
      </c>
      <c r="AA2218" s="889" t="s">
        <v>47</v>
      </c>
      <c r="AB2218" s="892" t="s">
        <v>6613</v>
      </c>
      <c r="AC2218" s="476" t="s">
        <v>6463</v>
      </c>
      <c r="AD2218" s="645" t="str">
        <f t="shared" si="100"/>
        <v>atrasado</v>
      </c>
      <c r="AE2218" s="468" t="s">
        <v>6614</v>
      </c>
      <c r="AF2218" s="468" t="s">
        <v>6615</v>
      </c>
    </row>
    <row r="2219" spans="2:35" s="649" customFormat="1" ht="54.95" customHeight="1" thickBot="1" x14ac:dyDescent="0.25">
      <c r="B2219" s="900" t="s">
        <v>36</v>
      </c>
      <c r="C2219" s="887" t="s">
        <v>37</v>
      </c>
      <c r="D2219" s="888" t="s">
        <v>6429</v>
      </c>
      <c r="E2219" s="901">
        <v>4600558097</v>
      </c>
      <c r="F2219" s="1061" t="s">
        <v>6471</v>
      </c>
      <c r="G2219" s="889" t="s">
        <v>39</v>
      </c>
      <c r="H2219" s="890">
        <v>46609.8</v>
      </c>
      <c r="I2219" s="902" t="s">
        <v>142</v>
      </c>
      <c r="J2219" s="892">
        <v>43243</v>
      </c>
      <c r="K2219" s="893">
        <f t="shared" si="96"/>
        <v>155</v>
      </c>
      <c r="L2219" s="892">
        <v>43398</v>
      </c>
      <c r="M2219" s="892" t="s">
        <v>41</v>
      </c>
      <c r="N2219" s="889" t="s">
        <v>42</v>
      </c>
      <c r="O2219" s="892">
        <v>43363</v>
      </c>
      <c r="P2219" s="893">
        <f t="shared" si="97"/>
        <v>-26</v>
      </c>
      <c r="Q2219" s="901" t="s">
        <v>6466</v>
      </c>
      <c r="R2219" s="903">
        <v>43372</v>
      </c>
      <c r="S2219" s="904">
        <v>43375</v>
      </c>
      <c r="T2219" s="894">
        <v>43395</v>
      </c>
      <c r="U2219" s="893">
        <f t="shared" si="98"/>
        <v>152</v>
      </c>
      <c r="V2219" s="893" t="s">
        <v>955</v>
      </c>
      <c r="W2219" s="897" t="s">
        <v>2232</v>
      </c>
      <c r="X2219" s="889"/>
      <c r="Y2219" s="889"/>
      <c r="Z2219" s="895"/>
      <c r="AA2219" s="889"/>
      <c r="AB2219" s="892" t="s">
        <v>6613</v>
      </c>
      <c r="AC2219" s="476" t="s">
        <v>6465</v>
      </c>
      <c r="AD2219" s="645" t="str">
        <f t="shared" si="100"/>
        <v>en término</v>
      </c>
      <c r="AE2219" s="468" t="s">
        <v>6614</v>
      </c>
      <c r="AF2219" s="468" t="s">
        <v>6615</v>
      </c>
    </row>
    <row r="2220" spans="2:35" s="649" customFormat="1" ht="54.95" customHeight="1" thickBot="1" x14ac:dyDescent="0.25">
      <c r="B2220" s="900" t="s">
        <v>36</v>
      </c>
      <c r="C2220" s="887" t="s">
        <v>37</v>
      </c>
      <c r="D2220" s="888" t="s">
        <v>6441</v>
      </c>
      <c r="E2220" s="901">
        <v>4600557062</v>
      </c>
      <c r="F2220" s="1061" t="s">
        <v>6494</v>
      </c>
      <c r="G2220" s="889" t="s">
        <v>39</v>
      </c>
      <c r="H2220" s="890">
        <v>16874.68</v>
      </c>
      <c r="I2220" s="902" t="s">
        <v>62</v>
      </c>
      <c r="J2220" s="892">
        <v>43256</v>
      </c>
      <c r="K2220" s="893">
        <f t="shared" si="96"/>
        <v>93</v>
      </c>
      <c r="L2220" s="892">
        <v>43349</v>
      </c>
      <c r="M2220" s="892" t="s">
        <v>41</v>
      </c>
      <c r="N2220" s="889" t="s">
        <v>42</v>
      </c>
      <c r="O2220" s="892">
        <v>43363</v>
      </c>
      <c r="P2220" s="893">
        <f t="shared" si="97"/>
        <v>24</v>
      </c>
      <c r="Q2220" s="901" t="s">
        <v>6479</v>
      </c>
      <c r="R2220" s="903">
        <v>43373</v>
      </c>
      <c r="S2220" s="904">
        <v>43375</v>
      </c>
      <c r="T2220" s="894">
        <v>43395</v>
      </c>
      <c r="U2220" s="893">
        <f t="shared" si="98"/>
        <v>139</v>
      </c>
      <c r="V2220" s="893" t="s">
        <v>6496</v>
      </c>
      <c r="W2220" s="897" t="s">
        <v>2232</v>
      </c>
      <c r="X2220" s="889"/>
      <c r="Y2220" s="889"/>
      <c r="Z2220" s="895"/>
      <c r="AA2220" s="889"/>
      <c r="AB2220" s="892" t="s">
        <v>6613</v>
      </c>
      <c r="AC2220" s="476" t="s">
        <v>6465</v>
      </c>
      <c r="AD2220" s="645" t="str">
        <f t="shared" si="100"/>
        <v>atrasado</v>
      </c>
      <c r="AE2220" s="468" t="s">
        <v>6614</v>
      </c>
      <c r="AF2220" s="468" t="s">
        <v>6615</v>
      </c>
      <c r="AG2220" s="1646" t="s">
        <v>29</v>
      </c>
      <c r="AH2220" s="1647"/>
      <c r="AI2220" s="1647"/>
    </row>
    <row r="2221" spans="2:35" s="638" customFormat="1" ht="54.95" customHeight="1" thickBot="1" x14ac:dyDescent="0.25">
      <c r="B2221" s="900" t="s">
        <v>36</v>
      </c>
      <c r="C2221" s="887" t="s">
        <v>37</v>
      </c>
      <c r="D2221" s="888" t="s">
        <v>6441</v>
      </c>
      <c r="E2221" s="901">
        <v>4600557062</v>
      </c>
      <c r="F2221" s="1061" t="s">
        <v>6551</v>
      </c>
      <c r="G2221" s="889" t="s">
        <v>39</v>
      </c>
      <c r="H2221" s="890">
        <v>135171</v>
      </c>
      <c r="I2221" s="902" t="s">
        <v>40</v>
      </c>
      <c r="J2221" s="892">
        <v>43236</v>
      </c>
      <c r="K2221" s="893">
        <f t="shared" si="96"/>
        <v>214</v>
      </c>
      <c r="L2221" s="892">
        <v>43450</v>
      </c>
      <c r="M2221" s="892" t="s">
        <v>41</v>
      </c>
      <c r="N2221" s="889" t="s">
        <v>42</v>
      </c>
      <c r="O2221" s="892">
        <v>43384</v>
      </c>
      <c r="P2221" s="893">
        <f t="shared" si="97"/>
        <v>-57</v>
      </c>
      <c r="Q2221" s="901" t="s">
        <v>6480</v>
      </c>
      <c r="R2221" s="903">
        <v>43393</v>
      </c>
      <c r="S2221" s="904">
        <v>43395</v>
      </c>
      <c r="T2221" s="894">
        <v>43413</v>
      </c>
      <c r="U2221" s="893">
        <f t="shared" si="98"/>
        <v>177</v>
      </c>
      <c r="V2221" s="901" t="s">
        <v>6481</v>
      </c>
      <c r="W2221" s="897" t="s">
        <v>2240</v>
      </c>
      <c r="X2221" s="889"/>
      <c r="Y2221" s="889"/>
      <c r="Z2221" s="895" t="s">
        <v>6453</v>
      </c>
      <c r="AA2221" s="889" t="s">
        <v>47</v>
      </c>
      <c r="AB2221" s="888">
        <v>43485</v>
      </c>
      <c r="AC2221" s="476" t="s">
        <v>6463</v>
      </c>
      <c r="AD2221" s="646" t="str">
        <f t="shared" si="100"/>
        <v>en término</v>
      </c>
      <c r="AE2221" s="468" t="s">
        <v>6533</v>
      </c>
      <c r="AF2221" s="468" t="s">
        <v>3067</v>
      </c>
      <c r="AG2221" s="1100">
        <f t="shared" ref="AG2221:AG2228" si="101">+S2221+90</f>
        <v>43485</v>
      </c>
      <c r="AH2221" s="638">
        <f t="shared" ref="AH2221:AH2228" si="102">IF(AB2221="","",+AB2221-AG2221)</f>
        <v>0</v>
      </c>
      <c r="AI2221" s="638" t="str">
        <f t="shared" ref="AI2221:AI2228" si="103">IF(AH2221="","",IF(AH2221&lt;=0,"en término","atrasado"))</f>
        <v>en término</v>
      </c>
    </row>
    <row r="2222" spans="2:35" s="638" customFormat="1" ht="54.95" customHeight="1" thickBot="1" x14ac:dyDescent="0.25">
      <c r="B2222" s="900" t="s">
        <v>36</v>
      </c>
      <c r="C2222" s="887" t="s">
        <v>37</v>
      </c>
      <c r="D2222" s="888" t="s">
        <v>6441</v>
      </c>
      <c r="E2222" s="901">
        <v>4600557062</v>
      </c>
      <c r="F2222" s="1061" t="s">
        <v>6473</v>
      </c>
      <c r="G2222" s="889" t="s">
        <v>39</v>
      </c>
      <c r="H2222" s="890">
        <v>14895.79</v>
      </c>
      <c r="I2222" s="902" t="s">
        <v>52</v>
      </c>
      <c r="J2222" s="892">
        <v>43236</v>
      </c>
      <c r="K2222" s="893">
        <f t="shared" si="96"/>
        <v>137</v>
      </c>
      <c r="L2222" s="892">
        <v>43373</v>
      </c>
      <c r="M2222" s="892" t="s">
        <v>41</v>
      </c>
      <c r="N2222" s="889" t="s">
        <v>42</v>
      </c>
      <c r="O2222" s="892">
        <v>43384</v>
      </c>
      <c r="P2222" s="893">
        <f t="shared" si="97"/>
        <v>20</v>
      </c>
      <c r="Q2222" s="901" t="s">
        <v>6480</v>
      </c>
      <c r="R2222" s="903">
        <v>43393</v>
      </c>
      <c r="S2222" s="904">
        <v>43395</v>
      </c>
      <c r="T2222" s="894">
        <v>43413</v>
      </c>
      <c r="U2222" s="893">
        <f t="shared" si="98"/>
        <v>177</v>
      </c>
      <c r="V2222" s="901" t="s">
        <v>6476</v>
      </c>
      <c r="W2222" s="897" t="s">
        <v>2240</v>
      </c>
      <c r="X2222" s="889"/>
      <c r="Y2222" s="889"/>
      <c r="Z2222" s="895" t="s">
        <v>6453</v>
      </c>
      <c r="AA2222" s="889" t="s">
        <v>47</v>
      </c>
      <c r="AB2222" s="888">
        <v>43485</v>
      </c>
      <c r="AC2222" s="476" t="s">
        <v>6463</v>
      </c>
      <c r="AD2222" s="646" t="str">
        <f t="shared" si="100"/>
        <v>atrasado</v>
      </c>
      <c r="AE2222" s="468" t="s">
        <v>6533</v>
      </c>
      <c r="AF2222" s="468" t="s">
        <v>3067</v>
      </c>
      <c r="AG2222" s="1100">
        <f t="shared" si="101"/>
        <v>43485</v>
      </c>
      <c r="AH2222" s="638">
        <f t="shared" si="102"/>
        <v>0</v>
      </c>
      <c r="AI2222" s="638" t="str">
        <f t="shared" si="103"/>
        <v>en término</v>
      </c>
    </row>
    <row r="2223" spans="2:35" s="638" customFormat="1" ht="54.95" customHeight="1" thickBot="1" x14ac:dyDescent="0.25">
      <c r="B2223" s="900" t="s">
        <v>36</v>
      </c>
      <c r="C2223" s="887" t="s">
        <v>37</v>
      </c>
      <c r="D2223" s="888" t="s">
        <v>6441</v>
      </c>
      <c r="E2223" s="901">
        <v>4600557062</v>
      </c>
      <c r="F2223" s="1061" t="s">
        <v>6488</v>
      </c>
      <c r="G2223" s="889" t="s">
        <v>39</v>
      </c>
      <c r="H2223" s="890">
        <v>9895.82</v>
      </c>
      <c r="I2223" s="902" t="s">
        <v>62</v>
      </c>
      <c r="J2223" s="892">
        <v>43244</v>
      </c>
      <c r="K2223" s="893">
        <f t="shared" si="96"/>
        <v>156</v>
      </c>
      <c r="L2223" s="892">
        <v>43400</v>
      </c>
      <c r="M2223" s="892" t="s">
        <v>41</v>
      </c>
      <c r="N2223" s="889" t="s">
        <v>42</v>
      </c>
      <c r="O2223" s="892">
        <v>43384</v>
      </c>
      <c r="P2223" s="893">
        <f t="shared" si="97"/>
        <v>-7</v>
      </c>
      <c r="Q2223" s="901" t="s">
        <v>6480</v>
      </c>
      <c r="R2223" s="903">
        <v>43393</v>
      </c>
      <c r="S2223" s="904">
        <v>43395</v>
      </c>
      <c r="T2223" s="894">
        <v>43413</v>
      </c>
      <c r="U2223" s="893">
        <f t="shared" si="98"/>
        <v>169</v>
      </c>
      <c r="V2223" s="893" t="s">
        <v>6489</v>
      </c>
      <c r="W2223" s="897" t="s">
        <v>2240</v>
      </c>
      <c r="X2223" s="889"/>
      <c r="Y2223" s="889"/>
      <c r="Z2223" s="895" t="s">
        <v>6453</v>
      </c>
      <c r="AA2223" s="889"/>
      <c r="AB2223" s="888">
        <v>43485</v>
      </c>
      <c r="AC2223" s="476" t="s">
        <v>6463</v>
      </c>
      <c r="AD2223" s="646" t="str">
        <f t="shared" si="100"/>
        <v>en término</v>
      </c>
      <c r="AE2223" s="468" t="s">
        <v>6533</v>
      </c>
      <c r="AF2223" s="468" t="s">
        <v>3067</v>
      </c>
      <c r="AG2223" s="1100">
        <f t="shared" si="101"/>
        <v>43485</v>
      </c>
      <c r="AH2223" s="638">
        <f t="shared" si="102"/>
        <v>0</v>
      </c>
      <c r="AI2223" s="638" t="str">
        <f t="shared" si="103"/>
        <v>en término</v>
      </c>
    </row>
    <row r="2224" spans="2:35" s="638" customFormat="1" ht="54.95" customHeight="1" thickBot="1" x14ac:dyDescent="0.25">
      <c r="B2224" s="900" t="s">
        <v>36</v>
      </c>
      <c r="C2224" s="887" t="s">
        <v>37</v>
      </c>
      <c r="D2224" s="888" t="s">
        <v>6441</v>
      </c>
      <c r="E2224" s="901">
        <v>4600557062</v>
      </c>
      <c r="F2224" s="1061" t="s">
        <v>6495</v>
      </c>
      <c r="G2224" s="889" t="s">
        <v>39</v>
      </c>
      <c r="H2224" s="890">
        <v>26620.400000000001</v>
      </c>
      <c r="I2224" s="902" t="s">
        <v>62</v>
      </c>
      <c r="J2224" s="892">
        <v>43256</v>
      </c>
      <c r="K2224" s="893">
        <f t="shared" si="96"/>
        <v>122</v>
      </c>
      <c r="L2224" s="892">
        <v>43378</v>
      </c>
      <c r="M2224" s="892" t="s">
        <v>41</v>
      </c>
      <c r="N2224" s="889" t="s">
        <v>42</v>
      </c>
      <c r="O2224" s="892">
        <v>43384</v>
      </c>
      <c r="P2224" s="893">
        <f t="shared" si="97"/>
        <v>15</v>
      </c>
      <c r="Q2224" s="901" t="s">
        <v>6480</v>
      </c>
      <c r="R2224" s="903">
        <v>43393</v>
      </c>
      <c r="S2224" s="904">
        <v>43395</v>
      </c>
      <c r="T2224" s="894">
        <v>43413</v>
      </c>
      <c r="U2224" s="893">
        <f t="shared" si="98"/>
        <v>157</v>
      </c>
      <c r="V2224" s="893" t="s">
        <v>6497</v>
      </c>
      <c r="W2224" s="897" t="s">
        <v>2240</v>
      </c>
      <c r="X2224" s="889"/>
      <c r="Y2224" s="889"/>
      <c r="Z2224" s="895" t="s">
        <v>6453</v>
      </c>
      <c r="AA2224" s="889"/>
      <c r="AB2224" s="888">
        <v>43485</v>
      </c>
      <c r="AC2224" s="476" t="s">
        <v>6465</v>
      </c>
      <c r="AD2224" s="646" t="str">
        <f t="shared" si="100"/>
        <v>atrasado</v>
      </c>
      <c r="AE2224" s="468" t="s">
        <v>6533</v>
      </c>
      <c r="AF2224" s="468" t="s">
        <v>3067</v>
      </c>
      <c r="AG2224" s="1100">
        <f t="shared" si="101"/>
        <v>43485</v>
      </c>
      <c r="AH2224" s="638">
        <f t="shared" si="102"/>
        <v>0</v>
      </c>
      <c r="AI2224" s="638" t="str">
        <f t="shared" si="103"/>
        <v>en término</v>
      </c>
    </row>
    <row r="2225" spans="2:35" s="638" customFormat="1" ht="54.95" customHeight="1" thickBot="1" x14ac:dyDescent="0.25">
      <c r="B2225" s="900" t="s">
        <v>36</v>
      </c>
      <c r="C2225" s="887" t="s">
        <v>37</v>
      </c>
      <c r="D2225" s="888" t="s">
        <v>6441</v>
      </c>
      <c r="E2225" s="901">
        <v>4600557062</v>
      </c>
      <c r="F2225" s="1061" t="s">
        <v>6499</v>
      </c>
      <c r="G2225" s="889" t="s">
        <v>39</v>
      </c>
      <c r="H2225" s="890">
        <v>3646.97</v>
      </c>
      <c r="I2225" s="902" t="s">
        <v>62</v>
      </c>
      <c r="J2225" s="892">
        <v>43284</v>
      </c>
      <c r="K2225" s="893">
        <f t="shared" si="96"/>
        <v>105</v>
      </c>
      <c r="L2225" s="892">
        <v>43389</v>
      </c>
      <c r="M2225" s="892" t="s">
        <v>41</v>
      </c>
      <c r="N2225" s="889" t="s">
        <v>42</v>
      </c>
      <c r="O2225" s="892">
        <v>43384</v>
      </c>
      <c r="P2225" s="893">
        <f t="shared" si="97"/>
        <v>4</v>
      </c>
      <c r="Q2225" s="901" t="s">
        <v>6480</v>
      </c>
      <c r="R2225" s="903">
        <v>43393</v>
      </c>
      <c r="S2225" s="904">
        <v>43395</v>
      </c>
      <c r="T2225" s="894">
        <v>43413</v>
      </c>
      <c r="U2225" s="893">
        <f t="shared" si="98"/>
        <v>129</v>
      </c>
      <c r="V2225" s="893" t="s">
        <v>6464</v>
      </c>
      <c r="W2225" s="897" t="s">
        <v>2240</v>
      </c>
      <c r="X2225" s="889"/>
      <c r="Y2225" s="889"/>
      <c r="Z2225" s="895" t="s">
        <v>6453</v>
      </c>
      <c r="AA2225" s="889"/>
      <c r="AB2225" s="888">
        <v>43485</v>
      </c>
      <c r="AC2225" s="476" t="s">
        <v>6465</v>
      </c>
      <c r="AD2225" s="646" t="str">
        <f t="shared" si="100"/>
        <v>atrasado</v>
      </c>
      <c r="AE2225" s="468" t="s">
        <v>6533</v>
      </c>
      <c r="AF2225" s="468" t="s">
        <v>3067</v>
      </c>
      <c r="AG2225" s="1100">
        <f t="shared" si="101"/>
        <v>43485</v>
      </c>
      <c r="AH2225" s="638">
        <f t="shared" si="102"/>
        <v>0</v>
      </c>
      <c r="AI2225" s="638" t="str">
        <f t="shared" si="103"/>
        <v>en término</v>
      </c>
    </row>
    <row r="2226" spans="2:35" s="638" customFormat="1" ht="54.95" customHeight="1" thickBot="1" x14ac:dyDescent="0.25">
      <c r="B2226" s="900" t="s">
        <v>36</v>
      </c>
      <c r="C2226" s="887" t="s">
        <v>37</v>
      </c>
      <c r="D2226" s="888" t="s">
        <v>6441</v>
      </c>
      <c r="E2226" s="901">
        <v>4600557062</v>
      </c>
      <c r="F2226" s="1061" t="s">
        <v>6498</v>
      </c>
      <c r="G2226" s="889" t="s">
        <v>39</v>
      </c>
      <c r="H2226" s="890">
        <v>38940.839999999997</v>
      </c>
      <c r="I2226" s="902" t="s">
        <v>62</v>
      </c>
      <c r="J2226" s="892">
        <v>43285</v>
      </c>
      <c r="K2226" s="893">
        <f t="shared" si="96"/>
        <v>93</v>
      </c>
      <c r="L2226" s="892">
        <v>43378</v>
      </c>
      <c r="M2226" s="892" t="s">
        <v>41</v>
      </c>
      <c r="N2226" s="889" t="s">
        <v>42</v>
      </c>
      <c r="O2226" s="892">
        <v>43384</v>
      </c>
      <c r="P2226" s="893">
        <f t="shared" si="97"/>
        <v>15</v>
      </c>
      <c r="Q2226" s="901" t="s">
        <v>6480</v>
      </c>
      <c r="R2226" s="903">
        <v>43393</v>
      </c>
      <c r="S2226" s="904">
        <v>43395</v>
      </c>
      <c r="T2226" s="894">
        <v>43413</v>
      </c>
      <c r="U2226" s="893">
        <f t="shared" si="98"/>
        <v>128</v>
      </c>
      <c r="V2226" s="893" t="s">
        <v>6457</v>
      </c>
      <c r="W2226" s="897" t="s">
        <v>2240</v>
      </c>
      <c r="X2226" s="889"/>
      <c r="Y2226" s="889"/>
      <c r="Z2226" s="895" t="s">
        <v>6453</v>
      </c>
      <c r="AA2226" s="889"/>
      <c r="AB2226" s="888">
        <v>43485</v>
      </c>
      <c r="AC2226" s="476" t="s">
        <v>48</v>
      </c>
      <c r="AD2226" s="646" t="str">
        <f t="shared" si="100"/>
        <v>atrasado</v>
      </c>
      <c r="AE2226" s="468" t="s">
        <v>6533</v>
      </c>
      <c r="AF2226" s="468" t="s">
        <v>3067</v>
      </c>
      <c r="AG2226" s="1100">
        <f t="shared" si="101"/>
        <v>43485</v>
      </c>
      <c r="AH2226" s="638">
        <f t="shared" si="102"/>
        <v>0</v>
      </c>
      <c r="AI2226" s="638" t="str">
        <f t="shared" si="103"/>
        <v>en término</v>
      </c>
    </row>
    <row r="2227" spans="2:35" s="638" customFormat="1" ht="54.95" customHeight="1" thickBot="1" x14ac:dyDescent="0.25">
      <c r="B2227" s="900" t="s">
        <v>36</v>
      </c>
      <c r="C2227" s="887" t="s">
        <v>37</v>
      </c>
      <c r="D2227" s="888" t="s">
        <v>6441</v>
      </c>
      <c r="E2227" s="901">
        <v>4600557062</v>
      </c>
      <c r="F2227" s="1061" t="s">
        <v>6500</v>
      </c>
      <c r="G2227" s="889" t="s">
        <v>39</v>
      </c>
      <c r="H2227" s="890">
        <v>1364.36</v>
      </c>
      <c r="I2227" s="902" t="s">
        <v>40</v>
      </c>
      <c r="J2227" s="892">
        <v>43299</v>
      </c>
      <c r="K2227" s="893">
        <f t="shared" si="96"/>
        <v>95</v>
      </c>
      <c r="L2227" s="892">
        <v>43394</v>
      </c>
      <c r="M2227" s="892" t="s">
        <v>41</v>
      </c>
      <c r="N2227" s="889" t="s">
        <v>42</v>
      </c>
      <c r="O2227" s="892">
        <v>43384</v>
      </c>
      <c r="P2227" s="893">
        <f t="shared" si="97"/>
        <v>-1</v>
      </c>
      <c r="Q2227" s="901" t="s">
        <v>6480</v>
      </c>
      <c r="R2227" s="903">
        <v>43393</v>
      </c>
      <c r="S2227" s="904">
        <v>43395</v>
      </c>
      <c r="T2227" s="894">
        <v>43413</v>
      </c>
      <c r="U2227" s="893">
        <f t="shared" si="98"/>
        <v>114</v>
      </c>
      <c r="V2227" s="893" t="s">
        <v>6458</v>
      </c>
      <c r="W2227" s="897" t="s">
        <v>2240</v>
      </c>
      <c r="X2227" s="889"/>
      <c r="Y2227" s="905"/>
      <c r="Z2227" s="895" t="s">
        <v>6453</v>
      </c>
      <c r="AA2227" s="889"/>
      <c r="AB2227" s="888">
        <v>43485</v>
      </c>
      <c r="AC2227" s="476" t="s">
        <v>48</v>
      </c>
      <c r="AD2227" s="646" t="str">
        <f t="shared" si="100"/>
        <v>en término</v>
      </c>
      <c r="AE2227" s="468" t="s">
        <v>6533</v>
      </c>
      <c r="AF2227" s="468" t="s">
        <v>3067</v>
      </c>
      <c r="AG2227" s="1100">
        <f t="shared" si="101"/>
        <v>43485</v>
      </c>
      <c r="AH2227" s="638">
        <f t="shared" si="102"/>
        <v>0</v>
      </c>
      <c r="AI2227" s="638" t="str">
        <f t="shared" si="103"/>
        <v>en término</v>
      </c>
    </row>
    <row r="2228" spans="2:35" s="638" customFormat="1" ht="54.95" customHeight="1" thickBot="1" x14ac:dyDescent="0.25">
      <c r="B2228" s="900" t="s">
        <v>36</v>
      </c>
      <c r="C2228" s="887" t="s">
        <v>37</v>
      </c>
      <c r="D2228" s="888" t="s">
        <v>6441</v>
      </c>
      <c r="E2228" s="901">
        <v>4600557062</v>
      </c>
      <c r="F2228" s="1061" t="s">
        <v>6501</v>
      </c>
      <c r="G2228" s="889" t="s">
        <v>39</v>
      </c>
      <c r="H2228" s="890">
        <v>7599.6</v>
      </c>
      <c r="I2228" s="902" t="s">
        <v>40</v>
      </c>
      <c r="J2228" s="892">
        <v>43327</v>
      </c>
      <c r="K2228" s="893">
        <f t="shared" si="96"/>
        <v>91</v>
      </c>
      <c r="L2228" s="892">
        <v>43418</v>
      </c>
      <c r="M2228" s="892" t="s">
        <v>41</v>
      </c>
      <c r="N2228" s="889" t="s">
        <v>42</v>
      </c>
      <c r="O2228" s="892">
        <v>43384</v>
      </c>
      <c r="P2228" s="893">
        <f t="shared" si="97"/>
        <v>-25</v>
      </c>
      <c r="Q2228" s="901" t="s">
        <v>6480</v>
      </c>
      <c r="R2228" s="903">
        <v>43393</v>
      </c>
      <c r="S2228" s="904">
        <v>43395</v>
      </c>
      <c r="T2228" s="894">
        <v>43413</v>
      </c>
      <c r="U2228" s="893">
        <f t="shared" si="98"/>
        <v>86</v>
      </c>
      <c r="V2228" s="893" t="s">
        <v>6504</v>
      </c>
      <c r="W2228" s="897" t="s">
        <v>2240</v>
      </c>
      <c r="X2228" s="889"/>
      <c r="Y2228" s="889"/>
      <c r="Z2228" s="895" t="s">
        <v>6453</v>
      </c>
      <c r="AA2228" s="889"/>
      <c r="AB2228" s="888">
        <v>43485</v>
      </c>
      <c r="AC2228" s="476" t="s">
        <v>6462</v>
      </c>
      <c r="AD2228" s="646" t="str">
        <f t="shared" si="100"/>
        <v>en término</v>
      </c>
      <c r="AE2228" s="468" t="s">
        <v>6533</v>
      </c>
      <c r="AF2228" s="468" t="s">
        <v>3067</v>
      </c>
      <c r="AG2228" s="1100">
        <f t="shared" si="101"/>
        <v>43485</v>
      </c>
      <c r="AH2228" s="638">
        <f t="shared" si="102"/>
        <v>0</v>
      </c>
      <c r="AI2228" s="638" t="str">
        <f t="shared" si="103"/>
        <v>en término</v>
      </c>
    </row>
    <row r="2229" spans="2:35" s="649" customFormat="1" ht="54.95" customHeight="1" thickBot="1" x14ac:dyDescent="0.25">
      <c r="B2229" s="900" t="s">
        <v>36</v>
      </c>
      <c r="C2229" s="887" t="s">
        <v>37</v>
      </c>
      <c r="D2229" s="888" t="s">
        <v>6441</v>
      </c>
      <c r="E2229" s="901">
        <v>4600557062</v>
      </c>
      <c r="F2229" s="1061" t="s">
        <v>6444</v>
      </c>
      <c r="G2229" s="889" t="s">
        <v>39</v>
      </c>
      <c r="H2229" s="890">
        <v>333601.34000000003</v>
      </c>
      <c r="I2229" s="902" t="s">
        <v>40</v>
      </c>
      <c r="J2229" s="892">
        <v>43236</v>
      </c>
      <c r="K2229" s="893">
        <f t="shared" si="96"/>
        <v>94</v>
      </c>
      <c r="L2229" s="892">
        <v>43330</v>
      </c>
      <c r="M2229" s="892" t="s">
        <v>41</v>
      </c>
      <c r="N2229" s="889" t="s">
        <v>42</v>
      </c>
      <c r="O2229" s="892">
        <v>43335</v>
      </c>
      <c r="P2229" s="893">
        <f t="shared" si="97"/>
        <v>15</v>
      </c>
      <c r="Q2229" s="901" t="s">
        <v>6455</v>
      </c>
      <c r="R2229" s="903">
        <v>43345</v>
      </c>
      <c r="S2229" s="894">
        <v>43346</v>
      </c>
      <c r="T2229" s="894">
        <v>43364</v>
      </c>
      <c r="U2229" s="893">
        <f t="shared" si="98"/>
        <v>128</v>
      </c>
      <c r="V2229" s="901" t="s">
        <v>6477</v>
      </c>
      <c r="W2229" s="897" t="s">
        <v>2235</v>
      </c>
      <c r="X2229" s="889"/>
      <c r="Y2229" s="889"/>
      <c r="Z2229" s="895" t="s">
        <v>6453</v>
      </c>
      <c r="AA2229" s="889" t="s">
        <v>47</v>
      </c>
      <c r="AB2229" s="892" t="s">
        <v>47</v>
      </c>
      <c r="AC2229" s="476" t="s">
        <v>6463</v>
      </c>
      <c r="AD2229" s="645" t="str">
        <f t="shared" si="100"/>
        <v>atrasado</v>
      </c>
      <c r="AE2229" s="468"/>
      <c r="AF2229" s="468"/>
      <c r="AG2229" s="1100"/>
      <c r="AH2229" s="638"/>
      <c r="AI2229" s="638"/>
    </row>
    <row r="2230" spans="2:35" s="649" customFormat="1" ht="54.95" customHeight="1" thickBot="1" x14ac:dyDescent="0.25">
      <c r="B2230" s="900" t="s">
        <v>36</v>
      </c>
      <c r="C2230" s="887" t="s">
        <v>37</v>
      </c>
      <c r="D2230" s="888" t="s">
        <v>6441</v>
      </c>
      <c r="E2230" s="901">
        <v>4600557062</v>
      </c>
      <c r="F2230" s="1061" t="s">
        <v>6472</v>
      </c>
      <c r="G2230" s="889" t="s">
        <v>39</v>
      </c>
      <c r="H2230" s="890">
        <v>35125.370000000003</v>
      </c>
      <c r="I2230" s="902" t="s">
        <v>52</v>
      </c>
      <c r="J2230" s="892">
        <v>43236</v>
      </c>
      <c r="K2230" s="893">
        <f t="shared" si="96"/>
        <v>90</v>
      </c>
      <c r="L2230" s="892">
        <v>43326</v>
      </c>
      <c r="M2230" s="892" t="s">
        <v>41</v>
      </c>
      <c r="N2230" s="889" t="s">
        <v>42</v>
      </c>
      <c r="O2230" s="892">
        <v>43335</v>
      </c>
      <c r="P2230" s="893">
        <f t="shared" si="97"/>
        <v>19</v>
      </c>
      <c r="Q2230" s="901" t="s">
        <v>6454</v>
      </c>
      <c r="R2230" s="903">
        <v>43345</v>
      </c>
      <c r="S2230" s="904">
        <v>43346</v>
      </c>
      <c r="T2230" s="894">
        <v>43364</v>
      </c>
      <c r="U2230" s="893">
        <f t="shared" si="98"/>
        <v>128</v>
      </c>
      <c r="V2230" s="901" t="s">
        <v>6475</v>
      </c>
      <c r="W2230" s="897" t="s">
        <v>2235</v>
      </c>
      <c r="X2230" s="889"/>
      <c r="Y2230" s="889"/>
      <c r="Z2230" s="895" t="s">
        <v>6453</v>
      </c>
      <c r="AA2230" s="889" t="s">
        <v>47</v>
      </c>
      <c r="AB2230" s="892" t="s">
        <v>47</v>
      </c>
      <c r="AC2230" s="476" t="s">
        <v>6463</v>
      </c>
      <c r="AD2230" s="645" t="str">
        <f t="shared" si="100"/>
        <v>atrasado</v>
      </c>
      <c r="AE2230" s="468"/>
      <c r="AF2230" s="468"/>
      <c r="AG2230" s="1100"/>
      <c r="AH2230" s="638"/>
      <c r="AI2230" s="638"/>
    </row>
    <row r="2231" spans="2:35" s="649" customFormat="1" ht="54.95" customHeight="1" thickBot="1" x14ac:dyDescent="0.25">
      <c r="B2231" s="900" t="s">
        <v>36</v>
      </c>
      <c r="C2231" s="887" t="s">
        <v>37</v>
      </c>
      <c r="D2231" s="888" t="s">
        <v>6441</v>
      </c>
      <c r="E2231" s="901">
        <v>4600557062</v>
      </c>
      <c r="F2231" s="1061" t="s">
        <v>6482</v>
      </c>
      <c r="G2231" s="889" t="s">
        <v>39</v>
      </c>
      <c r="H2231" s="890">
        <v>41842.25</v>
      </c>
      <c r="I2231" s="902" t="s">
        <v>142</v>
      </c>
      <c r="J2231" s="892">
        <v>43243</v>
      </c>
      <c r="K2231" s="893">
        <f t="shared" si="96"/>
        <v>94</v>
      </c>
      <c r="L2231" s="892">
        <v>43337</v>
      </c>
      <c r="M2231" s="892" t="s">
        <v>41</v>
      </c>
      <c r="N2231" s="889" t="s">
        <v>42</v>
      </c>
      <c r="O2231" s="892">
        <v>43335</v>
      </c>
      <c r="P2231" s="893">
        <f t="shared" si="97"/>
        <v>8</v>
      </c>
      <c r="Q2231" s="901" t="s">
        <v>6454</v>
      </c>
      <c r="R2231" s="903">
        <v>43345</v>
      </c>
      <c r="S2231" s="904">
        <v>43346</v>
      </c>
      <c r="T2231" s="894">
        <v>43364</v>
      </c>
      <c r="U2231" s="893">
        <f t="shared" si="98"/>
        <v>121</v>
      </c>
      <c r="V2231" s="893" t="s">
        <v>6483</v>
      </c>
      <c r="W2231" s="897" t="s">
        <v>2235</v>
      </c>
      <c r="X2231" s="889"/>
      <c r="Y2231" s="889"/>
      <c r="Z2231" s="895" t="s">
        <v>6453</v>
      </c>
      <c r="AA2231" s="889" t="s">
        <v>47</v>
      </c>
      <c r="AB2231" s="892" t="s">
        <v>47</v>
      </c>
      <c r="AC2231" s="476" t="s">
        <v>6463</v>
      </c>
      <c r="AD2231" s="645" t="str">
        <f t="shared" si="100"/>
        <v>atrasado</v>
      </c>
      <c r="AE2231" s="468"/>
      <c r="AF2231" s="468"/>
      <c r="AG2231" s="1100"/>
      <c r="AH2231" s="638"/>
      <c r="AI2231" s="638"/>
    </row>
    <row r="2232" spans="2:35" s="649" customFormat="1" ht="54.95" customHeight="1" thickBot="1" x14ac:dyDescent="0.25">
      <c r="B2232" s="900" t="s">
        <v>36</v>
      </c>
      <c r="C2232" s="887" t="s">
        <v>37</v>
      </c>
      <c r="D2232" s="888" t="s">
        <v>6441</v>
      </c>
      <c r="E2232" s="901">
        <v>4600557062</v>
      </c>
      <c r="F2232" s="1061" t="s">
        <v>6486</v>
      </c>
      <c r="G2232" s="889" t="s">
        <v>39</v>
      </c>
      <c r="H2232" s="890">
        <v>95737</v>
      </c>
      <c r="I2232" s="902" t="s">
        <v>142</v>
      </c>
      <c r="J2232" s="892">
        <v>43244</v>
      </c>
      <c r="K2232" s="893">
        <f t="shared" si="96"/>
        <v>96</v>
      </c>
      <c r="L2232" s="892">
        <v>43340</v>
      </c>
      <c r="M2232" s="892" t="s">
        <v>41</v>
      </c>
      <c r="N2232" s="889" t="s">
        <v>42</v>
      </c>
      <c r="O2232" s="892">
        <v>43335</v>
      </c>
      <c r="P2232" s="893">
        <f t="shared" si="97"/>
        <v>5</v>
      </c>
      <c r="Q2232" s="901" t="s">
        <v>6454</v>
      </c>
      <c r="R2232" s="903">
        <v>43345</v>
      </c>
      <c r="S2232" s="904">
        <v>43346</v>
      </c>
      <c r="T2232" s="894">
        <v>43364</v>
      </c>
      <c r="U2232" s="893">
        <f t="shared" si="98"/>
        <v>120</v>
      </c>
      <c r="V2232" s="893" t="s">
        <v>1322</v>
      </c>
      <c r="W2232" s="897" t="s">
        <v>2235</v>
      </c>
      <c r="X2232" s="889"/>
      <c r="Y2232" s="889"/>
      <c r="Z2232" s="895" t="s">
        <v>6453</v>
      </c>
      <c r="AA2232" s="889" t="s">
        <v>47</v>
      </c>
      <c r="AB2232" s="892" t="s">
        <v>47</v>
      </c>
      <c r="AC2232" s="476" t="s">
        <v>6487</v>
      </c>
      <c r="AD2232" s="645" t="str">
        <f t="shared" si="100"/>
        <v>atrasado</v>
      </c>
      <c r="AE2232" s="468"/>
      <c r="AF2232" s="468"/>
      <c r="AG2232" s="1100"/>
      <c r="AH2232" s="638"/>
      <c r="AI2232" s="638"/>
    </row>
    <row r="2233" spans="2:35" s="649" customFormat="1" ht="54.95" customHeight="1" thickBot="1" x14ac:dyDescent="0.25">
      <c r="B2233" s="900" t="s">
        <v>36</v>
      </c>
      <c r="C2233" s="887" t="s">
        <v>37</v>
      </c>
      <c r="D2233" s="888" t="s">
        <v>6441</v>
      </c>
      <c r="E2233" s="901">
        <v>4600557062</v>
      </c>
      <c r="F2233" s="1061" t="s">
        <v>6502</v>
      </c>
      <c r="G2233" s="889" t="s">
        <v>39</v>
      </c>
      <c r="H2233" s="890">
        <v>22798.799999999999</v>
      </c>
      <c r="I2233" s="902" t="s">
        <v>40</v>
      </c>
      <c r="J2233" s="892">
        <v>43327</v>
      </c>
      <c r="K2233" s="893">
        <f t="shared" si="96"/>
        <v>91</v>
      </c>
      <c r="L2233" s="892">
        <v>43418</v>
      </c>
      <c r="M2233" s="892" t="s">
        <v>41</v>
      </c>
      <c r="N2233" s="889" t="s">
        <v>42</v>
      </c>
      <c r="O2233" s="892">
        <v>43419</v>
      </c>
      <c r="P2233" s="893">
        <f t="shared" si="97"/>
        <v>10</v>
      </c>
      <c r="Q2233" s="901" t="s">
        <v>6547</v>
      </c>
      <c r="R2233" s="903">
        <v>43428</v>
      </c>
      <c r="S2233" s="904">
        <v>43429</v>
      </c>
      <c r="T2233" s="894">
        <v>43448</v>
      </c>
      <c r="U2233" s="893">
        <f t="shared" si="98"/>
        <v>121</v>
      </c>
      <c r="V2233" s="893" t="s">
        <v>6570</v>
      </c>
      <c r="W2233" s="897" t="s">
        <v>2441</v>
      </c>
      <c r="X2233" s="889"/>
      <c r="Y2233" s="888">
        <v>43418</v>
      </c>
      <c r="Z2233" s="895"/>
      <c r="AA2233" s="889"/>
      <c r="AB2233" s="888">
        <v>43519</v>
      </c>
      <c r="AC2233" s="476" t="s">
        <v>6542</v>
      </c>
      <c r="AD2233" s="645" t="str">
        <f t="shared" si="100"/>
        <v>atrasado</v>
      </c>
      <c r="AE2233" s="468" t="s">
        <v>6554</v>
      </c>
      <c r="AF2233" s="468" t="s">
        <v>50</v>
      </c>
      <c r="AG2233" s="1100">
        <f t="shared" ref="AG2233:AG2245" si="104">+S2233+90</f>
        <v>43519</v>
      </c>
      <c r="AH2233" s="638">
        <f t="shared" ref="AH2233:AH2245" si="105">IF(AB2233="","",+AB2233-AG2233)</f>
        <v>0</v>
      </c>
      <c r="AI2233" s="638" t="str">
        <f t="shared" ref="AI2233:AI2245" si="106">IF(AH2233="","",IF(AH2233&lt;=0,"en término","atrasado"))</f>
        <v>en término</v>
      </c>
    </row>
    <row r="2234" spans="2:35" s="649" customFormat="1" ht="54.95" customHeight="1" thickBot="1" x14ac:dyDescent="0.25">
      <c r="B2234" s="900" t="s">
        <v>36</v>
      </c>
      <c r="C2234" s="887" t="s">
        <v>37</v>
      </c>
      <c r="D2234" s="888" t="s">
        <v>6508</v>
      </c>
      <c r="E2234" s="901">
        <v>7002104668</v>
      </c>
      <c r="F2234" s="1061" t="s">
        <v>6507</v>
      </c>
      <c r="G2234" s="889" t="s">
        <v>39</v>
      </c>
      <c r="H2234" s="890">
        <v>856</v>
      </c>
      <c r="I2234" s="902" t="s">
        <v>40</v>
      </c>
      <c r="J2234" s="892">
        <v>43322</v>
      </c>
      <c r="K2234" s="893">
        <f t="shared" si="96"/>
        <v>96</v>
      </c>
      <c r="L2234" s="892">
        <v>43418</v>
      </c>
      <c r="M2234" s="892" t="s">
        <v>41</v>
      </c>
      <c r="N2234" s="889" t="s">
        <v>42</v>
      </c>
      <c r="O2234" s="892">
        <v>43419</v>
      </c>
      <c r="P2234" s="893">
        <f t="shared" si="97"/>
        <v>10</v>
      </c>
      <c r="Q2234" s="901" t="s">
        <v>6547</v>
      </c>
      <c r="R2234" s="903">
        <v>43428</v>
      </c>
      <c r="S2234" s="904">
        <v>43429</v>
      </c>
      <c r="T2234" s="894">
        <v>43448</v>
      </c>
      <c r="U2234" s="893">
        <f t="shared" si="98"/>
        <v>126</v>
      </c>
      <c r="V2234" s="893" t="s">
        <v>6459</v>
      </c>
      <c r="W2234" s="897" t="s">
        <v>2441</v>
      </c>
      <c r="X2234" s="889"/>
      <c r="Y2234" s="905"/>
      <c r="Z2234" s="895"/>
      <c r="AA2234" s="889"/>
      <c r="AB2234" s="888">
        <v>43519</v>
      </c>
      <c r="AC2234" s="1078" t="s">
        <v>6543</v>
      </c>
      <c r="AD2234" s="645" t="str">
        <f t="shared" si="100"/>
        <v>atrasado</v>
      </c>
      <c r="AE2234" s="468" t="s">
        <v>6554</v>
      </c>
      <c r="AF2234" s="468" t="s">
        <v>50</v>
      </c>
      <c r="AG2234" s="1100">
        <f t="shared" si="104"/>
        <v>43519</v>
      </c>
      <c r="AH2234" s="638">
        <f t="shared" si="105"/>
        <v>0</v>
      </c>
      <c r="AI2234" s="638" t="str">
        <f t="shared" si="106"/>
        <v>en término</v>
      </c>
    </row>
    <row r="2235" spans="2:35" s="649" customFormat="1" ht="54.95" customHeight="1" thickBot="1" x14ac:dyDescent="0.25">
      <c r="B2235" s="900" t="s">
        <v>36</v>
      </c>
      <c r="C2235" s="887" t="s">
        <v>37</v>
      </c>
      <c r="D2235" s="888" t="s">
        <v>6441</v>
      </c>
      <c r="E2235" s="901">
        <v>4600557062</v>
      </c>
      <c r="F2235" s="1061" t="s">
        <v>6490</v>
      </c>
      <c r="G2235" s="889" t="s">
        <v>39</v>
      </c>
      <c r="H2235" s="890">
        <v>34611.9</v>
      </c>
      <c r="I2235" s="902" t="s">
        <v>52</v>
      </c>
      <c r="J2235" s="892">
        <v>43326</v>
      </c>
      <c r="K2235" s="893">
        <f t="shared" si="96"/>
        <v>118</v>
      </c>
      <c r="L2235" s="892">
        <v>43444</v>
      </c>
      <c r="M2235" s="892" t="s">
        <v>41</v>
      </c>
      <c r="N2235" s="889" t="s">
        <v>42</v>
      </c>
      <c r="O2235" s="892">
        <v>43419</v>
      </c>
      <c r="P2235" s="893">
        <f t="shared" si="97"/>
        <v>-16</v>
      </c>
      <c r="Q2235" s="901" t="s">
        <v>6547</v>
      </c>
      <c r="R2235" s="903">
        <v>43428</v>
      </c>
      <c r="S2235" s="904">
        <v>43429</v>
      </c>
      <c r="T2235" s="894">
        <v>43448</v>
      </c>
      <c r="U2235" s="893">
        <f t="shared" si="98"/>
        <v>122</v>
      </c>
      <c r="V2235" s="893" t="s">
        <v>6460</v>
      </c>
      <c r="W2235" s="897" t="s">
        <v>2441</v>
      </c>
      <c r="X2235" s="889"/>
      <c r="Y2235" s="888">
        <v>43418</v>
      </c>
      <c r="Z2235" s="895"/>
      <c r="AA2235" s="889"/>
      <c r="AB2235" s="888">
        <v>43519</v>
      </c>
      <c r="AC2235" s="476" t="s">
        <v>6546</v>
      </c>
      <c r="AD2235" s="645" t="str">
        <f t="shared" si="100"/>
        <v>en término</v>
      </c>
      <c r="AE2235" s="468" t="s">
        <v>6554</v>
      </c>
      <c r="AF2235" s="468" t="s">
        <v>50</v>
      </c>
      <c r="AG2235" s="1100">
        <f t="shared" si="104"/>
        <v>43519</v>
      </c>
      <c r="AH2235" s="638">
        <f t="shared" si="105"/>
        <v>0</v>
      </c>
      <c r="AI2235" s="638" t="str">
        <f t="shared" si="106"/>
        <v>en término</v>
      </c>
    </row>
    <row r="2236" spans="2:35" s="649" customFormat="1" ht="54.95" customHeight="1" thickBot="1" x14ac:dyDescent="0.25">
      <c r="B2236" s="900" t="s">
        <v>36</v>
      </c>
      <c r="C2236" s="887" t="s">
        <v>37</v>
      </c>
      <c r="D2236" s="888" t="s">
        <v>6441</v>
      </c>
      <c r="E2236" s="901">
        <v>4600557062</v>
      </c>
      <c r="F2236" s="1061" t="s">
        <v>6491</v>
      </c>
      <c r="G2236" s="889" t="s">
        <v>39</v>
      </c>
      <c r="H2236" s="890">
        <v>59662.62</v>
      </c>
      <c r="I2236" s="902" t="s">
        <v>62</v>
      </c>
      <c r="J2236" s="892">
        <v>43327</v>
      </c>
      <c r="K2236" s="893">
        <f t="shared" si="96"/>
        <v>95</v>
      </c>
      <c r="L2236" s="892">
        <v>43422</v>
      </c>
      <c r="M2236" s="892" t="s">
        <v>41</v>
      </c>
      <c r="N2236" s="889" t="s">
        <v>42</v>
      </c>
      <c r="O2236" s="892">
        <v>43419</v>
      </c>
      <c r="P2236" s="893">
        <f t="shared" si="97"/>
        <v>6</v>
      </c>
      <c r="Q2236" s="901" t="s">
        <v>6547</v>
      </c>
      <c r="R2236" s="903">
        <v>43428</v>
      </c>
      <c r="S2236" s="904">
        <v>43429</v>
      </c>
      <c r="T2236" s="894">
        <v>43448</v>
      </c>
      <c r="U2236" s="893">
        <f t="shared" si="98"/>
        <v>121</v>
      </c>
      <c r="V2236" s="893" t="s">
        <v>2116</v>
      </c>
      <c r="W2236" s="897" t="s">
        <v>2441</v>
      </c>
      <c r="X2236" s="889"/>
      <c r="Y2236" s="888">
        <v>43418</v>
      </c>
      <c r="Z2236" s="895"/>
      <c r="AA2236" s="889"/>
      <c r="AB2236" s="888">
        <v>43519</v>
      </c>
      <c r="AC2236" s="476" t="s">
        <v>6545</v>
      </c>
      <c r="AD2236" s="645" t="str">
        <f t="shared" si="100"/>
        <v>atrasado</v>
      </c>
      <c r="AE2236" s="468" t="s">
        <v>6554</v>
      </c>
      <c r="AF2236" s="468" t="s">
        <v>50</v>
      </c>
      <c r="AG2236" s="1100">
        <f t="shared" si="104"/>
        <v>43519</v>
      </c>
      <c r="AH2236" s="638">
        <f t="shared" si="105"/>
        <v>0</v>
      </c>
      <c r="AI2236" s="638" t="str">
        <f t="shared" si="106"/>
        <v>en término</v>
      </c>
    </row>
    <row r="2237" spans="2:35" s="649" customFormat="1" ht="54.95" customHeight="1" thickBot="1" x14ac:dyDescent="0.25">
      <c r="B2237" s="900" t="s">
        <v>36</v>
      </c>
      <c r="C2237" s="887" t="s">
        <v>37</v>
      </c>
      <c r="D2237" s="888" t="s">
        <v>6456</v>
      </c>
      <c r="E2237" s="901">
        <v>4600557062</v>
      </c>
      <c r="F2237" s="1061" t="s">
        <v>6492</v>
      </c>
      <c r="G2237" s="889" t="s">
        <v>39</v>
      </c>
      <c r="H2237" s="890">
        <v>96821.97</v>
      </c>
      <c r="I2237" s="902" t="s">
        <v>142</v>
      </c>
      <c r="J2237" s="892">
        <v>43327</v>
      </c>
      <c r="K2237" s="893">
        <f t="shared" si="96"/>
        <v>95</v>
      </c>
      <c r="L2237" s="892">
        <v>43422</v>
      </c>
      <c r="M2237" s="892" t="s">
        <v>41</v>
      </c>
      <c r="N2237" s="889" t="s">
        <v>42</v>
      </c>
      <c r="O2237" s="892">
        <v>43419</v>
      </c>
      <c r="P2237" s="893">
        <f t="shared" si="97"/>
        <v>6</v>
      </c>
      <c r="Q2237" s="901" t="s">
        <v>6547</v>
      </c>
      <c r="R2237" s="903">
        <v>43428</v>
      </c>
      <c r="S2237" s="904">
        <v>43429</v>
      </c>
      <c r="T2237" s="894">
        <v>43448</v>
      </c>
      <c r="U2237" s="893">
        <f t="shared" si="98"/>
        <v>121</v>
      </c>
      <c r="V2237" s="893" t="s">
        <v>1330</v>
      </c>
      <c r="W2237" s="897" t="s">
        <v>2441</v>
      </c>
      <c r="X2237" s="889"/>
      <c r="Y2237" s="888">
        <v>43418</v>
      </c>
      <c r="Z2237" s="895"/>
      <c r="AA2237" s="889"/>
      <c r="AB2237" s="888">
        <v>43519</v>
      </c>
      <c r="AC2237" s="476" t="s">
        <v>6545</v>
      </c>
      <c r="AD2237" s="645" t="str">
        <f t="shared" si="100"/>
        <v>atrasado</v>
      </c>
      <c r="AE2237" s="468" t="s">
        <v>6554</v>
      </c>
      <c r="AF2237" s="468" t="s">
        <v>50</v>
      </c>
      <c r="AG2237" s="1100">
        <f t="shared" si="104"/>
        <v>43519</v>
      </c>
      <c r="AH2237" s="638">
        <f t="shared" si="105"/>
        <v>0</v>
      </c>
      <c r="AI2237" s="638" t="str">
        <f t="shared" si="106"/>
        <v>en término</v>
      </c>
    </row>
    <row r="2238" spans="2:35" s="649" customFormat="1" ht="54.95" customHeight="1" thickBot="1" x14ac:dyDescent="0.25">
      <c r="B2238" s="900" t="s">
        <v>36</v>
      </c>
      <c r="C2238" s="887" t="s">
        <v>37</v>
      </c>
      <c r="D2238" s="888" t="s">
        <v>6441</v>
      </c>
      <c r="E2238" s="901">
        <v>4600557062</v>
      </c>
      <c r="F2238" s="1061" t="s">
        <v>6493</v>
      </c>
      <c r="G2238" s="889" t="s">
        <v>39</v>
      </c>
      <c r="H2238" s="890">
        <v>5260.31</v>
      </c>
      <c r="I2238" s="902" t="s">
        <v>40</v>
      </c>
      <c r="J2238" s="892">
        <v>43327</v>
      </c>
      <c r="K2238" s="893">
        <f t="shared" si="96"/>
        <v>92</v>
      </c>
      <c r="L2238" s="892">
        <v>43419</v>
      </c>
      <c r="M2238" s="892" t="s">
        <v>41</v>
      </c>
      <c r="N2238" s="889" t="s">
        <v>42</v>
      </c>
      <c r="O2238" s="892">
        <v>43419</v>
      </c>
      <c r="P2238" s="893">
        <f t="shared" si="97"/>
        <v>9</v>
      </c>
      <c r="Q2238" s="901" t="s">
        <v>6547</v>
      </c>
      <c r="R2238" s="903">
        <v>43428</v>
      </c>
      <c r="S2238" s="904">
        <v>43429</v>
      </c>
      <c r="T2238" s="894">
        <v>43448</v>
      </c>
      <c r="U2238" s="893">
        <f t="shared" si="98"/>
        <v>121</v>
      </c>
      <c r="V2238" s="893" t="s">
        <v>6461</v>
      </c>
      <c r="W2238" s="897" t="s">
        <v>2441</v>
      </c>
      <c r="X2238" s="889"/>
      <c r="Y2238" s="905"/>
      <c r="Z2238" s="895"/>
      <c r="AA2238" s="889"/>
      <c r="AB2238" s="888">
        <v>43519</v>
      </c>
      <c r="AC2238" s="476" t="s">
        <v>6544</v>
      </c>
      <c r="AD2238" s="645" t="str">
        <f t="shared" si="100"/>
        <v>atrasado</v>
      </c>
      <c r="AE2238" s="468" t="s">
        <v>6554</v>
      </c>
      <c r="AF2238" s="468" t="s">
        <v>50</v>
      </c>
      <c r="AG2238" s="1100">
        <f t="shared" si="104"/>
        <v>43519</v>
      </c>
      <c r="AH2238" s="638">
        <f t="shared" si="105"/>
        <v>0</v>
      </c>
      <c r="AI2238" s="638" t="str">
        <f t="shared" si="106"/>
        <v>en término</v>
      </c>
    </row>
    <row r="2239" spans="2:35" s="649" customFormat="1" ht="54.95" customHeight="1" thickBot="1" x14ac:dyDescent="0.25">
      <c r="B2239" s="900" t="s">
        <v>36</v>
      </c>
      <c r="C2239" s="887" t="s">
        <v>37</v>
      </c>
      <c r="D2239" s="888" t="s">
        <v>6441</v>
      </c>
      <c r="E2239" s="901">
        <v>4600557062</v>
      </c>
      <c r="F2239" s="1061" t="s">
        <v>6503</v>
      </c>
      <c r="G2239" s="889" t="s">
        <v>39</v>
      </c>
      <c r="H2239" s="890">
        <v>15199.2</v>
      </c>
      <c r="I2239" s="902" t="s">
        <v>40</v>
      </c>
      <c r="J2239" s="892">
        <v>43327</v>
      </c>
      <c r="K2239" s="893">
        <f t="shared" si="96"/>
        <v>91</v>
      </c>
      <c r="L2239" s="892">
        <v>43418</v>
      </c>
      <c r="M2239" s="892" t="s">
        <v>41</v>
      </c>
      <c r="N2239" s="889" t="s">
        <v>42</v>
      </c>
      <c r="O2239" s="892">
        <v>43447</v>
      </c>
      <c r="P2239" s="893">
        <f t="shared" si="97"/>
        <v>38</v>
      </c>
      <c r="Q2239" s="901" t="s">
        <v>6565</v>
      </c>
      <c r="R2239" s="903">
        <v>43456</v>
      </c>
      <c r="S2239" s="904">
        <v>43458</v>
      </c>
      <c r="T2239" s="894">
        <v>43476</v>
      </c>
      <c r="U2239" s="893">
        <f t="shared" si="98"/>
        <v>149</v>
      </c>
      <c r="V2239" s="893" t="s">
        <v>6571</v>
      </c>
      <c r="W2239" s="897" t="s">
        <v>2251</v>
      </c>
      <c r="X2239" s="889"/>
      <c r="Y2239" s="905"/>
      <c r="Z2239" s="895" t="s">
        <v>6593</v>
      </c>
      <c r="AA2239" s="889"/>
      <c r="AB2239" s="888">
        <v>43550</v>
      </c>
      <c r="AC2239" s="476" t="s">
        <v>6560</v>
      </c>
      <c r="AD2239" s="645" t="str">
        <f t="shared" si="100"/>
        <v>atrasado</v>
      </c>
      <c r="AE2239" s="468" t="s">
        <v>6585</v>
      </c>
      <c r="AF2239" s="468" t="s">
        <v>60</v>
      </c>
      <c r="AG2239" s="1100">
        <f t="shared" si="104"/>
        <v>43548</v>
      </c>
      <c r="AH2239" s="638">
        <f t="shared" si="105"/>
        <v>2</v>
      </c>
      <c r="AI2239" s="638" t="str">
        <f t="shared" si="106"/>
        <v>atrasado</v>
      </c>
    </row>
    <row r="2240" spans="2:35" s="649" customFormat="1" ht="54.95" customHeight="1" thickBot="1" x14ac:dyDescent="0.25">
      <c r="B2240" s="900" t="s">
        <v>36</v>
      </c>
      <c r="C2240" s="887" t="s">
        <v>37</v>
      </c>
      <c r="D2240" s="888" t="s">
        <v>6456</v>
      </c>
      <c r="E2240" s="901">
        <v>4600557062</v>
      </c>
      <c r="F2240" s="1061" t="s">
        <v>6505</v>
      </c>
      <c r="G2240" s="889" t="s">
        <v>39</v>
      </c>
      <c r="H2240" s="890">
        <v>2513.3200000000002</v>
      </c>
      <c r="I2240" s="902" t="s">
        <v>40</v>
      </c>
      <c r="J2240" s="892">
        <v>43356</v>
      </c>
      <c r="K2240" s="893">
        <f t="shared" si="96"/>
        <v>90</v>
      </c>
      <c r="L2240" s="892">
        <v>43446</v>
      </c>
      <c r="M2240" s="892" t="s">
        <v>41</v>
      </c>
      <c r="N2240" s="889" t="s">
        <v>42</v>
      </c>
      <c r="O2240" s="892">
        <v>43447</v>
      </c>
      <c r="P2240" s="893">
        <f t="shared" si="97"/>
        <v>10</v>
      </c>
      <c r="Q2240" s="901" t="s">
        <v>6565</v>
      </c>
      <c r="R2240" s="903">
        <v>43456</v>
      </c>
      <c r="S2240" s="904">
        <v>43458</v>
      </c>
      <c r="T2240" s="894">
        <v>43476</v>
      </c>
      <c r="U2240" s="893">
        <f t="shared" si="98"/>
        <v>120</v>
      </c>
      <c r="V2240" s="893" t="s">
        <v>6572</v>
      </c>
      <c r="W2240" s="897" t="s">
        <v>2251</v>
      </c>
      <c r="X2240" s="889"/>
      <c r="Y2240" s="888" t="s">
        <v>6569</v>
      </c>
      <c r="Z2240" s="895" t="s">
        <v>6593</v>
      </c>
      <c r="AA2240" s="889"/>
      <c r="AB2240" s="888">
        <v>43550</v>
      </c>
      <c r="AC2240" s="476" t="s">
        <v>6561</v>
      </c>
      <c r="AD2240" s="645" t="str">
        <f t="shared" si="100"/>
        <v>atrasado</v>
      </c>
      <c r="AE2240" s="468" t="s">
        <v>6585</v>
      </c>
      <c r="AF2240" s="468" t="s">
        <v>60</v>
      </c>
      <c r="AG2240" s="1100">
        <f t="shared" si="104"/>
        <v>43548</v>
      </c>
      <c r="AH2240" s="638">
        <f t="shared" si="105"/>
        <v>2</v>
      </c>
      <c r="AI2240" s="638" t="str">
        <f t="shared" si="106"/>
        <v>atrasado</v>
      </c>
    </row>
    <row r="2241" spans="1:39" s="649" customFormat="1" ht="54.95" customHeight="1" thickBot="1" x14ac:dyDescent="0.25">
      <c r="B2241" s="900" t="s">
        <v>36</v>
      </c>
      <c r="C2241" s="887" t="s">
        <v>37</v>
      </c>
      <c r="D2241" s="888" t="s">
        <v>6441</v>
      </c>
      <c r="E2241" s="901">
        <v>4600557062</v>
      </c>
      <c r="F2241" s="1061" t="s">
        <v>6506</v>
      </c>
      <c r="G2241" s="889" t="s">
        <v>39</v>
      </c>
      <c r="H2241" s="890">
        <v>15213.6</v>
      </c>
      <c r="I2241" s="902" t="s">
        <v>40</v>
      </c>
      <c r="J2241" s="892">
        <v>43355</v>
      </c>
      <c r="K2241" s="893">
        <f t="shared" si="96"/>
        <v>92</v>
      </c>
      <c r="L2241" s="892">
        <v>43447</v>
      </c>
      <c r="M2241" s="892" t="s">
        <v>41</v>
      </c>
      <c r="N2241" s="889" t="s">
        <v>42</v>
      </c>
      <c r="O2241" s="892">
        <v>43447</v>
      </c>
      <c r="P2241" s="893">
        <f t="shared" si="97"/>
        <v>9</v>
      </c>
      <c r="Q2241" s="901" t="s">
        <v>6565</v>
      </c>
      <c r="R2241" s="903">
        <v>43456</v>
      </c>
      <c r="S2241" s="904">
        <v>43458</v>
      </c>
      <c r="T2241" s="894">
        <v>43476</v>
      </c>
      <c r="U2241" s="893">
        <f t="shared" si="98"/>
        <v>121</v>
      </c>
      <c r="V2241" s="893" t="s">
        <v>6573</v>
      </c>
      <c r="W2241" s="897" t="s">
        <v>2251</v>
      </c>
      <c r="X2241" s="889"/>
      <c r="Y2241" s="905"/>
      <c r="Z2241" s="895" t="s">
        <v>6593</v>
      </c>
      <c r="AA2241" s="889"/>
      <c r="AB2241" s="888">
        <v>43550</v>
      </c>
      <c r="AC2241" s="476" t="s">
        <v>6562</v>
      </c>
      <c r="AD2241" s="645" t="str">
        <f t="shared" si="100"/>
        <v>atrasado</v>
      </c>
      <c r="AE2241" s="468" t="s">
        <v>6585</v>
      </c>
      <c r="AF2241" s="468" t="s">
        <v>60</v>
      </c>
      <c r="AG2241" s="1100">
        <f t="shared" si="104"/>
        <v>43548</v>
      </c>
      <c r="AH2241" s="638">
        <f t="shared" si="105"/>
        <v>2</v>
      </c>
      <c r="AI2241" s="638" t="str">
        <f t="shared" si="106"/>
        <v>atrasado</v>
      </c>
    </row>
    <row r="2242" spans="1:39" s="649" customFormat="1" ht="54.95" customHeight="1" thickBot="1" x14ac:dyDescent="0.25">
      <c r="B2242" s="900" t="s">
        <v>36</v>
      </c>
      <c r="C2242" s="887" t="s">
        <v>37</v>
      </c>
      <c r="D2242" s="888" t="s">
        <v>6429</v>
      </c>
      <c r="E2242" s="901">
        <v>4600558097</v>
      </c>
      <c r="F2242" s="1061" t="s">
        <v>6537</v>
      </c>
      <c r="G2242" s="889" t="s">
        <v>39</v>
      </c>
      <c r="H2242" s="890">
        <v>6367.01</v>
      </c>
      <c r="I2242" s="902" t="s">
        <v>62</v>
      </c>
      <c r="J2242" s="892">
        <v>43339</v>
      </c>
      <c r="K2242" s="893">
        <f t="shared" si="96"/>
        <v>151</v>
      </c>
      <c r="L2242" s="892">
        <v>43490</v>
      </c>
      <c r="M2242" s="892" t="s">
        <v>41</v>
      </c>
      <c r="N2242" s="889" t="s">
        <v>42</v>
      </c>
      <c r="O2242" s="892">
        <v>43447</v>
      </c>
      <c r="P2242" s="893">
        <f t="shared" si="97"/>
        <v>-34</v>
      </c>
      <c r="Q2242" s="901" t="s">
        <v>6565</v>
      </c>
      <c r="R2242" s="903">
        <v>43456</v>
      </c>
      <c r="S2242" s="904">
        <v>43458</v>
      </c>
      <c r="T2242" s="894">
        <v>43476</v>
      </c>
      <c r="U2242" s="893">
        <f t="shared" si="98"/>
        <v>137</v>
      </c>
      <c r="V2242" s="893" t="s">
        <v>6577</v>
      </c>
      <c r="W2242" s="897" t="s">
        <v>2251</v>
      </c>
      <c r="X2242" s="889"/>
      <c r="Y2242" s="905"/>
      <c r="Z2242" s="895" t="s">
        <v>6593</v>
      </c>
      <c r="AA2242" s="889"/>
      <c r="AB2242" s="888">
        <v>43550</v>
      </c>
      <c r="AC2242" s="476" t="s">
        <v>6563</v>
      </c>
      <c r="AD2242" s="645" t="str">
        <f t="shared" si="100"/>
        <v>en término</v>
      </c>
      <c r="AE2242" s="468" t="s">
        <v>6585</v>
      </c>
      <c r="AF2242" s="468" t="s">
        <v>60</v>
      </c>
      <c r="AG2242" s="1100">
        <f t="shared" si="104"/>
        <v>43548</v>
      </c>
      <c r="AH2242" s="638">
        <f t="shared" si="105"/>
        <v>2</v>
      </c>
      <c r="AI2242" s="638" t="str">
        <f t="shared" si="106"/>
        <v>atrasado</v>
      </c>
    </row>
    <row r="2243" spans="1:39" s="649" customFormat="1" ht="54.95" customHeight="1" thickBot="1" x14ac:dyDescent="0.25">
      <c r="B2243" s="900" t="s">
        <v>36</v>
      </c>
      <c r="C2243" s="887" t="s">
        <v>37</v>
      </c>
      <c r="D2243" s="888" t="s">
        <v>6441</v>
      </c>
      <c r="E2243" s="901">
        <v>4600557062</v>
      </c>
      <c r="F2243" s="1061" t="s">
        <v>6532</v>
      </c>
      <c r="G2243" s="889" t="s">
        <v>39</v>
      </c>
      <c r="H2243" s="890">
        <v>105579.27</v>
      </c>
      <c r="I2243" s="902" t="s">
        <v>52</v>
      </c>
      <c r="J2243" s="892">
        <v>43368</v>
      </c>
      <c r="K2243" s="893">
        <f t="shared" si="96"/>
        <v>94</v>
      </c>
      <c r="L2243" s="892">
        <v>43462</v>
      </c>
      <c r="M2243" s="892" t="s">
        <v>41</v>
      </c>
      <c r="N2243" s="889" t="s">
        <v>42</v>
      </c>
      <c r="O2243" s="892">
        <v>43447</v>
      </c>
      <c r="P2243" s="893">
        <f t="shared" si="97"/>
        <v>-6</v>
      </c>
      <c r="Q2243" s="901" t="s">
        <v>6565</v>
      </c>
      <c r="R2243" s="903">
        <v>43456</v>
      </c>
      <c r="S2243" s="904">
        <v>43458</v>
      </c>
      <c r="T2243" s="894">
        <v>43476</v>
      </c>
      <c r="U2243" s="893">
        <f t="shared" si="98"/>
        <v>108</v>
      </c>
      <c r="V2243" s="893" t="s">
        <v>6574</v>
      </c>
      <c r="W2243" s="897" t="s">
        <v>2251</v>
      </c>
      <c r="X2243" s="889"/>
      <c r="Y2243" s="888" t="s">
        <v>6569</v>
      </c>
      <c r="Z2243" s="895" t="s">
        <v>6593</v>
      </c>
      <c r="AA2243" s="889"/>
      <c r="AB2243" s="888">
        <v>43550</v>
      </c>
      <c r="AC2243" s="476" t="s">
        <v>6563</v>
      </c>
      <c r="AD2243" s="645" t="str">
        <f t="shared" si="100"/>
        <v>en término</v>
      </c>
      <c r="AE2243" s="468" t="s">
        <v>6585</v>
      </c>
      <c r="AF2243" s="468" t="s">
        <v>60</v>
      </c>
      <c r="AG2243" s="1100">
        <f t="shared" si="104"/>
        <v>43548</v>
      </c>
      <c r="AH2243" s="638">
        <f t="shared" si="105"/>
        <v>2</v>
      </c>
      <c r="AI2243" s="638" t="str">
        <f t="shared" si="106"/>
        <v>atrasado</v>
      </c>
    </row>
    <row r="2244" spans="1:39" s="649" customFormat="1" ht="54.95" customHeight="1" thickBot="1" x14ac:dyDescent="0.25">
      <c r="B2244" s="900" t="s">
        <v>36</v>
      </c>
      <c r="C2244" s="887" t="s">
        <v>37</v>
      </c>
      <c r="D2244" s="888" t="s">
        <v>6441</v>
      </c>
      <c r="E2244" s="901">
        <v>4600557062</v>
      </c>
      <c r="F2244" s="1061" t="s">
        <v>6541</v>
      </c>
      <c r="G2244" s="889" t="s">
        <v>39</v>
      </c>
      <c r="H2244" s="890">
        <v>89.21</v>
      </c>
      <c r="I2244" s="902" t="s">
        <v>62</v>
      </c>
      <c r="J2244" s="892">
        <v>43395</v>
      </c>
      <c r="K2244" s="893">
        <f t="shared" si="96"/>
        <v>97</v>
      </c>
      <c r="L2244" s="892">
        <v>43492</v>
      </c>
      <c r="M2244" s="892" t="s">
        <v>41</v>
      </c>
      <c r="N2244" s="889" t="s">
        <v>42</v>
      </c>
      <c r="O2244" s="892">
        <v>43447</v>
      </c>
      <c r="P2244" s="893">
        <f t="shared" si="97"/>
        <v>-36</v>
      </c>
      <c r="Q2244" s="901" t="s">
        <v>6565</v>
      </c>
      <c r="R2244" s="903">
        <v>43456</v>
      </c>
      <c r="S2244" s="904">
        <v>43458</v>
      </c>
      <c r="T2244" s="894">
        <v>43476</v>
      </c>
      <c r="U2244" s="893">
        <f t="shared" si="98"/>
        <v>81</v>
      </c>
      <c r="V2244" s="893" t="s">
        <v>6567</v>
      </c>
      <c r="W2244" s="897" t="s">
        <v>2251</v>
      </c>
      <c r="X2244" s="889"/>
      <c r="Y2244" s="905"/>
      <c r="Z2244" s="895" t="s">
        <v>6593</v>
      </c>
      <c r="AA2244" s="889"/>
      <c r="AB2244" s="888">
        <v>43550</v>
      </c>
      <c r="AC2244" s="476" t="s">
        <v>48</v>
      </c>
      <c r="AD2244" s="645" t="str">
        <f t="shared" si="100"/>
        <v>en término</v>
      </c>
      <c r="AE2244" s="468" t="s">
        <v>6585</v>
      </c>
      <c r="AF2244" s="468" t="s">
        <v>60</v>
      </c>
      <c r="AG2244" s="1100">
        <f t="shared" si="104"/>
        <v>43548</v>
      </c>
      <c r="AH2244" s="638">
        <f t="shared" si="105"/>
        <v>2</v>
      </c>
      <c r="AI2244" s="638" t="str">
        <f t="shared" si="106"/>
        <v>atrasado</v>
      </c>
    </row>
    <row r="2245" spans="1:39" s="649" customFormat="1" ht="54.95" customHeight="1" thickBot="1" x14ac:dyDescent="0.25">
      <c r="B2245" s="900" t="s">
        <v>36</v>
      </c>
      <c r="C2245" s="887" t="s">
        <v>37</v>
      </c>
      <c r="D2245" s="888" t="s">
        <v>6441</v>
      </c>
      <c r="E2245" s="901">
        <v>4600557062</v>
      </c>
      <c r="F2245" s="1061" t="s">
        <v>6548</v>
      </c>
      <c r="G2245" s="889" t="s">
        <v>39</v>
      </c>
      <c r="H2245" s="890">
        <v>51560.76</v>
      </c>
      <c r="I2245" s="902" t="s">
        <v>52</v>
      </c>
      <c r="J2245" s="892">
        <v>43404</v>
      </c>
      <c r="K2245" s="893">
        <f t="shared" si="96"/>
        <v>96</v>
      </c>
      <c r="L2245" s="892">
        <v>43500</v>
      </c>
      <c r="M2245" s="892" t="s">
        <v>41</v>
      </c>
      <c r="N2245" s="889" t="s">
        <v>42</v>
      </c>
      <c r="O2245" s="892">
        <v>43447</v>
      </c>
      <c r="P2245" s="893">
        <f t="shared" si="97"/>
        <v>-44</v>
      </c>
      <c r="Q2245" s="901" t="s">
        <v>6565</v>
      </c>
      <c r="R2245" s="903">
        <v>43456</v>
      </c>
      <c r="S2245" s="904">
        <v>43458</v>
      </c>
      <c r="T2245" s="894">
        <v>43476</v>
      </c>
      <c r="U2245" s="893">
        <f t="shared" si="98"/>
        <v>72</v>
      </c>
      <c r="V2245" s="893" t="s">
        <v>6576</v>
      </c>
      <c r="W2245" s="897" t="s">
        <v>2251</v>
      </c>
      <c r="X2245" s="889"/>
      <c r="Y2245" s="888" t="s">
        <v>6569</v>
      </c>
      <c r="Z2245" s="895" t="s">
        <v>6593</v>
      </c>
      <c r="AA2245" s="889"/>
      <c r="AB2245" s="888">
        <v>43550</v>
      </c>
      <c r="AC2245" s="476" t="s">
        <v>6563</v>
      </c>
      <c r="AD2245" s="645" t="str">
        <f t="shared" si="100"/>
        <v>en término</v>
      </c>
      <c r="AE2245" s="468" t="s">
        <v>6585</v>
      </c>
      <c r="AF2245" s="468" t="s">
        <v>60</v>
      </c>
      <c r="AG2245" s="1100">
        <f t="shared" si="104"/>
        <v>43548</v>
      </c>
      <c r="AH2245" s="638">
        <f t="shared" si="105"/>
        <v>2</v>
      </c>
      <c r="AI2245" s="638" t="str">
        <f t="shared" si="106"/>
        <v>atrasado</v>
      </c>
    </row>
    <row r="2251" spans="1:39" ht="12" thickBot="1" x14ac:dyDescent="0.25"/>
    <row r="2252" spans="1:39" s="556" customFormat="1" ht="39.950000000000003" customHeight="1" thickBot="1" x14ac:dyDescent="0.4">
      <c r="A2252" s="554"/>
      <c r="B2252" s="1611">
        <v>2019</v>
      </c>
      <c r="C2252" s="1612"/>
      <c r="D2252" s="1612"/>
      <c r="E2252" s="1612"/>
      <c r="F2252" s="1612"/>
      <c r="G2252" s="1612"/>
      <c r="H2252" s="1612"/>
      <c r="I2252" s="1612"/>
      <c r="J2252" s="1612"/>
      <c r="K2252" s="1612"/>
      <c r="L2252" s="1612"/>
      <c r="M2252" s="1612"/>
      <c r="N2252" s="1612"/>
      <c r="O2252" s="1612"/>
      <c r="P2252" s="1612"/>
      <c r="Q2252" s="1612"/>
      <c r="R2252" s="1612"/>
      <c r="S2252" s="1612"/>
      <c r="T2252" s="1612"/>
      <c r="U2252" s="1612"/>
      <c r="V2252" s="1612"/>
      <c r="W2252" s="1612"/>
      <c r="X2252" s="1612"/>
      <c r="Y2252" s="1612"/>
      <c r="Z2252" s="1612"/>
      <c r="AA2252" s="1612"/>
      <c r="AB2252" s="1612"/>
      <c r="AC2252" s="1613"/>
      <c r="AD2252" s="555"/>
    </row>
    <row r="2253" spans="1:39" s="441" customFormat="1" ht="60" customHeight="1" thickBot="1" x14ac:dyDescent="0.25">
      <c r="A2253" s="438"/>
      <c r="B2253" s="451" t="s">
        <v>130</v>
      </c>
      <c r="C2253" s="451" t="s">
        <v>4</v>
      </c>
      <c r="D2253" s="451" t="s">
        <v>5</v>
      </c>
      <c r="E2253" s="451" t="s">
        <v>6</v>
      </c>
      <c r="F2253" s="451" t="s">
        <v>7</v>
      </c>
      <c r="G2253" s="451" t="s">
        <v>8</v>
      </c>
      <c r="H2253" s="453" t="s">
        <v>9</v>
      </c>
      <c r="I2253" s="453" t="s">
        <v>10</v>
      </c>
      <c r="J2253" s="451" t="s">
        <v>11</v>
      </c>
      <c r="K2253" s="451" t="s">
        <v>12</v>
      </c>
      <c r="L2253" s="451" t="s">
        <v>13</v>
      </c>
      <c r="M2253" s="451" t="s">
        <v>14</v>
      </c>
      <c r="N2253" s="451" t="s">
        <v>15</v>
      </c>
      <c r="O2253" s="452" t="s">
        <v>16</v>
      </c>
      <c r="P2253" s="454" t="s">
        <v>17</v>
      </c>
      <c r="Q2253" s="451" t="s">
        <v>18</v>
      </c>
      <c r="R2253" s="452" t="s">
        <v>19</v>
      </c>
      <c r="S2253" s="451" t="s">
        <v>20</v>
      </c>
      <c r="T2253" s="451" t="s">
        <v>21</v>
      </c>
      <c r="U2253" s="452" t="s">
        <v>22</v>
      </c>
      <c r="V2253" s="451" t="s">
        <v>131</v>
      </c>
      <c r="W2253" s="451" t="s">
        <v>24</v>
      </c>
      <c r="X2253" s="451" t="s">
        <v>132</v>
      </c>
      <c r="Y2253" s="451" t="s">
        <v>26</v>
      </c>
      <c r="Z2253" s="451" t="s">
        <v>27</v>
      </c>
      <c r="AA2253" s="451" t="s">
        <v>28</v>
      </c>
      <c r="AB2253" s="451" t="s">
        <v>29</v>
      </c>
      <c r="AC2253" s="451" t="s">
        <v>30</v>
      </c>
      <c r="AD2253" s="439"/>
      <c r="AE2253" s="440"/>
      <c r="AF2253" s="440"/>
      <c r="AG2253" s="440"/>
      <c r="AH2253" s="440"/>
      <c r="AI2253" s="440"/>
      <c r="AJ2253" s="440"/>
      <c r="AK2253" s="440"/>
      <c r="AL2253" s="440"/>
      <c r="AM2253" s="440"/>
    </row>
    <row r="2254" spans="1:39" s="649" customFormat="1" ht="54.95" customHeight="1" thickBot="1" x14ac:dyDescent="0.25">
      <c r="B2254" s="900" t="s">
        <v>36</v>
      </c>
      <c r="C2254" s="887" t="s">
        <v>37</v>
      </c>
      <c r="D2254" s="888" t="s">
        <v>6441</v>
      </c>
      <c r="E2254" s="901">
        <v>4600557062</v>
      </c>
      <c r="F2254" s="1061" t="s">
        <v>6541</v>
      </c>
      <c r="G2254" s="889" t="s">
        <v>39</v>
      </c>
      <c r="H2254" s="890">
        <v>253483.4</v>
      </c>
      <c r="I2254" s="902" t="s">
        <v>62</v>
      </c>
      <c r="J2254" s="892">
        <v>43395</v>
      </c>
      <c r="K2254" s="893">
        <f t="shared" ref="K2254:K2268" si="107">+L2254-J2254</f>
        <v>97</v>
      </c>
      <c r="L2254" s="892">
        <v>43492</v>
      </c>
      <c r="M2254" s="892" t="s">
        <v>41</v>
      </c>
      <c r="N2254" s="889" t="s">
        <v>42</v>
      </c>
      <c r="O2254" s="892">
        <v>43482</v>
      </c>
      <c r="P2254" s="893">
        <f t="shared" ref="P2254:P2285" si="108">IF(R2254="","",+R2254-L2254)</f>
        <v>-1</v>
      </c>
      <c r="Q2254" s="901" t="s">
        <v>6584</v>
      </c>
      <c r="R2254" s="903">
        <v>43491</v>
      </c>
      <c r="S2254" s="904">
        <v>43493</v>
      </c>
      <c r="T2254" s="894">
        <v>43511</v>
      </c>
      <c r="U2254" s="893">
        <f t="shared" ref="U2254:U2285" si="109">IF(T2254="","",+T2254-J2254)</f>
        <v>116</v>
      </c>
      <c r="V2254" s="893" t="s">
        <v>6568</v>
      </c>
      <c r="W2254" s="897" t="s">
        <v>84</v>
      </c>
      <c r="X2254" s="889"/>
      <c r="Y2254" s="889" t="s">
        <v>6609</v>
      </c>
      <c r="Z2254" s="889" t="s">
        <v>6607</v>
      </c>
      <c r="AA2254" s="889"/>
      <c r="AB2254" s="888">
        <v>43613</v>
      </c>
      <c r="AC2254" s="476" t="s">
        <v>6612</v>
      </c>
      <c r="AD2254" s="645" t="str">
        <f t="shared" ref="AD2254:AD2285" si="110">IF(P2254="","",IF(P2254&lt;=0,"en término","atrasado"))</f>
        <v>en término</v>
      </c>
      <c r="AE2254" s="468" t="s">
        <v>6606</v>
      </c>
      <c r="AF2254" s="468" t="s">
        <v>2968</v>
      </c>
      <c r="AG2254" s="1100">
        <f>+S2254+120</f>
        <v>43613</v>
      </c>
      <c r="AH2254" s="638">
        <f t="shared" ref="AH2254:AH2285" si="111">IF(AB2254="","",+AB2254-AG2254)</f>
        <v>0</v>
      </c>
      <c r="AI2254" s="638" t="str">
        <f t="shared" ref="AI2254:AI2285" si="112">IF(AH2254="","",IF(AH2254&lt;=0,"en término","atrasado"))</f>
        <v>en término</v>
      </c>
    </row>
    <row r="2255" spans="1:39" s="649" customFormat="1" ht="54.95" customHeight="1" thickBot="1" x14ac:dyDescent="0.25">
      <c r="B2255" s="900" t="s">
        <v>36</v>
      </c>
      <c r="C2255" s="887" t="s">
        <v>37</v>
      </c>
      <c r="D2255" s="888" t="s">
        <v>6441</v>
      </c>
      <c r="E2255" s="901">
        <v>4600557062</v>
      </c>
      <c r="F2255" s="1061" t="s">
        <v>6553</v>
      </c>
      <c r="G2255" s="889" t="s">
        <v>39</v>
      </c>
      <c r="H2255" s="890">
        <v>1702.6</v>
      </c>
      <c r="I2255" s="902" t="s">
        <v>142</v>
      </c>
      <c r="J2255" s="892">
        <v>43410</v>
      </c>
      <c r="K2255" s="893">
        <f t="shared" si="107"/>
        <v>93</v>
      </c>
      <c r="L2255" s="892">
        <v>43503</v>
      </c>
      <c r="M2255" s="892" t="s">
        <v>41</v>
      </c>
      <c r="N2255" s="889" t="s">
        <v>42</v>
      </c>
      <c r="O2255" s="892">
        <v>43482</v>
      </c>
      <c r="P2255" s="893">
        <f t="shared" si="108"/>
        <v>-12</v>
      </c>
      <c r="Q2255" s="901" t="s">
        <v>6584</v>
      </c>
      <c r="R2255" s="903">
        <v>43491</v>
      </c>
      <c r="S2255" s="904">
        <v>43493</v>
      </c>
      <c r="T2255" s="894">
        <v>43511</v>
      </c>
      <c r="U2255" s="893">
        <f t="shared" si="109"/>
        <v>101</v>
      </c>
      <c r="V2255" s="893" t="s">
        <v>597</v>
      </c>
      <c r="W2255" s="897" t="s">
        <v>84</v>
      </c>
      <c r="X2255" s="889"/>
      <c r="Y2255" s="905"/>
      <c r="Z2255" s="889" t="s">
        <v>6607</v>
      </c>
      <c r="AA2255" s="889"/>
      <c r="AB2255" s="888">
        <v>43613</v>
      </c>
      <c r="AC2255" s="476" t="s">
        <v>6612</v>
      </c>
      <c r="AD2255" s="645" t="str">
        <f t="shared" si="110"/>
        <v>en término</v>
      </c>
      <c r="AE2255" s="468" t="s">
        <v>6606</v>
      </c>
      <c r="AF2255" s="468" t="s">
        <v>2968</v>
      </c>
      <c r="AG2255" s="1100">
        <f>+S2255+120</f>
        <v>43613</v>
      </c>
      <c r="AH2255" s="638">
        <f t="shared" si="111"/>
        <v>0</v>
      </c>
      <c r="AI2255" s="638" t="str">
        <f t="shared" si="112"/>
        <v>en término</v>
      </c>
    </row>
    <row r="2256" spans="1:39" s="649" customFormat="1" ht="54.95" customHeight="1" thickBot="1" x14ac:dyDescent="0.25">
      <c r="B2256" s="900" t="s">
        <v>36</v>
      </c>
      <c r="C2256" s="887" t="s">
        <v>37</v>
      </c>
      <c r="D2256" s="888" t="s">
        <v>6429</v>
      </c>
      <c r="E2256" s="901">
        <v>4600558097</v>
      </c>
      <c r="F2256" s="1061" t="s">
        <v>6540</v>
      </c>
      <c r="G2256" s="889" t="s">
        <v>39</v>
      </c>
      <c r="H2256" s="890">
        <v>3529.84</v>
      </c>
      <c r="I2256" s="902" t="s">
        <v>62</v>
      </c>
      <c r="J2256" s="892">
        <v>43398</v>
      </c>
      <c r="K2256" s="893">
        <f t="shared" si="107"/>
        <v>123</v>
      </c>
      <c r="L2256" s="892">
        <v>43521</v>
      </c>
      <c r="M2256" s="892" t="s">
        <v>41</v>
      </c>
      <c r="N2256" s="889" t="s">
        <v>42</v>
      </c>
      <c r="O2256" s="892">
        <v>43524</v>
      </c>
      <c r="P2256" s="893">
        <f t="shared" si="108"/>
        <v>12</v>
      </c>
      <c r="Q2256" s="901" t="s">
        <v>6592</v>
      </c>
      <c r="R2256" s="903">
        <v>43533</v>
      </c>
      <c r="S2256" s="904">
        <v>43537</v>
      </c>
      <c r="T2256" s="894">
        <v>43553</v>
      </c>
      <c r="U2256" s="893">
        <f t="shared" si="109"/>
        <v>155</v>
      </c>
      <c r="V2256" s="893" t="s">
        <v>1020</v>
      </c>
      <c r="W2256" s="897" t="s">
        <v>94</v>
      </c>
      <c r="X2256" s="889"/>
      <c r="Y2256" s="888" t="s">
        <v>6608</v>
      </c>
      <c r="Z2256" s="895"/>
      <c r="AA2256" s="889"/>
      <c r="AB2256" s="888">
        <v>43646</v>
      </c>
      <c r="AC2256" s="476" t="s">
        <v>48</v>
      </c>
      <c r="AD2256" s="645" t="str">
        <f t="shared" si="110"/>
        <v>atrasado</v>
      </c>
      <c r="AE2256" s="468" t="s">
        <v>6628</v>
      </c>
      <c r="AF2256" s="468" t="s">
        <v>3846</v>
      </c>
      <c r="AG2256" s="1100">
        <f t="shared" ref="AG2256:AG2279" si="113">+S2256+90</f>
        <v>43627</v>
      </c>
      <c r="AH2256" s="638">
        <f t="shared" si="111"/>
        <v>19</v>
      </c>
      <c r="AI2256" s="638" t="str">
        <f t="shared" si="112"/>
        <v>atrasado</v>
      </c>
    </row>
    <row r="2257" spans="2:38" s="649" customFormat="1" ht="54.95" customHeight="1" thickBot="1" x14ac:dyDescent="0.25">
      <c r="B2257" s="900" t="s">
        <v>36</v>
      </c>
      <c r="C2257" s="887" t="s">
        <v>37</v>
      </c>
      <c r="D2257" s="888" t="s">
        <v>6441</v>
      </c>
      <c r="E2257" s="901">
        <v>4600557062</v>
      </c>
      <c r="F2257" s="1061" t="s">
        <v>6541</v>
      </c>
      <c r="G2257" s="889" t="s">
        <v>39</v>
      </c>
      <c r="H2257" s="890">
        <v>152376.21</v>
      </c>
      <c r="I2257" s="902" t="s">
        <v>62</v>
      </c>
      <c r="J2257" s="892">
        <v>43395</v>
      </c>
      <c r="K2257" s="893">
        <f t="shared" si="107"/>
        <v>128</v>
      </c>
      <c r="L2257" s="892">
        <v>43523</v>
      </c>
      <c r="M2257" s="892" t="s">
        <v>41</v>
      </c>
      <c r="N2257" s="889" t="s">
        <v>42</v>
      </c>
      <c r="O2257" s="892">
        <v>43524</v>
      </c>
      <c r="P2257" s="893">
        <f t="shared" si="108"/>
        <v>10</v>
      </c>
      <c r="Q2257" s="901" t="s">
        <v>6592</v>
      </c>
      <c r="R2257" s="903">
        <v>43533</v>
      </c>
      <c r="S2257" s="904">
        <v>43537</v>
      </c>
      <c r="T2257" s="894">
        <v>43553</v>
      </c>
      <c r="U2257" s="893">
        <f t="shared" si="109"/>
        <v>158</v>
      </c>
      <c r="V2257" s="893" t="s">
        <v>6600</v>
      </c>
      <c r="W2257" s="897" t="s">
        <v>94</v>
      </c>
      <c r="X2257" s="889"/>
      <c r="Y2257" s="888" t="s">
        <v>6608</v>
      </c>
      <c r="Z2257" s="895"/>
      <c r="AA2257" s="889"/>
      <c r="AB2257" s="888">
        <v>43646</v>
      </c>
      <c r="AC2257" s="476" t="s">
        <v>48</v>
      </c>
      <c r="AD2257" s="645" t="str">
        <f t="shared" si="110"/>
        <v>atrasado</v>
      </c>
      <c r="AE2257" s="468" t="s">
        <v>6628</v>
      </c>
      <c r="AF2257" s="468" t="s">
        <v>3846</v>
      </c>
      <c r="AG2257" s="1100">
        <f t="shared" si="113"/>
        <v>43627</v>
      </c>
      <c r="AH2257" s="638">
        <f t="shared" si="111"/>
        <v>19</v>
      </c>
      <c r="AI2257" s="638" t="str">
        <f t="shared" si="112"/>
        <v>atrasado</v>
      </c>
    </row>
    <row r="2258" spans="2:38" s="649" customFormat="1" ht="54.95" customHeight="1" thickBot="1" x14ac:dyDescent="0.25">
      <c r="B2258" s="900" t="s">
        <v>36</v>
      </c>
      <c r="C2258" s="887" t="s">
        <v>37</v>
      </c>
      <c r="D2258" s="888" t="s">
        <v>6441</v>
      </c>
      <c r="E2258" s="901">
        <v>4600557062</v>
      </c>
      <c r="F2258" s="1061" t="s">
        <v>6541</v>
      </c>
      <c r="G2258" s="889" t="s">
        <v>39</v>
      </c>
      <c r="H2258" s="890">
        <v>26916.36</v>
      </c>
      <c r="I2258" s="902" t="s">
        <v>62</v>
      </c>
      <c r="J2258" s="892">
        <v>43395</v>
      </c>
      <c r="K2258" s="893">
        <f t="shared" si="107"/>
        <v>128</v>
      </c>
      <c r="L2258" s="892">
        <v>43523</v>
      </c>
      <c r="M2258" s="892" t="s">
        <v>41</v>
      </c>
      <c r="N2258" s="889" t="s">
        <v>42</v>
      </c>
      <c r="O2258" s="892">
        <v>43545</v>
      </c>
      <c r="P2258" s="893">
        <f t="shared" si="108"/>
        <v>31</v>
      </c>
      <c r="Q2258" s="901" t="s">
        <v>6624</v>
      </c>
      <c r="R2258" s="903">
        <v>43554</v>
      </c>
      <c r="S2258" s="904">
        <v>43556</v>
      </c>
      <c r="T2258" s="894">
        <v>43574</v>
      </c>
      <c r="U2258" s="893">
        <f t="shared" si="109"/>
        <v>179</v>
      </c>
      <c r="V2258" s="893" t="s">
        <v>6601</v>
      </c>
      <c r="W2258" s="897" t="s">
        <v>2415</v>
      </c>
      <c r="X2258" s="889"/>
      <c r="Y2258" s="888" t="s">
        <v>6596</v>
      </c>
      <c r="Z2258" s="889" t="s">
        <v>6644</v>
      </c>
      <c r="AA2258" s="889"/>
      <c r="AB2258" s="888">
        <v>43646</v>
      </c>
      <c r="AC2258" s="476" t="s">
        <v>48</v>
      </c>
      <c r="AD2258" s="645" t="str">
        <f t="shared" si="110"/>
        <v>atrasado</v>
      </c>
      <c r="AE2258" s="468" t="s">
        <v>6636</v>
      </c>
      <c r="AF2258" s="468" t="s">
        <v>3846</v>
      </c>
      <c r="AG2258" s="1100">
        <f t="shared" si="113"/>
        <v>43646</v>
      </c>
      <c r="AH2258" s="638">
        <f t="shared" si="111"/>
        <v>0</v>
      </c>
      <c r="AI2258" s="638" t="str">
        <f t="shared" si="112"/>
        <v>en término</v>
      </c>
      <c r="AK2258" s="1099"/>
      <c r="AL2258" s="1099"/>
    </row>
    <row r="2259" spans="2:38" s="649" customFormat="1" ht="54.95" customHeight="1" thickBot="1" x14ac:dyDescent="0.25">
      <c r="B2259" s="900" t="s">
        <v>36</v>
      </c>
      <c r="C2259" s="887" t="s">
        <v>37</v>
      </c>
      <c r="D2259" s="888" t="s">
        <v>6441</v>
      </c>
      <c r="E2259" s="901">
        <v>4600557062</v>
      </c>
      <c r="F2259" s="1061" t="s">
        <v>6566</v>
      </c>
      <c r="G2259" s="889" t="s">
        <v>39</v>
      </c>
      <c r="H2259" s="890">
        <v>687.12</v>
      </c>
      <c r="I2259" s="902" t="s">
        <v>40</v>
      </c>
      <c r="J2259" s="892">
        <v>43437</v>
      </c>
      <c r="K2259" s="893">
        <f t="shared" si="107"/>
        <v>88</v>
      </c>
      <c r="L2259" s="892">
        <v>43525</v>
      </c>
      <c r="M2259" s="892" t="s">
        <v>41</v>
      </c>
      <c r="N2259" s="889" t="s">
        <v>42</v>
      </c>
      <c r="O2259" s="892">
        <v>43524</v>
      </c>
      <c r="P2259" s="893">
        <f t="shared" si="108"/>
        <v>8</v>
      </c>
      <c r="Q2259" s="901" t="s">
        <v>6592</v>
      </c>
      <c r="R2259" s="903">
        <v>43533</v>
      </c>
      <c r="S2259" s="904">
        <v>43537</v>
      </c>
      <c r="T2259" s="894">
        <v>43553</v>
      </c>
      <c r="U2259" s="893">
        <f t="shared" si="109"/>
        <v>116</v>
      </c>
      <c r="V2259" s="893" t="s">
        <v>597</v>
      </c>
      <c r="W2259" s="897" t="s">
        <v>94</v>
      </c>
      <c r="X2259" s="889"/>
      <c r="Y2259" s="905"/>
      <c r="Z2259" s="895"/>
      <c r="AA2259" s="889"/>
      <c r="AB2259" s="888">
        <v>43646</v>
      </c>
      <c r="AC2259" s="476" t="s">
        <v>48</v>
      </c>
      <c r="AD2259" s="645" t="str">
        <f t="shared" si="110"/>
        <v>atrasado</v>
      </c>
      <c r="AE2259" s="468" t="s">
        <v>6628</v>
      </c>
      <c r="AF2259" s="468" t="s">
        <v>3846</v>
      </c>
      <c r="AG2259" s="1100">
        <f t="shared" si="113"/>
        <v>43627</v>
      </c>
      <c r="AH2259" s="638">
        <f t="shared" si="111"/>
        <v>19</v>
      </c>
      <c r="AI2259" s="638" t="str">
        <f t="shared" si="112"/>
        <v>atrasado</v>
      </c>
    </row>
    <row r="2260" spans="2:38" s="649" customFormat="1" ht="54.95" customHeight="1" thickBot="1" x14ac:dyDescent="0.25">
      <c r="B2260" s="900" t="s">
        <v>36</v>
      </c>
      <c r="C2260" s="887" t="s">
        <v>37</v>
      </c>
      <c r="D2260" s="888" t="s">
        <v>6564</v>
      </c>
      <c r="E2260" s="901" t="s">
        <v>6580</v>
      </c>
      <c r="F2260" s="1061">
        <v>18120004</v>
      </c>
      <c r="G2260" s="889" t="s">
        <v>39</v>
      </c>
      <c r="H2260" s="890">
        <v>9726</v>
      </c>
      <c r="I2260" s="902"/>
      <c r="J2260" s="892">
        <v>43427</v>
      </c>
      <c r="K2260" s="893">
        <f t="shared" si="107"/>
        <v>110</v>
      </c>
      <c r="L2260" s="892">
        <v>43537</v>
      </c>
      <c r="M2260" s="892" t="s">
        <v>41</v>
      </c>
      <c r="N2260" s="889" t="s">
        <v>42</v>
      </c>
      <c r="O2260" s="892">
        <v>43524</v>
      </c>
      <c r="P2260" s="893">
        <f t="shared" si="108"/>
        <v>-4</v>
      </c>
      <c r="Q2260" s="901" t="s">
        <v>6592</v>
      </c>
      <c r="R2260" s="903">
        <v>43533</v>
      </c>
      <c r="S2260" s="904">
        <v>43537</v>
      </c>
      <c r="T2260" s="894">
        <v>43553</v>
      </c>
      <c r="U2260" s="893">
        <f t="shared" si="109"/>
        <v>126</v>
      </c>
      <c r="V2260" s="893" t="s">
        <v>6575</v>
      </c>
      <c r="W2260" s="897" t="s">
        <v>94</v>
      </c>
      <c r="X2260" s="889"/>
      <c r="Y2260" s="905"/>
      <c r="Z2260" s="895"/>
      <c r="AA2260" s="889"/>
      <c r="AB2260" s="888">
        <v>43646</v>
      </c>
      <c r="AC2260" s="476" t="s">
        <v>48</v>
      </c>
      <c r="AD2260" s="645" t="str">
        <f t="shared" si="110"/>
        <v>en término</v>
      </c>
      <c r="AE2260" s="468" t="s">
        <v>6628</v>
      </c>
      <c r="AF2260" s="468" t="s">
        <v>3846</v>
      </c>
      <c r="AG2260" s="1100">
        <f t="shared" si="113"/>
        <v>43627</v>
      </c>
      <c r="AH2260" s="638">
        <f t="shared" si="111"/>
        <v>19</v>
      </c>
      <c r="AI2260" s="638" t="str">
        <f t="shared" si="112"/>
        <v>atrasado</v>
      </c>
    </row>
    <row r="2261" spans="2:38" s="649" customFormat="1" ht="54.95" customHeight="1" thickBot="1" x14ac:dyDescent="0.25">
      <c r="B2261" s="900" t="s">
        <v>36</v>
      </c>
      <c r="C2261" s="887" t="s">
        <v>37</v>
      </c>
      <c r="D2261" s="888" t="s">
        <v>6441</v>
      </c>
      <c r="E2261" s="901">
        <v>4600557062</v>
      </c>
      <c r="F2261" s="1061" t="s">
        <v>6586</v>
      </c>
      <c r="G2261" s="889" t="s">
        <v>39</v>
      </c>
      <c r="H2261" s="890">
        <v>126925.1</v>
      </c>
      <c r="I2261" s="902" t="s">
        <v>52</v>
      </c>
      <c r="J2261" s="892">
        <v>43440</v>
      </c>
      <c r="K2261" s="893">
        <f t="shared" si="107"/>
        <v>88</v>
      </c>
      <c r="L2261" s="892">
        <v>43528</v>
      </c>
      <c r="M2261" s="892" t="s">
        <v>41</v>
      </c>
      <c r="N2261" s="889" t="s">
        <v>42</v>
      </c>
      <c r="O2261" s="892">
        <v>43524</v>
      </c>
      <c r="P2261" s="893">
        <f t="shared" si="108"/>
        <v>5</v>
      </c>
      <c r="Q2261" s="901" t="s">
        <v>6592</v>
      </c>
      <c r="R2261" s="903">
        <v>43533</v>
      </c>
      <c r="S2261" s="904">
        <v>43537</v>
      </c>
      <c r="T2261" s="894">
        <v>43553</v>
      </c>
      <c r="U2261" s="893">
        <f t="shared" si="109"/>
        <v>113</v>
      </c>
      <c r="V2261" s="893" t="s">
        <v>6582</v>
      </c>
      <c r="W2261" s="897" t="s">
        <v>94</v>
      </c>
      <c r="X2261" s="889"/>
      <c r="Y2261" s="888" t="s">
        <v>6608</v>
      </c>
      <c r="Z2261" s="895"/>
      <c r="AA2261" s="889"/>
      <c r="AB2261" s="888">
        <v>43646</v>
      </c>
      <c r="AC2261" s="476" t="s">
        <v>48</v>
      </c>
      <c r="AD2261" s="645" t="str">
        <f t="shared" si="110"/>
        <v>atrasado</v>
      </c>
      <c r="AE2261" s="468" t="s">
        <v>6628</v>
      </c>
      <c r="AF2261" s="468" t="s">
        <v>3846</v>
      </c>
      <c r="AG2261" s="1100">
        <f t="shared" si="113"/>
        <v>43627</v>
      </c>
      <c r="AH2261" s="638">
        <f t="shared" si="111"/>
        <v>19</v>
      </c>
      <c r="AI2261" s="638" t="str">
        <f t="shared" si="112"/>
        <v>atrasado</v>
      </c>
    </row>
    <row r="2262" spans="2:38" s="649" customFormat="1" ht="54.95" customHeight="1" thickBot="1" x14ac:dyDescent="0.25">
      <c r="B2262" s="900" t="s">
        <v>36</v>
      </c>
      <c r="C2262" s="887" t="s">
        <v>37</v>
      </c>
      <c r="D2262" s="888" t="s">
        <v>6441</v>
      </c>
      <c r="E2262" s="901">
        <v>4600557062</v>
      </c>
      <c r="F2262" s="1061" t="s">
        <v>6587</v>
      </c>
      <c r="G2262" s="889" t="s">
        <v>39</v>
      </c>
      <c r="H2262" s="890">
        <v>1029.0999999999999</v>
      </c>
      <c r="I2262" s="902" t="s">
        <v>40</v>
      </c>
      <c r="J2262" s="892">
        <v>43446</v>
      </c>
      <c r="K2262" s="893">
        <f t="shared" si="107"/>
        <v>119</v>
      </c>
      <c r="L2262" s="892">
        <v>43565</v>
      </c>
      <c r="M2262" s="892" t="s">
        <v>41</v>
      </c>
      <c r="N2262" s="889" t="s">
        <v>42</v>
      </c>
      <c r="O2262" s="892">
        <v>43524</v>
      </c>
      <c r="P2262" s="893">
        <f t="shared" si="108"/>
        <v>-32</v>
      </c>
      <c r="Q2262" s="901" t="s">
        <v>6592</v>
      </c>
      <c r="R2262" s="903">
        <v>43533</v>
      </c>
      <c r="S2262" s="904">
        <v>43537</v>
      </c>
      <c r="T2262" s="894">
        <v>43553</v>
      </c>
      <c r="U2262" s="893">
        <f t="shared" si="109"/>
        <v>107</v>
      </c>
      <c r="V2262" s="893" t="s">
        <v>53</v>
      </c>
      <c r="W2262" s="897" t="s">
        <v>94</v>
      </c>
      <c r="X2262" s="889"/>
      <c r="Y2262" s="905"/>
      <c r="Z2262" s="895"/>
      <c r="AA2262" s="889"/>
      <c r="AB2262" s="888">
        <v>43646</v>
      </c>
      <c r="AC2262" s="476" t="s">
        <v>48</v>
      </c>
      <c r="AD2262" s="645" t="str">
        <f t="shared" si="110"/>
        <v>en término</v>
      </c>
      <c r="AE2262" s="468" t="s">
        <v>6628</v>
      </c>
      <c r="AF2262" s="468" t="s">
        <v>3846</v>
      </c>
      <c r="AG2262" s="1100">
        <f t="shared" si="113"/>
        <v>43627</v>
      </c>
      <c r="AH2262" s="638">
        <f t="shared" si="111"/>
        <v>19</v>
      </c>
      <c r="AI2262" s="638" t="str">
        <f t="shared" si="112"/>
        <v>atrasado</v>
      </c>
    </row>
    <row r="2263" spans="2:38" s="649" customFormat="1" ht="54.95" customHeight="1" thickBot="1" x14ac:dyDescent="0.25">
      <c r="B2263" s="900" t="s">
        <v>36</v>
      </c>
      <c r="C2263" s="887" t="s">
        <v>37</v>
      </c>
      <c r="D2263" s="888" t="s">
        <v>6441</v>
      </c>
      <c r="E2263" s="901">
        <v>4600557062</v>
      </c>
      <c r="F2263" s="1061" t="s">
        <v>6595</v>
      </c>
      <c r="G2263" s="889" t="s">
        <v>39</v>
      </c>
      <c r="H2263" s="890">
        <v>34928</v>
      </c>
      <c r="I2263" s="902" t="s">
        <v>142</v>
      </c>
      <c r="J2263" s="892">
        <v>43462</v>
      </c>
      <c r="K2263" s="893">
        <f t="shared" si="107"/>
        <v>95</v>
      </c>
      <c r="L2263" s="892">
        <v>43557</v>
      </c>
      <c r="M2263" s="892" t="s">
        <v>41</v>
      </c>
      <c r="N2263" s="889" t="s">
        <v>42</v>
      </c>
      <c r="O2263" s="892">
        <v>43545</v>
      </c>
      <c r="P2263" s="893">
        <f t="shared" si="108"/>
        <v>-3</v>
      </c>
      <c r="Q2263" s="901" t="s">
        <v>6624</v>
      </c>
      <c r="R2263" s="903">
        <v>43554</v>
      </c>
      <c r="S2263" s="904">
        <v>43556</v>
      </c>
      <c r="T2263" s="894">
        <v>43574</v>
      </c>
      <c r="U2263" s="893">
        <f t="shared" si="109"/>
        <v>112</v>
      </c>
      <c r="V2263" s="893" t="s">
        <v>6591</v>
      </c>
      <c r="W2263" s="897" t="s">
        <v>2415</v>
      </c>
      <c r="X2263" s="889"/>
      <c r="Y2263" s="889"/>
      <c r="Z2263" s="889" t="s">
        <v>6644</v>
      </c>
      <c r="AA2263" s="889"/>
      <c r="AB2263" s="888">
        <v>43646</v>
      </c>
      <c r="AC2263" s="476" t="s">
        <v>48</v>
      </c>
      <c r="AD2263" s="645" t="str">
        <f t="shared" si="110"/>
        <v>en término</v>
      </c>
      <c r="AE2263" s="468" t="s">
        <v>6636</v>
      </c>
      <c r="AF2263" s="468" t="s">
        <v>3846</v>
      </c>
      <c r="AG2263" s="1100">
        <f t="shared" si="113"/>
        <v>43646</v>
      </c>
      <c r="AH2263" s="638">
        <f t="shared" si="111"/>
        <v>0</v>
      </c>
      <c r="AI2263" s="638" t="str">
        <f t="shared" si="112"/>
        <v>en término</v>
      </c>
    </row>
    <row r="2264" spans="2:38" s="649" customFormat="1" ht="54.95" customHeight="1" thickBot="1" x14ac:dyDescent="0.25">
      <c r="B2264" s="900" t="s">
        <v>36</v>
      </c>
      <c r="C2264" s="887" t="s">
        <v>37</v>
      </c>
      <c r="D2264" s="888" t="s">
        <v>6441</v>
      </c>
      <c r="E2264" s="901">
        <v>4600557062</v>
      </c>
      <c r="F2264" s="1061" t="s">
        <v>6616</v>
      </c>
      <c r="G2264" s="889" t="s">
        <v>39</v>
      </c>
      <c r="H2264" s="890">
        <v>180442.13</v>
      </c>
      <c r="I2264" s="902" t="s">
        <v>52</v>
      </c>
      <c r="J2264" s="892">
        <v>43469</v>
      </c>
      <c r="K2264" s="893">
        <f t="shared" si="107"/>
        <v>89</v>
      </c>
      <c r="L2264" s="892">
        <v>43558</v>
      </c>
      <c r="M2264" s="892" t="s">
        <v>41</v>
      </c>
      <c r="N2264" s="889" t="s">
        <v>42</v>
      </c>
      <c r="O2264" s="892">
        <v>43545</v>
      </c>
      <c r="P2264" s="893">
        <f t="shared" si="108"/>
        <v>-4</v>
      </c>
      <c r="Q2264" s="901" t="s">
        <v>6624</v>
      </c>
      <c r="R2264" s="903">
        <v>43554</v>
      </c>
      <c r="S2264" s="904">
        <v>43556</v>
      </c>
      <c r="T2264" s="894">
        <v>43574</v>
      </c>
      <c r="U2264" s="893">
        <f t="shared" si="109"/>
        <v>105</v>
      </c>
      <c r="V2264" s="893" t="s">
        <v>6599</v>
      </c>
      <c r="W2264" s="897" t="s">
        <v>2415</v>
      </c>
      <c r="X2264" s="889"/>
      <c r="Y2264" s="889"/>
      <c r="Z2264" s="889" t="s">
        <v>6644</v>
      </c>
      <c r="AA2264" s="889"/>
      <c r="AB2264" s="888">
        <v>43646</v>
      </c>
      <c r="AC2264" s="476" t="s">
        <v>48</v>
      </c>
      <c r="AD2264" s="645" t="str">
        <f t="shared" si="110"/>
        <v>en término</v>
      </c>
      <c r="AE2264" s="468" t="s">
        <v>6636</v>
      </c>
      <c r="AF2264" s="468" t="s">
        <v>3846</v>
      </c>
      <c r="AG2264" s="1100">
        <f t="shared" si="113"/>
        <v>43646</v>
      </c>
      <c r="AH2264" s="638">
        <f t="shared" si="111"/>
        <v>0</v>
      </c>
      <c r="AI2264" s="638" t="str">
        <f t="shared" si="112"/>
        <v>en término</v>
      </c>
    </row>
    <row r="2265" spans="2:38" s="649" customFormat="1" ht="54.95" customHeight="1" thickBot="1" x14ac:dyDescent="0.25">
      <c r="B2265" s="900" t="s">
        <v>36</v>
      </c>
      <c r="C2265" s="887" t="s">
        <v>37</v>
      </c>
      <c r="D2265" s="888" t="s">
        <v>6619</v>
      </c>
      <c r="E2265" s="901"/>
      <c r="F2265" s="1061" t="s">
        <v>6620</v>
      </c>
      <c r="G2265" s="889" t="s">
        <v>39</v>
      </c>
      <c r="H2265" s="890">
        <v>350</v>
      </c>
      <c r="I2265" s="902" t="s">
        <v>142</v>
      </c>
      <c r="J2265" s="892">
        <v>43511</v>
      </c>
      <c r="K2265" s="893">
        <f t="shared" si="107"/>
        <v>88</v>
      </c>
      <c r="L2265" s="892">
        <v>43599</v>
      </c>
      <c r="M2265" s="892" t="s">
        <v>41</v>
      </c>
      <c r="N2265" s="889" t="s">
        <v>42</v>
      </c>
      <c r="O2265" s="892">
        <v>43545</v>
      </c>
      <c r="P2265" s="893">
        <f t="shared" si="108"/>
        <v>-45</v>
      </c>
      <c r="Q2265" s="901" t="s">
        <v>6624</v>
      </c>
      <c r="R2265" s="903">
        <v>43554</v>
      </c>
      <c r="S2265" s="904">
        <v>43556</v>
      </c>
      <c r="T2265" s="894">
        <v>43574</v>
      </c>
      <c r="U2265" s="893">
        <f t="shared" si="109"/>
        <v>63</v>
      </c>
      <c r="V2265" s="893" t="s">
        <v>6621</v>
      </c>
      <c r="W2265" s="897" t="s">
        <v>2415</v>
      </c>
      <c r="X2265" s="889"/>
      <c r="Y2265" s="889"/>
      <c r="Z2265" s="889" t="s">
        <v>6644</v>
      </c>
      <c r="AA2265" s="889"/>
      <c r="AB2265" s="888">
        <v>43646</v>
      </c>
      <c r="AC2265" s="476" t="s">
        <v>48</v>
      </c>
      <c r="AD2265" s="645" t="str">
        <f t="shared" si="110"/>
        <v>en término</v>
      </c>
      <c r="AE2265" s="468" t="s">
        <v>6636</v>
      </c>
      <c r="AF2265" s="468" t="s">
        <v>3846</v>
      </c>
      <c r="AG2265" s="1100">
        <f t="shared" si="113"/>
        <v>43646</v>
      </c>
      <c r="AH2265" s="638">
        <f t="shared" si="111"/>
        <v>0</v>
      </c>
      <c r="AI2265" s="638" t="str">
        <f t="shared" si="112"/>
        <v>en término</v>
      </c>
    </row>
    <row r="2266" spans="2:38" s="649" customFormat="1" ht="54.95" customHeight="1" thickBot="1" x14ac:dyDescent="0.25">
      <c r="B2266" s="900" t="s">
        <v>36</v>
      </c>
      <c r="C2266" s="887" t="s">
        <v>37</v>
      </c>
      <c r="D2266" s="888" t="s">
        <v>6441</v>
      </c>
      <c r="E2266" s="901">
        <v>4600557062</v>
      </c>
      <c r="F2266" s="1061" t="s">
        <v>6617</v>
      </c>
      <c r="G2266" s="889" t="s">
        <v>39</v>
      </c>
      <c r="H2266" s="890">
        <v>170130.66</v>
      </c>
      <c r="I2266" s="902" t="s">
        <v>52</v>
      </c>
      <c r="J2266" s="892">
        <v>43497</v>
      </c>
      <c r="K2266" s="893">
        <f t="shared" si="107"/>
        <v>83</v>
      </c>
      <c r="L2266" s="892">
        <v>43580</v>
      </c>
      <c r="M2266" s="892" t="s">
        <v>41</v>
      </c>
      <c r="N2266" s="889" t="s">
        <v>42</v>
      </c>
      <c r="O2266" s="892">
        <v>43572</v>
      </c>
      <c r="P2266" s="893">
        <f t="shared" si="108"/>
        <v>2</v>
      </c>
      <c r="Q2266" s="901" t="s">
        <v>6634</v>
      </c>
      <c r="R2266" s="903">
        <v>43582</v>
      </c>
      <c r="S2266" s="904">
        <v>43583</v>
      </c>
      <c r="T2266" s="894">
        <v>43602</v>
      </c>
      <c r="U2266" s="893">
        <f t="shared" si="109"/>
        <v>105</v>
      </c>
      <c r="V2266" s="893" t="s">
        <v>6611</v>
      </c>
      <c r="W2266" s="897" t="s">
        <v>2199</v>
      </c>
      <c r="X2266" s="889"/>
      <c r="Y2266" s="889"/>
      <c r="Z2266" s="895" t="s">
        <v>6656</v>
      </c>
      <c r="AA2266" s="889"/>
      <c r="AB2266" s="892">
        <v>43679</v>
      </c>
      <c r="AC2266" s="476" t="s">
        <v>6742</v>
      </c>
      <c r="AD2266" s="645" t="str">
        <f t="shared" si="110"/>
        <v>atrasado</v>
      </c>
      <c r="AE2266" s="468" t="s">
        <v>6654</v>
      </c>
      <c r="AF2266" s="468" t="s">
        <v>176</v>
      </c>
      <c r="AG2266" s="1100">
        <f t="shared" si="113"/>
        <v>43673</v>
      </c>
      <c r="AH2266" s="638">
        <f t="shared" si="111"/>
        <v>6</v>
      </c>
      <c r="AI2266" s="638" t="str">
        <f t="shared" si="112"/>
        <v>atrasado</v>
      </c>
    </row>
    <row r="2267" spans="2:38" s="649" customFormat="1" ht="54.95" customHeight="1" thickBot="1" x14ac:dyDescent="0.25">
      <c r="B2267" s="900" t="s">
        <v>36</v>
      </c>
      <c r="C2267" s="887" t="s">
        <v>37</v>
      </c>
      <c r="D2267" s="888" t="s">
        <v>6623</v>
      </c>
      <c r="E2267" s="901"/>
      <c r="F2267" s="1061" t="s">
        <v>6627</v>
      </c>
      <c r="G2267" s="889" t="s">
        <v>39</v>
      </c>
      <c r="H2267" s="890">
        <v>4280</v>
      </c>
      <c r="I2267" s="902" t="s">
        <v>142</v>
      </c>
      <c r="J2267" s="892">
        <v>43508</v>
      </c>
      <c r="K2267" s="893">
        <f t="shared" si="107"/>
        <v>101</v>
      </c>
      <c r="L2267" s="892">
        <v>43609</v>
      </c>
      <c r="M2267" s="892" t="s">
        <v>41</v>
      </c>
      <c r="N2267" s="889" t="s">
        <v>42</v>
      </c>
      <c r="O2267" s="892">
        <v>43572</v>
      </c>
      <c r="P2267" s="893">
        <f t="shared" si="108"/>
        <v>-27</v>
      </c>
      <c r="Q2267" s="901" t="s">
        <v>6634</v>
      </c>
      <c r="R2267" s="903">
        <v>43582</v>
      </c>
      <c r="S2267" s="904">
        <v>43583</v>
      </c>
      <c r="T2267" s="894">
        <v>43602</v>
      </c>
      <c r="U2267" s="893">
        <f t="shared" si="109"/>
        <v>94</v>
      </c>
      <c r="V2267" s="893" t="s">
        <v>73</v>
      </c>
      <c r="W2267" s="897" t="s">
        <v>2199</v>
      </c>
      <c r="X2267" s="889"/>
      <c r="Y2267" s="889"/>
      <c r="Z2267" s="895" t="s">
        <v>6656</v>
      </c>
      <c r="AA2267" s="889"/>
      <c r="AB2267" s="892">
        <v>43705</v>
      </c>
      <c r="AC2267" s="476" t="s">
        <v>6766</v>
      </c>
      <c r="AD2267" s="645" t="str">
        <f t="shared" si="110"/>
        <v>en término</v>
      </c>
      <c r="AE2267" s="468" t="s">
        <v>6654</v>
      </c>
      <c r="AF2267" s="468" t="s">
        <v>176</v>
      </c>
      <c r="AG2267" s="1100">
        <f t="shared" si="113"/>
        <v>43673</v>
      </c>
      <c r="AH2267" s="638">
        <f t="shared" si="111"/>
        <v>32</v>
      </c>
      <c r="AI2267" s="638" t="str">
        <f t="shared" si="112"/>
        <v>atrasado</v>
      </c>
    </row>
    <row r="2268" spans="2:38" s="649" customFormat="1" ht="54.95" customHeight="1" thickBot="1" x14ac:dyDescent="0.25">
      <c r="B2268" s="900" t="s">
        <v>36</v>
      </c>
      <c r="C2268" s="887" t="s">
        <v>37</v>
      </c>
      <c r="D2268" s="888" t="s">
        <v>6441</v>
      </c>
      <c r="E2268" s="901">
        <v>4600557062</v>
      </c>
      <c r="F2268" s="1061" t="s">
        <v>6640</v>
      </c>
      <c r="G2268" s="889" t="s">
        <v>39</v>
      </c>
      <c r="H2268" s="890">
        <v>1997.04</v>
      </c>
      <c r="I2268" s="902" t="s">
        <v>40</v>
      </c>
      <c r="J2268" s="892">
        <v>43543</v>
      </c>
      <c r="K2268" s="893">
        <f t="shared" si="107"/>
        <v>90</v>
      </c>
      <c r="L2268" s="892">
        <v>43633</v>
      </c>
      <c r="M2268" s="892" t="s">
        <v>41</v>
      </c>
      <c r="N2268" s="889" t="s">
        <v>42</v>
      </c>
      <c r="O2268" s="892">
        <v>43572</v>
      </c>
      <c r="P2268" s="893">
        <f t="shared" si="108"/>
        <v>-51</v>
      </c>
      <c r="Q2268" s="901" t="s">
        <v>6634</v>
      </c>
      <c r="R2268" s="903">
        <v>43582</v>
      </c>
      <c r="S2268" s="904">
        <v>43583</v>
      </c>
      <c r="T2268" s="894">
        <v>43602</v>
      </c>
      <c r="U2268" s="893">
        <f t="shared" si="109"/>
        <v>59</v>
      </c>
      <c r="V2268" s="893" t="s">
        <v>2183</v>
      </c>
      <c r="W2268" s="897" t="s">
        <v>2199</v>
      </c>
      <c r="X2268" s="889"/>
      <c r="Y2268" s="905"/>
      <c r="Z2268" s="895" t="s">
        <v>6656</v>
      </c>
      <c r="AA2268" s="889"/>
      <c r="AB2268" s="892">
        <v>43705</v>
      </c>
      <c r="AC2268" s="476" t="s">
        <v>6767</v>
      </c>
      <c r="AD2268" s="645" t="str">
        <f t="shared" si="110"/>
        <v>en término</v>
      </c>
      <c r="AE2268" s="468" t="s">
        <v>6654</v>
      </c>
      <c r="AF2268" s="468" t="s">
        <v>176</v>
      </c>
      <c r="AG2268" s="1100">
        <f t="shared" si="113"/>
        <v>43673</v>
      </c>
      <c r="AH2268" s="638">
        <f t="shared" si="111"/>
        <v>32</v>
      </c>
      <c r="AI2268" s="638" t="str">
        <f t="shared" si="112"/>
        <v>atrasado</v>
      </c>
    </row>
    <row r="2269" spans="2:38" s="649" customFormat="1" ht="54.95" customHeight="1" thickBot="1" x14ac:dyDescent="0.25">
      <c r="B2269" s="900" t="s">
        <v>36</v>
      </c>
      <c r="C2269" s="887" t="s">
        <v>37</v>
      </c>
      <c r="D2269" s="888" t="s">
        <v>6429</v>
      </c>
      <c r="E2269" s="901">
        <v>4600558097</v>
      </c>
      <c r="F2269" s="1061" t="s">
        <v>6626</v>
      </c>
      <c r="G2269" s="889" t="s">
        <v>39</v>
      </c>
      <c r="H2269" s="890">
        <v>177278.42</v>
      </c>
      <c r="I2269" s="902" t="s">
        <v>62</v>
      </c>
      <c r="J2269" s="892">
        <v>43508</v>
      </c>
      <c r="K2269" s="893">
        <v>123</v>
      </c>
      <c r="L2269" s="892">
        <v>43631</v>
      </c>
      <c r="M2269" s="892" t="s">
        <v>41</v>
      </c>
      <c r="N2269" s="889" t="s">
        <v>42</v>
      </c>
      <c r="O2269" s="892">
        <v>43637</v>
      </c>
      <c r="P2269" s="893">
        <f t="shared" si="108"/>
        <v>14</v>
      </c>
      <c r="Q2269" s="901" t="s">
        <v>6664</v>
      </c>
      <c r="R2269" s="903">
        <v>43645</v>
      </c>
      <c r="S2269" s="904">
        <v>43647</v>
      </c>
      <c r="T2269" s="894">
        <v>43665</v>
      </c>
      <c r="U2269" s="893">
        <f t="shared" si="109"/>
        <v>157</v>
      </c>
      <c r="V2269" s="901" t="s">
        <v>6700</v>
      </c>
      <c r="W2269" s="897" t="s">
        <v>2437</v>
      </c>
      <c r="X2269" s="905"/>
      <c r="Y2269" s="905"/>
      <c r="Z2269" s="895" t="s">
        <v>6712</v>
      </c>
      <c r="AA2269" s="889"/>
      <c r="AB2269" s="892">
        <v>43741</v>
      </c>
      <c r="AC2269" s="476" t="s">
        <v>6860</v>
      </c>
      <c r="AD2269" s="645" t="str">
        <f t="shared" si="110"/>
        <v>atrasado</v>
      </c>
      <c r="AE2269" s="468" t="s">
        <v>6713</v>
      </c>
      <c r="AF2269" s="468" t="s">
        <v>406</v>
      </c>
      <c r="AG2269" s="1099">
        <f t="shared" si="113"/>
        <v>43737</v>
      </c>
      <c r="AH2269" s="649">
        <f t="shared" si="111"/>
        <v>4</v>
      </c>
      <c r="AI2269" s="649" t="str">
        <f t="shared" si="112"/>
        <v>atrasado</v>
      </c>
    </row>
    <row r="2270" spans="2:38" s="649" customFormat="1" ht="54.95" customHeight="1" thickBot="1" x14ac:dyDescent="0.25">
      <c r="B2270" s="900" t="s">
        <v>36</v>
      </c>
      <c r="C2270" s="887" t="s">
        <v>37</v>
      </c>
      <c r="D2270" s="888" t="s">
        <v>6639</v>
      </c>
      <c r="E2270" s="901"/>
      <c r="F2270" s="1061" t="s">
        <v>6646</v>
      </c>
      <c r="G2270" s="889" t="s">
        <v>39</v>
      </c>
      <c r="H2270" s="890">
        <v>378</v>
      </c>
      <c r="I2270" s="902" t="s">
        <v>40</v>
      </c>
      <c r="J2270" s="892">
        <v>43554</v>
      </c>
      <c r="K2270" s="893">
        <f>+L2270-J2270</f>
        <v>97</v>
      </c>
      <c r="L2270" s="892">
        <v>43651</v>
      </c>
      <c r="M2270" s="892" t="s">
        <v>41</v>
      </c>
      <c r="N2270" s="889" t="s">
        <v>42</v>
      </c>
      <c r="O2270" s="892">
        <v>43637</v>
      </c>
      <c r="P2270" s="893">
        <f t="shared" si="108"/>
        <v>-6</v>
      </c>
      <c r="Q2270" s="901" t="s">
        <v>6664</v>
      </c>
      <c r="R2270" s="903">
        <v>43645</v>
      </c>
      <c r="S2270" s="904">
        <v>43647</v>
      </c>
      <c r="T2270" s="894">
        <v>43665</v>
      </c>
      <c r="U2270" s="893">
        <f t="shared" si="109"/>
        <v>111</v>
      </c>
      <c r="V2270" s="893" t="s">
        <v>6702</v>
      </c>
      <c r="W2270" s="897" t="s">
        <v>2437</v>
      </c>
      <c r="X2270" s="905"/>
      <c r="Y2270" s="905"/>
      <c r="Z2270" s="895" t="s">
        <v>6712</v>
      </c>
      <c r="AA2270" s="889"/>
      <c r="AB2270" s="892">
        <v>43741</v>
      </c>
      <c r="AC2270" s="476" t="s">
        <v>6858</v>
      </c>
      <c r="AD2270" s="645" t="str">
        <f t="shared" si="110"/>
        <v>en término</v>
      </c>
      <c r="AE2270" s="468" t="s">
        <v>6713</v>
      </c>
      <c r="AF2270" s="468" t="s">
        <v>406</v>
      </c>
      <c r="AG2270" s="1099">
        <f t="shared" si="113"/>
        <v>43737</v>
      </c>
      <c r="AH2270" s="649">
        <f t="shared" si="111"/>
        <v>4</v>
      </c>
      <c r="AI2270" s="649" t="str">
        <f t="shared" si="112"/>
        <v>atrasado</v>
      </c>
    </row>
    <row r="2271" spans="2:38" s="649" customFormat="1" ht="54.95" customHeight="1" thickBot="1" x14ac:dyDescent="0.25">
      <c r="B2271" s="900" t="s">
        <v>36</v>
      </c>
      <c r="C2271" s="887" t="s">
        <v>37</v>
      </c>
      <c r="D2271" s="888" t="s">
        <v>6441</v>
      </c>
      <c r="E2271" s="901">
        <v>4600557062</v>
      </c>
      <c r="F2271" s="1061" t="s">
        <v>6647</v>
      </c>
      <c r="G2271" s="889" t="s">
        <v>39</v>
      </c>
      <c r="H2271" s="890">
        <v>182248.9</v>
      </c>
      <c r="I2271" s="902" t="s">
        <v>52</v>
      </c>
      <c r="J2271" s="892">
        <v>43558</v>
      </c>
      <c r="K2271" s="893">
        <f>+L2271-J2271</f>
        <v>89</v>
      </c>
      <c r="L2271" s="892">
        <v>43647</v>
      </c>
      <c r="M2271" s="892" t="s">
        <v>41</v>
      </c>
      <c r="N2271" s="889" t="s">
        <v>42</v>
      </c>
      <c r="O2271" s="892">
        <v>43637</v>
      </c>
      <c r="P2271" s="893">
        <f t="shared" si="108"/>
        <v>-2</v>
      </c>
      <c r="Q2271" s="901" t="s">
        <v>6664</v>
      </c>
      <c r="R2271" s="903">
        <v>43645</v>
      </c>
      <c r="S2271" s="904">
        <v>43647</v>
      </c>
      <c r="T2271" s="894">
        <v>43665</v>
      </c>
      <c r="U2271" s="893">
        <f t="shared" si="109"/>
        <v>107</v>
      </c>
      <c r="V2271" s="901" t="s">
        <v>6701</v>
      </c>
      <c r="W2271" s="897" t="s">
        <v>2437</v>
      </c>
      <c r="X2271" s="905"/>
      <c r="Y2271" s="905"/>
      <c r="Z2271" s="895" t="s">
        <v>6712</v>
      </c>
      <c r="AA2271" s="889"/>
      <c r="AB2271" s="892">
        <v>43741</v>
      </c>
      <c r="AC2271" s="476" t="s">
        <v>6859</v>
      </c>
      <c r="AD2271" s="645" t="str">
        <f t="shared" si="110"/>
        <v>en término</v>
      </c>
      <c r="AE2271" s="468" t="s">
        <v>6713</v>
      </c>
      <c r="AF2271" s="468" t="s">
        <v>406</v>
      </c>
      <c r="AG2271" s="1099">
        <f t="shared" si="113"/>
        <v>43737</v>
      </c>
      <c r="AH2271" s="649">
        <f t="shared" si="111"/>
        <v>4</v>
      </c>
      <c r="AI2271" s="649" t="str">
        <f t="shared" si="112"/>
        <v>atrasado</v>
      </c>
    </row>
    <row r="2272" spans="2:38" s="649" customFormat="1" ht="54.95" customHeight="1" thickBot="1" x14ac:dyDescent="0.25">
      <c r="B2272" s="900" t="s">
        <v>36</v>
      </c>
      <c r="C2272" s="887" t="s">
        <v>37</v>
      </c>
      <c r="D2272" s="888" t="s">
        <v>6643</v>
      </c>
      <c r="E2272" s="901"/>
      <c r="F2272" s="1061" t="s">
        <v>6648</v>
      </c>
      <c r="G2272" s="889" t="s">
        <v>39</v>
      </c>
      <c r="H2272" s="890">
        <v>2475</v>
      </c>
      <c r="I2272" s="902" t="s">
        <v>52</v>
      </c>
      <c r="J2272" s="892">
        <v>43557</v>
      </c>
      <c r="K2272" s="893">
        <f>+L2272-J2272</f>
        <v>76</v>
      </c>
      <c r="L2272" s="892">
        <v>43633</v>
      </c>
      <c r="M2272" s="892" t="s">
        <v>41</v>
      </c>
      <c r="N2272" s="889" t="s">
        <v>42</v>
      </c>
      <c r="O2272" s="892">
        <v>43637</v>
      </c>
      <c r="P2272" s="893">
        <f t="shared" si="108"/>
        <v>12</v>
      </c>
      <c r="Q2272" s="901" t="s">
        <v>6664</v>
      </c>
      <c r="R2272" s="903">
        <v>43645</v>
      </c>
      <c r="S2272" s="904">
        <v>43647</v>
      </c>
      <c r="T2272" s="894">
        <v>43665</v>
      </c>
      <c r="U2272" s="893">
        <f t="shared" si="109"/>
        <v>108</v>
      </c>
      <c r="V2272" s="893" t="s">
        <v>6702</v>
      </c>
      <c r="W2272" s="897" t="s">
        <v>2437</v>
      </c>
      <c r="X2272" s="905"/>
      <c r="Y2272" s="905"/>
      <c r="Z2272" s="895" t="s">
        <v>6712</v>
      </c>
      <c r="AA2272" s="889"/>
      <c r="AB2272" s="892">
        <v>43741</v>
      </c>
      <c r="AC2272" s="476" t="s">
        <v>6859</v>
      </c>
      <c r="AD2272" s="645" t="str">
        <f t="shared" si="110"/>
        <v>atrasado</v>
      </c>
      <c r="AE2272" s="468" t="s">
        <v>6713</v>
      </c>
      <c r="AF2272" s="468" t="s">
        <v>406</v>
      </c>
      <c r="AG2272" s="1099">
        <f t="shared" si="113"/>
        <v>43737</v>
      </c>
      <c r="AH2272" s="649">
        <f t="shared" si="111"/>
        <v>4</v>
      </c>
      <c r="AI2272" s="649" t="str">
        <f t="shared" si="112"/>
        <v>atrasado</v>
      </c>
    </row>
    <row r="2273" spans="2:35" s="649" customFormat="1" ht="54.95" customHeight="1" thickBot="1" x14ac:dyDescent="0.25">
      <c r="B2273" s="900" t="s">
        <v>36</v>
      </c>
      <c r="C2273" s="887" t="s">
        <v>37</v>
      </c>
      <c r="D2273" s="888" t="s">
        <v>6645</v>
      </c>
      <c r="E2273" s="901"/>
      <c r="F2273" s="1061" t="s">
        <v>6649</v>
      </c>
      <c r="G2273" s="889" t="s">
        <v>39</v>
      </c>
      <c r="H2273" s="890">
        <v>1929.6</v>
      </c>
      <c r="I2273" s="902" t="s">
        <v>52</v>
      </c>
      <c r="J2273" s="892">
        <v>43561</v>
      </c>
      <c r="K2273" s="893">
        <f>+L2273-J2273</f>
        <v>91</v>
      </c>
      <c r="L2273" s="892">
        <v>43652</v>
      </c>
      <c r="M2273" s="892" t="s">
        <v>41</v>
      </c>
      <c r="N2273" s="889" t="s">
        <v>42</v>
      </c>
      <c r="O2273" s="892">
        <v>43637</v>
      </c>
      <c r="P2273" s="893">
        <f t="shared" si="108"/>
        <v>-7</v>
      </c>
      <c r="Q2273" s="901" t="s">
        <v>6664</v>
      </c>
      <c r="R2273" s="903">
        <v>43645</v>
      </c>
      <c r="S2273" s="904">
        <v>43647</v>
      </c>
      <c r="T2273" s="894">
        <v>43665</v>
      </c>
      <c r="U2273" s="893">
        <f t="shared" si="109"/>
        <v>104</v>
      </c>
      <c r="V2273" s="893" t="s">
        <v>6702</v>
      </c>
      <c r="W2273" s="897" t="s">
        <v>2437</v>
      </c>
      <c r="X2273" s="905"/>
      <c r="Y2273" s="905"/>
      <c r="Z2273" s="895" t="s">
        <v>6712</v>
      </c>
      <c r="AA2273" s="889"/>
      <c r="AB2273" s="892">
        <v>43741</v>
      </c>
      <c r="AC2273" s="476" t="s">
        <v>6859</v>
      </c>
      <c r="AD2273" s="645" t="str">
        <f t="shared" si="110"/>
        <v>en término</v>
      </c>
      <c r="AE2273" s="468" t="s">
        <v>6713</v>
      </c>
      <c r="AF2273" s="468" t="s">
        <v>406</v>
      </c>
      <c r="AG2273" s="1099">
        <f t="shared" si="113"/>
        <v>43737</v>
      </c>
      <c r="AH2273" s="649">
        <f t="shared" si="111"/>
        <v>4</v>
      </c>
      <c r="AI2273" s="649" t="str">
        <f t="shared" si="112"/>
        <v>atrasado</v>
      </c>
    </row>
    <row r="2274" spans="2:35" s="649" customFormat="1" ht="54.95" customHeight="1" thickBot="1" x14ac:dyDescent="0.25">
      <c r="B2274" s="900" t="s">
        <v>36</v>
      </c>
      <c r="C2274" s="887" t="s">
        <v>37</v>
      </c>
      <c r="D2274" s="888" t="s">
        <v>6441</v>
      </c>
      <c r="E2274" s="901">
        <v>4600557062</v>
      </c>
      <c r="F2274" s="1061" t="s">
        <v>6652</v>
      </c>
      <c r="G2274" s="889" t="s">
        <v>39</v>
      </c>
      <c r="H2274" s="890">
        <v>2455.15</v>
      </c>
      <c r="I2274" s="902" t="s">
        <v>52</v>
      </c>
      <c r="J2274" s="892">
        <v>43557</v>
      </c>
      <c r="K2274" s="893">
        <f>+L2274-J2274</f>
        <v>90</v>
      </c>
      <c r="L2274" s="892">
        <v>43647</v>
      </c>
      <c r="M2274" s="892" t="s">
        <v>41</v>
      </c>
      <c r="N2274" s="889" t="s">
        <v>42</v>
      </c>
      <c r="O2274" s="892">
        <v>43637</v>
      </c>
      <c r="P2274" s="893">
        <f t="shared" si="108"/>
        <v>-2</v>
      </c>
      <c r="Q2274" s="901" t="s">
        <v>6664</v>
      </c>
      <c r="R2274" s="903">
        <v>43645</v>
      </c>
      <c r="S2274" s="904">
        <v>43647</v>
      </c>
      <c r="T2274" s="894">
        <v>43665</v>
      </c>
      <c r="U2274" s="893">
        <f t="shared" si="109"/>
        <v>108</v>
      </c>
      <c r="V2274" s="893" t="s">
        <v>53</v>
      </c>
      <c r="W2274" s="897" t="s">
        <v>2437</v>
      </c>
      <c r="X2274" s="905"/>
      <c r="Y2274" s="905"/>
      <c r="Z2274" s="895" t="s">
        <v>6712</v>
      </c>
      <c r="AA2274" s="889"/>
      <c r="AB2274" s="892">
        <v>43741</v>
      </c>
      <c r="AC2274" s="476" t="s">
        <v>6859</v>
      </c>
      <c r="AD2274" s="645" t="str">
        <f t="shared" si="110"/>
        <v>en término</v>
      </c>
      <c r="AE2274" s="468" t="s">
        <v>6713</v>
      </c>
      <c r="AF2274" s="468" t="s">
        <v>406</v>
      </c>
      <c r="AG2274" s="1099">
        <f t="shared" si="113"/>
        <v>43737</v>
      </c>
      <c r="AH2274" s="649">
        <f t="shared" si="111"/>
        <v>4</v>
      </c>
      <c r="AI2274" s="649" t="str">
        <f t="shared" si="112"/>
        <v>atrasado</v>
      </c>
    </row>
    <row r="2275" spans="2:35" s="649" customFormat="1" ht="54.95" customHeight="1" thickBot="1" x14ac:dyDescent="0.25">
      <c r="B2275" s="900" t="s">
        <v>36</v>
      </c>
      <c r="C2275" s="887" t="s">
        <v>37</v>
      </c>
      <c r="D2275" s="888" t="s">
        <v>6429</v>
      </c>
      <c r="E2275" s="901">
        <v>4600558097</v>
      </c>
      <c r="F2275" s="1061" t="s">
        <v>6626</v>
      </c>
      <c r="G2275" s="889" t="s">
        <v>39</v>
      </c>
      <c r="H2275" s="890">
        <v>194355</v>
      </c>
      <c r="I2275" s="902" t="s">
        <v>62</v>
      </c>
      <c r="J2275" s="892">
        <v>43508</v>
      </c>
      <c r="K2275" s="893">
        <v>123</v>
      </c>
      <c r="L2275" s="892">
        <v>43661</v>
      </c>
      <c r="M2275" s="892" t="s">
        <v>41</v>
      </c>
      <c r="N2275" s="889" t="s">
        <v>42</v>
      </c>
      <c r="O2275" s="892">
        <v>43665</v>
      </c>
      <c r="P2275" s="893">
        <f t="shared" si="108"/>
        <v>12</v>
      </c>
      <c r="Q2275" s="901" t="s">
        <v>6706</v>
      </c>
      <c r="R2275" s="903">
        <v>43673</v>
      </c>
      <c r="S2275" s="904">
        <v>43676</v>
      </c>
      <c r="T2275" s="894">
        <v>43693</v>
      </c>
      <c r="U2275" s="893">
        <f t="shared" si="109"/>
        <v>185</v>
      </c>
      <c r="V2275" s="901" t="s">
        <v>6722</v>
      </c>
      <c r="W2275" s="897" t="s">
        <v>2232</v>
      </c>
      <c r="X2275" s="905"/>
      <c r="Y2275" s="888" t="s">
        <v>6707</v>
      </c>
      <c r="Z2275" s="895" t="s">
        <v>6656</v>
      </c>
      <c r="AA2275" s="889"/>
      <c r="AB2275" s="892">
        <v>43773</v>
      </c>
      <c r="AC2275" s="476" t="s">
        <v>6879</v>
      </c>
      <c r="AD2275" s="645" t="str">
        <f t="shared" si="110"/>
        <v>atrasado</v>
      </c>
      <c r="AE2275" s="468" t="s">
        <v>6737</v>
      </c>
      <c r="AF2275" s="468" t="s">
        <v>2949</v>
      </c>
      <c r="AG2275" s="1099">
        <f t="shared" si="113"/>
        <v>43766</v>
      </c>
      <c r="AH2275" s="649">
        <f t="shared" si="111"/>
        <v>7</v>
      </c>
      <c r="AI2275" s="649" t="str">
        <f t="shared" si="112"/>
        <v>atrasado</v>
      </c>
    </row>
    <row r="2276" spans="2:35" s="649" customFormat="1" ht="54.95" customHeight="1" thickBot="1" x14ac:dyDescent="0.25">
      <c r="B2276" s="900" t="s">
        <v>36</v>
      </c>
      <c r="C2276" s="887" t="s">
        <v>37</v>
      </c>
      <c r="D2276" s="888" t="s">
        <v>6441</v>
      </c>
      <c r="E2276" s="901">
        <v>4600557062</v>
      </c>
      <c r="F2276" s="1061" t="s">
        <v>6658</v>
      </c>
      <c r="G2276" s="889" t="s">
        <v>39</v>
      </c>
      <c r="H2276" s="890">
        <v>84296.44</v>
      </c>
      <c r="I2276" s="902" t="s">
        <v>40</v>
      </c>
      <c r="J2276" s="892">
        <v>43585</v>
      </c>
      <c r="K2276" s="893">
        <f>+L2276-J2276</f>
        <v>94</v>
      </c>
      <c r="L2276" s="892">
        <v>43679</v>
      </c>
      <c r="M2276" s="892" t="s">
        <v>41</v>
      </c>
      <c r="N2276" s="889" t="s">
        <v>42</v>
      </c>
      <c r="O2276" s="892">
        <v>43665</v>
      </c>
      <c r="P2276" s="893">
        <f t="shared" si="108"/>
        <v>-6</v>
      </c>
      <c r="Q2276" s="901" t="s">
        <v>6706</v>
      </c>
      <c r="R2276" s="903">
        <v>43673</v>
      </c>
      <c r="S2276" s="904">
        <v>43676</v>
      </c>
      <c r="T2276" s="894">
        <v>43693</v>
      </c>
      <c r="U2276" s="893">
        <f t="shared" si="109"/>
        <v>108</v>
      </c>
      <c r="V2276" s="901" t="s">
        <v>6718</v>
      </c>
      <c r="W2276" s="897" t="s">
        <v>2232</v>
      </c>
      <c r="X2276" s="905"/>
      <c r="Y2276" s="888" t="s">
        <v>6707</v>
      </c>
      <c r="Z2276" s="895" t="s">
        <v>6656</v>
      </c>
      <c r="AA2276" s="889"/>
      <c r="AB2276" s="892">
        <v>43773</v>
      </c>
      <c r="AC2276" s="476" t="s">
        <v>6880</v>
      </c>
      <c r="AD2276" s="645" t="str">
        <f t="shared" si="110"/>
        <v>en término</v>
      </c>
      <c r="AE2276" s="468" t="s">
        <v>6737</v>
      </c>
      <c r="AF2276" s="468" t="s">
        <v>2949</v>
      </c>
      <c r="AG2276" s="1099">
        <f t="shared" si="113"/>
        <v>43766</v>
      </c>
      <c r="AH2276" s="649">
        <f t="shared" si="111"/>
        <v>7</v>
      </c>
      <c r="AI2276" s="649" t="str">
        <f t="shared" si="112"/>
        <v>atrasado</v>
      </c>
    </row>
    <row r="2277" spans="2:35" s="649" customFormat="1" ht="54.95" customHeight="1" thickBot="1" x14ac:dyDescent="0.25">
      <c r="B2277" s="900" t="s">
        <v>36</v>
      </c>
      <c r="C2277" s="887" t="s">
        <v>37</v>
      </c>
      <c r="D2277" s="888" t="s">
        <v>65</v>
      </c>
      <c r="E2277" s="901">
        <v>4600548677</v>
      </c>
      <c r="F2277" s="1061" t="s">
        <v>6659</v>
      </c>
      <c r="G2277" s="889" t="s">
        <v>39</v>
      </c>
      <c r="H2277" s="890">
        <f>333*96</f>
        <v>31968</v>
      </c>
      <c r="I2277" s="902" t="s">
        <v>40</v>
      </c>
      <c r="J2277" s="892">
        <v>43587</v>
      </c>
      <c r="K2277" s="893">
        <f>+L2277-J2277</f>
        <v>92</v>
      </c>
      <c r="L2277" s="892">
        <v>43679</v>
      </c>
      <c r="M2277" s="892" t="s">
        <v>41</v>
      </c>
      <c r="N2277" s="889" t="s">
        <v>42</v>
      </c>
      <c r="O2277" s="892">
        <v>43665</v>
      </c>
      <c r="P2277" s="893">
        <f t="shared" si="108"/>
        <v>-6</v>
      </c>
      <c r="Q2277" s="901" t="s">
        <v>6706</v>
      </c>
      <c r="R2277" s="903">
        <v>43673</v>
      </c>
      <c r="S2277" s="904">
        <v>43676</v>
      </c>
      <c r="T2277" s="894">
        <v>43693</v>
      </c>
      <c r="U2277" s="893">
        <f t="shared" si="109"/>
        <v>106</v>
      </c>
      <c r="V2277" s="893" t="s">
        <v>6657</v>
      </c>
      <c r="W2277" s="897" t="s">
        <v>2232</v>
      </c>
      <c r="X2277" s="905"/>
      <c r="Y2277" s="888" t="s">
        <v>6707</v>
      </c>
      <c r="Z2277" s="895" t="s">
        <v>6656</v>
      </c>
      <c r="AA2277" s="889"/>
      <c r="AB2277" s="892">
        <v>43773</v>
      </c>
      <c r="AC2277" s="476" t="s">
        <v>6880</v>
      </c>
      <c r="AD2277" s="645" t="str">
        <f t="shared" si="110"/>
        <v>en término</v>
      </c>
      <c r="AE2277" s="468" t="s">
        <v>6737</v>
      </c>
      <c r="AF2277" s="468" t="s">
        <v>2949</v>
      </c>
      <c r="AG2277" s="1099">
        <f t="shared" si="113"/>
        <v>43766</v>
      </c>
      <c r="AH2277" s="649">
        <f t="shared" si="111"/>
        <v>7</v>
      </c>
      <c r="AI2277" s="649" t="str">
        <f t="shared" si="112"/>
        <v>atrasado</v>
      </c>
    </row>
    <row r="2278" spans="2:35" s="649" customFormat="1" ht="54.95" customHeight="1" thickBot="1" x14ac:dyDescent="0.25">
      <c r="B2278" s="900" t="s">
        <v>36</v>
      </c>
      <c r="C2278" s="887" t="s">
        <v>37</v>
      </c>
      <c r="D2278" s="888" t="s">
        <v>6441</v>
      </c>
      <c r="E2278" s="901">
        <v>4600557062</v>
      </c>
      <c r="F2278" s="1061" t="s">
        <v>6660</v>
      </c>
      <c r="G2278" s="889" t="s">
        <v>39</v>
      </c>
      <c r="H2278" s="890">
        <v>142725.20000000001</v>
      </c>
      <c r="I2278" s="902" t="s">
        <v>52</v>
      </c>
      <c r="J2278" s="892">
        <v>43587</v>
      </c>
      <c r="K2278" s="893">
        <f>+L2278-J2278</f>
        <v>92</v>
      </c>
      <c r="L2278" s="892">
        <v>43679</v>
      </c>
      <c r="M2278" s="892" t="s">
        <v>41</v>
      </c>
      <c r="N2278" s="889" t="s">
        <v>42</v>
      </c>
      <c r="O2278" s="892">
        <v>43665</v>
      </c>
      <c r="P2278" s="893">
        <f t="shared" si="108"/>
        <v>-6</v>
      </c>
      <c r="Q2278" s="901" t="s">
        <v>6706</v>
      </c>
      <c r="R2278" s="903">
        <v>43673</v>
      </c>
      <c r="S2278" s="904">
        <v>43676</v>
      </c>
      <c r="T2278" s="894">
        <v>43693</v>
      </c>
      <c r="U2278" s="893">
        <f t="shared" si="109"/>
        <v>106</v>
      </c>
      <c r="V2278" s="901" t="s">
        <v>6717</v>
      </c>
      <c r="W2278" s="897" t="s">
        <v>2232</v>
      </c>
      <c r="X2278" s="905"/>
      <c r="Y2278" s="1109" t="s">
        <v>6707</v>
      </c>
      <c r="Z2278" s="895" t="s">
        <v>6656</v>
      </c>
      <c r="AA2278" s="889"/>
      <c r="AB2278" s="892">
        <v>43773</v>
      </c>
      <c r="AC2278" s="476" t="s">
        <v>6881</v>
      </c>
      <c r="AD2278" s="645" t="str">
        <f t="shared" si="110"/>
        <v>en término</v>
      </c>
      <c r="AE2278" s="468" t="s">
        <v>6737</v>
      </c>
      <c r="AF2278" s="468" t="s">
        <v>2949</v>
      </c>
      <c r="AG2278" s="1099">
        <f t="shared" si="113"/>
        <v>43766</v>
      </c>
      <c r="AH2278" s="649">
        <f t="shared" si="111"/>
        <v>7</v>
      </c>
      <c r="AI2278" s="649" t="str">
        <f t="shared" si="112"/>
        <v>atrasado</v>
      </c>
    </row>
    <row r="2279" spans="2:35" s="649" customFormat="1" ht="54.95" customHeight="1" thickBot="1" x14ac:dyDescent="0.25">
      <c r="B2279" s="900" t="s">
        <v>36</v>
      </c>
      <c r="C2279" s="887" t="s">
        <v>37</v>
      </c>
      <c r="D2279" s="888" t="s">
        <v>6441</v>
      </c>
      <c r="E2279" s="901">
        <v>4600557062</v>
      </c>
      <c r="F2279" s="1061" t="s">
        <v>6662</v>
      </c>
      <c r="G2279" s="889" t="s">
        <v>39</v>
      </c>
      <c r="H2279" s="890">
        <f>89000.7</f>
        <v>89000.7</v>
      </c>
      <c r="I2279" s="902" t="s">
        <v>40</v>
      </c>
      <c r="J2279" s="892">
        <v>43588</v>
      </c>
      <c r="K2279" s="893">
        <f>+L2279-J2279</f>
        <v>91</v>
      </c>
      <c r="L2279" s="892">
        <v>43679</v>
      </c>
      <c r="M2279" s="892" t="s">
        <v>41</v>
      </c>
      <c r="N2279" s="889" t="s">
        <v>42</v>
      </c>
      <c r="O2279" s="892">
        <v>43665</v>
      </c>
      <c r="P2279" s="893">
        <f t="shared" si="108"/>
        <v>-6</v>
      </c>
      <c r="Q2279" s="901" t="s">
        <v>6706</v>
      </c>
      <c r="R2279" s="903">
        <v>43673</v>
      </c>
      <c r="S2279" s="904">
        <v>43676</v>
      </c>
      <c r="T2279" s="894">
        <v>43693</v>
      </c>
      <c r="U2279" s="893">
        <f t="shared" si="109"/>
        <v>105</v>
      </c>
      <c r="V2279" s="901" t="s">
        <v>6726</v>
      </c>
      <c r="W2279" s="897" t="s">
        <v>2232</v>
      </c>
      <c r="X2279" s="905"/>
      <c r="Y2279" s="1109" t="s">
        <v>6707</v>
      </c>
      <c r="Z2279" s="895" t="s">
        <v>6656</v>
      </c>
      <c r="AA2279" s="889"/>
      <c r="AB2279" s="892">
        <v>43773</v>
      </c>
      <c r="AC2279" s="476" t="s">
        <v>6882</v>
      </c>
      <c r="AD2279" s="645" t="str">
        <f t="shared" si="110"/>
        <v>en término</v>
      </c>
      <c r="AE2279" s="468" t="s">
        <v>6737</v>
      </c>
      <c r="AF2279" s="468" t="s">
        <v>2949</v>
      </c>
      <c r="AG2279" s="1099">
        <f t="shared" si="113"/>
        <v>43766</v>
      </c>
      <c r="AH2279" s="649">
        <f t="shared" si="111"/>
        <v>7</v>
      </c>
      <c r="AI2279" s="649" t="str">
        <f t="shared" si="112"/>
        <v>atrasado</v>
      </c>
    </row>
    <row r="2280" spans="2:35" s="649" customFormat="1" ht="54.95" customHeight="1" thickBot="1" x14ac:dyDescent="0.25">
      <c r="B2280" s="900" t="s">
        <v>36</v>
      </c>
      <c r="C2280" s="887" t="s">
        <v>37</v>
      </c>
      <c r="D2280" s="888" t="s">
        <v>6429</v>
      </c>
      <c r="E2280" s="901">
        <v>4600558097</v>
      </c>
      <c r="F2280" s="1061" t="s">
        <v>6626</v>
      </c>
      <c r="G2280" s="889" t="s">
        <v>39</v>
      </c>
      <c r="H2280" s="890">
        <v>196571</v>
      </c>
      <c r="I2280" s="902" t="s">
        <v>62</v>
      </c>
      <c r="J2280" s="892">
        <v>43508</v>
      </c>
      <c r="K2280" s="893">
        <v>123</v>
      </c>
      <c r="L2280" s="892">
        <v>43723</v>
      </c>
      <c r="M2280" s="892" t="s">
        <v>41</v>
      </c>
      <c r="N2280" s="889" t="s">
        <v>42</v>
      </c>
      <c r="O2280" s="892">
        <v>43721</v>
      </c>
      <c r="P2280" s="893">
        <f t="shared" si="108"/>
        <v>6</v>
      </c>
      <c r="Q2280" s="901" t="s">
        <v>6780</v>
      </c>
      <c r="R2280" s="903">
        <v>43729</v>
      </c>
      <c r="S2280" s="904">
        <v>43731</v>
      </c>
      <c r="T2280" s="894">
        <v>43749</v>
      </c>
      <c r="U2280" s="893">
        <f t="shared" si="109"/>
        <v>241</v>
      </c>
      <c r="V2280" s="901" t="s">
        <v>6720</v>
      </c>
      <c r="W2280" s="1106" t="s">
        <v>6804</v>
      </c>
      <c r="X2280" s="905"/>
      <c r="Y2280" s="888"/>
      <c r="Z2280" s="895" t="s">
        <v>46</v>
      </c>
      <c r="AA2280" s="889"/>
      <c r="AB2280" s="892">
        <v>43741</v>
      </c>
      <c r="AC2280" s="476" t="s">
        <v>6784</v>
      </c>
      <c r="AD2280" s="645" t="str">
        <f t="shared" si="110"/>
        <v>atrasado</v>
      </c>
      <c r="AE2280" s="468" t="s">
        <v>6797</v>
      </c>
      <c r="AF2280" s="468" t="s">
        <v>3056</v>
      </c>
      <c r="AG2280" s="1100">
        <f t="shared" ref="AG2280:AG2304" si="114">+S2280+60</f>
        <v>43791</v>
      </c>
      <c r="AH2280" s="638">
        <f t="shared" si="111"/>
        <v>-50</v>
      </c>
      <c r="AI2280" s="638" t="str">
        <f t="shared" si="112"/>
        <v>en término</v>
      </c>
    </row>
    <row r="2281" spans="2:35" s="649" customFormat="1" ht="54.95" customHeight="1" thickBot="1" x14ac:dyDescent="0.25">
      <c r="B2281" s="900" t="s">
        <v>36</v>
      </c>
      <c r="C2281" s="887" t="s">
        <v>37</v>
      </c>
      <c r="D2281" s="888" t="s">
        <v>6441</v>
      </c>
      <c r="E2281" s="901">
        <v>4600557062</v>
      </c>
      <c r="F2281" s="1061" t="s">
        <v>6704</v>
      </c>
      <c r="G2281" s="889" t="s">
        <v>39</v>
      </c>
      <c r="H2281" s="890">
        <v>3279.77</v>
      </c>
      <c r="I2281" s="902" t="s">
        <v>40</v>
      </c>
      <c r="J2281" s="892">
        <v>43627</v>
      </c>
      <c r="K2281" s="893">
        <f t="shared" ref="K2281:K2304" si="115">+L2281-J2281</f>
        <v>90</v>
      </c>
      <c r="L2281" s="892">
        <v>43717</v>
      </c>
      <c r="M2281" s="892" t="s">
        <v>41</v>
      </c>
      <c r="N2281" s="889" t="s">
        <v>42</v>
      </c>
      <c r="O2281" s="892">
        <v>43721</v>
      </c>
      <c r="P2281" s="893">
        <f t="shared" si="108"/>
        <v>12</v>
      </c>
      <c r="Q2281" s="901" t="s">
        <v>6780</v>
      </c>
      <c r="R2281" s="903">
        <v>43729</v>
      </c>
      <c r="S2281" s="904">
        <v>43731</v>
      </c>
      <c r="T2281" s="894">
        <v>43749</v>
      </c>
      <c r="U2281" s="893">
        <f t="shared" si="109"/>
        <v>122</v>
      </c>
      <c r="V2281" s="901" t="s">
        <v>6790</v>
      </c>
      <c r="W2281" s="1106" t="s">
        <v>6804</v>
      </c>
      <c r="X2281" s="905"/>
      <c r="Y2281" s="889"/>
      <c r="Z2281" s="895" t="s">
        <v>46</v>
      </c>
      <c r="AA2281" s="889"/>
      <c r="AB2281" s="892">
        <v>43741</v>
      </c>
      <c r="AC2281" s="476" t="s">
        <v>6800</v>
      </c>
      <c r="AD2281" s="645" t="str">
        <f t="shared" si="110"/>
        <v>atrasado</v>
      </c>
      <c r="AE2281" s="468" t="s">
        <v>6797</v>
      </c>
      <c r="AF2281" s="468" t="s">
        <v>3056</v>
      </c>
      <c r="AG2281" s="1100">
        <f t="shared" si="114"/>
        <v>43791</v>
      </c>
      <c r="AH2281" s="638">
        <f t="shared" si="111"/>
        <v>-50</v>
      </c>
      <c r="AI2281" s="638" t="str">
        <f t="shared" si="112"/>
        <v>en término</v>
      </c>
    </row>
    <row r="2282" spans="2:35" s="649" customFormat="1" ht="54.95" customHeight="1" thickBot="1" x14ac:dyDescent="0.25">
      <c r="B2282" s="900" t="s">
        <v>36</v>
      </c>
      <c r="C2282" s="887" t="s">
        <v>37</v>
      </c>
      <c r="D2282" s="888" t="s">
        <v>6441</v>
      </c>
      <c r="E2282" s="901">
        <v>4600557062</v>
      </c>
      <c r="F2282" s="1061" t="s">
        <v>6661</v>
      </c>
      <c r="G2282" s="889" t="s">
        <v>39</v>
      </c>
      <c r="H2282" s="890">
        <v>34295.4</v>
      </c>
      <c r="I2282" s="902" t="s">
        <v>52</v>
      </c>
      <c r="J2282" s="892">
        <v>43587</v>
      </c>
      <c r="K2282" s="893">
        <f t="shared" si="115"/>
        <v>92</v>
      </c>
      <c r="L2282" s="892">
        <v>43679</v>
      </c>
      <c r="M2282" s="892" t="s">
        <v>41</v>
      </c>
      <c r="N2282" s="889" t="s">
        <v>42</v>
      </c>
      <c r="O2282" s="892">
        <v>43742</v>
      </c>
      <c r="P2282" s="893">
        <f t="shared" si="108"/>
        <v>71</v>
      </c>
      <c r="Q2282" s="901" t="s">
        <v>6781</v>
      </c>
      <c r="R2282" s="903">
        <v>43750</v>
      </c>
      <c r="S2282" s="904">
        <v>43753</v>
      </c>
      <c r="T2282" s="894">
        <v>43770</v>
      </c>
      <c r="U2282" s="893">
        <f t="shared" si="109"/>
        <v>183</v>
      </c>
      <c r="V2282" s="893" t="s">
        <v>6711</v>
      </c>
      <c r="W2282" s="1106" t="s">
        <v>6814</v>
      </c>
      <c r="X2282" s="905"/>
      <c r="Y2282" s="889"/>
      <c r="Z2282" s="895" t="s">
        <v>6823</v>
      </c>
      <c r="AA2282" s="889"/>
      <c r="AB2282" s="892">
        <v>43748</v>
      </c>
      <c r="AC2282" s="476" t="s">
        <v>6800</v>
      </c>
      <c r="AD2282" s="645" t="str">
        <f t="shared" si="110"/>
        <v>atrasado</v>
      </c>
      <c r="AE2282" s="468" t="s">
        <v>6857</v>
      </c>
      <c r="AF2282" s="468" t="s">
        <v>3067</v>
      </c>
      <c r="AG2282" s="1100">
        <f t="shared" si="114"/>
        <v>43813</v>
      </c>
      <c r="AH2282" s="638">
        <f t="shared" si="111"/>
        <v>-65</v>
      </c>
      <c r="AI2282" s="638" t="str">
        <f t="shared" si="112"/>
        <v>en término</v>
      </c>
    </row>
    <row r="2283" spans="2:35" s="649" customFormat="1" ht="54.95" customHeight="1" thickBot="1" x14ac:dyDescent="0.25">
      <c r="B2283" s="900" t="s">
        <v>36</v>
      </c>
      <c r="C2283" s="887" t="s">
        <v>37</v>
      </c>
      <c r="D2283" s="888" t="s">
        <v>6441</v>
      </c>
      <c r="E2283" s="901">
        <v>4600557062</v>
      </c>
      <c r="F2283" s="1061" t="s">
        <v>6735</v>
      </c>
      <c r="G2283" s="889" t="s">
        <v>39</v>
      </c>
      <c r="H2283" s="890">
        <v>17314.32</v>
      </c>
      <c r="I2283" s="902" t="s">
        <v>62</v>
      </c>
      <c r="J2283" s="892">
        <v>43664</v>
      </c>
      <c r="K2283" s="893">
        <f t="shared" si="115"/>
        <v>89</v>
      </c>
      <c r="L2283" s="892">
        <v>43753</v>
      </c>
      <c r="M2283" s="892" t="s">
        <v>41</v>
      </c>
      <c r="N2283" s="889" t="s">
        <v>42</v>
      </c>
      <c r="O2283" s="892">
        <v>43742</v>
      </c>
      <c r="P2283" s="893">
        <f t="shared" si="108"/>
        <v>-3</v>
      </c>
      <c r="Q2283" s="901" t="s">
        <v>6781</v>
      </c>
      <c r="R2283" s="903">
        <v>43750</v>
      </c>
      <c r="S2283" s="904">
        <v>43753</v>
      </c>
      <c r="T2283" s="894">
        <v>43770</v>
      </c>
      <c r="U2283" s="893">
        <f t="shared" si="109"/>
        <v>106</v>
      </c>
      <c r="V2283" s="893" t="s">
        <v>6730</v>
      </c>
      <c r="W2283" s="1106" t="s">
        <v>6814</v>
      </c>
      <c r="X2283" s="905"/>
      <c r="Y2283" s="905"/>
      <c r="Z2283" s="895" t="s">
        <v>6823</v>
      </c>
      <c r="AA2283" s="889"/>
      <c r="AB2283" s="892">
        <v>43748</v>
      </c>
      <c r="AC2283" s="476" t="s">
        <v>6800</v>
      </c>
      <c r="AD2283" s="645" t="str">
        <f t="shared" si="110"/>
        <v>en término</v>
      </c>
      <c r="AE2283" s="468" t="s">
        <v>6857</v>
      </c>
      <c r="AF2283" s="468" t="s">
        <v>3067</v>
      </c>
      <c r="AG2283" s="1100">
        <f t="shared" si="114"/>
        <v>43813</v>
      </c>
      <c r="AH2283" s="638">
        <f t="shared" si="111"/>
        <v>-65</v>
      </c>
      <c r="AI2283" s="638" t="str">
        <f t="shared" si="112"/>
        <v>en término</v>
      </c>
    </row>
    <row r="2284" spans="2:35" s="649" customFormat="1" ht="54.95" customHeight="1" thickBot="1" x14ac:dyDescent="0.25">
      <c r="B2284" s="900" t="s">
        <v>36</v>
      </c>
      <c r="C2284" s="887" t="s">
        <v>37</v>
      </c>
      <c r="D2284" s="888" t="s">
        <v>6441</v>
      </c>
      <c r="E2284" s="901">
        <v>4600557062</v>
      </c>
      <c r="F2284" s="1061" t="s">
        <v>6734</v>
      </c>
      <c r="G2284" s="889" t="s">
        <v>39</v>
      </c>
      <c r="H2284" s="890">
        <v>4421.9799999999996</v>
      </c>
      <c r="I2284" s="902" t="s">
        <v>52</v>
      </c>
      <c r="J2284" s="892">
        <v>43664</v>
      </c>
      <c r="K2284" s="893">
        <f t="shared" si="115"/>
        <v>89</v>
      </c>
      <c r="L2284" s="892">
        <v>43753</v>
      </c>
      <c r="M2284" s="892" t="s">
        <v>41</v>
      </c>
      <c r="N2284" s="889" t="s">
        <v>42</v>
      </c>
      <c r="O2284" s="892">
        <v>43742</v>
      </c>
      <c r="P2284" s="893">
        <f t="shared" si="108"/>
        <v>-3</v>
      </c>
      <c r="Q2284" s="901" t="s">
        <v>6781</v>
      </c>
      <c r="R2284" s="903">
        <v>43750</v>
      </c>
      <c r="S2284" s="904">
        <v>43753</v>
      </c>
      <c r="T2284" s="894">
        <v>43770</v>
      </c>
      <c r="U2284" s="893">
        <f t="shared" si="109"/>
        <v>106</v>
      </c>
      <c r="V2284" s="893" t="s">
        <v>6782</v>
      </c>
      <c r="W2284" s="1106" t="s">
        <v>6814</v>
      </c>
      <c r="X2284" s="905"/>
      <c r="Y2284" s="905"/>
      <c r="Z2284" s="895" t="s">
        <v>6823</v>
      </c>
      <c r="AA2284" s="889"/>
      <c r="AB2284" s="892">
        <v>43748</v>
      </c>
      <c r="AC2284" s="476" t="s">
        <v>6800</v>
      </c>
      <c r="AD2284" s="645" t="str">
        <f t="shared" si="110"/>
        <v>en término</v>
      </c>
      <c r="AE2284" s="468" t="s">
        <v>6857</v>
      </c>
      <c r="AF2284" s="468" t="s">
        <v>3067</v>
      </c>
      <c r="AG2284" s="1100">
        <f t="shared" si="114"/>
        <v>43813</v>
      </c>
      <c r="AH2284" s="638">
        <f t="shared" si="111"/>
        <v>-65</v>
      </c>
      <c r="AI2284" s="638" t="str">
        <f t="shared" si="112"/>
        <v>en término</v>
      </c>
    </row>
    <row r="2285" spans="2:35" s="649" customFormat="1" ht="54.95" customHeight="1" thickBot="1" x14ac:dyDescent="0.25">
      <c r="B2285" s="900" t="s">
        <v>36</v>
      </c>
      <c r="C2285" s="887" t="s">
        <v>37</v>
      </c>
      <c r="D2285" s="888" t="s">
        <v>6441</v>
      </c>
      <c r="E2285" s="901">
        <v>4600557062</v>
      </c>
      <c r="F2285" s="1061" t="s">
        <v>6736</v>
      </c>
      <c r="G2285" s="889" t="s">
        <v>39</v>
      </c>
      <c r="H2285" s="890">
        <v>6652.17</v>
      </c>
      <c r="I2285" s="902" t="s">
        <v>40</v>
      </c>
      <c r="J2285" s="892">
        <v>43664</v>
      </c>
      <c r="K2285" s="893">
        <f t="shared" si="115"/>
        <v>89</v>
      </c>
      <c r="L2285" s="892">
        <v>43753</v>
      </c>
      <c r="M2285" s="892" t="s">
        <v>41</v>
      </c>
      <c r="N2285" s="889" t="s">
        <v>42</v>
      </c>
      <c r="O2285" s="892">
        <v>43742</v>
      </c>
      <c r="P2285" s="893">
        <f t="shared" si="108"/>
        <v>-3</v>
      </c>
      <c r="Q2285" s="901" t="s">
        <v>6781</v>
      </c>
      <c r="R2285" s="903">
        <v>43750</v>
      </c>
      <c r="S2285" s="904">
        <v>43753</v>
      </c>
      <c r="T2285" s="894">
        <v>43770</v>
      </c>
      <c r="U2285" s="893">
        <f t="shared" si="109"/>
        <v>106</v>
      </c>
      <c r="V2285" s="893" t="s">
        <v>53</v>
      </c>
      <c r="W2285" s="1106" t="s">
        <v>6814</v>
      </c>
      <c r="X2285" s="905"/>
      <c r="Y2285" s="905"/>
      <c r="Z2285" s="895" t="s">
        <v>6823</v>
      </c>
      <c r="AA2285" s="889"/>
      <c r="AB2285" s="892">
        <v>43748</v>
      </c>
      <c r="AC2285" s="476" t="s">
        <v>6800</v>
      </c>
      <c r="AD2285" s="645" t="str">
        <f t="shared" si="110"/>
        <v>en término</v>
      </c>
      <c r="AE2285" s="468" t="s">
        <v>6857</v>
      </c>
      <c r="AF2285" s="468" t="s">
        <v>3067</v>
      </c>
      <c r="AG2285" s="1100">
        <f t="shared" si="114"/>
        <v>43813</v>
      </c>
      <c r="AH2285" s="638">
        <f t="shared" si="111"/>
        <v>-65</v>
      </c>
      <c r="AI2285" s="638" t="str">
        <f t="shared" si="112"/>
        <v>en término</v>
      </c>
    </row>
    <row r="2286" spans="2:35" s="649" customFormat="1" ht="54.95" customHeight="1" thickBot="1" x14ac:dyDescent="0.25">
      <c r="B2286" s="900" t="s">
        <v>36</v>
      </c>
      <c r="C2286" s="887" t="s">
        <v>37</v>
      </c>
      <c r="D2286" s="888" t="s">
        <v>6441</v>
      </c>
      <c r="E2286" s="901">
        <v>4600557062</v>
      </c>
      <c r="F2286" s="1061" t="s">
        <v>6812</v>
      </c>
      <c r="G2286" s="889" t="s">
        <v>39</v>
      </c>
      <c r="H2286" s="890">
        <v>386.2</v>
      </c>
      <c r="I2286" s="902" t="s">
        <v>40</v>
      </c>
      <c r="J2286" s="892">
        <v>43742</v>
      </c>
      <c r="K2286" s="893">
        <f t="shared" si="115"/>
        <v>55</v>
      </c>
      <c r="L2286" s="892">
        <v>43797</v>
      </c>
      <c r="M2286" s="892" t="s">
        <v>41</v>
      </c>
      <c r="N2286" s="889" t="s">
        <v>42</v>
      </c>
      <c r="O2286" s="892">
        <v>43742</v>
      </c>
      <c r="P2286" s="893">
        <f t="shared" ref="P2286:P2304" si="116">IF(R2286="","",+R2286-L2286)</f>
        <v>-47</v>
      </c>
      <c r="Q2286" s="901" t="s">
        <v>6781</v>
      </c>
      <c r="R2286" s="903">
        <v>43750</v>
      </c>
      <c r="S2286" s="904">
        <v>43753</v>
      </c>
      <c r="T2286" s="894">
        <v>43770</v>
      </c>
      <c r="U2286" s="893">
        <f t="shared" ref="U2286:U2304" si="117">IF(T2286="","",+T2286-J2286)</f>
        <v>28</v>
      </c>
      <c r="V2286" s="893" t="s">
        <v>53</v>
      </c>
      <c r="W2286" s="1106" t="s">
        <v>6814</v>
      </c>
      <c r="X2286" s="905"/>
      <c r="Y2286" s="905"/>
      <c r="Z2286" s="895" t="s">
        <v>6823</v>
      </c>
      <c r="AA2286" s="889"/>
      <c r="AB2286" s="892">
        <v>43748</v>
      </c>
      <c r="AC2286" s="476" t="s">
        <v>6800</v>
      </c>
      <c r="AD2286" s="645" t="str">
        <f t="shared" ref="AD2286:AD2304" si="118">IF(P2286="","",IF(P2286&lt;=0,"en término","atrasado"))</f>
        <v>en término</v>
      </c>
      <c r="AE2286" s="468" t="s">
        <v>6857</v>
      </c>
      <c r="AF2286" s="468" t="s">
        <v>3067</v>
      </c>
      <c r="AG2286" s="1100">
        <f t="shared" si="114"/>
        <v>43813</v>
      </c>
      <c r="AH2286" s="638">
        <f t="shared" ref="AH2286:AH2304" si="119">IF(AB2286="","",+AB2286-AG2286)</f>
        <v>-65</v>
      </c>
      <c r="AI2286" s="638" t="str">
        <f t="shared" ref="AI2286:AI2304" si="120">IF(AH2286="","",IF(AH2286&lt;=0,"en término","atrasado"))</f>
        <v>en término</v>
      </c>
    </row>
    <row r="2287" spans="2:35" s="649" customFormat="1" ht="54.95" customHeight="1" thickBot="1" x14ac:dyDescent="0.25">
      <c r="B2287" s="900" t="s">
        <v>36</v>
      </c>
      <c r="C2287" s="887" t="s">
        <v>37</v>
      </c>
      <c r="D2287" s="888" t="s">
        <v>6441</v>
      </c>
      <c r="E2287" s="901">
        <v>4600557062</v>
      </c>
      <c r="F2287" s="1061" t="s">
        <v>6670</v>
      </c>
      <c r="G2287" s="889" t="s">
        <v>39</v>
      </c>
      <c r="H2287" s="890">
        <v>5570.36</v>
      </c>
      <c r="I2287" s="902" t="s">
        <v>62</v>
      </c>
      <c r="J2287" s="892">
        <v>43614</v>
      </c>
      <c r="K2287" s="893">
        <f t="shared" si="115"/>
        <v>89</v>
      </c>
      <c r="L2287" s="892">
        <v>43703</v>
      </c>
      <c r="M2287" s="892" t="s">
        <v>41</v>
      </c>
      <c r="N2287" s="889" t="s">
        <v>42</v>
      </c>
      <c r="O2287" s="892">
        <v>43784</v>
      </c>
      <c r="P2287" s="893">
        <f t="shared" si="116"/>
        <v>89</v>
      </c>
      <c r="Q2287" s="901" t="s">
        <v>6822</v>
      </c>
      <c r="R2287" s="903">
        <v>43792</v>
      </c>
      <c r="S2287" s="904">
        <v>43794</v>
      </c>
      <c r="T2287" s="894">
        <v>43812</v>
      </c>
      <c r="U2287" s="893">
        <f t="shared" si="117"/>
        <v>198</v>
      </c>
      <c r="V2287" s="901" t="s">
        <v>6788</v>
      </c>
      <c r="W2287" s="1106" t="s">
        <v>6877</v>
      </c>
      <c r="X2287" s="905"/>
      <c r="Y2287" s="889" t="s">
        <v>6816</v>
      </c>
      <c r="Z2287" s="895" t="s">
        <v>6656</v>
      </c>
      <c r="AA2287" s="889"/>
      <c r="AB2287" s="892">
        <v>43851</v>
      </c>
      <c r="AC2287" s="476" t="s">
        <v>6832</v>
      </c>
      <c r="AD2287" s="645" t="str">
        <f t="shared" si="118"/>
        <v>atrasado</v>
      </c>
      <c r="AE2287" s="468" t="s">
        <v>6862</v>
      </c>
      <c r="AF2287" s="468" t="s">
        <v>3074</v>
      </c>
      <c r="AG2287" s="1099">
        <f t="shared" si="114"/>
        <v>43854</v>
      </c>
      <c r="AH2287" s="649">
        <f t="shared" si="119"/>
        <v>-3</v>
      </c>
      <c r="AI2287" s="649" t="str">
        <f t="shared" si="120"/>
        <v>en término</v>
      </c>
    </row>
    <row r="2288" spans="2:35" s="649" customFormat="1" ht="54.95" customHeight="1" thickBot="1" x14ac:dyDescent="0.25">
      <c r="B2288" s="900" t="s">
        <v>36</v>
      </c>
      <c r="C2288" s="887" t="s">
        <v>37</v>
      </c>
      <c r="D2288" s="888" t="s">
        <v>6441</v>
      </c>
      <c r="E2288" s="901">
        <v>4600557062</v>
      </c>
      <c r="F2288" s="1061" t="s">
        <v>6747</v>
      </c>
      <c r="G2288" s="889" t="s">
        <v>39</v>
      </c>
      <c r="H2288" s="890">
        <v>160285</v>
      </c>
      <c r="I2288" s="902" t="s">
        <v>52</v>
      </c>
      <c r="J2288" s="892">
        <v>43646</v>
      </c>
      <c r="K2288" s="893">
        <f t="shared" si="115"/>
        <v>161</v>
      </c>
      <c r="L2288" s="892">
        <v>43807</v>
      </c>
      <c r="M2288" s="892" t="s">
        <v>41</v>
      </c>
      <c r="N2288" s="889" t="s">
        <v>42</v>
      </c>
      <c r="O2288" s="892">
        <v>43784</v>
      </c>
      <c r="P2288" s="893">
        <f t="shared" si="116"/>
        <v>-15</v>
      </c>
      <c r="Q2288" s="901" t="s">
        <v>6822</v>
      </c>
      <c r="R2288" s="903">
        <v>43792</v>
      </c>
      <c r="S2288" s="904">
        <v>43794</v>
      </c>
      <c r="T2288" s="894">
        <v>43812</v>
      </c>
      <c r="U2288" s="893">
        <f t="shared" si="117"/>
        <v>166</v>
      </c>
      <c r="V2288" s="893" t="s">
        <v>6806</v>
      </c>
      <c r="W2288" s="1106" t="s">
        <v>6877</v>
      </c>
      <c r="X2288" s="905"/>
      <c r="Y2288" s="889" t="s">
        <v>6816</v>
      </c>
      <c r="Z2288" s="895" t="s">
        <v>6656</v>
      </c>
      <c r="AA2288" s="889"/>
      <c r="AB2288" s="892">
        <v>43851</v>
      </c>
      <c r="AC2288" s="476" t="s">
        <v>6861</v>
      </c>
      <c r="AD2288" s="645" t="str">
        <f t="shared" si="118"/>
        <v>en término</v>
      </c>
      <c r="AE2288" s="468" t="s">
        <v>6862</v>
      </c>
      <c r="AF2288" s="468" t="s">
        <v>3074</v>
      </c>
      <c r="AG2288" s="1099">
        <f t="shared" si="114"/>
        <v>43854</v>
      </c>
      <c r="AH2288" s="649">
        <f t="shared" si="119"/>
        <v>-3</v>
      </c>
      <c r="AI2288" s="649" t="str">
        <f t="shared" si="120"/>
        <v>en término</v>
      </c>
    </row>
    <row r="2289" spans="2:35" s="649" customFormat="1" ht="54.95" customHeight="1" thickBot="1" x14ac:dyDescent="0.25">
      <c r="B2289" s="900" t="s">
        <v>36</v>
      </c>
      <c r="C2289" s="887" t="s">
        <v>37</v>
      </c>
      <c r="D2289" s="888" t="s">
        <v>65</v>
      </c>
      <c r="E2289" s="901">
        <v>4600548677</v>
      </c>
      <c r="F2289" s="1061" t="s">
        <v>6763</v>
      </c>
      <c r="G2289" s="889" t="s">
        <v>39</v>
      </c>
      <c r="H2289" s="890">
        <v>3330</v>
      </c>
      <c r="I2289" s="902" t="s">
        <v>40</v>
      </c>
      <c r="J2289" s="892">
        <v>43703</v>
      </c>
      <c r="K2289" s="893">
        <f t="shared" si="115"/>
        <v>78</v>
      </c>
      <c r="L2289" s="892">
        <v>43781</v>
      </c>
      <c r="M2289" s="892" t="s">
        <v>41</v>
      </c>
      <c r="N2289" s="889" t="s">
        <v>42</v>
      </c>
      <c r="O2289" s="892">
        <v>43784</v>
      </c>
      <c r="P2289" s="893">
        <f t="shared" si="116"/>
        <v>11</v>
      </c>
      <c r="Q2289" s="901" t="s">
        <v>6822</v>
      </c>
      <c r="R2289" s="903">
        <v>43792</v>
      </c>
      <c r="S2289" s="904">
        <v>43794</v>
      </c>
      <c r="T2289" s="894">
        <v>43812</v>
      </c>
      <c r="U2289" s="893">
        <f t="shared" si="117"/>
        <v>109</v>
      </c>
      <c r="V2289" s="893" t="s">
        <v>6754</v>
      </c>
      <c r="W2289" s="1106" t="s">
        <v>6877</v>
      </c>
      <c r="X2289" s="905"/>
      <c r="Y2289" s="905"/>
      <c r="Z2289" s="895" t="s">
        <v>6656</v>
      </c>
      <c r="AA2289" s="889"/>
      <c r="AB2289" s="892">
        <v>43851</v>
      </c>
      <c r="AC2289" s="476" t="s">
        <v>6831</v>
      </c>
      <c r="AD2289" s="645" t="str">
        <f t="shared" si="118"/>
        <v>atrasado</v>
      </c>
      <c r="AE2289" s="468" t="s">
        <v>6862</v>
      </c>
      <c r="AF2289" s="468" t="s">
        <v>3074</v>
      </c>
      <c r="AG2289" s="1099">
        <f t="shared" si="114"/>
        <v>43854</v>
      </c>
      <c r="AH2289" s="649">
        <f t="shared" si="119"/>
        <v>-3</v>
      </c>
      <c r="AI2289" s="649" t="str">
        <f t="shared" si="120"/>
        <v>en término</v>
      </c>
    </row>
    <row r="2290" spans="2:35" s="649" customFormat="1" ht="54.95" customHeight="1" thickBot="1" x14ac:dyDescent="0.25">
      <c r="B2290" s="900" t="s">
        <v>36</v>
      </c>
      <c r="C2290" s="887" t="s">
        <v>37</v>
      </c>
      <c r="D2290" s="888" t="s">
        <v>6441</v>
      </c>
      <c r="E2290" s="901">
        <v>4600557062</v>
      </c>
      <c r="F2290" s="1061" t="s">
        <v>6761</v>
      </c>
      <c r="G2290" s="889" t="s">
        <v>39</v>
      </c>
      <c r="H2290" s="890">
        <v>31645.84</v>
      </c>
      <c r="I2290" s="902" t="s">
        <v>40</v>
      </c>
      <c r="J2290" s="892">
        <v>43697</v>
      </c>
      <c r="K2290" s="893">
        <f t="shared" si="115"/>
        <v>90</v>
      </c>
      <c r="L2290" s="892">
        <v>43787</v>
      </c>
      <c r="M2290" s="892" t="s">
        <v>41</v>
      </c>
      <c r="N2290" s="889" t="s">
        <v>42</v>
      </c>
      <c r="O2290" s="892">
        <v>43784</v>
      </c>
      <c r="P2290" s="893">
        <f t="shared" si="116"/>
        <v>5</v>
      </c>
      <c r="Q2290" s="901" t="s">
        <v>6822</v>
      </c>
      <c r="R2290" s="903">
        <v>43792</v>
      </c>
      <c r="S2290" s="904">
        <v>43794</v>
      </c>
      <c r="T2290" s="894">
        <v>43812</v>
      </c>
      <c r="U2290" s="893">
        <f t="shared" si="117"/>
        <v>115</v>
      </c>
      <c r="V2290" s="893" t="s">
        <v>6756</v>
      </c>
      <c r="W2290" s="1106" t="s">
        <v>6877</v>
      </c>
      <c r="X2290" s="905"/>
      <c r="Y2290" s="889" t="s">
        <v>6816</v>
      </c>
      <c r="Z2290" s="895" t="s">
        <v>6656</v>
      </c>
      <c r="AA2290" s="889"/>
      <c r="AB2290" s="892">
        <v>43851</v>
      </c>
      <c r="AC2290" s="476" t="s">
        <v>6833</v>
      </c>
      <c r="AD2290" s="645" t="str">
        <f t="shared" si="118"/>
        <v>atrasado</v>
      </c>
      <c r="AE2290" s="468" t="s">
        <v>6862</v>
      </c>
      <c r="AF2290" s="468" t="s">
        <v>3074</v>
      </c>
      <c r="AG2290" s="1099">
        <f t="shared" si="114"/>
        <v>43854</v>
      </c>
      <c r="AH2290" s="649">
        <f t="shared" si="119"/>
        <v>-3</v>
      </c>
      <c r="AI2290" s="649" t="str">
        <f t="shared" si="120"/>
        <v>en término</v>
      </c>
    </row>
    <row r="2291" spans="2:35" s="649" customFormat="1" ht="54.95" customHeight="1" thickBot="1" x14ac:dyDescent="0.25">
      <c r="B2291" s="900" t="s">
        <v>36</v>
      </c>
      <c r="C2291" s="887" t="s">
        <v>37</v>
      </c>
      <c r="D2291" s="888" t="s">
        <v>6441</v>
      </c>
      <c r="E2291" s="901">
        <v>4600557062</v>
      </c>
      <c r="F2291" s="1061" t="s">
        <v>6762</v>
      </c>
      <c r="G2291" s="889" t="s">
        <v>39</v>
      </c>
      <c r="H2291" s="890">
        <v>4901.57</v>
      </c>
      <c r="I2291" s="902" t="s">
        <v>52</v>
      </c>
      <c r="J2291" s="892">
        <v>43697</v>
      </c>
      <c r="K2291" s="893">
        <f t="shared" si="115"/>
        <v>90</v>
      </c>
      <c r="L2291" s="892">
        <v>43787</v>
      </c>
      <c r="M2291" s="892" t="s">
        <v>41</v>
      </c>
      <c r="N2291" s="889" t="s">
        <v>42</v>
      </c>
      <c r="O2291" s="892">
        <v>43784</v>
      </c>
      <c r="P2291" s="893">
        <f t="shared" si="116"/>
        <v>5</v>
      </c>
      <c r="Q2291" s="901" t="s">
        <v>6822</v>
      </c>
      <c r="R2291" s="903">
        <v>43792</v>
      </c>
      <c r="S2291" s="904">
        <v>43794</v>
      </c>
      <c r="T2291" s="894">
        <v>43812</v>
      </c>
      <c r="U2291" s="893">
        <f t="shared" si="117"/>
        <v>115</v>
      </c>
      <c r="V2291" s="893" t="s">
        <v>53</v>
      </c>
      <c r="W2291" s="1106" t="s">
        <v>6877</v>
      </c>
      <c r="X2291" s="905"/>
      <c r="Y2291" s="905"/>
      <c r="Z2291" s="895" t="s">
        <v>6656</v>
      </c>
      <c r="AA2291" s="889"/>
      <c r="AB2291" s="892">
        <v>43851</v>
      </c>
      <c r="AC2291" s="476" t="s">
        <v>6834</v>
      </c>
      <c r="AD2291" s="645" t="str">
        <f t="shared" si="118"/>
        <v>atrasado</v>
      </c>
      <c r="AE2291" s="468" t="s">
        <v>6862</v>
      </c>
      <c r="AF2291" s="468" t="s">
        <v>3074</v>
      </c>
      <c r="AG2291" s="1099">
        <f t="shared" si="114"/>
        <v>43854</v>
      </c>
      <c r="AH2291" s="649">
        <f t="shared" si="119"/>
        <v>-3</v>
      </c>
      <c r="AI2291" s="649" t="str">
        <f t="shared" si="120"/>
        <v>en término</v>
      </c>
    </row>
    <row r="2292" spans="2:35" s="649" customFormat="1" ht="54.95" customHeight="1" thickBot="1" x14ac:dyDescent="0.25">
      <c r="B2292" s="900" t="s">
        <v>36</v>
      </c>
      <c r="C2292" s="887" t="s">
        <v>37</v>
      </c>
      <c r="D2292" s="888" t="s">
        <v>6441</v>
      </c>
      <c r="E2292" s="901">
        <v>4600557062</v>
      </c>
      <c r="F2292" s="1061" t="s">
        <v>6771</v>
      </c>
      <c r="G2292" s="889" t="s">
        <v>39</v>
      </c>
      <c r="H2292" s="890">
        <v>33369.42</v>
      </c>
      <c r="I2292" s="902" t="s">
        <v>142</v>
      </c>
      <c r="J2292" s="892">
        <v>43676</v>
      </c>
      <c r="K2292" s="893">
        <f t="shared" si="115"/>
        <v>120</v>
      </c>
      <c r="L2292" s="892">
        <v>43796</v>
      </c>
      <c r="M2292" s="892" t="s">
        <v>41</v>
      </c>
      <c r="N2292" s="889" t="s">
        <v>42</v>
      </c>
      <c r="O2292" s="892">
        <v>43784</v>
      </c>
      <c r="P2292" s="893">
        <f t="shared" si="116"/>
        <v>-4</v>
      </c>
      <c r="Q2292" s="901" t="s">
        <v>6822</v>
      </c>
      <c r="R2292" s="903">
        <v>43792</v>
      </c>
      <c r="S2292" s="904">
        <v>43794</v>
      </c>
      <c r="T2292" s="894">
        <v>43812</v>
      </c>
      <c r="U2292" s="893">
        <f t="shared" si="117"/>
        <v>136</v>
      </c>
      <c r="V2292" s="893" t="s">
        <v>758</v>
      </c>
      <c r="W2292" s="1106" t="s">
        <v>6877</v>
      </c>
      <c r="X2292" s="905"/>
      <c r="Y2292" s="905"/>
      <c r="Z2292" s="895" t="s">
        <v>6656</v>
      </c>
      <c r="AA2292" s="889"/>
      <c r="AB2292" s="892">
        <v>43851</v>
      </c>
      <c r="AC2292" s="476" t="s">
        <v>6835</v>
      </c>
      <c r="AD2292" s="645" t="str">
        <f t="shared" si="118"/>
        <v>en término</v>
      </c>
      <c r="AE2292" s="468" t="s">
        <v>6862</v>
      </c>
      <c r="AF2292" s="468" t="s">
        <v>3074</v>
      </c>
      <c r="AG2292" s="1099">
        <f t="shared" si="114"/>
        <v>43854</v>
      </c>
      <c r="AH2292" s="649">
        <f t="shared" si="119"/>
        <v>-3</v>
      </c>
      <c r="AI2292" s="649" t="str">
        <f t="shared" si="120"/>
        <v>en término</v>
      </c>
    </row>
    <row r="2293" spans="2:35" s="649" customFormat="1" ht="54.95" customHeight="1" thickBot="1" x14ac:dyDescent="0.25">
      <c r="B2293" s="900" t="s">
        <v>36</v>
      </c>
      <c r="C2293" s="887" t="s">
        <v>37</v>
      </c>
      <c r="D2293" s="888" t="s">
        <v>6441</v>
      </c>
      <c r="E2293" s="901">
        <v>4600557062</v>
      </c>
      <c r="F2293" s="1061" t="s">
        <v>6751</v>
      </c>
      <c r="G2293" s="889" t="s">
        <v>39</v>
      </c>
      <c r="H2293" s="890">
        <v>77069.25</v>
      </c>
      <c r="I2293" s="902" t="s">
        <v>40</v>
      </c>
      <c r="J2293" s="892">
        <v>43688</v>
      </c>
      <c r="K2293" s="893">
        <f t="shared" si="115"/>
        <v>131</v>
      </c>
      <c r="L2293" s="892">
        <v>43819</v>
      </c>
      <c r="M2293" s="892" t="s">
        <v>41</v>
      </c>
      <c r="N2293" s="889" t="s">
        <v>42</v>
      </c>
      <c r="O2293" s="892">
        <v>43805</v>
      </c>
      <c r="P2293" s="893">
        <f t="shared" si="116"/>
        <v>-6</v>
      </c>
      <c r="Q2293" s="901" t="s">
        <v>6865</v>
      </c>
      <c r="R2293" s="903">
        <v>43813</v>
      </c>
      <c r="S2293" s="904">
        <v>43820</v>
      </c>
      <c r="T2293" s="894">
        <v>43838</v>
      </c>
      <c r="U2293" s="893">
        <f t="shared" si="117"/>
        <v>150</v>
      </c>
      <c r="V2293" s="893" t="s">
        <v>6743</v>
      </c>
      <c r="W2293" s="1106" t="s">
        <v>6897</v>
      </c>
      <c r="X2293" s="905"/>
      <c r="Y2293" s="905"/>
      <c r="Z2293" s="895"/>
      <c r="AA2293" s="889"/>
      <c r="AB2293" s="892">
        <v>43879</v>
      </c>
      <c r="AC2293" s="476" t="s">
        <v>6846</v>
      </c>
      <c r="AD2293" s="645" t="str">
        <f t="shared" si="118"/>
        <v>en término</v>
      </c>
      <c r="AE2293" s="468" t="s">
        <v>6907</v>
      </c>
      <c r="AF2293" s="468" t="s">
        <v>3082</v>
      </c>
      <c r="AG2293" s="1099">
        <f t="shared" si="114"/>
        <v>43880</v>
      </c>
      <c r="AH2293" s="649">
        <f t="shared" si="119"/>
        <v>-1</v>
      </c>
      <c r="AI2293" s="649" t="str">
        <f t="shared" si="120"/>
        <v>en término</v>
      </c>
    </row>
    <row r="2294" spans="2:35" s="649" customFormat="1" ht="54.95" customHeight="1" thickBot="1" x14ac:dyDescent="0.25">
      <c r="B2294" s="900" t="s">
        <v>36</v>
      </c>
      <c r="C2294" s="887" t="s">
        <v>37</v>
      </c>
      <c r="D2294" s="888" t="s">
        <v>6749</v>
      </c>
      <c r="E2294" s="901"/>
      <c r="F2294" s="1061" t="s">
        <v>6764</v>
      </c>
      <c r="G2294" s="889" t="s">
        <v>39</v>
      </c>
      <c r="H2294" s="890">
        <v>31200</v>
      </c>
      <c r="I2294" s="902" t="s">
        <v>40</v>
      </c>
      <c r="J2294" s="892">
        <v>43684</v>
      </c>
      <c r="K2294" s="893">
        <f t="shared" si="115"/>
        <v>135</v>
      </c>
      <c r="L2294" s="892">
        <v>43819</v>
      </c>
      <c r="M2294" s="892" t="s">
        <v>41</v>
      </c>
      <c r="N2294" s="889" t="s">
        <v>42</v>
      </c>
      <c r="O2294" s="892">
        <v>43805</v>
      </c>
      <c r="P2294" s="893">
        <f t="shared" si="116"/>
        <v>-6</v>
      </c>
      <c r="Q2294" s="901" t="s">
        <v>6865</v>
      </c>
      <c r="R2294" s="903">
        <v>43813</v>
      </c>
      <c r="S2294" s="904">
        <v>43820</v>
      </c>
      <c r="T2294" s="894">
        <v>43838</v>
      </c>
      <c r="U2294" s="893">
        <f t="shared" si="117"/>
        <v>154</v>
      </c>
      <c r="V2294" s="893" t="s">
        <v>6748</v>
      </c>
      <c r="W2294" s="1106" t="s">
        <v>6897</v>
      </c>
      <c r="X2294" s="905"/>
      <c r="Y2294" s="905"/>
      <c r="Z2294" s="895"/>
      <c r="AA2294" s="889"/>
      <c r="AB2294" s="892">
        <v>43879</v>
      </c>
      <c r="AC2294" s="476" t="s">
        <v>6845</v>
      </c>
      <c r="AD2294" s="645" t="str">
        <f t="shared" si="118"/>
        <v>en término</v>
      </c>
      <c r="AE2294" s="468" t="s">
        <v>6907</v>
      </c>
      <c r="AF2294" s="468" t="s">
        <v>3082</v>
      </c>
      <c r="AG2294" s="1099">
        <f t="shared" si="114"/>
        <v>43880</v>
      </c>
      <c r="AH2294" s="649">
        <f t="shared" si="119"/>
        <v>-1</v>
      </c>
      <c r="AI2294" s="649" t="str">
        <f t="shared" si="120"/>
        <v>en término</v>
      </c>
    </row>
    <row r="2295" spans="2:35" s="649" customFormat="1" ht="54.95" customHeight="1" thickBot="1" x14ac:dyDescent="0.25">
      <c r="B2295" s="900" t="s">
        <v>36</v>
      </c>
      <c r="C2295" s="887" t="s">
        <v>37</v>
      </c>
      <c r="D2295" s="888" t="s">
        <v>6750</v>
      </c>
      <c r="E2295" s="901"/>
      <c r="F2295" s="1061" t="s">
        <v>6765</v>
      </c>
      <c r="G2295" s="889" t="s">
        <v>39</v>
      </c>
      <c r="H2295" s="890">
        <v>3916</v>
      </c>
      <c r="I2295" s="902" t="s">
        <v>142</v>
      </c>
      <c r="J2295" s="892">
        <v>43683</v>
      </c>
      <c r="K2295" s="893">
        <f t="shared" si="115"/>
        <v>129</v>
      </c>
      <c r="L2295" s="892">
        <v>43812</v>
      </c>
      <c r="M2295" s="892" t="s">
        <v>41</v>
      </c>
      <c r="N2295" s="889" t="s">
        <v>42</v>
      </c>
      <c r="O2295" s="892">
        <v>43805</v>
      </c>
      <c r="P2295" s="893">
        <f t="shared" si="116"/>
        <v>1</v>
      </c>
      <c r="Q2295" s="901" t="s">
        <v>6865</v>
      </c>
      <c r="R2295" s="903">
        <v>43813</v>
      </c>
      <c r="S2295" s="904">
        <v>43820</v>
      </c>
      <c r="T2295" s="894">
        <v>43838</v>
      </c>
      <c r="U2295" s="893">
        <f t="shared" si="117"/>
        <v>155</v>
      </c>
      <c r="V2295" s="893" t="s">
        <v>53</v>
      </c>
      <c r="W2295" s="1106" t="s">
        <v>6897</v>
      </c>
      <c r="X2295" s="905"/>
      <c r="Y2295" s="905"/>
      <c r="Z2295" s="895"/>
      <c r="AA2295" s="889"/>
      <c r="AB2295" s="892">
        <v>43879</v>
      </c>
      <c r="AC2295" s="476" t="s">
        <v>6844</v>
      </c>
      <c r="AD2295" s="645" t="str">
        <f t="shared" si="118"/>
        <v>atrasado</v>
      </c>
      <c r="AE2295" s="468" t="s">
        <v>6907</v>
      </c>
      <c r="AF2295" s="468" t="s">
        <v>3082</v>
      </c>
      <c r="AG2295" s="1099">
        <f t="shared" si="114"/>
        <v>43880</v>
      </c>
      <c r="AH2295" s="649">
        <f t="shared" si="119"/>
        <v>-1</v>
      </c>
      <c r="AI2295" s="649" t="str">
        <f t="shared" si="120"/>
        <v>en término</v>
      </c>
    </row>
    <row r="2296" spans="2:35" s="649" customFormat="1" ht="54.95" customHeight="1" thickBot="1" x14ac:dyDescent="0.25">
      <c r="B2296" s="900" t="s">
        <v>36</v>
      </c>
      <c r="C2296" s="887" t="s">
        <v>37</v>
      </c>
      <c r="D2296" s="888" t="s">
        <v>6441</v>
      </c>
      <c r="E2296" s="901">
        <v>4600557062</v>
      </c>
      <c r="F2296" s="1061" t="s">
        <v>6770</v>
      </c>
      <c r="G2296" s="889" t="s">
        <v>39</v>
      </c>
      <c r="H2296" s="890">
        <v>6907.98</v>
      </c>
      <c r="I2296" s="902" t="s">
        <v>40</v>
      </c>
      <c r="J2296" s="892">
        <v>43707</v>
      </c>
      <c r="K2296" s="893">
        <f t="shared" si="115"/>
        <v>93</v>
      </c>
      <c r="L2296" s="892">
        <v>43800</v>
      </c>
      <c r="M2296" s="892" t="s">
        <v>41</v>
      </c>
      <c r="N2296" s="889" t="s">
        <v>42</v>
      </c>
      <c r="O2296" s="892">
        <v>43805</v>
      </c>
      <c r="P2296" s="893">
        <f t="shared" si="116"/>
        <v>13</v>
      </c>
      <c r="Q2296" s="901" t="s">
        <v>6865</v>
      </c>
      <c r="R2296" s="903">
        <v>43813</v>
      </c>
      <c r="S2296" s="904">
        <v>43820</v>
      </c>
      <c r="T2296" s="894">
        <v>43838</v>
      </c>
      <c r="U2296" s="893">
        <f t="shared" si="117"/>
        <v>131</v>
      </c>
      <c r="V2296" s="893" t="s">
        <v>6872</v>
      </c>
      <c r="W2296" s="1106" t="s">
        <v>6897</v>
      </c>
      <c r="X2296" s="905"/>
      <c r="Y2296" s="905"/>
      <c r="Z2296" s="895"/>
      <c r="AA2296" s="889"/>
      <c r="AB2296" s="892">
        <v>43879</v>
      </c>
      <c r="AC2296" s="476" t="s">
        <v>6898</v>
      </c>
      <c r="AD2296" s="645" t="str">
        <f t="shared" si="118"/>
        <v>atrasado</v>
      </c>
      <c r="AE2296" s="468" t="s">
        <v>6907</v>
      </c>
      <c r="AF2296" s="468" t="s">
        <v>3082</v>
      </c>
      <c r="AG2296" s="1099">
        <f t="shared" si="114"/>
        <v>43880</v>
      </c>
      <c r="AH2296" s="649">
        <f t="shared" si="119"/>
        <v>-1</v>
      </c>
      <c r="AI2296" s="649" t="str">
        <f t="shared" si="120"/>
        <v>en término</v>
      </c>
    </row>
    <row r="2297" spans="2:35" s="649" customFormat="1" ht="54.95" customHeight="1" thickBot="1" x14ac:dyDescent="0.25">
      <c r="B2297" s="900" t="s">
        <v>36</v>
      </c>
      <c r="C2297" s="887" t="s">
        <v>37</v>
      </c>
      <c r="D2297" s="888" t="s">
        <v>6441</v>
      </c>
      <c r="E2297" s="901">
        <v>4600557062</v>
      </c>
      <c r="F2297" s="1061" t="s">
        <v>6770</v>
      </c>
      <c r="G2297" s="889" t="s">
        <v>39</v>
      </c>
      <c r="H2297" s="890">
        <v>2268.56</v>
      </c>
      <c r="I2297" s="902" t="s">
        <v>40</v>
      </c>
      <c r="J2297" s="892">
        <v>43707</v>
      </c>
      <c r="K2297" s="893">
        <f t="shared" si="115"/>
        <v>93</v>
      </c>
      <c r="L2297" s="892">
        <v>43800</v>
      </c>
      <c r="M2297" s="892" t="s">
        <v>41</v>
      </c>
      <c r="N2297" s="889" t="s">
        <v>465</v>
      </c>
      <c r="O2297" s="892">
        <v>43818</v>
      </c>
      <c r="P2297" s="893" t="str">
        <f t="shared" si="116"/>
        <v/>
      </c>
      <c r="Q2297" s="901"/>
      <c r="R2297" s="903"/>
      <c r="S2297" s="904">
        <v>43826</v>
      </c>
      <c r="T2297" s="894">
        <v>43832</v>
      </c>
      <c r="U2297" s="893">
        <f t="shared" si="117"/>
        <v>125</v>
      </c>
      <c r="V2297" s="893" t="s">
        <v>6876</v>
      </c>
      <c r="W2297" s="1106" t="s">
        <v>6924</v>
      </c>
      <c r="X2297" s="905"/>
      <c r="Y2297" s="905"/>
      <c r="Z2297" s="895" t="s">
        <v>1708</v>
      </c>
      <c r="AA2297" s="889"/>
      <c r="AB2297" s="892">
        <v>43879</v>
      </c>
      <c r="AC2297" s="476" t="s">
        <v>6916</v>
      </c>
      <c r="AD2297" s="645" t="str">
        <f t="shared" si="118"/>
        <v/>
      </c>
      <c r="AE2297" s="468"/>
      <c r="AF2297" s="468"/>
      <c r="AG2297" s="1099">
        <f t="shared" si="114"/>
        <v>43886</v>
      </c>
      <c r="AH2297" s="649">
        <f t="shared" si="119"/>
        <v>-7</v>
      </c>
      <c r="AI2297" s="649" t="str">
        <f t="shared" si="120"/>
        <v>en término</v>
      </c>
    </row>
    <row r="2298" spans="2:35" s="649" customFormat="1" ht="54.95" customHeight="1" thickBot="1" x14ac:dyDescent="0.25">
      <c r="B2298" s="900" t="s">
        <v>36</v>
      </c>
      <c r="C2298" s="887" t="s">
        <v>37</v>
      </c>
      <c r="D2298" s="888" t="s">
        <v>6429</v>
      </c>
      <c r="E2298" s="901">
        <v>4600558097</v>
      </c>
      <c r="F2298" s="1061" t="s">
        <v>6772</v>
      </c>
      <c r="G2298" s="889" t="s">
        <v>39</v>
      </c>
      <c r="H2298" s="890">
        <v>6921.86</v>
      </c>
      <c r="I2298" s="902" t="s">
        <v>62</v>
      </c>
      <c r="J2298" s="892">
        <v>43706</v>
      </c>
      <c r="K2298" s="893">
        <f t="shared" si="115"/>
        <v>120</v>
      </c>
      <c r="L2298" s="892">
        <v>43826</v>
      </c>
      <c r="M2298" s="892" t="s">
        <v>41</v>
      </c>
      <c r="N2298" s="889" t="s">
        <v>42</v>
      </c>
      <c r="O2298" s="892">
        <v>43805</v>
      </c>
      <c r="P2298" s="893">
        <f t="shared" si="116"/>
        <v>-13</v>
      </c>
      <c r="Q2298" s="901" t="s">
        <v>6865</v>
      </c>
      <c r="R2298" s="903">
        <v>43813</v>
      </c>
      <c r="S2298" s="904">
        <v>43820</v>
      </c>
      <c r="T2298" s="894">
        <v>43838</v>
      </c>
      <c r="U2298" s="893">
        <f t="shared" si="117"/>
        <v>132</v>
      </c>
      <c r="V2298" s="901" t="s">
        <v>6773</v>
      </c>
      <c r="W2298" s="1106" t="s">
        <v>6897</v>
      </c>
      <c r="X2298" s="905"/>
      <c r="Y2298" s="905"/>
      <c r="Z2298" s="895"/>
      <c r="AA2298" s="889"/>
      <c r="AB2298" s="892">
        <v>43879</v>
      </c>
      <c r="AC2298" s="476" t="s">
        <v>6899</v>
      </c>
      <c r="AD2298" s="645" t="str">
        <f t="shared" si="118"/>
        <v>en término</v>
      </c>
      <c r="AE2298" s="468" t="s">
        <v>6907</v>
      </c>
      <c r="AF2298" s="468" t="s">
        <v>3082</v>
      </c>
      <c r="AG2298" s="1099">
        <f t="shared" si="114"/>
        <v>43880</v>
      </c>
      <c r="AH2298" s="649">
        <f t="shared" si="119"/>
        <v>-1</v>
      </c>
      <c r="AI2298" s="649" t="str">
        <f t="shared" si="120"/>
        <v>en término</v>
      </c>
    </row>
    <row r="2299" spans="2:35" s="649" customFormat="1" ht="54.95" customHeight="1" thickBot="1" x14ac:dyDescent="0.25">
      <c r="B2299" s="900" t="s">
        <v>36</v>
      </c>
      <c r="C2299" s="887" t="s">
        <v>37</v>
      </c>
      <c r="D2299" s="888" t="s">
        <v>65</v>
      </c>
      <c r="E2299" s="901">
        <v>4600548677</v>
      </c>
      <c r="F2299" s="1061" t="s">
        <v>6774</v>
      </c>
      <c r="G2299" s="889" t="s">
        <v>39</v>
      </c>
      <c r="H2299" s="890">
        <v>16650</v>
      </c>
      <c r="I2299" s="902" t="s">
        <v>52</v>
      </c>
      <c r="J2299" s="892">
        <v>43710</v>
      </c>
      <c r="K2299" s="893">
        <f t="shared" si="115"/>
        <v>90</v>
      </c>
      <c r="L2299" s="892">
        <v>43800</v>
      </c>
      <c r="M2299" s="892" t="s">
        <v>41</v>
      </c>
      <c r="N2299" s="889" t="s">
        <v>42</v>
      </c>
      <c r="O2299" s="892">
        <v>43805</v>
      </c>
      <c r="P2299" s="893">
        <f t="shared" si="116"/>
        <v>13</v>
      </c>
      <c r="Q2299" s="901" t="s">
        <v>6865</v>
      </c>
      <c r="R2299" s="903">
        <v>43813</v>
      </c>
      <c r="S2299" s="904">
        <v>43820</v>
      </c>
      <c r="T2299" s="894">
        <v>43838</v>
      </c>
      <c r="U2299" s="893">
        <f t="shared" si="117"/>
        <v>128</v>
      </c>
      <c r="V2299" s="893" t="s">
        <v>6775</v>
      </c>
      <c r="W2299" s="1106" t="s">
        <v>6897</v>
      </c>
      <c r="X2299" s="905"/>
      <c r="Y2299" s="888"/>
      <c r="Z2299" s="895"/>
      <c r="AA2299" s="889"/>
      <c r="AB2299" s="892">
        <v>43879</v>
      </c>
      <c r="AC2299" s="476" t="s">
        <v>6842</v>
      </c>
      <c r="AD2299" s="645" t="str">
        <f t="shared" si="118"/>
        <v>atrasado</v>
      </c>
      <c r="AE2299" s="468" t="s">
        <v>6907</v>
      </c>
      <c r="AF2299" s="468" t="s">
        <v>3082</v>
      </c>
      <c r="AG2299" s="1099">
        <f t="shared" si="114"/>
        <v>43880</v>
      </c>
      <c r="AH2299" s="649">
        <f t="shared" si="119"/>
        <v>-1</v>
      </c>
      <c r="AI2299" s="649" t="str">
        <f t="shared" si="120"/>
        <v>en término</v>
      </c>
    </row>
    <row r="2300" spans="2:35" s="649" customFormat="1" ht="54.95" customHeight="1" thickBot="1" x14ac:dyDescent="0.25">
      <c r="B2300" s="900" t="s">
        <v>36</v>
      </c>
      <c r="C2300" s="887" t="s">
        <v>37</v>
      </c>
      <c r="D2300" s="888" t="s">
        <v>65</v>
      </c>
      <c r="E2300" s="901">
        <v>4600548677</v>
      </c>
      <c r="F2300" s="1061" t="s">
        <v>6776</v>
      </c>
      <c r="G2300" s="889" t="s">
        <v>39</v>
      </c>
      <c r="H2300" s="890">
        <v>46287</v>
      </c>
      <c r="I2300" s="902" t="s">
        <v>40</v>
      </c>
      <c r="J2300" s="892">
        <v>43704</v>
      </c>
      <c r="K2300" s="893">
        <f t="shared" si="115"/>
        <v>115</v>
      </c>
      <c r="L2300" s="892">
        <v>43819</v>
      </c>
      <c r="M2300" s="892" t="s">
        <v>41</v>
      </c>
      <c r="N2300" s="889" t="s">
        <v>42</v>
      </c>
      <c r="O2300" s="892">
        <v>43805</v>
      </c>
      <c r="P2300" s="893">
        <f t="shared" si="116"/>
        <v>-6</v>
      </c>
      <c r="Q2300" s="901" t="s">
        <v>6865</v>
      </c>
      <c r="R2300" s="903">
        <v>43813</v>
      </c>
      <c r="S2300" s="904">
        <v>43820</v>
      </c>
      <c r="T2300" s="894">
        <v>43838</v>
      </c>
      <c r="U2300" s="893">
        <f t="shared" si="117"/>
        <v>134</v>
      </c>
      <c r="V2300" s="893" t="s">
        <v>6777</v>
      </c>
      <c r="W2300" s="1106" t="s">
        <v>6897</v>
      </c>
      <c r="X2300" s="905"/>
      <c r="Y2300" s="888"/>
      <c r="Z2300" s="895"/>
      <c r="AA2300" s="889"/>
      <c r="AB2300" s="892">
        <v>43879</v>
      </c>
      <c r="AC2300" s="476" t="s">
        <v>6843</v>
      </c>
      <c r="AD2300" s="645" t="str">
        <f t="shared" si="118"/>
        <v>en término</v>
      </c>
      <c r="AE2300" s="468" t="s">
        <v>6907</v>
      </c>
      <c r="AF2300" s="468" t="s">
        <v>3082</v>
      </c>
      <c r="AG2300" s="1099">
        <f t="shared" si="114"/>
        <v>43880</v>
      </c>
      <c r="AH2300" s="649">
        <f t="shared" si="119"/>
        <v>-1</v>
      </c>
      <c r="AI2300" s="649" t="str">
        <f t="shared" si="120"/>
        <v>en término</v>
      </c>
    </row>
    <row r="2301" spans="2:35" s="649" customFormat="1" ht="54.95" customHeight="1" thickBot="1" x14ac:dyDescent="0.25">
      <c r="B2301" s="900" t="s">
        <v>36</v>
      </c>
      <c r="C2301" s="887" t="s">
        <v>37</v>
      </c>
      <c r="D2301" s="888" t="s">
        <v>65</v>
      </c>
      <c r="E2301" s="901">
        <v>4600548677</v>
      </c>
      <c r="F2301" s="1061" t="s">
        <v>6778</v>
      </c>
      <c r="G2301" s="889" t="s">
        <v>39</v>
      </c>
      <c r="H2301" s="890">
        <v>333</v>
      </c>
      <c r="I2301" s="902" t="s">
        <v>40</v>
      </c>
      <c r="J2301" s="892">
        <v>43711</v>
      </c>
      <c r="K2301" s="893">
        <f t="shared" si="115"/>
        <v>89</v>
      </c>
      <c r="L2301" s="892">
        <v>43800</v>
      </c>
      <c r="M2301" s="892" t="s">
        <v>41</v>
      </c>
      <c r="N2301" s="889" t="s">
        <v>42</v>
      </c>
      <c r="O2301" s="892">
        <v>43805</v>
      </c>
      <c r="P2301" s="893">
        <f t="shared" si="116"/>
        <v>13</v>
      </c>
      <c r="Q2301" s="901" t="s">
        <v>6865</v>
      </c>
      <c r="R2301" s="903">
        <v>43813</v>
      </c>
      <c r="S2301" s="904">
        <v>43820</v>
      </c>
      <c r="T2301" s="894">
        <v>43838</v>
      </c>
      <c r="U2301" s="893">
        <f t="shared" si="117"/>
        <v>127</v>
      </c>
      <c r="V2301" s="893" t="s">
        <v>6779</v>
      </c>
      <c r="W2301" s="1106" t="s">
        <v>6897</v>
      </c>
      <c r="X2301" s="905"/>
      <c r="Y2301" s="888"/>
      <c r="Z2301" s="895"/>
      <c r="AA2301" s="889"/>
      <c r="AB2301" s="892">
        <v>43879</v>
      </c>
      <c r="AC2301" s="476" t="s">
        <v>6841</v>
      </c>
      <c r="AD2301" s="645" t="str">
        <f t="shared" si="118"/>
        <v>atrasado</v>
      </c>
      <c r="AE2301" s="468" t="s">
        <v>6907</v>
      </c>
      <c r="AF2301" s="468" t="s">
        <v>3082</v>
      </c>
      <c r="AG2301" s="1099">
        <f t="shared" si="114"/>
        <v>43880</v>
      </c>
      <c r="AH2301" s="649">
        <f t="shared" si="119"/>
        <v>-1</v>
      </c>
      <c r="AI2301" s="649" t="str">
        <f t="shared" si="120"/>
        <v>en término</v>
      </c>
    </row>
    <row r="2302" spans="2:35" s="649" customFormat="1" ht="54.95" customHeight="1" thickBot="1" x14ac:dyDescent="0.25">
      <c r="B2302" s="900" t="s">
        <v>36</v>
      </c>
      <c r="C2302" s="887" t="s">
        <v>37</v>
      </c>
      <c r="D2302" s="888" t="s">
        <v>6441</v>
      </c>
      <c r="E2302" s="901">
        <v>4600557062</v>
      </c>
      <c r="F2302" s="1061" t="s">
        <v>6785</v>
      </c>
      <c r="G2302" s="889" t="s">
        <v>39</v>
      </c>
      <c r="H2302" s="890">
        <v>4516.8500000000004</v>
      </c>
      <c r="I2302" s="902" t="s">
        <v>142</v>
      </c>
      <c r="J2302" s="892">
        <v>43721</v>
      </c>
      <c r="K2302" s="893">
        <f t="shared" si="115"/>
        <v>91</v>
      </c>
      <c r="L2302" s="892">
        <v>43812</v>
      </c>
      <c r="M2302" s="892" t="s">
        <v>41</v>
      </c>
      <c r="N2302" s="889" t="s">
        <v>42</v>
      </c>
      <c r="O2302" s="892">
        <v>43805</v>
      </c>
      <c r="P2302" s="893">
        <f t="shared" si="116"/>
        <v>1</v>
      </c>
      <c r="Q2302" s="901" t="s">
        <v>6865</v>
      </c>
      <c r="R2302" s="903">
        <v>43813</v>
      </c>
      <c r="S2302" s="904">
        <v>43820</v>
      </c>
      <c r="T2302" s="894">
        <v>43838</v>
      </c>
      <c r="U2302" s="893">
        <f t="shared" si="117"/>
        <v>117</v>
      </c>
      <c r="V2302" s="893" t="s">
        <v>53</v>
      </c>
      <c r="W2302" s="1106" t="s">
        <v>6897</v>
      </c>
      <c r="X2302" s="905"/>
      <c r="Y2302" s="905"/>
      <c r="Z2302" s="895"/>
      <c r="AA2302" s="889"/>
      <c r="AB2302" s="892">
        <v>43879</v>
      </c>
      <c r="AC2302" s="476" t="s">
        <v>6838</v>
      </c>
      <c r="AD2302" s="645" t="str">
        <f t="shared" si="118"/>
        <v>atrasado</v>
      </c>
      <c r="AE2302" s="468" t="s">
        <v>6907</v>
      </c>
      <c r="AF2302" s="468" t="s">
        <v>3082</v>
      </c>
      <c r="AG2302" s="1099">
        <f t="shared" si="114"/>
        <v>43880</v>
      </c>
      <c r="AH2302" s="649">
        <f t="shared" si="119"/>
        <v>-1</v>
      </c>
      <c r="AI2302" s="649" t="str">
        <f t="shared" si="120"/>
        <v>en término</v>
      </c>
    </row>
    <row r="2303" spans="2:35" s="649" customFormat="1" ht="54.95" customHeight="1" thickBot="1" x14ac:dyDescent="0.25">
      <c r="B2303" s="900" t="s">
        <v>36</v>
      </c>
      <c r="C2303" s="887" t="s">
        <v>37</v>
      </c>
      <c r="D2303" s="888" t="s">
        <v>6441</v>
      </c>
      <c r="E2303" s="901">
        <v>4600557062</v>
      </c>
      <c r="F2303" s="1061" t="s">
        <v>6798</v>
      </c>
      <c r="G2303" s="889" t="s">
        <v>39</v>
      </c>
      <c r="H2303" s="890">
        <v>3606.67</v>
      </c>
      <c r="I2303" s="902" t="s">
        <v>52</v>
      </c>
      <c r="J2303" s="892">
        <v>43734</v>
      </c>
      <c r="K2303" s="893">
        <f t="shared" si="115"/>
        <v>89</v>
      </c>
      <c r="L2303" s="892">
        <v>43823</v>
      </c>
      <c r="M2303" s="892" t="s">
        <v>41</v>
      </c>
      <c r="N2303" s="889" t="s">
        <v>42</v>
      </c>
      <c r="O2303" s="892">
        <v>43805</v>
      </c>
      <c r="P2303" s="893">
        <f t="shared" si="116"/>
        <v>-10</v>
      </c>
      <c r="Q2303" s="901" t="s">
        <v>6865</v>
      </c>
      <c r="R2303" s="903">
        <v>43813</v>
      </c>
      <c r="S2303" s="904">
        <v>43820</v>
      </c>
      <c r="T2303" s="894">
        <v>43838</v>
      </c>
      <c r="U2303" s="893">
        <f t="shared" si="117"/>
        <v>104</v>
      </c>
      <c r="V2303" s="893" t="s">
        <v>53</v>
      </c>
      <c r="W2303" s="1106" t="s">
        <v>6897</v>
      </c>
      <c r="X2303" s="905"/>
      <c r="Y2303" s="905"/>
      <c r="Z2303" s="895"/>
      <c r="AA2303" s="889"/>
      <c r="AB2303" s="892">
        <v>43879</v>
      </c>
      <c r="AC2303" s="476" t="s">
        <v>6840</v>
      </c>
      <c r="AD2303" s="645" t="str">
        <f t="shared" si="118"/>
        <v>en término</v>
      </c>
      <c r="AE2303" s="468" t="s">
        <v>6907</v>
      </c>
      <c r="AF2303" s="468" t="s">
        <v>3082</v>
      </c>
      <c r="AG2303" s="1099">
        <f t="shared" si="114"/>
        <v>43880</v>
      </c>
      <c r="AH2303" s="649">
        <f t="shared" si="119"/>
        <v>-1</v>
      </c>
      <c r="AI2303" s="649" t="str">
        <f t="shared" si="120"/>
        <v>en término</v>
      </c>
    </row>
    <row r="2304" spans="2:35" s="649" customFormat="1" ht="54.95" customHeight="1" thickBot="1" x14ac:dyDescent="0.25">
      <c r="B2304" s="900" t="s">
        <v>36</v>
      </c>
      <c r="C2304" s="887" t="s">
        <v>37</v>
      </c>
      <c r="D2304" s="888" t="s">
        <v>6441</v>
      </c>
      <c r="E2304" s="901">
        <v>4600557062</v>
      </c>
      <c r="F2304" s="1061" t="s">
        <v>6803</v>
      </c>
      <c r="G2304" s="889" t="s">
        <v>39</v>
      </c>
      <c r="H2304" s="890">
        <v>6811.91</v>
      </c>
      <c r="I2304" s="902" t="s">
        <v>62</v>
      </c>
      <c r="J2304" s="892">
        <v>43734</v>
      </c>
      <c r="K2304" s="893">
        <f t="shared" si="115"/>
        <v>89</v>
      </c>
      <c r="L2304" s="892">
        <v>43823</v>
      </c>
      <c r="M2304" s="892" t="s">
        <v>41</v>
      </c>
      <c r="N2304" s="889" t="s">
        <v>42</v>
      </c>
      <c r="O2304" s="892">
        <v>43805</v>
      </c>
      <c r="P2304" s="893">
        <f t="shared" si="116"/>
        <v>-10</v>
      </c>
      <c r="Q2304" s="901" t="s">
        <v>6865</v>
      </c>
      <c r="R2304" s="903">
        <v>43813</v>
      </c>
      <c r="S2304" s="904">
        <v>43820</v>
      </c>
      <c r="T2304" s="894">
        <v>43838</v>
      </c>
      <c r="U2304" s="893">
        <f t="shared" si="117"/>
        <v>104</v>
      </c>
      <c r="V2304" s="893" t="s">
        <v>6799</v>
      </c>
      <c r="W2304" s="1106" t="s">
        <v>6897</v>
      </c>
      <c r="X2304" s="905"/>
      <c r="Y2304" s="905"/>
      <c r="Z2304" s="895"/>
      <c r="AA2304" s="889"/>
      <c r="AB2304" s="892">
        <v>43879</v>
      </c>
      <c r="AC2304" s="476" t="s">
        <v>6839</v>
      </c>
      <c r="AD2304" s="645" t="str">
        <f t="shared" si="118"/>
        <v>en término</v>
      </c>
      <c r="AE2304" s="468" t="s">
        <v>6907</v>
      </c>
      <c r="AF2304" s="468" t="s">
        <v>3082</v>
      </c>
      <c r="AG2304" s="1099">
        <f t="shared" si="114"/>
        <v>43880</v>
      </c>
      <c r="AH2304" s="649">
        <f t="shared" si="119"/>
        <v>-1</v>
      </c>
      <c r="AI2304" s="649" t="str">
        <f t="shared" si="120"/>
        <v>en término</v>
      </c>
    </row>
    <row r="2308" spans="1:39" ht="12" thickBot="1" x14ac:dyDescent="0.25"/>
    <row r="2309" spans="1:39" s="556" customFormat="1" ht="39.950000000000003" customHeight="1" thickBot="1" x14ac:dyDescent="0.4">
      <c r="A2309" s="554"/>
      <c r="B2309" s="1611">
        <v>2020</v>
      </c>
      <c r="C2309" s="1612"/>
      <c r="D2309" s="1612"/>
      <c r="E2309" s="1612"/>
      <c r="F2309" s="1612"/>
      <c r="G2309" s="1612"/>
      <c r="H2309" s="1612"/>
      <c r="I2309" s="1612"/>
      <c r="J2309" s="1612"/>
      <c r="K2309" s="1612"/>
      <c r="L2309" s="1612"/>
      <c r="M2309" s="1612"/>
      <c r="N2309" s="1612"/>
      <c r="O2309" s="1612"/>
      <c r="P2309" s="1612"/>
      <c r="Q2309" s="1612"/>
      <c r="R2309" s="1612"/>
      <c r="S2309" s="1612"/>
      <c r="T2309" s="1612"/>
      <c r="U2309" s="1612"/>
      <c r="V2309" s="1612"/>
      <c r="W2309" s="1612"/>
      <c r="X2309" s="1612"/>
      <c r="Y2309" s="1612"/>
      <c r="Z2309" s="1612"/>
      <c r="AA2309" s="1612"/>
      <c r="AB2309" s="1612"/>
      <c r="AC2309" s="1613"/>
      <c r="AD2309" s="555"/>
    </row>
    <row r="2310" spans="1:39" s="441" customFormat="1" ht="60" customHeight="1" thickBot="1" x14ac:dyDescent="0.25">
      <c r="A2310" s="438"/>
      <c r="B2310" s="451" t="s">
        <v>130</v>
      </c>
      <c r="C2310" s="451" t="s">
        <v>4</v>
      </c>
      <c r="D2310" s="451" t="s">
        <v>5</v>
      </c>
      <c r="E2310" s="451" t="s">
        <v>6</v>
      </c>
      <c r="F2310" s="451" t="s">
        <v>7</v>
      </c>
      <c r="G2310" s="451" t="s">
        <v>8</v>
      </c>
      <c r="H2310" s="453" t="s">
        <v>9</v>
      </c>
      <c r="I2310" s="453" t="s">
        <v>10</v>
      </c>
      <c r="J2310" s="451" t="s">
        <v>11</v>
      </c>
      <c r="K2310" s="451" t="s">
        <v>12</v>
      </c>
      <c r="L2310" s="451" t="s">
        <v>13</v>
      </c>
      <c r="M2310" s="451" t="s">
        <v>14</v>
      </c>
      <c r="N2310" s="451" t="s">
        <v>15</v>
      </c>
      <c r="O2310" s="452" t="s">
        <v>16</v>
      </c>
      <c r="P2310" s="454" t="s">
        <v>17</v>
      </c>
      <c r="Q2310" s="451" t="s">
        <v>18</v>
      </c>
      <c r="R2310" s="452" t="s">
        <v>19</v>
      </c>
      <c r="S2310" s="451" t="s">
        <v>20</v>
      </c>
      <c r="T2310" s="451" t="s">
        <v>21</v>
      </c>
      <c r="U2310" s="452" t="s">
        <v>22</v>
      </c>
      <c r="V2310" s="451" t="s">
        <v>131</v>
      </c>
      <c r="W2310" s="451" t="s">
        <v>24</v>
      </c>
      <c r="X2310" s="451" t="s">
        <v>132</v>
      </c>
      <c r="Y2310" s="451" t="s">
        <v>26</v>
      </c>
      <c r="Z2310" s="451" t="s">
        <v>27</v>
      </c>
      <c r="AA2310" s="451" t="s">
        <v>28</v>
      </c>
      <c r="AB2310" s="451" t="s">
        <v>29</v>
      </c>
      <c r="AC2310" s="451" t="s">
        <v>30</v>
      </c>
      <c r="AD2310" s="439"/>
      <c r="AE2310" s="440"/>
      <c r="AF2310" s="440" t="s">
        <v>7187</v>
      </c>
      <c r="AG2310" s="440" t="s">
        <v>7188</v>
      </c>
      <c r="AH2310" s="440" t="s">
        <v>7189</v>
      </c>
      <c r="AI2310" s="440" t="s">
        <v>7190</v>
      </c>
      <c r="AJ2310" s="440"/>
      <c r="AK2310" s="440"/>
      <c r="AL2310" s="440"/>
      <c r="AM2310" s="440"/>
    </row>
    <row r="2311" spans="1:39" s="649" customFormat="1" ht="54.95" customHeight="1" thickBot="1" x14ac:dyDescent="0.25">
      <c r="B2311" s="900" t="s">
        <v>36</v>
      </c>
      <c r="C2311" s="887" t="s">
        <v>7534</v>
      </c>
      <c r="D2311" s="888" t="s">
        <v>6429</v>
      </c>
      <c r="E2311" s="901">
        <v>4600558097</v>
      </c>
      <c r="F2311" s="1061" t="s">
        <v>6626</v>
      </c>
      <c r="G2311" s="889" t="s">
        <v>39</v>
      </c>
      <c r="H2311" s="890">
        <v>200055</v>
      </c>
      <c r="I2311" s="902" t="s">
        <v>62</v>
      </c>
      <c r="J2311" s="892">
        <v>43508</v>
      </c>
      <c r="K2311" s="893">
        <f t="shared" ref="K2311:K2342" si="121">+L2311-J2311</f>
        <v>337</v>
      </c>
      <c r="L2311" s="892">
        <v>43845</v>
      </c>
      <c r="M2311" s="892" t="s">
        <v>41</v>
      </c>
      <c r="N2311" s="889" t="s">
        <v>42</v>
      </c>
      <c r="O2311" s="892">
        <v>43840</v>
      </c>
      <c r="P2311" s="893">
        <f t="shared" ref="P2311:P2342" si="122">IF(R2311="","",+R2311-L2311)</f>
        <v>2</v>
      </c>
      <c r="Q2311" s="901" t="s">
        <v>6906</v>
      </c>
      <c r="R2311" s="903">
        <v>43847</v>
      </c>
      <c r="S2311" s="904">
        <v>43853</v>
      </c>
      <c r="T2311" s="894">
        <v>43868</v>
      </c>
      <c r="U2311" s="893">
        <f t="shared" ref="U2311:U2342" si="123">IF(T2311="","",+T2311-J2311)</f>
        <v>360</v>
      </c>
      <c r="V2311" s="901" t="s">
        <v>6719</v>
      </c>
      <c r="W2311" s="1106" t="s">
        <v>6923</v>
      </c>
      <c r="X2311" s="905"/>
      <c r="Y2311" s="905"/>
      <c r="Z2311" s="895" t="s">
        <v>6656</v>
      </c>
      <c r="AA2311" s="889"/>
      <c r="AB2311" s="892">
        <v>43910</v>
      </c>
      <c r="AC2311" s="1078" t="s">
        <v>6847</v>
      </c>
      <c r="AD2311" s="645" t="str">
        <f t="shared" ref="AD2311:AD2342" si="124">IF(P2311="","",IF(P2311&lt;=0,"en término","atrasado"))</f>
        <v>atrasado</v>
      </c>
      <c r="AE2311" s="468" t="s">
        <v>6914</v>
      </c>
      <c r="AF2311" s="468" t="s">
        <v>2968</v>
      </c>
      <c r="AG2311" s="1099">
        <f t="shared" ref="AG2311:AG2342" si="125">+S2311+60</f>
        <v>43913</v>
      </c>
      <c r="AH2311" s="649">
        <f t="shared" ref="AH2311:AH2342" si="126">IF(AB2311="","",+AB2311-AG2311)</f>
        <v>-3</v>
      </c>
      <c r="AI2311" s="649" t="str">
        <f t="shared" ref="AI2311:AI2342" si="127">IF(AH2311="","",IF(AH2311&lt;=0,"en término","atrasado"))</f>
        <v>en término</v>
      </c>
    </row>
    <row r="2312" spans="1:39" s="649" customFormat="1" ht="54.95" customHeight="1" thickBot="1" x14ac:dyDescent="0.25">
      <c r="B2312" s="900" t="s">
        <v>36</v>
      </c>
      <c r="C2312" s="887" t="s">
        <v>7534</v>
      </c>
      <c r="D2312" s="888" t="s">
        <v>6793</v>
      </c>
      <c r="E2312" s="901"/>
      <c r="F2312" s="1061" t="s">
        <v>6794</v>
      </c>
      <c r="G2312" s="889" t="s">
        <v>39</v>
      </c>
      <c r="H2312" s="890">
        <v>1150</v>
      </c>
      <c r="I2312" s="902" t="s">
        <v>62</v>
      </c>
      <c r="J2312" s="892">
        <v>43726</v>
      </c>
      <c r="K2312" s="893">
        <f t="shared" si="121"/>
        <v>137</v>
      </c>
      <c r="L2312" s="892">
        <v>43863</v>
      </c>
      <c r="M2312" s="892" t="s">
        <v>41</v>
      </c>
      <c r="N2312" s="889" t="s">
        <v>42</v>
      </c>
      <c r="O2312" s="892">
        <v>43840</v>
      </c>
      <c r="P2312" s="893">
        <f t="shared" si="122"/>
        <v>-16</v>
      </c>
      <c r="Q2312" s="901" t="s">
        <v>6906</v>
      </c>
      <c r="R2312" s="903">
        <v>43847</v>
      </c>
      <c r="S2312" s="904">
        <v>43853</v>
      </c>
      <c r="T2312" s="894">
        <v>43868</v>
      </c>
      <c r="U2312" s="893">
        <f t="shared" si="123"/>
        <v>142</v>
      </c>
      <c r="V2312" s="893" t="s">
        <v>1020</v>
      </c>
      <c r="W2312" s="1106" t="s">
        <v>6923</v>
      </c>
      <c r="X2312" s="905"/>
      <c r="Y2312" s="905"/>
      <c r="Z2312" s="895" t="s">
        <v>6656</v>
      </c>
      <c r="AA2312" s="889"/>
      <c r="AB2312" s="892">
        <v>43910</v>
      </c>
      <c r="AC2312" s="476" t="s">
        <v>6849</v>
      </c>
      <c r="AD2312" s="645" t="str">
        <f t="shared" si="124"/>
        <v>en término</v>
      </c>
      <c r="AE2312" s="468" t="s">
        <v>6914</v>
      </c>
      <c r="AF2312" s="468" t="s">
        <v>2968</v>
      </c>
      <c r="AG2312" s="1099">
        <f t="shared" si="125"/>
        <v>43913</v>
      </c>
      <c r="AH2312" s="649">
        <f t="shared" si="126"/>
        <v>-3</v>
      </c>
      <c r="AI2312" s="649" t="str">
        <f t="shared" si="127"/>
        <v>en término</v>
      </c>
    </row>
    <row r="2313" spans="1:39" s="649" customFormat="1" ht="54.95" customHeight="1" thickBot="1" x14ac:dyDescent="0.25">
      <c r="B2313" s="900" t="s">
        <v>36</v>
      </c>
      <c r="C2313" s="887" t="s">
        <v>7534</v>
      </c>
      <c r="D2313" s="888" t="s">
        <v>6441</v>
      </c>
      <c r="E2313" s="901">
        <v>4600557062</v>
      </c>
      <c r="F2313" s="1061" t="s">
        <v>6825</v>
      </c>
      <c r="G2313" s="889" t="s">
        <v>39</v>
      </c>
      <c r="H2313" s="890">
        <v>8337.58</v>
      </c>
      <c r="I2313" s="902" t="s">
        <v>40</v>
      </c>
      <c r="J2313" s="892">
        <v>43773</v>
      </c>
      <c r="K2313" s="893">
        <f t="shared" si="121"/>
        <v>91</v>
      </c>
      <c r="L2313" s="892">
        <v>43864</v>
      </c>
      <c r="M2313" s="892" t="s">
        <v>41</v>
      </c>
      <c r="N2313" s="889" t="s">
        <v>42</v>
      </c>
      <c r="O2313" s="892">
        <v>43840</v>
      </c>
      <c r="P2313" s="893">
        <f t="shared" si="122"/>
        <v>-17</v>
      </c>
      <c r="Q2313" s="901" t="s">
        <v>6906</v>
      </c>
      <c r="R2313" s="903">
        <v>43847</v>
      </c>
      <c r="S2313" s="904">
        <v>43853</v>
      </c>
      <c r="T2313" s="894">
        <v>43868</v>
      </c>
      <c r="U2313" s="893">
        <f t="shared" si="123"/>
        <v>95</v>
      </c>
      <c r="V2313" s="893" t="s">
        <v>6826</v>
      </c>
      <c r="W2313" s="1106" t="s">
        <v>6923</v>
      </c>
      <c r="X2313" s="905"/>
      <c r="Y2313" s="905"/>
      <c r="Z2313" s="895" t="s">
        <v>6656</v>
      </c>
      <c r="AA2313" s="889"/>
      <c r="AB2313" s="892">
        <v>43910</v>
      </c>
      <c r="AC2313" s="476" t="s">
        <v>6850</v>
      </c>
      <c r="AD2313" s="645" t="str">
        <f t="shared" si="124"/>
        <v>en término</v>
      </c>
      <c r="AE2313" s="468" t="s">
        <v>6914</v>
      </c>
      <c r="AF2313" s="468" t="s">
        <v>2968</v>
      </c>
      <c r="AG2313" s="1099">
        <f t="shared" si="125"/>
        <v>43913</v>
      </c>
      <c r="AH2313" s="649">
        <f t="shared" si="126"/>
        <v>-3</v>
      </c>
      <c r="AI2313" s="649" t="str">
        <f t="shared" si="127"/>
        <v>en término</v>
      </c>
    </row>
    <row r="2314" spans="1:39" s="649" customFormat="1" ht="54.95" customHeight="1" thickBot="1" x14ac:dyDescent="0.25">
      <c r="B2314" s="900" t="s">
        <v>36</v>
      </c>
      <c r="C2314" s="887" t="s">
        <v>7534</v>
      </c>
      <c r="D2314" s="888" t="s">
        <v>6829</v>
      </c>
      <c r="E2314" s="901" t="s">
        <v>6828</v>
      </c>
      <c r="F2314" s="1061" t="s">
        <v>6827</v>
      </c>
      <c r="G2314" s="889" t="s">
        <v>39</v>
      </c>
      <c r="H2314" s="890">
        <v>1120</v>
      </c>
      <c r="I2314" s="902"/>
      <c r="J2314" s="892">
        <v>43776</v>
      </c>
      <c r="K2314" s="893">
        <f t="shared" si="121"/>
        <v>90</v>
      </c>
      <c r="L2314" s="892">
        <v>43866</v>
      </c>
      <c r="M2314" s="892" t="s">
        <v>41</v>
      </c>
      <c r="N2314" s="889" t="s">
        <v>42</v>
      </c>
      <c r="O2314" s="892">
        <v>43840</v>
      </c>
      <c r="P2314" s="893">
        <f t="shared" si="122"/>
        <v>-19</v>
      </c>
      <c r="Q2314" s="901" t="s">
        <v>6906</v>
      </c>
      <c r="R2314" s="903">
        <v>43847</v>
      </c>
      <c r="S2314" s="904">
        <v>43853</v>
      </c>
      <c r="T2314" s="894">
        <v>43868</v>
      </c>
      <c r="U2314" s="893">
        <f t="shared" si="123"/>
        <v>92</v>
      </c>
      <c r="V2314" s="893" t="s">
        <v>1020</v>
      </c>
      <c r="W2314" s="1106" t="s">
        <v>6923</v>
      </c>
      <c r="X2314" s="905"/>
      <c r="Y2314" s="905"/>
      <c r="Z2314" s="895" t="s">
        <v>6656</v>
      </c>
      <c r="AA2314" s="889"/>
      <c r="AB2314" s="892">
        <v>43910</v>
      </c>
      <c r="AC2314" s="476" t="s">
        <v>6800</v>
      </c>
      <c r="AD2314" s="645" t="str">
        <f t="shared" si="124"/>
        <v>en término</v>
      </c>
      <c r="AE2314" s="468" t="s">
        <v>6914</v>
      </c>
      <c r="AF2314" s="468" t="s">
        <v>2968</v>
      </c>
      <c r="AG2314" s="1099">
        <f t="shared" si="125"/>
        <v>43913</v>
      </c>
      <c r="AH2314" s="649">
        <f t="shared" si="126"/>
        <v>-3</v>
      </c>
      <c r="AI2314" s="649" t="str">
        <f t="shared" si="127"/>
        <v>en término</v>
      </c>
    </row>
    <row r="2315" spans="1:39" s="649" customFormat="1" ht="54.95" customHeight="1" thickBot="1" x14ac:dyDescent="0.25">
      <c r="B2315" s="900" t="s">
        <v>36</v>
      </c>
      <c r="C2315" s="887" t="s">
        <v>7534</v>
      </c>
      <c r="D2315" s="888" t="s">
        <v>6429</v>
      </c>
      <c r="E2315" s="901">
        <v>4600558097</v>
      </c>
      <c r="F2315" s="1061" t="s">
        <v>6626</v>
      </c>
      <c r="G2315" s="889" t="s">
        <v>39</v>
      </c>
      <c r="H2315" s="890">
        <v>207314</v>
      </c>
      <c r="I2315" s="902" t="s">
        <v>62</v>
      </c>
      <c r="J2315" s="892">
        <v>43508</v>
      </c>
      <c r="K2315" s="893">
        <f t="shared" si="121"/>
        <v>368</v>
      </c>
      <c r="L2315" s="892">
        <v>43876</v>
      </c>
      <c r="M2315" s="892" t="s">
        <v>41</v>
      </c>
      <c r="N2315" s="889" t="s">
        <v>42</v>
      </c>
      <c r="O2315" s="892">
        <v>43875</v>
      </c>
      <c r="P2315" s="893">
        <f t="shared" si="122"/>
        <v>7</v>
      </c>
      <c r="Q2315" s="901" t="s">
        <v>6915</v>
      </c>
      <c r="R2315" s="903">
        <v>43883</v>
      </c>
      <c r="S2315" s="904">
        <v>43884</v>
      </c>
      <c r="T2315" s="894">
        <f t="shared" ref="T2315:T2320" si="128">+S2315+20</f>
        <v>43904</v>
      </c>
      <c r="U2315" s="893">
        <f t="shared" si="123"/>
        <v>396</v>
      </c>
      <c r="V2315" s="901" t="s">
        <v>6728</v>
      </c>
      <c r="W2315" s="1106" t="s">
        <v>6939</v>
      </c>
      <c r="X2315" s="905"/>
      <c r="Y2315" s="905"/>
      <c r="Z2315" s="895" t="s">
        <v>6940</v>
      </c>
      <c r="AA2315" s="889"/>
      <c r="AB2315" s="892">
        <v>43944</v>
      </c>
      <c r="AC2315" s="1078" t="s">
        <v>6848</v>
      </c>
      <c r="AD2315" s="645" t="str">
        <f t="shared" si="124"/>
        <v>atrasado</v>
      </c>
      <c r="AE2315" s="468" t="s">
        <v>6981</v>
      </c>
      <c r="AF2315" s="468" t="s">
        <v>3846</v>
      </c>
      <c r="AG2315" s="1099">
        <f t="shared" si="125"/>
        <v>43944</v>
      </c>
      <c r="AH2315" s="649">
        <f t="shared" si="126"/>
        <v>0</v>
      </c>
      <c r="AI2315" s="649" t="str">
        <f t="shared" si="127"/>
        <v>en término</v>
      </c>
    </row>
    <row r="2316" spans="1:39" s="649" customFormat="1" ht="54.95" customHeight="1" thickBot="1" x14ac:dyDescent="0.25">
      <c r="B2316" s="900" t="s">
        <v>36</v>
      </c>
      <c r="C2316" s="887" t="s">
        <v>7534</v>
      </c>
      <c r="D2316" s="888" t="s">
        <v>6866</v>
      </c>
      <c r="E2316" s="901"/>
      <c r="F2316" s="1061" t="s">
        <v>6867</v>
      </c>
      <c r="G2316" s="889" t="s">
        <v>39</v>
      </c>
      <c r="H2316" s="890">
        <v>59244.1</v>
      </c>
      <c r="I2316" s="902" t="s">
        <v>52</v>
      </c>
      <c r="J2316" s="892">
        <v>43801</v>
      </c>
      <c r="K2316" s="893">
        <f t="shared" si="121"/>
        <v>86</v>
      </c>
      <c r="L2316" s="892">
        <v>43887</v>
      </c>
      <c r="M2316" s="892" t="s">
        <v>41</v>
      </c>
      <c r="N2316" s="889" t="s">
        <v>42</v>
      </c>
      <c r="O2316" s="892">
        <v>43875</v>
      </c>
      <c r="P2316" s="893">
        <f t="shared" si="122"/>
        <v>-4</v>
      </c>
      <c r="Q2316" s="901" t="s">
        <v>6915</v>
      </c>
      <c r="R2316" s="903">
        <v>43883</v>
      </c>
      <c r="S2316" s="904">
        <v>43884</v>
      </c>
      <c r="T2316" s="894">
        <f t="shared" si="128"/>
        <v>43904</v>
      </c>
      <c r="U2316" s="893">
        <f t="shared" si="123"/>
        <v>103</v>
      </c>
      <c r="V2316" s="893" t="s">
        <v>53</v>
      </c>
      <c r="W2316" s="1106" t="s">
        <v>6939</v>
      </c>
      <c r="X2316" s="905"/>
      <c r="Y2316" s="905"/>
      <c r="Z2316" s="895" t="s">
        <v>6940</v>
      </c>
      <c r="AA2316" s="889"/>
      <c r="AB2316" s="892">
        <v>43944</v>
      </c>
      <c r="AC2316" s="476" t="s">
        <v>6875</v>
      </c>
      <c r="AD2316" s="645" t="str">
        <f t="shared" si="124"/>
        <v>en término</v>
      </c>
      <c r="AE2316" s="468" t="s">
        <v>6981</v>
      </c>
      <c r="AF2316" s="468" t="s">
        <v>3846</v>
      </c>
      <c r="AG2316" s="1099">
        <f t="shared" si="125"/>
        <v>43944</v>
      </c>
      <c r="AH2316" s="649">
        <f t="shared" si="126"/>
        <v>0</v>
      </c>
      <c r="AI2316" s="649" t="str">
        <f t="shared" si="127"/>
        <v>en término</v>
      </c>
    </row>
    <row r="2317" spans="1:39" s="649" customFormat="1" ht="54.95" customHeight="1" thickBot="1" x14ac:dyDescent="0.25">
      <c r="B2317" s="900" t="s">
        <v>36</v>
      </c>
      <c r="C2317" s="887" t="s">
        <v>7534</v>
      </c>
      <c r="D2317" s="888" t="s">
        <v>6868</v>
      </c>
      <c r="E2317" s="901"/>
      <c r="F2317" s="1061" t="s">
        <v>6869</v>
      </c>
      <c r="G2317" s="889" t="s">
        <v>39</v>
      </c>
      <c r="H2317" s="890">
        <v>15220</v>
      </c>
      <c r="I2317" s="902" t="s">
        <v>40</v>
      </c>
      <c r="J2317" s="892">
        <v>43801</v>
      </c>
      <c r="K2317" s="893">
        <f t="shared" si="121"/>
        <v>86</v>
      </c>
      <c r="L2317" s="892">
        <v>43887</v>
      </c>
      <c r="M2317" s="892" t="s">
        <v>41</v>
      </c>
      <c r="N2317" s="889" t="s">
        <v>42</v>
      </c>
      <c r="O2317" s="892">
        <v>43875</v>
      </c>
      <c r="P2317" s="893">
        <f t="shared" si="122"/>
        <v>-4</v>
      </c>
      <c r="Q2317" s="901" t="s">
        <v>6915</v>
      </c>
      <c r="R2317" s="903">
        <v>43883</v>
      </c>
      <c r="S2317" s="904">
        <v>43884</v>
      </c>
      <c r="T2317" s="894">
        <f t="shared" si="128"/>
        <v>43904</v>
      </c>
      <c r="U2317" s="893">
        <f t="shared" si="123"/>
        <v>103</v>
      </c>
      <c r="V2317" s="893" t="s">
        <v>53</v>
      </c>
      <c r="W2317" s="1106" t="s">
        <v>6939</v>
      </c>
      <c r="X2317" s="905"/>
      <c r="Y2317" s="905"/>
      <c r="Z2317" s="895" t="s">
        <v>6940</v>
      </c>
      <c r="AA2317" s="889"/>
      <c r="AB2317" s="892">
        <v>43944</v>
      </c>
      <c r="AC2317" s="476" t="s">
        <v>6874</v>
      </c>
      <c r="AD2317" s="645" t="str">
        <f t="shared" si="124"/>
        <v>en término</v>
      </c>
      <c r="AE2317" s="468" t="s">
        <v>6981</v>
      </c>
      <c r="AF2317" s="468" t="s">
        <v>3846</v>
      </c>
      <c r="AG2317" s="1099">
        <f t="shared" si="125"/>
        <v>43944</v>
      </c>
      <c r="AH2317" s="649">
        <f t="shared" si="126"/>
        <v>0</v>
      </c>
      <c r="AI2317" s="649" t="str">
        <f t="shared" si="127"/>
        <v>en término</v>
      </c>
    </row>
    <row r="2318" spans="1:39" s="649" customFormat="1" ht="54.95" customHeight="1" thickBot="1" x14ac:dyDescent="0.25">
      <c r="B2318" s="900" t="s">
        <v>36</v>
      </c>
      <c r="C2318" s="887" t="s">
        <v>7534</v>
      </c>
      <c r="D2318" s="888" t="s">
        <v>6870</v>
      </c>
      <c r="E2318" s="901"/>
      <c r="F2318" s="1061" t="s">
        <v>6871</v>
      </c>
      <c r="G2318" s="889" t="s">
        <v>39</v>
      </c>
      <c r="H2318" s="890">
        <v>3918.8</v>
      </c>
      <c r="I2318" s="902" t="s">
        <v>142</v>
      </c>
      <c r="J2318" s="892">
        <v>43801</v>
      </c>
      <c r="K2318" s="893">
        <f t="shared" si="121"/>
        <v>86</v>
      </c>
      <c r="L2318" s="892">
        <v>43887</v>
      </c>
      <c r="M2318" s="892" t="s">
        <v>41</v>
      </c>
      <c r="N2318" s="889" t="s">
        <v>42</v>
      </c>
      <c r="O2318" s="892">
        <v>43875</v>
      </c>
      <c r="P2318" s="893">
        <f t="shared" si="122"/>
        <v>-4</v>
      </c>
      <c r="Q2318" s="901" t="s">
        <v>6915</v>
      </c>
      <c r="R2318" s="903">
        <v>43883</v>
      </c>
      <c r="S2318" s="904">
        <v>43884</v>
      </c>
      <c r="T2318" s="894">
        <f t="shared" si="128"/>
        <v>43904</v>
      </c>
      <c r="U2318" s="893">
        <f t="shared" si="123"/>
        <v>103</v>
      </c>
      <c r="V2318" s="893" t="s">
        <v>53</v>
      </c>
      <c r="W2318" s="1106" t="s">
        <v>6939</v>
      </c>
      <c r="X2318" s="905"/>
      <c r="Y2318" s="905"/>
      <c r="Z2318" s="895" t="s">
        <v>6940</v>
      </c>
      <c r="AA2318" s="889"/>
      <c r="AB2318" s="892">
        <v>43944</v>
      </c>
      <c r="AC2318" s="476" t="s">
        <v>6873</v>
      </c>
      <c r="AD2318" s="645" t="str">
        <f t="shared" si="124"/>
        <v>en término</v>
      </c>
      <c r="AE2318" s="468" t="s">
        <v>6981</v>
      </c>
      <c r="AF2318" s="468" t="s">
        <v>3846</v>
      </c>
      <c r="AG2318" s="1099">
        <f t="shared" si="125"/>
        <v>43944</v>
      </c>
      <c r="AH2318" s="649">
        <f t="shared" si="126"/>
        <v>0</v>
      </c>
      <c r="AI2318" s="649" t="str">
        <f t="shared" si="127"/>
        <v>en término</v>
      </c>
    </row>
    <row r="2319" spans="1:39" s="649" customFormat="1" ht="54.95" customHeight="1" thickBot="1" x14ac:dyDescent="0.25">
      <c r="B2319" s="900" t="s">
        <v>36</v>
      </c>
      <c r="C2319" s="887" t="s">
        <v>7534</v>
      </c>
      <c r="D2319" s="888" t="s">
        <v>6441</v>
      </c>
      <c r="E2319" s="901">
        <v>4600557062</v>
      </c>
      <c r="F2319" s="1061" t="s">
        <v>6889</v>
      </c>
      <c r="G2319" s="889" t="s">
        <v>39</v>
      </c>
      <c r="H2319" s="890">
        <v>358.32</v>
      </c>
      <c r="I2319" s="902" t="s">
        <v>40</v>
      </c>
      <c r="J2319" s="892">
        <v>43815</v>
      </c>
      <c r="K2319" s="893">
        <f t="shared" si="121"/>
        <v>82</v>
      </c>
      <c r="L2319" s="892">
        <v>43897</v>
      </c>
      <c r="M2319" s="892" t="s">
        <v>41</v>
      </c>
      <c r="N2319" s="889" t="s">
        <v>42</v>
      </c>
      <c r="O2319" s="892">
        <v>43875</v>
      </c>
      <c r="P2319" s="893">
        <f t="shared" si="122"/>
        <v>-14</v>
      </c>
      <c r="Q2319" s="901" t="s">
        <v>6915</v>
      </c>
      <c r="R2319" s="903">
        <v>43883</v>
      </c>
      <c r="S2319" s="904">
        <v>43884</v>
      </c>
      <c r="T2319" s="894">
        <f t="shared" si="128"/>
        <v>43904</v>
      </c>
      <c r="U2319" s="893">
        <f t="shared" si="123"/>
        <v>89</v>
      </c>
      <c r="V2319" s="893" t="s">
        <v>53</v>
      </c>
      <c r="W2319" s="1106" t="s">
        <v>6939</v>
      </c>
      <c r="X2319" s="905"/>
      <c r="Y2319" s="905"/>
      <c r="Z2319" s="895" t="s">
        <v>6940</v>
      </c>
      <c r="AA2319" s="889"/>
      <c r="AB2319" s="892">
        <v>43944</v>
      </c>
      <c r="AC2319" s="476" t="s">
        <v>6891</v>
      </c>
      <c r="AD2319" s="645" t="str">
        <f t="shared" si="124"/>
        <v>en término</v>
      </c>
      <c r="AE2319" s="468" t="s">
        <v>6981</v>
      </c>
      <c r="AF2319" s="468" t="s">
        <v>3846</v>
      </c>
      <c r="AG2319" s="1099">
        <f t="shared" si="125"/>
        <v>43944</v>
      </c>
      <c r="AH2319" s="649">
        <f t="shared" si="126"/>
        <v>0</v>
      </c>
      <c r="AI2319" s="649" t="str">
        <f t="shared" si="127"/>
        <v>en término</v>
      </c>
    </row>
    <row r="2320" spans="1:39" s="649" customFormat="1" ht="54.95" customHeight="1" thickBot="1" x14ac:dyDescent="0.25">
      <c r="B2320" s="900" t="s">
        <v>36</v>
      </c>
      <c r="C2320" s="887" t="s">
        <v>7534</v>
      </c>
      <c r="D2320" s="888" t="s">
        <v>6441</v>
      </c>
      <c r="E2320" s="901">
        <v>4600557062</v>
      </c>
      <c r="F2320" s="1061" t="s">
        <v>6890</v>
      </c>
      <c r="G2320" s="889" t="s">
        <v>39</v>
      </c>
      <c r="H2320" s="890">
        <v>8797.4599999999991</v>
      </c>
      <c r="I2320" s="902" t="s">
        <v>40</v>
      </c>
      <c r="J2320" s="892">
        <v>43815</v>
      </c>
      <c r="K2320" s="893">
        <f t="shared" si="121"/>
        <v>82</v>
      </c>
      <c r="L2320" s="892">
        <v>43897</v>
      </c>
      <c r="M2320" s="892" t="s">
        <v>41</v>
      </c>
      <c r="N2320" s="889" t="s">
        <v>42</v>
      </c>
      <c r="O2320" s="892">
        <v>43875</v>
      </c>
      <c r="P2320" s="893">
        <f t="shared" si="122"/>
        <v>-14</v>
      </c>
      <c r="Q2320" s="901" t="s">
        <v>6915</v>
      </c>
      <c r="R2320" s="903">
        <v>43883</v>
      </c>
      <c r="S2320" s="904">
        <v>43884</v>
      </c>
      <c r="T2320" s="894">
        <f t="shared" si="128"/>
        <v>43904</v>
      </c>
      <c r="U2320" s="893">
        <f t="shared" si="123"/>
        <v>89</v>
      </c>
      <c r="V2320" s="893" t="s">
        <v>53</v>
      </c>
      <c r="W2320" s="1106" t="s">
        <v>6939</v>
      </c>
      <c r="X2320" s="905"/>
      <c r="Y2320" s="905"/>
      <c r="Z2320" s="895" t="s">
        <v>6940</v>
      </c>
      <c r="AA2320" s="889"/>
      <c r="AB2320" s="892">
        <v>43944</v>
      </c>
      <c r="AC2320" s="476" t="s">
        <v>6892</v>
      </c>
      <c r="AD2320" s="645" t="str">
        <f t="shared" si="124"/>
        <v>en término</v>
      </c>
      <c r="AE2320" s="468" t="s">
        <v>6981</v>
      </c>
      <c r="AF2320" s="468" t="s">
        <v>3846</v>
      </c>
      <c r="AG2320" s="1099">
        <f t="shared" si="125"/>
        <v>43944</v>
      </c>
      <c r="AH2320" s="649">
        <f t="shared" si="126"/>
        <v>0</v>
      </c>
      <c r="AI2320" s="649" t="str">
        <f t="shared" si="127"/>
        <v>en término</v>
      </c>
    </row>
    <row r="2321" spans="2:35" s="649" customFormat="1" ht="54.95" customHeight="1" thickBot="1" x14ac:dyDescent="0.25">
      <c r="B2321" s="900" t="s">
        <v>36</v>
      </c>
      <c r="C2321" s="887" t="s">
        <v>7534</v>
      </c>
      <c r="D2321" s="888" t="s">
        <v>6441</v>
      </c>
      <c r="E2321" s="901">
        <v>4600557062</v>
      </c>
      <c r="F2321" s="1061" t="s">
        <v>6893</v>
      </c>
      <c r="G2321" s="889" t="s">
        <v>39</v>
      </c>
      <c r="H2321" s="890">
        <v>4552.17</v>
      </c>
      <c r="I2321" s="902" t="s">
        <v>40</v>
      </c>
      <c r="J2321" s="892">
        <v>43816</v>
      </c>
      <c r="K2321" s="893">
        <f t="shared" si="121"/>
        <v>83</v>
      </c>
      <c r="L2321" s="892">
        <v>43899</v>
      </c>
      <c r="M2321" s="892" t="s">
        <v>41</v>
      </c>
      <c r="N2321" s="889" t="s">
        <v>42</v>
      </c>
      <c r="O2321" s="892">
        <v>43903</v>
      </c>
      <c r="P2321" s="893">
        <f t="shared" si="122"/>
        <v>12</v>
      </c>
      <c r="Q2321" s="901" t="s">
        <v>6925</v>
      </c>
      <c r="R2321" s="903">
        <v>43911</v>
      </c>
      <c r="S2321" s="904">
        <v>43913</v>
      </c>
      <c r="T2321" s="894">
        <v>43934</v>
      </c>
      <c r="U2321" s="893">
        <f t="shared" si="123"/>
        <v>118</v>
      </c>
      <c r="V2321" s="893" t="s">
        <v>53</v>
      </c>
      <c r="W2321" s="1106" t="s">
        <v>6970</v>
      </c>
      <c r="X2321" s="905"/>
      <c r="Y2321" s="905"/>
      <c r="Z2321" s="895"/>
      <c r="AA2321" s="889"/>
      <c r="AB2321" s="892">
        <v>43972</v>
      </c>
      <c r="AC2321" s="476" t="s">
        <v>6894</v>
      </c>
      <c r="AD2321" s="645" t="str">
        <f t="shared" si="124"/>
        <v>atrasado</v>
      </c>
      <c r="AE2321" s="468" t="s">
        <v>6971</v>
      </c>
      <c r="AF2321" s="468" t="s">
        <v>2929</v>
      </c>
      <c r="AG2321" s="1099">
        <f t="shared" si="125"/>
        <v>43973</v>
      </c>
      <c r="AH2321" s="649">
        <f t="shared" si="126"/>
        <v>-1</v>
      </c>
      <c r="AI2321" s="649" t="str">
        <f t="shared" si="127"/>
        <v>en término</v>
      </c>
    </row>
    <row r="2322" spans="2:35" s="649" customFormat="1" ht="54.95" customHeight="1" thickBot="1" x14ac:dyDescent="0.25">
      <c r="B2322" s="900" t="s">
        <v>36</v>
      </c>
      <c r="C2322" s="887" t="s">
        <v>7534</v>
      </c>
      <c r="D2322" s="888" t="s">
        <v>6441</v>
      </c>
      <c r="E2322" s="901">
        <v>4600557062</v>
      </c>
      <c r="F2322" s="1061" t="s">
        <v>6900</v>
      </c>
      <c r="G2322" s="889" t="s">
        <v>39</v>
      </c>
      <c r="H2322" s="890">
        <v>32295.17</v>
      </c>
      <c r="I2322" s="902" t="s">
        <v>40</v>
      </c>
      <c r="J2322" s="892">
        <v>43822</v>
      </c>
      <c r="K2322" s="893">
        <f t="shared" si="121"/>
        <v>84</v>
      </c>
      <c r="L2322" s="892">
        <v>43906</v>
      </c>
      <c r="M2322" s="892" t="s">
        <v>41</v>
      </c>
      <c r="N2322" s="889" t="s">
        <v>42</v>
      </c>
      <c r="O2322" s="892">
        <v>43903</v>
      </c>
      <c r="P2322" s="893">
        <f t="shared" si="122"/>
        <v>5</v>
      </c>
      <c r="Q2322" s="901" t="s">
        <v>6925</v>
      </c>
      <c r="R2322" s="903">
        <v>43911</v>
      </c>
      <c r="S2322" s="904">
        <v>43913</v>
      </c>
      <c r="T2322" s="894">
        <v>43934</v>
      </c>
      <c r="U2322" s="893">
        <f t="shared" si="123"/>
        <v>112</v>
      </c>
      <c r="V2322" s="893" t="s">
        <v>53</v>
      </c>
      <c r="W2322" s="1106" t="s">
        <v>6970</v>
      </c>
      <c r="X2322" s="905"/>
      <c r="Y2322" s="905"/>
      <c r="Z2322" s="895"/>
      <c r="AA2322" s="889"/>
      <c r="AB2322" s="892">
        <v>43972</v>
      </c>
      <c r="AC2322" s="476" t="s">
        <v>6901</v>
      </c>
      <c r="AD2322" s="645" t="str">
        <f t="shared" si="124"/>
        <v>atrasado</v>
      </c>
      <c r="AE2322" s="468" t="s">
        <v>6971</v>
      </c>
      <c r="AF2322" s="468" t="s">
        <v>2929</v>
      </c>
      <c r="AG2322" s="1099">
        <f t="shared" si="125"/>
        <v>43973</v>
      </c>
      <c r="AH2322" s="649">
        <f t="shared" si="126"/>
        <v>-1</v>
      </c>
      <c r="AI2322" s="649" t="str">
        <f t="shared" si="127"/>
        <v>en término</v>
      </c>
    </row>
    <row r="2323" spans="2:35" s="649" customFormat="1" ht="54.95" customHeight="1" thickBot="1" x14ac:dyDescent="0.25">
      <c r="B2323" s="900" t="s">
        <v>36</v>
      </c>
      <c r="C2323" s="887" t="s">
        <v>7534</v>
      </c>
      <c r="D2323" s="888" t="s">
        <v>6441</v>
      </c>
      <c r="E2323" s="901">
        <v>4600557062</v>
      </c>
      <c r="F2323" s="1061" t="s">
        <v>6904</v>
      </c>
      <c r="G2323" s="889" t="s">
        <v>39</v>
      </c>
      <c r="H2323" s="890">
        <v>3939.37</v>
      </c>
      <c r="I2323" s="902" t="s">
        <v>40</v>
      </c>
      <c r="J2323" s="892">
        <v>43837</v>
      </c>
      <c r="K2323" s="893">
        <f t="shared" si="121"/>
        <v>90</v>
      </c>
      <c r="L2323" s="892">
        <v>43927</v>
      </c>
      <c r="M2323" s="892" t="s">
        <v>41</v>
      </c>
      <c r="N2323" s="889" t="s">
        <v>42</v>
      </c>
      <c r="O2323" s="892">
        <v>43903</v>
      </c>
      <c r="P2323" s="893">
        <f t="shared" si="122"/>
        <v>-16</v>
      </c>
      <c r="Q2323" s="901" t="s">
        <v>6925</v>
      </c>
      <c r="R2323" s="903">
        <v>43911</v>
      </c>
      <c r="S2323" s="904">
        <v>43913</v>
      </c>
      <c r="T2323" s="894">
        <v>43934</v>
      </c>
      <c r="U2323" s="893">
        <f t="shared" si="123"/>
        <v>97</v>
      </c>
      <c r="V2323" s="893" t="s">
        <v>53</v>
      </c>
      <c r="W2323" s="1106" t="s">
        <v>6970</v>
      </c>
      <c r="X2323" s="905"/>
      <c r="Y2323" s="905"/>
      <c r="Z2323" s="895"/>
      <c r="AA2323" s="889"/>
      <c r="AB2323" s="892">
        <v>43972</v>
      </c>
      <c r="AC2323" s="476" t="s">
        <v>6905</v>
      </c>
      <c r="AD2323" s="645" t="str">
        <f t="shared" si="124"/>
        <v>en término</v>
      </c>
      <c r="AE2323" s="468" t="s">
        <v>6971</v>
      </c>
      <c r="AF2323" s="468" t="s">
        <v>2929</v>
      </c>
      <c r="AG2323" s="1099">
        <f t="shared" si="125"/>
        <v>43973</v>
      </c>
      <c r="AH2323" s="649">
        <f t="shared" si="126"/>
        <v>-1</v>
      </c>
      <c r="AI2323" s="649" t="str">
        <f t="shared" si="127"/>
        <v>en término</v>
      </c>
    </row>
    <row r="2324" spans="2:35" s="649" customFormat="1" ht="54.95" customHeight="1" thickBot="1" x14ac:dyDescent="0.25">
      <c r="B2324" s="900" t="s">
        <v>36</v>
      </c>
      <c r="C2324" s="887" t="s">
        <v>7534</v>
      </c>
      <c r="D2324" s="888" t="s">
        <v>6441</v>
      </c>
      <c r="E2324" s="901">
        <v>4600557062</v>
      </c>
      <c r="F2324" s="1061" t="s">
        <v>6917</v>
      </c>
      <c r="G2324" s="889" t="s">
        <v>39</v>
      </c>
      <c r="H2324" s="890">
        <v>1436.48</v>
      </c>
      <c r="I2324" s="902" t="s">
        <v>40</v>
      </c>
      <c r="J2324" s="892">
        <v>43846</v>
      </c>
      <c r="K2324" s="893">
        <f t="shared" si="121"/>
        <v>90</v>
      </c>
      <c r="L2324" s="892">
        <v>43936</v>
      </c>
      <c r="M2324" s="892" t="s">
        <v>41</v>
      </c>
      <c r="N2324" s="889" t="s">
        <v>42</v>
      </c>
      <c r="O2324" s="892">
        <v>43903</v>
      </c>
      <c r="P2324" s="893">
        <f t="shared" si="122"/>
        <v>-25</v>
      </c>
      <c r="Q2324" s="901" t="s">
        <v>6925</v>
      </c>
      <c r="R2324" s="903">
        <v>43911</v>
      </c>
      <c r="S2324" s="904">
        <v>43913</v>
      </c>
      <c r="T2324" s="894">
        <v>43934</v>
      </c>
      <c r="U2324" s="893">
        <f t="shared" si="123"/>
        <v>88</v>
      </c>
      <c r="V2324" s="893" t="s">
        <v>53</v>
      </c>
      <c r="W2324" s="1106" t="s">
        <v>6970</v>
      </c>
      <c r="X2324" s="905"/>
      <c r="Y2324" s="905"/>
      <c r="Z2324" s="895"/>
      <c r="AA2324" s="889"/>
      <c r="AB2324" s="892">
        <v>43972</v>
      </c>
      <c r="AC2324" s="476" t="s">
        <v>6918</v>
      </c>
      <c r="AD2324" s="645" t="str">
        <f t="shared" si="124"/>
        <v>en término</v>
      </c>
      <c r="AE2324" s="468" t="s">
        <v>6971</v>
      </c>
      <c r="AF2324" s="468" t="s">
        <v>2929</v>
      </c>
      <c r="AG2324" s="1099">
        <f t="shared" si="125"/>
        <v>43973</v>
      </c>
      <c r="AH2324" s="649">
        <f t="shared" si="126"/>
        <v>-1</v>
      </c>
      <c r="AI2324" s="649" t="str">
        <f t="shared" si="127"/>
        <v>en término</v>
      </c>
    </row>
    <row r="2325" spans="2:35" s="649" customFormat="1" ht="54.95" customHeight="1" thickBot="1" x14ac:dyDescent="0.25">
      <c r="B2325" s="900" t="s">
        <v>36</v>
      </c>
      <c r="C2325" s="887" t="s">
        <v>7534</v>
      </c>
      <c r="D2325" s="888" t="s">
        <v>6441</v>
      </c>
      <c r="E2325" s="901">
        <v>4600557062</v>
      </c>
      <c r="F2325" s="1061" t="s">
        <v>6919</v>
      </c>
      <c r="G2325" s="889" t="s">
        <v>39</v>
      </c>
      <c r="H2325" s="890">
        <v>33242.97</v>
      </c>
      <c r="I2325" s="902" t="s">
        <v>40</v>
      </c>
      <c r="J2325" s="892">
        <v>43865</v>
      </c>
      <c r="K2325" s="893">
        <f t="shared" si="121"/>
        <v>88</v>
      </c>
      <c r="L2325" s="892">
        <v>43953</v>
      </c>
      <c r="M2325" s="892" t="s">
        <v>41</v>
      </c>
      <c r="N2325" s="889" t="s">
        <v>42</v>
      </c>
      <c r="O2325" s="892">
        <v>43929</v>
      </c>
      <c r="P2325" s="893">
        <f t="shared" si="122"/>
        <v>-11</v>
      </c>
      <c r="Q2325" s="901" t="s">
        <v>6984</v>
      </c>
      <c r="R2325" s="903">
        <v>43942</v>
      </c>
      <c r="S2325" s="904">
        <v>43950</v>
      </c>
      <c r="T2325" s="894">
        <f>+S2325+20</f>
        <v>43970</v>
      </c>
      <c r="U2325" s="893">
        <f t="shared" si="123"/>
        <v>105</v>
      </c>
      <c r="V2325" s="893" t="s">
        <v>6920</v>
      </c>
      <c r="W2325" s="1106" t="s">
        <v>6983</v>
      </c>
      <c r="X2325" s="905"/>
      <c r="Y2325" s="889"/>
      <c r="Z2325" s="895"/>
      <c r="AA2325" s="889"/>
      <c r="AB2325" s="892">
        <v>43991</v>
      </c>
      <c r="AC2325" s="476" t="s">
        <v>6921</v>
      </c>
      <c r="AD2325" s="645" t="str">
        <f t="shared" si="124"/>
        <v>en término</v>
      </c>
      <c r="AE2325" s="468" t="s">
        <v>6982</v>
      </c>
      <c r="AF2325" s="468" t="s">
        <v>2929</v>
      </c>
      <c r="AG2325" s="1099">
        <f t="shared" si="125"/>
        <v>44010</v>
      </c>
      <c r="AH2325" s="649">
        <f t="shared" si="126"/>
        <v>-19</v>
      </c>
      <c r="AI2325" s="649" t="str">
        <f t="shared" si="127"/>
        <v>en término</v>
      </c>
    </row>
    <row r="2326" spans="2:35" s="649" customFormat="1" ht="54.95" customHeight="1" thickBot="1" x14ac:dyDescent="0.25">
      <c r="B2326" s="900" t="s">
        <v>36</v>
      </c>
      <c r="C2326" s="887" t="s">
        <v>7534</v>
      </c>
      <c r="D2326" s="888" t="s">
        <v>6934</v>
      </c>
      <c r="E2326" s="901"/>
      <c r="F2326" s="1061" t="s">
        <v>6935</v>
      </c>
      <c r="G2326" s="889" t="s">
        <v>39</v>
      </c>
      <c r="H2326" s="890">
        <v>1280</v>
      </c>
      <c r="I2326" s="902"/>
      <c r="J2326" s="892">
        <v>43888</v>
      </c>
      <c r="K2326" s="893">
        <f t="shared" si="121"/>
        <v>79</v>
      </c>
      <c r="L2326" s="892">
        <v>43967</v>
      </c>
      <c r="M2326" s="892" t="s">
        <v>41</v>
      </c>
      <c r="N2326" s="889" t="s">
        <v>42</v>
      </c>
      <c r="O2326" s="892">
        <v>43929</v>
      </c>
      <c r="P2326" s="893">
        <f t="shared" si="122"/>
        <v>-25</v>
      </c>
      <c r="Q2326" s="901" t="s">
        <v>6984</v>
      </c>
      <c r="R2326" s="903">
        <v>43942</v>
      </c>
      <c r="S2326" s="904">
        <v>43950</v>
      </c>
      <c r="T2326" s="894">
        <f>+S2326+20</f>
        <v>43970</v>
      </c>
      <c r="U2326" s="893">
        <f t="shared" si="123"/>
        <v>82</v>
      </c>
      <c r="V2326" s="893" t="s">
        <v>1020</v>
      </c>
      <c r="W2326" s="1106" t="s">
        <v>6983</v>
      </c>
      <c r="X2326" s="905"/>
      <c r="Y2326" s="905"/>
      <c r="Z2326" s="895"/>
      <c r="AA2326" s="889"/>
      <c r="AB2326" s="892">
        <v>43991</v>
      </c>
      <c r="AC2326" s="476" t="s">
        <v>6936</v>
      </c>
      <c r="AD2326" s="645" t="str">
        <f t="shared" si="124"/>
        <v>en término</v>
      </c>
      <c r="AE2326" s="468" t="s">
        <v>6982</v>
      </c>
      <c r="AF2326" s="468" t="s">
        <v>2929</v>
      </c>
      <c r="AG2326" s="1099">
        <f t="shared" si="125"/>
        <v>44010</v>
      </c>
      <c r="AH2326" s="649">
        <f t="shared" si="126"/>
        <v>-19</v>
      </c>
      <c r="AI2326" s="649" t="str">
        <f t="shared" si="127"/>
        <v>en término</v>
      </c>
    </row>
    <row r="2327" spans="2:35" s="649" customFormat="1" ht="54.95" customHeight="1" thickBot="1" x14ac:dyDescent="0.25">
      <c r="B2327" s="900" t="s">
        <v>36</v>
      </c>
      <c r="C2327" s="887" t="s">
        <v>7534</v>
      </c>
      <c r="D2327" s="888" t="s">
        <v>6441</v>
      </c>
      <c r="E2327" s="901">
        <v>4600557062</v>
      </c>
      <c r="F2327" s="1061" t="s">
        <v>6941</v>
      </c>
      <c r="G2327" s="889" t="s">
        <v>39</v>
      </c>
      <c r="H2327" s="890">
        <v>2224.62</v>
      </c>
      <c r="I2327" s="902" t="s">
        <v>52</v>
      </c>
      <c r="J2327" s="892">
        <v>43903</v>
      </c>
      <c r="K2327" s="893">
        <f t="shared" si="121"/>
        <v>86</v>
      </c>
      <c r="L2327" s="892">
        <v>43989</v>
      </c>
      <c r="M2327" s="892" t="s">
        <v>41</v>
      </c>
      <c r="N2327" s="889" t="s">
        <v>42</v>
      </c>
      <c r="O2327" s="892">
        <v>43973</v>
      </c>
      <c r="P2327" s="893">
        <f t="shared" si="122"/>
        <v>0</v>
      </c>
      <c r="Q2327" s="901" t="s">
        <v>7012</v>
      </c>
      <c r="R2327" s="903">
        <v>43989</v>
      </c>
      <c r="S2327" s="904">
        <v>43990</v>
      </c>
      <c r="T2327" s="894">
        <v>44008</v>
      </c>
      <c r="U2327" s="893">
        <f t="shared" si="123"/>
        <v>105</v>
      </c>
      <c r="V2327" s="893" t="s">
        <v>53</v>
      </c>
      <c r="W2327" s="1106" t="s">
        <v>7014</v>
      </c>
      <c r="X2327" s="905"/>
      <c r="Y2327" s="905"/>
      <c r="Z2327" s="895"/>
      <c r="AA2327" s="889"/>
      <c r="AB2327" s="892">
        <v>44040</v>
      </c>
      <c r="AC2327" s="476" t="s">
        <v>6942</v>
      </c>
      <c r="AD2327" s="645" t="str">
        <f t="shared" si="124"/>
        <v>en término</v>
      </c>
      <c r="AE2327" s="468" t="s">
        <v>7013</v>
      </c>
      <c r="AF2327" s="468" t="s">
        <v>2943</v>
      </c>
      <c r="AG2327" s="1099">
        <f t="shared" si="125"/>
        <v>44050</v>
      </c>
      <c r="AH2327" s="649">
        <f t="shared" si="126"/>
        <v>-10</v>
      </c>
      <c r="AI2327" s="649" t="str">
        <f t="shared" si="127"/>
        <v>en término</v>
      </c>
    </row>
    <row r="2328" spans="2:35" s="649" customFormat="1" ht="54.95" customHeight="1" thickBot="1" x14ac:dyDescent="0.25">
      <c r="B2328" s="900" t="s">
        <v>36</v>
      </c>
      <c r="C2328" s="887" t="s">
        <v>7534</v>
      </c>
      <c r="D2328" s="888" t="s">
        <v>6441</v>
      </c>
      <c r="E2328" s="901">
        <v>4600557062</v>
      </c>
      <c r="F2328" s="1061" t="s">
        <v>6943</v>
      </c>
      <c r="G2328" s="889" t="s">
        <v>39</v>
      </c>
      <c r="H2328" s="890">
        <v>729.06</v>
      </c>
      <c r="I2328" s="902" t="s">
        <v>52</v>
      </c>
      <c r="J2328" s="892">
        <v>43902</v>
      </c>
      <c r="K2328" s="893">
        <f t="shared" si="121"/>
        <v>87</v>
      </c>
      <c r="L2328" s="892">
        <v>43989</v>
      </c>
      <c r="M2328" s="892" t="s">
        <v>41</v>
      </c>
      <c r="N2328" s="889" t="s">
        <v>42</v>
      </c>
      <c r="O2328" s="892">
        <v>43973</v>
      </c>
      <c r="P2328" s="893">
        <f t="shared" si="122"/>
        <v>0</v>
      </c>
      <c r="Q2328" s="901" t="s">
        <v>7012</v>
      </c>
      <c r="R2328" s="903">
        <v>43989</v>
      </c>
      <c r="S2328" s="904">
        <v>43990</v>
      </c>
      <c r="T2328" s="894">
        <v>44008</v>
      </c>
      <c r="U2328" s="893">
        <f t="shared" si="123"/>
        <v>106</v>
      </c>
      <c r="V2328" s="893" t="s">
        <v>53</v>
      </c>
      <c r="W2328" s="1106" t="s">
        <v>7014</v>
      </c>
      <c r="X2328" s="905"/>
      <c r="Y2328" s="905"/>
      <c r="Z2328" s="895"/>
      <c r="AA2328" s="889"/>
      <c r="AB2328" s="892">
        <v>44040</v>
      </c>
      <c r="AC2328" s="476" t="s">
        <v>6944</v>
      </c>
      <c r="AD2328" s="645" t="str">
        <f t="shared" si="124"/>
        <v>en término</v>
      </c>
      <c r="AE2328" s="468" t="s">
        <v>7013</v>
      </c>
      <c r="AF2328" s="468" t="s">
        <v>2943</v>
      </c>
      <c r="AG2328" s="1099">
        <f t="shared" si="125"/>
        <v>44050</v>
      </c>
      <c r="AH2328" s="649">
        <f t="shared" si="126"/>
        <v>-10</v>
      </c>
      <c r="AI2328" s="649" t="str">
        <f t="shared" si="127"/>
        <v>en término</v>
      </c>
    </row>
    <row r="2329" spans="2:35" s="649" customFormat="1" ht="54.95" customHeight="1" thickBot="1" x14ac:dyDescent="0.25">
      <c r="B2329" s="900" t="s">
        <v>36</v>
      </c>
      <c r="C2329" s="887" t="s">
        <v>7534</v>
      </c>
      <c r="D2329" s="888" t="s">
        <v>6441</v>
      </c>
      <c r="E2329" s="901">
        <v>4600557062</v>
      </c>
      <c r="F2329" s="1061" t="s">
        <v>6945</v>
      </c>
      <c r="G2329" s="889" t="s">
        <v>39</v>
      </c>
      <c r="H2329" s="890">
        <v>48497.14</v>
      </c>
      <c r="I2329" s="902" t="s">
        <v>52</v>
      </c>
      <c r="J2329" s="892">
        <v>43903</v>
      </c>
      <c r="K2329" s="893">
        <f t="shared" si="121"/>
        <v>86</v>
      </c>
      <c r="L2329" s="892">
        <v>43989</v>
      </c>
      <c r="M2329" s="892" t="s">
        <v>41</v>
      </c>
      <c r="N2329" s="889" t="s">
        <v>42</v>
      </c>
      <c r="O2329" s="892">
        <v>43973</v>
      </c>
      <c r="P2329" s="893">
        <f t="shared" si="122"/>
        <v>0</v>
      </c>
      <c r="Q2329" s="901" t="s">
        <v>7012</v>
      </c>
      <c r="R2329" s="903">
        <v>43989</v>
      </c>
      <c r="S2329" s="904">
        <v>43990</v>
      </c>
      <c r="T2329" s="894">
        <v>44008</v>
      </c>
      <c r="U2329" s="893">
        <f t="shared" si="123"/>
        <v>105</v>
      </c>
      <c r="V2329" s="893" t="s">
        <v>2497</v>
      </c>
      <c r="W2329" s="1106" t="s">
        <v>7014</v>
      </c>
      <c r="X2329" s="905"/>
      <c r="Y2329" s="905"/>
      <c r="Z2329" s="895"/>
      <c r="AA2329" s="889"/>
      <c r="AB2329" s="892">
        <v>44040</v>
      </c>
      <c r="AC2329" s="476" t="s">
        <v>6946</v>
      </c>
      <c r="AD2329" s="645" t="str">
        <f t="shared" si="124"/>
        <v>en término</v>
      </c>
      <c r="AE2329" s="468" t="s">
        <v>7013</v>
      </c>
      <c r="AF2329" s="468" t="s">
        <v>2943</v>
      </c>
      <c r="AG2329" s="1099">
        <f t="shared" si="125"/>
        <v>44050</v>
      </c>
      <c r="AH2329" s="649">
        <f t="shared" si="126"/>
        <v>-10</v>
      </c>
      <c r="AI2329" s="649" t="str">
        <f t="shared" si="127"/>
        <v>en término</v>
      </c>
    </row>
    <row r="2330" spans="2:35" s="649" customFormat="1" ht="54.95" customHeight="1" thickBot="1" x14ac:dyDescent="0.25">
      <c r="B2330" s="900" t="s">
        <v>36</v>
      </c>
      <c r="C2330" s="887" t="s">
        <v>7534</v>
      </c>
      <c r="D2330" s="888" t="s">
        <v>6441</v>
      </c>
      <c r="E2330" s="901">
        <v>4600557062</v>
      </c>
      <c r="F2330" s="1061" t="s">
        <v>6948</v>
      </c>
      <c r="G2330" s="889" t="s">
        <v>39</v>
      </c>
      <c r="H2330" s="890">
        <v>2080.62</v>
      </c>
      <c r="I2330" s="902" t="s">
        <v>40</v>
      </c>
      <c r="J2330" s="892">
        <v>43913</v>
      </c>
      <c r="K2330" s="893">
        <f t="shared" si="121"/>
        <v>85</v>
      </c>
      <c r="L2330" s="892">
        <v>43998</v>
      </c>
      <c r="M2330" s="892" t="s">
        <v>41</v>
      </c>
      <c r="N2330" s="889" t="s">
        <v>42</v>
      </c>
      <c r="O2330" s="892">
        <v>43973</v>
      </c>
      <c r="P2330" s="893">
        <f t="shared" si="122"/>
        <v>-9</v>
      </c>
      <c r="Q2330" s="901" t="s">
        <v>7012</v>
      </c>
      <c r="R2330" s="903">
        <v>43989</v>
      </c>
      <c r="S2330" s="904">
        <v>43990</v>
      </c>
      <c r="T2330" s="894">
        <v>44008</v>
      </c>
      <c r="U2330" s="893">
        <f t="shared" si="123"/>
        <v>95</v>
      </c>
      <c r="V2330" s="893" t="s">
        <v>53</v>
      </c>
      <c r="W2330" s="1106" t="s">
        <v>7014</v>
      </c>
      <c r="X2330" s="905"/>
      <c r="Y2330" s="905"/>
      <c r="Z2330" s="895"/>
      <c r="AA2330" s="889"/>
      <c r="AB2330" s="892">
        <v>44040</v>
      </c>
      <c r="AC2330" s="476" t="s">
        <v>6950</v>
      </c>
      <c r="AD2330" s="645" t="str">
        <f t="shared" si="124"/>
        <v>en término</v>
      </c>
      <c r="AE2330" s="468" t="s">
        <v>7013</v>
      </c>
      <c r="AF2330" s="468" t="s">
        <v>2943</v>
      </c>
      <c r="AG2330" s="1099">
        <f t="shared" si="125"/>
        <v>44050</v>
      </c>
      <c r="AH2330" s="649">
        <f t="shared" si="126"/>
        <v>-10</v>
      </c>
      <c r="AI2330" s="649" t="str">
        <f t="shared" si="127"/>
        <v>en término</v>
      </c>
    </row>
    <row r="2331" spans="2:35" s="649" customFormat="1" ht="54.95" customHeight="1" thickBot="1" x14ac:dyDescent="0.25">
      <c r="B2331" s="900" t="s">
        <v>36</v>
      </c>
      <c r="C2331" s="887" t="s">
        <v>7534</v>
      </c>
      <c r="D2331" s="888" t="s">
        <v>6441</v>
      </c>
      <c r="E2331" s="901">
        <v>4600557062</v>
      </c>
      <c r="F2331" s="1061" t="s">
        <v>6949</v>
      </c>
      <c r="G2331" s="889" t="s">
        <v>39</v>
      </c>
      <c r="H2331" s="890">
        <v>3798.08</v>
      </c>
      <c r="I2331" s="902" t="s">
        <v>52</v>
      </c>
      <c r="J2331" s="892">
        <v>43913</v>
      </c>
      <c r="K2331" s="893">
        <f t="shared" si="121"/>
        <v>85</v>
      </c>
      <c r="L2331" s="892">
        <v>43998</v>
      </c>
      <c r="M2331" s="892" t="s">
        <v>41</v>
      </c>
      <c r="N2331" s="889" t="s">
        <v>42</v>
      </c>
      <c r="O2331" s="892">
        <v>43973</v>
      </c>
      <c r="P2331" s="893">
        <f t="shared" si="122"/>
        <v>-9</v>
      </c>
      <c r="Q2331" s="901" t="s">
        <v>7012</v>
      </c>
      <c r="R2331" s="903">
        <v>43989</v>
      </c>
      <c r="S2331" s="904">
        <v>43990</v>
      </c>
      <c r="T2331" s="894">
        <v>44008</v>
      </c>
      <c r="U2331" s="893">
        <f t="shared" si="123"/>
        <v>95</v>
      </c>
      <c r="V2331" s="893" t="s">
        <v>53</v>
      </c>
      <c r="W2331" s="1106" t="s">
        <v>7014</v>
      </c>
      <c r="X2331" s="905"/>
      <c r="Y2331" s="905"/>
      <c r="Z2331" s="895"/>
      <c r="AA2331" s="889"/>
      <c r="AB2331" s="892">
        <v>44040</v>
      </c>
      <c r="AC2331" s="476" t="s">
        <v>6951</v>
      </c>
      <c r="AD2331" s="645" t="str">
        <f t="shared" si="124"/>
        <v>en término</v>
      </c>
      <c r="AE2331" s="468" t="s">
        <v>7013</v>
      </c>
      <c r="AF2331" s="468" t="s">
        <v>2943</v>
      </c>
      <c r="AG2331" s="1099">
        <f t="shared" si="125"/>
        <v>44050</v>
      </c>
      <c r="AH2331" s="649">
        <f t="shared" si="126"/>
        <v>-10</v>
      </c>
      <c r="AI2331" s="649" t="str">
        <f t="shared" si="127"/>
        <v>en término</v>
      </c>
    </row>
    <row r="2332" spans="2:35" s="649" customFormat="1" ht="54.95" customHeight="1" thickBot="1" x14ac:dyDescent="0.25">
      <c r="B2332" s="900" t="s">
        <v>36</v>
      </c>
      <c r="C2332" s="887" t="s">
        <v>7534</v>
      </c>
      <c r="D2332" s="888" t="s">
        <v>6441</v>
      </c>
      <c r="E2332" s="901">
        <v>4600557062</v>
      </c>
      <c r="F2332" s="1061" t="s">
        <v>6952</v>
      </c>
      <c r="G2332" s="889" t="s">
        <v>39</v>
      </c>
      <c r="H2332" s="890">
        <v>47062.7</v>
      </c>
      <c r="I2332" s="902" t="s">
        <v>52</v>
      </c>
      <c r="J2332" s="892">
        <v>43916</v>
      </c>
      <c r="K2332" s="893">
        <f t="shared" si="121"/>
        <v>89</v>
      </c>
      <c r="L2332" s="892">
        <v>44005</v>
      </c>
      <c r="M2332" s="892" t="s">
        <v>41</v>
      </c>
      <c r="N2332" s="889" t="s">
        <v>42</v>
      </c>
      <c r="O2332" s="892">
        <v>44001</v>
      </c>
      <c r="P2332" s="893">
        <f t="shared" si="122"/>
        <v>4</v>
      </c>
      <c r="Q2332" s="901" t="s">
        <v>7009</v>
      </c>
      <c r="R2332" s="903">
        <v>44009</v>
      </c>
      <c r="S2332" s="904">
        <v>44011</v>
      </c>
      <c r="T2332" s="894">
        <v>44029</v>
      </c>
      <c r="U2332" s="893">
        <f t="shared" si="123"/>
        <v>113</v>
      </c>
      <c r="V2332" s="893" t="s">
        <v>1402</v>
      </c>
      <c r="W2332" s="1106" t="s">
        <v>7021</v>
      </c>
      <c r="X2332" s="905"/>
      <c r="Y2332" s="905"/>
      <c r="Z2332" s="895"/>
      <c r="AA2332" s="889"/>
      <c r="AB2332" s="892">
        <v>44071</v>
      </c>
      <c r="AC2332" s="476" t="s">
        <v>6953</v>
      </c>
      <c r="AD2332" s="645" t="str">
        <f t="shared" si="124"/>
        <v>atrasado</v>
      </c>
      <c r="AE2332" s="468" t="s">
        <v>7020</v>
      </c>
      <c r="AF2332" s="468"/>
      <c r="AG2332" s="1099">
        <f t="shared" si="125"/>
        <v>44071</v>
      </c>
      <c r="AH2332" s="649">
        <f t="shared" si="126"/>
        <v>0</v>
      </c>
      <c r="AI2332" s="649" t="str">
        <f t="shared" si="127"/>
        <v>en término</v>
      </c>
    </row>
    <row r="2333" spans="2:35" s="649" customFormat="1" ht="54.95" customHeight="1" thickBot="1" x14ac:dyDescent="0.25">
      <c r="B2333" s="900" t="s">
        <v>36</v>
      </c>
      <c r="C2333" s="887" t="s">
        <v>7534</v>
      </c>
      <c r="D2333" s="888" t="s">
        <v>6441</v>
      </c>
      <c r="E2333" s="901">
        <v>4600557062</v>
      </c>
      <c r="F2333" s="1061" t="s">
        <v>6956</v>
      </c>
      <c r="G2333" s="889" t="s">
        <v>39</v>
      </c>
      <c r="H2333" s="890">
        <v>46551.23</v>
      </c>
      <c r="I2333" s="902" t="s">
        <v>40</v>
      </c>
      <c r="J2333" s="892">
        <v>43916</v>
      </c>
      <c r="K2333" s="893">
        <f t="shared" si="121"/>
        <v>89</v>
      </c>
      <c r="L2333" s="892">
        <v>44005</v>
      </c>
      <c r="M2333" s="892" t="s">
        <v>41</v>
      </c>
      <c r="N2333" s="889" t="s">
        <v>42</v>
      </c>
      <c r="O2333" s="892">
        <v>44001</v>
      </c>
      <c r="P2333" s="893">
        <f t="shared" si="122"/>
        <v>4</v>
      </c>
      <c r="Q2333" s="901" t="s">
        <v>7009</v>
      </c>
      <c r="R2333" s="903">
        <v>44009</v>
      </c>
      <c r="S2333" s="904">
        <v>44011</v>
      </c>
      <c r="T2333" s="894">
        <v>44029</v>
      </c>
      <c r="U2333" s="893">
        <f t="shared" si="123"/>
        <v>113</v>
      </c>
      <c r="V2333" s="893" t="s">
        <v>6955</v>
      </c>
      <c r="W2333" s="1106" t="s">
        <v>7021</v>
      </c>
      <c r="X2333" s="905"/>
      <c r="Y2333" s="905"/>
      <c r="Z2333" s="895"/>
      <c r="AA2333" s="889"/>
      <c r="AB2333" s="892">
        <v>44071</v>
      </c>
      <c r="AC2333" s="476" t="s">
        <v>6954</v>
      </c>
      <c r="AD2333" s="645" t="str">
        <f t="shared" si="124"/>
        <v>atrasado</v>
      </c>
      <c r="AE2333" s="468" t="s">
        <v>7020</v>
      </c>
      <c r="AF2333" s="468"/>
      <c r="AG2333" s="1099">
        <f t="shared" si="125"/>
        <v>44071</v>
      </c>
      <c r="AH2333" s="649">
        <f t="shared" si="126"/>
        <v>0</v>
      </c>
      <c r="AI2333" s="649" t="str">
        <f t="shared" si="127"/>
        <v>en término</v>
      </c>
    </row>
    <row r="2334" spans="2:35" s="649" customFormat="1" ht="54.95" customHeight="1" thickBot="1" x14ac:dyDescent="0.25">
      <c r="B2334" s="900" t="s">
        <v>36</v>
      </c>
      <c r="C2334" s="887" t="s">
        <v>7534</v>
      </c>
      <c r="D2334" s="888" t="s">
        <v>6441</v>
      </c>
      <c r="E2334" s="901">
        <v>4600557062</v>
      </c>
      <c r="F2334" s="1061" t="s">
        <v>6957</v>
      </c>
      <c r="G2334" s="889" t="s">
        <v>39</v>
      </c>
      <c r="H2334" s="890">
        <v>43846.53</v>
      </c>
      <c r="I2334" s="902" t="s">
        <v>40</v>
      </c>
      <c r="J2334" s="892">
        <v>43921</v>
      </c>
      <c r="K2334" s="893">
        <f t="shared" si="121"/>
        <v>88</v>
      </c>
      <c r="L2334" s="892">
        <v>44009</v>
      </c>
      <c r="M2334" s="892" t="s">
        <v>41</v>
      </c>
      <c r="N2334" s="889" t="s">
        <v>42</v>
      </c>
      <c r="O2334" s="892">
        <v>44001</v>
      </c>
      <c r="P2334" s="893">
        <f t="shared" si="122"/>
        <v>0</v>
      </c>
      <c r="Q2334" s="901" t="s">
        <v>7009</v>
      </c>
      <c r="R2334" s="903">
        <v>44009</v>
      </c>
      <c r="S2334" s="904">
        <v>44011</v>
      </c>
      <c r="T2334" s="894">
        <v>44029</v>
      </c>
      <c r="U2334" s="893">
        <f t="shared" si="123"/>
        <v>108</v>
      </c>
      <c r="V2334" s="893" t="s">
        <v>6958</v>
      </c>
      <c r="W2334" s="1106" t="s">
        <v>7021</v>
      </c>
      <c r="X2334" s="905"/>
      <c r="Y2334" s="895" t="s">
        <v>7001</v>
      </c>
      <c r="Z2334" s="895"/>
      <c r="AA2334" s="889"/>
      <c r="AB2334" s="892">
        <v>44071</v>
      </c>
      <c r="AC2334" s="476" t="s">
        <v>6961</v>
      </c>
      <c r="AD2334" s="645" t="str">
        <f t="shared" si="124"/>
        <v>en término</v>
      </c>
      <c r="AE2334" s="468" t="s">
        <v>7020</v>
      </c>
      <c r="AF2334" s="468"/>
      <c r="AG2334" s="1099">
        <f t="shared" si="125"/>
        <v>44071</v>
      </c>
      <c r="AH2334" s="649">
        <f t="shared" si="126"/>
        <v>0</v>
      </c>
      <c r="AI2334" s="649" t="str">
        <f t="shared" si="127"/>
        <v>en término</v>
      </c>
    </row>
    <row r="2335" spans="2:35" s="649" customFormat="1" ht="54.95" customHeight="1" thickBot="1" x14ac:dyDescent="0.25">
      <c r="B2335" s="900" t="s">
        <v>36</v>
      </c>
      <c r="C2335" s="887" t="s">
        <v>7534</v>
      </c>
      <c r="D2335" s="888" t="s">
        <v>6441</v>
      </c>
      <c r="E2335" s="901">
        <v>4600557062</v>
      </c>
      <c r="F2335" s="1061" t="s">
        <v>6968</v>
      </c>
      <c r="G2335" s="889" t="s">
        <v>39</v>
      </c>
      <c r="H2335" s="890">
        <v>25878.86</v>
      </c>
      <c r="I2335" s="902" t="s">
        <v>40</v>
      </c>
      <c r="J2335" s="892">
        <v>43927</v>
      </c>
      <c r="K2335" s="893">
        <f t="shared" si="121"/>
        <v>84</v>
      </c>
      <c r="L2335" s="892">
        <v>44011</v>
      </c>
      <c r="M2335" s="892" t="s">
        <v>41</v>
      </c>
      <c r="N2335" s="889" t="s">
        <v>42</v>
      </c>
      <c r="O2335" s="892">
        <v>44001</v>
      </c>
      <c r="P2335" s="893">
        <f t="shared" si="122"/>
        <v>-2</v>
      </c>
      <c r="Q2335" s="901" t="s">
        <v>7009</v>
      </c>
      <c r="R2335" s="903">
        <v>44009</v>
      </c>
      <c r="S2335" s="904">
        <v>44011</v>
      </c>
      <c r="T2335" s="894">
        <v>44029</v>
      </c>
      <c r="U2335" s="893">
        <f t="shared" si="123"/>
        <v>102</v>
      </c>
      <c r="V2335" s="893" t="s">
        <v>53</v>
      </c>
      <c r="W2335" s="1106" t="s">
        <v>7021</v>
      </c>
      <c r="X2335" s="905"/>
      <c r="Y2335" s="905"/>
      <c r="Z2335" s="895"/>
      <c r="AA2335" s="889"/>
      <c r="AB2335" s="892">
        <v>44071</v>
      </c>
      <c r="AC2335" s="476" t="s">
        <v>6969</v>
      </c>
      <c r="AD2335" s="645" t="str">
        <f t="shared" si="124"/>
        <v>en término</v>
      </c>
      <c r="AE2335" s="468" t="s">
        <v>7020</v>
      </c>
      <c r="AF2335" s="468"/>
      <c r="AG2335" s="1099">
        <f t="shared" si="125"/>
        <v>44071</v>
      </c>
      <c r="AH2335" s="649">
        <f t="shared" si="126"/>
        <v>0</v>
      </c>
      <c r="AI2335" s="649" t="str">
        <f t="shared" si="127"/>
        <v>en término</v>
      </c>
    </row>
    <row r="2336" spans="2:35" s="649" customFormat="1" ht="54.95" customHeight="1" thickBot="1" x14ac:dyDescent="0.25">
      <c r="B2336" s="900" t="s">
        <v>36</v>
      </c>
      <c r="C2336" s="887" t="s">
        <v>7534</v>
      </c>
      <c r="D2336" s="888" t="s">
        <v>6441</v>
      </c>
      <c r="E2336" s="901">
        <v>4600557062</v>
      </c>
      <c r="F2336" s="1061" t="s">
        <v>7035</v>
      </c>
      <c r="G2336" s="889" t="s">
        <v>39</v>
      </c>
      <c r="H2336" s="890">
        <v>911</v>
      </c>
      <c r="I2336" s="902" t="s">
        <v>52</v>
      </c>
      <c r="J2336" s="892">
        <v>44026</v>
      </c>
      <c r="K2336" s="893">
        <f t="shared" si="121"/>
        <v>8</v>
      </c>
      <c r="L2336" s="892">
        <v>44034</v>
      </c>
      <c r="M2336" s="892" t="s">
        <v>41</v>
      </c>
      <c r="N2336" s="889" t="s">
        <v>465</v>
      </c>
      <c r="O2336" s="892">
        <v>44026</v>
      </c>
      <c r="P2336" s="893">
        <f t="shared" si="122"/>
        <v>-4</v>
      </c>
      <c r="Q2336" s="901"/>
      <c r="R2336" s="903">
        <v>44030</v>
      </c>
      <c r="S2336" s="904">
        <v>44033</v>
      </c>
      <c r="T2336" s="894">
        <f>+S2336+10</f>
        <v>44043</v>
      </c>
      <c r="U2336" s="893">
        <f t="shared" si="123"/>
        <v>17</v>
      </c>
      <c r="V2336" s="893" t="s">
        <v>53</v>
      </c>
      <c r="W2336" s="1106" t="s">
        <v>7103</v>
      </c>
      <c r="X2336" s="905"/>
      <c r="Y2336" s="905"/>
      <c r="Z2336" s="895" t="s">
        <v>7043</v>
      </c>
      <c r="AA2336" s="889"/>
      <c r="AB2336" s="892">
        <v>44098</v>
      </c>
      <c r="AC2336" s="476" t="s">
        <v>7036</v>
      </c>
      <c r="AD2336" s="645" t="str">
        <f t="shared" si="124"/>
        <v>en término</v>
      </c>
      <c r="AE2336" s="468"/>
      <c r="AF2336" s="468" t="s">
        <v>2949</v>
      </c>
      <c r="AG2336" s="1099">
        <f t="shared" si="125"/>
        <v>44093</v>
      </c>
      <c r="AH2336" s="649">
        <f t="shared" si="126"/>
        <v>5</v>
      </c>
      <c r="AI2336" s="649" t="str">
        <f t="shared" si="127"/>
        <v>atrasado</v>
      </c>
    </row>
    <row r="2337" spans="2:35" s="649" customFormat="1" ht="54.95" customHeight="1" thickBot="1" x14ac:dyDescent="0.25">
      <c r="B2337" s="900" t="s">
        <v>36</v>
      </c>
      <c r="C2337" s="887" t="s">
        <v>7534</v>
      </c>
      <c r="D2337" s="888" t="s">
        <v>6441</v>
      </c>
      <c r="E2337" s="901">
        <v>4600557062</v>
      </c>
      <c r="F2337" s="1061" t="s">
        <v>7033</v>
      </c>
      <c r="G2337" s="889" t="s">
        <v>39</v>
      </c>
      <c r="H2337" s="890">
        <v>30326.959999999999</v>
      </c>
      <c r="I2337" s="902" t="s">
        <v>40</v>
      </c>
      <c r="J2337" s="892">
        <v>43990</v>
      </c>
      <c r="K2337" s="893">
        <f t="shared" si="121"/>
        <v>78</v>
      </c>
      <c r="L2337" s="892">
        <v>44068</v>
      </c>
      <c r="M2337" s="892" t="s">
        <v>41</v>
      </c>
      <c r="N2337" s="889" t="s">
        <v>42</v>
      </c>
      <c r="O2337" s="892">
        <v>44050</v>
      </c>
      <c r="P2337" s="893">
        <f t="shared" si="122"/>
        <v>-10</v>
      </c>
      <c r="Q2337" s="901" t="s">
        <v>7034</v>
      </c>
      <c r="R2337" s="903">
        <v>44058</v>
      </c>
      <c r="S2337" s="904">
        <v>44060</v>
      </c>
      <c r="T2337" s="894">
        <v>44078</v>
      </c>
      <c r="U2337" s="893">
        <f t="shared" si="123"/>
        <v>88</v>
      </c>
      <c r="V2337" s="893" t="s">
        <v>7000</v>
      </c>
      <c r="W2337" s="1106" t="s">
        <v>7115</v>
      </c>
      <c r="X2337" s="905"/>
      <c r="Y2337" s="905"/>
      <c r="Z2337" s="895"/>
      <c r="AA2337" s="889"/>
      <c r="AB2337" s="892">
        <v>44119</v>
      </c>
      <c r="AC2337" s="476" t="s">
        <v>6999</v>
      </c>
      <c r="AD2337" s="645" t="str">
        <f t="shared" si="124"/>
        <v>en término</v>
      </c>
      <c r="AE2337" s="468" t="s">
        <v>7114</v>
      </c>
      <c r="AF2337" s="468" t="s">
        <v>2957</v>
      </c>
      <c r="AG2337" s="1099">
        <f t="shared" si="125"/>
        <v>44120</v>
      </c>
      <c r="AH2337" s="649">
        <f t="shared" si="126"/>
        <v>-1</v>
      </c>
      <c r="AI2337" s="649" t="str">
        <f t="shared" si="127"/>
        <v>en término</v>
      </c>
    </row>
    <row r="2338" spans="2:35" s="649" customFormat="1" ht="54.95" customHeight="1" thickBot="1" x14ac:dyDescent="0.25">
      <c r="B2338" s="900" t="s">
        <v>36</v>
      </c>
      <c r="C2338" s="887" t="s">
        <v>7534</v>
      </c>
      <c r="D2338" s="888" t="s">
        <v>6441</v>
      </c>
      <c r="E2338" s="901">
        <v>4600557062</v>
      </c>
      <c r="F2338" s="1061" t="s">
        <v>7061</v>
      </c>
      <c r="G2338" s="889" t="s">
        <v>39</v>
      </c>
      <c r="H2338" s="890">
        <v>89.26</v>
      </c>
      <c r="I2338" s="902" t="s">
        <v>52</v>
      </c>
      <c r="J2338" s="892">
        <v>44048</v>
      </c>
      <c r="K2338" s="893">
        <f t="shared" si="121"/>
        <v>26</v>
      </c>
      <c r="L2338" s="892">
        <v>44074</v>
      </c>
      <c r="M2338" s="892" t="s">
        <v>41</v>
      </c>
      <c r="N2338" s="889" t="s">
        <v>42</v>
      </c>
      <c r="O2338" s="892">
        <v>44050</v>
      </c>
      <c r="P2338" s="893">
        <f t="shared" si="122"/>
        <v>-16</v>
      </c>
      <c r="Q2338" s="901" t="s">
        <v>7034</v>
      </c>
      <c r="R2338" s="903">
        <v>44058</v>
      </c>
      <c r="S2338" s="904">
        <v>44060</v>
      </c>
      <c r="T2338" s="894">
        <v>44078</v>
      </c>
      <c r="U2338" s="893">
        <f t="shared" si="123"/>
        <v>30</v>
      </c>
      <c r="V2338" s="893" t="s">
        <v>53</v>
      </c>
      <c r="W2338" s="1106" t="s">
        <v>7115</v>
      </c>
      <c r="X2338" s="905"/>
      <c r="Y2338" s="905"/>
      <c r="Z2338" s="895"/>
      <c r="AA2338" s="889"/>
      <c r="AB2338" s="892">
        <v>44119</v>
      </c>
      <c r="AC2338" s="476" t="s">
        <v>7062</v>
      </c>
      <c r="AD2338" s="645" t="str">
        <f t="shared" si="124"/>
        <v>en término</v>
      </c>
      <c r="AE2338" s="468" t="s">
        <v>7114</v>
      </c>
      <c r="AF2338" s="468" t="s">
        <v>2957</v>
      </c>
      <c r="AG2338" s="1099">
        <f t="shared" si="125"/>
        <v>44120</v>
      </c>
      <c r="AH2338" s="649">
        <f t="shared" si="126"/>
        <v>-1</v>
      </c>
      <c r="AI2338" s="649" t="str">
        <f t="shared" si="127"/>
        <v>en término</v>
      </c>
    </row>
    <row r="2339" spans="2:35" s="649" customFormat="1" ht="54.95" customHeight="1" thickBot="1" x14ac:dyDescent="0.25">
      <c r="B2339" s="900" t="s">
        <v>36</v>
      </c>
      <c r="C2339" s="887" t="s">
        <v>7534</v>
      </c>
      <c r="D2339" s="888" t="s">
        <v>6441</v>
      </c>
      <c r="E2339" s="901">
        <v>4600557062</v>
      </c>
      <c r="F2339" s="1061" t="s">
        <v>7023</v>
      </c>
      <c r="G2339" s="889" t="s">
        <v>39</v>
      </c>
      <c r="H2339" s="890">
        <v>8897.94</v>
      </c>
      <c r="I2339" s="902" t="s">
        <v>40</v>
      </c>
      <c r="J2339" s="892">
        <v>44021</v>
      </c>
      <c r="K2339" s="893">
        <f t="shared" si="121"/>
        <v>68</v>
      </c>
      <c r="L2339" s="892">
        <v>44089</v>
      </c>
      <c r="M2339" s="892" t="s">
        <v>41</v>
      </c>
      <c r="N2339" s="889" t="s">
        <v>42</v>
      </c>
      <c r="O2339" s="892">
        <v>44067</v>
      </c>
      <c r="P2339" s="893">
        <f t="shared" si="122"/>
        <v>-10</v>
      </c>
      <c r="Q2339" s="901" t="s">
        <v>7100</v>
      </c>
      <c r="R2339" s="903">
        <v>44079</v>
      </c>
      <c r="S2339" s="904">
        <v>44081</v>
      </c>
      <c r="T2339" s="894">
        <v>44099</v>
      </c>
      <c r="U2339" s="893">
        <f t="shared" si="123"/>
        <v>78</v>
      </c>
      <c r="V2339" s="893" t="s">
        <v>53</v>
      </c>
      <c r="W2339" s="1106" t="s">
        <v>7101</v>
      </c>
      <c r="X2339" s="905"/>
      <c r="Y2339" s="905"/>
      <c r="Z2339" s="895"/>
      <c r="AA2339" s="889"/>
      <c r="AB2339" s="892">
        <v>44140</v>
      </c>
      <c r="AC2339" s="476" t="s">
        <v>7024</v>
      </c>
      <c r="AD2339" s="645" t="str">
        <f t="shared" si="124"/>
        <v>en término</v>
      </c>
      <c r="AE2339" s="468" t="s">
        <v>7102</v>
      </c>
      <c r="AF2339" s="468" t="s">
        <v>3056</v>
      </c>
      <c r="AG2339" s="1099">
        <f t="shared" si="125"/>
        <v>44141</v>
      </c>
      <c r="AH2339" s="649">
        <f t="shared" si="126"/>
        <v>-1</v>
      </c>
      <c r="AI2339" s="649" t="str">
        <f t="shared" si="127"/>
        <v>en término</v>
      </c>
    </row>
    <row r="2340" spans="2:35" s="649" customFormat="1" ht="54.95" customHeight="1" thickBot="1" x14ac:dyDescent="0.25">
      <c r="B2340" s="900" t="s">
        <v>36</v>
      </c>
      <c r="C2340" s="887" t="s">
        <v>7534</v>
      </c>
      <c r="D2340" s="888" t="s">
        <v>6441</v>
      </c>
      <c r="E2340" s="901">
        <v>4600557062</v>
      </c>
      <c r="F2340" s="1061" t="s">
        <v>7025</v>
      </c>
      <c r="G2340" s="889" t="s">
        <v>39</v>
      </c>
      <c r="H2340" s="890">
        <v>3515.3</v>
      </c>
      <c r="I2340" s="902" t="s">
        <v>62</v>
      </c>
      <c r="J2340" s="892">
        <v>44021</v>
      </c>
      <c r="K2340" s="893">
        <f t="shared" si="121"/>
        <v>76</v>
      </c>
      <c r="L2340" s="892">
        <v>44097</v>
      </c>
      <c r="M2340" s="892" t="s">
        <v>41</v>
      </c>
      <c r="N2340" s="889" t="s">
        <v>42</v>
      </c>
      <c r="O2340" s="892">
        <v>44067</v>
      </c>
      <c r="P2340" s="893">
        <f t="shared" si="122"/>
        <v>-18</v>
      </c>
      <c r="Q2340" s="901" t="s">
        <v>7100</v>
      </c>
      <c r="R2340" s="903">
        <v>44079</v>
      </c>
      <c r="S2340" s="904">
        <v>44081</v>
      </c>
      <c r="T2340" s="894">
        <v>44099</v>
      </c>
      <c r="U2340" s="893">
        <f t="shared" si="123"/>
        <v>78</v>
      </c>
      <c r="V2340" s="893" t="s">
        <v>53</v>
      </c>
      <c r="W2340" s="1106" t="s">
        <v>7101</v>
      </c>
      <c r="X2340" s="905"/>
      <c r="Y2340" s="905"/>
      <c r="Z2340" s="895"/>
      <c r="AA2340" s="889"/>
      <c r="AB2340" s="892">
        <v>44140</v>
      </c>
      <c r="AC2340" s="476" t="s">
        <v>7026</v>
      </c>
      <c r="AD2340" s="645" t="str">
        <f t="shared" si="124"/>
        <v>en término</v>
      </c>
      <c r="AE2340" s="468" t="s">
        <v>7102</v>
      </c>
      <c r="AF2340" s="468" t="s">
        <v>3056</v>
      </c>
      <c r="AG2340" s="1099">
        <f t="shared" si="125"/>
        <v>44141</v>
      </c>
      <c r="AH2340" s="649">
        <f t="shared" si="126"/>
        <v>-1</v>
      </c>
      <c r="AI2340" s="649" t="str">
        <f t="shared" si="127"/>
        <v>en término</v>
      </c>
    </row>
    <row r="2341" spans="2:35" s="649" customFormat="1" ht="54.95" customHeight="1" thickBot="1" x14ac:dyDescent="0.25">
      <c r="B2341" s="900" t="s">
        <v>36</v>
      </c>
      <c r="C2341" s="887" t="s">
        <v>7534</v>
      </c>
      <c r="D2341" s="888" t="s">
        <v>7028</v>
      </c>
      <c r="E2341" s="901"/>
      <c r="F2341" s="1061" t="s">
        <v>7027</v>
      </c>
      <c r="G2341" s="889" t="s">
        <v>39</v>
      </c>
      <c r="H2341" s="890">
        <v>20795</v>
      </c>
      <c r="I2341" s="902" t="s">
        <v>52</v>
      </c>
      <c r="J2341" s="892">
        <v>44021</v>
      </c>
      <c r="K2341" s="893">
        <f t="shared" si="121"/>
        <v>82</v>
      </c>
      <c r="L2341" s="892">
        <v>44103</v>
      </c>
      <c r="M2341" s="892" t="s">
        <v>41</v>
      </c>
      <c r="N2341" s="889" t="s">
        <v>42</v>
      </c>
      <c r="O2341" s="892">
        <v>44067</v>
      </c>
      <c r="P2341" s="893">
        <f t="shared" si="122"/>
        <v>-24</v>
      </c>
      <c r="Q2341" s="901" t="s">
        <v>7100</v>
      </c>
      <c r="R2341" s="903">
        <v>44079</v>
      </c>
      <c r="S2341" s="904">
        <v>44081</v>
      </c>
      <c r="T2341" s="894">
        <v>44099</v>
      </c>
      <c r="U2341" s="893">
        <f t="shared" si="123"/>
        <v>78</v>
      </c>
      <c r="V2341" s="893" t="s">
        <v>53</v>
      </c>
      <c r="W2341" s="1106" t="s">
        <v>7101</v>
      </c>
      <c r="X2341" s="905"/>
      <c r="Y2341" s="905"/>
      <c r="Z2341" s="895"/>
      <c r="AA2341" s="889"/>
      <c r="AB2341" s="892">
        <v>44140</v>
      </c>
      <c r="AC2341" s="476" t="s">
        <v>7029</v>
      </c>
      <c r="AD2341" s="645" t="str">
        <f t="shared" si="124"/>
        <v>en término</v>
      </c>
      <c r="AE2341" s="468" t="s">
        <v>7102</v>
      </c>
      <c r="AF2341" s="468" t="s">
        <v>3056</v>
      </c>
      <c r="AG2341" s="1099">
        <f t="shared" si="125"/>
        <v>44141</v>
      </c>
      <c r="AH2341" s="649">
        <f t="shared" si="126"/>
        <v>-1</v>
      </c>
      <c r="AI2341" s="649" t="str">
        <f t="shared" si="127"/>
        <v>en término</v>
      </c>
    </row>
    <row r="2342" spans="2:35" s="649" customFormat="1" ht="54.95" customHeight="1" thickBot="1" x14ac:dyDescent="0.25">
      <c r="B2342" s="900" t="s">
        <v>36</v>
      </c>
      <c r="C2342" s="887" t="s">
        <v>7534</v>
      </c>
      <c r="D2342" s="888" t="s">
        <v>7030</v>
      </c>
      <c r="E2342" s="901"/>
      <c r="F2342" s="1061" t="s">
        <v>7031</v>
      </c>
      <c r="G2342" s="889" t="s">
        <v>39</v>
      </c>
      <c r="H2342" s="890">
        <v>1344</v>
      </c>
      <c r="I2342" s="902" t="s">
        <v>52</v>
      </c>
      <c r="J2342" s="892">
        <v>44025</v>
      </c>
      <c r="K2342" s="893">
        <f t="shared" si="121"/>
        <v>62</v>
      </c>
      <c r="L2342" s="892">
        <v>44087</v>
      </c>
      <c r="M2342" s="892" t="s">
        <v>41</v>
      </c>
      <c r="N2342" s="889" t="s">
        <v>42</v>
      </c>
      <c r="O2342" s="892">
        <v>44067</v>
      </c>
      <c r="P2342" s="893">
        <f t="shared" si="122"/>
        <v>-8</v>
      </c>
      <c r="Q2342" s="901" t="s">
        <v>7100</v>
      </c>
      <c r="R2342" s="903">
        <v>44079</v>
      </c>
      <c r="S2342" s="904">
        <v>44081</v>
      </c>
      <c r="T2342" s="894">
        <v>44099</v>
      </c>
      <c r="U2342" s="893">
        <f t="shared" si="123"/>
        <v>74</v>
      </c>
      <c r="V2342" s="893" t="s">
        <v>53</v>
      </c>
      <c r="W2342" s="1106" t="s">
        <v>7101</v>
      </c>
      <c r="X2342" s="905"/>
      <c r="Y2342" s="905"/>
      <c r="Z2342" s="895"/>
      <c r="AA2342" s="889"/>
      <c r="AB2342" s="892">
        <v>44140</v>
      </c>
      <c r="AC2342" s="476" t="s">
        <v>7032</v>
      </c>
      <c r="AD2342" s="645" t="str">
        <f t="shared" si="124"/>
        <v>en término</v>
      </c>
      <c r="AE2342" s="468" t="s">
        <v>7102</v>
      </c>
      <c r="AF2342" s="468" t="s">
        <v>3056</v>
      </c>
      <c r="AG2342" s="1099">
        <f t="shared" si="125"/>
        <v>44141</v>
      </c>
      <c r="AH2342" s="649">
        <f t="shared" si="126"/>
        <v>-1</v>
      </c>
      <c r="AI2342" s="649" t="str">
        <f t="shared" si="127"/>
        <v>en término</v>
      </c>
    </row>
    <row r="2343" spans="2:35" s="649" customFormat="1" ht="54.95" customHeight="1" thickBot="1" x14ac:dyDescent="0.25">
      <c r="B2343" s="900" t="s">
        <v>36</v>
      </c>
      <c r="C2343" s="887" t="s">
        <v>7534</v>
      </c>
      <c r="D2343" s="888" t="s">
        <v>7045</v>
      </c>
      <c r="E2343" s="901"/>
      <c r="F2343" s="1061" t="s">
        <v>7046</v>
      </c>
      <c r="G2343" s="889" t="s">
        <v>39</v>
      </c>
      <c r="H2343" s="890">
        <v>1829</v>
      </c>
      <c r="I2343" s="902" t="s">
        <v>52</v>
      </c>
      <c r="J2343" s="892">
        <v>44035</v>
      </c>
      <c r="K2343" s="893">
        <f t="shared" ref="K2343:K2364" si="129">+L2343-J2343</f>
        <v>71</v>
      </c>
      <c r="L2343" s="892">
        <v>44106</v>
      </c>
      <c r="M2343" s="892" t="s">
        <v>41</v>
      </c>
      <c r="N2343" s="889" t="s">
        <v>42</v>
      </c>
      <c r="O2343" s="892">
        <v>44067</v>
      </c>
      <c r="P2343" s="893">
        <f t="shared" ref="P2343:P2364" si="130">IF(R2343="","",+R2343-L2343)</f>
        <v>-27</v>
      </c>
      <c r="Q2343" s="901" t="s">
        <v>7100</v>
      </c>
      <c r="R2343" s="903">
        <v>44079</v>
      </c>
      <c r="S2343" s="904">
        <v>44081</v>
      </c>
      <c r="T2343" s="894">
        <v>44099</v>
      </c>
      <c r="U2343" s="893">
        <f t="shared" ref="U2343:U2364" si="131">IF(T2343="","",+T2343-J2343)</f>
        <v>64</v>
      </c>
      <c r="V2343" s="893" t="s">
        <v>53</v>
      </c>
      <c r="W2343" s="1106" t="s">
        <v>7101</v>
      </c>
      <c r="X2343" s="905"/>
      <c r="Y2343" s="905"/>
      <c r="Z2343" s="895"/>
      <c r="AA2343" s="889"/>
      <c r="AB2343" s="892">
        <v>44140</v>
      </c>
      <c r="AC2343" s="476" t="s">
        <v>7047</v>
      </c>
      <c r="AD2343" s="645" t="str">
        <f t="shared" ref="AD2343:AD2364" si="132">IF(P2343="","",IF(P2343&lt;=0,"en término","atrasado"))</f>
        <v>en término</v>
      </c>
      <c r="AE2343" s="468" t="s">
        <v>7102</v>
      </c>
      <c r="AF2343" s="468" t="s">
        <v>3056</v>
      </c>
      <c r="AG2343" s="1099">
        <f t="shared" ref="AG2343:AG2364" si="133">+S2343+60</f>
        <v>44141</v>
      </c>
      <c r="AH2343" s="649">
        <f t="shared" ref="AH2343:AH2364" si="134">IF(AB2343="","",+AB2343-AG2343)</f>
        <v>-1</v>
      </c>
      <c r="AI2343" s="649" t="str">
        <f t="shared" ref="AI2343:AI2364" si="135">IF(AH2343="","",IF(AH2343&lt;=0,"en término","atrasado"))</f>
        <v>en término</v>
      </c>
    </row>
    <row r="2344" spans="2:35" s="649" customFormat="1" ht="54.95" customHeight="1" thickBot="1" x14ac:dyDescent="0.25">
      <c r="B2344" s="900" t="s">
        <v>36</v>
      </c>
      <c r="C2344" s="887" t="s">
        <v>7534</v>
      </c>
      <c r="D2344" s="888" t="s">
        <v>6441</v>
      </c>
      <c r="E2344" s="901">
        <v>4600557062</v>
      </c>
      <c r="F2344" s="1287" t="s">
        <v>7073</v>
      </c>
      <c r="G2344" s="889" t="s">
        <v>39</v>
      </c>
      <c r="H2344" s="890">
        <v>1833.5</v>
      </c>
      <c r="I2344" s="902" t="s">
        <v>40</v>
      </c>
      <c r="J2344" s="892">
        <v>44055</v>
      </c>
      <c r="K2344" s="893">
        <f t="shared" si="129"/>
        <v>47</v>
      </c>
      <c r="L2344" s="892">
        <v>44102</v>
      </c>
      <c r="M2344" s="892" t="s">
        <v>41</v>
      </c>
      <c r="N2344" s="889" t="s">
        <v>42</v>
      </c>
      <c r="O2344" s="892">
        <v>44067</v>
      </c>
      <c r="P2344" s="893">
        <f t="shared" si="130"/>
        <v>-23</v>
      </c>
      <c r="Q2344" s="901" t="s">
        <v>7100</v>
      </c>
      <c r="R2344" s="903">
        <v>44079</v>
      </c>
      <c r="S2344" s="904">
        <v>44081</v>
      </c>
      <c r="T2344" s="894">
        <v>44099</v>
      </c>
      <c r="U2344" s="893">
        <f t="shared" si="131"/>
        <v>44</v>
      </c>
      <c r="V2344" s="893" t="s">
        <v>53</v>
      </c>
      <c r="W2344" s="1106" t="s">
        <v>7101</v>
      </c>
      <c r="X2344" s="905"/>
      <c r="Y2344" s="905"/>
      <c r="Z2344" s="895"/>
      <c r="AA2344" s="889"/>
      <c r="AB2344" s="892">
        <v>44140</v>
      </c>
      <c r="AC2344" s="476" t="s">
        <v>7072</v>
      </c>
      <c r="AD2344" s="645" t="str">
        <f t="shared" si="132"/>
        <v>en término</v>
      </c>
      <c r="AE2344" s="468" t="s">
        <v>7102</v>
      </c>
      <c r="AF2344" s="468" t="s">
        <v>3056</v>
      </c>
      <c r="AG2344" s="1099">
        <f t="shared" si="133"/>
        <v>44141</v>
      </c>
      <c r="AH2344" s="649">
        <f t="shared" si="134"/>
        <v>-1</v>
      </c>
      <c r="AI2344" s="649" t="str">
        <f t="shared" si="135"/>
        <v>en término</v>
      </c>
    </row>
    <row r="2345" spans="2:35" s="649" customFormat="1" ht="54.95" customHeight="1" thickBot="1" x14ac:dyDescent="0.25">
      <c r="B2345" s="900" t="s">
        <v>36</v>
      </c>
      <c r="C2345" s="887" t="s">
        <v>7534</v>
      </c>
      <c r="D2345" s="888" t="s">
        <v>7078</v>
      </c>
      <c r="E2345" s="901" t="s">
        <v>7075</v>
      </c>
      <c r="F2345" s="1061" t="s">
        <v>7076</v>
      </c>
      <c r="G2345" s="889" t="s">
        <v>39</v>
      </c>
      <c r="H2345" s="890">
        <v>30580</v>
      </c>
      <c r="I2345" s="902"/>
      <c r="J2345" s="892">
        <v>44060</v>
      </c>
      <c r="K2345" s="893">
        <f t="shared" si="129"/>
        <v>27</v>
      </c>
      <c r="L2345" s="892">
        <v>44087</v>
      </c>
      <c r="M2345" s="892" t="s">
        <v>41</v>
      </c>
      <c r="N2345" s="889" t="s">
        <v>110</v>
      </c>
      <c r="O2345" s="892">
        <v>44099</v>
      </c>
      <c r="P2345" s="893">
        <f t="shared" si="130"/>
        <v>15</v>
      </c>
      <c r="Q2345" s="901"/>
      <c r="R2345" s="903">
        <v>44102</v>
      </c>
      <c r="S2345" s="904">
        <v>44107</v>
      </c>
      <c r="T2345" s="894">
        <f>+S2345+10</f>
        <v>44117</v>
      </c>
      <c r="U2345" s="893">
        <f t="shared" si="131"/>
        <v>57</v>
      </c>
      <c r="V2345" s="893" t="s">
        <v>7087</v>
      </c>
      <c r="W2345" s="1106" t="s">
        <v>7143</v>
      </c>
      <c r="X2345" s="905"/>
      <c r="Y2345" s="905"/>
      <c r="Z2345" s="895"/>
      <c r="AA2345" s="889"/>
      <c r="AB2345" s="892">
        <v>44162</v>
      </c>
      <c r="AC2345" s="476" t="s">
        <v>7077</v>
      </c>
      <c r="AD2345" s="645" t="str">
        <f t="shared" si="132"/>
        <v>atrasado</v>
      </c>
      <c r="AE2345" s="468" t="s">
        <v>7144</v>
      </c>
      <c r="AF2345" s="468" t="s">
        <v>3056</v>
      </c>
      <c r="AG2345" s="1099">
        <f t="shared" si="133"/>
        <v>44167</v>
      </c>
      <c r="AH2345" s="649">
        <f t="shared" si="134"/>
        <v>-5</v>
      </c>
      <c r="AI2345" s="649" t="str">
        <f t="shared" si="135"/>
        <v>en término</v>
      </c>
    </row>
    <row r="2346" spans="2:35" s="649" customFormat="1" ht="54.95" customHeight="1" thickBot="1" x14ac:dyDescent="0.25">
      <c r="B2346" s="900" t="s">
        <v>36</v>
      </c>
      <c r="C2346" s="887" t="s">
        <v>7534</v>
      </c>
      <c r="D2346" s="888" t="s">
        <v>6441</v>
      </c>
      <c r="E2346" s="901">
        <v>4600557062</v>
      </c>
      <c r="F2346" s="1061" t="s">
        <v>6957</v>
      </c>
      <c r="G2346" s="889" t="s">
        <v>39</v>
      </c>
      <c r="H2346" s="890">
        <v>56357.1</v>
      </c>
      <c r="I2346" s="902" t="s">
        <v>40</v>
      </c>
      <c r="J2346" s="892">
        <v>43921</v>
      </c>
      <c r="K2346" s="893">
        <f t="shared" si="129"/>
        <v>210</v>
      </c>
      <c r="L2346" s="892">
        <v>44131</v>
      </c>
      <c r="M2346" s="892" t="s">
        <v>41</v>
      </c>
      <c r="N2346" s="889" t="s">
        <v>42</v>
      </c>
      <c r="O2346" s="892">
        <v>44113</v>
      </c>
      <c r="P2346" s="893">
        <f t="shared" si="130"/>
        <v>-10</v>
      </c>
      <c r="Q2346" s="901" t="s">
        <v>7106</v>
      </c>
      <c r="R2346" s="903">
        <v>44121</v>
      </c>
      <c r="S2346" s="904">
        <v>44123</v>
      </c>
      <c r="T2346" s="894">
        <v>44141</v>
      </c>
      <c r="U2346" s="893">
        <f t="shared" si="131"/>
        <v>220</v>
      </c>
      <c r="V2346" s="893" t="s">
        <v>6959</v>
      </c>
      <c r="W2346" s="1106" t="s">
        <v>7145</v>
      </c>
      <c r="X2346" s="905"/>
      <c r="Y2346" s="889" t="s">
        <v>6960</v>
      </c>
      <c r="Z2346" s="895"/>
      <c r="AA2346" s="889"/>
      <c r="AB2346" s="892">
        <v>44169</v>
      </c>
      <c r="AC2346" s="476" t="s">
        <v>6962</v>
      </c>
      <c r="AD2346" s="645" t="str">
        <f t="shared" si="132"/>
        <v>en término</v>
      </c>
      <c r="AE2346" s="468"/>
      <c r="AF2346" s="468" t="s">
        <v>3074</v>
      </c>
      <c r="AG2346" s="1099">
        <f t="shared" si="133"/>
        <v>44183</v>
      </c>
      <c r="AH2346" s="649">
        <f t="shared" si="134"/>
        <v>-14</v>
      </c>
      <c r="AI2346" s="649" t="str">
        <f t="shared" si="135"/>
        <v>en término</v>
      </c>
    </row>
    <row r="2347" spans="2:35" s="649" customFormat="1" ht="54.95" customHeight="1" thickBot="1" x14ac:dyDescent="0.25">
      <c r="B2347" s="900" t="s">
        <v>36</v>
      </c>
      <c r="C2347" s="887" t="s">
        <v>7534</v>
      </c>
      <c r="D2347" s="888" t="s">
        <v>7050</v>
      </c>
      <c r="E2347" s="901">
        <v>4600611934</v>
      </c>
      <c r="F2347" s="1061" t="s">
        <v>7048</v>
      </c>
      <c r="G2347" s="889" t="s">
        <v>39</v>
      </c>
      <c r="H2347" s="890">
        <v>4346.09</v>
      </c>
      <c r="I2347" s="902" t="s">
        <v>52</v>
      </c>
      <c r="J2347" s="892">
        <v>44035</v>
      </c>
      <c r="K2347" s="893">
        <f t="shared" si="129"/>
        <v>86</v>
      </c>
      <c r="L2347" s="892">
        <v>44121</v>
      </c>
      <c r="M2347" s="892" t="s">
        <v>41</v>
      </c>
      <c r="N2347" s="889" t="s">
        <v>42</v>
      </c>
      <c r="O2347" s="892">
        <v>44113</v>
      </c>
      <c r="P2347" s="893">
        <f t="shared" si="130"/>
        <v>0</v>
      </c>
      <c r="Q2347" s="901" t="s">
        <v>7106</v>
      </c>
      <c r="R2347" s="903">
        <v>44121</v>
      </c>
      <c r="S2347" s="904">
        <v>44123</v>
      </c>
      <c r="T2347" s="894">
        <v>44141</v>
      </c>
      <c r="U2347" s="893">
        <f t="shared" si="131"/>
        <v>106</v>
      </c>
      <c r="V2347" s="893" t="s">
        <v>53</v>
      </c>
      <c r="W2347" s="1106" t="s">
        <v>7145</v>
      </c>
      <c r="X2347" s="905"/>
      <c r="Y2347" s="905"/>
      <c r="Z2347" s="895"/>
      <c r="AA2347" s="889"/>
      <c r="AB2347" s="892">
        <v>44169</v>
      </c>
      <c r="AC2347" s="476" t="s">
        <v>7049</v>
      </c>
      <c r="AD2347" s="645" t="str">
        <f t="shared" si="132"/>
        <v>en término</v>
      </c>
      <c r="AE2347" s="468"/>
      <c r="AF2347" s="468" t="s">
        <v>3074</v>
      </c>
      <c r="AG2347" s="1099">
        <f t="shared" si="133"/>
        <v>44183</v>
      </c>
      <c r="AH2347" s="649">
        <f t="shared" si="134"/>
        <v>-14</v>
      </c>
      <c r="AI2347" s="649" t="str">
        <f t="shared" si="135"/>
        <v>en término</v>
      </c>
    </row>
    <row r="2348" spans="2:35" s="649" customFormat="1" ht="54.95" customHeight="1" thickBot="1" x14ac:dyDescent="0.25">
      <c r="B2348" s="900" t="s">
        <v>36</v>
      </c>
      <c r="C2348" s="887" t="s">
        <v>7534</v>
      </c>
      <c r="D2348" s="888" t="s">
        <v>7050</v>
      </c>
      <c r="E2348" s="901">
        <v>4600611934</v>
      </c>
      <c r="F2348" s="1061" t="s">
        <v>7051</v>
      </c>
      <c r="G2348" s="889" t="s">
        <v>39</v>
      </c>
      <c r="H2348" s="890">
        <v>6165.2</v>
      </c>
      <c r="I2348" s="902" t="s">
        <v>62</v>
      </c>
      <c r="J2348" s="892">
        <v>44038</v>
      </c>
      <c r="K2348" s="893">
        <f t="shared" si="129"/>
        <v>86</v>
      </c>
      <c r="L2348" s="892">
        <v>44124</v>
      </c>
      <c r="M2348" s="892" t="s">
        <v>41</v>
      </c>
      <c r="N2348" s="889" t="s">
        <v>42</v>
      </c>
      <c r="O2348" s="892">
        <v>44113</v>
      </c>
      <c r="P2348" s="893">
        <f t="shared" si="130"/>
        <v>-3</v>
      </c>
      <c r="Q2348" s="901" t="s">
        <v>7106</v>
      </c>
      <c r="R2348" s="903">
        <v>44121</v>
      </c>
      <c r="S2348" s="904">
        <v>44123</v>
      </c>
      <c r="T2348" s="894">
        <v>44141</v>
      </c>
      <c r="U2348" s="893">
        <f t="shared" si="131"/>
        <v>103</v>
      </c>
      <c r="V2348" s="893" t="s">
        <v>53</v>
      </c>
      <c r="W2348" s="1106" t="s">
        <v>7145</v>
      </c>
      <c r="X2348" s="905"/>
      <c r="Y2348" s="905"/>
      <c r="Z2348" s="895"/>
      <c r="AA2348" s="889"/>
      <c r="AB2348" s="892">
        <v>44169</v>
      </c>
      <c r="AC2348" s="476" t="s">
        <v>7053</v>
      </c>
      <c r="AD2348" s="645" t="str">
        <f t="shared" si="132"/>
        <v>en término</v>
      </c>
      <c r="AE2348" s="468"/>
      <c r="AF2348" s="468" t="s">
        <v>3074</v>
      </c>
      <c r="AG2348" s="1099">
        <f t="shared" si="133"/>
        <v>44183</v>
      </c>
      <c r="AH2348" s="649">
        <f t="shared" si="134"/>
        <v>-14</v>
      </c>
      <c r="AI2348" s="649" t="str">
        <f t="shared" si="135"/>
        <v>en término</v>
      </c>
    </row>
    <row r="2349" spans="2:35" s="649" customFormat="1" ht="54.95" customHeight="1" thickBot="1" x14ac:dyDescent="0.25">
      <c r="B2349" s="900" t="s">
        <v>36</v>
      </c>
      <c r="C2349" s="887" t="s">
        <v>7534</v>
      </c>
      <c r="D2349" s="888" t="s">
        <v>7050</v>
      </c>
      <c r="E2349" s="901">
        <v>4600611934</v>
      </c>
      <c r="F2349" s="1061" t="s">
        <v>7052</v>
      </c>
      <c r="G2349" s="889" t="s">
        <v>39</v>
      </c>
      <c r="H2349" s="890">
        <v>1696.8</v>
      </c>
      <c r="I2349" s="902" t="s">
        <v>52</v>
      </c>
      <c r="J2349" s="892">
        <v>44038</v>
      </c>
      <c r="K2349" s="893">
        <f t="shared" si="129"/>
        <v>86</v>
      </c>
      <c r="L2349" s="892">
        <v>44124</v>
      </c>
      <c r="M2349" s="892" t="s">
        <v>41</v>
      </c>
      <c r="N2349" s="889" t="s">
        <v>42</v>
      </c>
      <c r="O2349" s="892">
        <v>44113</v>
      </c>
      <c r="P2349" s="893">
        <f t="shared" si="130"/>
        <v>-3</v>
      </c>
      <c r="Q2349" s="901" t="s">
        <v>7106</v>
      </c>
      <c r="R2349" s="903">
        <v>44121</v>
      </c>
      <c r="S2349" s="904">
        <v>44123</v>
      </c>
      <c r="T2349" s="894">
        <v>44141</v>
      </c>
      <c r="U2349" s="893">
        <f t="shared" si="131"/>
        <v>103</v>
      </c>
      <c r="V2349" s="893" t="s">
        <v>53</v>
      </c>
      <c r="W2349" s="1106" t="s">
        <v>7145</v>
      </c>
      <c r="X2349" s="905"/>
      <c r="Y2349" s="905"/>
      <c r="Z2349" s="895"/>
      <c r="AA2349" s="889"/>
      <c r="AB2349" s="892">
        <v>44169</v>
      </c>
      <c r="AC2349" s="476" t="s">
        <v>7054</v>
      </c>
      <c r="AD2349" s="645" t="str">
        <f t="shared" si="132"/>
        <v>en término</v>
      </c>
      <c r="AE2349" s="468"/>
      <c r="AF2349" s="468" t="s">
        <v>3074</v>
      </c>
      <c r="AG2349" s="1099">
        <f t="shared" si="133"/>
        <v>44183</v>
      </c>
      <c r="AH2349" s="649">
        <f t="shared" si="134"/>
        <v>-14</v>
      </c>
      <c r="AI2349" s="649" t="str">
        <f t="shared" si="135"/>
        <v>en término</v>
      </c>
    </row>
    <row r="2350" spans="2:35" s="649" customFormat="1" ht="54.95" customHeight="1" thickBot="1" x14ac:dyDescent="0.25">
      <c r="B2350" s="900" t="s">
        <v>36</v>
      </c>
      <c r="C2350" s="887" t="s">
        <v>7534</v>
      </c>
      <c r="D2350" s="888" t="s">
        <v>7050</v>
      </c>
      <c r="E2350" s="901">
        <v>4600611934</v>
      </c>
      <c r="F2350" s="1061" t="s">
        <v>7063</v>
      </c>
      <c r="G2350" s="889" t="s">
        <v>39</v>
      </c>
      <c r="H2350" s="890">
        <v>5422.34</v>
      </c>
      <c r="I2350" s="902" t="s">
        <v>62</v>
      </c>
      <c r="J2350" s="892">
        <v>44050</v>
      </c>
      <c r="K2350" s="893">
        <f t="shared" si="129"/>
        <v>84</v>
      </c>
      <c r="L2350" s="892">
        <v>44134</v>
      </c>
      <c r="M2350" s="892" t="s">
        <v>41</v>
      </c>
      <c r="N2350" s="889" t="s">
        <v>42</v>
      </c>
      <c r="O2350" s="892">
        <v>44113</v>
      </c>
      <c r="P2350" s="893">
        <f t="shared" si="130"/>
        <v>-13</v>
      </c>
      <c r="Q2350" s="901" t="s">
        <v>7106</v>
      </c>
      <c r="R2350" s="903">
        <v>44121</v>
      </c>
      <c r="S2350" s="904">
        <v>44123</v>
      </c>
      <c r="T2350" s="894">
        <v>44141</v>
      </c>
      <c r="U2350" s="893">
        <f t="shared" si="131"/>
        <v>91</v>
      </c>
      <c r="V2350" s="893" t="s">
        <v>7064</v>
      </c>
      <c r="W2350" s="1106" t="s">
        <v>7145</v>
      </c>
      <c r="X2350" s="905"/>
      <c r="Y2350" s="905"/>
      <c r="Z2350" s="895"/>
      <c r="AA2350" s="889"/>
      <c r="AB2350" s="892">
        <v>44169</v>
      </c>
      <c r="AC2350" s="476" t="s">
        <v>7065</v>
      </c>
      <c r="AD2350" s="645" t="str">
        <f t="shared" si="132"/>
        <v>en término</v>
      </c>
      <c r="AE2350" s="468"/>
      <c r="AF2350" s="468" t="s">
        <v>3074</v>
      </c>
      <c r="AG2350" s="1099">
        <f t="shared" si="133"/>
        <v>44183</v>
      </c>
      <c r="AH2350" s="649">
        <f t="shared" si="134"/>
        <v>-14</v>
      </c>
      <c r="AI2350" s="649" t="str">
        <f t="shared" si="135"/>
        <v>en término</v>
      </c>
    </row>
    <row r="2351" spans="2:35" s="649" customFormat="1" ht="54.95" customHeight="1" thickBot="1" x14ac:dyDescent="0.25">
      <c r="B2351" s="900" t="s">
        <v>36</v>
      </c>
      <c r="C2351" s="887" t="s">
        <v>7534</v>
      </c>
      <c r="D2351" s="888" t="s">
        <v>7050</v>
      </c>
      <c r="E2351" s="901">
        <v>4600611934</v>
      </c>
      <c r="F2351" s="1061" t="s">
        <v>7066</v>
      </c>
      <c r="G2351" s="889" t="s">
        <v>39</v>
      </c>
      <c r="H2351" s="890">
        <v>363.6</v>
      </c>
      <c r="I2351" s="902" t="s">
        <v>52</v>
      </c>
      <c r="J2351" s="892">
        <v>44050</v>
      </c>
      <c r="K2351" s="893">
        <f t="shared" si="129"/>
        <v>84</v>
      </c>
      <c r="L2351" s="892">
        <v>44134</v>
      </c>
      <c r="M2351" s="892" t="s">
        <v>41</v>
      </c>
      <c r="N2351" s="889" t="s">
        <v>42</v>
      </c>
      <c r="O2351" s="892">
        <v>44113</v>
      </c>
      <c r="P2351" s="893">
        <f t="shared" si="130"/>
        <v>-13</v>
      </c>
      <c r="Q2351" s="901" t="s">
        <v>7106</v>
      </c>
      <c r="R2351" s="903">
        <v>44121</v>
      </c>
      <c r="S2351" s="904">
        <v>44123</v>
      </c>
      <c r="T2351" s="894">
        <v>44141</v>
      </c>
      <c r="U2351" s="893">
        <f t="shared" si="131"/>
        <v>91</v>
      </c>
      <c r="V2351" s="893" t="s">
        <v>53</v>
      </c>
      <c r="W2351" s="1106" t="s">
        <v>7145</v>
      </c>
      <c r="X2351" s="905"/>
      <c r="Y2351" s="905"/>
      <c r="Z2351" s="895"/>
      <c r="AA2351" s="889"/>
      <c r="AB2351" s="892">
        <v>44169</v>
      </c>
      <c r="AC2351" s="476" t="s">
        <v>7067</v>
      </c>
      <c r="AD2351" s="645" t="str">
        <f t="shared" si="132"/>
        <v>en término</v>
      </c>
      <c r="AE2351" s="468"/>
      <c r="AF2351" s="468" t="s">
        <v>3074</v>
      </c>
      <c r="AG2351" s="1099">
        <f t="shared" si="133"/>
        <v>44183</v>
      </c>
      <c r="AH2351" s="649">
        <f t="shared" si="134"/>
        <v>-14</v>
      </c>
      <c r="AI2351" s="649" t="str">
        <f t="shared" si="135"/>
        <v>en término</v>
      </c>
    </row>
    <row r="2352" spans="2:35" s="649" customFormat="1" ht="54.95" customHeight="1" thickBot="1" x14ac:dyDescent="0.25">
      <c r="B2352" s="900" t="s">
        <v>36</v>
      </c>
      <c r="C2352" s="887" t="s">
        <v>7534</v>
      </c>
      <c r="D2352" s="888" t="s">
        <v>7050</v>
      </c>
      <c r="E2352" s="901">
        <v>4600611934</v>
      </c>
      <c r="F2352" s="1061" t="s">
        <v>7068</v>
      </c>
      <c r="G2352" s="889" t="s">
        <v>39</v>
      </c>
      <c r="H2352" s="890">
        <v>7817.28</v>
      </c>
      <c r="I2352" s="902" t="s">
        <v>52</v>
      </c>
      <c r="J2352" s="892">
        <v>44050</v>
      </c>
      <c r="K2352" s="893">
        <f t="shared" si="129"/>
        <v>84</v>
      </c>
      <c r="L2352" s="892">
        <v>44134</v>
      </c>
      <c r="M2352" s="892" t="s">
        <v>41</v>
      </c>
      <c r="N2352" s="889" t="s">
        <v>42</v>
      </c>
      <c r="O2352" s="892">
        <v>44113</v>
      </c>
      <c r="P2352" s="893">
        <f t="shared" si="130"/>
        <v>-13</v>
      </c>
      <c r="Q2352" s="901" t="s">
        <v>7106</v>
      </c>
      <c r="R2352" s="903">
        <v>44121</v>
      </c>
      <c r="S2352" s="904">
        <v>44123</v>
      </c>
      <c r="T2352" s="894">
        <v>44141</v>
      </c>
      <c r="U2352" s="893">
        <f t="shared" si="131"/>
        <v>91</v>
      </c>
      <c r="V2352" s="893" t="s">
        <v>7069</v>
      </c>
      <c r="W2352" s="1106" t="s">
        <v>7145</v>
      </c>
      <c r="X2352" s="905"/>
      <c r="Y2352" s="905"/>
      <c r="Z2352" s="895"/>
      <c r="AA2352" s="889"/>
      <c r="AB2352" s="892">
        <v>44169</v>
      </c>
      <c r="AC2352" s="476" t="s">
        <v>7070</v>
      </c>
      <c r="AD2352" s="645" t="str">
        <f t="shared" si="132"/>
        <v>en término</v>
      </c>
      <c r="AE2352" s="468"/>
      <c r="AF2352" s="468" t="s">
        <v>3074</v>
      </c>
      <c r="AG2352" s="1099">
        <f t="shared" si="133"/>
        <v>44183</v>
      </c>
      <c r="AH2352" s="649">
        <f t="shared" si="134"/>
        <v>-14</v>
      </c>
      <c r="AI2352" s="649" t="str">
        <f t="shared" si="135"/>
        <v>en término</v>
      </c>
    </row>
    <row r="2353" spans="2:35" s="649" customFormat="1" ht="54.95" customHeight="1" thickBot="1" x14ac:dyDescent="0.25">
      <c r="B2353" s="900" t="s">
        <v>36</v>
      </c>
      <c r="C2353" s="887" t="s">
        <v>7534</v>
      </c>
      <c r="D2353" s="888" t="s">
        <v>6441</v>
      </c>
      <c r="E2353" s="901">
        <v>4600557062</v>
      </c>
      <c r="F2353" s="1061" t="s">
        <v>7079</v>
      </c>
      <c r="G2353" s="889" t="s">
        <v>39</v>
      </c>
      <c r="H2353" s="890">
        <v>119398.42</v>
      </c>
      <c r="I2353" s="902" t="s">
        <v>52</v>
      </c>
      <c r="J2353" s="892">
        <v>44062</v>
      </c>
      <c r="K2353" s="893">
        <f t="shared" si="129"/>
        <v>89</v>
      </c>
      <c r="L2353" s="892">
        <v>44151</v>
      </c>
      <c r="M2353" s="892" t="s">
        <v>41</v>
      </c>
      <c r="N2353" s="889" t="s">
        <v>42</v>
      </c>
      <c r="O2353" s="892">
        <v>44148</v>
      </c>
      <c r="P2353" s="893">
        <f t="shared" si="130"/>
        <v>5</v>
      </c>
      <c r="Q2353" s="901" t="s">
        <v>7270</v>
      </c>
      <c r="R2353" s="903">
        <v>44156</v>
      </c>
      <c r="S2353" s="904">
        <v>44158</v>
      </c>
      <c r="T2353" s="894">
        <v>44176</v>
      </c>
      <c r="U2353" s="893">
        <f t="shared" si="131"/>
        <v>114</v>
      </c>
      <c r="V2353" s="893" t="s">
        <v>53</v>
      </c>
      <c r="W2353" s="1106" t="s">
        <v>7261</v>
      </c>
      <c r="X2353" s="905"/>
      <c r="Y2353" s="457" t="s">
        <v>7127</v>
      </c>
      <c r="Z2353" s="895"/>
      <c r="AA2353" s="889"/>
      <c r="AB2353" s="892">
        <v>44193</v>
      </c>
      <c r="AC2353" s="476" t="s">
        <v>7080</v>
      </c>
      <c r="AD2353" s="645" t="str">
        <f t="shared" si="132"/>
        <v>atrasado</v>
      </c>
      <c r="AE2353" s="468" t="s">
        <v>7163</v>
      </c>
      <c r="AF2353" s="468" t="s">
        <v>3074</v>
      </c>
      <c r="AG2353" s="1099">
        <f t="shared" si="133"/>
        <v>44218</v>
      </c>
      <c r="AH2353" s="649">
        <f t="shared" si="134"/>
        <v>-25</v>
      </c>
      <c r="AI2353" s="649" t="str">
        <f t="shared" si="135"/>
        <v>en término</v>
      </c>
    </row>
    <row r="2354" spans="2:35" s="649" customFormat="1" ht="54.95" customHeight="1" thickBot="1" x14ac:dyDescent="0.25">
      <c r="B2354" s="900" t="s">
        <v>36</v>
      </c>
      <c r="C2354" s="887" t="s">
        <v>7534</v>
      </c>
      <c r="D2354" s="888" t="s">
        <v>6441</v>
      </c>
      <c r="E2354" s="901">
        <v>4600557062</v>
      </c>
      <c r="F2354" s="1061" t="s">
        <v>7081</v>
      </c>
      <c r="G2354" s="889" t="s">
        <v>39</v>
      </c>
      <c r="H2354" s="890">
        <v>145786</v>
      </c>
      <c r="I2354" s="902" t="s">
        <v>40</v>
      </c>
      <c r="J2354" s="892">
        <v>44062</v>
      </c>
      <c r="K2354" s="893">
        <f t="shared" si="129"/>
        <v>89</v>
      </c>
      <c r="L2354" s="892">
        <v>44151</v>
      </c>
      <c r="M2354" s="892" t="s">
        <v>41</v>
      </c>
      <c r="N2354" s="889" t="s">
        <v>42</v>
      </c>
      <c r="O2354" s="892">
        <v>44148</v>
      </c>
      <c r="P2354" s="893">
        <f t="shared" si="130"/>
        <v>5</v>
      </c>
      <c r="Q2354" s="901" t="s">
        <v>7270</v>
      </c>
      <c r="R2354" s="903">
        <v>44156</v>
      </c>
      <c r="S2354" s="904">
        <v>44158</v>
      </c>
      <c r="T2354" s="894">
        <v>44176</v>
      </c>
      <c r="U2354" s="893">
        <f t="shared" si="131"/>
        <v>114</v>
      </c>
      <c r="V2354" s="893" t="s">
        <v>53</v>
      </c>
      <c r="W2354" s="1106" t="s">
        <v>7261</v>
      </c>
      <c r="X2354" s="905"/>
      <c r="Y2354" s="457" t="s">
        <v>7127</v>
      </c>
      <c r="Z2354" s="895"/>
      <c r="AA2354" s="889"/>
      <c r="AB2354" s="892">
        <v>44193</v>
      </c>
      <c r="AC2354" s="476" t="s">
        <v>7082</v>
      </c>
      <c r="AD2354" s="645" t="str">
        <f t="shared" si="132"/>
        <v>atrasado</v>
      </c>
      <c r="AE2354" s="468" t="s">
        <v>7163</v>
      </c>
      <c r="AF2354" s="468" t="s">
        <v>3074</v>
      </c>
      <c r="AG2354" s="1099">
        <f t="shared" si="133"/>
        <v>44218</v>
      </c>
      <c r="AH2354" s="649">
        <f t="shared" si="134"/>
        <v>-25</v>
      </c>
      <c r="AI2354" s="649" t="str">
        <f t="shared" si="135"/>
        <v>en término</v>
      </c>
    </row>
    <row r="2355" spans="2:35" s="649" customFormat="1" ht="54.95" customHeight="1" thickBot="1" x14ac:dyDescent="0.25">
      <c r="B2355" s="900" t="s">
        <v>36</v>
      </c>
      <c r="C2355" s="887" t="s">
        <v>7534</v>
      </c>
      <c r="D2355" s="888" t="s">
        <v>6441</v>
      </c>
      <c r="E2355" s="901">
        <v>4600557062</v>
      </c>
      <c r="F2355" s="1061" t="s">
        <v>7083</v>
      </c>
      <c r="G2355" s="889" t="s">
        <v>39</v>
      </c>
      <c r="H2355" s="890">
        <v>9712.92</v>
      </c>
      <c r="I2355" s="902" t="s">
        <v>62</v>
      </c>
      <c r="J2355" s="892">
        <v>44062</v>
      </c>
      <c r="K2355" s="893">
        <f t="shared" si="129"/>
        <v>89</v>
      </c>
      <c r="L2355" s="892">
        <v>44151</v>
      </c>
      <c r="M2355" s="892" t="s">
        <v>41</v>
      </c>
      <c r="N2355" s="889" t="s">
        <v>42</v>
      </c>
      <c r="O2355" s="892">
        <v>44148</v>
      </c>
      <c r="P2355" s="893">
        <f t="shared" si="130"/>
        <v>5</v>
      </c>
      <c r="Q2355" s="901" t="s">
        <v>7270</v>
      </c>
      <c r="R2355" s="903">
        <v>44156</v>
      </c>
      <c r="S2355" s="904">
        <v>44158</v>
      </c>
      <c r="T2355" s="894">
        <v>44176</v>
      </c>
      <c r="U2355" s="893">
        <f t="shared" si="131"/>
        <v>114</v>
      </c>
      <c r="V2355" s="893" t="s">
        <v>53</v>
      </c>
      <c r="W2355" s="1106" t="s">
        <v>7261</v>
      </c>
      <c r="X2355" s="905"/>
      <c r="Y2355" s="905"/>
      <c r="Z2355" s="895"/>
      <c r="AA2355" s="889"/>
      <c r="AB2355" s="892">
        <v>44193</v>
      </c>
      <c r="AC2355" s="476" t="s">
        <v>7084</v>
      </c>
      <c r="AD2355" s="645" t="str">
        <f t="shared" si="132"/>
        <v>atrasado</v>
      </c>
      <c r="AE2355" s="468" t="s">
        <v>7163</v>
      </c>
      <c r="AF2355" s="468" t="s">
        <v>3074</v>
      </c>
      <c r="AG2355" s="1099">
        <f t="shared" si="133"/>
        <v>44218</v>
      </c>
      <c r="AH2355" s="649">
        <f t="shared" si="134"/>
        <v>-25</v>
      </c>
      <c r="AI2355" s="649" t="str">
        <f t="shared" si="135"/>
        <v>en término</v>
      </c>
    </row>
    <row r="2356" spans="2:35" s="649" customFormat="1" ht="54.95" customHeight="1" thickBot="1" x14ac:dyDescent="0.25">
      <c r="B2356" s="900" t="s">
        <v>36</v>
      </c>
      <c r="C2356" s="887" t="s">
        <v>7534</v>
      </c>
      <c r="D2356" s="888" t="s">
        <v>6441</v>
      </c>
      <c r="E2356" s="901">
        <v>4600557062</v>
      </c>
      <c r="F2356" s="1061" t="s">
        <v>7085</v>
      </c>
      <c r="G2356" s="889" t="s">
        <v>39</v>
      </c>
      <c r="H2356" s="890">
        <v>5352.64</v>
      </c>
      <c r="I2356" s="902" t="s">
        <v>62</v>
      </c>
      <c r="J2356" s="892">
        <v>44062</v>
      </c>
      <c r="K2356" s="893">
        <f t="shared" si="129"/>
        <v>89</v>
      </c>
      <c r="L2356" s="892">
        <v>44151</v>
      </c>
      <c r="M2356" s="892" t="s">
        <v>41</v>
      </c>
      <c r="N2356" s="889" t="s">
        <v>42</v>
      </c>
      <c r="O2356" s="892">
        <v>44148</v>
      </c>
      <c r="P2356" s="893">
        <f t="shared" si="130"/>
        <v>5</v>
      </c>
      <c r="Q2356" s="901" t="s">
        <v>7270</v>
      </c>
      <c r="R2356" s="903">
        <v>44156</v>
      </c>
      <c r="S2356" s="904">
        <v>44158</v>
      </c>
      <c r="T2356" s="894">
        <v>44176</v>
      </c>
      <c r="U2356" s="893">
        <f t="shared" si="131"/>
        <v>114</v>
      </c>
      <c r="V2356" s="893" t="s">
        <v>53</v>
      </c>
      <c r="W2356" s="1106" t="s">
        <v>7261</v>
      </c>
      <c r="X2356" s="905"/>
      <c r="Y2356" s="905"/>
      <c r="Z2356" s="895"/>
      <c r="AA2356" s="889"/>
      <c r="AB2356" s="892">
        <v>44193</v>
      </c>
      <c r="AC2356" s="476" t="s">
        <v>7086</v>
      </c>
      <c r="AD2356" s="645" t="str">
        <f t="shared" si="132"/>
        <v>atrasado</v>
      </c>
      <c r="AE2356" s="468" t="s">
        <v>7163</v>
      </c>
      <c r="AF2356" s="468" t="s">
        <v>3074</v>
      </c>
      <c r="AG2356" s="1099">
        <f t="shared" si="133"/>
        <v>44218</v>
      </c>
      <c r="AH2356" s="649">
        <f t="shared" si="134"/>
        <v>-25</v>
      </c>
      <c r="AI2356" s="649" t="str">
        <f t="shared" si="135"/>
        <v>en término</v>
      </c>
    </row>
    <row r="2357" spans="2:35" s="649" customFormat="1" ht="54.95" customHeight="1" thickBot="1" x14ac:dyDescent="0.25">
      <c r="B2357" s="900" t="s">
        <v>36</v>
      </c>
      <c r="C2357" s="887" t="s">
        <v>7534</v>
      </c>
      <c r="D2357" s="888" t="s">
        <v>7089</v>
      </c>
      <c r="E2357" s="901">
        <v>94698</v>
      </c>
      <c r="F2357" s="1061" t="s">
        <v>7088</v>
      </c>
      <c r="G2357" s="889" t="s">
        <v>39</v>
      </c>
      <c r="H2357" s="890">
        <v>13974</v>
      </c>
      <c r="I2357" s="902" t="s">
        <v>62</v>
      </c>
      <c r="J2357" s="892">
        <v>44064</v>
      </c>
      <c r="K2357" s="893">
        <f t="shared" si="129"/>
        <v>90</v>
      </c>
      <c r="L2357" s="892">
        <v>44154</v>
      </c>
      <c r="M2357" s="892" t="s">
        <v>41</v>
      </c>
      <c r="N2357" s="889" t="s">
        <v>42</v>
      </c>
      <c r="O2357" s="892">
        <v>44148</v>
      </c>
      <c r="P2357" s="893">
        <f t="shared" si="130"/>
        <v>2</v>
      </c>
      <c r="Q2357" s="901" t="s">
        <v>7270</v>
      </c>
      <c r="R2357" s="903">
        <v>44156</v>
      </c>
      <c r="S2357" s="904">
        <v>44158</v>
      </c>
      <c r="T2357" s="894">
        <v>44176</v>
      </c>
      <c r="U2357" s="893">
        <f t="shared" si="131"/>
        <v>112</v>
      </c>
      <c r="V2357" s="893" t="s">
        <v>7090</v>
      </c>
      <c r="W2357" s="1106" t="s">
        <v>7261</v>
      </c>
      <c r="X2357" s="905"/>
      <c r="Y2357" s="905"/>
      <c r="Z2357" s="895"/>
      <c r="AA2357" s="889"/>
      <c r="AB2357" s="892">
        <v>44193</v>
      </c>
      <c r="AC2357" s="476" t="s">
        <v>7091</v>
      </c>
      <c r="AD2357" s="645" t="str">
        <f t="shared" si="132"/>
        <v>atrasado</v>
      </c>
      <c r="AE2357" s="468" t="s">
        <v>7163</v>
      </c>
      <c r="AF2357" s="468" t="s">
        <v>3074</v>
      </c>
      <c r="AG2357" s="1099">
        <f t="shared" si="133"/>
        <v>44218</v>
      </c>
      <c r="AH2357" s="649">
        <f t="shared" si="134"/>
        <v>-25</v>
      </c>
      <c r="AI2357" s="649" t="str">
        <f t="shared" si="135"/>
        <v>en término</v>
      </c>
    </row>
    <row r="2358" spans="2:35" s="649" customFormat="1" ht="54.95" customHeight="1" thickBot="1" x14ac:dyDescent="0.25">
      <c r="B2358" s="900" t="s">
        <v>36</v>
      </c>
      <c r="C2358" s="887" t="s">
        <v>7534</v>
      </c>
      <c r="D2358" s="888" t="s">
        <v>6441</v>
      </c>
      <c r="E2358" s="901">
        <v>4600557062</v>
      </c>
      <c r="F2358" s="1061" t="s">
        <v>7092</v>
      </c>
      <c r="G2358" s="889" t="s">
        <v>39</v>
      </c>
      <c r="H2358" s="890">
        <v>32476.79</v>
      </c>
      <c r="I2358" s="902" t="s">
        <v>40</v>
      </c>
      <c r="J2358" s="892">
        <v>44075</v>
      </c>
      <c r="K2358" s="893">
        <f t="shared" si="129"/>
        <v>88</v>
      </c>
      <c r="L2358" s="892">
        <v>44163</v>
      </c>
      <c r="M2358" s="892" t="s">
        <v>41</v>
      </c>
      <c r="N2358" s="889" t="s">
        <v>42</v>
      </c>
      <c r="O2358" s="892">
        <v>44148</v>
      </c>
      <c r="P2358" s="893">
        <f t="shared" si="130"/>
        <v>-7</v>
      </c>
      <c r="Q2358" s="901" t="s">
        <v>7270</v>
      </c>
      <c r="R2358" s="903">
        <v>44156</v>
      </c>
      <c r="S2358" s="904">
        <v>44158</v>
      </c>
      <c r="T2358" s="894">
        <v>44176</v>
      </c>
      <c r="U2358" s="893">
        <f t="shared" si="131"/>
        <v>101</v>
      </c>
      <c r="V2358" s="893" t="s">
        <v>7093</v>
      </c>
      <c r="W2358" s="1106" t="s">
        <v>7261</v>
      </c>
      <c r="X2358" s="905"/>
      <c r="Y2358" s="905"/>
      <c r="Z2358" s="895"/>
      <c r="AA2358" s="889"/>
      <c r="AB2358" s="892">
        <v>44193</v>
      </c>
      <c r="AC2358" s="476" t="s">
        <v>7099</v>
      </c>
      <c r="AD2358" s="645" t="str">
        <f t="shared" si="132"/>
        <v>en término</v>
      </c>
      <c r="AE2358" s="468" t="s">
        <v>7163</v>
      </c>
      <c r="AF2358" s="468" t="s">
        <v>3074</v>
      </c>
      <c r="AG2358" s="1099">
        <f t="shared" si="133"/>
        <v>44218</v>
      </c>
      <c r="AH2358" s="649">
        <f t="shared" si="134"/>
        <v>-25</v>
      </c>
      <c r="AI2358" s="649" t="str">
        <f t="shared" si="135"/>
        <v>en término</v>
      </c>
    </row>
    <row r="2359" spans="2:35" s="649" customFormat="1" ht="54.95" customHeight="1" thickBot="1" x14ac:dyDescent="0.25">
      <c r="B2359" s="900" t="s">
        <v>36</v>
      </c>
      <c r="C2359" s="887" t="s">
        <v>7534</v>
      </c>
      <c r="D2359" s="888" t="s">
        <v>6441</v>
      </c>
      <c r="E2359" s="901">
        <v>4600557062</v>
      </c>
      <c r="F2359" s="1061" t="s">
        <v>7094</v>
      </c>
      <c r="G2359" s="889" t="s">
        <v>39</v>
      </c>
      <c r="H2359" s="890">
        <v>44329</v>
      </c>
      <c r="I2359" s="902" t="s">
        <v>40</v>
      </c>
      <c r="J2359" s="892">
        <v>44075</v>
      </c>
      <c r="K2359" s="893">
        <f t="shared" si="129"/>
        <v>110</v>
      </c>
      <c r="L2359" s="892">
        <v>44185</v>
      </c>
      <c r="M2359" s="892" t="s">
        <v>41</v>
      </c>
      <c r="N2359" s="889" t="s">
        <v>42</v>
      </c>
      <c r="O2359" s="892">
        <v>44148</v>
      </c>
      <c r="P2359" s="893">
        <f t="shared" si="130"/>
        <v>-29</v>
      </c>
      <c r="Q2359" s="901" t="s">
        <v>7270</v>
      </c>
      <c r="R2359" s="903">
        <v>44156</v>
      </c>
      <c r="S2359" s="904">
        <v>44158</v>
      </c>
      <c r="T2359" s="894">
        <v>44176</v>
      </c>
      <c r="U2359" s="893">
        <f t="shared" si="131"/>
        <v>101</v>
      </c>
      <c r="V2359" s="893" t="s">
        <v>780</v>
      </c>
      <c r="W2359" s="1106" t="s">
        <v>7261</v>
      </c>
      <c r="X2359" s="905"/>
      <c r="Y2359" s="457" t="s">
        <v>7127</v>
      </c>
      <c r="Z2359" s="895"/>
      <c r="AA2359" s="889"/>
      <c r="AB2359" s="892">
        <v>44193</v>
      </c>
      <c r="AC2359" s="476" t="s">
        <v>7095</v>
      </c>
      <c r="AD2359" s="645" t="str">
        <f t="shared" si="132"/>
        <v>en término</v>
      </c>
      <c r="AE2359" s="468" t="s">
        <v>7163</v>
      </c>
      <c r="AF2359" s="468" t="s">
        <v>3074</v>
      </c>
      <c r="AG2359" s="1099">
        <f t="shared" si="133"/>
        <v>44218</v>
      </c>
      <c r="AH2359" s="649">
        <f t="shared" si="134"/>
        <v>-25</v>
      </c>
      <c r="AI2359" s="649" t="str">
        <f t="shared" si="135"/>
        <v>en término</v>
      </c>
    </row>
    <row r="2360" spans="2:35" s="649" customFormat="1" ht="54.95" customHeight="1" thickBot="1" x14ac:dyDescent="0.25">
      <c r="B2360" s="900" t="s">
        <v>36</v>
      </c>
      <c r="C2360" s="887" t="s">
        <v>7534</v>
      </c>
      <c r="D2360" s="888" t="s">
        <v>7097</v>
      </c>
      <c r="E2360" s="901">
        <v>95456</v>
      </c>
      <c r="F2360" s="1061" t="s">
        <v>7096</v>
      </c>
      <c r="G2360" s="889" t="s">
        <v>39</v>
      </c>
      <c r="H2360" s="890">
        <v>1112</v>
      </c>
      <c r="I2360" s="902" t="s">
        <v>62</v>
      </c>
      <c r="J2360" s="892">
        <v>44083</v>
      </c>
      <c r="K2360" s="893">
        <f t="shared" si="129"/>
        <v>82</v>
      </c>
      <c r="L2360" s="892">
        <v>44165</v>
      </c>
      <c r="M2360" s="892" t="s">
        <v>41</v>
      </c>
      <c r="N2360" s="889" t="s">
        <v>42</v>
      </c>
      <c r="O2360" s="892">
        <v>44148</v>
      </c>
      <c r="P2360" s="893">
        <f t="shared" si="130"/>
        <v>-9</v>
      </c>
      <c r="Q2360" s="901" t="s">
        <v>7270</v>
      </c>
      <c r="R2360" s="903">
        <v>44156</v>
      </c>
      <c r="S2360" s="904">
        <v>44158</v>
      </c>
      <c r="T2360" s="894">
        <v>44176</v>
      </c>
      <c r="U2360" s="893">
        <f t="shared" si="131"/>
        <v>93</v>
      </c>
      <c r="V2360" s="893" t="s">
        <v>7090</v>
      </c>
      <c r="W2360" s="1106" t="s">
        <v>7261</v>
      </c>
      <c r="X2360" s="905"/>
      <c r="Y2360" s="905"/>
      <c r="Z2360" s="895"/>
      <c r="AA2360" s="889"/>
      <c r="AB2360" s="892">
        <v>44193</v>
      </c>
      <c r="AC2360" s="476" t="s">
        <v>7098</v>
      </c>
      <c r="AD2360" s="645" t="str">
        <f t="shared" si="132"/>
        <v>en término</v>
      </c>
      <c r="AE2360" s="468" t="s">
        <v>7163</v>
      </c>
      <c r="AF2360" s="468" t="s">
        <v>3074</v>
      </c>
      <c r="AG2360" s="1099">
        <f t="shared" si="133"/>
        <v>44218</v>
      </c>
      <c r="AH2360" s="649">
        <f t="shared" si="134"/>
        <v>-25</v>
      </c>
      <c r="AI2360" s="649" t="str">
        <f t="shared" si="135"/>
        <v>en término</v>
      </c>
    </row>
    <row r="2361" spans="2:35" s="649" customFormat="1" ht="54.95" customHeight="1" thickBot="1" x14ac:dyDescent="0.25">
      <c r="B2361" s="900" t="s">
        <v>36</v>
      </c>
      <c r="C2361" s="887" t="s">
        <v>7534</v>
      </c>
      <c r="D2361" s="888" t="s">
        <v>6441</v>
      </c>
      <c r="E2361" s="901">
        <v>4600557062</v>
      </c>
      <c r="F2361" s="1061" t="s">
        <v>7116</v>
      </c>
      <c r="G2361" s="889" t="s">
        <v>39</v>
      </c>
      <c r="H2361" s="890">
        <v>19103.400000000001</v>
      </c>
      <c r="I2361" s="902" t="s">
        <v>40</v>
      </c>
      <c r="J2361" s="892">
        <v>44119</v>
      </c>
      <c r="K2361" s="893">
        <f t="shared" si="129"/>
        <v>54</v>
      </c>
      <c r="L2361" s="892">
        <v>44173</v>
      </c>
      <c r="M2361" s="892" t="s">
        <v>41</v>
      </c>
      <c r="N2361" s="889" t="s">
        <v>42</v>
      </c>
      <c r="O2361" s="892">
        <v>44174</v>
      </c>
      <c r="P2361" s="893">
        <f t="shared" si="130"/>
        <v>24</v>
      </c>
      <c r="Q2361" s="901" t="s">
        <v>7192</v>
      </c>
      <c r="R2361" s="903">
        <v>44197</v>
      </c>
      <c r="S2361" s="904">
        <v>44203</v>
      </c>
      <c r="T2361" s="894">
        <v>44225</v>
      </c>
      <c r="U2361" s="893">
        <f t="shared" si="131"/>
        <v>106</v>
      </c>
      <c r="V2361" s="893" t="s">
        <v>944</v>
      </c>
      <c r="W2361" s="1106" t="s">
        <v>7232</v>
      </c>
      <c r="X2361" s="905"/>
      <c r="Y2361" s="905"/>
      <c r="Z2361" s="895"/>
      <c r="AA2361" s="889"/>
      <c r="AB2361" s="892">
        <v>44193</v>
      </c>
      <c r="AC2361" s="476" t="s">
        <v>7193</v>
      </c>
      <c r="AD2361" s="645" t="str">
        <f t="shared" si="132"/>
        <v>atrasado</v>
      </c>
      <c r="AE2361" s="468" t="s">
        <v>7183</v>
      </c>
      <c r="AF2361" s="468" t="s">
        <v>3082</v>
      </c>
      <c r="AG2361" s="1099">
        <f t="shared" si="133"/>
        <v>44263</v>
      </c>
      <c r="AH2361" s="649">
        <f t="shared" si="134"/>
        <v>-70</v>
      </c>
      <c r="AI2361" s="649" t="str">
        <f t="shared" si="135"/>
        <v>en término</v>
      </c>
    </row>
    <row r="2362" spans="2:35" s="649" customFormat="1" ht="54.95" customHeight="1" thickBot="1" x14ac:dyDescent="0.25">
      <c r="B2362" s="900" t="s">
        <v>36</v>
      </c>
      <c r="C2362" s="887" t="s">
        <v>7534</v>
      </c>
      <c r="D2362" s="888" t="s">
        <v>6441</v>
      </c>
      <c r="E2362" s="901">
        <v>4600557062</v>
      </c>
      <c r="F2362" s="1061" t="s">
        <v>7117</v>
      </c>
      <c r="G2362" s="889" t="s">
        <v>39</v>
      </c>
      <c r="H2362" s="890">
        <v>7146.98</v>
      </c>
      <c r="I2362" s="902" t="s">
        <v>40</v>
      </c>
      <c r="J2362" s="892">
        <v>44119</v>
      </c>
      <c r="K2362" s="893">
        <f t="shared" si="129"/>
        <v>60</v>
      </c>
      <c r="L2362" s="892">
        <v>44179</v>
      </c>
      <c r="M2362" s="892" t="s">
        <v>41</v>
      </c>
      <c r="N2362" s="889" t="s">
        <v>42</v>
      </c>
      <c r="O2362" s="892">
        <v>44174</v>
      </c>
      <c r="P2362" s="893">
        <f t="shared" si="130"/>
        <v>18</v>
      </c>
      <c r="Q2362" s="901" t="s">
        <v>7192</v>
      </c>
      <c r="R2362" s="903">
        <v>44197</v>
      </c>
      <c r="S2362" s="904">
        <v>44203</v>
      </c>
      <c r="T2362" s="894">
        <v>44225</v>
      </c>
      <c r="U2362" s="893">
        <f t="shared" si="131"/>
        <v>106</v>
      </c>
      <c r="V2362" s="893" t="s">
        <v>7118</v>
      </c>
      <c r="W2362" s="1106" t="s">
        <v>7232</v>
      </c>
      <c r="X2362" s="905"/>
      <c r="Y2362" s="905"/>
      <c r="Z2362" s="895"/>
      <c r="AA2362" s="889"/>
      <c r="AB2362" s="892">
        <v>44193</v>
      </c>
      <c r="AC2362" s="476" t="s">
        <v>7194</v>
      </c>
      <c r="AD2362" s="645" t="str">
        <f t="shared" si="132"/>
        <v>atrasado</v>
      </c>
      <c r="AE2362" s="468" t="s">
        <v>7183</v>
      </c>
      <c r="AF2362" s="468" t="s">
        <v>3082</v>
      </c>
      <c r="AG2362" s="1099">
        <f t="shared" si="133"/>
        <v>44263</v>
      </c>
      <c r="AH2362" s="649">
        <f t="shared" si="134"/>
        <v>-70</v>
      </c>
      <c r="AI2362" s="649" t="str">
        <f t="shared" si="135"/>
        <v>en término</v>
      </c>
    </row>
    <row r="2363" spans="2:35" s="649" customFormat="1" ht="54.95" customHeight="1" thickBot="1" x14ac:dyDescent="0.25">
      <c r="B2363" s="900" t="s">
        <v>36</v>
      </c>
      <c r="C2363" s="887" t="s">
        <v>7534</v>
      </c>
      <c r="D2363" s="888" t="s">
        <v>6441</v>
      </c>
      <c r="E2363" s="901">
        <v>4600557062</v>
      </c>
      <c r="F2363" s="1061" t="s">
        <v>7119</v>
      </c>
      <c r="G2363" s="889" t="s">
        <v>39</v>
      </c>
      <c r="H2363" s="890">
        <v>27646.6</v>
      </c>
      <c r="I2363" s="902" t="s">
        <v>40</v>
      </c>
      <c r="J2363" s="892">
        <v>44119</v>
      </c>
      <c r="K2363" s="893">
        <f t="shared" si="129"/>
        <v>66</v>
      </c>
      <c r="L2363" s="892">
        <v>44185</v>
      </c>
      <c r="M2363" s="892" t="s">
        <v>41</v>
      </c>
      <c r="N2363" s="889" t="s">
        <v>42</v>
      </c>
      <c r="O2363" s="892">
        <v>44174</v>
      </c>
      <c r="P2363" s="893">
        <f t="shared" si="130"/>
        <v>12</v>
      </c>
      <c r="Q2363" s="901" t="s">
        <v>7192</v>
      </c>
      <c r="R2363" s="903">
        <v>44197</v>
      </c>
      <c r="S2363" s="904">
        <v>44203</v>
      </c>
      <c r="T2363" s="894">
        <v>44225</v>
      </c>
      <c r="U2363" s="893">
        <f t="shared" si="131"/>
        <v>106</v>
      </c>
      <c r="V2363" s="893" t="s">
        <v>7120</v>
      </c>
      <c r="W2363" s="1106" t="s">
        <v>7232</v>
      </c>
      <c r="X2363" s="905"/>
      <c r="Y2363" s="457" t="s">
        <v>7128</v>
      </c>
      <c r="Z2363" s="895"/>
      <c r="AA2363" s="889"/>
      <c r="AB2363" s="892">
        <v>44193</v>
      </c>
      <c r="AC2363" s="476" t="s">
        <v>7195</v>
      </c>
      <c r="AD2363" s="645" t="str">
        <f t="shared" si="132"/>
        <v>atrasado</v>
      </c>
      <c r="AE2363" s="468" t="s">
        <v>7183</v>
      </c>
      <c r="AF2363" s="468" t="s">
        <v>3082</v>
      </c>
      <c r="AG2363" s="1099">
        <f t="shared" si="133"/>
        <v>44263</v>
      </c>
      <c r="AH2363" s="649">
        <f t="shared" si="134"/>
        <v>-70</v>
      </c>
      <c r="AI2363" s="649" t="str">
        <f t="shared" si="135"/>
        <v>en término</v>
      </c>
    </row>
    <row r="2364" spans="2:35" s="649" customFormat="1" ht="54.95" customHeight="1" thickBot="1" x14ac:dyDescent="0.25">
      <c r="B2364" s="900" t="s">
        <v>36</v>
      </c>
      <c r="C2364" s="887" t="s">
        <v>7534</v>
      </c>
      <c r="D2364" s="888" t="s">
        <v>6441</v>
      </c>
      <c r="E2364" s="901">
        <v>4600557062</v>
      </c>
      <c r="F2364" s="1061" t="s">
        <v>7121</v>
      </c>
      <c r="G2364" s="889" t="s">
        <v>39</v>
      </c>
      <c r="H2364" s="890">
        <v>12225.02</v>
      </c>
      <c r="I2364" s="902" t="s">
        <v>52</v>
      </c>
      <c r="J2364" s="892">
        <v>44119</v>
      </c>
      <c r="K2364" s="893">
        <f t="shared" si="129"/>
        <v>81</v>
      </c>
      <c r="L2364" s="892">
        <v>44200</v>
      </c>
      <c r="M2364" s="892" t="s">
        <v>41</v>
      </c>
      <c r="N2364" s="889" t="s">
        <v>42</v>
      </c>
      <c r="O2364" s="892">
        <v>44174</v>
      </c>
      <c r="P2364" s="893">
        <f t="shared" si="130"/>
        <v>-3</v>
      </c>
      <c r="Q2364" s="901" t="s">
        <v>7192</v>
      </c>
      <c r="R2364" s="903">
        <v>44197</v>
      </c>
      <c r="S2364" s="904">
        <v>44203</v>
      </c>
      <c r="T2364" s="894">
        <v>44225</v>
      </c>
      <c r="U2364" s="893">
        <f t="shared" si="131"/>
        <v>106</v>
      </c>
      <c r="V2364" s="893" t="s">
        <v>7122</v>
      </c>
      <c r="W2364" s="1106" t="s">
        <v>7232</v>
      </c>
      <c r="X2364" s="905"/>
      <c r="Y2364" s="457" t="s">
        <v>7128</v>
      </c>
      <c r="Z2364" s="895"/>
      <c r="AA2364" s="889"/>
      <c r="AB2364" s="892">
        <v>44193</v>
      </c>
      <c r="AC2364" s="476" t="s">
        <v>7196</v>
      </c>
      <c r="AD2364" s="645" t="str">
        <f t="shared" si="132"/>
        <v>en término</v>
      </c>
      <c r="AE2364" s="468" t="s">
        <v>7183</v>
      </c>
      <c r="AF2364" s="468" t="s">
        <v>3082</v>
      </c>
      <c r="AG2364" s="1099">
        <f t="shared" si="133"/>
        <v>44263</v>
      </c>
      <c r="AH2364" s="649">
        <f t="shared" si="134"/>
        <v>-70</v>
      </c>
      <c r="AI2364" s="649" t="str">
        <f t="shared" si="135"/>
        <v>en término</v>
      </c>
    </row>
    <row r="2369" spans="1:39" ht="12" thickBot="1" x14ac:dyDescent="0.25"/>
    <row r="2370" spans="1:39" s="556" customFormat="1" ht="39.950000000000003" customHeight="1" thickBot="1" x14ac:dyDescent="0.4">
      <c r="A2370" s="554"/>
      <c r="B2370" s="1611">
        <v>2021</v>
      </c>
      <c r="C2370" s="1612"/>
      <c r="D2370" s="1612"/>
      <c r="E2370" s="1612"/>
      <c r="F2370" s="1612"/>
      <c r="G2370" s="1612"/>
      <c r="H2370" s="1612"/>
      <c r="I2370" s="1612"/>
      <c r="J2370" s="1612"/>
      <c r="K2370" s="1612"/>
      <c r="L2370" s="1612"/>
      <c r="M2370" s="1612"/>
      <c r="N2370" s="1612"/>
      <c r="O2370" s="1612"/>
      <c r="P2370" s="1612"/>
      <c r="Q2370" s="1612"/>
      <c r="R2370" s="1612"/>
      <c r="S2370" s="1612"/>
      <c r="T2370" s="1612"/>
      <c r="U2370" s="1612"/>
      <c r="V2370" s="1612"/>
      <c r="W2370" s="1612"/>
      <c r="X2370" s="1612"/>
      <c r="Y2370" s="1612"/>
      <c r="Z2370" s="1612"/>
      <c r="AA2370" s="1612"/>
      <c r="AB2370" s="1612"/>
      <c r="AC2370" s="1613"/>
      <c r="AD2370" s="555"/>
    </row>
    <row r="2371" spans="1:39" s="441" customFormat="1" ht="60" customHeight="1" thickBot="1" x14ac:dyDescent="0.25">
      <c r="A2371" s="438"/>
      <c r="B2371" s="451" t="s">
        <v>130</v>
      </c>
      <c r="C2371" s="451" t="s">
        <v>4</v>
      </c>
      <c r="D2371" s="451" t="s">
        <v>5</v>
      </c>
      <c r="E2371" s="451" t="s">
        <v>6</v>
      </c>
      <c r="F2371" s="451" t="s">
        <v>7</v>
      </c>
      <c r="G2371" s="451" t="s">
        <v>8</v>
      </c>
      <c r="H2371" s="453" t="s">
        <v>9</v>
      </c>
      <c r="I2371" s="453" t="s">
        <v>10</v>
      </c>
      <c r="J2371" s="451" t="s">
        <v>11</v>
      </c>
      <c r="K2371" s="451" t="s">
        <v>12</v>
      </c>
      <c r="L2371" s="451" t="s">
        <v>13</v>
      </c>
      <c r="M2371" s="451" t="s">
        <v>14</v>
      </c>
      <c r="N2371" s="451" t="s">
        <v>15</v>
      </c>
      <c r="O2371" s="452" t="s">
        <v>16</v>
      </c>
      <c r="P2371" s="454" t="s">
        <v>17</v>
      </c>
      <c r="Q2371" s="451" t="s">
        <v>18</v>
      </c>
      <c r="R2371" s="452" t="s">
        <v>19</v>
      </c>
      <c r="S2371" s="451" t="s">
        <v>20</v>
      </c>
      <c r="T2371" s="451" t="s">
        <v>21</v>
      </c>
      <c r="U2371" s="452" t="s">
        <v>22</v>
      </c>
      <c r="V2371" s="451" t="s">
        <v>131</v>
      </c>
      <c r="W2371" s="451" t="s">
        <v>24</v>
      </c>
      <c r="X2371" s="451" t="s">
        <v>132</v>
      </c>
      <c r="Y2371" s="451" t="s">
        <v>26</v>
      </c>
      <c r="Z2371" s="451" t="s">
        <v>27</v>
      </c>
      <c r="AA2371" s="451" t="s">
        <v>28</v>
      </c>
      <c r="AB2371" s="451" t="s">
        <v>29</v>
      </c>
      <c r="AC2371" s="451" t="s">
        <v>30</v>
      </c>
      <c r="AD2371" s="439"/>
      <c r="AE2371" s="440"/>
      <c r="AF2371" s="440" t="s">
        <v>7187</v>
      </c>
      <c r="AG2371" s="440" t="s">
        <v>7188</v>
      </c>
      <c r="AH2371" s="440" t="s">
        <v>7189</v>
      </c>
      <c r="AI2371" s="440" t="s">
        <v>7190</v>
      </c>
      <c r="AJ2371" s="440"/>
      <c r="AK2371" s="440"/>
      <c r="AL2371" s="440"/>
      <c r="AM2371" s="440"/>
    </row>
    <row r="2372" spans="1:39" s="649" customFormat="1" ht="54.95" customHeight="1" thickBot="1" x14ac:dyDescent="0.25">
      <c r="B2372" s="900" t="s">
        <v>36</v>
      </c>
      <c r="C2372" s="887" t="s">
        <v>7534</v>
      </c>
      <c r="D2372" s="888" t="s">
        <v>6441</v>
      </c>
      <c r="E2372" s="901">
        <v>4600557062</v>
      </c>
      <c r="F2372" s="1061" t="s">
        <v>7139</v>
      </c>
      <c r="G2372" s="889" t="s">
        <v>39</v>
      </c>
      <c r="H2372" s="890">
        <v>46017.1</v>
      </c>
      <c r="I2372" s="902" t="s">
        <v>40</v>
      </c>
      <c r="J2372" s="892">
        <v>44125</v>
      </c>
      <c r="K2372" s="893">
        <f t="shared" ref="K2372:K2403" si="136">+L2372-J2372</f>
        <v>86</v>
      </c>
      <c r="L2372" s="892">
        <v>44211</v>
      </c>
      <c r="M2372" s="892" t="s">
        <v>41</v>
      </c>
      <c r="N2372" s="889" t="s">
        <v>42</v>
      </c>
      <c r="O2372" s="892">
        <v>44194</v>
      </c>
      <c r="P2372" s="893">
        <f t="shared" ref="P2372:P2403" si="137">IF(R2372="","",+R2372-L2372)</f>
        <v>8</v>
      </c>
      <c r="Q2372" s="901" t="s">
        <v>7186</v>
      </c>
      <c r="R2372" s="903">
        <v>44219</v>
      </c>
      <c r="S2372" s="904">
        <v>44221</v>
      </c>
      <c r="T2372" s="894">
        <v>44238</v>
      </c>
      <c r="U2372" s="893">
        <f t="shared" ref="U2372:U2403" si="138">IF(T2372="","",+T2372-J2372)</f>
        <v>113</v>
      </c>
      <c r="V2372" s="893" t="s">
        <v>7138</v>
      </c>
      <c r="W2372" s="1106" t="s">
        <v>7269</v>
      </c>
      <c r="X2372" s="905"/>
      <c r="Y2372" s="457" t="s">
        <v>6960</v>
      </c>
      <c r="Z2372" s="895"/>
      <c r="AA2372" s="889"/>
      <c r="AB2372" s="892">
        <v>44284</v>
      </c>
      <c r="AC2372" s="476" t="s">
        <v>7209</v>
      </c>
      <c r="AD2372" s="645" t="str">
        <f t="shared" ref="AD2372:AD2403" si="139">IF(P2372="","",IF(P2372&lt;=0,"en término","atrasado"))</f>
        <v>atrasado</v>
      </c>
      <c r="AE2372" s="468" t="s">
        <v>7230</v>
      </c>
      <c r="AF2372" s="468" t="s">
        <v>2968</v>
      </c>
      <c r="AG2372" s="1099">
        <f t="shared" ref="AG2372:AG2399" si="140">+S2372+60</f>
        <v>44281</v>
      </c>
      <c r="AH2372" s="649">
        <f t="shared" ref="AH2372:AH2399" si="141">IF(AB2372="","",+AB2372-AG2372)</f>
        <v>3</v>
      </c>
      <c r="AI2372" s="649" t="str">
        <f t="shared" ref="AI2372:AI2399" si="142">IF(AH2372="","",IF(AH2372&lt;=0,"en término","atrasado"))</f>
        <v>atrasado</v>
      </c>
    </row>
    <row r="2373" spans="1:39" s="649" customFormat="1" ht="54.95" customHeight="1" thickBot="1" x14ac:dyDescent="0.25">
      <c r="B2373" s="900" t="s">
        <v>36</v>
      </c>
      <c r="C2373" s="887" t="s">
        <v>7534</v>
      </c>
      <c r="D2373" s="888" t="s">
        <v>6441</v>
      </c>
      <c r="E2373" s="901">
        <v>4600557062</v>
      </c>
      <c r="F2373" s="1061" t="s">
        <v>7146</v>
      </c>
      <c r="G2373" s="889" t="s">
        <v>39</v>
      </c>
      <c r="H2373" s="890">
        <v>64089.66</v>
      </c>
      <c r="I2373" s="902" t="s">
        <v>52</v>
      </c>
      <c r="J2373" s="892">
        <v>44139</v>
      </c>
      <c r="K2373" s="893">
        <f t="shared" si="136"/>
        <v>91</v>
      </c>
      <c r="L2373" s="892">
        <v>44230</v>
      </c>
      <c r="M2373" s="892" t="s">
        <v>41</v>
      </c>
      <c r="N2373" s="889" t="s">
        <v>42</v>
      </c>
      <c r="O2373" s="892">
        <v>44211</v>
      </c>
      <c r="P2373" s="893">
        <f t="shared" si="137"/>
        <v>-11</v>
      </c>
      <c r="Q2373" s="901" t="s">
        <v>7186</v>
      </c>
      <c r="R2373" s="903">
        <v>44219</v>
      </c>
      <c r="S2373" s="904">
        <v>44221</v>
      </c>
      <c r="T2373" s="894">
        <v>44238</v>
      </c>
      <c r="U2373" s="893">
        <f t="shared" si="138"/>
        <v>99</v>
      </c>
      <c r="V2373" s="893" t="s">
        <v>2914</v>
      </c>
      <c r="W2373" s="1106" t="s">
        <v>7269</v>
      </c>
      <c r="X2373" s="905"/>
      <c r="Y2373" s="457" t="s">
        <v>6960</v>
      </c>
      <c r="Z2373" s="895"/>
      <c r="AA2373" s="889"/>
      <c r="AB2373" s="892">
        <v>44284</v>
      </c>
      <c r="AC2373" s="476" t="s">
        <v>7212</v>
      </c>
      <c r="AD2373" s="645" t="str">
        <f t="shared" si="139"/>
        <v>en término</v>
      </c>
      <c r="AE2373" s="468" t="s">
        <v>7230</v>
      </c>
      <c r="AF2373" s="468" t="s">
        <v>2968</v>
      </c>
      <c r="AG2373" s="1099">
        <f t="shared" si="140"/>
        <v>44281</v>
      </c>
      <c r="AH2373" s="649">
        <f t="shared" si="141"/>
        <v>3</v>
      </c>
      <c r="AI2373" s="649" t="str">
        <f t="shared" si="142"/>
        <v>atrasado</v>
      </c>
    </row>
    <row r="2374" spans="1:39" s="649" customFormat="1" ht="54.95" customHeight="1" thickBot="1" x14ac:dyDescent="0.25">
      <c r="B2374" s="900" t="s">
        <v>36</v>
      </c>
      <c r="C2374" s="887" t="s">
        <v>7534</v>
      </c>
      <c r="D2374" s="888" t="s">
        <v>6441</v>
      </c>
      <c r="E2374" s="901">
        <v>4600557062</v>
      </c>
      <c r="F2374" s="1061" t="s">
        <v>7147</v>
      </c>
      <c r="G2374" s="889" t="s">
        <v>39</v>
      </c>
      <c r="H2374" s="890">
        <v>1777.88</v>
      </c>
      <c r="I2374" s="902" t="s">
        <v>52</v>
      </c>
      <c r="J2374" s="892">
        <v>44141</v>
      </c>
      <c r="K2374" s="893">
        <f t="shared" si="136"/>
        <v>90</v>
      </c>
      <c r="L2374" s="892">
        <v>44231</v>
      </c>
      <c r="M2374" s="892" t="s">
        <v>41</v>
      </c>
      <c r="N2374" s="889" t="s">
        <v>42</v>
      </c>
      <c r="O2374" s="892">
        <v>44211</v>
      </c>
      <c r="P2374" s="893">
        <f t="shared" si="137"/>
        <v>-12</v>
      </c>
      <c r="Q2374" s="901" t="s">
        <v>7186</v>
      </c>
      <c r="R2374" s="903">
        <v>44219</v>
      </c>
      <c r="S2374" s="904">
        <v>44221</v>
      </c>
      <c r="T2374" s="894">
        <v>44238</v>
      </c>
      <c r="U2374" s="893">
        <f t="shared" si="138"/>
        <v>97</v>
      </c>
      <c r="V2374" s="893" t="s">
        <v>1020</v>
      </c>
      <c r="W2374" s="1106" t="s">
        <v>7269</v>
      </c>
      <c r="X2374" s="905"/>
      <c r="Y2374" s="457" t="s">
        <v>6960</v>
      </c>
      <c r="Z2374" s="895"/>
      <c r="AA2374" s="889"/>
      <c r="AB2374" s="892">
        <v>44284</v>
      </c>
      <c r="AC2374" s="476" t="s">
        <v>7222</v>
      </c>
      <c r="AD2374" s="645" t="str">
        <f t="shared" si="139"/>
        <v>en término</v>
      </c>
      <c r="AE2374" s="468" t="s">
        <v>7230</v>
      </c>
      <c r="AF2374" s="468" t="s">
        <v>2968</v>
      </c>
      <c r="AG2374" s="1099">
        <f t="shared" si="140"/>
        <v>44281</v>
      </c>
      <c r="AH2374" s="649">
        <f t="shared" si="141"/>
        <v>3</v>
      </c>
      <c r="AI2374" s="649" t="str">
        <f t="shared" si="142"/>
        <v>atrasado</v>
      </c>
    </row>
    <row r="2375" spans="1:39" s="649" customFormat="1" ht="54.95" customHeight="1" thickBot="1" x14ac:dyDescent="0.25">
      <c r="B2375" s="900" t="s">
        <v>36</v>
      </c>
      <c r="C2375" s="887" t="s">
        <v>7534</v>
      </c>
      <c r="D2375" s="888" t="s">
        <v>6441</v>
      </c>
      <c r="E2375" s="901">
        <v>4600557062</v>
      </c>
      <c r="F2375" s="1061" t="s">
        <v>7156</v>
      </c>
      <c r="G2375" s="889" t="s">
        <v>39</v>
      </c>
      <c r="H2375" s="890">
        <v>76922.100000000006</v>
      </c>
      <c r="I2375" s="902" t="s">
        <v>40</v>
      </c>
      <c r="J2375" s="892">
        <v>44151</v>
      </c>
      <c r="K2375" s="893">
        <f t="shared" si="136"/>
        <v>91</v>
      </c>
      <c r="L2375" s="892">
        <v>44242</v>
      </c>
      <c r="M2375" s="892" t="s">
        <v>41</v>
      </c>
      <c r="N2375" s="889" t="s">
        <v>42</v>
      </c>
      <c r="O2375" s="892">
        <v>44211</v>
      </c>
      <c r="P2375" s="893">
        <f t="shared" si="137"/>
        <v>-23</v>
      </c>
      <c r="Q2375" s="901" t="s">
        <v>7186</v>
      </c>
      <c r="R2375" s="903">
        <v>44219</v>
      </c>
      <c r="S2375" s="904">
        <v>44221</v>
      </c>
      <c r="T2375" s="894">
        <v>44238</v>
      </c>
      <c r="U2375" s="893">
        <f t="shared" si="138"/>
        <v>87</v>
      </c>
      <c r="V2375" s="893" t="s">
        <v>7157</v>
      </c>
      <c r="W2375" s="1106" t="s">
        <v>7269</v>
      </c>
      <c r="X2375" s="905"/>
      <c r="Y2375" s="457" t="s">
        <v>6960</v>
      </c>
      <c r="Z2375" s="895"/>
      <c r="AA2375" s="889"/>
      <c r="AB2375" s="892">
        <v>44284</v>
      </c>
      <c r="AC2375" s="476" t="s">
        <v>7213</v>
      </c>
      <c r="AD2375" s="645" t="str">
        <f t="shared" si="139"/>
        <v>en término</v>
      </c>
      <c r="AE2375" s="468" t="s">
        <v>7230</v>
      </c>
      <c r="AF2375" s="468" t="s">
        <v>2968</v>
      </c>
      <c r="AG2375" s="1099">
        <f t="shared" si="140"/>
        <v>44281</v>
      </c>
      <c r="AH2375" s="649">
        <f t="shared" si="141"/>
        <v>3</v>
      </c>
      <c r="AI2375" s="649" t="str">
        <f t="shared" si="142"/>
        <v>atrasado</v>
      </c>
    </row>
    <row r="2376" spans="1:39" s="649" customFormat="1" ht="54.95" customHeight="1" thickBot="1" x14ac:dyDescent="0.25">
      <c r="B2376" s="900" t="s">
        <v>36</v>
      </c>
      <c r="C2376" s="887" t="s">
        <v>7534</v>
      </c>
      <c r="D2376" s="888" t="s">
        <v>7050</v>
      </c>
      <c r="E2376" s="901">
        <v>4600611934</v>
      </c>
      <c r="F2376" s="1061" t="s">
        <v>7161</v>
      </c>
      <c r="G2376" s="889" t="s">
        <v>39</v>
      </c>
      <c r="H2376" s="890">
        <v>20540</v>
      </c>
      <c r="I2376" s="902" t="s">
        <v>62</v>
      </c>
      <c r="J2376" s="892">
        <v>44159</v>
      </c>
      <c r="K2376" s="893">
        <f t="shared" si="136"/>
        <v>91</v>
      </c>
      <c r="L2376" s="892">
        <v>44250</v>
      </c>
      <c r="M2376" s="892" t="s">
        <v>41</v>
      </c>
      <c r="N2376" s="889" t="s">
        <v>42</v>
      </c>
      <c r="O2376" s="892">
        <v>44246</v>
      </c>
      <c r="P2376" s="893">
        <f t="shared" si="137"/>
        <v>4</v>
      </c>
      <c r="Q2376" s="901" t="s">
        <v>7263</v>
      </c>
      <c r="R2376" s="903">
        <v>44254</v>
      </c>
      <c r="S2376" s="904">
        <v>44257</v>
      </c>
      <c r="T2376" s="894">
        <v>44274</v>
      </c>
      <c r="U2376" s="893">
        <f t="shared" si="138"/>
        <v>115</v>
      </c>
      <c r="V2376" s="893" t="s">
        <v>7258</v>
      </c>
      <c r="W2376" s="1106" t="s">
        <v>7344</v>
      </c>
      <c r="X2376" s="905"/>
      <c r="Y2376" s="905"/>
      <c r="Z2376" s="895"/>
      <c r="AA2376" s="889"/>
      <c r="AB2376" s="892">
        <v>44319</v>
      </c>
      <c r="AC2376" s="476" t="s">
        <v>7290</v>
      </c>
      <c r="AD2376" s="645" t="str">
        <f t="shared" si="139"/>
        <v>atrasado</v>
      </c>
      <c r="AE2376" s="468" t="s">
        <v>7264</v>
      </c>
      <c r="AF2376" s="468" t="s">
        <v>2981</v>
      </c>
      <c r="AG2376" s="1099">
        <f t="shared" si="140"/>
        <v>44317</v>
      </c>
      <c r="AH2376" s="649">
        <f t="shared" si="141"/>
        <v>2</v>
      </c>
      <c r="AI2376" s="649" t="str">
        <f t="shared" si="142"/>
        <v>atrasado</v>
      </c>
    </row>
    <row r="2377" spans="1:39" s="649" customFormat="1" ht="54.95" customHeight="1" thickBot="1" x14ac:dyDescent="0.25">
      <c r="B2377" s="900" t="s">
        <v>36</v>
      </c>
      <c r="C2377" s="887" t="s">
        <v>7534</v>
      </c>
      <c r="D2377" s="888" t="s">
        <v>6441</v>
      </c>
      <c r="E2377" s="901">
        <v>4600557062</v>
      </c>
      <c r="F2377" s="1061" t="s">
        <v>7164</v>
      </c>
      <c r="G2377" s="889" t="s">
        <v>39</v>
      </c>
      <c r="H2377" s="890">
        <v>31894.2</v>
      </c>
      <c r="I2377" s="902" t="s">
        <v>142</v>
      </c>
      <c r="J2377" s="892">
        <v>44161</v>
      </c>
      <c r="K2377" s="893">
        <f t="shared" si="136"/>
        <v>92</v>
      </c>
      <c r="L2377" s="892">
        <v>44253</v>
      </c>
      <c r="M2377" s="892" t="s">
        <v>41</v>
      </c>
      <c r="N2377" s="889" t="s">
        <v>42</v>
      </c>
      <c r="O2377" s="892">
        <v>44246</v>
      </c>
      <c r="P2377" s="893">
        <f t="shared" si="137"/>
        <v>1</v>
      </c>
      <c r="Q2377" s="901" t="s">
        <v>7263</v>
      </c>
      <c r="R2377" s="903">
        <v>44254</v>
      </c>
      <c r="S2377" s="904">
        <v>44257</v>
      </c>
      <c r="T2377" s="894">
        <v>44274</v>
      </c>
      <c r="U2377" s="893">
        <f t="shared" si="138"/>
        <v>113</v>
      </c>
      <c r="V2377" s="893" t="s">
        <v>879</v>
      </c>
      <c r="W2377" s="1106" t="s">
        <v>7344</v>
      </c>
      <c r="X2377" s="905"/>
      <c r="Y2377" s="457" t="s">
        <v>6960</v>
      </c>
      <c r="Z2377" s="895"/>
      <c r="AA2377" s="889"/>
      <c r="AB2377" s="892">
        <v>44319</v>
      </c>
      <c r="AC2377" s="476" t="s">
        <v>7291</v>
      </c>
      <c r="AD2377" s="645" t="str">
        <f t="shared" si="139"/>
        <v>atrasado</v>
      </c>
      <c r="AE2377" s="468" t="s">
        <v>7264</v>
      </c>
      <c r="AF2377" s="468" t="s">
        <v>2981</v>
      </c>
      <c r="AG2377" s="1099">
        <f t="shared" si="140"/>
        <v>44317</v>
      </c>
      <c r="AH2377" s="649">
        <f t="shared" si="141"/>
        <v>2</v>
      </c>
      <c r="AI2377" s="649" t="str">
        <f t="shared" si="142"/>
        <v>atrasado</v>
      </c>
    </row>
    <row r="2378" spans="1:39" s="649" customFormat="1" ht="54.95" customHeight="1" thickBot="1" x14ac:dyDescent="0.25">
      <c r="B2378" s="900" t="s">
        <v>36</v>
      </c>
      <c r="C2378" s="887" t="s">
        <v>7534</v>
      </c>
      <c r="D2378" s="888" t="s">
        <v>7050</v>
      </c>
      <c r="E2378" s="901">
        <v>4600611934</v>
      </c>
      <c r="F2378" s="1061" t="s">
        <v>7165</v>
      </c>
      <c r="G2378" s="889" t="s">
        <v>39</v>
      </c>
      <c r="H2378" s="890">
        <v>925.76</v>
      </c>
      <c r="I2378" s="902" t="s">
        <v>52</v>
      </c>
      <c r="J2378" s="892">
        <v>44173</v>
      </c>
      <c r="K2378" s="893">
        <f t="shared" si="136"/>
        <v>87</v>
      </c>
      <c r="L2378" s="892">
        <v>44260</v>
      </c>
      <c r="M2378" s="892" t="s">
        <v>41</v>
      </c>
      <c r="N2378" s="889" t="s">
        <v>42</v>
      </c>
      <c r="O2378" s="892">
        <v>44253</v>
      </c>
      <c r="P2378" s="893">
        <f t="shared" si="137"/>
        <v>1</v>
      </c>
      <c r="Q2378" s="901" t="s">
        <v>7268</v>
      </c>
      <c r="R2378" s="903">
        <v>44261</v>
      </c>
      <c r="S2378" s="904">
        <v>44263</v>
      </c>
      <c r="T2378" s="894">
        <v>44281</v>
      </c>
      <c r="U2378" s="893">
        <f t="shared" si="138"/>
        <v>108</v>
      </c>
      <c r="V2378" s="893" t="s">
        <v>7166</v>
      </c>
      <c r="W2378" s="1106" t="s">
        <v>7272</v>
      </c>
      <c r="X2378" s="905"/>
      <c r="Y2378" s="905"/>
      <c r="Z2378" s="895"/>
      <c r="AA2378" s="889"/>
      <c r="AB2378" s="892">
        <v>44319</v>
      </c>
      <c r="AC2378" s="476" t="s">
        <v>7219</v>
      </c>
      <c r="AD2378" s="645" t="str">
        <f t="shared" si="139"/>
        <v>atrasado</v>
      </c>
      <c r="AE2378" s="468" t="s">
        <v>7271</v>
      </c>
      <c r="AF2378" s="468" t="s">
        <v>3846</v>
      </c>
      <c r="AG2378" s="1099">
        <f t="shared" si="140"/>
        <v>44323</v>
      </c>
      <c r="AH2378" s="649">
        <f t="shared" si="141"/>
        <v>-4</v>
      </c>
      <c r="AI2378" s="649" t="str">
        <f t="shared" si="142"/>
        <v>en término</v>
      </c>
    </row>
    <row r="2379" spans="1:39" s="649" customFormat="1" ht="54.95" customHeight="1" thickBot="1" x14ac:dyDescent="0.25">
      <c r="B2379" s="900" t="s">
        <v>36</v>
      </c>
      <c r="C2379" s="887" t="s">
        <v>7534</v>
      </c>
      <c r="D2379" s="888" t="s">
        <v>6441</v>
      </c>
      <c r="E2379" s="901">
        <v>4600557062</v>
      </c>
      <c r="F2379" s="1061" t="s">
        <v>7167</v>
      </c>
      <c r="G2379" s="889" t="s">
        <v>39</v>
      </c>
      <c r="H2379" s="890">
        <v>40528.69</v>
      </c>
      <c r="I2379" s="902" t="s">
        <v>52</v>
      </c>
      <c r="J2379" s="892">
        <v>44173</v>
      </c>
      <c r="K2379" s="893">
        <f t="shared" si="136"/>
        <v>84</v>
      </c>
      <c r="L2379" s="892">
        <v>44257</v>
      </c>
      <c r="M2379" s="892" t="s">
        <v>41</v>
      </c>
      <c r="N2379" s="889" t="s">
        <v>42</v>
      </c>
      <c r="O2379" s="892">
        <v>44253</v>
      </c>
      <c r="P2379" s="893">
        <f t="shared" si="137"/>
        <v>4</v>
      </c>
      <c r="Q2379" s="901" t="s">
        <v>7268</v>
      </c>
      <c r="R2379" s="903">
        <v>44261</v>
      </c>
      <c r="S2379" s="904">
        <v>44263</v>
      </c>
      <c r="T2379" s="894">
        <v>44281</v>
      </c>
      <c r="U2379" s="893">
        <f t="shared" si="138"/>
        <v>108</v>
      </c>
      <c r="V2379" s="893" t="s">
        <v>7168</v>
      </c>
      <c r="W2379" s="1106" t="s">
        <v>7272</v>
      </c>
      <c r="X2379" s="905"/>
      <c r="Y2379" s="457" t="s">
        <v>6960</v>
      </c>
      <c r="Z2379" s="895"/>
      <c r="AA2379" s="889"/>
      <c r="AB2379" s="892">
        <v>44319</v>
      </c>
      <c r="AC2379" s="476" t="s">
        <v>7223</v>
      </c>
      <c r="AD2379" s="645" t="str">
        <f t="shared" si="139"/>
        <v>atrasado</v>
      </c>
      <c r="AE2379" s="468" t="s">
        <v>7271</v>
      </c>
      <c r="AF2379" s="468" t="s">
        <v>3846</v>
      </c>
      <c r="AG2379" s="1099">
        <f t="shared" si="140"/>
        <v>44323</v>
      </c>
      <c r="AH2379" s="649">
        <f t="shared" si="141"/>
        <v>-4</v>
      </c>
      <c r="AI2379" s="649" t="str">
        <f t="shared" si="142"/>
        <v>en término</v>
      </c>
    </row>
    <row r="2380" spans="1:39" s="649" customFormat="1" ht="54.95" customHeight="1" thickBot="1" x14ac:dyDescent="0.25">
      <c r="B2380" s="900" t="s">
        <v>36</v>
      </c>
      <c r="C2380" s="887" t="s">
        <v>7534</v>
      </c>
      <c r="D2380" s="888" t="s">
        <v>7171</v>
      </c>
      <c r="E2380" s="901"/>
      <c r="F2380" s="1061" t="s">
        <v>7172</v>
      </c>
      <c r="G2380" s="889" t="s">
        <v>39</v>
      </c>
      <c r="H2380" s="890">
        <v>13000</v>
      </c>
      <c r="I2380" s="902" t="s">
        <v>40</v>
      </c>
      <c r="J2380" s="892">
        <v>44187</v>
      </c>
      <c r="K2380" s="893">
        <f t="shared" si="136"/>
        <v>66</v>
      </c>
      <c r="L2380" s="892">
        <v>44253</v>
      </c>
      <c r="M2380" s="892" t="s">
        <v>41</v>
      </c>
      <c r="N2380" s="889" t="s">
        <v>42</v>
      </c>
      <c r="O2380" s="892">
        <v>44253</v>
      </c>
      <c r="P2380" s="893">
        <f t="shared" si="137"/>
        <v>8</v>
      </c>
      <c r="Q2380" s="901" t="s">
        <v>7268</v>
      </c>
      <c r="R2380" s="903">
        <v>44261</v>
      </c>
      <c r="S2380" s="904">
        <v>44263</v>
      </c>
      <c r="T2380" s="894">
        <v>44281</v>
      </c>
      <c r="U2380" s="893">
        <f t="shared" si="138"/>
        <v>94</v>
      </c>
      <c r="V2380" s="893" t="s">
        <v>1717</v>
      </c>
      <c r="W2380" s="1106" t="s">
        <v>7272</v>
      </c>
      <c r="X2380" s="905"/>
      <c r="Y2380" s="905"/>
      <c r="Z2380" s="895"/>
      <c r="AA2380" s="889"/>
      <c r="AB2380" s="892">
        <v>44319</v>
      </c>
      <c r="AC2380" s="476" t="s">
        <v>7224</v>
      </c>
      <c r="AD2380" s="645" t="str">
        <f t="shared" si="139"/>
        <v>atrasado</v>
      </c>
      <c r="AE2380" s="468" t="s">
        <v>7271</v>
      </c>
      <c r="AF2380" s="468" t="s">
        <v>3846</v>
      </c>
      <c r="AG2380" s="1099">
        <f t="shared" si="140"/>
        <v>44323</v>
      </c>
      <c r="AH2380" s="649">
        <f t="shared" si="141"/>
        <v>-4</v>
      </c>
      <c r="AI2380" s="649" t="str">
        <f t="shared" si="142"/>
        <v>en término</v>
      </c>
    </row>
    <row r="2381" spans="1:39" s="649" customFormat="1" ht="54.95" customHeight="1" thickBot="1" x14ac:dyDescent="0.25">
      <c r="B2381" s="900" t="s">
        <v>36</v>
      </c>
      <c r="C2381" s="887" t="s">
        <v>7534</v>
      </c>
      <c r="D2381" s="888" t="s">
        <v>7175</v>
      </c>
      <c r="E2381" s="901"/>
      <c r="F2381" s="1061" t="s">
        <v>7173</v>
      </c>
      <c r="G2381" s="889" t="s">
        <v>39</v>
      </c>
      <c r="H2381" s="890">
        <v>3180</v>
      </c>
      <c r="I2381" s="902" t="s">
        <v>40</v>
      </c>
      <c r="J2381" s="892">
        <v>44187</v>
      </c>
      <c r="K2381" s="893">
        <f t="shared" si="136"/>
        <v>66</v>
      </c>
      <c r="L2381" s="892">
        <v>44253</v>
      </c>
      <c r="M2381" s="892" t="s">
        <v>41</v>
      </c>
      <c r="N2381" s="889" t="s">
        <v>42</v>
      </c>
      <c r="O2381" s="892">
        <v>44253</v>
      </c>
      <c r="P2381" s="893">
        <f t="shared" si="137"/>
        <v>8</v>
      </c>
      <c r="Q2381" s="901" t="s">
        <v>7268</v>
      </c>
      <c r="R2381" s="903">
        <v>44261</v>
      </c>
      <c r="S2381" s="904">
        <v>44263</v>
      </c>
      <c r="T2381" s="894">
        <v>44281</v>
      </c>
      <c r="U2381" s="893">
        <f t="shared" si="138"/>
        <v>94</v>
      </c>
      <c r="V2381" s="893" t="s">
        <v>53</v>
      </c>
      <c r="W2381" s="1106" t="s">
        <v>7272</v>
      </c>
      <c r="X2381" s="905"/>
      <c r="Y2381" s="905"/>
      <c r="Z2381" s="895"/>
      <c r="AA2381" s="889"/>
      <c r="AB2381" s="892">
        <v>44319</v>
      </c>
      <c r="AC2381" s="476" t="s">
        <v>7225</v>
      </c>
      <c r="AD2381" s="645" t="str">
        <f t="shared" si="139"/>
        <v>atrasado</v>
      </c>
      <c r="AE2381" s="468" t="s">
        <v>7271</v>
      </c>
      <c r="AF2381" s="468" t="s">
        <v>3846</v>
      </c>
      <c r="AG2381" s="1099">
        <f t="shared" si="140"/>
        <v>44323</v>
      </c>
      <c r="AH2381" s="649">
        <f t="shared" si="141"/>
        <v>-4</v>
      </c>
      <c r="AI2381" s="649" t="str">
        <f t="shared" si="142"/>
        <v>en término</v>
      </c>
    </row>
    <row r="2382" spans="1:39" s="649" customFormat="1" ht="54.95" customHeight="1" thickBot="1" x14ac:dyDescent="0.25">
      <c r="B2382" s="900" t="s">
        <v>36</v>
      </c>
      <c r="C2382" s="887" t="s">
        <v>7534</v>
      </c>
      <c r="D2382" s="888" t="s">
        <v>7176</v>
      </c>
      <c r="E2382" s="901"/>
      <c r="F2382" s="1061" t="s">
        <v>7174</v>
      </c>
      <c r="G2382" s="889" t="s">
        <v>39</v>
      </c>
      <c r="H2382" s="890">
        <v>4460</v>
      </c>
      <c r="I2382" s="902" t="s">
        <v>40</v>
      </c>
      <c r="J2382" s="892">
        <v>44187</v>
      </c>
      <c r="K2382" s="893">
        <f t="shared" si="136"/>
        <v>66</v>
      </c>
      <c r="L2382" s="892">
        <v>44253</v>
      </c>
      <c r="M2382" s="892" t="s">
        <v>41</v>
      </c>
      <c r="N2382" s="889" t="s">
        <v>42</v>
      </c>
      <c r="O2382" s="892">
        <v>44253</v>
      </c>
      <c r="P2382" s="893">
        <f t="shared" si="137"/>
        <v>8</v>
      </c>
      <c r="Q2382" s="901" t="s">
        <v>7268</v>
      </c>
      <c r="R2382" s="903">
        <v>44261</v>
      </c>
      <c r="S2382" s="904">
        <v>44263</v>
      </c>
      <c r="T2382" s="894">
        <v>44281</v>
      </c>
      <c r="U2382" s="893">
        <f t="shared" si="138"/>
        <v>94</v>
      </c>
      <c r="V2382" s="893" t="s">
        <v>989</v>
      </c>
      <c r="W2382" s="1106" t="s">
        <v>7272</v>
      </c>
      <c r="X2382" s="905"/>
      <c r="Y2382" s="905"/>
      <c r="Z2382" s="895"/>
      <c r="AA2382" s="889"/>
      <c r="AB2382" s="892">
        <v>44319</v>
      </c>
      <c r="AC2382" s="476" t="s">
        <v>7221</v>
      </c>
      <c r="AD2382" s="645" t="str">
        <f t="shared" si="139"/>
        <v>atrasado</v>
      </c>
      <c r="AE2382" s="468" t="s">
        <v>7271</v>
      </c>
      <c r="AF2382" s="468" t="s">
        <v>3846</v>
      </c>
      <c r="AG2382" s="1099">
        <f t="shared" si="140"/>
        <v>44323</v>
      </c>
      <c r="AH2382" s="649">
        <f t="shared" si="141"/>
        <v>-4</v>
      </c>
      <c r="AI2382" s="649" t="str">
        <f t="shared" si="142"/>
        <v>en término</v>
      </c>
    </row>
    <row r="2383" spans="1:39" s="649" customFormat="1" ht="54.95" customHeight="1" thickBot="1" x14ac:dyDescent="0.25">
      <c r="B2383" s="900" t="s">
        <v>36</v>
      </c>
      <c r="C2383" s="887" t="s">
        <v>7534</v>
      </c>
      <c r="D2383" s="888" t="s">
        <v>7237</v>
      </c>
      <c r="E2383" s="901"/>
      <c r="F2383" s="1061" t="s">
        <v>7238</v>
      </c>
      <c r="G2383" s="889" t="s">
        <v>39</v>
      </c>
      <c r="H2383" s="890">
        <v>60</v>
      </c>
      <c r="I2383" s="902" t="s">
        <v>52</v>
      </c>
      <c r="J2383" s="892">
        <v>44232</v>
      </c>
      <c r="K2383" s="893">
        <f t="shared" si="136"/>
        <v>32</v>
      </c>
      <c r="L2383" s="892">
        <v>44264</v>
      </c>
      <c r="M2383" s="892" t="s">
        <v>41</v>
      </c>
      <c r="N2383" s="889" t="s">
        <v>42</v>
      </c>
      <c r="O2383" s="892">
        <v>44253</v>
      </c>
      <c r="P2383" s="893">
        <f t="shared" si="137"/>
        <v>-3</v>
      </c>
      <c r="Q2383" s="901" t="s">
        <v>7268</v>
      </c>
      <c r="R2383" s="903">
        <v>44261</v>
      </c>
      <c r="S2383" s="904">
        <v>44263</v>
      </c>
      <c r="T2383" s="894">
        <v>44281</v>
      </c>
      <c r="U2383" s="893">
        <f t="shared" si="138"/>
        <v>49</v>
      </c>
      <c r="V2383" s="893" t="s">
        <v>7239</v>
      </c>
      <c r="W2383" s="1106" t="s">
        <v>7272</v>
      </c>
      <c r="X2383" s="905"/>
      <c r="Y2383" s="905"/>
      <c r="Z2383" s="895"/>
      <c r="AA2383" s="889"/>
      <c r="AB2383" s="892">
        <v>44319</v>
      </c>
      <c r="AC2383" s="476" t="s">
        <v>7240</v>
      </c>
      <c r="AD2383" s="645" t="str">
        <f t="shared" si="139"/>
        <v>en término</v>
      </c>
      <c r="AE2383" s="468" t="s">
        <v>7271</v>
      </c>
      <c r="AF2383" s="468" t="s">
        <v>3846</v>
      </c>
      <c r="AG2383" s="1099">
        <f t="shared" si="140"/>
        <v>44323</v>
      </c>
      <c r="AH2383" s="649">
        <f t="shared" si="141"/>
        <v>-4</v>
      </c>
      <c r="AI2383" s="649" t="str">
        <f t="shared" si="142"/>
        <v>en término</v>
      </c>
    </row>
    <row r="2384" spans="1:39" s="649" customFormat="1" ht="54.95" customHeight="1" thickBot="1" x14ac:dyDescent="0.25">
      <c r="B2384" s="900" t="s">
        <v>36</v>
      </c>
      <c r="C2384" s="887" t="s">
        <v>7534</v>
      </c>
      <c r="D2384" s="888" t="s">
        <v>7050</v>
      </c>
      <c r="E2384" s="901">
        <v>4600611934</v>
      </c>
      <c r="F2384" s="1061" t="s">
        <v>7160</v>
      </c>
      <c r="G2384" s="889" t="s">
        <v>39</v>
      </c>
      <c r="H2384" s="890">
        <v>6250</v>
      </c>
      <c r="I2384" s="902" t="s">
        <v>40</v>
      </c>
      <c r="J2384" s="892">
        <v>44159</v>
      </c>
      <c r="K2384" s="893">
        <f t="shared" si="136"/>
        <v>91</v>
      </c>
      <c r="L2384" s="892">
        <v>44250</v>
      </c>
      <c r="M2384" s="892" t="s">
        <v>41</v>
      </c>
      <c r="N2384" s="889" t="s">
        <v>42</v>
      </c>
      <c r="O2384" s="892">
        <v>44260</v>
      </c>
      <c r="P2384" s="893">
        <f t="shared" si="137"/>
        <v>18</v>
      </c>
      <c r="Q2384" s="901" t="s">
        <v>7273</v>
      </c>
      <c r="R2384" s="903">
        <v>44268</v>
      </c>
      <c r="S2384" s="904">
        <v>44272</v>
      </c>
      <c r="T2384" s="894">
        <v>44288</v>
      </c>
      <c r="U2384" s="893">
        <f t="shared" si="138"/>
        <v>129</v>
      </c>
      <c r="V2384" s="893" t="s">
        <v>53</v>
      </c>
      <c r="W2384" s="1106" t="s">
        <v>7274</v>
      </c>
      <c r="X2384" s="905"/>
      <c r="Y2384" s="905"/>
      <c r="Z2384" s="895"/>
      <c r="AA2384" s="889"/>
      <c r="AB2384" s="892">
        <v>44319</v>
      </c>
      <c r="AC2384" s="476" t="s">
        <v>7220</v>
      </c>
      <c r="AD2384" s="645" t="str">
        <f t="shared" si="139"/>
        <v>atrasado</v>
      </c>
      <c r="AE2384" s="468" t="s">
        <v>7275</v>
      </c>
      <c r="AF2384" s="468" t="s">
        <v>3846</v>
      </c>
      <c r="AG2384" s="1099">
        <f t="shared" si="140"/>
        <v>44332</v>
      </c>
      <c r="AH2384" s="649">
        <f t="shared" si="141"/>
        <v>-13</v>
      </c>
      <c r="AI2384" s="649" t="str">
        <f t="shared" si="142"/>
        <v>en término</v>
      </c>
    </row>
    <row r="2385" spans="2:35" s="649" customFormat="1" ht="54.95" customHeight="1" thickBot="1" x14ac:dyDescent="0.25">
      <c r="B2385" s="900" t="s">
        <v>36</v>
      </c>
      <c r="C2385" s="887" t="s">
        <v>7534</v>
      </c>
      <c r="D2385" s="888" t="s">
        <v>6441</v>
      </c>
      <c r="E2385" s="901">
        <v>4600557062</v>
      </c>
      <c r="F2385" s="1061" t="s">
        <v>7177</v>
      </c>
      <c r="G2385" s="889" t="s">
        <v>39</v>
      </c>
      <c r="H2385" s="890">
        <v>3308.73</v>
      </c>
      <c r="I2385" s="902" t="s">
        <v>52</v>
      </c>
      <c r="J2385" s="892">
        <v>44187</v>
      </c>
      <c r="K2385" s="893">
        <f t="shared" si="136"/>
        <v>83</v>
      </c>
      <c r="L2385" s="892">
        <v>44270</v>
      </c>
      <c r="M2385" s="892" t="s">
        <v>41</v>
      </c>
      <c r="N2385" s="889" t="s">
        <v>42</v>
      </c>
      <c r="O2385" s="892">
        <v>44260</v>
      </c>
      <c r="P2385" s="893">
        <f t="shared" si="137"/>
        <v>-2</v>
      </c>
      <c r="Q2385" s="901" t="s">
        <v>7273</v>
      </c>
      <c r="R2385" s="903">
        <v>44268</v>
      </c>
      <c r="S2385" s="904">
        <v>44272</v>
      </c>
      <c r="T2385" s="894">
        <v>44288</v>
      </c>
      <c r="U2385" s="893">
        <f t="shared" si="138"/>
        <v>101</v>
      </c>
      <c r="V2385" s="893" t="s">
        <v>119</v>
      </c>
      <c r="W2385" s="1106" t="s">
        <v>7274</v>
      </c>
      <c r="X2385" s="905"/>
      <c r="Y2385" s="457" t="s">
        <v>6960</v>
      </c>
      <c r="Z2385" s="895"/>
      <c r="AA2385" s="889"/>
      <c r="AB2385" s="892">
        <v>44319</v>
      </c>
      <c r="AC2385" s="476" t="s">
        <v>7217</v>
      </c>
      <c r="AD2385" s="645" t="str">
        <f t="shared" si="139"/>
        <v>en término</v>
      </c>
      <c r="AE2385" s="468" t="s">
        <v>7275</v>
      </c>
      <c r="AF2385" s="468" t="s">
        <v>3846</v>
      </c>
      <c r="AG2385" s="1099">
        <f t="shared" si="140"/>
        <v>44332</v>
      </c>
      <c r="AH2385" s="649">
        <f t="shared" si="141"/>
        <v>-13</v>
      </c>
      <c r="AI2385" s="649" t="str">
        <f t="shared" si="142"/>
        <v>en término</v>
      </c>
    </row>
    <row r="2386" spans="2:35" s="649" customFormat="1" ht="54.95" customHeight="1" thickBot="1" x14ac:dyDescent="0.25">
      <c r="B2386" s="900" t="s">
        <v>36</v>
      </c>
      <c r="C2386" s="887" t="s">
        <v>7534</v>
      </c>
      <c r="D2386" s="888" t="s">
        <v>6441</v>
      </c>
      <c r="E2386" s="901">
        <v>4600557062</v>
      </c>
      <c r="F2386" s="1061" t="s">
        <v>7197</v>
      </c>
      <c r="G2386" s="889" t="s">
        <v>39</v>
      </c>
      <c r="H2386" s="890">
        <v>2679.78</v>
      </c>
      <c r="I2386" s="902" t="s">
        <v>40</v>
      </c>
      <c r="J2386" s="892">
        <v>44208</v>
      </c>
      <c r="K2386" s="893">
        <f t="shared" si="136"/>
        <v>67</v>
      </c>
      <c r="L2386" s="892">
        <v>44275</v>
      </c>
      <c r="M2386" s="892" t="s">
        <v>41</v>
      </c>
      <c r="N2386" s="889" t="s">
        <v>42</v>
      </c>
      <c r="O2386" s="892">
        <v>44260</v>
      </c>
      <c r="P2386" s="893">
        <f t="shared" si="137"/>
        <v>-7</v>
      </c>
      <c r="Q2386" s="901" t="s">
        <v>7273</v>
      </c>
      <c r="R2386" s="903">
        <v>44268</v>
      </c>
      <c r="S2386" s="904">
        <v>44272</v>
      </c>
      <c r="T2386" s="894">
        <v>44288</v>
      </c>
      <c r="U2386" s="893">
        <f t="shared" si="138"/>
        <v>80</v>
      </c>
      <c r="V2386" s="893" t="s">
        <v>53</v>
      </c>
      <c r="W2386" s="1106" t="s">
        <v>7274</v>
      </c>
      <c r="X2386" s="905"/>
      <c r="Y2386" s="905"/>
      <c r="Z2386" s="895"/>
      <c r="AA2386" s="889"/>
      <c r="AB2386" s="892">
        <v>44319</v>
      </c>
      <c r="AC2386" s="476" t="s">
        <v>7214</v>
      </c>
      <c r="AD2386" s="645" t="str">
        <f t="shared" si="139"/>
        <v>en término</v>
      </c>
      <c r="AE2386" s="468" t="s">
        <v>7275</v>
      </c>
      <c r="AF2386" s="468" t="s">
        <v>3846</v>
      </c>
      <c r="AG2386" s="1099">
        <f t="shared" si="140"/>
        <v>44332</v>
      </c>
      <c r="AH2386" s="649">
        <f t="shared" si="141"/>
        <v>-13</v>
      </c>
      <c r="AI2386" s="649" t="str">
        <f t="shared" si="142"/>
        <v>en término</v>
      </c>
    </row>
    <row r="2387" spans="2:35" s="649" customFormat="1" ht="54.95" customHeight="1" thickBot="1" x14ac:dyDescent="0.25">
      <c r="B2387" s="900" t="s">
        <v>36</v>
      </c>
      <c r="C2387" s="887" t="s">
        <v>7534</v>
      </c>
      <c r="D2387" s="888" t="s">
        <v>6441</v>
      </c>
      <c r="E2387" s="901">
        <v>4600557062</v>
      </c>
      <c r="F2387" s="1061" t="s">
        <v>7198</v>
      </c>
      <c r="G2387" s="889" t="s">
        <v>39</v>
      </c>
      <c r="H2387" s="890">
        <v>426.11</v>
      </c>
      <c r="I2387" s="902" t="s">
        <v>40</v>
      </c>
      <c r="J2387" s="892">
        <v>44208</v>
      </c>
      <c r="K2387" s="893">
        <f t="shared" si="136"/>
        <v>75</v>
      </c>
      <c r="L2387" s="892">
        <v>44283</v>
      </c>
      <c r="M2387" s="892" t="s">
        <v>41</v>
      </c>
      <c r="N2387" s="889" t="s">
        <v>42</v>
      </c>
      <c r="O2387" s="892">
        <v>44260</v>
      </c>
      <c r="P2387" s="893">
        <f t="shared" si="137"/>
        <v>-15</v>
      </c>
      <c r="Q2387" s="901" t="s">
        <v>7273</v>
      </c>
      <c r="R2387" s="903">
        <v>44268</v>
      </c>
      <c r="S2387" s="904">
        <v>44272</v>
      </c>
      <c r="T2387" s="894">
        <v>44288</v>
      </c>
      <c r="U2387" s="893">
        <f t="shared" si="138"/>
        <v>80</v>
      </c>
      <c r="V2387" s="893" t="s">
        <v>53</v>
      </c>
      <c r="W2387" s="1106" t="s">
        <v>7274</v>
      </c>
      <c r="X2387" s="905"/>
      <c r="Y2387" s="905"/>
      <c r="Z2387" s="895"/>
      <c r="AA2387" s="889"/>
      <c r="AB2387" s="892">
        <v>44319</v>
      </c>
      <c r="AC2387" s="476" t="s">
        <v>7215</v>
      </c>
      <c r="AD2387" s="645" t="str">
        <f t="shared" si="139"/>
        <v>en término</v>
      </c>
      <c r="AE2387" s="468" t="s">
        <v>7275</v>
      </c>
      <c r="AF2387" s="468" t="s">
        <v>3846</v>
      </c>
      <c r="AG2387" s="1099">
        <f t="shared" si="140"/>
        <v>44332</v>
      </c>
      <c r="AH2387" s="649">
        <f t="shared" si="141"/>
        <v>-13</v>
      </c>
      <c r="AI2387" s="649" t="str">
        <f t="shared" si="142"/>
        <v>en término</v>
      </c>
    </row>
    <row r="2388" spans="2:35" s="649" customFormat="1" ht="54.95" customHeight="1" thickBot="1" x14ac:dyDescent="0.25">
      <c r="B2388" s="900" t="s">
        <v>36</v>
      </c>
      <c r="C2388" s="887" t="s">
        <v>7534</v>
      </c>
      <c r="D2388" s="888" t="s">
        <v>6441</v>
      </c>
      <c r="E2388" s="901">
        <v>4600557062</v>
      </c>
      <c r="F2388" s="1061" t="s">
        <v>7199</v>
      </c>
      <c r="G2388" s="889" t="s">
        <v>39</v>
      </c>
      <c r="H2388" s="890">
        <v>1536.74</v>
      </c>
      <c r="I2388" s="902" t="s">
        <v>40</v>
      </c>
      <c r="J2388" s="892">
        <v>44208</v>
      </c>
      <c r="K2388" s="893">
        <f t="shared" si="136"/>
        <v>75</v>
      </c>
      <c r="L2388" s="892">
        <v>44283</v>
      </c>
      <c r="M2388" s="892" t="s">
        <v>41</v>
      </c>
      <c r="N2388" s="889" t="s">
        <v>42</v>
      </c>
      <c r="O2388" s="892">
        <v>44260</v>
      </c>
      <c r="P2388" s="893">
        <f t="shared" si="137"/>
        <v>-15</v>
      </c>
      <c r="Q2388" s="901" t="s">
        <v>7273</v>
      </c>
      <c r="R2388" s="903">
        <v>44268</v>
      </c>
      <c r="S2388" s="904">
        <v>44272</v>
      </c>
      <c r="T2388" s="894">
        <v>44288</v>
      </c>
      <c r="U2388" s="893">
        <f t="shared" si="138"/>
        <v>80</v>
      </c>
      <c r="V2388" s="893" t="s">
        <v>53</v>
      </c>
      <c r="W2388" s="1106" t="s">
        <v>7274</v>
      </c>
      <c r="X2388" s="905"/>
      <c r="Y2388" s="905"/>
      <c r="Z2388" s="895"/>
      <c r="AA2388" s="889"/>
      <c r="AB2388" s="892">
        <v>44319</v>
      </c>
      <c r="AC2388" s="476" t="s">
        <v>7216</v>
      </c>
      <c r="AD2388" s="645" t="str">
        <f t="shared" si="139"/>
        <v>en término</v>
      </c>
      <c r="AE2388" s="468" t="s">
        <v>7275</v>
      </c>
      <c r="AF2388" s="468" t="s">
        <v>3846</v>
      </c>
      <c r="AG2388" s="1099">
        <f t="shared" si="140"/>
        <v>44332</v>
      </c>
      <c r="AH2388" s="649">
        <f t="shared" si="141"/>
        <v>-13</v>
      </c>
      <c r="AI2388" s="649" t="str">
        <f t="shared" si="142"/>
        <v>en término</v>
      </c>
    </row>
    <row r="2389" spans="2:35" s="649" customFormat="1" ht="54.95" customHeight="1" thickBot="1" x14ac:dyDescent="0.25">
      <c r="B2389" s="900" t="s">
        <v>36</v>
      </c>
      <c r="C2389" s="887" t="s">
        <v>7534</v>
      </c>
      <c r="D2389" s="888" t="s">
        <v>7050</v>
      </c>
      <c r="E2389" s="901">
        <v>4600611934</v>
      </c>
      <c r="F2389" s="1061" t="s">
        <v>7227</v>
      </c>
      <c r="G2389" s="889" t="s">
        <v>39</v>
      </c>
      <c r="H2389" s="890">
        <v>255.2</v>
      </c>
      <c r="I2389" s="902" t="s">
        <v>52</v>
      </c>
      <c r="J2389" s="892">
        <v>44218</v>
      </c>
      <c r="K2389" s="893">
        <f t="shared" si="136"/>
        <v>39</v>
      </c>
      <c r="L2389" s="892">
        <v>44257</v>
      </c>
      <c r="M2389" s="892" t="s">
        <v>41</v>
      </c>
      <c r="N2389" s="889" t="s">
        <v>42</v>
      </c>
      <c r="O2389" s="892">
        <v>44260</v>
      </c>
      <c r="P2389" s="893">
        <f t="shared" si="137"/>
        <v>11</v>
      </c>
      <c r="Q2389" s="901" t="s">
        <v>7273</v>
      </c>
      <c r="R2389" s="903">
        <v>44268</v>
      </c>
      <c r="S2389" s="904">
        <v>44272</v>
      </c>
      <c r="T2389" s="894">
        <v>44288</v>
      </c>
      <c r="U2389" s="893">
        <f t="shared" si="138"/>
        <v>70</v>
      </c>
      <c r="V2389" s="893" t="s">
        <v>53</v>
      </c>
      <c r="W2389" s="1106" t="s">
        <v>7274</v>
      </c>
      <c r="X2389" s="905"/>
      <c r="Y2389" s="905"/>
      <c r="Z2389" s="895"/>
      <c r="AA2389" s="889"/>
      <c r="AB2389" s="892">
        <v>44319</v>
      </c>
      <c r="AC2389" s="476" t="s">
        <v>7229</v>
      </c>
      <c r="AD2389" s="645" t="str">
        <f t="shared" si="139"/>
        <v>atrasado</v>
      </c>
      <c r="AE2389" s="468" t="s">
        <v>7275</v>
      </c>
      <c r="AF2389" s="468" t="s">
        <v>3846</v>
      </c>
      <c r="AG2389" s="1099">
        <f t="shared" si="140"/>
        <v>44332</v>
      </c>
      <c r="AH2389" s="649">
        <f t="shared" si="141"/>
        <v>-13</v>
      </c>
      <c r="AI2389" s="649" t="str">
        <f t="shared" si="142"/>
        <v>en término</v>
      </c>
    </row>
    <row r="2390" spans="2:35" s="649" customFormat="1" ht="54.95" customHeight="1" thickBot="1" x14ac:dyDescent="0.25">
      <c r="B2390" s="900" t="s">
        <v>36</v>
      </c>
      <c r="C2390" s="887" t="s">
        <v>7534</v>
      </c>
      <c r="D2390" s="888" t="s">
        <v>6441</v>
      </c>
      <c r="E2390" s="901">
        <v>4600557062</v>
      </c>
      <c r="F2390" s="1061" t="s">
        <v>7200</v>
      </c>
      <c r="G2390" s="889" t="s">
        <v>39</v>
      </c>
      <c r="H2390" s="890">
        <v>104441.3</v>
      </c>
      <c r="I2390" s="902" t="s">
        <v>40</v>
      </c>
      <c r="J2390" s="892">
        <v>44208</v>
      </c>
      <c r="K2390" s="893">
        <f t="shared" si="136"/>
        <v>88</v>
      </c>
      <c r="L2390" s="892">
        <v>44296</v>
      </c>
      <c r="M2390" s="892" t="s">
        <v>41</v>
      </c>
      <c r="N2390" s="889" t="s">
        <v>42</v>
      </c>
      <c r="O2390" s="892">
        <v>44285</v>
      </c>
      <c r="P2390" s="893">
        <f t="shared" si="137"/>
        <v>14</v>
      </c>
      <c r="Q2390" s="901" t="s">
        <v>7308</v>
      </c>
      <c r="R2390" s="903">
        <v>44310</v>
      </c>
      <c r="S2390" s="904">
        <v>44312</v>
      </c>
      <c r="T2390" s="904">
        <v>44330</v>
      </c>
      <c r="U2390" s="893">
        <f t="shared" si="138"/>
        <v>122</v>
      </c>
      <c r="V2390" s="893" t="s">
        <v>7397</v>
      </c>
      <c r="W2390" s="1106" t="s">
        <v>7296</v>
      </c>
      <c r="X2390" s="905"/>
      <c r="Y2390" s="905"/>
      <c r="Z2390" s="895" t="s">
        <v>7402</v>
      </c>
      <c r="AA2390" s="889"/>
      <c r="AB2390" s="892">
        <v>44369</v>
      </c>
      <c r="AC2390" s="476" t="s">
        <v>7337</v>
      </c>
      <c r="AD2390" s="645" t="str">
        <f t="shared" si="139"/>
        <v>atrasado</v>
      </c>
      <c r="AE2390" s="468" t="s">
        <v>7295</v>
      </c>
      <c r="AF2390" s="468" t="s">
        <v>3846</v>
      </c>
      <c r="AG2390" s="1099">
        <f t="shared" si="140"/>
        <v>44372</v>
      </c>
      <c r="AH2390" s="649">
        <f t="shared" si="141"/>
        <v>-3</v>
      </c>
      <c r="AI2390" s="649" t="str">
        <f t="shared" si="142"/>
        <v>en término</v>
      </c>
    </row>
    <row r="2391" spans="2:35" s="649" customFormat="1" ht="54.95" customHeight="1" thickBot="1" x14ac:dyDescent="0.25">
      <c r="B2391" s="900" t="s">
        <v>36</v>
      </c>
      <c r="C2391" s="887" t="s">
        <v>7534</v>
      </c>
      <c r="D2391" s="888" t="s">
        <v>6441</v>
      </c>
      <c r="E2391" s="901">
        <v>4600557062</v>
      </c>
      <c r="F2391" s="1061" t="s">
        <v>7201</v>
      </c>
      <c r="G2391" s="889" t="s">
        <v>39</v>
      </c>
      <c r="H2391" s="890">
        <v>4530.12</v>
      </c>
      <c r="I2391" s="902" t="s">
        <v>40</v>
      </c>
      <c r="J2391" s="892">
        <v>44208</v>
      </c>
      <c r="K2391" s="893">
        <f t="shared" si="136"/>
        <v>88</v>
      </c>
      <c r="L2391" s="892">
        <v>44296</v>
      </c>
      <c r="M2391" s="892" t="s">
        <v>41</v>
      </c>
      <c r="N2391" s="889" t="s">
        <v>42</v>
      </c>
      <c r="O2391" s="892">
        <v>44285</v>
      </c>
      <c r="P2391" s="893">
        <f t="shared" si="137"/>
        <v>14</v>
      </c>
      <c r="Q2391" s="901" t="s">
        <v>7308</v>
      </c>
      <c r="R2391" s="903">
        <v>44310</v>
      </c>
      <c r="S2391" s="904">
        <v>44312</v>
      </c>
      <c r="T2391" s="904">
        <v>44330</v>
      </c>
      <c r="U2391" s="893">
        <f t="shared" si="138"/>
        <v>122</v>
      </c>
      <c r="V2391" s="893" t="s">
        <v>119</v>
      </c>
      <c r="W2391" s="1106" t="s">
        <v>7296</v>
      </c>
      <c r="X2391" s="905"/>
      <c r="Y2391" s="905"/>
      <c r="Z2391" s="895" t="s">
        <v>7402</v>
      </c>
      <c r="AA2391" s="889"/>
      <c r="AB2391" s="892">
        <v>44369</v>
      </c>
      <c r="AC2391" s="476" t="s">
        <v>7338</v>
      </c>
      <c r="AD2391" s="645" t="str">
        <f t="shared" si="139"/>
        <v>atrasado</v>
      </c>
      <c r="AE2391" s="468" t="s">
        <v>7295</v>
      </c>
      <c r="AF2391" s="468" t="s">
        <v>3846</v>
      </c>
      <c r="AG2391" s="1099">
        <f t="shared" si="140"/>
        <v>44372</v>
      </c>
      <c r="AH2391" s="649">
        <f t="shared" si="141"/>
        <v>-3</v>
      </c>
      <c r="AI2391" s="649" t="str">
        <f t="shared" si="142"/>
        <v>en término</v>
      </c>
    </row>
    <row r="2392" spans="2:35" s="649" customFormat="1" ht="54.95" customHeight="1" thickBot="1" x14ac:dyDescent="0.25">
      <c r="B2392" s="900" t="s">
        <v>36</v>
      </c>
      <c r="C2392" s="887" t="s">
        <v>7534</v>
      </c>
      <c r="D2392" s="888" t="s">
        <v>6441</v>
      </c>
      <c r="E2392" s="901">
        <v>4600557062</v>
      </c>
      <c r="F2392" s="1061" t="s">
        <v>7202</v>
      </c>
      <c r="G2392" s="889" t="s">
        <v>39</v>
      </c>
      <c r="H2392" s="890">
        <v>2594.5100000000002</v>
      </c>
      <c r="I2392" s="902" t="s">
        <v>40</v>
      </c>
      <c r="J2392" s="892">
        <v>44208</v>
      </c>
      <c r="K2392" s="893">
        <f t="shared" si="136"/>
        <v>115</v>
      </c>
      <c r="L2392" s="892">
        <v>44323</v>
      </c>
      <c r="M2392" s="892" t="s">
        <v>41</v>
      </c>
      <c r="N2392" s="889" t="s">
        <v>42</v>
      </c>
      <c r="O2392" s="892">
        <v>44285</v>
      </c>
      <c r="P2392" s="893">
        <f t="shared" si="137"/>
        <v>-13</v>
      </c>
      <c r="Q2392" s="901" t="s">
        <v>7308</v>
      </c>
      <c r="R2392" s="903">
        <v>44310</v>
      </c>
      <c r="S2392" s="904">
        <v>44312</v>
      </c>
      <c r="T2392" s="904">
        <v>44330</v>
      </c>
      <c r="U2392" s="893">
        <f t="shared" si="138"/>
        <v>122</v>
      </c>
      <c r="V2392" s="893" t="s">
        <v>53</v>
      </c>
      <c r="W2392" s="1106" t="s">
        <v>7296</v>
      </c>
      <c r="X2392" s="905"/>
      <c r="Y2392" s="905"/>
      <c r="Z2392" s="895" t="s">
        <v>7402</v>
      </c>
      <c r="AA2392" s="889"/>
      <c r="AB2392" s="892">
        <v>44369</v>
      </c>
      <c r="AC2392" s="476" t="s">
        <v>7339</v>
      </c>
      <c r="AD2392" s="645" t="str">
        <f t="shared" si="139"/>
        <v>en término</v>
      </c>
      <c r="AE2392" s="468" t="s">
        <v>7295</v>
      </c>
      <c r="AF2392" s="468" t="s">
        <v>3846</v>
      </c>
      <c r="AG2392" s="1099">
        <f t="shared" si="140"/>
        <v>44372</v>
      </c>
      <c r="AH2392" s="649">
        <f t="shared" si="141"/>
        <v>-3</v>
      </c>
      <c r="AI2392" s="649" t="str">
        <f t="shared" si="142"/>
        <v>en término</v>
      </c>
    </row>
    <row r="2393" spans="2:35" s="649" customFormat="1" ht="54.95" customHeight="1" thickBot="1" x14ac:dyDescent="0.25">
      <c r="B2393" s="900" t="s">
        <v>36</v>
      </c>
      <c r="C2393" s="887" t="s">
        <v>7534</v>
      </c>
      <c r="D2393" s="888" t="s">
        <v>6441</v>
      </c>
      <c r="E2393" s="901">
        <v>4600557062</v>
      </c>
      <c r="F2393" s="1061" t="s">
        <v>7226</v>
      </c>
      <c r="G2393" s="889" t="s">
        <v>39</v>
      </c>
      <c r="H2393" s="890">
        <v>1958.24</v>
      </c>
      <c r="I2393" s="902" t="s">
        <v>40</v>
      </c>
      <c r="J2393" s="892">
        <v>44218</v>
      </c>
      <c r="K2393" s="893">
        <f t="shared" si="136"/>
        <v>89</v>
      </c>
      <c r="L2393" s="892">
        <v>44307</v>
      </c>
      <c r="M2393" s="892" t="s">
        <v>41</v>
      </c>
      <c r="N2393" s="889" t="s">
        <v>42</v>
      </c>
      <c r="O2393" s="892">
        <v>44302</v>
      </c>
      <c r="P2393" s="893">
        <f t="shared" si="137"/>
        <v>3</v>
      </c>
      <c r="Q2393" s="901" t="s">
        <v>7308</v>
      </c>
      <c r="R2393" s="903">
        <v>44310</v>
      </c>
      <c r="S2393" s="904">
        <v>44312</v>
      </c>
      <c r="T2393" s="904">
        <v>44330</v>
      </c>
      <c r="U2393" s="893">
        <f t="shared" si="138"/>
        <v>112</v>
      </c>
      <c r="V2393" s="893" t="s">
        <v>1020</v>
      </c>
      <c r="W2393" s="1106" t="s">
        <v>7336</v>
      </c>
      <c r="X2393" s="905"/>
      <c r="Y2393" s="905"/>
      <c r="Z2393" s="895" t="s">
        <v>7402</v>
      </c>
      <c r="AA2393" s="889"/>
      <c r="AB2393" s="892">
        <v>44369</v>
      </c>
      <c r="AC2393" s="476" t="s">
        <v>7228</v>
      </c>
      <c r="AD2393" s="645" t="str">
        <f t="shared" si="139"/>
        <v>atrasado</v>
      </c>
      <c r="AE2393" s="468" t="s">
        <v>7322</v>
      </c>
      <c r="AF2393" s="468" t="s">
        <v>2929</v>
      </c>
      <c r="AG2393" s="1099">
        <f t="shared" si="140"/>
        <v>44372</v>
      </c>
      <c r="AH2393" s="649">
        <f t="shared" si="141"/>
        <v>-3</v>
      </c>
      <c r="AI2393" s="649" t="str">
        <f t="shared" si="142"/>
        <v>en término</v>
      </c>
    </row>
    <row r="2394" spans="2:35" s="649" customFormat="1" ht="54.95" customHeight="1" thickBot="1" x14ac:dyDescent="0.25">
      <c r="B2394" s="900" t="s">
        <v>36</v>
      </c>
      <c r="C2394" s="887" t="s">
        <v>7534</v>
      </c>
      <c r="D2394" s="888" t="s">
        <v>6441</v>
      </c>
      <c r="E2394" s="901">
        <v>4600557062</v>
      </c>
      <c r="F2394" s="1061" t="s">
        <v>7241</v>
      </c>
      <c r="G2394" s="889" t="s">
        <v>39</v>
      </c>
      <c r="H2394" s="890">
        <v>13340.58</v>
      </c>
      <c r="I2394" s="902" t="s">
        <v>40</v>
      </c>
      <c r="J2394" s="892">
        <v>44229</v>
      </c>
      <c r="K2394" s="893">
        <f t="shared" si="136"/>
        <v>88</v>
      </c>
      <c r="L2394" s="892">
        <v>44317</v>
      </c>
      <c r="M2394" s="892" t="s">
        <v>41</v>
      </c>
      <c r="N2394" s="889" t="s">
        <v>42</v>
      </c>
      <c r="O2394" s="892">
        <v>44302</v>
      </c>
      <c r="P2394" s="893">
        <f t="shared" si="137"/>
        <v>-7</v>
      </c>
      <c r="Q2394" s="901" t="s">
        <v>7308</v>
      </c>
      <c r="R2394" s="903">
        <v>44310</v>
      </c>
      <c r="S2394" s="904">
        <v>44312</v>
      </c>
      <c r="T2394" s="904">
        <v>44330</v>
      </c>
      <c r="U2394" s="893">
        <f t="shared" si="138"/>
        <v>101</v>
      </c>
      <c r="V2394" s="893" t="s">
        <v>7234</v>
      </c>
      <c r="W2394" s="1106" t="s">
        <v>7336</v>
      </c>
      <c r="X2394" s="905"/>
      <c r="Y2394" s="905"/>
      <c r="Z2394" s="895" t="s">
        <v>7402</v>
      </c>
      <c r="AA2394" s="889"/>
      <c r="AB2394" s="892">
        <v>44369</v>
      </c>
      <c r="AC2394" s="476" t="s">
        <v>7235</v>
      </c>
      <c r="AD2394" s="645" t="str">
        <f t="shared" si="139"/>
        <v>en término</v>
      </c>
      <c r="AE2394" s="468" t="s">
        <v>7322</v>
      </c>
      <c r="AF2394" s="468" t="s">
        <v>2929</v>
      </c>
      <c r="AG2394" s="1099">
        <f t="shared" si="140"/>
        <v>44372</v>
      </c>
      <c r="AH2394" s="649">
        <f t="shared" si="141"/>
        <v>-3</v>
      </c>
      <c r="AI2394" s="649" t="str">
        <f t="shared" si="142"/>
        <v>en término</v>
      </c>
    </row>
    <row r="2395" spans="2:35" s="649" customFormat="1" ht="54.95" customHeight="1" thickBot="1" x14ac:dyDescent="0.25">
      <c r="B2395" s="900" t="s">
        <v>36</v>
      </c>
      <c r="C2395" s="887" t="s">
        <v>7534</v>
      </c>
      <c r="D2395" s="888" t="s">
        <v>6441</v>
      </c>
      <c r="E2395" s="901">
        <v>4600557062</v>
      </c>
      <c r="F2395" s="1061" t="s">
        <v>7242</v>
      </c>
      <c r="G2395" s="889" t="s">
        <v>39</v>
      </c>
      <c r="H2395" s="890">
        <v>43220.65</v>
      </c>
      <c r="I2395" s="902" t="s">
        <v>40</v>
      </c>
      <c r="J2395" s="892">
        <v>44229</v>
      </c>
      <c r="K2395" s="893">
        <f t="shared" si="136"/>
        <v>88</v>
      </c>
      <c r="L2395" s="892">
        <v>44317</v>
      </c>
      <c r="M2395" s="892" t="s">
        <v>41</v>
      </c>
      <c r="N2395" s="889" t="s">
        <v>42</v>
      </c>
      <c r="O2395" s="892">
        <v>44302</v>
      </c>
      <c r="P2395" s="893">
        <f t="shared" si="137"/>
        <v>-7</v>
      </c>
      <c r="Q2395" s="901" t="s">
        <v>7308</v>
      </c>
      <c r="R2395" s="903">
        <v>44310</v>
      </c>
      <c r="S2395" s="904">
        <v>44312</v>
      </c>
      <c r="T2395" s="904">
        <v>44330</v>
      </c>
      <c r="U2395" s="893">
        <f t="shared" si="138"/>
        <v>101</v>
      </c>
      <c r="V2395" s="893" t="s">
        <v>1250</v>
      </c>
      <c r="W2395" s="1106" t="s">
        <v>7336</v>
      </c>
      <c r="X2395" s="905"/>
      <c r="Y2395" s="905"/>
      <c r="Z2395" s="895" t="s">
        <v>7402</v>
      </c>
      <c r="AA2395" s="889"/>
      <c r="AB2395" s="892">
        <v>44369</v>
      </c>
      <c r="AC2395" s="476" t="s">
        <v>7236</v>
      </c>
      <c r="AD2395" s="645" t="str">
        <f t="shared" si="139"/>
        <v>en término</v>
      </c>
      <c r="AE2395" s="468" t="s">
        <v>7322</v>
      </c>
      <c r="AF2395" s="468" t="s">
        <v>2929</v>
      </c>
      <c r="AG2395" s="1099">
        <f t="shared" si="140"/>
        <v>44372</v>
      </c>
      <c r="AH2395" s="649">
        <f t="shared" si="141"/>
        <v>-3</v>
      </c>
      <c r="AI2395" s="649" t="str">
        <f t="shared" si="142"/>
        <v>en término</v>
      </c>
    </row>
    <row r="2396" spans="2:35" s="649" customFormat="1" ht="54.95" customHeight="1" thickBot="1" x14ac:dyDescent="0.25">
      <c r="B2396" s="900" t="s">
        <v>36</v>
      </c>
      <c r="C2396" s="887" t="s">
        <v>7534</v>
      </c>
      <c r="D2396" s="888" t="s">
        <v>6441</v>
      </c>
      <c r="E2396" s="901">
        <v>4600557062</v>
      </c>
      <c r="F2396" s="1061" t="s">
        <v>7200</v>
      </c>
      <c r="G2396" s="889" t="s">
        <v>39</v>
      </c>
      <c r="H2396" s="890">
        <v>17263.8</v>
      </c>
      <c r="I2396" s="902" t="s">
        <v>40</v>
      </c>
      <c r="J2396" s="892">
        <v>44208</v>
      </c>
      <c r="K2396" s="893">
        <f t="shared" si="136"/>
        <v>88</v>
      </c>
      <c r="L2396" s="892">
        <v>44296</v>
      </c>
      <c r="M2396" s="892" t="s">
        <v>41</v>
      </c>
      <c r="N2396" s="889" t="s">
        <v>42</v>
      </c>
      <c r="O2396" s="892">
        <v>44309</v>
      </c>
      <c r="P2396" s="893">
        <f t="shared" si="137"/>
        <v>21</v>
      </c>
      <c r="Q2396" s="901" t="s">
        <v>7289</v>
      </c>
      <c r="R2396" s="903">
        <v>44317</v>
      </c>
      <c r="S2396" s="904">
        <v>44319</v>
      </c>
      <c r="T2396" s="904">
        <v>44337</v>
      </c>
      <c r="U2396" s="893">
        <f t="shared" si="138"/>
        <v>129</v>
      </c>
      <c r="V2396" s="893" t="s">
        <v>7398</v>
      </c>
      <c r="W2396" s="1106" t="s">
        <v>7329</v>
      </c>
      <c r="X2396" s="905"/>
      <c r="Y2396" s="905"/>
      <c r="Z2396" s="895" t="s">
        <v>7402</v>
      </c>
      <c r="AA2396" s="889"/>
      <c r="AB2396" s="892">
        <v>44372</v>
      </c>
      <c r="AC2396" s="476" t="s">
        <v>7279</v>
      </c>
      <c r="AD2396" s="645" t="str">
        <f t="shared" si="139"/>
        <v>atrasado</v>
      </c>
      <c r="AE2396" s="468" t="s">
        <v>7330</v>
      </c>
      <c r="AF2396" s="468" t="s">
        <v>2929</v>
      </c>
      <c r="AG2396" s="1099">
        <f t="shared" si="140"/>
        <v>44379</v>
      </c>
      <c r="AH2396" s="649">
        <f t="shared" si="141"/>
        <v>-7</v>
      </c>
      <c r="AI2396" s="649" t="str">
        <f t="shared" si="142"/>
        <v>en término</v>
      </c>
    </row>
    <row r="2397" spans="2:35" s="649" customFormat="1" ht="54.95" customHeight="1" thickBot="1" x14ac:dyDescent="0.25">
      <c r="B2397" s="900" t="s">
        <v>36</v>
      </c>
      <c r="C2397" s="887" t="s">
        <v>7534</v>
      </c>
      <c r="D2397" s="888" t="s">
        <v>6441</v>
      </c>
      <c r="E2397" s="901">
        <v>4600557062</v>
      </c>
      <c r="F2397" s="1061" t="s">
        <v>7243</v>
      </c>
      <c r="G2397" s="889" t="s">
        <v>39</v>
      </c>
      <c r="H2397" s="890">
        <v>2275.0300000000002</v>
      </c>
      <c r="I2397" s="902" t="s">
        <v>40</v>
      </c>
      <c r="J2397" s="892">
        <v>44239</v>
      </c>
      <c r="K2397" s="893">
        <f t="shared" si="136"/>
        <v>81</v>
      </c>
      <c r="L2397" s="892">
        <v>44320</v>
      </c>
      <c r="M2397" s="892" t="s">
        <v>41</v>
      </c>
      <c r="N2397" s="889" t="s">
        <v>42</v>
      </c>
      <c r="O2397" s="892">
        <v>44309</v>
      </c>
      <c r="P2397" s="893">
        <f t="shared" si="137"/>
        <v>-3</v>
      </c>
      <c r="Q2397" s="901" t="s">
        <v>7289</v>
      </c>
      <c r="R2397" s="903">
        <v>44317</v>
      </c>
      <c r="S2397" s="904">
        <v>44319</v>
      </c>
      <c r="T2397" s="904">
        <v>44337</v>
      </c>
      <c r="U2397" s="893">
        <f t="shared" si="138"/>
        <v>98</v>
      </c>
      <c r="V2397" s="893" t="s">
        <v>53</v>
      </c>
      <c r="W2397" s="1106" t="s">
        <v>7329</v>
      </c>
      <c r="X2397" s="905"/>
      <c r="Y2397" s="905"/>
      <c r="Z2397" s="895" t="s">
        <v>7402</v>
      </c>
      <c r="AA2397" s="889"/>
      <c r="AB2397" s="892">
        <v>44372</v>
      </c>
      <c r="AC2397" s="476" t="s">
        <v>7249</v>
      </c>
      <c r="AD2397" s="645" t="str">
        <f t="shared" si="139"/>
        <v>en término</v>
      </c>
      <c r="AE2397" s="468" t="s">
        <v>7330</v>
      </c>
      <c r="AF2397" s="468" t="s">
        <v>2929</v>
      </c>
      <c r="AG2397" s="1099">
        <f t="shared" si="140"/>
        <v>44379</v>
      </c>
      <c r="AH2397" s="649">
        <f t="shared" si="141"/>
        <v>-7</v>
      </c>
      <c r="AI2397" s="649" t="str">
        <f t="shared" si="142"/>
        <v>en término</v>
      </c>
    </row>
    <row r="2398" spans="2:35" s="649" customFormat="1" ht="54.95" customHeight="1" thickBot="1" x14ac:dyDescent="0.25">
      <c r="B2398" s="900" t="s">
        <v>36</v>
      </c>
      <c r="C2398" s="887" t="s">
        <v>7534</v>
      </c>
      <c r="D2398" s="888" t="s">
        <v>6441</v>
      </c>
      <c r="E2398" s="901">
        <v>4600557062</v>
      </c>
      <c r="F2398" s="1061" t="s">
        <v>7244</v>
      </c>
      <c r="G2398" s="889" t="s">
        <v>39</v>
      </c>
      <c r="H2398" s="890">
        <v>3531.96</v>
      </c>
      <c r="I2398" s="902" t="s">
        <v>40</v>
      </c>
      <c r="J2398" s="892">
        <v>44239</v>
      </c>
      <c r="K2398" s="893">
        <f t="shared" si="136"/>
        <v>81</v>
      </c>
      <c r="L2398" s="892">
        <v>44320</v>
      </c>
      <c r="M2398" s="892" t="s">
        <v>41</v>
      </c>
      <c r="N2398" s="889" t="s">
        <v>42</v>
      </c>
      <c r="O2398" s="892">
        <v>44309</v>
      </c>
      <c r="P2398" s="893">
        <f t="shared" si="137"/>
        <v>-3</v>
      </c>
      <c r="Q2398" s="901" t="s">
        <v>7289</v>
      </c>
      <c r="R2398" s="903">
        <v>44317</v>
      </c>
      <c r="S2398" s="904">
        <v>44319</v>
      </c>
      <c r="T2398" s="904">
        <v>44337</v>
      </c>
      <c r="U2398" s="893">
        <f t="shared" si="138"/>
        <v>98</v>
      </c>
      <c r="V2398" s="893" t="s">
        <v>53</v>
      </c>
      <c r="W2398" s="1106" t="s">
        <v>7329</v>
      </c>
      <c r="X2398" s="905"/>
      <c r="Y2398" s="905"/>
      <c r="Z2398" s="895" t="s">
        <v>7402</v>
      </c>
      <c r="AA2398" s="889"/>
      <c r="AB2398" s="892">
        <v>44372</v>
      </c>
      <c r="AC2398" s="476" t="s">
        <v>7250</v>
      </c>
      <c r="AD2398" s="645" t="str">
        <f t="shared" si="139"/>
        <v>en término</v>
      </c>
      <c r="AE2398" s="468" t="s">
        <v>7330</v>
      </c>
      <c r="AF2398" s="468" t="s">
        <v>2929</v>
      </c>
      <c r="AG2398" s="1099">
        <f t="shared" si="140"/>
        <v>44379</v>
      </c>
      <c r="AH2398" s="649">
        <f t="shared" si="141"/>
        <v>-7</v>
      </c>
      <c r="AI2398" s="649" t="str">
        <f t="shared" si="142"/>
        <v>en término</v>
      </c>
    </row>
    <row r="2399" spans="2:35" s="649" customFormat="1" ht="54.95" customHeight="1" thickBot="1" x14ac:dyDescent="0.25">
      <c r="B2399" s="900" t="s">
        <v>36</v>
      </c>
      <c r="C2399" s="887" t="s">
        <v>7534</v>
      </c>
      <c r="D2399" s="888" t="s">
        <v>6441</v>
      </c>
      <c r="E2399" s="901">
        <v>4600557062</v>
      </c>
      <c r="F2399" s="1061" t="s">
        <v>7245</v>
      </c>
      <c r="G2399" s="889" t="s">
        <v>39</v>
      </c>
      <c r="H2399" s="890">
        <f>59795.4+3306.2</f>
        <v>63101.599999999999</v>
      </c>
      <c r="I2399" s="902" t="s">
        <v>40</v>
      </c>
      <c r="J2399" s="892">
        <v>44239</v>
      </c>
      <c r="K2399" s="893">
        <f t="shared" si="136"/>
        <v>84</v>
      </c>
      <c r="L2399" s="892">
        <v>44323</v>
      </c>
      <c r="M2399" s="892" t="s">
        <v>41</v>
      </c>
      <c r="N2399" s="889" t="s">
        <v>42</v>
      </c>
      <c r="O2399" s="892">
        <v>44309</v>
      </c>
      <c r="P2399" s="893">
        <f t="shared" si="137"/>
        <v>-6</v>
      </c>
      <c r="Q2399" s="901" t="s">
        <v>7289</v>
      </c>
      <c r="R2399" s="903">
        <v>44317</v>
      </c>
      <c r="S2399" s="904">
        <v>44319</v>
      </c>
      <c r="T2399" s="904">
        <v>44337</v>
      </c>
      <c r="U2399" s="893">
        <f t="shared" si="138"/>
        <v>98</v>
      </c>
      <c r="V2399" s="893" t="s">
        <v>7246</v>
      </c>
      <c r="W2399" s="1106" t="s">
        <v>7329</v>
      </c>
      <c r="X2399" s="905"/>
      <c r="Y2399" s="905"/>
      <c r="Z2399" s="895" t="s">
        <v>7402</v>
      </c>
      <c r="AA2399" s="889"/>
      <c r="AB2399" s="892">
        <v>44372</v>
      </c>
      <c r="AC2399" s="476" t="s">
        <v>7260</v>
      </c>
      <c r="AD2399" s="645" t="str">
        <f t="shared" si="139"/>
        <v>en término</v>
      </c>
      <c r="AE2399" s="468" t="s">
        <v>7330</v>
      </c>
      <c r="AF2399" s="468" t="s">
        <v>2929</v>
      </c>
      <c r="AG2399" s="1099">
        <f t="shared" si="140"/>
        <v>44379</v>
      </c>
      <c r="AH2399" s="649">
        <f t="shared" si="141"/>
        <v>-7</v>
      </c>
      <c r="AI2399" s="649" t="str">
        <f t="shared" si="142"/>
        <v>en término</v>
      </c>
    </row>
    <row r="2400" spans="2:35" s="649" customFormat="1" ht="54.95" customHeight="1" thickBot="1" x14ac:dyDescent="0.25">
      <c r="B2400" s="1302" t="s">
        <v>36</v>
      </c>
      <c r="C2400" s="1303" t="s">
        <v>7534</v>
      </c>
      <c r="D2400" s="1304" t="s">
        <v>6441</v>
      </c>
      <c r="E2400" s="1305">
        <v>4600557062</v>
      </c>
      <c r="F2400" s="1306" t="s">
        <v>7425</v>
      </c>
      <c r="G2400" s="1307" t="s">
        <v>39</v>
      </c>
      <c r="H2400" s="1308">
        <v>1958.24</v>
      </c>
      <c r="I2400" s="1309" t="s">
        <v>40</v>
      </c>
      <c r="J2400" s="1310">
        <v>44390</v>
      </c>
      <c r="K2400" s="1311">
        <f t="shared" si="136"/>
        <v>98</v>
      </c>
      <c r="L2400" s="1310">
        <v>44488</v>
      </c>
      <c r="M2400" s="1310" t="s">
        <v>41</v>
      </c>
      <c r="N2400" s="1307" t="s">
        <v>42</v>
      </c>
      <c r="O2400" s="1310">
        <v>44449</v>
      </c>
      <c r="P2400" s="1311" t="str">
        <f t="shared" si="137"/>
        <v/>
      </c>
      <c r="Q2400" s="1305"/>
      <c r="R2400" s="1312"/>
      <c r="S2400" s="1313"/>
      <c r="T2400" s="1313"/>
      <c r="U2400" s="1311" t="str">
        <f t="shared" si="138"/>
        <v/>
      </c>
      <c r="V2400" s="1311" t="s">
        <v>1020</v>
      </c>
      <c r="W2400" s="1314"/>
      <c r="X2400" s="1315"/>
      <c r="Y2400" s="1315"/>
      <c r="Z2400" s="1316"/>
      <c r="AA2400" s="1307"/>
      <c r="AB2400" s="1317" t="str">
        <f>IF(S2400="","",IF('o.c.'!$Z$1&lt;(S2400+60),(S2400+60),"VENCIDA"))</f>
        <v/>
      </c>
      <c r="AC2400" s="1318" t="s">
        <v>7448</v>
      </c>
      <c r="AD2400" s="645" t="str">
        <f t="shared" si="139"/>
        <v/>
      </c>
      <c r="AE2400" s="468"/>
      <c r="AF2400" s="468"/>
    </row>
    <row r="2401" spans="2:35" s="649" customFormat="1" ht="54.95" customHeight="1" thickBot="1" x14ac:dyDescent="0.25">
      <c r="B2401" s="900" t="s">
        <v>36</v>
      </c>
      <c r="C2401" s="887" t="s">
        <v>7534</v>
      </c>
      <c r="D2401" s="888" t="s">
        <v>6429</v>
      </c>
      <c r="E2401" s="901">
        <v>4600558097</v>
      </c>
      <c r="F2401" s="1061" t="s">
        <v>7251</v>
      </c>
      <c r="G2401" s="889" t="s">
        <v>39</v>
      </c>
      <c r="H2401" s="890">
        <v>61209</v>
      </c>
      <c r="I2401" s="902" t="s">
        <v>62</v>
      </c>
      <c r="J2401" s="892">
        <v>44239</v>
      </c>
      <c r="K2401" s="893">
        <f t="shared" si="136"/>
        <v>113</v>
      </c>
      <c r="L2401" s="892">
        <v>44352</v>
      </c>
      <c r="M2401" s="892" t="s">
        <v>41</v>
      </c>
      <c r="N2401" s="889" t="s">
        <v>42</v>
      </c>
      <c r="O2401" s="892">
        <v>44351</v>
      </c>
      <c r="P2401" s="893">
        <f t="shared" si="137"/>
        <v>7</v>
      </c>
      <c r="Q2401" s="901" t="s">
        <v>7377</v>
      </c>
      <c r="R2401" s="903">
        <v>44359</v>
      </c>
      <c r="S2401" s="904">
        <v>44361</v>
      </c>
      <c r="T2401" s="904">
        <v>44378</v>
      </c>
      <c r="U2401" s="893">
        <f t="shared" si="138"/>
        <v>139</v>
      </c>
      <c r="V2401" s="901" t="s">
        <v>7252</v>
      </c>
      <c r="W2401" s="1106" t="s">
        <v>7399</v>
      </c>
      <c r="X2401" s="905"/>
      <c r="Y2401" s="905"/>
      <c r="Z2401" s="895" t="s">
        <v>7402</v>
      </c>
      <c r="AA2401" s="889"/>
      <c r="AB2401" s="892">
        <v>44424</v>
      </c>
      <c r="AC2401" s="476" t="s">
        <v>7257</v>
      </c>
      <c r="AD2401" s="645" t="str">
        <f t="shared" si="139"/>
        <v>atrasado</v>
      </c>
      <c r="AE2401" s="468" t="s">
        <v>7396</v>
      </c>
      <c r="AF2401" s="468" t="s">
        <v>2943</v>
      </c>
      <c r="AG2401" s="1099">
        <f t="shared" ref="AG2401:AG2432" si="143">+S2401+60</f>
        <v>44421</v>
      </c>
      <c r="AH2401" s="649">
        <f t="shared" ref="AH2401:AH2432" si="144">IF(AB2401="","",+AB2401-AG2401)</f>
        <v>3</v>
      </c>
      <c r="AI2401" s="649" t="str">
        <f t="shared" ref="AI2401:AI2432" si="145">IF(AH2401="","",IF(AH2401&lt;=0,"en término","atrasado"))</f>
        <v>atrasado</v>
      </c>
    </row>
    <row r="2402" spans="2:35" s="649" customFormat="1" ht="54.95" customHeight="1" thickBot="1" x14ac:dyDescent="0.25">
      <c r="B2402" s="900" t="s">
        <v>36</v>
      </c>
      <c r="C2402" s="887" t="s">
        <v>7534</v>
      </c>
      <c r="D2402" s="888" t="s">
        <v>6429</v>
      </c>
      <c r="E2402" s="901">
        <v>4600558097</v>
      </c>
      <c r="F2402" s="1061" t="s">
        <v>7254</v>
      </c>
      <c r="G2402" s="889" t="s">
        <v>39</v>
      </c>
      <c r="H2402" s="890">
        <v>170663.23</v>
      </c>
      <c r="I2402" s="902" t="s">
        <v>62</v>
      </c>
      <c r="J2402" s="892">
        <v>44239</v>
      </c>
      <c r="K2402" s="893">
        <f t="shared" si="136"/>
        <v>113</v>
      </c>
      <c r="L2402" s="892">
        <v>44352</v>
      </c>
      <c r="M2402" s="892" t="s">
        <v>41</v>
      </c>
      <c r="N2402" s="889" t="s">
        <v>42</v>
      </c>
      <c r="O2402" s="892">
        <v>44351</v>
      </c>
      <c r="P2402" s="893">
        <f t="shared" si="137"/>
        <v>7</v>
      </c>
      <c r="Q2402" s="901" t="s">
        <v>7377</v>
      </c>
      <c r="R2402" s="903">
        <v>44359</v>
      </c>
      <c r="S2402" s="904">
        <v>44361</v>
      </c>
      <c r="T2402" s="904">
        <v>44378</v>
      </c>
      <c r="U2402" s="893">
        <f t="shared" si="138"/>
        <v>139</v>
      </c>
      <c r="V2402" s="901" t="s">
        <v>7255</v>
      </c>
      <c r="W2402" s="1106" t="s">
        <v>7399</v>
      </c>
      <c r="X2402" s="905"/>
      <c r="Y2402" s="905"/>
      <c r="Z2402" s="895" t="s">
        <v>7402</v>
      </c>
      <c r="AA2402" s="889"/>
      <c r="AB2402" s="892">
        <v>44424</v>
      </c>
      <c r="AC2402" s="476" t="s">
        <v>7262</v>
      </c>
      <c r="AD2402" s="645" t="str">
        <f t="shared" si="139"/>
        <v>atrasado</v>
      </c>
      <c r="AE2402" s="468" t="s">
        <v>7396</v>
      </c>
      <c r="AF2402" s="468" t="s">
        <v>2943</v>
      </c>
      <c r="AG2402" s="1099">
        <f t="shared" si="143"/>
        <v>44421</v>
      </c>
      <c r="AH2402" s="649">
        <f t="shared" si="144"/>
        <v>3</v>
      </c>
      <c r="AI2402" s="649" t="str">
        <f t="shared" si="145"/>
        <v>atrasado</v>
      </c>
    </row>
    <row r="2403" spans="2:35" s="649" customFormat="1" ht="54.95" customHeight="1" thickBot="1" x14ac:dyDescent="0.25">
      <c r="B2403" s="900" t="s">
        <v>36</v>
      </c>
      <c r="C2403" s="887" t="s">
        <v>7534</v>
      </c>
      <c r="D2403" s="888" t="s">
        <v>6441</v>
      </c>
      <c r="E2403" s="901">
        <v>4600557062</v>
      </c>
      <c r="F2403" s="1061" t="s">
        <v>7280</v>
      </c>
      <c r="G2403" s="889" t="s">
        <v>39</v>
      </c>
      <c r="H2403" s="890">
        <v>1873.41</v>
      </c>
      <c r="I2403" s="902" t="s">
        <v>62</v>
      </c>
      <c r="J2403" s="892">
        <v>44272</v>
      </c>
      <c r="K2403" s="893">
        <f t="shared" si="136"/>
        <v>81</v>
      </c>
      <c r="L2403" s="892">
        <v>44353</v>
      </c>
      <c r="M2403" s="892" t="s">
        <v>41</v>
      </c>
      <c r="N2403" s="889" t="s">
        <v>42</v>
      </c>
      <c r="O2403" s="892">
        <v>44351</v>
      </c>
      <c r="P2403" s="893">
        <f t="shared" si="137"/>
        <v>6</v>
      </c>
      <c r="Q2403" s="901" t="s">
        <v>7377</v>
      </c>
      <c r="R2403" s="903">
        <v>44359</v>
      </c>
      <c r="S2403" s="904">
        <v>44361</v>
      </c>
      <c r="T2403" s="904">
        <v>44378</v>
      </c>
      <c r="U2403" s="893">
        <f t="shared" si="138"/>
        <v>106</v>
      </c>
      <c r="V2403" s="893" t="s">
        <v>7281</v>
      </c>
      <c r="W2403" s="1106" t="s">
        <v>7399</v>
      </c>
      <c r="X2403" s="905"/>
      <c r="Y2403" s="905"/>
      <c r="Z2403" s="895" t="s">
        <v>7402</v>
      </c>
      <c r="AA2403" s="889"/>
      <c r="AB2403" s="892">
        <v>44424</v>
      </c>
      <c r="AC2403" s="476" t="s">
        <v>7282</v>
      </c>
      <c r="AD2403" s="645" t="str">
        <f t="shared" si="139"/>
        <v>atrasado</v>
      </c>
      <c r="AE2403" s="468" t="s">
        <v>7396</v>
      </c>
      <c r="AF2403" s="468" t="s">
        <v>2943</v>
      </c>
      <c r="AG2403" s="1099">
        <f t="shared" si="143"/>
        <v>44421</v>
      </c>
      <c r="AH2403" s="649">
        <f t="shared" si="144"/>
        <v>3</v>
      </c>
      <c r="AI2403" s="649" t="str">
        <f t="shared" si="145"/>
        <v>atrasado</v>
      </c>
    </row>
    <row r="2404" spans="2:35" s="649" customFormat="1" ht="54.95" customHeight="1" thickBot="1" x14ac:dyDescent="0.25">
      <c r="B2404" s="900" t="s">
        <v>36</v>
      </c>
      <c r="C2404" s="887" t="s">
        <v>7534</v>
      </c>
      <c r="D2404" s="888" t="s">
        <v>6441</v>
      </c>
      <c r="E2404" s="901">
        <v>4600557062</v>
      </c>
      <c r="F2404" s="1061" t="s">
        <v>7283</v>
      </c>
      <c r="G2404" s="889" t="s">
        <v>39</v>
      </c>
      <c r="H2404" s="890">
        <v>24267.66</v>
      </c>
      <c r="I2404" s="902" t="s">
        <v>142</v>
      </c>
      <c r="J2404" s="892">
        <v>44272</v>
      </c>
      <c r="K2404" s="893">
        <f t="shared" ref="K2404:K2435" si="146">+L2404-J2404</f>
        <v>81</v>
      </c>
      <c r="L2404" s="892">
        <v>44353</v>
      </c>
      <c r="M2404" s="892" t="s">
        <v>41</v>
      </c>
      <c r="N2404" s="889" t="s">
        <v>42</v>
      </c>
      <c r="O2404" s="892">
        <v>44351</v>
      </c>
      <c r="P2404" s="893">
        <f t="shared" ref="P2404:P2435" si="147">IF(R2404="","",+R2404-L2404)</f>
        <v>6</v>
      </c>
      <c r="Q2404" s="901" t="s">
        <v>7377</v>
      </c>
      <c r="R2404" s="903">
        <v>44359</v>
      </c>
      <c r="S2404" s="904">
        <v>44361</v>
      </c>
      <c r="T2404" s="904">
        <v>44378</v>
      </c>
      <c r="U2404" s="893">
        <f t="shared" ref="U2404:U2435" si="148">IF(T2404="","",+T2404-J2404)</f>
        <v>106</v>
      </c>
      <c r="V2404" s="893" t="s">
        <v>7284</v>
      </c>
      <c r="W2404" s="1106" t="s">
        <v>7399</v>
      </c>
      <c r="X2404" s="905"/>
      <c r="Y2404" s="905"/>
      <c r="Z2404" s="895" t="s">
        <v>7402</v>
      </c>
      <c r="AA2404" s="889"/>
      <c r="AB2404" s="892">
        <v>44424</v>
      </c>
      <c r="AC2404" s="476" t="s">
        <v>7285</v>
      </c>
      <c r="AD2404" s="645" t="str">
        <f t="shared" ref="AD2404:AD2435" si="149">IF(P2404="","",IF(P2404&lt;=0,"en término","atrasado"))</f>
        <v>atrasado</v>
      </c>
      <c r="AE2404" s="468" t="s">
        <v>7396</v>
      </c>
      <c r="AF2404" s="468" t="s">
        <v>2943</v>
      </c>
      <c r="AG2404" s="1099">
        <f t="shared" si="143"/>
        <v>44421</v>
      </c>
      <c r="AH2404" s="649">
        <f t="shared" si="144"/>
        <v>3</v>
      </c>
      <c r="AI2404" s="649" t="str">
        <f t="shared" si="145"/>
        <v>atrasado</v>
      </c>
    </row>
    <row r="2405" spans="2:35" s="649" customFormat="1" ht="54.95" customHeight="1" thickBot="1" x14ac:dyDescent="0.25">
      <c r="B2405" s="900" t="s">
        <v>36</v>
      </c>
      <c r="C2405" s="887" t="s">
        <v>7534</v>
      </c>
      <c r="D2405" s="888" t="s">
        <v>7050</v>
      </c>
      <c r="E2405" s="901">
        <v>4600611934</v>
      </c>
      <c r="F2405" s="1061" t="s">
        <v>7287</v>
      </c>
      <c r="G2405" s="889" t="s">
        <v>39</v>
      </c>
      <c r="H2405" s="890">
        <v>153.78</v>
      </c>
      <c r="I2405" s="902" t="s">
        <v>52</v>
      </c>
      <c r="J2405" s="892">
        <v>44279</v>
      </c>
      <c r="K2405" s="893">
        <f t="shared" si="146"/>
        <v>77</v>
      </c>
      <c r="L2405" s="892">
        <v>44356</v>
      </c>
      <c r="M2405" s="892" t="s">
        <v>41</v>
      </c>
      <c r="N2405" s="889" t="s">
        <v>42</v>
      </c>
      <c r="O2405" s="892">
        <v>44351</v>
      </c>
      <c r="P2405" s="893">
        <f t="shared" si="147"/>
        <v>3</v>
      </c>
      <c r="Q2405" s="901" t="s">
        <v>7377</v>
      </c>
      <c r="R2405" s="903">
        <v>44359</v>
      </c>
      <c r="S2405" s="904">
        <v>44361</v>
      </c>
      <c r="T2405" s="904">
        <v>44378</v>
      </c>
      <c r="U2405" s="893">
        <f t="shared" si="148"/>
        <v>99</v>
      </c>
      <c r="V2405" s="893" t="s">
        <v>53</v>
      </c>
      <c r="W2405" s="1106" t="s">
        <v>7399</v>
      </c>
      <c r="X2405" s="905"/>
      <c r="Y2405" s="905"/>
      <c r="Z2405" s="895" t="s">
        <v>7402</v>
      </c>
      <c r="AA2405" s="889"/>
      <c r="AB2405" s="892">
        <v>44424</v>
      </c>
      <c r="AC2405" s="476" t="s">
        <v>7288</v>
      </c>
      <c r="AD2405" s="645" t="str">
        <f t="shared" si="149"/>
        <v>atrasado</v>
      </c>
      <c r="AE2405" s="468" t="s">
        <v>7396</v>
      </c>
      <c r="AF2405" s="468" t="s">
        <v>2943</v>
      </c>
      <c r="AG2405" s="1099">
        <f t="shared" si="143"/>
        <v>44421</v>
      </c>
      <c r="AH2405" s="649">
        <f t="shared" si="144"/>
        <v>3</v>
      </c>
      <c r="AI2405" s="649" t="str">
        <f t="shared" si="145"/>
        <v>atrasado</v>
      </c>
    </row>
    <row r="2406" spans="2:35" s="649" customFormat="1" ht="54.95" customHeight="1" thickBot="1" x14ac:dyDescent="0.25">
      <c r="B2406" s="900" t="s">
        <v>36</v>
      </c>
      <c r="C2406" s="887" t="s">
        <v>7534</v>
      </c>
      <c r="D2406" s="888" t="s">
        <v>7319</v>
      </c>
      <c r="E2406" s="901" t="s">
        <v>7320</v>
      </c>
      <c r="F2406" s="1061" t="s">
        <v>7321</v>
      </c>
      <c r="G2406" s="889" t="s">
        <v>39</v>
      </c>
      <c r="H2406" s="890">
        <v>3806</v>
      </c>
      <c r="I2406" s="902" t="s">
        <v>40</v>
      </c>
      <c r="J2406" s="892">
        <v>44295</v>
      </c>
      <c r="K2406" s="893">
        <f t="shared" si="146"/>
        <v>77</v>
      </c>
      <c r="L2406" s="892">
        <v>44372</v>
      </c>
      <c r="M2406" s="892" t="s">
        <v>41</v>
      </c>
      <c r="N2406" s="889" t="s">
        <v>42</v>
      </c>
      <c r="O2406" s="892">
        <v>44365</v>
      </c>
      <c r="P2406" s="893">
        <f t="shared" si="147"/>
        <v>8</v>
      </c>
      <c r="Q2406" s="901" t="s">
        <v>7404</v>
      </c>
      <c r="R2406" s="903">
        <v>44380</v>
      </c>
      <c r="S2406" s="904">
        <v>44381</v>
      </c>
      <c r="T2406" s="904">
        <v>44400</v>
      </c>
      <c r="U2406" s="893">
        <f t="shared" si="148"/>
        <v>105</v>
      </c>
      <c r="V2406" s="893" t="s">
        <v>53</v>
      </c>
      <c r="W2406" s="1106" t="s">
        <v>7401</v>
      </c>
      <c r="X2406" s="905"/>
      <c r="Y2406" s="905"/>
      <c r="Z2406" s="895"/>
      <c r="AA2406" s="889"/>
      <c r="AB2406" s="892">
        <v>44441</v>
      </c>
      <c r="AC2406" s="476" t="s">
        <v>7428</v>
      </c>
      <c r="AD2406" s="645" t="str">
        <f t="shared" si="149"/>
        <v>atrasado</v>
      </c>
      <c r="AE2406" s="468" t="s">
        <v>7400</v>
      </c>
      <c r="AF2406" s="468" t="s">
        <v>2943</v>
      </c>
      <c r="AG2406" s="1099">
        <f t="shared" si="143"/>
        <v>44441</v>
      </c>
      <c r="AH2406" s="649">
        <f t="shared" si="144"/>
        <v>0</v>
      </c>
      <c r="AI2406" s="649" t="str">
        <f t="shared" si="145"/>
        <v>en término</v>
      </c>
    </row>
    <row r="2407" spans="2:35" s="649" customFormat="1" ht="54.95" customHeight="1" thickBot="1" x14ac:dyDescent="0.25">
      <c r="B2407" s="900" t="s">
        <v>36</v>
      </c>
      <c r="C2407" s="887" t="s">
        <v>7534</v>
      </c>
      <c r="D2407" s="888" t="s">
        <v>6441</v>
      </c>
      <c r="E2407" s="901">
        <v>4600557062</v>
      </c>
      <c r="F2407" s="1061" t="s">
        <v>7298</v>
      </c>
      <c r="G2407" s="889" t="s">
        <v>39</v>
      </c>
      <c r="H2407" s="890">
        <v>34730.92</v>
      </c>
      <c r="I2407" s="902" t="s">
        <v>40</v>
      </c>
      <c r="J2407" s="892">
        <v>44292</v>
      </c>
      <c r="K2407" s="893">
        <f t="shared" si="146"/>
        <v>81</v>
      </c>
      <c r="L2407" s="892">
        <v>44373</v>
      </c>
      <c r="M2407" s="892" t="s">
        <v>41</v>
      </c>
      <c r="N2407" s="889" t="s">
        <v>42</v>
      </c>
      <c r="O2407" s="892">
        <v>44365</v>
      </c>
      <c r="P2407" s="893">
        <f t="shared" si="147"/>
        <v>7</v>
      </c>
      <c r="Q2407" s="901" t="s">
        <v>7404</v>
      </c>
      <c r="R2407" s="903">
        <v>44380</v>
      </c>
      <c r="S2407" s="904">
        <v>44381</v>
      </c>
      <c r="T2407" s="904">
        <v>44400</v>
      </c>
      <c r="U2407" s="893">
        <f t="shared" si="148"/>
        <v>108</v>
      </c>
      <c r="V2407" s="893" t="s">
        <v>1038</v>
      </c>
      <c r="W2407" s="1106" t="s">
        <v>7401</v>
      </c>
      <c r="X2407" s="905"/>
      <c r="Y2407" s="905"/>
      <c r="Z2407" s="895"/>
      <c r="AA2407" s="889"/>
      <c r="AB2407" s="892">
        <v>44441</v>
      </c>
      <c r="AC2407" s="476" t="s">
        <v>7403</v>
      </c>
      <c r="AD2407" s="645" t="str">
        <f t="shared" si="149"/>
        <v>atrasado</v>
      </c>
      <c r="AE2407" s="468" t="s">
        <v>7400</v>
      </c>
      <c r="AF2407" s="468" t="s">
        <v>2943</v>
      </c>
      <c r="AG2407" s="1099">
        <f t="shared" si="143"/>
        <v>44441</v>
      </c>
      <c r="AH2407" s="649">
        <f t="shared" si="144"/>
        <v>0</v>
      </c>
      <c r="AI2407" s="649" t="str">
        <f t="shared" si="145"/>
        <v>en término</v>
      </c>
    </row>
    <row r="2408" spans="2:35" s="649" customFormat="1" ht="54.95" customHeight="1" thickBot="1" x14ac:dyDescent="0.25">
      <c r="B2408" s="900" t="s">
        <v>36</v>
      </c>
      <c r="C2408" s="887" t="s">
        <v>7534</v>
      </c>
      <c r="D2408" s="888" t="s">
        <v>6441</v>
      </c>
      <c r="E2408" s="901">
        <v>4600557062</v>
      </c>
      <c r="F2408" s="1061" t="s">
        <v>7300</v>
      </c>
      <c r="G2408" s="889" t="s">
        <v>39</v>
      </c>
      <c r="H2408" s="890">
        <v>84373.35</v>
      </c>
      <c r="I2408" s="902" t="s">
        <v>40</v>
      </c>
      <c r="J2408" s="892">
        <v>44292</v>
      </c>
      <c r="K2408" s="893">
        <f t="shared" si="146"/>
        <v>83</v>
      </c>
      <c r="L2408" s="892">
        <v>44375</v>
      </c>
      <c r="M2408" s="892" t="s">
        <v>41</v>
      </c>
      <c r="N2408" s="889" t="s">
        <v>42</v>
      </c>
      <c r="O2408" s="892">
        <v>44379</v>
      </c>
      <c r="P2408" s="893">
        <f t="shared" si="147"/>
        <v>12</v>
      </c>
      <c r="Q2408" s="901" t="s">
        <v>7405</v>
      </c>
      <c r="R2408" s="903">
        <v>44387</v>
      </c>
      <c r="S2408" s="904">
        <v>44389</v>
      </c>
      <c r="T2408" s="904">
        <v>44407</v>
      </c>
      <c r="U2408" s="893">
        <f t="shared" si="148"/>
        <v>115</v>
      </c>
      <c r="V2408" s="893" t="s">
        <v>7299</v>
      </c>
      <c r="W2408" s="1106" t="s">
        <v>7408</v>
      </c>
      <c r="X2408" s="905"/>
      <c r="Y2408" s="905"/>
      <c r="Z2408" s="895"/>
      <c r="AA2408" s="889"/>
      <c r="AB2408" s="892">
        <v>44441</v>
      </c>
      <c r="AC2408" s="476" t="s">
        <v>7301</v>
      </c>
      <c r="AD2408" s="645" t="str">
        <f t="shared" si="149"/>
        <v>atrasado</v>
      </c>
      <c r="AE2408" s="468" t="s">
        <v>7407</v>
      </c>
      <c r="AF2408" s="468" t="s">
        <v>2949</v>
      </c>
      <c r="AG2408" s="1099">
        <f t="shared" si="143"/>
        <v>44449</v>
      </c>
      <c r="AH2408" s="649">
        <f t="shared" si="144"/>
        <v>-8</v>
      </c>
      <c r="AI2408" s="649" t="str">
        <f t="shared" si="145"/>
        <v>en término</v>
      </c>
    </row>
    <row r="2409" spans="2:35" s="649" customFormat="1" ht="54.95" customHeight="1" thickBot="1" x14ac:dyDescent="0.25">
      <c r="B2409" s="900" t="s">
        <v>36</v>
      </c>
      <c r="C2409" s="887" t="s">
        <v>7534</v>
      </c>
      <c r="D2409" s="888" t="s">
        <v>6441</v>
      </c>
      <c r="E2409" s="901">
        <v>4600557062</v>
      </c>
      <c r="F2409" s="1061" t="s">
        <v>7327</v>
      </c>
      <c r="G2409" s="889" t="s">
        <v>39</v>
      </c>
      <c r="H2409" s="890">
        <v>11424.1</v>
      </c>
      <c r="I2409" s="902" t="s">
        <v>40</v>
      </c>
      <c r="J2409" s="892">
        <v>44308</v>
      </c>
      <c r="K2409" s="893">
        <f t="shared" si="146"/>
        <v>89</v>
      </c>
      <c r="L2409" s="892">
        <v>44397</v>
      </c>
      <c r="M2409" s="892" t="s">
        <v>41</v>
      </c>
      <c r="N2409" s="889" t="s">
        <v>42</v>
      </c>
      <c r="O2409" s="892">
        <v>44379</v>
      </c>
      <c r="P2409" s="893">
        <f t="shared" si="147"/>
        <v>-10</v>
      </c>
      <c r="Q2409" s="901" t="s">
        <v>7405</v>
      </c>
      <c r="R2409" s="903">
        <v>44387</v>
      </c>
      <c r="S2409" s="904">
        <v>44389</v>
      </c>
      <c r="T2409" s="904">
        <v>44407</v>
      </c>
      <c r="U2409" s="893">
        <f t="shared" si="148"/>
        <v>99</v>
      </c>
      <c r="V2409" s="893" t="s">
        <v>1832</v>
      </c>
      <c r="W2409" s="1106" t="s">
        <v>7408</v>
      </c>
      <c r="X2409" s="905"/>
      <c r="Y2409" s="905"/>
      <c r="Z2409" s="895"/>
      <c r="AA2409" s="889"/>
      <c r="AB2409" s="892">
        <v>44441</v>
      </c>
      <c r="AC2409" s="476" t="s">
        <v>7328</v>
      </c>
      <c r="AD2409" s="645" t="str">
        <f t="shared" si="149"/>
        <v>en término</v>
      </c>
      <c r="AE2409" s="468" t="s">
        <v>7407</v>
      </c>
      <c r="AF2409" s="468" t="s">
        <v>2949</v>
      </c>
      <c r="AG2409" s="1099">
        <f t="shared" si="143"/>
        <v>44449</v>
      </c>
      <c r="AH2409" s="649">
        <f t="shared" si="144"/>
        <v>-8</v>
      </c>
      <c r="AI2409" s="649" t="str">
        <f t="shared" si="145"/>
        <v>en término</v>
      </c>
    </row>
    <row r="2410" spans="2:35" s="649" customFormat="1" ht="54.95" customHeight="1" thickBot="1" x14ac:dyDescent="0.25">
      <c r="B2410" s="900" t="s">
        <v>36</v>
      </c>
      <c r="C2410" s="887" t="s">
        <v>7534</v>
      </c>
      <c r="D2410" s="888" t="s">
        <v>6441</v>
      </c>
      <c r="E2410" s="901">
        <v>4600557062</v>
      </c>
      <c r="F2410" s="1061" t="s">
        <v>7334</v>
      </c>
      <c r="G2410" s="889" t="s">
        <v>39</v>
      </c>
      <c r="H2410" s="890">
        <v>9384.51</v>
      </c>
      <c r="I2410" s="902" t="s">
        <v>52</v>
      </c>
      <c r="J2410" s="892">
        <v>44316</v>
      </c>
      <c r="K2410" s="893">
        <f t="shared" si="146"/>
        <v>91</v>
      </c>
      <c r="L2410" s="892">
        <v>44407</v>
      </c>
      <c r="M2410" s="892" t="s">
        <v>41</v>
      </c>
      <c r="N2410" s="889" t="s">
        <v>42</v>
      </c>
      <c r="O2410" s="892">
        <v>44379</v>
      </c>
      <c r="P2410" s="893">
        <f t="shared" si="147"/>
        <v>-20</v>
      </c>
      <c r="Q2410" s="901" t="s">
        <v>7405</v>
      </c>
      <c r="R2410" s="903">
        <v>44387</v>
      </c>
      <c r="S2410" s="904">
        <v>44389</v>
      </c>
      <c r="T2410" s="904">
        <v>44407</v>
      </c>
      <c r="U2410" s="893">
        <f t="shared" si="148"/>
        <v>91</v>
      </c>
      <c r="V2410" s="893" t="s">
        <v>1808</v>
      </c>
      <c r="W2410" s="1106" t="s">
        <v>7408</v>
      </c>
      <c r="X2410" s="905"/>
      <c r="Y2410" s="905"/>
      <c r="Z2410" s="895"/>
      <c r="AA2410" s="889"/>
      <c r="AB2410" s="892">
        <v>44441</v>
      </c>
      <c r="AC2410" s="476" t="s">
        <v>7340</v>
      </c>
      <c r="AD2410" s="645" t="str">
        <f t="shared" si="149"/>
        <v>en término</v>
      </c>
      <c r="AE2410" s="468" t="s">
        <v>7407</v>
      </c>
      <c r="AF2410" s="468" t="s">
        <v>2949</v>
      </c>
      <c r="AG2410" s="1099">
        <f t="shared" si="143"/>
        <v>44449</v>
      </c>
      <c r="AH2410" s="649">
        <f t="shared" si="144"/>
        <v>-8</v>
      </c>
      <c r="AI2410" s="649" t="str">
        <f t="shared" si="145"/>
        <v>en término</v>
      </c>
    </row>
    <row r="2411" spans="2:35" s="649" customFormat="1" ht="54.95" customHeight="1" thickBot="1" x14ac:dyDescent="0.25">
      <c r="B2411" s="900" t="s">
        <v>36</v>
      </c>
      <c r="C2411" s="887" t="s">
        <v>7534</v>
      </c>
      <c r="D2411" s="888" t="s">
        <v>7050</v>
      </c>
      <c r="E2411" s="901">
        <v>4600611934</v>
      </c>
      <c r="F2411" s="1061" t="s">
        <v>7335</v>
      </c>
      <c r="G2411" s="889" t="s">
        <v>39</v>
      </c>
      <c r="H2411" s="890">
        <v>207.76</v>
      </c>
      <c r="I2411" s="902" t="s">
        <v>52</v>
      </c>
      <c r="J2411" s="892">
        <v>44316</v>
      </c>
      <c r="K2411" s="893">
        <f t="shared" si="146"/>
        <v>91</v>
      </c>
      <c r="L2411" s="892">
        <v>44407</v>
      </c>
      <c r="M2411" s="892" t="s">
        <v>41</v>
      </c>
      <c r="N2411" s="889" t="s">
        <v>42</v>
      </c>
      <c r="O2411" s="892">
        <v>44379</v>
      </c>
      <c r="P2411" s="893">
        <f t="shared" si="147"/>
        <v>-20</v>
      </c>
      <c r="Q2411" s="901" t="s">
        <v>7405</v>
      </c>
      <c r="R2411" s="903">
        <v>44387</v>
      </c>
      <c r="S2411" s="904">
        <v>44389</v>
      </c>
      <c r="T2411" s="904">
        <v>44407</v>
      </c>
      <c r="U2411" s="893">
        <f t="shared" si="148"/>
        <v>91</v>
      </c>
      <c r="V2411" s="893" t="s">
        <v>53</v>
      </c>
      <c r="W2411" s="1106" t="s">
        <v>7408</v>
      </c>
      <c r="X2411" s="905"/>
      <c r="Y2411" s="905"/>
      <c r="Z2411" s="895"/>
      <c r="AA2411" s="889"/>
      <c r="AB2411" s="892">
        <v>44441</v>
      </c>
      <c r="AC2411" s="476" t="s">
        <v>7341</v>
      </c>
      <c r="AD2411" s="645" t="str">
        <f t="shared" si="149"/>
        <v>en término</v>
      </c>
      <c r="AE2411" s="468" t="s">
        <v>7407</v>
      </c>
      <c r="AF2411" s="468" t="s">
        <v>2949</v>
      </c>
      <c r="AG2411" s="1099">
        <f t="shared" si="143"/>
        <v>44449</v>
      </c>
      <c r="AH2411" s="649">
        <f t="shared" si="144"/>
        <v>-8</v>
      </c>
      <c r="AI2411" s="649" t="str">
        <f t="shared" si="145"/>
        <v>en término</v>
      </c>
    </row>
    <row r="2412" spans="2:35" s="649" customFormat="1" ht="54.95" customHeight="1" thickBot="1" x14ac:dyDescent="0.25">
      <c r="B2412" s="900" t="s">
        <v>36</v>
      </c>
      <c r="C2412" s="887" t="s">
        <v>7534</v>
      </c>
      <c r="D2412" s="888" t="s">
        <v>7050</v>
      </c>
      <c r="E2412" s="901">
        <v>4600611934</v>
      </c>
      <c r="F2412" s="1061" t="s">
        <v>7161</v>
      </c>
      <c r="G2412" s="889" t="s">
        <v>39</v>
      </c>
      <c r="H2412" s="890">
        <v>18486</v>
      </c>
      <c r="I2412" s="902" t="s">
        <v>62</v>
      </c>
      <c r="J2412" s="892">
        <v>44159</v>
      </c>
      <c r="K2412" s="893">
        <f t="shared" si="146"/>
        <v>91</v>
      </c>
      <c r="L2412" s="892">
        <v>44250</v>
      </c>
      <c r="M2412" s="892" t="s">
        <v>41</v>
      </c>
      <c r="N2412" s="889" t="s">
        <v>42</v>
      </c>
      <c r="O2412" s="892">
        <v>44400</v>
      </c>
      <c r="P2412" s="893">
        <f t="shared" si="147"/>
        <v>158</v>
      </c>
      <c r="Q2412" s="901" t="s">
        <v>7429</v>
      </c>
      <c r="R2412" s="903">
        <v>44408</v>
      </c>
      <c r="S2412" s="904">
        <v>44410</v>
      </c>
      <c r="T2412" s="904">
        <v>44428</v>
      </c>
      <c r="U2412" s="893">
        <f t="shared" si="148"/>
        <v>269</v>
      </c>
      <c r="V2412" s="893" t="s">
        <v>7259</v>
      </c>
      <c r="W2412" s="1106" t="s">
        <v>7436</v>
      </c>
      <c r="X2412" s="905"/>
      <c r="Y2412" s="905"/>
      <c r="Z2412" s="895"/>
      <c r="AA2412" s="889"/>
      <c r="AB2412" s="892">
        <v>44441</v>
      </c>
      <c r="AC2412" s="476" t="s">
        <v>7218</v>
      </c>
      <c r="AD2412" s="645" t="str">
        <f t="shared" si="149"/>
        <v>atrasado</v>
      </c>
      <c r="AE2412" s="468" t="s">
        <v>7437</v>
      </c>
      <c r="AF2412" s="468" t="s">
        <v>2949</v>
      </c>
      <c r="AG2412" s="1099">
        <f t="shared" si="143"/>
        <v>44470</v>
      </c>
      <c r="AH2412" s="649">
        <f t="shared" si="144"/>
        <v>-29</v>
      </c>
      <c r="AI2412" s="649" t="str">
        <f t="shared" si="145"/>
        <v>en término</v>
      </c>
    </row>
    <row r="2413" spans="2:35" s="649" customFormat="1" ht="54.95" customHeight="1" thickBot="1" x14ac:dyDescent="0.25">
      <c r="B2413" s="900" t="s">
        <v>36</v>
      </c>
      <c r="C2413" s="887" t="s">
        <v>7534</v>
      </c>
      <c r="D2413" s="888" t="s">
        <v>6441</v>
      </c>
      <c r="E2413" s="901">
        <v>4600557062</v>
      </c>
      <c r="F2413" s="1061" t="s">
        <v>7348</v>
      </c>
      <c r="G2413" s="889" t="s">
        <v>39</v>
      </c>
      <c r="H2413" s="890">
        <v>2424.5</v>
      </c>
      <c r="I2413" s="902" t="s">
        <v>62</v>
      </c>
      <c r="J2413" s="892">
        <v>44329</v>
      </c>
      <c r="K2413" s="893">
        <f t="shared" si="146"/>
        <v>87</v>
      </c>
      <c r="L2413" s="892">
        <v>44416</v>
      </c>
      <c r="M2413" s="892" t="s">
        <v>41</v>
      </c>
      <c r="N2413" s="889" t="s">
        <v>42</v>
      </c>
      <c r="O2413" s="892">
        <v>44400</v>
      </c>
      <c r="P2413" s="893">
        <f t="shared" si="147"/>
        <v>-8</v>
      </c>
      <c r="Q2413" s="901" t="s">
        <v>7429</v>
      </c>
      <c r="R2413" s="903">
        <v>44408</v>
      </c>
      <c r="S2413" s="904">
        <v>44410</v>
      </c>
      <c r="T2413" s="904">
        <v>44428</v>
      </c>
      <c r="U2413" s="893">
        <f t="shared" si="148"/>
        <v>99</v>
      </c>
      <c r="V2413" s="893" t="s">
        <v>1020</v>
      </c>
      <c r="W2413" s="1106" t="s">
        <v>7436</v>
      </c>
      <c r="X2413" s="905"/>
      <c r="Y2413" s="905"/>
      <c r="Z2413" s="895"/>
      <c r="AA2413" s="889"/>
      <c r="AB2413" s="892">
        <v>44441</v>
      </c>
      <c r="AC2413" s="476" t="s">
        <v>7373</v>
      </c>
      <c r="AD2413" s="645" t="str">
        <f t="shared" si="149"/>
        <v>en término</v>
      </c>
      <c r="AE2413" s="468" t="s">
        <v>7437</v>
      </c>
      <c r="AF2413" s="468" t="s">
        <v>2949</v>
      </c>
      <c r="AG2413" s="1099">
        <f t="shared" si="143"/>
        <v>44470</v>
      </c>
      <c r="AH2413" s="649">
        <f t="shared" si="144"/>
        <v>-29</v>
      </c>
      <c r="AI2413" s="649" t="str">
        <f t="shared" si="145"/>
        <v>en término</v>
      </c>
    </row>
    <row r="2414" spans="2:35" s="649" customFormat="1" ht="54.95" customHeight="1" thickBot="1" x14ac:dyDescent="0.25">
      <c r="B2414" s="900" t="s">
        <v>36</v>
      </c>
      <c r="C2414" s="887" t="s">
        <v>7534</v>
      </c>
      <c r="D2414" s="888" t="s">
        <v>6441</v>
      </c>
      <c r="E2414" s="901">
        <v>4600557062</v>
      </c>
      <c r="F2414" s="1061" t="s">
        <v>7356</v>
      </c>
      <c r="G2414" s="889" t="s">
        <v>39</v>
      </c>
      <c r="H2414" s="890">
        <v>4849.0600000000004</v>
      </c>
      <c r="I2414" s="902" t="s">
        <v>62</v>
      </c>
      <c r="J2414" s="892">
        <v>44330</v>
      </c>
      <c r="K2414" s="893">
        <f t="shared" si="146"/>
        <v>81</v>
      </c>
      <c r="L2414" s="892">
        <v>44411</v>
      </c>
      <c r="M2414" s="892" t="s">
        <v>41</v>
      </c>
      <c r="N2414" s="889" t="s">
        <v>42</v>
      </c>
      <c r="O2414" s="892">
        <v>44400</v>
      </c>
      <c r="P2414" s="893">
        <f t="shared" si="147"/>
        <v>-3</v>
      </c>
      <c r="Q2414" s="901" t="s">
        <v>7429</v>
      </c>
      <c r="R2414" s="903">
        <v>44408</v>
      </c>
      <c r="S2414" s="904">
        <v>44410</v>
      </c>
      <c r="T2414" s="904">
        <v>44428</v>
      </c>
      <c r="U2414" s="893">
        <f t="shared" si="148"/>
        <v>98</v>
      </c>
      <c r="V2414" s="893" t="s">
        <v>3161</v>
      </c>
      <c r="W2414" s="1106" t="s">
        <v>7436</v>
      </c>
      <c r="X2414" s="905"/>
      <c r="Y2414" s="905"/>
      <c r="Z2414" s="895"/>
      <c r="AA2414" s="889"/>
      <c r="AB2414" s="892">
        <v>44441</v>
      </c>
      <c r="AC2414" s="476" t="s">
        <v>7374</v>
      </c>
      <c r="AD2414" s="645" t="str">
        <f t="shared" si="149"/>
        <v>en término</v>
      </c>
      <c r="AE2414" s="468" t="s">
        <v>7437</v>
      </c>
      <c r="AF2414" s="468" t="s">
        <v>2949</v>
      </c>
      <c r="AG2414" s="1099">
        <f t="shared" si="143"/>
        <v>44470</v>
      </c>
      <c r="AH2414" s="649">
        <f t="shared" si="144"/>
        <v>-29</v>
      </c>
      <c r="AI2414" s="649" t="str">
        <f t="shared" si="145"/>
        <v>en término</v>
      </c>
    </row>
    <row r="2415" spans="2:35" s="649" customFormat="1" ht="54.95" customHeight="1" thickBot="1" x14ac:dyDescent="0.25">
      <c r="B2415" s="900" t="s">
        <v>36</v>
      </c>
      <c r="C2415" s="887" t="s">
        <v>7534</v>
      </c>
      <c r="D2415" s="888" t="s">
        <v>7050</v>
      </c>
      <c r="E2415" s="901">
        <v>4600611934</v>
      </c>
      <c r="F2415" s="1061" t="s">
        <v>7357</v>
      </c>
      <c r="G2415" s="889" t="s">
        <v>39</v>
      </c>
      <c r="H2415" s="890">
        <v>1845.88</v>
      </c>
      <c r="I2415" s="902" t="s">
        <v>142</v>
      </c>
      <c r="J2415" s="892">
        <v>44330</v>
      </c>
      <c r="K2415" s="893">
        <f t="shared" si="146"/>
        <v>91</v>
      </c>
      <c r="L2415" s="892">
        <v>44421</v>
      </c>
      <c r="M2415" s="892" t="s">
        <v>41</v>
      </c>
      <c r="N2415" s="889" t="s">
        <v>42</v>
      </c>
      <c r="O2415" s="892">
        <v>44400</v>
      </c>
      <c r="P2415" s="893">
        <f t="shared" si="147"/>
        <v>-13</v>
      </c>
      <c r="Q2415" s="901" t="s">
        <v>7429</v>
      </c>
      <c r="R2415" s="903">
        <v>44408</v>
      </c>
      <c r="S2415" s="904">
        <v>44410</v>
      </c>
      <c r="T2415" s="904">
        <v>44428</v>
      </c>
      <c r="U2415" s="893">
        <f t="shared" si="148"/>
        <v>98</v>
      </c>
      <c r="V2415" s="893" t="s">
        <v>7358</v>
      </c>
      <c r="W2415" s="1106" t="s">
        <v>7436</v>
      </c>
      <c r="X2415" s="905"/>
      <c r="Y2415" s="905"/>
      <c r="Z2415" s="895"/>
      <c r="AA2415" s="889"/>
      <c r="AB2415" s="892">
        <v>44441</v>
      </c>
      <c r="AC2415" s="476" t="s">
        <v>7359</v>
      </c>
      <c r="AD2415" s="645" t="str">
        <f t="shared" si="149"/>
        <v>en término</v>
      </c>
      <c r="AE2415" s="468" t="s">
        <v>7437</v>
      </c>
      <c r="AF2415" s="468" t="s">
        <v>2949</v>
      </c>
      <c r="AG2415" s="1099">
        <f t="shared" si="143"/>
        <v>44470</v>
      </c>
      <c r="AH2415" s="649">
        <f t="shared" si="144"/>
        <v>-29</v>
      </c>
      <c r="AI2415" s="649" t="str">
        <f t="shared" si="145"/>
        <v>en término</v>
      </c>
    </row>
    <row r="2416" spans="2:35" s="649" customFormat="1" ht="54.95" customHeight="1" thickBot="1" x14ac:dyDescent="0.25">
      <c r="B2416" s="900" t="s">
        <v>36</v>
      </c>
      <c r="C2416" s="887" t="s">
        <v>7534</v>
      </c>
      <c r="D2416" s="888" t="s">
        <v>7050</v>
      </c>
      <c r="E2416" s="901">
        <v>4600611934</v>
      </c>
      <c r="F2416" s="1061" t="s">
        <v>7360</v>
      </c>
      <c r="G2416" s="889" t="s">
        <v>39</v>
      </c>
      <c r="H2416" s="890">
        <v>608.34</v>
      </c>
      <c r="I2416" s="902" t="s">
        <v>52</v>
      </c>
      <c r="J2416" s="892">
        <v>44330</v>
      </c>
      <c r="K2416" s="893">
        <f t="shared" si="146"/>
        <v>88</v>
      </c>
      <c r="L2416" s="892">
        <v>44418</v>
      </c>
      <c r="M2416" s="892" t="s">
        <v>41</v>
      </c>
      <c r="N2416" s="889" t="s">
        <v>42</v>
      </c>
      <c r="O2416" s="892">
        <v>44400</v>
      </c>
      <c r="P2416" s="893">
        <f t="shared" si="147"/>
        <v>-10</v>
      </c>
      <c r="Q2416" s="901" t="s">
        <v>7429</v>
      </c>
      <c r="R2416" s="903">
        <v>44408</v>
      </c>
      <c r="S2416" s="904">
        <v>44410</v>
      </c>
      <c r="T2416" s="904">
        <v>44428</v>
      </c>
      <c r="U2416" s="893">
        <f t="shared" si="148"/>
        <v>98</v>
      </c>
      <c r="V2416" s="893" t="s">
        <v>7361</v>
      </c>
      <c r="W2416" s="1106" t="s">
        <v>7436</v>
      </c>
      <c r="X2416" s="905"/>
      <c r="Y2416" s="905"/>
      <c r="Z2416" s="895"/>
      <c r="AA2416" s="889"/>
      <c r="AB2416" s="892">
        <v>44441</v>
      </c>
      <c r="AC2416" s="476" t="s">
        <v>7362</v>
      </c>
      <c r="AD2416" s="645" t="str">
        <f t="shared" si="149"/>
        <v>en término</v>
      </c>
      <c r="AE2416" s="468" t="s">
        <v>7437</v>
      </c>
      <c r="AF2416" s="468" t="s">
        <v>2949</v>
      </c>
      <c r="AG2416" s="1099">
        <f t="shared" si="143"/>
        <v>44470</v>
      </c>
      <c r="AH2416" s="649">
        <f t="shared" si="144"/>
        <v>-29</v>
      </c>
      <c r="AI2416" s="649" t="str">
        <f t="shared" si="145"/>
        <v>en término</v>
      </c>
    </row>
    <row r="2417" spans="2:35" s="649" customFormat="1" ht="54.95" customHeight="1" thickBot="1" x14ac:dyDescent="0.25">
      <c r="B2417" s="900" t="s">
        <v>36</v>
      </c>
      <c r="C2417" s="887" t="s">
        <v>7534</v>
      </c>
      <c r="D2417" s="888" t="s">
        <v>6441</v>
      </c>
      <c r="E2417" s="901">
        <v>4600557062</v>
      </c>
      <c r="F2417" s="1061" t="s">
        <v>7368</v>
      </c>
      <c r="G2417" s="889" t="s">
        <v>39</v>
      </c>
      <c r="H2417" s="890">
        <v>3192.6</v>
      </c>
      <c r="I2417" s="902" t="s">
        <v>40</v>
      </c>
      <c r="J2417" s="892">
        <v>44330</v>
      </c>
      <c r="K2417" s="893">
        <f t="shared" si="146"/>
        <v>87</v>
      </c>
      <c r="L2417" s="892">
        <v>44417</v>
      </c>
      <c r="M2417" s="892" t="s">
        <v>41</v>
      </c>
      <c r="N2417" s="889" t="s">
        <v>42</v>
      </c>
      <c r="O2417" s="892">
        <v>44400</v>
      </c>
      <c r="P2417" s="893">
        <f t="shared" si="147"/>
        <v>-9</v>
      </c>
      <c r="Q2417" s="901" t="s">
        <v>7429</v>
      </c>
      <c r="R2417" s="903">
        <v>44408</v>
      </c>
      <c r="S2417" s="904">
        <v>44410</v>
      </c>
      <c r="T2417" s="904">
        <v>44428</v>
      </c>
      <c r="U2417" s="893">
        <f t="shared" si="148"/>
        <v>98</v>
      </c>
      <c r="V2417" s="893" t="s">
        <v>53</v>
      </c>
      <c r="W2417" s="1106" t="s">
        <v>7436</v>
      </c>
      <c r="X2417" s="905"/>
      <c r="Y2417" s="905"/>
      <c r="Z2417" s="895"/>
      <c r="AA2417" s="889"/>
      <c r="AB2417" s="892">
        <v>44441</v>
      </c>
      <c r="AC2417" s="476" t="s">
        <v>7369</v>
      </c>
      <c r="AD2417" s="645" t="str">
        <f t="shared" si="149"/>
        <v>en término</v>
      </c>
      <c r="AE2417" s="468" t="s">
        <v>7437</v>
      </c>
      <c r="AF2417" s="468" t="s">
        <v>2949</v>
      </c>
      <c r="AG2417" s="1099">
        <f t="shared" si="143"/>
        <v>44470</v>
      </c>
      <c r="AH2417" s="649">
        <f t="shared" si="144"/>
        <v>-29</v>
      </c>
      <c r="AI2417" s="649" t="str">
        <f t="shared" si="145"/>
        <v>en término</v>
      </c>
    </row>
    <row r="2418" spans="2:35" s="649" customFormat="1" ht="54.95" customHeight="1" thickBot="1" x14ac:dyDescent="0.25">
      <c r="B2418" s="900" t="s">
        <v>36</v>
      </c>
      <c r="C2418" s="887" t="s">
        <v>7534</v>
      </c>
      <c r="D2418" s="888" t="s">
        <v>6441</v>
      </c>
      <c r="E2418" s="901">
        <v>4600557062</v>
      </c>
      <c r="F2418" s="1061" t="s">
        <v>7370</v>
      </c>
      <c r="G2418" s="889" t="s">
        <v>39</v>
      </c>
      <c r="H2418" s="890">
        <v>1784.21</v>
      </c>
      <c r="I2418" s="902" t="s">
        <v>62</v>
      </c>
      <c r="J2418" s="892">
        <v>44333</v>
      </c>
      <c r="K2418" s="893">
        <f t="shared" si="146"/>
        <v>89</v>
      </c>
      <c r="L2418" s="892">
        <v>44422</v>
      </c>
      <c r="M2418" s="892" t="s">
        <v>41</v>
      </c>
      <c r="N2418" s="889" t="s">
        <v>42</v>
      </c>
      <c r="O2418" s="892">
        <v>44400</v>
      </c>
      <c r="P2418" s="893">
        <f t="shared" si="147"/>
        <v>-14</v>
      </c>
      <c r="Q2418" s="901" t="s">
        <v>7429</v>
      </c>
      <c r="R2418" s="903">
        <v>44408</v>
      </c>
      <c r="S2418" s="904">
        <v>44410</v>
      </c>
      <c r="T2418" s="904">
        <v>44428</v>
      </c>
      <c r="U2418" s="893">
        <f t="shared" si="148"/>
        <v>95</v>
      </c>
      <c r="V2418" s="893" t="s">
        <v>7371</v>
      </c>
      <c r="W2418" s="1106" t="s">
        <v>7436</v>
      </c>
      <c r="X2418" s="905"/>
      <c r="Y2418" s="905"/>
      <c r="Z2418" s="895"/>
      <c r="AA2418" s="889"/>
      <c r="AB2418" s="892">
        <v>44441</v>
      </c>
      <c r="AC2418" s="476" t="s">
        <v>7372</v>
      </c>
      <c r="AD2418" s="645" t="str">
        <f t="shared" si="149"/>
        <v>en término</v>
      </c>
      <c r="AE2418" s="468" t="s">
        <v>7437</v>
      </c>
      <c r="AF2418" s="468" t="s">
        <v>2949</v>
      </c>
      <c r="AG2418" s="1099">
        <f t="shared" si="143"/>
        <v>44470</v>
      </c>
      <c r="AH2418" s="649">
        <f t="shared" si="144"/>
        <v>-29</v>
      </c>
      <c r="AI2418" s="649" t="str">
        <f t="shared" si="145"/>
        <v>en término</v>
      </c>
    </row>
    <row r="2419" spans="2:35" s="649" customFormat="1" ht="54.95" customHeight="1" thickBot="1" x14ac:dyDescent="0.25">
      <c r="B2419" s="900" t="s">
        <v>36</v>
      </c>
      <c r="C2419" s="887" t="s">
        <v>7534</v>
      </c>
      <c r="D2419" s="888" t="s">
        <v>7050</v>
      </c>
      <c r="E2419" s="901">
        <v>4600611934</v>
      </c>
      <c r="F2419" s="1061" t="s">
        <v>7378</v>
      </c>
      <c r="G2419" s="889" t="s">
        <v>39</v>
      </c>
      <c r="H2419" s="890">
        <v>134.80000000000001</v>
      </c>
      <c r="I2419" s="902" t="s">
        <v>142</v>
      </c>
      <c r="J2419" s="892">
        <v>44340</v>
      </c>
      <c r="K2419" s="893">
        <f t="shared" si="146"/>
        <v>89</v>
      </c>
      <c r="L2419" s="892">
        <v>44429</v>
      </c>
      <c r="M2419" s="892" t="s">
        <v>41</v>
      </c>
      <c r="N2419" s="889" t="s">
        <v>42</v>
      </c>
      <c r="O2419" s="892">
        <v>44400</v>
      </c>
      <c r="P2419" s="893">
        <f t="shared" si="147"/>
        <v>-21</v>
      </c>
      <c r="Q2419" s="901" t="s">
        <v>7429</v>
      </c>
      <c r="R2419" s="903">
        <v>44408</v>
      </c>
      <c r="S2419" s="904">
        <v>44410</v>
      </c>
      <c r="T2419" s="904">
        <v>44428</v>
      </c>
      <c r="U2419" s="893">
        <f t="shared" si="148"/>
        <v>88</v>
      </c>
      <c r="V2419" s="893" t="s">
        <v>53</v>
      </c>
      <c r="W2419" s="1106" t="s">
        <v>7436</v>
      </c>
      <c r="X2419" s="905"/>
      <c r="Y2419" s="905"/>
      <c r="Z2419" s="895"/>
      <c r="AA2419" s="889"/>
      <c r="AB2419" s="892">
        <v>44441</v>
      </c>
      <c r="AC2419" s="476" t="s">
        <v>7381</v>
      </c>
      <c r="AD2419" s="645" t="str">
        <f t="shared" si="149"/>
        <v>en término</v>
      </c>
      <c r="AE2419" s="468" t="s">
        <v>7437</v>
      </c>
      <c r="AF2419" s="468" t="s">
        <v>2949</v>
      </c>
      <c r="AG2419" s="1099">
        <f t="shared" si="143"/>
        <v>44470</v>
      </c>
      <c r="AH2419" s="649">
        <f t="shared" si="144"/>
        <v>-29</v>
      </c>
      <c r="AI2419" s="649" t="str">
        <f t="shared" si="145"/>
        <v>en término</v>
      </c>
    </row>
    <row r="2420" spans="2:35" s="649" customFormat="1" ht="54.95" customHeight="1" thickBot="1" x14ac:dyDescent="0.25">
      <c r="B2420" s="900" t="s">
        <v>36</v>
      </c>
      <c r="C2420" s="887" t="s">
        <v>7534</v>
      </c>
      <c r="D2420" s="888" t="s">
        <v>7050</v>
      </c>
      <c r="E2420" s="901">
        <v>4600611934</v>
      </c>
      <c r="F2420" s="1061" t="s">
        <v>7379</v>
      </c>
      <c r="G2420" s="889" t="s">
        <v>39</v>
      </c>
      <c r="H2420" s="890">
        <v>67.400000000000006</v>
      </c>
      <c r="I2420" s="902" t="s">
        <v>142</v>
      </c>
      <c r="J2420" s="892">
        <v>44340</v>
      </c>
      <c r="K2420" s="893">
        <f t="shared" si="146"/>
        <v>89</v>
      </c>
      <c r="L2420" s="892">
        <v>44429</v>
      </c>
      <c r="M2420" s="892" t="s">
        <v>41</v>
      </c>
      <c r="N2420" s="889" t="s">
        <v>42</v>
      </c>
      <c r="O2420" s="892">
        <v>44400</v>
      </c>
      <c r="P2420" s="893">
        <f t="shared" si="147"/>
        <v>-21</v>
      </c>
      <c r="Q2420" s="901" t="s">
        <v>7429</v>
      </c>
      <c r="R2420" s="903">
        <v>44408</v>
      </c>
      <c r="S2420" s="904">
        <v>44410</v>
      </c>
      <c r="T2420" s="904">
        <v>44428</v>
      </c>
      <c r="U2420" s="893">
        <f t="shared" si="148"/>
        <v>88</v>
      </c>
      <c r="V2420" s="893" t="s">
        <v>53</v>
      </c>
      <c r="W2420" s="1106" t="s">
        <v>7436</v>
      </c>
      <c r="X2420" s="905"/>
      <c r="Y2420" s="905"/>
      <c r="Z2420" s="895"/>
      <c r="AA2420" s="889"/>
      <c r="AB2420" s="892">
        <v>44441</v>
      </c>
      <c r="AC2420" s="476" t="s">
        <v>7380</v>
      </c>
      <c r="AD2420" s="645" t="str">
        <f t="shared" si="149"/>
        <v>en término</v>
      </c>
      <c r="AE2420" s="468" t="s">
        <v>7437</v>
      </c>
      <c r="AF2420" s="468" t="s">
        <v>2949</v>
      </c>
      <c r="AG2420" s="1099">
        <f t="shared" si="143"/>
        <v>44470</v>
      </c>
      <c r="AH2420" s="649">
        <f t="shared" si="144"/>
        <v>-29</v>
      </c>
      <c r="AI2420" s="649" t="str">
        <f t="shared" si="145"/>
        <v>en término</v>
      </c>
    </row>
    <row r="2421" spans="2:35" s="649" customFormat="1" ht="54.95" customHeight="1" thickBot="1" x14ac:dyDescent="0.25">
      <c r="B2421" s="900" t="s">
        <v>36</v>
      </c>
      <c r="C2421" s="887" t="s">
        <v>7534</v>
      </c>
      <c r="D2421" s="888" t="s">
        <v>7292</v>
      </c>
      <c r="E2421" s="901" t="s">
        <v>7302</v>
      </c>
      <c r="F2421" s="1061" t="s">
        <v>7293</v>
      </c>
      <c r="G2421" s="889" t="s">
        <v>39</v>
      </c>
      <c r="H2421" s="890">
        <v>10000</v>
      </c>
      <c r="I2421" s="902" t="s">
        <v>62</v>
      </c>
      <c r="J2421" s="892">
        <v>44280</v>
      </c>
      <c r="K2421" s="893">
        <f t="shared" si="146"/>
        <v>109</v>
      </c>
      <c r="L2421" s="892">
        <v>44389</v>
      </c>
      <c r="M2421" s="892" t="s">
        <v>41</v>
      </c>
      <c r="N2421" s="889" t="s">
        <v>42</v>
      </c>
      <c r="O2421" s="892">
        <v>44407</v>
      </c>
      <c r="P2421" s="893">
        <f t="shared" si="147"/>
        <v>26</v>
      </c>
      <c r="Q2421" s="901" t="s">
        <v>7430</v>
      </c>
      <c r="R2421" s="903">
        <v>44415</v>
      </c>
      <c r="S2421" s="904">
        <v>44417</v>
      </c>
      <c r="T2421" s="904">
        <v>44435</v>
      </c>
      <c r="U2421" s="893">
        <f t="shared" si="148"/>
        <v>155</v>
      </c>
      <c r="V2421" s="893" t="s">
        <v>53</v>
      </c>
      <c r="W2421" s="1106" t="s">
        <v>7473</v>
      </c>
      <c r="X2421" s="905"/>
      <c r="Y2421" s="905"/>
      <c r="Z2421" s="895"/>
      <c r="AA2421" s="889"/>
      <c r="AB2421" s="892">
        <v>44481</v>
      </c>
      <c r="AC2421" s="476" t="s">
        <v>7294</v>
      </c>
      <c r="AD2421" s="645" t="str">
        <f t="shared" si="149"/>
        <v>atrasado</v>
      </c>
      <c r="AE2421" s="468" t="s">
        <v>7474</v>
      </c>
      <c r="AF2421" s="468" t="s">
        <v>2957</v>
      </c>
      <c r="AG2421" s="1099">
        <f t="shared" si="143"/>
        <v>44477</v>
      </c>
      <c r="AH2421" s="649">
        <f t="shared" si="144"/>
        <v>4</v>
      </c>
      <c r="AI2421" s="649" t="str">
        <f t="shared" si="145"/>
        <v>atrasado</v>
      </c>
    </row>
    <row r="2422" spans="2:35" s="649" customFormat="1" ht="54.95" customHeight="1" thickBot="1" x14ac:dyDescent="0.25">
      <c r="B2422" s="900" t="s">
        <v>36</v>
      </c>
      <c r="C2422" s="887" t="s">
        <v>7534</v>
      </c>
      <c r="D2422" s="888" t="s">
        <v>6441</v>
      </c>
      <c r="E2422" s="901">
        <v>4600557062</v>
      </c>
      <c r="F2422" s="1061" t="s">
        <v>7346</v>
      </c>
      <c r="G2422" s="889" t="s">
        <v>39</v>
      </c>
      <c r="H2422" s="890">
        <v>27063.15</v>
      </c>
      <c r="I2422" s="902" t="s">
        <v>40</v>
      </c>
      <c r="J2422" s="892">
        <v>44328</v>
      </c>
      <c r="K2422" s="893">
        <f t="shared" si="146"/>
        <v>83</v>
      </c>
      <c r="L2422" s="892">
        <v>44411</v>
      </c>
      <c r="M2422" s="892" t="s">
        <v>41</v>
      </c>
      <c r="N2422" s="889" t="s">
        <v>42</v>
      </c>
      <c r="O2422" s="892">
        <v>44407</v>
      </c>
      <c r="P2422" s="893">
        <f t="shared" si="147"/>
        <v>4</v>
      </c>
      <c r="Q2422" s="901" t="s">
        <v>7430</v>
      </c>
      <c r="R2422" s="903">
        <v>44415</v>
      </c>
      <c r="S2422" s="904">
        <v>44417</v>
      </c>
      <c r="T2422" s="904">
        <v>44435</v>
      </c>
      <c r="U2422" s="893">
        <f t="shared" si="148"/>
        <v>107</v>
      </c>
      <c r="V2422" s="893" t="s">
        <v>1269</v>
      </c>
      <c r="W2422" s="1106" t="s">
        <v>7473</v>
      </c>
      <c r="X2422" s="905"/>
      <c r="Y2422" s="905"/>
      <c r="Z2422" s="895"/>
      <c r="AA2422" s="889"/>
      <c r="AB2422" s="892">
        <v>44481</v>
      </c>
      <c r="AC2422" s="476" t="s">
        <v>7347</v>
      </c>
      <c r="AD2422" s="645" t="str">
        <f t="shared" si="149"/>
        <v>atrasado</v>
      </c>
      <c r="AE2422" s="468" t="s">
        <v>7474</v>
      </c>
      <c r="AF2422" s="468" t="s">
        <v>2957</v>
      </c>
      <c r="AG2422" s="1099">
        <f t="shared" si="143"/>
        <v>44477</v>
      </c>
      <c r="AH2422" s="649">
        <f t="shared" si="144"/>
        <v>4</v>
      </c>
      <c r="AI2422" s="649" t="str">
        <f t="shared" si="145"/>
        <v>atrasado</v>
      </c>
    </row>
    <row r="2423" spans="2:35" s="649" customFormat="1" ht="54.95" customHeight="1" thickBot="1" x14ac:dyDescent="0.25">
      <c r="B2423" s="900" t="s">
        <v>36</v>
      </c>
      <c r="C2423" s="887" t="s">
        <v>7534</v>
      </c>
      <c r="D2423" s="888" t="s">
        <v>6441</v>
      </c>
      <c r="E2423" s="901">
        <v>4600557062</v>
      </c>
      <c r="F2423" s="1061" t="s">
        <v>7350</v>
      </c>
      <c r="G2423" s="889" t="s">
        <v>39</v>
      </c>
      <c r="H2423" s="890">
        <v>19630.55</v>
      </c>
      <c r="I2423" s="902" t="s">
        <v>40</v>
      </c>
      <c r="J2423" s="892">
        <v>44329</v>
      </c>
      <c r="K2423" s="893">
        <f t="shared" si="146"/>
        <v>86</v>
      </c>
      <c r="L2423" s="892">
        <v>44415</v>
      </c>
      <c r="M2423" s="892" t="s">
        <v>41</v>
      </c>
      <c r="N2423" s="889" t="s">
        <v>42</v>
      </c>
      <c r="O2423" s="892">
        <v>44407</v>
      </c>
      <c r="P2423" s="893">
        <f t="shared" si="147"/>
        <v>0</v>
      </c>
      <c r="Q2423" s="901" t="s">
        <v>7430</v>
      </c>
      <c r="R2423" s="903">
        <v>44415</v>
      </c>
      <c r="S2423" s="904">
        <v>44417</v>
      </c>
      <c r="T2423" s="904">
        <v>44435</v>
      </c>
      <c r="U2423" s="893">
        <f t="shared" si="148"/>
        <v>106</v>
      </c>
      <c r="V2423" s="893" t="s">
        <v>7351</v>
      </c>
      <c r="W2423" s="1106" t="s">
        <v>7473</v>
      </c>
      <c r="X2423" s="905"/>
      <c r="Y2423" s="905"/>
      <c r="Z2423" s="895"/>
      <c r="AA2423" s="889"/>
      <c r="AB2423" s="892">
        <v>44481</v>
      </c>
      <c r="AC2423" s="476" t="s">
        <v>7352</v>
      </c>
      <c r="AD2423" s="645" t="str">
        <f t="shared" si="149"/>
        <v>en término</v>
      </c>
      <c r="AE2423" s="468" t="s">
        <v>7474</v>
      </c>
      <c r="AF2423" s="468" t="s">
        <v>2957</v>
      </c>
      <c r="AG2423" s="1099">
        <f t="shared" si="143"/>
        <v>44477</v>
      </c>
      <c r="AH2423" s="649">
        <f t="shared" si="144"/>
        <v>4</v>
      </c>
      <c r="AI2423" s="649" t="str">
        <f t="shared" si="145"/>
        <v>atrasado</v>
      </c>
    </row>
    <row r="2424" spans="2:35" s="649" customFormat="1" ht="54.95" customHeight="1" thickBot="1" x14ac:dyDescent="0.25">
      <c r="B2424" s="900" t="s">
        <v>36</v>
      </c>
      <c r="C2424" s="887" t="s">
        <v>7534</v>
      </c>
      <c r="D2424" s="888" t="s">
        <v>6441</v>
      </c>
      <c r="E2424" s="901">
        <v>4600557062</v>
      </c>
      <c r="F2424" s="1061" t="s">
        <v>7375</v>
      </c>
      <c r="G2424" s="889" t="s">
        <v>39</v>
      </c>
      <c r="H2424" s="890">
        <v>4933.8599999999997</v>
      </c>
      <c r="I2424" s="902" t="s">
        <v>52</v>
      </c>
      <c r="J2424" s="892">
        <v>44334</v>
      </c>
      <c r="K2424" s="893">
        <f t="shared" si="146"/>
        <v>88</v>
      </c>
      <c r="L2424" s="892">
        <v>44422</v>
      </c>
      <c r="M2424" s="892" t="s">
        <v>41</v>
      </c>
      <c r="N2424" s="889" t="s">
        <v>42</v>
      </c>
      <c r="O2424" s="892">
        <v>44407</v>
      </c>
      <c r="P2424" s="893">
        <f t="shared" si="147"/>
        <v>-7</v>
      </c>
      <c r="Q2424" s="901" t="s">
        <v>7430</v>
      </c>
      <c r="R2424" s="903">
        <v>44415</v>
      </c>
      <c r="S2424" s="904">
        <v>44417</v>
      </c>
      <c r="T2424" s="904">
        <v>44435</v>
      </c>
      <c r="U2424" s="893">
        <f t="shared" si="148"/>
        <v>101</v>
      </c>
      <c r="V2424" s="893" t="s">
        <v>2633</v>
      </c>
      <c r="W2424" s="1106" t="s">
        <v>7473</v>
      </c>
      <c r="X2424" s="905"/>
      <c r="Y2424" s="905"/>
      <c r="Z2424" s="895"/>
      <c r="AA2424" s="889"/>
      <c r="AB2424" s="892">
        <v>44481</v>
      </c>
      <c r="AC2424" s="476" t="s">
        <v>7376</v>
      </c>
      <c r="AD2424" s="645" t="str">
        <f t="shared" si="149"/>
        <v>en término</v>
      </c>
      <c r="AE2424" s="468" t="s">
        <v>7474</v>
      </c>
      <c r="AF2424" s="468" t="s">
        <v>2957</v>
      </c>
      <c r="AG2424" s="1099">
        <f t="shared" si="143"/>
        <v>44477</v>
      </c>
      <c r="AH2424" s="649">
        <f t="shared" si="144"/>
        <v>4</v>
      </c>
      <c r="AI2424" s="649" t="str">
        <f t="shared" si="145"/>
        <v>atrasado</v>
      </c>
    </row>
    <row r="2425" spans="2:35" s="649" customFormat="1" ht="54.95" customHeight="1" thickBot="1" x14ac:dyDescent="0.25">
      <c r="B2425" s="900" t="s">
        <v>36</v>
      </c>
      <c r="C2425" s="887" t="s">
        <v>7534</v>
      </c>
      <c r="D2425" s="888" t="s">
        <v>6441</v>
      </c>
      <c r="E2425" s="901">
        <v>4600557062</v>
      </c>
      <c r="F2425" s="1061" t="s">
        <v>7382</v>
      </c>
      <c r="G2425" s="889" t="s">
        <v>39</v>
      </c>
      <c r="H2425" s="890">
        <v>1591.95</v>
      </c>
      <c r="I2425" s="902" t="s">
        <v>40</v>
      </c>
      <c r="J2425" s="892">
        <v>44343</v>
      </c>
      <c r="K2425" s="893">
        <f t="shared" si="146"/>
        <v>86</v>
      </c>
      <c r="L2425" s="892">
        <v>44429</v>
      </c>
      <c r="M2425" s="892" t="s">
        <v>41</v>
      </c>
      <c r="N2425" s="889" t="s">
        <v>42</v>
      </c>
      <c r="O2425" s="892">
        <v>44407</v>
      </c>
      <c r="P2425" s="893">
        <f t="shared" si="147"/>
        <v>-14</v>
      </c>
      <c r="Q2425" s="901" t="s">
        <v>7430</v>
      </c>
      <c r="R2425" s="903">
        <v>44415</v>
      </c>
      <c r="S2425" s="904">
        <v>44417</v>
      </c>
      <c r="T2425" s="904">
        <v>44435</v>
      </c>
      <c r="U2425" s="893">
        <f t="shared" si="148"/>
        <v>92</v>
      </c>
      <c r="V2425" s="893" t="s">
        <v>1020</v>
      </c>
      <c r="W2425" s="1106" t="s">
        <v>7473</v>
      </c>
      <c r="X2425" s="905"/>
      <c r="Y2425" s="905"/>
      <c r="Z2425" s="895"/>
      <c r="AA2425" s="889"/>
      <c r="AB2425" s="892">
        <v>44481</v>
      </c>
      <c r="AC2425" s="476" t="s">
        <v>7386</v>
      </c>
      <c r="AD2425" s="645" t="str">
        <f t="shared" si="149"/>
        <v>en término</v>
      </c>
      <c r="AE2425" s="468" t="s">
        <v>7474</v>
      </c>
      <c r="AF2425" s="468" t="s">
        <v>2957</v>
      </c>
      <c r="AG2425" s="1099">
        <f t="shared" si="143"/>
        <v>44477</v>
      </c>
      <c r="AH2425" s="649">
        <f t="shared" si="144"/>
        <v>4</v>
      </c>
      <c r="AI2425" s="649" t="str">
        <f t="shared" si="145"/>
        <v>atrasado</v>
      </c>
    </row>
    <row r="2426" spans="2:35" s="649" customFormat="1" ht="54.95" customHeight="1" thickBot="1" x14ac:dyDescent="0.25">
      <c r="B2426" s="900" t="s">
        <v>36</v>
      </c>
      <c r="C2426" s="887" t="s">
        <v>7534</v>
      </c>
      <c r="D2426" s="888" t="s">
        <v>7385</v>
      </c>
      <c r="E2426" s="901" t="s">
        <v>7383</v>
      </c>
      <c r="F2426" s="1061" t="s">
        <v>7384</v>
      </c>
      <c r="G2426" s="889" t="s">
        <v>39</v>
      </c>
      <c r="H2426" s="890">
        <v>2183</v>
      </c>
      <c r="I2426" s="902" t="s">
        <v>142</v>
      </c>
      <c r="J2426" s="892">
        <v>44343</v>
      </c>
      <c r="K2426" s="893">
        <f t="shared" si="146"/>
        <v>71</v>
      </c>
      <c r="L2426" s="892">
        <v>44414</v>
      </c>
      <c r="M2426" s="892" t="s">
        <v>41</v>
      </c>
      <c r="N2426" s="889" t="s">
        <v>42</v>
      </c>
      <c r="O2426" s="892">
        <v>44407</v>
      </c>
      <c r="P2426" s="893">
        <f t="shared" si="147"/>
        <v>1</v>
      </c>
      <c r="Q2426" s="901" t="s">
        <v>7430</v>
      </c>
      <c r="R2426" s="903">
        <v>44415</v>
      </c>
      <c r="S2426" s="904">
        <v>44417</v>
      </c>
      <c r="T2426" s="904">
        <v>44435</v>
      </c>
      <c r="U2426" s="893">
        <f t="shared" si="148"/>
        <v>92</v>
      </c>
      <c r="V2426" s="893" t="s">
        <v>1020</v>
      </c>
      <c r="W2426" s="1106" t="s">
        <v>7473</v>
      </c>
      <c r="X2426" s="905"/>
      <c r="Y2426" s="905"/>
      <c r="Z2426" s="895"/>
      <c r="AA2426" s="889"/>
      <c r="AB2426" s="892">
        <v>44481</v>
      </c>
      <c r="AC2426" s="476" t="s">
        <v>7387</v>
      </c>
      <c r="AD2426" s="645" t="str">
        <f t="shared" si="149"/>
        <v>atrasado</v>
      </c>
      <c r="AE2426" s="468" t="s">
        <v>7474</v>
      </c>
      <c r="AF2426" s="468" t="s">
        <v>2957</v>
      </c>
      <c r="AG2426" s="1099">
        <f t="shared" si="143"/>
        <v>44477</v>
      </c>
      <c r="AH2426" s="649">
        <f t="shared" si="144"/>
        <v>4</v>
      </c>
      <c r="AI2426" s="649" t="str">
        <f t="shared" si="145"/>
        <v>atrasado</v>
      </c>
    </row>
    <row r="2427" spans="2:35" s="649" customFormat="1" ht="54.95" customHeight="1" thickBot="1" x14ac:dyDescent="0.25">
      <c r="B2427" s="900" t="s">
        <v>36</v>
      </c>
      <c r="C2427" s="887" t="s">
        <v>7534</v>
      </c>
      <c r="D2427" s="888" t="s">
        <v>6441</v>
      </c>
      <c r="E2427" s="901">
        <v>4600557062</v>
      </c>
      <c r="F2427" s="1061" t="s">
        <v>7349</v>
      </c>
      <c r="G2427" s="889" t="s">
        <v>39</v>
      </c>
      <c r="H2427" s="890">
        <v>3189.42</v>
      </c>
      <c r="I2427" s="902" t="s">
        <v>142</v>
      </c>
      <c r="J2427" s="892">
        <v>44329</v>
      </c>
      <c r="K2427" s="893">
        <f t="shared" si="146"/>
        <v>82</v>
      </c>
      <c r="L2427" s="892">
        <v>44411</v>
      </c>
      <c r="M2427" s="892" t="s">
        <v>41</v>
      </c>
      <c r="N2427" s="889" t="s">
        <v>42</v>
      </c>
      <c r="O2427" s="892">
        <v>44428</v>
      </c>
      <c r="P2427" s="893">
        <f t="shared" si="147"/>
        <v>25</v>
      </c>
      <c r="Q2427" s="901" t="s">
        <v>7458</v>
      </c>
      <c r="R2427" s="903">
        <v>44436</v>
      </c>
      <c r="S2427" s="904">
        <v>44438</v>
      </c>
      <c r="T2427" s="904">
        <v>44456</v>
      </c>
      <c r="U2427" s="893">
        <f t="shared" si="148"/>
        <v>127</v>
      </c>
      <c r="V2427" s="893" t="s">
        <v>1020</v>
      </c>
      <c r="W2427" s="1106" t="s">
        <v>7479</v>
      </c>
      <c r="X2427" s="905"/>
      <c r="Y2427" s="905"/>
      <c r="Z2427" s="895"/>
      <c r="AA2427" s="889"/>
      <c r="AB2427" s="892">
        <v>44510</v>
      </c>
      <c r="AC2427" s="476" t="s">
        <v>7475</v>
      </c>
      <c r="AD2427" s="645" t="str">
        <f t="shared" si="149"/>
        <v>atrasado</v>
      </c>
      <c r="AE2427" s="468" t="s">
        <v>7478</v>
      </c>
      <c r="AF2427" s="468" t="s">
        <v>2957</v>
      </c>
      <c r="AG2427" s="1099">
        <f t="shared" si="143"/>
        <v>44498</v>
      </c>
      <c r="AH2427" s="649">
        <f t="shared" si="144"/>
        <v>12</v>
      </c>
      <c r="AI2427" s="649" t="str">
        <f t="shared" si="145"/>
        <v>atrasado</v>
      </c>
    </row>
    <row r="2428" spans="2:35" s="649" customFormat="1" ht="54.95" customHeight="1" thickBot="1" x14ac:dyDescent="0.25">
      <c r="B2428" s="900" t="s">
        <v>36</v>
      </c>
      <c r="C2428" s="887" t="s">
        <v>7534</v>
      </c>
      <c r="D2428" s="888" t="s">
        <v>6441</v>
      </c>
      <c r="E2428" s="901">
        <v>4600557062</v>
      </c>
      <c r="F2428" s="1061" t="s">
        <v>7353</v>
      </c>
      <c r="G2428" s="889" t="s">
        <v>39</v>
      </c>
      <c r="H2428" s="890">
        <v>19136.52</v>
      </c>
      <c r="I2428" s="902" t="s">
        <v>142</v>
      </c>
      <c r="J2428" s="892">
        <v>44329</v>
      </c>
      <c r="K2428" s="893">
        <f t="shared" si="146"/>
        <v>87</v>
      </c>
      <c r="L2428" s="892">
        <v>44416</v>
      </c>
      <c r="M2428" s="892" t="s">
        <v>41</v>
      </c>
      <c r="N2428" s="889" t="s">
        <v>42</v>
      </c>
      <c r="O2428" s="892">
        <v>44428</v>
      </c>
      <c r="P2428" s="893">
        <f t="shared" si="147"/>
        <v>20</v>
      </c>
      <c r="Q2428" s="901" t="s">
        <v>7458</v>
      </c>
      <c r="R2428" s="903">
        <v>44436</v>
      </c>
      <c r="S2428" s="904">
        <v>44438</v>
      </c>
      <c r="T2428" s="904">
        <v>44456</v>
      </c>
      <c r="U2428" s="893">
        <f t="shared" si="148"/>
        <v>127</v>
      </c>
      <c r="V2428" s="893" t="s">
        <v>7354</v>
      </c>
      <c r="W2428" s="1106" t="s">
        <v>7479</v>
      </c>
      <c r="X2428" s="905"/>
      <c r="Y2428" s="905"/>
      <c r="Z2428" s="895"/>
      <c r="AA2428" s="889"/>
      <c r="AB2428" s="892">
        <v>44510</v>
      </c>
      <c r="AC2428" s="476" t="s">
        <v>7355</v>
      </c>
      <c r="AD2428" s="645" t="str">
        <f t="shared" si="149"/>
        <v>atrasado</v>
      </c>
      <c r="AE2428" s="468" t="s">
        <v>7478</v>
      </c>
      <c r="AF2428" s="468" t="s">
        <v>2957</v>
      </c>
      <c r="AG2428" s="1099">
        <f t="shared" si="143"/>
        <v>44498</v>
      </c>
      <c r="AH2428" s="649">
        <f t="shared" si="144"/>
        <v>12</v>
      </c>
      <c r="AI2428" s="649" t="str">
        <f t="shared" si="145"/>
        <v>atrasado</v>
      </c>
    </row>
    <row r="2429" spans="2:35" s="649" customFormat="1" ht="54.95" customHeight="1" thickBot="1" x14ac:dyDescent="0.25">
      <c r="B2429" s="900" t="s">
        <v>36</v>
      </c>
      <c r="C2429" s="887" t="s">
        <v>7534</v>
      </c>
      <c r="D2429" s="888" t="s">
        <v>6441</v>
      </c>
      <c r="E2429" s="901">
        <v>4600557062</v>
      </c>
      <c r="F2429" s="1061" t="s">
        <v>7363</v>
      </c>
      <c r="G2429" s="889" t="s">
        <v>39</v>
      </c>
      <c r="H2429" s="890">
        <v>11454.92</v>
      </c>
      <c r="I2429" s="902" t="s">
        <v>142</v>
      </c>
      <c r="J2429" s="892">
        <v>44330</v>
      </c>
      <c r="K2429" s="893">
        <f t="shared" si="146"/>
        <v>90</v>
      </c>
      <c r="L2429" s="892">
        <v>44420</v>
      </c>
      <c r="M2429" s="892" t="s">
        <v>41</v>
      </c>
      <c r="N2429" s="889" t="s">
        <v>42</v>
      </c>
      <c r="O2429" s="892">
        <v>44428</v>
      </c>
      <c r="P2429" s="893">
        <f t="shared" si="147"/>
        <v>16</v>
      </c>
      <c r="Q2429" s="901" t="s">
        <v>7458</v>
      </c>
      <c r="R2429" s="903">
        <v>44436</v>
      </c>
      <c r="S2429" s="904">
        <v>44438</v>
      </c>
      <c r="T2429" s="904">
        <v>44456</v>
      </c>
      <c r="U2429" s="893">
        <f t="shared" si="148"/>
        <v>126</v>
      </c>
      <c r="V2429" s="893" t="s">
        <v>7354</v>
      </c>
      <c r="W2429" s="1106" t="s">
        <v>7479</v>
      </c>
      <c r="X2429" s="905"/>
      <c r="Y2429" s="905"/>
      <c r="Z2429" s="895"/>
      <c r="AA2429" s="889"/>
      <c r="AB2429" s="892">
        <v>44510</v>
      </c>
      <c r="AC2429" s="476" t="s">
        <v>7364</v>
      </c>
      <c r="AD2429" s="645" t="str">
        <f t="shared" si="149"/>
        <v>atrasado</v>
      </c>
      <c r="AE2429" s="468" t="s">
        <v>7478</v>
      </c>
      <c r="AF2429" s="468" t="s">
        <v>2957</v>
      </c>
      <c r="AG2429" s="1099">
        <f t="shared" si="143"/>
        <v>44498</v>
      </c>
      <c r="AH2429" s="649">
        <f t="shared" si="144"/>
        <v>12</v>
      </c>
      <c r="AI2429" s="649" t="str">
        <f t="shared" si="145"/>
        <v>atrasado</v>
      </c>
    </row>
    <row r="2430" spans="2:35" s="649" customFormat="1" ht="54.95" customHeight="1" thickBot="1" x14ac:dyDescent="0.25">
      <c r="B2430" s="900" t="s">
        <v>36</v>
      </c>
      <c r="C2430" s="887" t="s">
        <v>7534</v>
      </c>
      <c r="D2430" s="888" t="s">
        <v>6441</v>
      </c>
      <c r="E2430" s="901">
        <v>4600557062</v>
      </c>
      <c r="F2430" s="1061" t="s">
        <v>7365</v>
      </c>
      <c r="G2430" s="889" t="s">
        <v>39</v>
      </c>
      <c r="H2430" s="890">
        <v>15947.1</v>
      </c>
      <c r="I2430" s="902" t="s">
        <v>142</v>
      </c>
      <c r="J2430" s="892">
        <v>44330</v>
      </c>
      <c r="K2430" s="893">
        <f t="shared" si="146"/>
        <v>90</v>
      </c>
      <c r="L2430" s="892">
        <v>44420</v>
      </c>
      <c r="M2430" s="892" t="s">
        <v>41</v>
      </c>
      <c r="N2430" s="889" t="s">
        <v>42</v>
      </c>
      <c r="O2430" s="892">
        <v>44428</v>
      </c>
      <c r="P2430" s="893">
        <f t="shared" si="147"/>
        <v>16</v>
      </c>
      <c r="Q2430" s="901" t="s">
        <v>7458</v>
      </c>
      <c r="R2430" s="903">
        <v>44436</v>
      </c>
      <c r="S2430" s="904">
        <v>44438</v>
      </c>
      <c r="T2430" s="904">
        <v>44456</v>
      </c>
      <c r="U2430" s="893">
        <f t="shared" si="148"/>
        <v>126</v>
      </c>
      <c r="V2430" s="893" t="s">
        <v>7366</v>
      </c>
      <c r="W2430" s="1106" t="s">
        <v>7479</v>
      </c>
      <c r="X2430" s="905"/>
      <c r="Y2430" s="905"/>
      <c r="Z2430" s="895"/>
      <c r="AA2430" s="889"/>
      <c r="AB2430" s="892">
        <v>44510</v>
      </c>
      <c r="AC2430" s="476" t="s">
        <v>7367</v>
      </c>
      <c r="AD2430" s="645" t="str">
        <f t="shared" si="149"/>
        <v>atrasado</v>
      </c>
      <c r="AE2430" s="468" t="s">
        <v>7478</v>
      </c>
      <c r="AF2430" s="468" t="s">
        <v>2957</v>
      </c>
      <c r="AG2430" s="1099">
        <f t="shared" si="143"/>
        <v>44498</v>
      </c>
      <c r="AH2430" s="649">
        <f t="shared" si="144"/>
        <v>12</v>
      </c>
      <c r="AI2430" s="649" t="str">
        <f t="shared" si="145"/>
        <v>atrasado</v>
      </c>
    </row>
    <row r="2431" spans="2:35" s="649" customFormat="1" ht="54.95" customHeight="1" thickBot="1" x14ac:dyDescent="0.25">
      <c r="B2431" s="900" t="s">
        <v>36</v>
      </c>
      <c r="C2431" s="887" t="s">
        <v>37</v>
      </c>
      <c r="D2431" s="888" t="s">
        <v>6441</v>
      </c>
      <c r="E2431" s="901">
        <v>4600557062</v>
      </c>
      <c r="F2431" s="1061" t="s">
        <v>7389</v>
      </c>
      <c r="G2431" s="889" t="s">
        <v>39</v>
      </c>
      <c r="H2431" s="890">
        <v>15476.72</v>
      </c>
      <c r="I2431" s="902" t="s">
        <v>142</v>
      </c>
      <c r="J2431" s="892">
        <v>44350</v>
      </c>
      <c r="K2431" s="893">
        <f t="shared" si="146"/>
        <v>90</v>
      </c>
      <c r="L2431" s="892">
        <v>44440</v>
      </c>
      <c r="M2431" s="892" t="s">
        <v>41</v>
      </c>
      <c r="N2431" s="889" t="s">
        <v>42</v>
      </c>
      <c r="O2431" s="892">
        <v>44435</v>
      </c>
      <c r="P2431" s="893">
        <f t="shared" si="147"/>
        <v>3</v>
      </c>
      <c r="Q2431" s="901" t="s">
        <v>7459</v>
      </c>
      <c r="R2431" s="903">
        <v>44443</v>
      </c>
      <c r="S2431" s="904">
        <v>44445</v>
      </c>
      <c r="T2431" s="904">
        <v>44463</v>
      </c>
      <c r="U2431" s="893">
        <f t="shared" si="148"/>
        <v>113</v>
      </c>
      <c r="V2431" s="893" t="s">
        <v>7394</v>
      </c>
      <c r="W2431" s="1106" t="s">
        <v>7481</v>
      </c>
      <c r="X2431" s="905"/>
      <c r="Y2431" s="905"/>
      <c r="Z2431" s="895"/>
      <c r="AA2431" s="889"/>
      <c r="AB2431" s="892">
        <v>44508</v>
      </c>
      <c r="AC2431" s="476" t="s">
        <v>7391</v>
      </c>
      <c r="AD2431" s="645" t="str">
        <f t="shared" si="149"/>
        <v>atrasado</v>
      </c>
      <c r="AE2431" s="468" t="s">
        <v>7480</v>
      </c>
      <c r="AF2431" s="468" t="s">
        <v>2957</v>
      </c>
      <c r="AG2431" s="1099">
        <f t="shared" si="143"/>
        <v>44505</v>
      </c>
      <c r="AH2431" s="649">
        <f t="shared" si="144"/>
        <v>3</v>
      </c>
      <c r="AI2431" s="649" t="str">
        <f t="shared" si="145"/>
        <v>atrasado</v>
      </c>
    </row>
    <row r="2432" spans="2:35" s="649" customFormat="1" ht="54.95" customHeight="1" thickBot="1" x14ac:dyDescent="0.25">
      <c r="B2432" s="900" t="s">
        <v>36</v>
      </c>
      <c r="C2432" s="887" t="s">
        <v>37</v>
      </c>
      <c r="D2432" s="888" t="s">
        <v>6441</v>
      </c>
      <c r="E2432" s="901">
        <v>4600557062</v>
      </c>
      <c r="F2432" s="1061" t="s">
        <v>7390</v>
      </c>
      <c r="G2432" s="889" t="s">
        <v>39</v>
      </c>
      <c r="H2432" s="890">
        <v>26828.15</v>
      </c>
      <c r="I2432" s="902" t="s">
        <v>40</v>
      </c>
      <c r="J2432" s="892">
        <v>44350</v>
      </c>
      <c r="K2432" s="893">
        <f t="shared" si="146"/>
        <v>90</v>
      </c>
      <c r="L2432" s="892">
        <v>44440</v>
      </c>
      <c r="M2432" s="892" t="s">
        <v>41</v>
      </c>
      <c r="N2432" s="889" t="s">
        <v>42</v>
      </c>
      <c r="O2432" s="892">
        <v>44435</v>
      </c>
      <c r="P2432" s="893">
        <f t="shared" si="147"/>
        <v>3</v>
      </c>
      <c r="Q2432" s="901" t="s">
        <v>7459</v>
      </c>
      <c r="R2432" s="903">
        <v>44443</v>
      </c>
      <c r="S2432" s="904">
        <v>44445</v>
      </c>
      <c r="T2432" s="904">
        <v>44463</v>
      </c>
      <c r="U2432" s="893">
        <f t="shared" si="148"/>
        <v>113</v>
      </c>
      <c r="V2432" s="893" t="s">
        <v>921</v>
      </c>
      <c r="W2432" s="1106" t="s">
        <v>7481</v>
      </c>
      <c r="X2432" s="905"/>
      <c r="Y2432" s="905"/>
      <c r="Z2432" s="895"/>
      <c r="AA2432" s="889"/>
      <c r="AB2432" s="892">
        <v>44508</v>
      </c>
      <c r="AC2432" s="476" t="s">
        <v>7392</v>
      </c>
      <c r="AD2432" s="645" t="str">
        <f t="shared" si="149"/>
        <v>atrasado</v>
      </c>
      <c r="AE2432" s="468" t="s">
        <v>7480</v>
      </c>
      <c r="AF2432" s="468" t="s">
        <v>2957</v>
      </c>
      <c r="AG2432" s="1099">
        <f t="shared" si="143"/>
        <v>44505</v>
      </c>
      <c r="AH2432" s="649">
        <f t="shared" si="144"/>
        <v>3</v>
      </c>
      <c r="AI2432" s="649" t="str">
        <f t="shared" si="145"/>
        <v>atrasado</v>
      </c>
    </row>
    <row r="2433" spans="2:35" s="649" customFormat="1" ht="54.95" customHeight="1" thickBot="1" x14ac:dyDescent="0.25">
      <c r="B2433" s="900" t="s">
        <v>36</v>
      </c>
      <c r="C2433" s="887" t="s">
        <v>7534</v>
      </c>
      <c r="D2433" s="888" t="s">
        <v>7292</v>
      </c>
      <c r="E2433" s="901" t="s">
        <v>7302</v>
      </c>
      <c r="F2433" s="1061" t="s">
        <v>7293</v>
      </c>
      <c r="G2433" s="889" t="s">
        <v>39</v>
      </c>
      <c r="H2433" s="1473" t="s">
        <v>7537</v>
      </c>
      <c r="I2433" s="902" t="s">
        <v>62</v>
      </c>
      <c r="J2433" s="892"/>
      <c r="K2433" s="893">
        <f t="shared" si="146"/>
        <v>0</v>
      </c>
      <c r="L2433" s="892"/>
      <c r="M2433" s="892" t="s">
        <v>41</v>
      </c>
      <c r="N2433" s="889" t="s">
        <v>465</v>
      </c>
      <c r="O2433" s="892">
        <v>44505</v>
      </c>
      <c r="P2433" s="893" t="str">
        <f t="shared" si="147"/>
        <v/>
      </c>
      <c r="Q2433" s="901"/>
      <c r="R2433" s="903"/>
      <c r="S2433" s="904">
        <v>44510</v>
      </c>
      <c r="T2433" s="904">
        <v>44518</v>
      </c>
      <c r="U2433" s="893">
        <f t="shared" si="148"/>
        <v>44518</v>
      </c>
      <c r="V2433" s="893" t="s">
        <v>7538</v>
      </c>
      <c r="W2433" s="1106"/>
      <c r="X2433" s="905"/>
      <c r="Y2433" s="905"/>
      <c r="Z2433" s="895" t="s">
        <v>7542</v>
      </c>
      <c r="AA2433" s="889"/>
      <c r="AB2433" s="892"/>
      <c r="AC2433" s="476" t="s">
        <v>7539</v>
      </c>
      <c r="AD2433" s="645" t="str">
        <f t="shared" si="149"/>
        <v/>
      </c>
      <c r="AE2433" s="468"/>
      <c r="AF2433" s="468"/>
      <c r="AG2433" s="1099">
        <f t="shared" ref="AG2433:AG2450" si="150">+S2433+60</f>
        <v>44570</v>
      </c>
      <c r="AH2433" s="649" t="str">
        <f t="shared" ref="AH2433:AH2450" si="151">IF(AB2433="","",+AB2433-AG2433)</f>
        <v/>
      </c>
      <c r="AI2433" s="649" t="str">
        <f t="shared" ref="AI2433:AI2450" si="152">IF(AH2433="","",IF(AH2433&lt;=0,"en término","atrasado"))</f>
        <v/>
      </c>
    </row>
    <row r="2434" spans="2:35" s="649" customFormat="1" ht="54.95" customHeight="1" thickBot="1" x14ac:dyDescent="0.25">
      <c r="B2434" s="900" t="s">
        <v>36</v>
      </c>
      <c r="C2434" s="887" t="s">
        <v>37</v>
      </c>
      <c r="D2434" s="888" t="s">
        <v>6441</v>
      </c>
      <c r="E2434" s="901">
        <v>4600557062</v>
      </c>
      <c r="F2434" s="1061" t="s">
        <v>7411</v>
      </c>
      <c r="G2434" s="889" t="s">
        <v>39</v>
      </c>
      <c r="H2434" s="1473">
        <v>10865.88</v>
      </c>
      <c r="I2434" s="902" t="s">
        <v>40</v>
      </c>
      <c r="J2434" s="892">
        <v>44383</v>
      </c>
      <c r="K2434" s="893">
        <f t="shared" si="146"/>
        <v>89</v>
      </c>
      <c r="L2434" s="892">
        <v>44472</v>
      </c>
      <c r="M2434" s="892" t="s">
        <v>41</v>
      </c>
      <c r="N2434" s="889" t="s">
        <v>42</v>
      </c>
      <c r="O2434" s="892">
        <v>44453</v>
      </c>
      <c r="P2434" s="893">
        <f t="shared" si="147"/>
        <v>-8</v>
      </c>
      <c r="Q2434" s="901" t="s">
        <v>7483</v>
      </c>
      <c r="R2434" s="903">
        <v>44464</v>
      </c>
      <c r="S2434" s="904">
        <v>44480</v>
      </c>
      <c r="T2434" s="904">
        <v>44519</v>
      </c>
      <c r="U2434" s="893">
        <f t="shared" si="148"/>
        <v>136</v>
      </c>
      <c r="V2434" s="893" t="s">
        <v>378</v>
      </c>
      <c r="W2434" s="1106" t="s">
        <v>7485</v>
      </c>
      <c r="X2434" s="905"/>
      <c r="Y2434" s="905"/>
      <c r="Z2434" s="895"/>
      <c r="AA2434" s="889"/>
      <c r="AB2434" s="892">
        <v>44552</v>
      </c>
      <c r="AC2434" s="476" t="s">
        <v>7525</v>
      </c>
      <c r="AD2434" s="645" t="str">
        <f t="shared" si="149"/>
        <v>en término</v>
      </c>
      <c r="AE2434" s="468" t="s">
        <v>7486</v>
      </c>
      <c r="AF2434" s="468" t="s">
        <v>3056</v>
      </c>
      <c r="AG2434" s="1099">
        <f t="shared" si="150"/>
        <v>44540</v>
      </c>
      <c r="AH2434" s="649">
        <f t="shared" si="151"/>
        <v>12</v>
      </c>
      <c r="AI2434" s="649" t="str">
        <f t="shared" si="152"/>
        <v>atrasado</v>
      </c>
    </row>
    <row r="2435" spans="2:35" s="649" customFormat="1" ht="54.95" customHeight="1" thickBot="1" x14ac:dyDescent="0.25">
      <c r="B2435" s="900" t="s">
        <v>36</v>
      </c>
      <c r="C2435" s="887" t="s">
        <v>37</v>
      </c>
      <c r="D2435" s="888" t="s">
        <v>6441</v>
      </c>
      <c r="E2435" s="901">
        <v>4600557062</v>
      </c>
      <c r="F2435" s="1061" t="s">
        <v>7412</v>
      </c>
      <c r="G2435" s="889" t="s">
        <v>39</v>
      </c>
      <c r="H2435" s="1473">
        <v>22287.3</v>
      </c>
      <c r="I2435" s="902" t="s">
        <v>40</v>
      </c>
      <c r="J2435" s="892">
        <v>44383</v>
      </c>
      <c r="K2435" s="893">
        <f t="shared" si="146"/>
        <v>89</v>
      </c>
      <c r="L2435" s="892">
        <v>44472</v>
      </c>
      <c r="M2435" s="892" t="s">
        <v>41</v>
      </c>
      <c r="N2435" s="889" t="s">
        <v>42</v>
      </c>
      <c r="O2435" s="892">
        <v>44453</v>
      </c>
      <c r="P2435" s="893">
        <f t="shared" si="147"/>
        <v>-8</v>
      </c>
      <c r="Q2435" s="901" t="s">
        <v>7483</v>
      </c>
      <c r="R2435" s="903">
        <v>44464</v>
      </c>
      <c r="S2435" s="904">
        <v>44480</v>
      </c>
      <c r="T2435" s="904">
        <v>44519</v>
      </c>
      <c r="U2435" s="893">
        <f t="shared" si="148"/>
        <v>136</v>
      </c>
      <c r="V2435" s="893" t="s">
        <v>925</v>
      </c>
      <c r="W2435" s="1106" t="s">
        <v>7485</v>
      </c>
      <c r="X2435" s="905"/>
      <c r="Y2435" s="905"/>
      <c r="Z2435" s="895"/>
      <c r="AA2435" s="889"/>
      <c r="AB2435" s="892">
        <v>44552</v>
      </c>
      <c r="AC2435" s="476" t="s">
        <v>7526</v>
      </c>
      <c r="AD2435" s="645" t="str">
        <f t="shared" si="149"/>
        <v>en término</v>
      </c>
      <c r="AE2435" s="468" t="s">
        <v>7486</v>
      </c>
      <c r="AF2435" s="468" t="s">
        <v>3056</v>
      </c>
      <c r="AG2435" s="1099">
        <f t="shared" si="150"/>
        <v>44540</v>
      </c>
      <c r="AH2435" s="649">
        <f t="shared" si="151"/>
        <v>12</v>
      </c>
      <c r="AI2435" s="649" t="str">
        <f t="shared" si="152"/>
        <v>atrasado</v>
      </c>
    </row>
    <row r="2436" spans="2:35" s="649" customFormat="1" ht="54.95" customHeight="1" thickBot="1" x14ac:dyDescent="0.25">
      <c r="B2436" s="900" t="s">
        <v>36</v>
      </c>
      <c r="C2436" s="887" t="s">
        <v>37</v>
      </c>
      <c r="D2436" s="888" t="s">
        <v>6441</v>
      </c>
      <c r="E2436" s="901">
        <v>4600557062</v>
      </c>
      <c r="F2436" s="1061" t="s">
        <v>7419</v>
      </c>
      <c r="G2436" s="889" t="s">
        <v>39</v>
      </c>
      <c r="H2436" s="1473">
        <v>26647.11</v>
      </c>
      <c r="I2436" s="902" t="s">
        <v>40</v>
      </c>
      <c r="J2436" s="892">
        <v>44389</v>
      </c>
      <c r="K2436" s="893">
        <f t="shared" ref="K2436:K2454" si="153">+L2436-J2436</f>
        <v>90</v>
      </c>
      <c r="L2436" s="892">
        <v>44479</v>
      </c>
      <c r="M2436" s="892" t="s">
        <v>41</v>
      </c>
      <c r="N2436" s="889" t="s">
        <v>42</v>
      </c>
      <c r="O2436" s="892">
        <v>44453</v>
      </c>
      <c r="P2436" s="893">
        <f t="shared" ref="P2436:P2454" si="154">IF(R2436="","",+R2436-L2436)</f>
        <v>-15</v>
      </c>
      <c r="Q2436" s="901" t="s">
        <v>7483</v>
      </c>
      <c r="R2436" s="903">
        <v>44464</v>
      </c>
      <c r="S2436" s="904">
        <v>44480</v>
      </c>
      <c r="T2436" s="904">
        <v>44519</v>
      </c>
      <c r="U2436" s="893">
        <f t="shared" ref="U2436:U2454" si="155">IF(T2436="","",+T2436-J2436)</f>
        <v>130</v>
      </c>
      <c r="V2436" s="893" t="s">
        <v>1193</v>
      </c>
      <c r="W2436" s="1106" t="s">
        <v>7485</v>
      </c>
      <c r="X2436" s="905"/>
      <c r="Y2436" s="905"/>
      <c r="Z2436" s="895"/>
      <c r="AA2436" s="889"/>
      <c r="AB2436" s="892">
        <v>44552</v>
      </c>
      <c r="AC2436" s="476" t="s">
        <v>7527</v>
      </c>
      <c r="AD2436" s="645" t="str">
        <f t="shared" ref="AD2436:AD2450" si="156">IF(P2436="","",IF(P2436&lt;=0,"en término","atrasado"))</f>
        <v>en término</v>
      </c>
      <c r="AE2436" s="468" t="s">
        <v>7486</v>
      </c>
      <c r="AF2436" s="468" t="s">
        <v>3056</v>
      </c>
      <c r="AG2436" s="1099">
        <f t="shared" si="150"/>
        <v>44540</v>
      </c>
      <c r="AH2436" s="649">
        <f t="shared" si="151"/>
        <v>12</v>
      </c>
      <c r="AI2436" s="649" t="str">
        <f t="shared" si="152"/>
        <v>atrasado</v>
      </c>
    </row>
    <row r="2437" spans="2:35" s="649" customFormat="1" ht="54.95" customHeight="1" thickBot="1" x14ac:dyDescent="0.25">
      <c r="B2437" s="900" t="s">
        <v>36</v>
      </c>
      <c r="C2437" s="887" t="s">
        <v>37</v>
      </c>
      <c r="D2437" s="888" t="s">
        <v>6441</v>
      </c>
      <c r="E2437" s="901">
        <v>4600557062</v>
      </c>
      <c r="F2437" s="1061" t="s">
        <v>7426</v>
      </c>
      <c r="G2437" s="889" t="s">
        <v>39</v>
      </c>
      <c r="H2437" s="1473">
        <v>15100.4</v>
      </c>
      <c r="I2437" s="902" t="s">
        <v>40</v>
      </c>
      <c r="J2437" s="892">
        <v>44398</v>
      </c>
      <c r="K2437" s="893">
        <f t="shared" si="153"/>
        <v>90</v>
      </c>
      <c r="L2437" s="892">
        <v>44488</v>
      </c>
      <c r="M2437" s="892" t="s">
        <v>41</v>
      </c>
      <c r="N2437" s="889" t="s">
        <v>42</v>
      </c>
      <c r="O2437" s="892">
        <v>44453</v>
      </c>
      <c r="P2437" s="893">
        <f t="shared" si="154"/>
        <v>-24</v>
      </c>
      <c r="Q2437" s="901" t="s">
        <v>7483</v>
      </c>
      <c r="R2437" s="903">
        <v>44464</v>
      </c>
      <c r="S2437" s="904">
        <v>44480</v>
      </c>
      <c r="T2437" s="904">
        <v>44519</v>
      </c>
      <c r="U2437" s="893">
        <f t="shared" si="155"/>
        <v>121</v>
      </c>
      <c r="V2437" s="893" t="s">
        <v>879</v>
      </c>
      <c r="W2437" s="1106" t="s">
        <v>7485</v>
      </c>
      <c r="X2437" s="905"/>
      <c r="Y2437" s="905"/>
      <c r="Z2437" s="895"/>
      <c r="AA2437" s="889"/>
      <c r="AB2437" s="892">
        <v>44552</v>
      </c>
      <c r="AC2437" s="476" t="s">
        <v>7528</v>
      </c>
      <c r="AD2437" s="645" t="str">
        <f t="shared" si="156"/>
        <v>en término</v>
      </c>
      <c r="AE2437" s="468" t="s">
        <v>7486</v>
      </c>
      <c r="AF2437" s="468" t="s">
        <v>3056</v>
      </c>
      <c r="AG2437" s="1099">
        <f t="shared" si="150"/>
        <v>44540</v>
      </c>
      <c r="AH2437" s="649">
        <f t="shared" si="151"/>
        <v>12</v>
      </c>
      <c r="AI2437" s="649" t="str">
        <f t="shared" si="152"/>
        <v>atrasado</v>
      </c>
    </row>
    <row r="2438" spans="2:35" s="649" customFormat="1" ht="54.95" customHeight="1" thickBot="1" x14ac:dyDescent="0.25">
      <c r="B2438" s="900" t="s">
        <v>36</v>
      </c>
      <c r="C2438" s="887" t="s">
        <v>37</v>
      </c>
      <c r="D2438" s="888" t="s">
        <v>6441</v>
      </c>
      <c r="E2438" s="901">
        <v>4600557062</v>
      </c>
      <c r="F2438" s="1061" t="s">
        <v>7434</v>
      </c>
      <c r="G2438" s="889" t="s">
        <v>39</v>
      </c>
      <c r="H2438" s="1473">
        <v>19136.46</v>
      </c>
      <c r="I2438" s="902" t="s">
        <v>142</v>
      </c>
      <c r="J2438" s="892">
        <v>44403</v>
      </c>
      <c r="K2438" s="893">
        <f t="shared" si="153"/>
        <v>90</v>
      </c>
      <c r="L2438" s="892">
        <v>44493</v>
      </c>
      <c r="M2438" s="892" t="s">
        <v>41</v>
      </c>
      <c r="N2438" s="889" t="s">
        <v>42</v>
      </c>
      <c r="O2438" s="892">
        <v>44453</v>
      </c>
      <c r="P2438" s="893">
        <f t="shared" si="154"/>
        <v>-29</v>
      </c>
      <c r="Q2438" s="901" t="s">
        <v>7483</v>
      </c>
      <c r="R2438" s="903">
        <v>44464</v>
      </c>
      <c r="S2438" s="904">
        <v>44480</v>
      </c>
      <c r="T2438" s="904">
        <v>44519</v>
      </c>
      <c r="U2438" s="893">
        <f t="shared" si="155"/>
        <v>116</v>
      </c>
      <c r="V2438" s="893" t="s">
        <v>378</v>
      </c>
      <c r="W2438" s="1106" t="s">
        <v>7485</v>
      </c>
      <c r="X2438" s="905"/>
      <c r="Y2438" s="905"/>
      <c r="Z2438" s="895"/>
      <c r="AA2438" s="889"/>
      <c r="AB2438" s="892">
        <v>44552</v>
      </c>
      <c r="AC2438" s="476" t="s">
        <v>7529</v>
      </c>
      <c r="AD2438" s="645" t="str">
        <f t="shared" si="156"/>
        <v>en término</v>
      </c>
      <c r="AE2438" s="468" t="s">
        <v>7486</v>
      </c>
      <c r="AF2438" s="468" t="s">
        <v>3056</v>
      </c>
      <c r="AG2438" s="1099">
        <f t="shared" si="150"/>
        <v>44540</v>
      </c>
      <c r="AH2438" s="649">
        <f t="shared" si="151"/>
        <v>12</v>
      </c>
      <c r="AI2438" s="649" t="str">
        <f t="shared" si="152"/>
        <v>atrasado</v>
      </c>
    </row>
    <row r="2439" spans="2:35" s="649" customFormat="1" ht="54.95" customHeight="1" thickBot="1" x14ac:dyDescent="0.25">
      <c r="B2439" s="900" t="s">
        <v>36</v>
      </c>
      <c r="C2439" s="887" t="s">
        <v>7534</v>
      </c>
      <c r="D2439" s="888" t="s">
        <v>7449</v>
      </c>
      <c r="E2439" s="901" t="s">
        <v>7451</v>
      </c>
      <c r="F2439" s="1061" t="s">
        <v>7450</v>
      </c>
      <c r="G2439" s="889" t="s">
        <v>39</v>
      </c>
      <c r="H2439" s="890">
        <v>189</v>
      </c>
      <c r="I2439" s="902" t="s">
        <v>40</v>
      </c>
      <c r="J2439" s="892">
        <v>44419</v>
      </c>
      <c r="K2439" s="893">
        <f t="shared" si="153"/>
        <v>90</v>
      </c>
      <c r="L2439" s="892">
        <v>44509</v>
      </c>
      <c r="M2439" s="892" t="s">
        <v>41</v>
      </c>
      <c r="N2439" s="889" t="s">
        <v>42</v>
      </c>
      <c r="O2439" s="892">
        <v>44491</v>
      </c>
      <c r="P2439" s="893">
        <f t="shared" si="154"/>
        <v>-10</v>
      </c>
      <c r="Q2439" s="901" t="s">
        <v>7532</v>
      </c>
      <c r="R2439" s="903">
        <v>44499</v>
      </c>
      <c r="S2439" s="904">
        <v>44507</v>
      </c>
      <c r="T2439" s="904">
        <v>44526</v>
      </c>
      <c r="U2439" s="893">
        <f t="shared" si="155"/>
        <v>107</v>
      </c>
      <c r="V2439" s="893" t="s">
        <v>53</v>
      </c>
      <c r="W2439" s="1490" t="s">
        <v>7533</v>
      </c>
      <c r="X2439" s="905"/>
      <c r="Y2439" s="905"/>
      <c r="Z2439" s="895"/>
      <c r="AA2439" s="889"/>
      <c r="AB2439" s="892">
        <v>44559</v>
      </c>
      <c r="AC2439" s="476" t="s">
        <v>7531</v>
      </c>
      <c r="AD2439" s="645" t="str">
        <f t="shared" si="156"/>
        <v>en término</v>
      </c>
      <c r="AE2439" s="468" t="s">
        <v>7514</v>
      </c>
      <c r="AF2439" s="468" t="s">
        <v>3067</v>
      </c>
      <c r="AG2439" s="1099">
        <f t="shared" si="150"/>
        <v>44567</v>
      </c>
      <c r="AH2439" s="649">
        <f t="shared" si="151"/>
        <v>-8</v>
      </c>
      <c r="AI2439" s="649" t="str">
        <f t="shared" si="152"/>
        <v>en término</v>
      </c>
    </row>
    <row r="2440" spans="2:35" s="649" customFormat="1" ht="54.95" customHeight="1" thickBot="1" x14ac:dyDescent="0.25">
      <c r="B2440" s="900" t="s">
        <v>36</v>
      </c>
      <c r="C2440" s="887" t="s">
        <v>7534</v>
      </c>
      <c r="D2440" s="888" t="s">
        <v>6441</v>
      </c>
      <c r="E2440" s="901">
        <v>4600557062</v>
      </c>
      <c r="F2440" s="1061" t="s">
        <v>7454</v>
      </c>
      <c r="G2440" s="889" t="s">
        <v>39</v>
      </c>
      <c r="H2440" s="890">
        <v>5213.91</v>
      </c>
      <c r="I2440" s="902" t="s">
        <v>40</v>
      </c>
      <c r="J2440" s="892">
        <v>44420</v>
      </c>
      <c r="K2440" s="893">
        <f t="shared" si="153"/>
        <v>90</v>
      </c>
      <c r="L2440" s="892">
        <v>44510</v>
      </c>
      <c r="M2440" s="892" t="s">
        <v>41</v>
      </c>
      <c r="N2440" s="889" t="s">
        <v>42</v>
      </c>
      <c r="O2440" s="892">
        <v>44491</v>
      </c>
      <c r="P2440" s="893">
        <f t="shared" si="154"/>
        <v>-11</v>
      </c>
      <c r="Q2440" s="901" t="s">
        <v>7532</v>
      </c>
      <c r="R2440" s="903">
        <v>44499</v>
      </c>
      <c r="S2440" s="904">
        <v>44507</v>
      </c>
      <c r="T2440" s="904">
        <v>44526</v>
      </c>
      <c r="U2440" s="893">
        <f t="shared" si="155"/>
        <v>106</v>
      </c>
      <c r="V2440" s="893" t="s">
        <v>119</v>
      </c>
      <c r="W2440" s="1490" t="s">
        <v>7533</v>
      </c>
      <c r="X2440" s="905"/>
      <c r="Y2440" s="905"/>
      <c r="Z2440" s="895"/>
      <c r="AA2440" s="889"/>
      <c r="AB2440" s="892">
        <v>44559</v>
      </c>
      <c r="AC2440" s="476" t="s">
        <v>7540</v>
      </c>
      <c r="AD2440" s="645" t="str">
        <f t="shared" si="156"/>
        <v>en término</v>
      </c>
      <c r="AE2440" s="468" t="s">
        <v>7514</v>
      </c>
      <c r="AF2440" s="468" t="s">
        <v>3067</v>
      </c>
      <c r="AG2440" s="1099">
        <f t="shared" si="150"/>
        <v>44567</v>
      </c>
      <c r="AH2440" s="649">
        <f t="shared" si="151"/>
        <v>-8</v>
      </c>
      <c r="AI2440" s="649" t="str">
        <f t="shared" si="152"/>
        <v>en término</v>
      </c>
    </row>
    <row r="2441" spans="2:35" s="649" customFormat="1" ht="54.95" customHeight="1" thickBot="1" x14ac:dyDescent="0.25">
      <c r="B2441" s="900" t="s">
        <v>36</v>
      </c>
      <c r="C2441" s="887" t="s">
        <v>7534</v>
      </c>
      <c r="D2441" s="888" t="s">
        <v>6441</v>
      </c>
      <c r="E2441" s="901">
        <v>4600557062</v>
      </c>
      <c r="F2441" s="1061" t="s">
        <v>7456</v>
      </c>
      <c r="G2441" s="889" t="s">
        <v>39</v>
      </c>
      <c r="H2441" s="890">
        <v>2875.18</v>
      </c>
      <c r="I2441" s="902" t="s">
        <v>142</v>
      </c>
      <c r="J2441" s="892">
        <v>44420</v>
      </c>
      <c r="K2441" s="893">
        <f t="shared" si="153"/>
        <v>90</v>
      </c>
      <c r="L2441" s="892">
        <v>44510</v>
      </c>
      <c r="M2441" s="892" t="s">
        <v>41</v>
      </c>
      <c r="N2441" s="889" t="s">
        <v>42</v>
      </c>
      <c r="O2441" s="892">
        <v>44491</v>
      </c>
      <c r="P2441" s="893">
        <f t="shared" si="154"/>
        <v>-11</v>
      </c>
      <c r="Q2441" s="901" t="s">
        <v>7532</v>
      </c>
      <c r="R2441" s="903">
        <v>44499</v>
      </c>
      <c r="S2441" s="904">
        <v>44507</v>
      </c>
      <c r="T2441" s="904">
        <v>44526</v>
      </c>
      <c r="U2441" s="893">
        <f t="shared" si="155"/>
        <v>106</v>
      </c>
      <c r="V2441" s="893" t="s">
        <v>1988</v>
      </c>
      <c r="W2441" s="1490" t="s">
        <v>7533</v>
      </c>
      <c r="X2441" s="905"/>
      <c r="Y2441" s="905"/>
      <c r="Z2441" s="895"/>
      <c r="AA2441" s="889"/>
      <c r="AB2441" s="892">
        <v>44559</v>
      </c>
      <c r="AC2441" s="476" t="s">
        <v>7541</v>
      </c>
      <c r="AD2441" s="645" t="str">
        <f t="shared" si="156"/>
        <v>en término</v>
      </c>
      <c r="AE2441" s="468" t="s">
        <v>7514</v>
      </c>
      <c r="AF2441" s="468" t="s">
        <v>3067</v>
      </c>
      <c r="AG2441" s="1099">
        <f t="shared" si="150"/>
        <v>44567</v>
      </c>
      <c r="AH2441" s="649">
        <f t="shared" si="151"/>
        <v>-8</v>
      </c>
      <c r="AI2441" s="649" t="str">
        <f t="shared" si="152"/>
        <v>en término</v>
      </c>
    </row>
    <row r="2442" spans="2:35" s="649" customFormat="1" ht="54.95" customHeight="1" thickBot="1" x14ac:dyDescent="0.25">
      <c r="B2442" s="900" t="s">
        <v>36</v>
      </c>
      <c r="C2442" s="887" t="s">
        <v>7534</v>
      </c>
      <c r="D2442" s="888" t="s">
        <v>7441</v>
      </c>
      <c r="E2442" s="901" t="s">
        <v>7442</v>
      </c>
      <c r="F2442" s="1061" t="s">
        <v>7443</v>
      </c>
      <c r="G2442" s="889" t="s">
        <v>39</v>
      </c>
      <c r="H2442" s="890">
        <v>37542</v>
      </c>
      <c r="I2442" s="902" t="s">
        <v>40</v>
      </c>
      <c r="J2442" s="892">
        <v>44414</v>
      </c>
      <c r="K2442" s="893">
        <f t="shared" si="153"/>
        <v>139</v>
      </c>
      <c r="L2442" s="892">
        <v>44553</v>
      </c>
      <c r="M2442" s="892" t="s">
        <v>41</v>
      </c>
      <c r="N2442" s="889" t="s">
        <v>42</v>
      </c>
      <c r="O2442" s="892">
        <v>44505</v>
      </c>
      <c r="P2442" s="893">
        <f t="shared" si="154"/>
        <v>-40</v>
      </c>
      <c r="Q2442" s="901" t="s">
        <v>7544</v>
      </c>
      <c r="R2442" s="903">
        <v>44513</v>
      </c>
      <c r="S2442" s="904">
        <v>44515</v>
      </c>
      <c r="T2442" s="904">
        <v>44533</v>
      </c>
      <c r="U2442" s="893">
        <f t="shared" si="155"/>
        <v>119</v>
      </c>
      <c r="V2442" s="893" t="s">
        <v>758</v>
      </c>
      <c r="W2442" s="1106" t="s">
        <v>7546</v>
      </c>
      <c r="X2442" s="905"/>
      <c r="Y2442" s="905"/>
      <c r="Z2442" s="895"/>
      <c r="AA2442" s="889"/>
      <c r="AB2442" s="892">
        <v>44572</v>
      </c>
      <c r="AC2442" s="476" t="s">
        <v>7452</v>
      </c>
      <c r="AD2442" s="645" t="str">
        <f t="shared" si="156"/>
        <v>en término</v>
      </c>
      <c r="AE2442" s="468" t="s">
        <v>7547</v>
      </c>
      <c r="AF2442" s="468" t="s">
        <v>3074</v>
      </c>
      <c r="AG2442" s="1099">
        <f t="shared" si="150"/>
        <v>44575</v>
      </c>
      <c r="AH2442" s="649">
        <f t="shared" si="151"/>
        <v>-3</v>
      </c>
      <c r="AI2442" s="649" t="str">
        <f t="shared" si="152"/>
        <v>en término</v>
      </c>
    </row>
    <row r="2443" spans="2:35" s="649" customFormat="1" ht="54.95" customHeight="1" thickBot="1" x14ac:dyDescent="0.25">
      <c r="B2443" s="900" t="s">
        <v>36</v>
      </c>
      <c r="C2443" s="887" t="s">
        <v>7534</v>
      </c>
      <c r="D2443" s="888" t="s">
        <v>6441</v>
      </c>
      <c r="E2443" s="901">
        <v>4600557062</v>
      </c>
      <c r="F2443" s="1061" t="s">
        <v>7461</v>
      </c>
      <c r="G2443" s="889" t="s">
        <v>39</v>
      </c>
      <c r="H2443" s="890">
        <v>51626.7</v>
      </c>
      <c r="I2443" s="902" t="s">
        <v>40</v>
      </c>
      <c r="J2443" s="892">
        <v>44426</v>
      </c>
      <c r="K2443" s="893">
        <f t="shared" si="153"/>
        <v>90</v>
      </c>
      <c r="L2443" s="892">
        <v>44516</v>
      </c>
      <c r="M2443" s="892" t="s">
        <v>41</v>
      </c>
      <c r="N2443" s="889" t="s">
        <v>42</v>
      </c>
      <c r="O2443" s="892">
        <v>44505</v>
      </c>
      <c r="P2443" s="893">
        <f t="shared" si="154"/>
        <v>-3</v>
      </c>
      <c r="Q2443" s="901" t="s">
        <v>7544</v>
      </c>
      <c r="R2443" s="903">
        <v>44513</v>
      </c>
      <c r="S2443" s="904">
        <v>44515</v>
      </c>
      <c r="T2443" s="904">
        <v>44533</v>
      </c>
      <c r="U2443" s="893">
        <f t="shared" si="155"/>
        <v>107</v>
      </c>
      <c r="V2443" s="893" t="s">
        <v>7462</v>
      </c>
      <c r="W2443" s="1106" t="s">
        <v>7546</v>
      </c>
      <c r="X2443" s="905"/>
      <c r="Y2443" s="905"/>
      <c r="Z2443" s="895"/>
      <c r="AA2443" s="889"/>
      <c r="AB2443" s="892">
        <v>44572</v>
      </c>
      <c r="AC2443" s="476" t="s">
        <v>7463</v>
      </c>
      <c r="AD2443" s="645" t="str">
        <f t="shared" si="156"/>
        <v>en término</v>
      </c>
      <c r="AE2443" s="468" t="s">
        <v>7547</v>
      </c>
      <c r="AF2443" s="468" t="s">
        <v>3074</v>
      </c>
      <c r="AG2443" s="1099">
        <f t="shared" si="150"/>
        <v>44575</v>
      </c>
      <c r="AH2443" s="649">
        <f t="shared" si="151"/>
        <v>-3</v>
      </c>
      <c r="AI2443" s="649" t="str">
        <f t="shared" si="152"/>
        <v>en término</v>
      </c>
    </row>
    <row r="2444" spans="2:35" s="649" customFormat="1" ht="54.95" customHeight="1" thickBot="1" x14ac:dyDescent="0.25">
      <c r="B2444" s="900" t="s">
        <v>36</v>
      </c>
      <c r="C2444" s="887" t="s">
        <v>7534</v>
      </c>
      <c r="D2444" s="888" t="s">
        <v>6441</v>
      </c>
      <c r="E2444" s="901">
        <v>4600557062</v>
      </c>
      <c r="F2444" s="1061" t="s">
        <v>7464</v>
      </c>
      <c r="G2444" s="889" t="s">
        <v>39</v>
      </c>
      <c r="H2444" s="890">
        <v>18894.310000000001</v>
      </c>
      <c r="I2444" s="902" t="s">
        <v>40</v>
      </c>
      <c r="J2444" s="892">
        <v>44428</v>
      </c>
      <c r="K2444" s="893">
        <f t="shared" si="153"/>
        <v>90</v>
      </c>
      <c r="L2444" s="892">
        <v>44518</v>
      </c>
      <c r="M2444" s="892" t="s">
        <v>41</v>
      </c>
      <c r="N2444" s="889" t="s">
        <v>42</v>
      </c>
      <c r="O2444" s="892">
        <v>44505</v>
      </c>
      <c r="P2444" s="893">
        <f t="shared" si="154"/>
        <v>-5</v>
      </c>
      <c r="Q2444" s="901" t="s">
        <v>7544</v>
      </c>
      <c r="R2444" s="903">
        <v>44513</v>
      </c>
      <c r="S2444" s="904">
        <v>44515</v>
      </c>
      <c r="T2444" s="904">
        <v>44533</v>
      </c>
      <c r="U2444" s="893">
        <f t="shared" si="155"/>
        <v>105</v>
      </c>
      <c r="V2444" s="893" t="s">
        <v>7465</v>
      </c>
      <c r="W2444" s="1106" t="s">
        <v>7546</v>
      </c>
      <c r="X2444" s="905"/>
      <c r="Y2444" s="905"/>
      <c r="Z2444" s="895"/>
      <c r="AA2444" s="889"/>
      <c r="AB2444" s="892">
        <v>44572</v>
      </c>
      <c r="AC2444" s="476" t="s">
        <v>7466</v>
      </c>
      <c r="AD2444" s="645" t="str">
        <f t="shared" si="156"/>
        <v>en término</v>
      </c>
      <c r="AE2444" s="468" t="s">
        <v>7547</v>
      </c>
      <c r="AF2444" s="468" t="s">
        <v>3074</v>
      </c>
      <c r="AG2444" s="1099">
        <f t="shared" si="150"/>
        <v>44575</v>
      </c>
      <c r="AH2444" s="649">
        <f t="shared" si="151"/>
        <v>-3</v>
      </c>
      <c r="AI2444" s="649" t="str">
        <f t="shared" si="152"/>
        <v>en término</v>
      </c>
    </row>
    <row r="2445" spans="2:35" s="649" customFormat="1" ht="54.95" customHeight="1" thickBot="1" x14ac:dyDescent="0.25">
      <c r="B2445" s="900" t="s">
        <v>36</v>
      </c>
      <c r="C2445" s="887" t="s">
        <v>7534</v>
      </c>
      <c r="D2445" s="888" t="s">
        <v>6441</v>
      </c>
      <c r="E2445" s="901">
        <v>4600557062</v>
      </c>
      <c r="F2445" s="1061" t="s">
        <v>7467</v>
      </c>
      <c r="G2445" s="889" t="s">
        <v>39</v>
      </c>
      <c r="H2445" s="890">
        <v>7548.83</v>
      </c>
      <c r="I2445" s="902" t="s">
        <v>62</v>
      </c>
      <c r="J2445" s="892">
        <v>44432</v>
      </c>
      <c r="K2445" s="893">
        <f t="shared" si="153"/>
        <v>90</v>
      </c>
      <c r="L2445" s="892">
        <v>44522</v>
      </c>
      <c r="M2445" s="892" t="s">
        <v>41</v>
      </c>
      <c r="N2445" s="889" t="s">
        <v>42</v>
      </c>
      <c r="O2445" s="892">
        <v>44505</v>
      </c>
      <c r="P2445" s="893">
        <f t="shared" si="154"/>
        <v>-9</v>
      </c>
      <c r="Q2445" s="901" t="s">
        <v>7544</v>
      </c>
      <c r="R2445" s="903">
        <v>44513</v>
      </c>
      <c r="S2445" s="904">
        <v>44515</v>
      </c>
      <c r="T2445" s="904">
        <v>44533</v>
      </c>
      <c r="U2445" s="893">
        <f t="shared" si="155"/>
        <v>101</v>
      </c>
      <c r="V2445" s="893" t="s">
        <v>7472</v>
      </c>
      <c r="W2445" s="1106" t="s">
        <v>7546</v>
      </c>
      <c r="X2445" s="905"/>
      <c r="Y2445" s="905"/>
      <c r="Z2445" s="895"/>
      <c r="AA2445" s="889"/>
      <c r="AB2445" s="892">
        <v>44572</v>
      </c>
      <c r="AC2445" s="476" t="s">
        <v>7469</v>
      </c>
      <c r="AD2445" s="645" t="str">
        <f t="shared" si="156"/>
        <v>en término</v>
      </c>
      <c r="AE2445" s="468" t="s">
        <v>7547</v>
      </c>
      <c r="AF2445" s="468" t="s">
        <v>3074</v>
      </c>
      <c r="AG2445" s="1099">
        <f t="shared" si="150"/>
        <v>44575</v>
      </c>
      <c r="AH2445" s="649">
        <f t="shared" si="151"/>
        <v>-3</v>
      </c>
      <c r="AI2445" s="649" t="str">
        <f t="shared" si="152"/>
        <v>en término</v>
      </c>
    </row>
    <row r="2446" spans="2:35" s="649" customFormat="1" ht="54.95" customHeight="1" thickBot="1" x14ac:dyDescent="0.25">
      <c r="B2446" s="900" t="s">
        <v>36</v>
      </c>
      <c r="C2446" s="887" t="s">
        <v>37</v>
      </c>
      <c r="D2446" s="888" t="s">
        <v>6441</v>
      </c>
      <c r="E2446" s="901">
        <v>4600557062</v>
      </c>
      <c r="F2446" s="1061" t="s">
        <v>7389</v>
      </c>
      <c r="G2446" s="889" t="s">
        <v>39</v>
      </c>
      <c r="H2446" s="890">
        <v>19898.64</v>
      </c>
      <c r="I2446" s="902" t="s">
        <v>142</v>
      </c>
      <c r="J2446" s="892">
        <v>44350</v>
      </c>
      <c r="K2446" s="893">
        <f t="shared" si="153"/>
        <v>90</v>
      </c>
      <c r="L2446" s="892">
        <v>44440</v>
      </c>
      <c r="M2446" s="892" t="s">
        <v>41</v>
      </c>
      <c r="N2446" s="889" t="s">
        <v>42</v>
      </c>
      <c r="O2446" s="892">
        <v>44526</v>
      </c>
      <c r="P2446" s="893">
        <f t="shared" si="154"/>
        <v>94</v>
      </c>
      <c r="Q2446" s="901" t="s">
        <v>7545</v>
      </c>
      <c r="R2446" s="903">
        <v>44534</v>
      </c>
      <c r="S2446" s="904">
        <v>44536</v>
      </c>
      <c r="T2446" s="904">
        <v>44554</v>
      </c>
      <c r="U2446" s="893">
        <f t="shared" si="155"/>
        <v>204</v>
      </c>
      <c r="V2446" s="893" t="s">
        <v>7395</v>
      </c>
      <c r="W2446" s="1106" t="s">
        <v>7570</v>
      </c>
      <c r="X2446" s="905"/>
      <c r="Y2446" s="905"/>
      <c r="Z2446" s="895"/>
      <c r="AA2446" s="889"/>
      <c r="AB2446" s="892">
        <v>44594</v>
      </c>
      <c r="AC2446" s="476" t="s">
        <v>7468</v>
      </c>
      <c r="AD2446" s="645" t="str">
        <f t="shared" si="156"/>
        <v>atrasado</v>
      </c>
      <c r="AE2446" s="468" t="s">
        <v>7571</v>
      </c>
      <c r="AF2446" s="468" t="s">
        <v>3082</v>
      </c>
      <c r="AG2446" s="1099">
        <f t="shared" si="150"/>
        <v>44596</v>
      </c>
      <c r="AH2446" s="649">
        <f t="shared" si="151"/>
        <v>-2</v>
      </c>
      <c r="AI2446" s="649" t="str">
        <f t="shared" si="152"/>
        <v>en término</v>
      </c>
    </row>
    <row r="2447" spans="2:35" s="649" customFormat="1" ht="54.95" customHeight="1" thickBot="1" x14ac:dyDescent="0.25">
      <c r="B2447" s="900" t="s">
        <v>36</v>
      </c>
      <c r="C2447" s="887" t="s">
        <v>7534</v>
      </c>
      <c r="D2447" s="888" t="s">
        <v>6441</v>
      </c>
      <c r="E2447" s="901">
        <v>4600557062</v>
      </c>
      <c r="F2447" s="1061" t="s">
        <v>7470</v>
      </c>
      <c r="G2447" s="889" t="s">
        <v>39</v>
      </c>
      <c r="H2447" s="890">
        <v>17212.32</v>
      </c>
      <c r="I2447" s="902" t="s">
        <v>40</v>
      </c>
      <c r="J2447" s="892">
        <v>44435</v>
      </c>
      <c r="K2447" s="893">
        <f t="shared" si="153"/>
        <v>92</v>
      </c>
      <c r="L2447" s="892">
        <v>44527</v>
      </c>
      <c r="M2447" s="892" t="s">
        <v>41</v>
      </c>
      <c r="N2447" s="889" t="s">
        <v>42</v>
      </c>
      <c r="O2447" s="892">
        <v>44526</v>
      </c>
      <c r="P2447" s="893">
        <f t="shared" si="154"/>
        <v>7</v>
      </c>
      <c r="Q2447" s="901" t="s">
        <v>7545</v>
      </c>
      <c r="R2447" s="903">
        <v>44534</v>
      </c>
      <c r="S2447" s="904">
        <v>44536</v>
      </c>
      <c r="T2447" s="904">
        <v>44554</v>
      </c>
      <c r="U2447" s="893">
        <f t="shared" si="155"/>
        <v>119</v>
      </c>
      <c r="V2447" s="893" t="s">
        <v>70</v>
      </c>
      <c r="W2447" s="1106" t="s">
        <v>7570</v>
      </c>
      <c r="X2447" s="905"/>
      <c r="Y2447" s="905"/>
      <c r="Z2447" s="895"/>
      <c r="AA2447" s="889"/>
      <c r="AB2447" s="892">
        <v>44594</v>
      </c>
      <c r="AC2447" s="476" t="s">
        <v>7471</v>
      </c>
      <c r="AD2447" s="645" t="str">
        <f t="shared" si="156"/>
        <v>atrasado</v>
      </c>
      <c r="AE2447" s="468" t="s">
        <v>7571</v>
      </c>
      <c r="AF2447" s="468" t="s">
        <v>3082</v>
      </c>
      <c r="AG2447" s="1099">
        <f t="shared" si="150"/>
        <v>44596</v>
      </c>
      <c r="AH2447" s="649">
        <f t="shared" si="151"/>
        <v>-2</v>
      </c>
      <c r="AI2447" s="649" t="str">
        <f t="shared" si="152"/>
        <v>en término</v>
      </c>
    </row>
    <row r="2448" spans="2:35" s="649" customFormat="1" ht="54.95" customHeight="1" thickBot="1" x14ac:dyDescent="0.25">
      <c r="B2448" s="900" t="s">
        <v>36</v>
      </c>
      <c r="C2448" s="887" t="s">
        <v>7534</v>
      </c>
      <c r="D2448" s="888" t="s">
        <v>6441</v>
      </c>
      <c r="E2448" s="901">
        <v>4600557062</v>
      </c>
      <c r="F2448" s="1061" t="s">
        <v>7495</v>
      </c>
      <c r="G2448" s="889" t="s">
        <v>39</v>
      </c>
      <c r="H2448" s="890">
        <v>28655.1</v>
      </c>
      <c r="I2448" s="902" t="s">
        <v>40</v>
      </c>
      <c r="J2448" s="892">
        <v>44463</v>
      </c>
      <c r="K2448" s="893">
        <f t="shared" si="153"/>
        <v>94</v>
      </c>
      <c r="L2448" s="892">
        <v>44557</v>
      </c>
      <c r="M2448" s="892" t="s">
        <v>41</v>
      </c>
      <c r="N2448" s="889" t="s">
        <v>42</v>
      </c>
      <c r="O2448" s="892">
        <v>44540</v>
      </c>
      <c r="P2448" s="893">
        <f t="shared" si="154"/>
        <v>11</v>
      </c>
      <c r="Q2448" s="901" t="s">
        <v>7597</v>
      </c>
      <c r="R2448" s="903">
        <v>44568</v>
      </c>
      <c r="S2448" s="904">
        <v>44573</v>
      </c>
      <c r="T2448" s="904">
        <f>+S2448+20</f>
        <v>44593</v>
      </c>
      <c r="U2448" s="893">
        <f t="shared" si="155"/>
        <v>130</v>
      </c>
      <c r="V2448" s="893" t="s">
        <v>7497</v>
      </c>
      <c r="W2448" s="1106" t="s">
        <v>7612</v>
      </c>
      <c r="X2448" s="905"/>
      <c r="Y2448" s="905"/>
      <c r="Z2448" s="895"/>
      <c r="AA2448" s="889"/>
      <c r="AB2448" s="892">
        <v>44628</v>
      </c>
      <c r="AC2448" s="476" t="s">
        <v>7594</v>
      </c>
      <c r="AD2448" s="645" t="str">
        <f t="shared" si="156"/>
        <v>atrasado</v>
      </c>
      <c r="AE2448" s="468" t="s">
        <v>7606</v>
      </c>
      <c r="AF2448" s="468" t="s">
        <v>2968</v>
      </c>
      <c r="AG2448" s="1099">
        <f t="shared" si="150"/>
        <v>44633</v>
      </c>
      <c r="AH2448" s="649">
        <f t="shared" si="151"/>
        <v>-5</v>
      </c>
      <c r="AI2448" s="649" t="str">
        <f t="shared" si="152"/>
        <v>en término</v>
      </c>
    </row>
    <row r="2449" spans="1:39" s="649" customFormat="1" ht="54.95" customHeight="1" thickBot="1" x14ac:dyDescent="0.25">
      <c r="B2449" s="900" t="s">
        <v>36</v>
      </c>
      <c r="C2449" s="887" t="s">
        <v>7534</v>
      </c>
      <c r="D2449" s="888" t="s">
        <v>6441</v>
      </c>
      <c r="E2449" s="901">
        <v>4600557062</v>
      </c>
      <c r="F2449" s="1061" t="s">
        <v>7496</v>
      </c>
      <c r="G2449" s="889" t="s">
        <v>39</v>
      </c>
      <c r="H2449" s="890">
        <v>43027.839999999997</v>
      </c>
      <c r="I2449" s="902" t="s">
        <v>40</v>
      </c>
      <c r="J2449" s="892">
        <v>44463</v>
      </c>
      <c r="K2449" s="893">
        <f t="shared" si="153"/>
        <v>94</v>
      </c>
      <c r="L2449" s="892">
        <v>44557</v>
      </c>
      <c r="M2449" s="892" t="s">
        <v>41</v>
      </c>
      <c r="N2449" s="889" t="s">
        <v>42</v>
      </c>
      <c r="O2449" s="892">
        <v>44540</v>
      </c>
      <c r="P2449" s="893">
        <f t="shared" si="154"/>
        <v>11</v>
      </c>
      <c r="Q2449" s="901" t="s">
        <v>7597</v>
      </c>
      <c r="R2449" s="903">
        <v>44568</v>
      </c>
      <c r="S2449" s="904">
        <v>44573</v>
      </c>
      <c r="T2449" s="904">
        <f>+S2449+20</f>
        <v>44593</v>
      </c>
      <c r="U2449" s="893">
        <f t="shared" si="155"/>
        <v>130</v>
      </c>
      <c r="V2449" s="893" t="s">
        <v>750</v>
      </c>
      <c r="W2449" s="1106" t="s">
        <v>7612</v>
      </c>
      <c r="X2449" s="905"/>
      <c r="Y2449" s="905"/>
      <c r="Z2449" s="895"/>
      <c r="AA2449" s="889"/>
      <c r="AB2449" s="892">
        <v>44628</v>
      </c>
      <c r="AC2449" s="476" t="s">
        <v>7595</v>
      </c>
      <c r="AD2449" s="645" t="str">
        <f t="shared" si="156"/>
        <v>atrasado</v>
      </c>
      <c r="AE2449" s="468" t="s">
        <v>7606</v>
      </c>
      <c r="AF2449" s="468" t="s">
        <v>2968</v>
      </c>
      <c r="AG2449" s="1099">
        <f t="shared" si="150"/>
        <v>44633</v>
      </c>
      <c r="AH2449" s="649">
        <f t="shared" si="151"/>
        <v>-5</v>
      </c>
      <c r="AI2449" s="649" t="str">
        <f t="shared" si="152"/>
        <v>en término</v>
      </c>
    </row>
    <row r="2450" spans="1:39" s="649" customFormat="1" ht="54.95" customHeight="1" thickBot="1" x14ac:dyDescent="0.25">
      <c r="B2450" s="900" t="s">
        <v>36</v>
      </c>
      <c r="C2450" s="887" t="s">
        <v>7534</v>
      </c>
      <c r="D2450" s="888" t="s">
        <v>6441</v>
      </c>
      <c r="E2450" s="901">
        <v>4600557062</v>
      </c>
      <c r="F2450" s="1061" t="s">
        <v>7509</v>
      </c>
      <c r="G2450" s="889" t="s">
        <v>39</v>
      </c>
      <c r="H2450" s="890">
        <v>6618.7</v>
      </c>
      <c r="I2450" s="902" t="s">
        <v>40</v>
      </c>
      <c r="J2450" s="892">
        <v>44488</v>
      </c>
      <c r="K2450" s="893">
        <f t="shared" si="153"/>
        <v>90</v>
      </c>
      <c r="L2450" s="892">
        <v>44578</v>
      </c>
      <c r="M2450" s="892" t="s">
        <v>41</v>
      </c>
      <c r="N2450" s="889" t="s">
        <v>42</v>
      </c>
      <c r="O2450" s="892">
        <v>44540</v>
      </c>
      <c r="P2450" s="893">
        <f t="shared" si="154"/>
        <v>-10</v>
      </c>
      <c r="Q2450" s="901" t="s">
        <v>7597</v>
      </c>
      <c r="R2450" s="903">
        <v>44568</v>
      </c>
      <c r="S2450" s="904">
        <v>44573</v>
      </c>
      <c r="T2450" s="904">
        <f>+S2450+20</f>
        <v>44593</v>
      </c>
      <c r="U2450" s="893">
        <f t="shared" si="155"/>
        <v>105</v>
      </c>
      <c r="V2450" s="893" t="s">
        <v>419</v>
      </c>
      <c r="W2450" s="1106" t="s">
        <v>7612</v>
      </c>
      <c r="X2450" s="905"/>
      <c r="Y2450" s="905"/>
      <c r="Z2450" s="895"/>
      <c r="AA2450" s="889"/>
      <c r="AB2450" s="892">
        <v>44628</v>
      </c>
      <c r="AC2450" s="476" t="s">
        <v>7596</v>
      </c>
      <c r="AD2450" s="645" t="str">
        <f t="shared" si="156"/>
        <v>en término</v>
      </c>
      <c r="AE2450" s="468" t="s">
        <v>7606</v>
      </c>
      <c r="AF2450" s="468" t="s">
        <v>2968</v>
      </c>
      <c r="AG2450" s="1099">
        <f t="shared" si="150"/>
        <v>44633</v>
      </c>
      <c r="AH2450" s="649">
        <f t="shared" si="151"/>
        <v>-5</v>
      </c>
      <c r="AI2450" s="649" t="str">
        <f t="shared" si="152"/>
        <v>en término</v>
      </c>
    </row>
    <row r="2451" spans="1:39" s="638" customFormat="1" ht="54.95" customHeight="1" thickBot="1" x14ac:dyDescent="0.25">
      <c r="B2451" s="1516" t="s">
        <v>36</v>
      </c>
      <c r="C2451" s="1517" t="s">
        <v>7534</v>
      </c>
      <c r="D2451" s="1518" t="s">
        <v>6441</v>
      </c>
      <c r="E2451" s="1519">
        <v>4600557062</v>
      </c>
      <c r="F2451" s="1520" t="s">
        <v>7245</v>
      </c>
      <c r="G2451" s="1521" t="s">
        <v>39</v>
      </c>
      <c r="H2451" s="1522">
        <v>89693.1</v>
      </c>
      <c r="I2451" s="1523" t="s">
        <v>40</v>
      </c>
      <c r="J2451" s="1524">
        <v>44239</v>
      </c>
      <c r="K2451" s="1525">
        <f t="shared" si="153"/>
        <v>84</v>
      </c>
      <c r="L2451" s="1524">
        <v>44323</v>
      </c>
      <c r="M2451" s="1524" t="s">
        <v>41</v>
      </c>
      <c r="N2451" s="1521" t="s">
        <v>42</v>
      </c>
      <c r="O2451" s="1524">
        <v>44400</v>
      </c>
      <c r="P2451" s="1525" t="str">
        <f t="shared" si="154"/>
        <v/>
      </c>
      <c r="Q2451" s="1519"/>
      <c r="R2451" s="1526"/>
      <c r="S2451" s="1527"/>
      <c r="T2451" s="1527"/>
      <c r="U2451" s="1525" t="str">
        <f t="shared" si="155"/>
        <v/>
      </c>
      <c r="V2451" s="1525" t="s">
        <v>7247</v>
      </c>
      <c r="W2451" s="1528"/>
      <c r="X2451" s="1529"/>
      <c r="Y2451" s="1529"/>
      <c r="Z2451" s="1530"/>
      <c r="AA2451" s="1521"/>
      <c r="AB2451" s="1531" t="str">
        <f>IF(S2451="","",IF('o.c.'!$Z$1&lt;(S2451+60),(S2451+60),"VENCIDA"))</f>
        <v/>
      </c>
      <c r="AC2451" s="1532" t="s">
        <v>7421</v>
      </c>
      <c r="AE2451" s="468"/>
      <c r="AF2451" s="468"/>
    </row>
    <row r="2452" spans="1:39" s="638" customFormat="1" ht="54.95" customHeight="1" thickBot="1" x14ac:dyDescent="0.25">
      <c r="B2452" s="1516" t="s">
        <v>36</v>
      </c>
      <c r="C2452" s="1517" t="s">
        <v>7534</v>
      </c>
      <c r="D2452" s="1518" t="s">
        <v>6441</v>
      </c>
      <c r="E2452" s="1519">
        <v>4600557062</v>
      </c>
      <c r="F2452" s="1520" t="s">
        <v>7245</v>
      </c>
      <c r="G2452" s="1521" t="s">
        <v>39</v>
      </c>
      <c r="H2452" s="1522">
        <f>23259+61518.25</f>
        <v>84777.25</v>
      </c>
      <c r="I2452" s="1523" t="s">
        <v>40</v>
      </c>
      <c r="J2452" s="1524">
        <v>44239</v>
      </c>
      <c r="K2452" s="1525">
        <f t="shared" si="153"/>
        <v>84</v>
      </c>
      <c r="L2452" s="1524">
        <v>44323</v>
      </c>
      <c r="M2452" s="1524" t="s">
        <v>41</v>
      </c>
      <c r="N2452" s="1521" t="s">
        <v>42</v>
      </c>
      <c r="O2452" s="1524">
        <v>44428</v>
      </c>
      <c r="P2452" s="1525" t="str">
        <f t="shared" si="154"/>
        <v/>
      </c>
      <c r="Q2452" s="1519"/>
      <c r="R2452" s="1526"/>
      <c r="S2452" s="1527"/>
      <c r="T2452" s="1527"/>
      <c r="U2452" s="1525" t="str">
        <f t="shared" si="155"/>
        <v/>
      </c>
      <c r="V2452" s="1525" t="s">
        <v>7248</v>
      </c>
      <c r="W2452" s="1528"/>
      <c r="X2452" s="1529"/>
      <c r="Y2452" s="1529"/>
      <c r="Z2452" s="1530"/>
      <c r="AA2452" s="1521"/>
      <c r="AB2452" s="1531" t="str">
        <f>IF(S2452="","",IF('o.c.'!$Z$1&lt;(S2452+60),(S2452+60),"VENCIDA"))</f>
        <v/>
      </c>
      <c r="AC2452" s="1532" t="s">
        <v>7422</v>
      </c>
      <c r="AE2452" s="468"/>
      <c r="AF2452" s="468"/>
    </row>
    <row r="2453" spans="1:39" s="638" customFormat="1" ht="54.95" customHeight="1" thickBot="1" x14ac:dyDescent="0.25">
      <c r="B2453" s="1516" t="s">
        <v>36</v>
      </c>
      <c r="C2453" s="1517" t="s">
        <v>7534</v>
      </c>
      <c r="D2453" s="1518" t="s">
        <v>6429</v>
      </c>
      <c r="E2453" s="1519">
        <v>4600558097</v>
      </c>
      <c r="F2453" s="1520" t="s">
        <v>7251</v>
      </c>
      <c r="G2453" s="1521" t="s">
        <v>39</v>
      </c>
      <c r="H2453" s="1522">
        <v>142821</v>
      </c>
      <c r="I2453" s="1523" t="s">
        <v>62</v>
      </c>
      <c r="J2453" s="1524">
        <v>44239</v>
      </c>
      <c r="K2453" s="1525">
        <f t="shared" si="153"/>
        <v>113</v>
      </c>
      <c r="L2453" s="1524">
        <v>44352</v>
      </c>
      <c r="M2453" s="1524" t="s">
        <v>41</v>
      </c>
      <c r="N2453" s="1521" t="s">
        <v>42</v>
      </c>
      <c r="O2453" s="1524">
        <v>44428</v>
      </c>
      <c r="P2453" s="1525" t="str">
        <f t="shared" si="154"/>
        <v/>
      </c>
      <c r="Q2453" s="1519"/>
      <c r="R2453" s="1526"/>
      <c r="S2453" s="1527"/>
      <c r="T2453" s="1527"/>
      <c r="U2453" s="1525" t="str">
        <f t="shared" si="155"/>
        <v/>
      </c>
      <c r="V2453" s="1519" t="s">
        <v>7253</v>
      </c>
      <c r="W2453" s="1533"/>
      <c r="X2453" s="1529"/>
      <c r="Y2453" s="1529"/>
      <c r="Z2453" s="1530"/>
      <c r="AA2453" s="1521"/>
      <c r="AB2453" s="1531" t="str">
        <f>IF(S2453="","",IF('o.c.'!$Z$1&lt;(S2453+90),(S2453+90),"VENCIDA"))</f>
        <v/>
      </c>
      <c r="AC2453" s="1532" t="s">
        <v>7424</v>
      </c>
      <c r="AE2453" s="468"/>
      <c r="AF2453" s="468"/>
    </row>
    <row r="2454" spans="1:39" s="638" customFormat="1" ht="54.95" customHeight="1" thickBot="1" x14ac:dyDescent="0.25">
      <c r="B2454" s="1516" t="s">
        <v>36</v>
      </c>
      <c r="C2454" s="1517" t="s">
        <v>7534</v>
      </c>
      <c r="D2454" s="1518" t="s">
        <v>6429</v>
      </c>
      <c r="E2454" s="1519">
        <v>4600558097</v>
      </c>
      <c r="F2454" s="1520" t="s">
        <v>7254</v>
      </c>
      <c r="G2454" s="1521" t="s">
        <v>39</v>
      </c>
      <c r="H2454" s="1522">
        <v>188233</v>
      </c>
      <c r="I2454" s="1523" t="s">
        <v>62</v>
      </c>
      <c r="J2454" s="1524">
        <v>44239</v>
      </c>
      <c r="K2454" s="1525">
        <f t="shared" si="153"/>
        <v>113</v>
      </c>
      <c r="L2454" s="1524">
        <v>44352</v>
      </c>
      <c r="M2454" s="1524" t="s">
        <v>41</v>
      </c>
      <c r="N2454" s="1521" t="s">
        <v>42</v>
      </c>
      <c r="O2454" s="1524">
        <v>44400</v>
      </c>
      <c r="P2454" s="1525" t="str">
        <f t="shared" si="154"/>
        <v/>
      </c>
      <c r="Q2454" s="1519"/>
      <c r="R2454" s="1526"/>
      <c r="S2454" s="1527"/>
      <c r="T2454" s="1527"/>
      <c r="U2454" s="1525" t="str">
        <f t="shared" si="155"/>
        <v/>
      </c>
      <c r="V2454" s="1519" t="s">
        <v>7256</v>
      </c>
      <c r="W2454" s="1533"/>
      <c r="X2454" s="1529"/>
      <c r="Y2454" s="1529"/>
      <c r="Z2454" s="1530"/>
      <c r="AA2454" s="1521"/>
      <c r="AB2454" s="1531" t="str">
        <f>IF(S2454="","",IF('o.c.'!$Z$1&lt;(S2454+90),(S2454+90),"VENCIDA"))</f>
        <v/>
      </c>
      <c r="AC2454" s="1532" t="s">
        <v>7423</v>
      </c>
      <c r="AE2454" s="468"/>
      <c r="AF2454" s="468"/>
    </row>
    <row r="2455" spans="1:39" s="649" customFormat="1" ht="54.95" customHeight="1" x14ac:dyDescent="0.2">
      <c r="B2455" s="1512"/>
      <c r="C2455" s="1491"/>
      <c r="D2455" s="1492"/>
      <c r="E2455" s="1493"/>
      <c r="F2455" s="982"/>
      <c r="G2455" s="1494"/>
      <c r="H2455" s="1495"/>
      <c r="I2455" s="1496"/>
      <c r="J2455" s="1497"/>
      <c r="K2455" s="1498"/>
      <c r="L2455" s="1497"/>
      <c r="M2455" s="1497"/>
      <c r="N2455" s="1494"/>
      <c r="O2455" s="1497"/>
      <c r="P2455" s="1498"/>
      <c r="Q2455" s="1493"/>
      <c r="R2455" s="1499"/>
      <c r="S2455" s="1500"/>
      <c r="T2455" s="1500"/>
      <c r="U2455" s="1498"/>
      <c r="V2455" s="1498"/>
      <c r="W2455" s="1501"/>
      <c r="X2455" s="1494"/>
      <c r="Y2455" s="1494"/>
      <c r="Z2455" s="1502"/>
      <c r="AA2455" s="1494"/>
      <c r="AB2455" s="1497"/>
      <c r="AC2455" s="1513"/>
      <c r="AD2455" s="645"/>
      <c r="AE2455" s="656"/>
      <c r="AF2455" s="656"/>
      <c r="AG2455" s="1099"/>
    </row>
    <row r="2456" spans="1:39" s="649" customFormat="1" ht="54.95" customHeight="1" thickBot="1" x14ac:dyDescent="0.25">
      <c r="B2456" s="1514"/>
      <c r="C2456" s="1503"/>
      <c r="D2456" s="1504"/>
      <c r="E2456" s="1505"/>
      <c r="F2456" s="1061"/>
      <c r="G2456" s="913"/>
      <c r="H2456" s="1506"/>
      <c r="I2456" s="1507"/>
      <c r="J2456" s="1508"/>
      <c r="K2456" s="1509"/>
      <c r="L2456" s="1508"/>
      <c r="M2456" s="1508"/>
      <c r="N2456" s="913"/>
      <c r="O2456" s="1508"/>
      <c r="P2456" s="1509"/>
      <c r="Q2456" s="1505"/>
      <c r="R2456" s="1510"/>
      <c r="S2456" s="1511"/>
      <c r="T2456" s="1511"/>
      <c r="U2456" s="1509"/>
      <c r="V2456" s="1509"/>
      <c r="W2456" s="1287"/>
      <c r="X2456" s="913"/>
      <c r="Y2456" s="913"/>
      <c r="Z2456" s="908"/>
      <c r="AA2456" s="913"/>
      <c r="AB2456" s="1508"/>
      <c r="AC2456" s="1515"/>
      <c r="AD2456" s="645"/>
      <c r="AE2456" s="656"/>
      <c r="AF2456" s="656"/>
      <c r="AG2456" s="1099"/>
    </row>
    <row r="2457" spans="1:39" s="556" customFormat="1" ht="39.950000000000003" customHeight="1" thickBot="1" x14ac:dyDescent="0.4">
      <c r="A2457" s="554"/>
      <c r="B2457" s="1611">
        <v>2022</v>
      </c>
      <c r="C2457" s="1612"/>
      <c r="D2457" s="1612"/>
      <c r="E2457" s="1612"/>
      <c r="F2457" s="1612"/>
      <c r="G2457" s="1612"/>
      <c r="H2457" s="1612"/>
      <c r="I2457" s="1612"/>
      <c r="J2457" s="1612"/>
      <c r="K2457" s="1612"/>
      <c r="L2457" s="1612"/>
      <c r="M2457" s="1612"/>
      <c r="N2457" s="1612"/>
      <c r="O2457" s="1612"/>
      <c r="P2457" s="1612"/>
      <c r="Q2457" s="1612"/>
      <c r="R2457" s="1612"/>
      <c r="S2457" s="1612"/>
      <c r="T2457" s="1612"/>
      <c r="U2457" s="1612"/>
      <c r="V2457" s="1612"/>
      <c r="W2457" s="1612"/>
      <c r="X2457" s="1612"/>
      <c r="Y2457" s="1612"/>
      <c r="Z2457" s="1612"/>
      <c r="AA2457" s="1612"/>
      <c r="AB2457" s="1612"/>
      <c r="AC2457" s="1613"/>
      <c r="AD2457" s="555"/>
    </row>
    <row r="2458" spans="1:39" s="441" customFormat="1" ht="60" customHeight="1" thickBot="1" x14ac:dyDescent="0.25">
      <c r="A2458" s="438"/>
      <c r="B2458" s="451" t="s">
        <v>130</v>
      </c>
      <c r="C2458" s="451" t="s">
        <v>4</v>
      </c>
      <c r="D2458" s="451" t="s">
        <v>5</v>
      </c>
      <c r="E2458" s="451" t="s">
        <v>6</v>
      </c>
      <c r="F2458" s="451" t="s">
        <v>7</v>
      </c>
      <c r="G2458" s="451" t="s">
        <v>8</v>
      </c>
      <c r="H2458" s="453" t="s">
        <v>9</v>
      </c>
      <c r="I2458" s="453" t="s">
        <v>10</v>
      </c>
      <c r="J2458" s="451" t="s">
        <v>11</v>
      </c>
      <c r="K2458" s="451" t="s">
        <v>12</v>
      </c>
      <c r="L2458" s="451" t="s">
        <v>13</v>
      </c>
      <c r="M2458" s="451" t="s">
        <v>14</v>
      </c>
      <c r="N2458" s="451" t="s">
        <v>15</v>
      </c>
      <c r="O2458" s="452" t="s">
        <v>16</v>
      </c>
      <c r="P2458" s="454" t="s">
        <v>17</v>
      </c>
      <c r="Q2458" s="451" t="s">
        <v>18</v>
      </c>
      <c r="R2458" s="452" t="s">
        <v>19</v>
      </c>
      <c r="S2458" s="451" t="s">
        <v>20</v>
      </c>
      <c r="T2458" s="451" t="s">
        <v>21</v>
      </c>
      <c r="U2458" s="452" t="s">
        <v>22</v>
      </c>
      <c r="V2458" s="451" t="s">
        <v>131</v>
      </c>
      <c r="W2458" s="451" t="s">
        <v>24</v>
      </c>
      <c r="X2458" s="451" t="s">
        <v>132</v>
      </c>
      <c r="Y2458" s="451" t="s">
        <v>26</v>
      </c>
      <c r="Z2458" s="451" t="s">
        <v>27</v>
      </c>
      <c r="AA2458" s="451" t="s">
        <v>28</v>
      </c>
      <c r="AB2458" s="451" t="s">
        <v>29</v>
      </c>
      <c r="AC2458" s="451" t="s">
        <v>30</v>
      </c>
      <c r="AD2458" s="439"/>
      <c r="AE2458" s="440"/>
      <c r="AF2458" s="440" t="s">
        <v>7187</v>
      </c>
      <c r="AG2458" s="440" t="s">
        <v>7188</v>
      </c>
      <c r="AH2458" s="440" t="s">
        <v>7189</v>
      </c>
      <c r="AI2458" s="440" t="s">
        <v>7190</v>
      </c>
      <c r="AJ2458" s="440"/>
      <c r="AK2458" s="440"/>
      <c r="AL2458" s="440"/>
      <c r="AM2458" s="440"/>
    </row>
    <row r="2459" spans="1:39" s="649" customFormat="1" ht="54.95" customHeight="1" thickBot="1" x14ac:dyDescent="0.25">
      <c r="B2459" s="900" t="s">
        <v>36</v>
      </c>
      <c r="C2459" s="887" t="s">
        <v>7534</v>
      </c>
      <c r="D2459" s="888" t="s">
        <v>7515</v>
      </c>
      <c r="E2459" s="901" t="s">
        <v>7516</v>
      </c>
      <c r="F2459" s="1061" t="s">
        <v>7517</v>
      </c>
      <c r="G2459" s="889" t="s">
        <v>39</v>
      </c>
      <c r="H2459" s="890">
        <v>15259</v>
      </c>
      <c r="I2459" s="902" t="s">
        <v>40</v>
      </c>
      <c r="J2459" s="892">
        <v>44494</v>
      </c>
      <c r="K2459" s="893">
        <f t="shared" ref="K2459:K2490" si="157">+L2459-J2459</f>
        <v>120</v>
      </c>
      <c r="L2459" s="892">
        <v>44614</v>
      </c>
      <c r="M2459" s="892" t="s">
        <v>41</v>
      </c>
      <c r="N2459" s="889" t="s">
        <v>42</v>
      </c>
      <c r="O2459" s="892">
        <v>44575</v>
      </c>
      <c r="P2459" s="893">
        <f t="shared" ref="P2459:P2490" si="158">IF(R2459="","",+R2459-L2459)</f>
        <v>-24</v>
      </c>
      <c r="Q2459" s="901" t="s">
        <v>7608</v>
      </c>
      <c r="R2459" s="903">
        <v>44590</v>
      </c>
      <c r="S2459" s="904">
        <v>44592</v>
      </c>
      <c r="T2459" s="904">
        <v>44610</v>
      </c>
      <c r="U2459" s="893">
        <f t="shared" ref="U2459:U2490" si="159">IF(T2459="","",+T2459-J2459)</f>
        <v>116</v>
      </c>
      <c r="V2459" s="893" t="s">
        <v>419</v>
      </c>
      <c r="W2459" s="1106" t="s">
        <v>7619</v>
      </c>
      <c r="X2459" s="905"/>
      <c r="Y2459" s="905"/>
      <c r="Z2459" s="895"/>
      <c r="AA2459" s="889"/>
      <c r="AB2459" s="892">
        <v>44648</v>
      </c>
      <c r="AC2459" s="476" t="s">
        <v>7704</v>
      </c>
      <c r="AD2459" s="645" t="str">
        <f t="shared" ref="AD2459:AD2490" si="160">IF(P2459="","",IF(P2459&lt;=0,"en término","atrasado"))</f>
        <v>en término</v>
      </c>
      <c r="AE2459" s="468" t="s">
        <v>7617</v>
      </c>
      <c r="AF2459" s="468" t="s">
        <v>2968</v>
      </c>
      <c r="AG2459" s="1099">
        <f t="shared" ref="AG2459:AG2490" si="161">+S2459+60</f>
        <v>44652</v>
      </c>
      <c r="AH2459" s="649">
        <f t="shared" ref="AH2459:AH2490" si="162">IF(AB2459="","",+AB2459-AG2459)</f>
        <v>-4</v>
      </c>
      <c r="AI2459" s="649" t="str">
        <f t="shared" ref="AI2459:AI2490" si="163">IF(AH2459="","",IF(AH2459&lt;=0,"en término","atrasado"))</f>
        <v>en término</v>
      </c>
    </row>
    <row r="2460" spans="1:39" s="649" customFormat="1" ht="54.95" customHeight="1" thickBot="1" x14ac:dyDescent="0.25">
      <c r="B2460" s="900" t="s">
        <v>36</v>
      </c>
      <c r="C2460" s="887" t="s">
        <v>7534</v>
      </c>
      <c r="D2460" s="888" t="s">
        <v>7519</v>
      </c>
      <c r="E2460" s="901" t="s">
        <v>7524</v>
      </c>
      <c r="F2460" s="1061" t="s">
        <v>7521</v>
      </c>
      <c r="G2460" s="889" t="s">
        <v>39</v>
      </c>
      <c r="H2460" s="890">
        <v>427</v>
      </c>
      <c r="I2460" s="902" t="s">
        <v>62</v>
      </c>
      <c r="J2460" s="892">
        <v>44498</v>
      </c>
      <c r="K2460" s="893">
        <f t="shared" si="157"/>
        <v>120</v>
      </c>
      <c r="L2460" s="892">
        <v>44618</v>
      </c>
      <c r="M2460" s="892" t="s">
        <v>41</v>
      </c>
      <c r="N2460" s="889" t="s">
        <v>42</v>
      </c>
      <c r="O2460" s="892">
        <v>44575</v>
      </c>
      <c r="P2460" s="893">
        <f t="shared" si="158"/>
        <v>-28</v>
      </c>
      <c r="Q2460" s="901" t="s">
        <v>7608</v>
      </c>
      <c r="R2460" s="903">
        <v>44590</v>
      </c>
      <c r="S2460" s="904">
        <v>44592</v>
      </c>
      <c r="T2460" s="904">
        <v>44610</v>
      </c>
      <c r="U2460" s="893">
        <f t="shared" si="159"/>
        <v>112</v>
      </c>
      <c r="V2460" s="893" t="s">
        <v>53</v>
      </c>
      <c r="W2460" s="1106" t="s">
        <v>7619</v>
      </c>
      <c r="X2460" s="905"/>
      <c r="Y2460" s="905"/>
      <c r="Z2460" s="895"/>
      <c r="AA2460" s="889"/>
      <c r="AB2460" s="892">
        <v>44648</v>
      </c>
      <c r="AC2460" s="476" t="s">
        <v>7703</v>
      </c>
      <c r="AD2460" s="645" t="str">
        <f t="shared" si="160"/>
        <v>en término</v>
      </c>
      <c r="AE2460" s="468" t="s">
        <v>7617</v>
      </c>
      <c r="AF2460" s="468" t="s">
        <v>2968</v>
      </c>
      <c r="AG2460" s="1099">
        <f t="shared" si="161"/>
        <v>44652</v>
      </c>
      <c r="AH2460" s="649">
        <f t="shared" si="162"/>
        <v>-4</v>
      </c>
      <c r="AI2460" s="649" t="str">
        <f t="shared" si="163"/>
        <v>en término</v>
      </c>
    </row>
    <row r="2461" spans="1:39" s="649" customFormat="1" ht="54.95" customHeight="1" thickBot="1" x14ac:dyDescent="0.25">
      <c r="B2461" s="900" t="s">
        <v>36</v>
      </c>
      <c r="C2461" s="887" t="s">
        <v>7534</v>
      </c>
      <c r="D2461" s="888" t="s">
        <v>7520</v>
      </c>
      <c r="E2461" s="901" t="s">
        <v>7523</v>
      </c>
      <c r="F2461" s="1061" t="s">
        <v>7522</v>
      </c>
      <c r="G2461" s="889" t="s">
        <v>39</v>
      </c>
      <c r="H2461" s="890">
        <v>2780</v>
      </c>
      <c r="I2461" s="902" t="s">
        <v>62</v>
      </c>
      <c r="J2461" s="892">
        <v>44498</v>
      </c>
      <c r="K2461" s="893">
        <f t="shared" si="157"/>
        <v>120</v>
      </c>
      <c r="L2461" s="892">
        <v>44618</v>
      </c>
      <c r="M2461" s="892" t="s">
        <v>41</v>
      </c>
      <c r="N2461" s="889" t="s">
        <v>42</v>
      </c>
      <c r="O2461" s="892">
        <v>44575</v>
      </c>
      <c r="P2461" s="893">
        <f t="shared" si="158"/>
        <v>-28</v>
      </c>
      <c r="Q2461" s="901" t="s">
        <v>7608</v>
      </c>
      <c r="R2461" s="903">
        <v>44590</v>
      </c>
      <c r="S2461" s="904">
        <v>44592</v>
      </c>
      <c r="T2461" s="904">
        <v>44610</v>
      </c>
      <c r="U2461" s="893">
        <f t="shared" si="159"/>
        <v>112</v>
      </c>
      <c r="V2461" s="893" t="s">
        <v>53</v>
      </c>
      <c r="W2461" s="1106" t="s">
        <v>7619</v>
      </c>
      <c r="X2461" s="905"/>
      <c r="Y2461" s="905"/>
      <c r="Z2461" s="895"/>
      <c r="AA2461" s="889"/>
      <c r="AB2461" s="892">
        <v>44648</v>
      </c>
      <c r="AC2461" s="476" t="s">
        <v>7702</v>
      </c>
      <c r="AD2461" s="645" t="str">
        <f t="shared" si="160"/>
        <v>en término</v>
      </c>
      <c r="AE2461" s="468" t="s">
        <v>7617</v>
      </c>
      <c r="AF2461" s="468" t="s">
        <v>2968</v>
      </c>
      <c r="AG2461" s="1099">
        <f t="shared" si="161"/>
        <v>44652</v>
      </c>
      <c r="AH2461" s="649">
        <f t="shared" si="162"/>
        <v>-4</v>
      </c>
      <c r="AI2461" s="649" t="str">
        <f t="shared" si="163"/>
        <v>en término</v>
      </c>
    </row>
    <row r="2462" spans="1:39" s="649" customFormat="1" ht="54.95" customHeight="1" thickBot="1" x14ac:dyDescent="0.25">
      <c r="B2462" s="900" t="s">
        <v>36</v>
      </c>
      <c r="C2462" s="887" t="s">
        <v>7534</v>
      </c>
      <c r="D2462" s="888" t="s">
        <v>6441</v>
      </c>
      <c r="E2462" s="901">
        <v>4600557062</v>
      </c>
      <c r="F2462" s="1061" t="s">
        <v>7550</v>
      </c>
      <c r="G2462" s="889" t="s">
        <v>39</v>
      </c>
      <c r="H2462" s="890">
        <v>93740.11</v>
      </c>
      <c r="I2462" s="902" t="s">
        <v>40</v>
      </c>
      <c r="J2462" s="892">
        <v>44517</v>
      </c>
      <c r="K2462" s="893">
        <f t="shared" si="157"/>
        <v>83</v>
      </c>
      <c r="L2462" s="892">
        <v>44600</v>
      </c>
      <c r="M2462" s="892" t="s">
        <v>41</v>
      </c>
      <c r="N2462" s="889" t="s">
        <v>42</v>
      </c>
      <c r="O2462" s="892">
        <v>44582</v>
      </c>
      <c r="P2462" s="893">
        <f t="shared" si="158"/>
        <v>-10</v>
      </c>
      <c r="Q2462" s="901" t="s">
        <v>7608</v>
      </c>
      <c r="R2462" s="903">
        <v>44590</v>
      </c>
      <c r="S2462" s="904">
        <v>44592</v>
      </c>
      <c r="T2462" s="904">
        <v>44610</v>
      </c>
      <c r="U2462" s="893">
        <f t="shared" si="159"/>
        <v>93</v>
      </c>
      <c r="V2462" s="893" t="s">
        <v>7555</v>
      </c>
      <c r="W2462" s="1106" t="s">
        <v>7618</v>
      </c>
      <c r="X2462" s="905"/>
      <c r="Y2462" s="905"/>
      <c r="Z2462" s="895"/>
      <c r="AA2462" s="889"/>
      <c r="AB2462" s="892">
        <v>44648</v>
      </c>
      <c r="AC2462" s="476" t="s">
        <v>7701</v>
      </c>
      <c r="AD2462" s="645" t="str">
        <f t="shared" si="160"/>
        <v>en término</v>
      </c>
      <c r="AE2462" s="468" t="s">
        <v>7617</v>
      </c>
      <c r="AF2462" s="468" t="s">
        <v>2968</v>
      </c>
      <c r="AG2462" s="1099">
        <f t="shared" si="161"/>
        <v>44652</v>
      </c>
      <c r="AH2462" s="649">
        <f t="shared" si="162"/>
        <v>-4</v>
      </c>
      <c r="AI2462" s="649" t="str">
        <f t="shared" si="163"/>
        <v>en término</v>
      </c>
    </row>
    <row r="2463" spans="1:39" s="649" customFormat="1" ht="54.95" customHeight="1" thickBot="1" x14ac:dyDescent="0.25">
      <c r="B2463" s="900" t="s">
        <v>36</v>
      </c>
      <c r="C2463" s="887" t="s">
        <v>7534</v>
      </c>
      <c r="D2463" s="888" t="s">
        <v>6441</v>
      </c>
      <c r="E2463" s="901">
        <v>4600557062</v>
      </c>
      <c r="F2463" s="1061" t="s">
        <v>7551</v>
      </c>
      <c r="G2463" s="889" t="s">
        <v>39</v>
      </c>
      <c r="H2463" s="890">
        <v>17593.240000000002</v>
      </c>
      <c r="I2463" s="902" t="s">
        <v>52</v>
      </c>
      <c r="J2463" s="892">
        <v>44517</v>
      </c>
      <c r="K2463" s="893">
        <f t="shared" si="157"/>
        <v>91</v>
      </c>
      <c r="L2463" s="892">
        <v>44608</v>
      </c>
      <c r="M2463" s="892" t="s">
        <v>41</v>
      </c>
      <c r="N2463" s="889" t="s">
        <v>42</v>
      </c>
      <c r="O2463" s="892">
        <v>44575</v>
      </c>
      <c r="P2463" s="893">
        <f t="shared" si="158"/>
        <v>-18</v>
      </c>
      <c r="Q2463" s="901" t="s">
        <v>7608</v>
      </c>
      <c r="R2463" s="903">
        <v>44590</v>
      </c>
      <c r="S2463" s="904">
        <v>44592</v>
      </c>
      <c r="T2463" s="904">
        <v>44610</v>
      </c>
      <c r="U2463" s="893">
        <f t="shared" si="159"/>
        <v>93</v>
      </c>
      <c r="V2463" s="893" t="s">
        <v>925</v>
      </c>
      <c r="W2463" s="1106" t="s">
        <v>7619</v>
      </c>
      <c r="X2463" s="905"/>
      <c r="Y2463" s="905"/>
      <c r="Z2463" s="895"/>
      <c r="AA2463" s="889"/>
      <c r="AB2463" s="892">
        <v>44648</v>
      </c>
      <c r="AC2463" s="476" t="s">
        <v>7700</v>
      </c>
      <c r="AD2463" s="645" t="str">
        <f t="shared" si="160"/>
        <v>en término</v>
      </c>
      <c r="AE2463" s="468" t="s">
        <v>7617</v>
      </c>
      <c r="AF2463" s="468" t="s">
        <v>2968</v>
      </c>
      <c r="AG2463" s="1099">
        <f t="shared" si="161"/>
        <v>44652</v>
      </c>
      <c r="AH2463" s="649">
        <f t="shared" si="162"/>
        <v>-4</v>
      </c>
      <c r="AI2463" s="649" t="str">
        <f t="shared" si="163"/>
        <v>en término</v>
      </c>
    </row>
    <row r="2464" spans="1:39" s="649" customFormat="1" ht="54.95" customHeight="1" thickBot="1" x14ac:dyDescent="0.25">
      <c r="B2464" s="900" t="s">
        <v>36</v>
      </c>
      <c r="C2464" s="887" t="s">
        <v>7534</v>
      </c>
      <c r="D2464" s="888" t="s">
        <v>6441</v>
      </c>
      <c r="E2464" s="901">
        <v>4600557062</v>
      </c>
      <c r="F2464" s="1061" t="s">
        <v>7552</v>
      </c>
      <c r="G2464" s="889" t="s">
        <v>39</v>
      </c>
      <c r="H2464" s="890">
        <v>25264.18</v>
      </c>
      <c r="I2464" s="902" t="s">
        <v>142</v>
      </c>
      <c r="J2464" s="892">
        <v>44517</v>
      </c>
      <c r="K2464" s="893">
        <f t="shared" si="157"/>
        <v>91</v>
      </c>
      <c r="L2464" s="892">
        <v>44608</v>
      </c>
      <c r="M2464" s="892" t="s">
        <v>41</v>
      </c>
      <c r="N2464" s="889" t="s">
        <v>42</v>
      </c>
      <c r="O2464" s="892">
        <v>44575</v>
      </c>
      <c r="P2464" s="893">
        <f t="shared" si="158"/>
        <v>-18</v>
      </c>
      <c r="Q2464" s="901" t="s">
        <v>7608</v>
      </c>
      <c r="R2464" s="903">
        <v>44590</v>
      </c>
      <c r="S2464" s="904">
        <v>44592</v>
      </c>
      <c r="T2464" s="904">
        <v>44610</v>
      </c>
      <c r="U2464" s="893">
        <f t="shared" si="159"/>
        <v>93</v>
      </c>
      <c r="V2464" s="893" t="s">
        <v>965</v>
      </c>
      <c r="W2464" s="1106" t="s">
        <v>7619</v>
      </c>
      <c r="X2464" s="905"/>
      <c r="Y2464" s="905"/>
      <c r="Z2464" s="895"/>
      <c r="AA2464" s="889"/>
      <c r="AB2464" s="892">
        <v>44648</v>
      </c>
      <c r="AC2464" s="476" t="s">
        <v>7699</v>
      </c>
      <c r="AD2464" s="645" t="str">
        <f t="shared" si="160"/>
        <v>en término</v>
      </c>
      <c r="AE2464" s="468" t="s">
        <v>7617</v>
      </c>
      <c r="AF2464" s="468" t="s">
        <v>2968</v>
      </c>
      <c r="AG2464" s="1099">
        <f t="shared" si="161"/>
        <v>44652</v>
      </c>
      <c r="AH2464" s="649">
        <f t="shared" si="162"/>
        <v>-4</v>
      </c>
      <c r="AI2464" s="649" t="str">
        <f t="shared" si="163"/>
        <v>en término</v>
      </c>
    </row>
    <row r="2465" spans="2:35" s="649" customFormat="1" ht="54.95" customHeight="1" thickBot="1" x14ac:dyDescent="0.25">
      <c r="B2465" s="900" t="s">
        <v>36</v>
      </c>
      <c r="C2465" s="887" t="s">
        <v>7534</v>
      </c>
      <c r="D2465" s="888" t="s">
        <v>6441</v>
      </c>
      <c r="E2465" s="901">
        <v>4600557062</v>
      </c>
      <c r="F2465" s="1061" t="s">
        <v>7553</v>
      </c>
      <c r="G2465" s="889" t="s">
        <v>39</v>
      </c>
      <c r="H2465" s="890">
        <v>15100.4</v>
      </c>
      <c r="I2465" s="902" t="s">
        <v>40</v>
      </c>
      <c r="J2465" s="892">
        <v>44517</v>
      </c>
      <c r="K2465" s="893">
        <f t="shared" si="157"/>
        <v>91</v>
      </c>
      <c r="L2465" s="892">
        <v>44608</v>
      </c>
      <c r="M2465" s="892" t="s">
        <v>41</v>
      </c>
      <c r="N2465" s="889" t="s">
        <v>42</v>
      </c>
      <c r="O2465" s="892">
        <v>44575</v>
      </c>
      <c r="P2465" s="893">
        <f t="shared" si="158"/>
        <v>-18</v>
      </c>
      <c r="Q2465" s="901" t="s">
        <v>7608</v>
      </c>
      <c r="R2465" s="903">
        <v>44590</v>
      </c>
      <c r="S2465" s="904">
        <v>44592</v>
      </c>
      <c r="T2465" s="904">
        <v>44610</v>
      </c>
      <c r="U2465" s="893">
        <f t="shared" si="159"/>
        <v>93</v>
      </c>
      <c r="V2465" s="893" t="s">
        <v>879</v>
      </c>
      <c r="W2465" s="1106" t="s">
        <v>7619</v>
      </c>
      <c r="X2465" s="905"/>
      <c r="Y2465" s="905"/>
      <c r="Z2465" s="895"/>
      <c r="AA2465" s="889"/>
      <c r="AB2465" s="892">
        <v>44648</v>
      </c>
      <c r="AC2465" s="476" t="s">
        <v>7698</v>
      </c>
      <c r="AD2465" s="645" t="str">
        <f t="shared" si="160"/>
        <v>en término</v>
      </c>
      <c r="AE2465" s="468" t="s">
        <v>7617</v>
      </c>
      <c r="AF2465" s="468" t="s">
        <v>2968</v>
      </c>
      <c r="AG2465" s="1099">
        <f t="shared" si="161"/>
        <v>44652</v>
      </c>
      <c r="AH2465" s="649">
        <f t="shared" si="162"/>
        <v>-4</v>
      </c>
      <c r="AI2465" s="649" t="str">
        <f t="shared" si="163"/>
        <v>en término</v>
      </c>
    </row>
    <row r="2466" spans="2:35" s="649" customFormat="1" ht="54.95" customHeight="1" thickBot="1" x14ac:dyDescent="0.25">
      <c r="B2466" s="900" t="s">
        <v>36</v>
      </c>
      <c r="C2466" s="887" t="s">
        <v>7534</v>
      </c>
      <c r="D2466" s="888" t="s">
        <v>6441</v>
      </c>
      <c r="E2466" s="901">
        <v>4600557062</v>
      </c>
      <c r="F2466" s="1061" t="s">
        <v>7558</v>
      </c>
      <c r="G2466" s="889" t="s">
        <v>39</v>
      </c>
      <c r="H2466" s="890">
        <v>19833.95</v>
      </c>
      <c r="I2466" s="902" t="s">
        <v>52</v>
      </c>
      <c r="J2466" s="892">
        <v>44522</v>
      </c>
      <c r="K2466" s="893">
        <f t="shared" si="157"/>
        <v>92</v>
      </c>
      <c r="L2466" s="892">
        <v>44614</v>
      </c>
      <c r="M2466" s="892" t="s">
        <v>41</v>
      </c>
      <c r="N2466" s="889" t="s">
        <v>42</v>
      </c>
      <c r="O2466" s="892">
        <v>44607</v>
      </c>
      <c r="P2466" s="893">
        <f t="shared" si="158"/>
        <v>4</v>
      </c>
      <c r="Q2466" s="901" t="s">
        <v>7607</v>
      </c>
      <c r="R2466" s="903">
        <v>44618</v>
      </c>
      <c r="S2466" s="904">
        <v>44620</v>
      </c>
      <c r="T2466" s="904">
        <f>+S2466+20</f>
        <v>44640</v>
      </c>
      <c r="U2466" s="893">
        <f t="shared" si="159"/>
        <v>118</v>
      </c>
      <c r="V2466" s="893" t="s">
        <v>7559</v>
      </c>
      <c r="W2466" s="1106" t="s">
        <v>7668</v>
      </c>
      <c r="X2466" s="905"/>
      <c r="Y2466" s="905"/>
      <c r="Z2466" s="895"/>
      <c r="AA2466" s="889"/>
      <c r="AB2466" s="892">
        <v>44677</v>
      </c>
      <c r="AC2466" s="476" t="s">
        <v>7562</v>
      </c>
      <c r="AD2466" s="645" t="str">
        <f t="shared" si="160"/>
        <v>atrasado</v>
      </c>
      <c r="AE2466" s="468" t="s">
        <v>7643</v>
      </c>
      <c r="AF2466" s="468" t="s">
        <v>2981</v>
      </c>
      <c r="AG2466" s="1099">
        <f t="shared" si="161"/>
        <v>44680</v>
      </c>
      <c r="AH2466" s="649">
        <f t="shared" si="162"/>
        <v>-3</v>
      </c>
      <c r="AI2466" s="649" t="str">
        <f t="shared" si="163"/>
        <v>en término</v>
      </c>
    </row>
    <row r="2467" spans="2:35" s="649" customFormat="1" ht="54.95" customHeight="1" thickBot="1" x14ac:dyDescent="0.25">
      <c r="B2467" s="900" t="s">
        <v>36</v>
      </c>
      <c r="C2467" s="887" t="s">
        <v>7534</v>
      </c>
      <c r="D2467" s="888" t="s">
        <v>7050</v>
      </c>
      <c r="E2467" s="901">
        <v>4600611934</v>
      </c>
      <c r="F2467" s="1061" t="s">
        <v>7560</v>
      </c>
      <c r="G2467" s="889" t="s">
        <v>39</v>
      </c>
      <c r="H2467" s="890">
        <v>15405.17</v>
      </c>
      <c r="I2467" s="902" t="s">
        <v>62</v>
      </c>
      <c r="J2467" s="892">
        <v>44522</v>
      </c>
      <c r="K2467" s="893">
        <f t="shared" si="157"/>
        <v>92</v>
      </c>
      <c r="L2467" s="892">
        <v>44614</v>
      </c>
      <c r="M2467" s="892" t="s">
        <v>41</v>
      </c>
      <c r="N2467" s="889" t="s">
        <v>42</v>
      </c>
      <c r="O2467" s="892">
        <v>44607</v>
      </c>
      <c r="P2467" s="893">
        <f t="shared" si="158"/>
        <v>4</v>
      </c>
      <c r="Q2467" s="901" t="s">
        <v>7607</v>
      </c>
      <c r="R2467" s="903">
        <v>44618</v>
      </c>
      <c r="S2467" s="904">
        <v>44620</v>
      </c>
      <c r="T2467" s="904">
        <f>+S2467+20</f>
        <v>44640</v>
      </c>
      <c r="U2467" s="893">
        <f t="shared" si="159"/>
        <v>118</v>
      </c>
      <c r="V2467" s="893" t="s">
        <v>7561</v>
      </c>
      <c r="W2467" s="1106" t="s">
        <v>7668</v>
      </c>
      <c r="X2467" s="905"/>
      <c r="Y2467" s="905"/>
      <c r="Z2467" s="895"/>
      <c r="AA2467" s="889"/>
      <c r="AB2467" s="892">
        <v>44677</v>
      </c>
      <c r="AC2467" s="476" t="s">
        <v>7563</v>
      </c>
      <c r="AD2467" s="645" t="str">
        <f t="shared" si="160"/>
        <v>atrasado</v>
      </c>
      <c r="AE2467" s="468" t="s">
        <v>7643</v>
      </c>
      <c r="AF2467" s="468" t="s">
        <v>2981</v>
      </c>
      <c r="AG2467" s="1099">
        <f t="shared" si="161"/>
        <v>44680</v>
      </c>
      <c r="AH2467" s="649">
        <f t="shared" si="162"/>
        <v>-3</v>
      </c>
      <c r="AI2467" s="649" t="str">
        <f t="shared" si="163"/>
        <v>en término</v>
      </c>
    </row>
    <row r="2468" spans="2:35" s="649" customFormat="1" ht="54.95" customHeight="1" thickBot="1" x14ac:dyDescent="0.25">
      <c r="B2468" s="900" t="s">
        <v>36</v>
      </c>
      <c r="C2468" s="887" t="s">
        <v>7534</v>
      </c>
      <c r="D2468" s="888" t="s">
        <v>6441</v>
      </c>
      <c r="E2468" s="901">
        <v>4600557062</v>
      </c>
      <c r="F2468" s="1061" t="s">
        <v>7565</v>
      </c>
      <c r="G2468" s="889" t="s">
        <v>39</v>
      </c>
      <c r="H2468" s="890">
        <v>19700.09</v>
      </c>
      <c r="I2468" s="902" t="s">
        <v>52</v>
      </c>
      <c r="J2468" s="892">
        <v>44518</v>
      </c>
      <c r="K2468" s="893">
        <f t="shared" si="157"/>
        <v>92</v>
      </c>
      <c r="L2468" s="892">
        <v>44610</v>
      </c>
      <c r="M2468" s="892" t="s">
        <v>41</v>
      </c>
      <c r="N2468" s="889" t="s">
        <v>42</v>
      </c>
      <c r="O2468" s="892">
        <v>44607</v>
      </c>
      <c r="P2468" s="893">
        <f t="shared" si="158"/>
        <v>8</v>
      </c>
      <c r="Q2468" s="901" t="s">
        <v>7607</v>
      </c>
      <c r="R2468" s="903">
        <v>44618</v>
      </c>
      <c r="S2468" s="904">
        <v>44620</v>
      </c>
      <c r="T2468" s="904">
        <f>+S2468+20</f>
        <v>44640</v>
      </c>
      <c r="U2468" s="893">
        <f t="shared" si="159"/>
        <v>122</v>
      </c>
      <c r="V2468" s="893" t="s">
        <v>1087</v>
      </c>
      <c r="W2468" s="1106" t="s">
        <v>7668</v>
      </c>
      <c r="X2468" s="905"/>
      <c r="Y2468" s="905"/>
      <c r="Z2468" s="895"/>
      <c r="AA2468" s="889"/>
      <c r="AB2468" s="892">
        <v>44677</v>
      </c>
      <c r="AC2468" s="476" t="s">
        <v>7567</v>
      </c>
      <c r="AD2468" s="645" t="str">
        <f t="shared" si="160"/>
        <v>atrasado</v>
      </c>
      <c r="AE2468" s="468" t="s">
        <v>7643</v>
      </c>
      <c r="AF2468" s="468" t="s">
        <v>2981</v>
      </c>
      <c r="AG2468" s="1099">
        <f t="shared" si="161"/>
        <v>44680</v>
      </c>
      <c r="AH2468" s="649">
        <f t="shared" si="162"/>
        <v>-3</v>
      </c>
      <c r="AI2468" s="649" t="str">
        <f t="shared" si="163"/>
        <v>en término</v>
      </c>
    </row>
    <row r="2469" spans="2:35" s="649" customFormat="1" ht="54.95" customHeight="1" thickBot="1" x14ac:dyDescent="0.25">
      <c r="B2469" s="900" t="s">
        <v>36</v>
      </c>
      <c r="C2469" s="887" t="s">
        <v>7534</v>
      </c>
      <c r="D2469" s="888" t="s">
        <v>6441</v>
      </c>
      <c r="E2469" s="901">
        <v>4600557062</v>
      </c>
      <c r="F2469" s="1061" t="s">
        <v>7566</v>
      </c>
      <c r="G2469" s="889" t="s">
        <v>39</v>
      </c>
      <c r="H2469" s="890">
        <v>15947.09</v>
      </c>
      <c r="I2469" s="902" t="s">
        <v>142</v>
      </c>
      <c r="J2469" s="892">
        <v>44518</v>
      </c>
      <c r="K2469" s="893">
        <f t="shared" si="157"/>
        <v>92</v>
      </c>
      <c r="L2469" s="892">
        <v>44610</v>
      </c>
      <c r="M2469" s="892" t="s">
        <v>41</v>
      </c>
      <c r="N2469" s="889" t="s">
        <v>42</v>
      </c>
      <c r="O2469" s="892">
        <v>44607</v>
      </c>
      <c r="P2469" s="893">
        <f t="shared" si="158"/>
        <v>8</v>
      </c>
      <c r="Q2469" s="901" t="s">
        <v>7607</v>
      </c>
      <c r="R2469" s="903">
        <v>44618</v>
      </c>
      <c r="S2469" s="904">
        <v>44620</v>
      </c>
      <c r="T2469" s="904">
        <f>+S2469+20</f>
        <v>44640</v>
      </c>
      <c r="U2469" s="893">
        <f t="shared" si="159"/>
        <v>122</v>
      </c>
      <c r="V2469" s="893" t="s">
        <v>419</v>
      </c>
      <c r="W2469" s="1106" t="s">
        <v>7668</v>
      </c>
      <c r="X2469" s="905"/>
      <c r="Y2469" s="905"/>
      <c r="Z2469" s="895"/>
      <c r="AA2469" s="889"/>
      <c r="AB2469" s="892">
        <v>44677</v>
      </c>
      <c r="AC2469" s="476" t="s">
        <v>7568</v>
      </c>
      <c r="AD2469" s="645" t="str">
        <f t="shared" si="160"/>
        <v>atrasado</v>
      </c>
      <c r="AE2469" s="468" t="s">
        <v>7643</v>
      </c>
      <c r="AF2469" s="468" t="s">
        <v>2981</v>
      </c>
      <c r="AG2469" s="1099">
        <f t="shared" si="161"/>
        <v>44680</v>
      </c>
      <c r="AH2469" s="649">
        <f t="shared" si="162"/>
        <v>-3</v>
      </c>
      <c r="AI2469" s="649" t="str">
        <f t="shared" si="163"/>
        <v>en término</v>
      </c>
    </row>
    <row r="2470" spans="2:35" s="649" customFormat="1" ht="54.95" customHeight="1" thickBot="1" x14ac:dyDescent="0.25">
      <c r="B2470" s="900" t="s">
        <v>36</v>
      </c>
      <c r="C2470" s="887" t="s">
        <v>7534</v>
      </c>
      <c r="D2470" s="888" t="s">
        <v>6441</v>
      </c>
      <c r="E2470" s="901">
        <v>4600557062</v>
      </c>
      <c r="F2470" s="1061" t="s">
        <v>7550</v>
      </c>
      <c r="G2470" s="889" t="s">
        <v>39</v>
      </c>
      <c r="H2470" s="890">
        <v>109478.48</v>
      </c>
      <c r="I2470" s="902" t="s">
        <v>40</v>
      </c>
      <c r="J2470" s="892">
        <v>44517</v>
      </c>
      <c r="K2470" s="893">
        <f t="shared" si="157"/>
        <v>114</v>
      </c>
      <c r="L2470" s="892">
        <v>44631</v>
      </c>
      <c r="M2470" s="892" t="s">
        <v>41</v>
      </c>
      <c r="N2470" s="889" t="s">
        <v>42</v>
      </c>
      <c r="O2470" s="892">
        <v>44631</v>
      </c>
      <c r="P2470" s="893">
        <f t="shared" si="158"/>
        <v>15</v>
      </c>
      <c r="Q2470" s="901" t="s">
        <v>7652</v>
      </c>
      <c r="R2470" s="903">
        <v>44646</v>
      </c>
      <c r="S2470" s="904">
        <v>44647</v>
      </c>
      <c r="T2470" s="904">
        <v>44666</v>
      </c>
      <c r="U2470" s="893">
        <f t="shared" si="159"/>
        <v>149</v>
      </c>
      <c r="V2470" s="893" t="s">
        <v>7556</v>
      </c>
      <c r="W2470" s="1106" t="s">
        <v>7667</v>
      </c>
      <c r="X2470" s="905"/>
      <c r="Y2470" s="905"/>
      <c r="Z2470" s="895"/>
      <c r="AA2470" s="889"/>
      <c r="AB2470" s="892">
        <v>44700</v>
      </c>
      <c r="AC2470" s="476" t="s">
        <v>7626</v>
      </c>
      <c r="AD2470" s="645" t="str">
        <f t="shared" si="160"/>
        <v>atrasado</v>
      </c>
      <c r="AE2470" s="468" t="s">
        <v>7666</v>
      </c>
      <c r="AF2470" s="468" t="s">
        <v>3846</v>
      </c>
      <c r="AG2470" s="1099">
        <f t="shared" si="161"/>
        <v>44707</v>
      </c>
      <c r="AH2470" s="649">
        <f t="shared" si="162"/>
        <v>-7</v>
      </c>
      <c r="AI2470" s="649" t="str">
        <f t="shared" si="163"/>
        <v>en término</v>
      </c>
    </row>
    <row r="2471" spans="2:35" s="649" customFormat="1" ht="54.95" customHeight="1" thickBot="1" x14ac:dyDescent="0.25">
      <c r="B2471" s="900" t="s">
        <v>36</v>
      </c>
      <c r="C2471" s="887" t="s">
        <v>7534</v>
      </c>
      <c r="D2471" s="888" t="s">
        <v>6441</v>
      </c>
      <c r="E2471" s="901">
        <v>4600557062</v>
      </c>
      <c r="F2471" s="1061" t="s">
        <v>7576</v>
      </c>
      <c r="G2471" s="889" t="s">
        <v>39</v>
      </c>
      <c r="H2471" s="890">
        <v>20956.7</v>
      </c>
      <c r="I2471" s="902" t="s">
        <v>52</v>
      </c>
      <c r="J2471" s="892">
        <v>44538</v>
      </c>
      <c r="K2471" s="893">
        <f t="shared" si="157"/>
        <v>88</v>
      </c>
      <c r="L2471" s="892">
        <v>44626</v>
      </c>
      <c r="M2471" s="892" t="s">
        <v>41</v>
      </c>
      <c r="N2471" s="889" t="s">
        <v>42</v>
      </c>
      <c r="O2471" s="892">
        <v>44631</v>
      </c>
      <c r="P2471" s="893">
        <f t="shared" si="158"/>
        <v>20</v>
      </c>
      <c r="Q2471" s="901" t="s">
        <v>7652</v>
      </c>
      <c r="R2471" s="903">
        <v>44646</v>
      </c>
      <c r="S2471" s="904">
        <v>44647</v>
      </c>
      <c r="T2471" s="904">
        <v>44666</v>
      </c>
      <c r="U2471" s="893">
        <f t="shared" si="159"/>
        <v>128</v>
      </c>
      <c r="V2471" s="893" t="s">
        <v>921</v>
      </c>
      <c r="W2471" s="1106" t="s">
        <v>7667</v>
      </c>
      <c r="X2471" s="905"/>
      <c r="Y2471" s="905"/>
      <c r="Z2471" s="895"/>
      <c r="AA2471" s="889"/>
      <c r="AB2471" s="892">
        <v>44700</v>
      </c>
      <c r="AC2471" s="476" t="s">
        <v>7627</v>
      </c>
      <c r="AD2471" s="645" t="str">
        <f t="shared" si="160"/>
        <v>atrasado</v>
      </c>
      <c r="AE2471" s="468" t="s">
        <v>7666</v>
      </c>
      <c r="AF2471" s="468" t="s">
        <v>3846</v>
      </c>
      <c r="AG2471" s="1099">
        <f t="shared" si="161"/>
        <v>44707</v>
      </c>
      <c r="AH2471" s="649">
        <f t="shared" si="162"/>
        <v>-7</v>
      </c>
      <c r="AI2471" s="649" t="str">
        <f t="shared" si="163"/>
        <v>en término</v>
      </c>
    </row>
    <row r="2472" spans="2:35" s="649" customFormat="1" ht="54.95" customHeight="1" thickBot="1" x14ac:dyDescent="0.25">
      <c r="B2472" s="900" t="s">
        <v>36</v>
      </c>
      <c r="C2472" s="887" t="s">
        <v>7534</v>
      </c>
      <c r="D2472" s="888" t="s">
        <v>6441</v>
      </c>
      <c r="E2472" s="901">
        <v>4600557062</v>
      </c>
      <c r="F2472" s="1061" t="s">
        <v>7577</v>
      </c>
      <c r="G2472" s="889" t="s">
        <v>39</v>
      </c>
      <c r="H2472" s="890">
        <v>7243.92</v>
      </c>
      <c r="I2472" s="902" t="s">
        <v>40</v>
      </c>
      <c r="J2472" s="892">
        <v>44538</v>
      </c>
      <c r="K2472" s="893">
        <f t="shared" si="157"/>
        <v>88</v>
      </c>
      <c r="L2472" s="892">
        <v>44626</v>
      </c>
      <c r="M2472" s="892" t="s">
        <v>41</v>
      </c>
      <c r="N2472" s="889" t="s">
        <v>42</v>
      </c>
      <c r="O2472" s="892">
        <v>44631</v>
      </c>
      <c r="P2472" s="893">
        <f t="shared" si="158"/>
        <v>20</v>
      </c>
      <c r="Q2472" s="901" t="s">
        <v>7652</v>
      </c>
      <c r="R2472" s="903">
        <v>44646</v>
      </c>
      <c r="S2472" s="904">
        <v>44647</v>
      </c>
      <c r="T2472" s="904">
        <v>44666</v>
      </c>
      <c r="U2472" s="893">
        <f t="shared" si="159"/>
        <v>128</v>
      </c>
      <c r="V2472" s="893" t="s">
        <v>752</v>
      </c>
      <c r="W2472" s="1106" t="s">
        <v>7667</v>
      </c>
      <c r="X2472" s="905"/>
      <c r="Y2472" s="905"/>
      <c r="Z2472" s="895"/>
      <c r="AA2472" s="889"/>
      <c r="AB2472" s="892">
        <v>44700</v>
      </c>
      <c r="AC2472" s="476" t="s">
        <v>7628</v>
      </c>
      <c r="AD2472" s="645" t="str">
        <f t="shared" si="160"/>
        <v>atrasado</v>
      </c>
      <c r="AE2472" s="468" t="s">
        <v>7666</v>
      </c>
      <c r="AF2472" s="468" t="s">
        <v>3846</v>
      </c>
      <c r="AG2472" s="1099">
        <f t="shared" si="161"/>
        <v>44707</v>
      </c>
      <c r="AH2472" s="649">
        <f t="shared" si="162"/>
        <v>-7</v>
      </c>
      <c r="AI2472" s="649" t="str">
        <f t="shared" si="163"/>
        <v>en término</v>
      </c>
    </row>
    <row r="2473" spans="2:35" s="649" customFormat="1" ht="54.95" customHeight="1" thickBot="1" x14ac:dyDescent="0.25">
      <c r="B2473" s="900" t="s">
        <v>36</v>
      </c>
      <c r="C2473" s="887" t="s">
        <v>7534</v>
      </c>
      <c r="D2473" s="888" t="s">
        <v>6441</v>
      </c>
      <c r="E2473" s="901">
        <v>4600557062</v>
      </c>
      <c r="F2473" s="1061" t="s">
        <v>7578</v>
      </c>
      <c r="G2473" s="889" t="s">
        <v>39</v>
      </c>
      <c r="H2473" s="890">
        <v>34264.32</v>
      </c>
      <c r="I2473" s="902" t="s">
        <v>142</v>
      </c>
      <c r="J2473" s="892">
        <v>44538</v>
      </c>
      <c r="K2473" s="893">
        <f t="shared" si="157"/>
        <v>88</v>
      </c>
      <c r="L2473" s="892">
        <v>44626</v>
      </c>
      <c r="M2473" s="892" t="s">
        <v>41</v>
      </c>
      <c r="N2473" s="889" t="s">
        <v>42</v>
      </c>
      <c r="O2473" s="892">
        <v>44631</v>
      </c>
      <c r="P2473" s="893">
        <f t="shared" si="158"/>
        <v>20</v>
      </c>
      <c r="Q2473" s="901" t="s">
        <v>7652</v>
      </c>
      <c r="R2473" s="903">
        <v>44646</v>
      </c>
      <c r="S2473" s="904">
        <v>44647</v>
      </c>
      <c r="T2473" s="904">
        <v>44666</v>
      </c>
      <c r="U2473" s="893">
        <f t="shared" si="159"/>
        <v>128</v>
      </c>
      <c r="V2473" s="893" t="s">
        <v>7575</v>
      </c>
      <c r="W2473" s="1106" t="s">
        <v>7667</v>
      </c>
      <c r="X2473" s="905"/>
      <c r="Y2473" s="905"/>
      <c r="Z2473" s="895"/>
      <c r="AA2473" s="889"/>
      <c r="AB2473" s="892">
        <v>44700</v>
      </c>
      <c r="AC2473" s="476" t="s">
        <v>7629</v>
      </c>
      <c r="AD2473" s="645" t="str">
        <f t="shared" si="160"/>
        <v>atrasado</v>
      </c>
      <c r="AE2473" s="468" t="s">
        <v>7666</v>
      </c>
      <c r="AF2473" s="468" t="s">
        <v>3846</v>
      </c>
      <c r="AG2473" s="1099">
        <f t="shared" si="161"/>
        <v>44707</v>
      </c>
      <c r="AH2473" s="649">
        <f t="shared" si="162"/>
        <v>-7</v>
      </c>
      <c r="AI2473" s="649" t="str">
        <f t="shared" si="163"/>
        <v>en término</v>
      </c>
    </row>
    <row r="2474" spans="2:35" s="649" customFormat="1" ht="54.95" customHeight="1" thickBot="1" x14ac:dyDescent="0.25">
      <c r="B2474" s="900" t="s">
        <v>36</v>
      </c>
      <c r="C2474" s="887" t="s">
        <v>7534</v>
      </c>
      <c r="D2474" s="888" t="s">
        <v>6441</v>
      </c>
      <c r="E2474" s="901">
        <v>4600557062</v>
      </c>
      <c r="F2474" s="1061" t="s">
        <v>7579</v>
      </c>
      <c r="G2474" s="889" t="s">
        <v>39</v>
      </c>
      <c r="H2474" s="890">
        <v>86114.07</v>
      </c>
      <c r="I2474" s="902" t="s">
        <v>142</v>
      </c>
      <c r="J2474" s="892">
        <v>44539</v>
      </c>
      <c r="K2474" s="893">
        <f t="shared" si="157"/>
        <v>88</v>
      </c>
      <c r="L2474" s="892">
        <v>44627</v>
      </c>
      <c r="M2474" s="892" t="s">
        <v>41</v>
      </c>
      <c r="N2474" s="889" t="s">
        <v>42</v>
      </c>
      <c r="O2474" s="892">
        <v>44631</v>
      </c>
      <c r="P2474" s="893">
        <f t="shared" si="158"/>
        <v>19</v>
      </c>
      <c r="Q2474" s="901" t="s">
        <v>7652</v>
      </c>
      <c r="R2474" s="903">
        <v>44646</v>
      </c>
      <c r="S2474" s="904">
        <v>44647</v>
      </c>
      <c r="T2474" s="904">
        <v>44666</v>
      </c>
      <c r="U2474" s="893">
        <f t="shared" si="159"/>
        <v>127</v>
      </c>
      <c r="V2474" s="893" t="s">
        <v>1250</v>
      </c>
      <c r="W2474" s="1106" t="s">
        <v>7667</v>
      </c>
      <c r="X2474" s="905"/>
      <c r="Y2474" s="905"/>
      <c r="Z2474" s="895"/>
      <c r="AA2474" s="889"/>
      <c r="AB2474" s="892">
        <v>44700</v>
      </c>
      <c r="AC2474" s="476" t="s">
        <v>7630</v>
      </c>
      <c r="AD2474" s="645" t="str">
        <f t="shared" si="160"/>
        <v>atrasado</v>
      </c>
      <c r="AE2474" s="468" t="s">
        <v>7666</v>
      </c>
      <c r="AF2474" s="468" t="s">
        <v>3846</v>
      </c>
      <c r="AG2474" s="1099">
        <f t="shared" si="161"/>
        <v>44707</v>
      </c>
      <c r="AH2474" s="649">
        <f t="shared" si="162"/>
        <v>-7</v>
      </c>
      <c r="AI2474" s="649" t="str">
        <f t="shared" si="163"/>
        <v>en término</v>
      </c>
    </row>
    <row r="2475" spans="2:35" s="649" customFormat="1" ht="54.95" customHeight="1" thickBot="1" x14ac:dyDescent="0.25">
      <c r="B2475" s="900" t="s">
        <v>36</v>
      </c>
      <c r="C2475" s="887" t="s">
        <v>7534</v>
      </c>
      <c r="D2475" s="888" t="s">
        <v>6441</v>
      </c>
      <c r="E2475" s="901">
        <v>4600557062</v>
      </c>
      <c r="F2475" s="1061" t="s">
        <v>7573</v>
      </c>
      <c r="G2475" s="889" t="s">
        <v>39</v>
      </c>
      <c r="H2475" s="890">
        <v>9054.9</v>
      </c>
      <c r="I2475" s="902" t="s">
        <v>40</v>
      </c>
      <c r="J2475" s="892">
        <v>44543</v>
      </c>
      <c r="K2475" s="893">
        <f t="shared" si="157"/>
        <v>90</v>
      </c>
      <c r="L2475" s="892">
        <v>44633</v>
      </c>
      <c r="M2475" s="892" t="s">
        <v>41</v>
      </c>
      <c r="N2475" s="889" t="s">
        <v>42</v>
      </c>
      <c r="O2475" s="892">
        <v>44631</v>
      </c>
      <c r="P2475" s="893">
        <f t="shared" si="158"/>
        <v>13</v>
      </c>
      <c r="Q2475" s="901" t="s">
        <v>7652</v>
      </c>
      <c r="R2475" s="903">
        <v>44646</v>
      </c>
      <c r="S2475" s="904">
        <v>44647</v>
      </c>
      <c r="T2475" s="904">
        <v>44666</v>
      </c>
      <c r="U2475" s="893">
        <f t="shared" si="159"/>
        <v>123</v>
      </c>
      <c r="V2475" s="893" t="s">
        <v>419</v>
      </c>
      <c r="W2475" s="1106" t="s">
        <v>7667</v>
      </c>
      <c r="X2475" s="905"/>
      <c r="Y2475" s="905"/>
      <c r="Z2475" s="895"/>
      <c r="AA2475" s="889"/>
      <c r="AB2475" s="892">
        <v>44700</v>
      </c>
      <c r="AC2475" s="476" t="s">
        <v>7580</v>
      </c>
      <c r="AD2475" s="645" t="str">
        <f t="shared" si="160"/>
        <v>atrasado</v>
      </c>
      <c r="AE2475" s="468" t="s">
        <v>7666</v>
      </c>
      <c r="AF2475" s="468" t="s">
        <v>3846</v>
      </c>
      <c r="AG2475" s="1099">
        <f t="shared" si="161"/>
        <v>44707</v>
      </c>
      <c r="AH2475" s="649">
        <f t="shared" si="162"/>
        <v>-7</v>
      </c>
      <c r="AI2475" s="649" t="str">
        <f t="shared" si="163"/>
        <v>en término</v>
      </c>
    </row>
    <row r="2476" spans="2:35" s="649" customFormat="1" ht="54.95" customHeight="1" thickBot="1" x14ac:dyDescent="0.25">
      <c r="B2476" s="900" t="s">
        <v>36</v>
      </c>
      <c r="C2476" s="887" t="s">
        <v>7534</v>
      </c>
      <c r="D2476" s="888" t="s">
        <v>6441</v>
      </c>
      <c r="E2476" s="901">
        <v>4600557062</v>
      </c>
      <c r="F2476" s="1061" t="s">
        <v>7574</v>
      </c>
      <c r="G2476" s="889" t="s">
        <v>39</v>
      </c>
      <c r="H2476" s="890">
        <v>18120.48</v>
      </c>
      <c r="I2476" s="902" t="s">
        <v>40</v>
      </c>
      <c r="J2476" s="892">
        <v>44543</v>
      </c>
      <c r="K2476" s="893">
        <f t="shared" si="157"/>
        <v>90</v>
      </c>
      <c r="L2476" s="892">
        <v>44633</v>
      </c>
      <c r="M2476" s="892" t="s">
        <v>41</v>
      </c>
      <c r="N2476" s="889" t="s">
        <v>42</v>
      </c>
      <c r="O2476" s="892">
        <v>44631</v>
      </c>
      <c r="P2476" s="893">
        <f t="shared" si="158"/>
        <v>13</v>
      </c>
      <c r="Q2476" s="901" t="s">
        <v>7652</v>
      </c>
      <c r="R2476" s="903">
        <v>44646</v>
      </c>
      <c r="S2476" s="904">
        <v>44647</v>
      </c>
      <c r="T2476" s="904">
        <v>44666</v>
      </c>
      <c r="U2476" s="893">
        <f t="shared" si="159"/>
        <v>123</v>
      </c>
      <c r="V2476" s="893" t="s">
        <v>944</v>
      </c>
      <c r="W2476" s="1106" t="s">
        <v>7667</v>
      </c>
      <c r="X2476" s="905"/>
      <c r="Y2476" s="905"/>
      <c r="Z2476" s="895"/>
      <c r="AA2476" s="889"/>
      <c r="AB2476" s="892">
        <v>44700</v>
      </c>
      <c r="AC2476" s="476" t="s">
        <v>7581</v>
      </c>
      <c r="AD2476" s="645" t="str">
        <f t="shared" si="160"/>
        <v>atrasado</v>
      </c>
      <c r="AE2476" s="468" t="s">
        <v>7666</v>
      </c>
      <c r="AF2476" s="468" t="s">
        <v>3846</v>
      </c>
      <c r="AG2476" s="1099">
        <f t="shared" si="161"/>
        <v>44707</v>
      </c>
      <c r="AH2476" s="649">
        <f t="shared" si="162"/>
        <v>-7</v>
      </c>
      <c r="AI2476" s="649" t="str">
        <f t="shared" si="163"/>
        <v>en término</v>
      </c>
    </row>
    <row r="2477" spans="2:35" s="649" customFormat="1" ht="54.95" customHeight="1" thickBot="1" x14ac:dyDescent="0.25">
      <c r="B2477" s="900" t="s">
        <v>36</v>
      </c>
      <c r="C2477" s="887" t="s">
        <v>7534</v>
      </c>
      <c r="D2477" s="888" t="s">
        <v>6441</v>
      </c>
      <c r="E2477" s="901">
        <v>4600557062</v>
      </c>
      <c r="F2477" s="1061" t="s">
        <v>7586</v>
      </c>
      <c r="G2477" s="889" t="s">
        <v>39</v>
      </c>
      <c r="H2477" s="890">
        <v>25471.200000000001</v>
      </c>
      <c r="I2477" s="902" t="s">
        <v>40</v>
      </c>
      <c r="J2477" s="892">
        <v>44546</v>
      </c>
      <c r="K2477" s="893">
        <f t="shared" si="157"/>
        <v>90</v>
      </c>
      <c r="L2477" s="892">
        <v>44636</v>
      </c>
      <c r="M2477" s="892" t="s">
        <v>41</v>
      </c>
      <c r="N2477" s="889" t="s">
        <v>42</v>
      </c>
      <c r="O2477" s="892">
        <v>44631</v>
      </c>
      <c r="P2477" s="893">
        <f t="shared" si="158"/>
        <v>10</v>
      </c>
      <c r="Q2477" s="901" t="s">
        <v>7652</v>
      </c>
      <c r="R2477" s="903">
        <v>44646</v>
      </c>
      <c r="S2477" s="904">
        <v>44647</v>
      </c>
      <c r="T2477" s="904">
        <v>44666</v>
      </c>
      <c r="U2477" s="893">
        <f t="shared" si="159"/>
        <v>120</v>
      </c>
      <c r="V2477" s="893" t="s">
        <v>921</v>
      </c>
      <c r="W2477" s="1106" t="s">
        <v>7667</v>
      </c>
      <c r="X2477" s="905"/>
      <c r="Y2477" s="905"/>
      <c r="Z2477" s="895"/>
      <c r="AA2477" s="889"/>
      <c r="AB2477" s="892">
        <v>44700</v>
      </c>
      <c r="AC2477" s="476" t="s">
        <v>7588</v>
      </c>
      <c r="AD2477" s="645" t="str">
        <f t="shared" si="160"/>
        <v>atrasado</v>
      </c>
      <c r="AE2477" s="468" t="s">
        <v>7666</v>
      </c>
      <c r="AF2477" s="468" t="s">
        <v>3846</v>
      </c>
      <c r="AG2477" s="1099">
        <f t="shared" si="161"/>
        <v>44707</v>
      </c>
      <c r="AH2477" s="649">
        <f t="shared" si="162"/>
        <v>-7</v>
      </c>
      <c r="AI2477" s="649" t="str">
        <f t="shared" si="163"/>
        <v>en término</v>
      </c>
    </row>
    <row r="2478" spans="2:35" s="649" customFormat="1" ht="54.95" customHeight="1" thickBot="1" x14ac:dyDescent="0.25">
      <c r="B2478" s="900" t="s">
        <v>36</v>
      </c>
      <c r="C2478" s="887" t="s">
        <v>7534</v>
      </c>
      <c r="D2478" s="888" t="s">
        <v>6441</v>
      </c>
      <c r="E2478" s="901">
        <v>4600557062</v>
      </c>
      <c r="F2478" s="1061" t="s">
        <v>7587</v>
      </c>
      <c r="G2478" s="889" t="s">
        <v>39</v>
      </c>
      <c r="H2478" s="890">
        <v>8098.27</v>
      </c>
      <c r="I2478" s="902" t="s">
        <v>52</v>
      </c>
      <c r="J2478" s="892">
        <v>44546</v>
      </c>
      <c r="K2478" s="893">
        <f t="shared" si="157"/>
        <v>90</v>
      </c>
      <c r="L2478" s="892">
        <v>44636</v>
      </c>
      <c r="M2478" s="892" t="s">
        <v>41</v>
      </c>
      <c r="N2478" s="889" t="s">
        <v>42</v>
      </c>
      <c r="O2478" s="892">
        <v>44631</v>
      </c>
      <c r="P2478" s="893">
        <f t="shared" si="158"/>
        <v>10</v>
      </c>
      <c r="Q2478" s="901" t="s">
        <v>7652</v>
      </c>
      <c r="R2478" s="903">
        <v>44646</v>
      </c>
      <c r="S2478" s="904">
        <v>44647</v>
      </c>
      <c r="T2478" s="904">
        <v>44666</v>
      </c>
      <c r="U2478" s="893">
        <f t="shared" si="159"/>
        <v>120</v>
      </c>
      <c r="V2478" s="893" t="s">
        <v>752</v>
      </c>
      <c r="W2478" s="1106" t="s">
        <v>7667</v>
      </c>
      <c r="X2478" s="905"/>
      <c r="Y2478" s="905"/>
      <c r="Z2478" s="895"/>
      <c r="AA2478" s="889"/>
      <c r="AB2478" s="892">
        <v>44700</v>
      </c>
      <c r="AC2478" s="476" t="s">
        <v>7589</v>
      </c>
      <c r="AD2478" s="645" t="str">
        <f t="shared" si="160"/>
        <v>atrasado</v>
      </c>
      <c r="AE2478" s="468" t="s">
        <v>7666</v>
      </c>
      <c r="AF2478" s="468" t="s">
        <v>3846</v>
      </c>
      <c r="AG2478" s="1099">
        <f t="shared" si="161"/>
        <v>44707</v>
      </c>
      <c r="AH2478" s="649">
        <f t="shared" si="162"/>
        <v>-7</v>
      </c>
      <c r="AI2478" s="649" t="str">
        <f t="shared" si="163"/>
        <v>en término</v>
      </c>
    </row>
    <row r="2479" spans="2:35" s="649" customFormat="1" ht="54.95" customHeight="1" thickBot="1" x14ac:dyDescent="0.25">
      <c r="B2479" s="900" t="s">
        <v>36</v>
      </c>
      <c r="C2479" s="887" t="s">
        <v>7534</v>
      </c>
      <c r="D2479" s="888" t="s">
        <v>6441</v>
      </c>
      <c r="E2479" s="901">
        <v>4600557062</v>
      </c>
      <c r="F2479" s="1061" t="s">
        <v>7550</v>
      </c>
      <c r="G2479" s="889" t="s">
        <v>39</v>
      </c>
      <c r="H2479" s="890">
        <v>47953.2</v>
      </c>
      <c r="I2479" s="902" t="s">
        <v>40</v>
      </c>
      <c r="J2479" s="892">
        <v>44517</v>
      </c>
      <c r="K2479" s="893">
        <f t="shared" si="157"/>
        <v>156</v>
      </c>
      <c r="L2479" s="892">
        <v>44673</v>
      </c>
      <c r="M2479" s="892" t="s">
        <v>41</v>
      </c>
      <c r="N2479" s="889" t="s">
        <v>42</v>
      </c>
      <c r="O2479" s="892">
        <v>44659</v>
      </c>
      <c r="P2479" s="893">
        <f t="shared" si="158"/>
        <v>-6</v>
      </c>
      <c r="Q2479" s="901" t="s">
        <v>7671</v>
      </c>
      <c r="R2479" s="903">
        <v>44667</v>
      </c>
      <c r="S2479" s="904">
        <v>44669</v>
      </c>
      <c r="T2479" s="904">
        <v>44687</v>
      </c>
      <c r="U2479" s="893">
        <f t="shared" si="159"/>
        <v>170</v>
      </c>
      <c r="V2479" s="893" t="s">
        <v>7582</v>
      </c>
      <c r="W2479" s="1106" t="s">
        <v>7677</v>
      </c>
      <c r="X2479" s="905"/>
      <c r="Y2479" s="905"/>
      <c r="Z2479" s="895"/>
      <c r="AA2479" s="889"/>
      <c r="AB2479" s="892">
        <v>44727</v>
      </c>
      <c r="AC2479" s="476" t="s">
        <v>7557</v>
      </c>
      <c r="AD2479" s="645" t="str">
        <f t="shared" si="160"/>
        <v>en término</v>
      </c>
      <c r="AE2479" s="468" t="s">
        <v>7675</v>
      </c>
      <c r="AF2479" s="468" t="s">
        <v>2929</v>
      </c>
      <c r="AG2479" s="1099">
        <f t="shared" si="161"/>
        <v>44729</v>
      </c>
      <c r="AH2479" s="649">
        <f t="shared" si="162"/>
        <v>-2</v>
      </c>
      <c r="AI2479" s="649" t="str">
        <f t="shared" si="163"/>
        <v>en término</v>
      </c>
    </row>
    <row r="2480" spans="2:35" s="649" customFormat="1" ht="54.95" customHeight="1" thickBot="1" x14ac:dyDescent="0.25">
      <c r="B2480" s="900" t="s">
        <v>36</v>
      </c>
      <c r="C2480" s="887" t="s">
        <v>7534</v>
      </c>
      <c r="D2480" s="888" t="s">
        <v>7599</v>
      </c>
      <c r="E2480" s="901" t="s">
        <v>7600</v>
      </c>
      <c r="F2480" s="1061" t="s">
        <v>7601</v>
      </c>
      <c r="G2480" s="889" t="s">
        <v>39</v>
      </c>
      <c r="H2480" s="890">
        <v>29231</v>
      </c>
      <c r="I2480" s="902" t="s">
        <v>7602</v>
      </c>
      <c r="J2480" s="892">
        <v>44560</v>
      </c>
      <c r="K2480" s="893">
        <f t="shared" si="157"/>
        <v>120</v>
      </c>
      <c r="L2480" s="892">
        <v>44680</v>
      </c>
      <c r="M2480" s="892" t="s">
        <v>41</v>
      </c>
      <c r="N2480" s="889" t="s">
        <v>42</v>
      </c>
      <c r="O2480" s="892">
        <v>44659</v>
      </c>
      <c r="P2480" s="893">
        <f t="shared" si="158"/>
        <v>-13</v>
      </c>
      <c r="Q2480" s="901" t="s">
        <v>7671</v>
      </c>
      <c r="R2480" s="903">
        <v>44667</v>
      </c>
      <c r="S2480" s="904">
        <v>44669</v>
      </c>
      <c r="T2480" s="904">
        <v>44687</v>
      </c>
      <c r="U2480" s="893">
        <f t="shared" si="159"/>
        <v>127</v>
      </c>
      <c r="V2480" s="893" t="s">
        <v>7000</v>
      </c>
      <c r="W2480" s="1106" t="s">
        <v>7676</v>
      </c>
      <c r="X2480" s="905"/>
      <c r="Y2480" s="905"/>
      <c r="Z2480" s="895"/>
      <c r="AA2480" s="889"/>
      <c r="AB2480" s="892">
        <v>44727</v>
      </c>
      <c r="AC2480" s="476" t="s">
        <v>7603</v>
      </c>
      <c r="AD2480" s="645" t="str">
        <f t="shared" si="160"/>
        <v>en término</v>
      </c>
      <c r="AE2480" s="468" t="s">
        <v>7674</v>
      </c>
      <c r="AF2480" s="468" t="s">
        <v>2929</v>
      </c>
      <c r="AG2480" s="1099">
        <f t="shared" si="161"/>
        <v>44729</v>
      </c>
      <c r="AH2480" s="649">
        <f t="shared" si="162"/>
        <v>-2</v>
      </c>
      <c r="AI2480" s="649" t="str">
        <f t="shared" si="163"/>
        <v>en término</v>
      </c>
    </row>
    <row r="2481" spans="2:35" s="649" customFormat="1" ht="54.95" customHeight="1" thickBot="1" x14ac:dyDescent="0.25">
      <c r="B2481" s="900" t="s">
        <v>36</v>
      </c>
      <c r="C2481" s="887" t="s">
        <v>7534</v>
      </c>
      <c r="D2481" s="888" t="s">
        <v>6441</v>
      </c>
      <c r="E2481" s="901">
        <v>4600557062</v>
      </c>
      <c r="F2481" s="1061" t="s">
        <v>7609</v>
      </c>
      <c r="G2481" s="889" t="s">
        <v>39</v>
      </c>
      <c r="H2481" s="890">
        <v>21246.73</v>
      </c>
      <c r="I2481" s="902" t="s">
        <v>40</v>
      </c>
      <c r="J2481" s="892">
        <v>44572</v>
      </c>
      <c r="K2481" s="893">
        <f t="shared" si="157"/>
        <v>90</v>
      </c>
      <c r="L2481" s="892">
        <v>44662</v>
      </c>
      <c r="M2481" s="892" t="s">
        <v>41</v>
      </c>
      <c r="N2481" s="889" t="s">
        <v>42</v>
      </c>
      <c r="O2481" s="892">
        <v>44659</v>
      </c>
      <c r="P2481" s="893">
        <f t="shared" si="158"/>
        <v>5</v>
      </c>
      <c r="Q2481" s="901" t="s">
        <v>7671</v>
      </c>
      <c r="R2481" s="903">
        <v>44667</v>
      </c>
      <c r="S2481" s="904">
        <v>44669</v>
      </c>
      <c r="T2481" s="904">
        <v>44687</v>
      </c>
      <c r="U2481" s="893">
        <f t="shared" si="159"/>
        <v>115</v>
      </c>
      <c r="V2481" s="893" t="s">
        <v>7610</v>
      </c>
      <c r="W2481" s="1106" t="s">
        <v>7677</v>
      </c>
      <c r="X2481" s="905"/>
      <c r="Y2481" s="905"/>
      <c r="Z2481" s="895"/>
      <c r="AA2481" s="889"/>
      <c r="AB2481" s="892">
        <v>44727</v>
      </c>
      <c r="AC2481" s="476" t="s">
        <v>7656</v>
      </c>
      <c r="AD2481" s="645" t="str">
        <f t="shared" si="160"/>
        <v>atrasado</v>
      </c>
      <c r="AE2481" s="468" t="s">
        <v>7675</v>
      </c>
      <c r="AF2481" s="468" t="s">
        <v>2929</v>
      </c>
      <c r="AG2481" s="1099">
        <f t="shared" si="161"/>
        <v>44729</v>
      </c>
      <c r="AH2481" s="649">
        <f t="shared" si="162"/>
        <v>-2</v>
      </c>
      <c r="AI2481" s="649" t="str">
        <f t="shared" si="163"/>
        <v>en término</v>
      </c>
    </row>
    <row r="2482" spans="2:35" s="649" customFormat="1" ht="54.95" customHeight="1" thickBot="1" x14ac:dyDescent="0.25">
      <c r="B2482" s="900" t="s">
        <v>36</v>
      </c>
      <c r="C2482" s="887" t="s">
        <v>7534</v>
      </c>
      <c r="D2482" s="888" t="s">
        <v>6441</v>
      </c>
      <c r="E2482" s="901">
        <v>4600557062</v>
      </c>
      <c r="F2482" s="1061" t="s">
        <v>7620</v>
      </c>
      <c r="G2482" s="889" t="s">
        <v>39</v>
      </c>
      <c r="H2482" s="890">
        <v>16298.9</v>
      </c>
      <c r="I2482" s="902" t="s">
        <v>40</v>
      </c>
      <c r="J2482" s="892">
        <v>44588</v>
      </c>
      <c r="K2482" s="893">
        <f t="shared" si="157"/>
        <v>90</v>
      </c>
      <c r="L2482" s="892">
        <v>44678</v>
      </c>
      <c r="M2482" s="892" t="s">
        <v>41</v>
      </c>
      <c r="N2482" s="889" t="s">
        <v>42</v>
      </c>
      <c r="O2482" s="892">
        <v>44659</v>
      </c>
      <c r="P2482" s="893">
        <f t="shared" si="158"/>
        <v>-11</v>
      </c>
      <c r="Q2482" s="901" t="s">
        <v>7671</v>
      </c>
      <c r="R2482" s="903">
        <v>44667</v>
      </c>
      <c r="S2482" s="904">
        <v>44669</v>
      </c>
      <c r="T2482" s="904">
        <v>44687</v>
      </c>
      <c r="U2482" s="893">
        <f t="shared" si="159"/>
        <v>99</v>
      </c>
      <c r="V2482" s="893" t="s">
        <v>950</v>
      </c>
      <c r="W2482" s="1106" t="s">
        <v>7677</v>
      </c>
      <c r="X2482" s="905"/>
      <c r="Y2482" s="905"/>
      <c r="Z2482" s="895"/>
      <c r="AA2482" s="889"/>
      <c r="AB2482" s="892">
        <v>44727</v>
      </c>
      <c r="AC2482" s="476" t="s">
        <v>7621</v>
      </c>
      <c r="AD2482" s="645" t="str">
        <f t="shared" si="160"/>
        <v>en término</v>
      </c>
      <c r="AE2482" s="468" t="s">
        <v>7675</v>
      </c>
      <c r="AF2482" s="468" t="s">
        <v>2929</v>
      </c>
      <c r="AG2482" s="1099">
        <f t="shared" si="161"/>
        <v>44729</v>
      </c>
      <c r="AH2482" s="649">
        <f t="shared" si="162"/>
        <v>-2</v>
      </c>
      <c r="AI2482" s="649" t="str">
        <f t="shared" si="163"/>
        <v>en término</v>
      </c>
    </row>
    <row r="2483" spans="2:35" s="649" customFormat="1" ht="54.95" customHeight="1" thickBot="1" x14ac:dyDescent="0.25">
      <c r="B2483" s="900" t="s">
        <v>36</v>
      </c>
      <c r="C2483" s="887" t="s">
        <v>7534</v>
      </c>
      <c r="D2483" s="888" t="s">
        <v>6441</v>
      </c>
      <c r="E2483" s="901">
        <v>4600557062</v>
      </c>
      <c r="F2483" s="1061" t="s">
        <v>7632</v>
      </c>
      <c r="G2483" s="889" t="s">
        <v>39</v>
      </c>
      <c r="H2483" s="890">
        <v>5768.08</v>
      </c>
      <c r="I2483" s="902" t="s">
        <v>62</v>
      </c>
      <c r="J2483" s="892">
        <v>44608</v>
      </c>
      <c r="K2483" s="893">
        <f t="shared" si="157"/>
        <v>89</v>
      </c>
      <c r="L2483" s="892">
        <v>44697</v>
      </c>
      <c r="M2483" s="892" t="s">
        <v>41</v>
      </c>
      <c r="N2483" s="889" t="s">
        <v>42</v>
      </c>
      <c r="O2483" s="892">
        <v>44659</v>
      </c>
      <c r="P2483" s="893">
        <f t="shared" si="158"/>
        <v>-30</v>
      </c>
      <c r="Q2483" s="901" t="s">
        <v>7671</v>
      </c>
      <c r="R2483" s="903">
        <v>44667</v>
      </c>
      <c r="S2483" s="904">
        <v>44669</v>
      </c>
      <c r="T2483" s="904">
        <v>44687</v>
      </c>
      <c r="U2483" s="893">
        <f t="shared" si="159"/>
        <v>79</v>
      </c>
      <c r="V2483" s="893" t="s">
        <v>7631</v>
      </c>
      <c r="W2483" s="1106" t="s">
        <v>7677</v>
      </c>
      <c r="X2483" s="905"/>
      <c r="Y2483" s="905"/>
      <c r="Z2483" s="895"/>
      <c r="AA2483" s="889"/>
      <c r="AB2483" s="892">
        <v>44727</v>
      </c>
      <c r="AC2483" s="476" t="s">
        <v>7638</v>
      </c>
      <c r="AD2483" s="645" t="str">
        <f t="shared" si="160"/>
        <v>en término</v>
      </c>
      <c r="AE2483" s="468" t="s">
        <v>7675</v>
      </c>
      <c r="AF2483" s="468" t="s">
        <v>2929</v>
      </c>
      <c r="AG2483" s="1099">
        <f t="shared" si="161"/>
        <v>44729</v>
      </c>
      <c r="AH2483" s="649">
        <f t="shared" si="162"/>
        <v>-2</v>
      </c>
      <c r="AI2483" s="649" t="str">
        <f t="shared" si="163"/>
        <v>en término</v>
      </c>
    </row>
    <row r="2484" spans="2:35" s="649" customFormat="1" ht="54.95" customHeight="1" thickBot="1" x14ac:dyDescent="0.25">
      <c r="B2484" s="900" t="s">
        <v>36</v>
      </c>
      <c r="C2484" s="887" t="s">
        <v>7534</v>
      </c>
      <c r="D2484" s="888" t="s">
        <v>6441</v>
      </c>
      <c r="E2484" s="901">
        <v>4600557062</v>
      </c>
      <c r="F2484" s="1061" t="s">
        <v>7636</v>
      </c>
      <c r="G2484" s="889" t="s">
        <v>39</v>
      </c>
      <c r="H2484" s="890">
        <v>392.52</v>
      </c>
      <c r="I2484" s="902" t="s">
        <v>62</v>
      </c>
      <c r="J2484" s="892">
        <v>44606</v>
      </c>
      <c r="K2484" s="893">
        <f t="shared" si="157"/>
        <v>72</v>
      </c>
      <c r="L2484" s="892">
        <v>44678</v>
      </c>
      <c r="M2484" s="892" t="s">
        <v>41</v>
      </c>
      <c r="N2484" s="889" t="s">
        <v>42</v>
      </c>
      <c r="O2484" s="892">
        <v>44659</v>
      </c>
      <c r="P2484" s="893">
        <f t="shared" si="158"/>
        <v>-11</v>
      </c>
      <c r="Q2484" s="901" t="s">
        <v>7671</v>
      </c>
      <c r="R2484" s="903">
        <v>44667</v>
      </c>
      <c r="S2484" s="904">
        <v>44669</v>
      </c>
      <c r="T2484" s="904">
        <v>44687</v>
      </c>
      <c r="U2484" s="893">
        <f t="shared" si="159"/>
        <v>81</v>
      </c>
      <c r="V2484" s="893" t="s">
        <v>7635</v>
      </c>
      <c r="W2484" s="1106" t="s">
        <v>7677</v>
      </c>
      <c r="X2484" s="905"/>
      <c r="Y2484" s="905"/>
      <c r="Z2484" s="895"/>
      <c r="AA2484" s="889"/>
      <c r="AB2484" s="892">
        <v>44727</v>
      </c>
      <c r="AC2484" s="476" t="s">
        <v>7642</v>
      </c>
      <c r="AD2484" s="645" t="str">
        <f t="shared" si="160"/>
        <v>en término</v>
      </c>
      <c r="AE2484" s="468" t="s">
        <v>7675</v>
      </c>
      <c r="AF2484" s="468" t="s">
        <v>2929</v>
      </c>
      <c r="AG2484" s="1099">
        <f t="shared" si="161"/>
        <v>44729</v>
      </c>
      <c r="AH2484" s="649">
        <f t="shared" si="162"/>
        <v>-2</v>
      </c>
      <c r="AI2484" s="649" t="str">
        <f t="shared" si="163"/>
        <v>en término</v>
      </c>
    </row>
    <row r="2485" spans="2:35" s="649" customFormat="1" ht="54.95" customHeight="1" thickBot="1" x14ac:dyDescent="0.25">
      <c r="B2485" s="900" t="s">
        <v>36</v>
      </c>
      <c r="C2485" s="887" t="s">
        <v>7534</v>
      </c>
      <c r="D2485" s="888" t="s">
        <v>6441</v>
      </c>
      <c r="E2485" s="901">
        <v>4600557062</v>
      </c>
      <c r="F2485" s="1061" t="s">
        <v>7633</v>
      </c>
      <c r="G2485" s="889" t="s">
        <v>39</v>
      </c>
      <c r="H2485" s="890">
        <v>58461.760000000002</v>
      </c>
      <c r="I2485" s="902" t="s">
        <v>40</v>
      </c>
      <c r="J2485" s="892">
        <v>44608</v>
      </c>
      <c r="K2485" s="893">
        <f t="shared" si="157"/>
        <v>89</v>
      </c>
      <c r="L2485" s="892">
        <v>44697</v>
      </c>
      <c r="M2485" s="892" t="s">
        <v>41</v>
      </c>
      <c r="N2485" s="889" t="s">
        <v>42</v>
      </c>
      <c r="O2485" s="892">
        <v>44686</v>
      </c>
      <c r="P2485" s="893">
        <f t="shared" si="158"/>
        <v>-2</v>
      </c>
      <c r="Q2485" s="901" t="s">
        <v>7725</v>
      </c>
      <c r="R2485" s="903">
        <v>44695</v>
      </c>
      <c r="S2485" s="904">
        <v>44698</v>
      </c>
      <c r="T2485" s="904">
        <v>44715</v>
      </c>
      <c r="U2485" s="893">
        <f t="shared" si="159"/>
        <v>107</v>
      </c>
      <c r="V2485" s="893" t="s">
        <v>780</v>
      </c>
      <c r="W2485" s="1106" t="s">
        <v>7726</v>
      </c>
      <c r="X2485" s="905"/>
      <c r="Y2485" s="905"/>
      <c r="Z2485" s="895"/>
      <c r="AA2485" s="889"/>
      <c r="AB2485" s="892">
        <v>44753</v>
      </c>
      <c r="AC2485" s="476" t="s">
        <v>7639</v>
      </c>
      <c r="AD2485" s="645" t="str">
        <f t="shared" si="160"/>
        <v>en término</v>
      </c>
      <c r="AE2485" s="468" t="s">
        <v>7718</v>
      </c>
      <c r="AF2485" s="468" t="s">
        <v>2937</v>
      </c>
      <c r="AG2485" s="1099">
        <f t="shared" si="161"/>
        <v>44758</v>
      </c>
      <c r="AH2485" s="649">
        <f t="shared" si="162"/>
        <v>-5</v>
      </c>
      <c r="AI2485" s="649" t="str">
        <f t="shared" si="163"/>
        <v>en término</v>
      </c>
    </row>
    <row r="2486" spans="2:35" s="649" customFormat="1" ht="54.95" customHeight="1" thickBot="1" x14ac:dyDescent="0.25">
      <c r="B2486" s="900" t="s">
        <v>36</v>
      </c>
      <c r="C2486" s="887" t="s">
        <v>7534</v>
      </c>
      <c r="D2486" s="888" t="s">
        <v>6441</v>
      </c>
      <c r="E2486" s="901">
        <v>4600557062</v>
      </c>
      <c r="F2486" s="1061" t="s">
        <v>7634</v>
      </c>
      <c r="G2486" s="889" t="s">
        <v>39</v>
      </c>
      <c r="H2486" s="890">
        <v>9940.48</v>
      </c>
      <c r="I2486" s="902" t="s">
        <v>40</v>
      </c>
      <c r="J2486" s="892">
        <v>44608</v>
      </c>
      <c r="K2486" s="893">
        <f t="shared" si="157"/>
        <v>89</v>
      </c>
      <c r="L2486" s="892">
        <v>44697</v>
      </c>
      <c r="M2486" s="892" t="s">
        <v>41</v>
      </c>
      <c r="N2486" s="889" t="s">
        <v>42</v>
      </c>
      <c r="O2486" s="892">
        <v>44686</v>
      </c>
      <c r="P2486" s="893">
        <f t="shared" si="158"/>
        <v>-2</v>
      </c>
      <c r="Q2486" s="901" t="s">
        <v>7725</v>
      </c>
      <c r="R2486" s="903">
        <v>44695</v>
      </c>
      <c r="S2486" s="904">
        <v>44698</v>
      </c>
      <c r="T2486" s="904">
        <v>44715</v>
      </c>
      <c r="U2486" s="893">
        <f t="shared" si="159"/>
        <v>107</v>
      </c>
      <c r="V2486" s="893" t="s">
        <v>2239</v>
      </c>
      <c r="W2486" s="1106" t="s">
        <v>7726</v>
      </c>
      <c r="X2486" s="905"/>
      <c r="Y2486" s="905"/>
      <c r="Z2486" s="895"/>
      <c r="AA2486" s="889"/>
      <c r="AB2486" s="892">
        <v>44753</v>
      </c>
      <c r="AC2486" s="476" t="s">
        <v>7640</v>
      </c>
      <c r="AD2486" s="645" t="str">
        <f t="shared" si="160"/>
        <v>en término</v>
      </c>
      <c r="AE2486" s="468" t="s">
        <v>7718</v>
      </c>
      <c r="AF2486" s="468" t="s">
        <v>2937</v>
      </c>
      <c r="AG2486" s="1099">
        <f t="shared" si="161"/>
        <v>44758</v>
      </c>
      <c r="AH2486" s="649">
        <f t="shared" si="162"/>
        <v>-5</v>
      </c>
      <c r="AI2486" s="649" t="str">
        <f t="shared" si="163"/>
        <v>en término</v>
      </c>
    </row>
    <row r="2487" spans="2:35" s="649" customFormat="1" ht="54.95" customHeight="1" thickBot="1" x14ac:dyDescent="0.25">
      <c r="B2487" s="900" t="s">
        <v>36</v>
      </c>
      <c r="C2487" s="887" t="s">
        <v>7534</v>
      </c>
      <c r="D2487" s="888" t="s">
        <v>6441</v>
      </c>
      <c r="E2487" s="901">
        <v>4600557062</v>
      </c>
      <c r="F2487" s="1061" t="s">
        <v>7637</v>
      </c>
      <c r="G2487" s="889" t="s">
        <v>39</v>
      </c>
      <c r="H2487" s="890">
        <v>11959.08</v>
      </c>
      <c r="I2487" s="902" t="s">
        <v>62</v>
      </c>
      <c r="J2487" s="892">
        <v>44610</v>
      </c>
      <c r="K2487" s="893">
        <f t="shared" si="157"/>
        <v>91</v>
      </c>
      <c r="L2487" s="892">
        <v>44701</v>
      </c>
      <c r="M2487" s="892" t="s">
        <v>41</v>
      </c>
      <c r="N2487" s="889" t="s">
        <v>42</v>
      </c>
      <c r="O2487" s="892">
        <v>44686</v>
      </c>
      <c r="P2487" s="893">
        <f t="shared" si="158"/>
        <v>-6</v>
      </c>
      <c r="Q2487" s="901" t="s">
        <v>7725</v>
      </c>
      <c r="R2487" s="903">
        <v>44695</v>
      </c>
      <c r="S2487" s="904">
        <v>44698</v>
      </c>
      <c r="T2487" s="904">
        <v>44715</v>
      </c>
      <c r="U2487" s="893">
        <f t="shared" si="159"/>
        <v>105</v>
      </c>
      <c r="V2487" s="893" t="s">
        <v>752</v>
      </c>
      <c r="W2487" s="1106" t="s">
        <v>7726</v>
      </c>
      <c r="X2487" s="905"/>
      <c r="Y2487" s="905"/>
      <c r="Z2487" s="895"/>
      <c r="AA2487" s="889"/>
      <c r="AB2487" s="892">
        <v>44753</v>
      </c>
      <c r="AC2487" s="476" t="s">
        <v>7641</v>
      </c>
      <c r="AD2487" s="645" t="str">
        <f t="shared" si="160"/>
        <v>en término</v>
      </c>
      <c r="AE2487" s="468" t="s">
        <v>7718</v>
      </c>
      <c r="AF2487" s="468" t="s">
        <v>2937</v>
      </c>
      <c r="AG2487" s="1099">
        <f t="shared" si="161"/>
        <v>44758</v>
      </c>
      <c r="AH2487" s="649">
        <f t="shared" si="162"/>
        <v>-5</v>
      </c>
      <c r="AI2487" s="649" t="str">
        <f t="shared" si="163"/>
        <v>en término</v>
      </c>
    </row>
    <row r="2488" spans="2:35" s="649" customFormat="1" ht="54.95" customHeight="1" thickBot="1" x14ac:dyDescent="0.25">
      <c r="B2488" s="900" t="s">
        <v>36</v>
      </c>
      <c r="C2488" s="887" t="s">
        <v>7534</v>
      </c>
      <c r="D2488" s="888" t="s">
        <v>6441</v>
      </c>
      <c r="E2488" s="901">
        <v>4600557062</v>
      </c>
      <c r="F2488" s="1061" t="s">
        <v>7645</v>
      </c>
      <c r="G2488" s="889" t="s">
        <v>39</v>
      </c>
      <c r="H2488" s="890">
        <v>25599.8</v>
      </c>
      <c r="I2488" s="902" t="s">
        <v>40</v>
      </c>
      <c r="J2488" s="892">
        <v>44629</v>
      </c>
      <c r="K2488" s="893">
        <f t="shared" si="157"/>
        <v>79</v>
      </c>
      <c r="L2488" s="892">
        <v>44708</v>
      </c>
      <c r="M2488" s="892" t="s">
        <v>41</v>
      </c>
      <c r="N2488" s="889" t="s">
        <v>42</v>
      </c>
      <c r="O2488" s="892">
        <v>44686</v>
      </c>
      <c r="P2488" s="893">
        <f t="shared" si="158"/>
        <v>-13</v>
      </c>
      <c r="Q2488" s="901" t="s">
        <v>7725</v>
      </c>
      <c r="R2488" s="903">
        <v>44695</v>
      </c>
      <c r="S2488" s="904">
        <v>44698</v>
      </c>
      <c r="T2488" s="904">
        <v>44715</v>
      </c>
      <c r="U2488" s="893">
        <f t="shared" si="159"/>
        <v>86</v>
      </c>
      <c r="V2488" s="893" t="s">
        <v>7646</v>
      </c>
      <c r="W2488" s="1106" t="s">
        <v>7726</v>
      </c>
      <c r="X2488" s="905"/>
      <c r="Y2488" s="905"/>
      <c r="Z2488" s="895"/>
      <c r="AA2488" s="889"/>
      <c r="AB2488" s="892">
        <v>44753</v>
      </c>
      <c r="AC2488" s="476" t="s">
        <v>7647</v>
      </c>
      <c r="AD2488" s="645" t="str">
        <f t="shared" si="160"/>
        <v>en término</v>
      </c>
      <c r="AE2488" s="468" t="s">
        <v>7718</v>
      </c>
      <c r="AF2488" s="468" t="s">
        <v>2937</v>
      </c>
      <c r="AG2488" s="1099">
        <f t="shared" si="161"/>
        <v>44758</v>
      </c>
      <c r="AH2488" s="649">
        <f t="shared" si="162"/>
        <v>-5</v>
      </c>
      <c r="AI2488" s="649" t="str">
        <f t="shared" si="163"/>
        <v>en término</v>
      </c>
    </row>
    <row r="2489" spans="2:35" s="649" customFormat="1" ht="54.95" customHeight="1" thickBot="1" x14ac:dyDescent="0.25">
      <c r="B2489" s="900" t="s">
        <v>36</v>
      </c>
      <c r="C2489" s="887" t="s">
        <v>7534</v>
      </c>
      <c r="D2489" s="888" t="s">
        <v>7657</v>
      </c>
      <c r="E2489" s="901"/>
      <c r="F2489" s="1061" t="s">
        <v>7658</v>
      </c>
      <c r="G2489" s="889" t="s">
        <v>39</v>
      </c>
      <c r="H2489" s="890">
        <v>24058</v>
      </c>
      <c r="I2489" s="902"/>
      <c r="J2489" s="892">
        <v>44635</v>
      </c>
      <c r="K2489" s="893">
        <f t="shared" si="157"/>
        <v>15</v>
      </c>
      <c r="L2489" s="892">
        <v>44650</v>
      </c>
      <c r="M2489" s="892" t="s">
        <v>41</v>
      </c>
      <c r="N2489" s="889" t="s">
        <v>42</v>
      </c>
      <c r="O2489" s="892">
        <v>44686</v>
      </c>
      <c r="P2489" s="893">
        <f t="shared" si="158"/>
        <v>45</v>
      </c>
      <c r="Q2489" s="901" t="s">
        <v>7725</v>
      </c>
      <c r="R2489" s="903">
        <v>44695</v>
      </c>
      <c r="S2489" s="904">
        <v>44698</v>
      </c>
      <c r="T2489" s="904">
        <v>44715</v>
      </c>
      <c r="U2489" s="893">
        <f t="shared" si="159"/>
        <v>80</v>
      </c>
      <c r="V2489" s="893" t="s">
        <v>7659</v>
      </c>
      <c r="W2489" s="1106" t="s">
        <v>7726</v>
      </c>
      <c r="X2489" s="905"/>
      <c r="Y2489" s="905"/>
      <c r="Z2489" s="895"/>
      <c r="AA2489" s="889"/>
      <c r="AB2489" s="892">
        <v>44753</v>
      </c>
      <c r="AC2489" s="476" t="s">
        <v>7660</v>
      </c>
      <c r="AD2489" s="645" t="str">
        <f t="shared" si="160"/>
        <v>atrasado</v>
      </c>
      <c r="AE2489" s="468" t="s">
        <v>7718</v>
      </c>
      <c r="AF2489" s="468" t="s">
        <v>2937</v>
      </c>
      <c r="AG2489" s="1099">
        <f t="shared" si="161"/>
        <v>44758</v>
      </c>
      <c r="AH2489" s="649">
        <f t="shared" si="162"/>
        <v>-5</v>
      </c>
      <c r="AI2489" s="649" t="str">
        <f t="shared" si="163"/>
        <v>en término</v>
      </c>
    </row>
    <row r="2490" spans="2:35" s="649" customFormat="1" ht="54.95" customHeight="1" thickBot="1" x14ac:dyDescent="0.25">
      <c r="B2490" s="900" t="s">
        <v>36</v>
      </c>
      <c r="C2490" s="887" t="s">
        <v>7534</v>
      </c>
      <c r="D2490" s="888" t="s">
        <v>7664</v>
      </c>
      <c r="E2490" s="901"/>
      <c r="F2490" s="1061" t="s">
        <v>7663</v>
      </c>
      <c r="G2490" s="889" t="s">
        <v>39</v>
      </c>
      <c r="H2490" s="890">
        <v>9848</v>
      </c>
      <c r="I2490" s="902"/>
      <c r="J2490" s="892">
        <v>44635</v>
      </c>
      <c r="K2490" s="893">
        <f t="shared" si="157"/>
        <v>15</v>
      </c>
      <c r="L2490" s="892">
        <v>44650</v>
      </c>
      <c r="M2490" s="892" t="s">
        <v>41</v>
      </c>
      <c r="N2490" s="889" t="s">
        <v>42</v>
      </c>
      <c r="O2490" s="892">
        <v>44686</v>
      </c>
      <c r="P2490" s="893">
        <f t="shared" si="158"/>
        <v>45</v>
      </c>
      <c r="Q2490" s="901" t="s">
        <v>7725</v>
      </c>
      <c r="R2490" s="903">
        <v>44695</v>
      </c>
      <c r="S2490" s="904">
        <v>44698</v>
      </c>
      <c r="T2490" s="904">
        <v>44715</v>
      </c>
      <c r="U2490" s="893">
        <f t="shared" si="159"/>
        <v>80</v>
      </c>
      <c r="V2490" s="893" t="s">
        <v>7662</v>
      </c>
      <c r="W2490" s="1106" t="s">
        <v>7726</v>
      </c>
      <c r="X2490" s="905"/>
      <c r="Y2490" s="905"/>
      <c r="Z2490" s="895"/>
      <c r="AA2490" s="889"/>
      <c r="AB2490" s="892">
        <v>44753</v>
      </c>
      <c r="AC2490" s="476" t="s">
        <v>7661</v>
      </c>
      <c r="AD2490" s="645" t="str">
        <f t="shared" si="160"/>
        <v>atrasado</v>
      </c>
      <c r="AE2490" s="468" t="s">
        <v>7718</v>
      </c>
      <c r="AF2490" s="468" t="s">
        <v>2937</v>
      </c>
      <c r="AG2490" s="1099">
        <f t="shared" si="161"/>
        <v>44758</v>
      </c>
      <c r="AH2490" s="649">
        <f t="shared" si="162"/>
        <v>-5</v>
      </c>
      <c r="AI2490" s="649" t="str">
        <f t="shared" si="163"/>
        <v>en término</v>
      </c>
    </row>
    <row r="2491" spans="2:35" s="649" customFormat="1" ht="54.95" customHeight="1" thickBot="1" x14ac:dyDescent="0.25">
      <c r="B2491" s="900" t="s">
        <v>36</v>
      </c>
      <c r="C2491" s="887" t="s">
        <v>7534</v>
      </c>
      <c r="D2491" s="888" t="s">
        <v>7650</v>
      </c>
      <c r="E2491" s="901" t="s">
        <v>7648</v>
      </c>
      <c r="F2491" s="1061" t="s">
        <v>7649</v>
      </c>
      <c r="G2491" s="889" t="s">
        <v>39</v>
      </c>
      <c r="H2491" s="890">
        <v>61800</v>
      </c>
      <c r="I2491" s="902" t="s">
        <v>40</v>
      </c>
      <c r="J2491" s="892">
        <v>44629</v>
      </c>
      <c r="K2491" s="893">
        <f t="shared" ref="K2491:K2508" si="164">+L2491-J2491</f>
        <v>98</v>
      </c>
      <c r="L2491" s="892">
        <v>44727</v>
      </c>
      <c r="M2491" s="892" t="s">
        <v>41</v>
      </c>
      <c r="N2491" s="889" t="s">
        <v>42</v>
      </c>
      <c r="O2491" s="892">
        <v>44708</v>
      </c>
      <c r="P2491" s="893">
        <f t="shared" ref="P2491:P2508" si="165">IF(R2491="","",+R2491-L2491)</f>
        <v>-11</v>
      </c>
      <c r="Q2491" s="901" t="s">
        <v>7734</v>
      </c>
      <c r="R2491" s="903">
        <v>44716</v>
      </c>
      <c r="S2491" s="904">
        <v>44719</v>
      </c>
      <c r="T2491" s="904">
        <v>44736</v>
      </c>
      <c r="U2491" s="893">
        <f t="shared" ref="U2491:U2508" si="166">IF(T2491="","",+T2491-J2491)</f>
        <v>107</v>
      </c>
      <c r="V2491" s="893" t="s">
        <v>750</v>
      </c>
      <c r="W2491" s="1106" t="s">
        <v>7735</v>
      </c>
      <c r="X2491" s="905"/>
      <c r="Y2491" s="905"/>
      <c r="Z2491" s="895"/>
      <c r="AA2491" s="889"/>
      <c r="AB2491" s="892">
        <v>44768</v>
      </c>
      <c r="AC2491" s="476" t="s">
        <v>7651</v>
      </c>
      <c r="AD2491" s="645" t="str">
        <f t="shared" ref="AD2491:AD2508" si="167">IF(P2491="","",IF(P2491&lt;=0,"en término","atrasado"))</f>
        <v>en término</v>
      </c>
      <c r="AE2491" s="468" t="s">
        <v>7736</v>
      </c>
      <c r="AF2491" s="468" t="s">
        <v>2937</v>
      </c>
      <c r="AG2491" s="1099">
        <f t="shared" ref="AG2491:AG2508" si="168">+S2491+60</f>
        <v>44779</v>
      </c>
      <c r="AH2491" s="649">
        <f t="shared" ref="AH2491:AH2508" si="169">IF(AB2491="","",+AB2491-AG2491)</f>
        <v>-11</v>
      </c>
      <c r="AI2491" s="649" t="str">
        <f t="shared" ref="AI2491:AI2508" si="170">IF(AH2491="","",IF(AH2491&lt;=0,"en término","atrasado"))</f>
        <v>en término</v>
      </c>
    </row>
    <row r="2492" spans="2:35" s="649" customFormat="1" ht="54.95" customHeight="1" thickBot="1" x14ac:dyDescent="0.25">
      <c r="B2492" s="900" t="s">
        <v>36</v>
      </c>
      <c r="C2492" s="887" t="s">
        <v>7534</v>
      </c>
      <c r="D2492" s="888" t="s">
        <v>6441</v>
      </c>
      <c r="E2492" s="901">
        <v>4600557062</v>
      </c>
      <c r="F2492" s="1061" t="s">
        <v>7653</v>
      </c>
      <c r="G2492" s="889" t="s">
        <v>39</v>
      </c>
      <c r="H2492" s="890">
        <v>18536</v>
      </c>
      <c r="I2492" s="902" t="s">
        <v>40</v>
      </c>
      <c r="J2492" s="892">
        <v>44630</v>
      </c>
      <c r="K2492" s="893">
        <f t="shared" si="164"/>
        <v>89</v>
      </c>
      <c r="L2492" s="892">
        <v>44719</v>
      </c>
      <c r="M2492" s="892" t="s">
        <v>41</v>
      </c>
      <c r="N2492" s="889" t="s">
        <v>42</v>
      </c>
      <c r="O2492" s="892">
        <v>44708</v>
      </c>
      <c r="P2492" s="893">
        <f t="shared" si="165"/>
        <v>-3</v>
      </c>
      <c r="Q2492" s="901" t="s">
        <v>7734</v>
      </c>
      <c r="R2492" s="903">
        <v>44716</v>
      </c>
      <c r="S2492" s="904">
        <v>44719</v>
      </c>
      <c r="T2492" s="904">
        <v>44736</v>
      </c>
      <c r="U2492" s="893">
        <f t="shared" si="166"/>
        <v>106</v>
      </c>
      <c r="V2492" s="893" t="s">
        <v>925</v>
      </c>
      <c r="W2492" s="1106" t="s">
        <v>7735</v>
      </c>
      <c r="X2492" s="905"/>
      <c r="Y2492" s="905"/>
      <c r="Z2492" s="895"/>
      <c r="AA2492" s="889"/>
      <c r="AB2492" s="892">
        <v>44768</v>
      </c>
      <c r="AC2492" s="476" t="s">
        <v>7654</v>
      </c>
      <c r="AD2492" s="645" t="str">
        <f t="shared" si="167"/>
        <v>en término</v>
      </c>
      <c r="AE2492" s="468" t="s">
        <v>7736</v>
      </c>
      <c r="AF2492" s="468" t="s">
        <v>2937</v>
      </c>
      <c r="AG2492" s="1099">
        <f t="shared" si="168"/>
        <v>44779</v>
      </c>
      <c r="AH2492" s="649">
        <f t="shared" si="169"/>
        <v>-11</v>
      </c>
      <c r="AI2492" s="649" t="str">
        <f t="shared" si="170"/>
        <v>en término</v>
      </c>
    </row>
    <row r="2493" spans="2:35" s="649" customFormat="1" ht="54.95" customHeight="1" thickBot="1" x14ac:dyDescent="0.25">
      <c r="B2493" s="900" t="s">
        <v>36</v>
      </c>
      <c r="C2493" s="887" t="s">
        <v>7534</v>
      </c>
      <c r="D2493" s="888" t="s">
        <v>6441</v>
      </c>
      <c r="E2493" s="901">
        <v>4600557062</v>
      </c>
      <c r="F2493" s="1061" t="s">
        <v>7550</v>
      </c>
      <c r="G2493" s="889" t="s">
        <v>39</v>
      </c>
      <c r="H2493" s="890">
        <v>63940</v>
      </c>
      <c r="I2493" s="902" t="s">
        <v>40</v>
      </c>
      <c r="J2493" s="892">
        <v>44517</v>
      </c>
      <c r="K2493" s="893">
        <f t="shared" si="164"/>
        <v>177</v>
      </c>
      <c r="L2493" s="892">
        <v>44694</v>
      </c>
      <c r="M2493" s="892" t="s">
        <v>41</v>
      </c>
      <c r="N2493" s="889" t="s">
        <v>42</v>
      </c>
      <c r="O2493" s="892">
        <v>44722</v>
      </c>
      <c r="P2493" s="893">
        <f t="shared" si="165"/>
        <v>36</v>
      </c>
      <c r="Q2493" s="901" t="s">
        <v>7737</v>
      </c>
      <c r="R2493" s="903">
        <v>44730</v>
      </c>
      <c r="S2493" s="904">
        <v>44732</v>
      </c>
      <c r="T2493" s="904">
        <v>44750</v>
      </c>
      <c r="U2493" s="893">
        <f t="shared" si="166"/>
        <v>233</v>
      </c>
      <c r="V2493" s="893" t="s">
        <v>7583</v>
      </c>
      <c r="W2493" s="1106" t="s">
        <v>7748</v>
      </c>
      <c r="X2493" s="905"/>
      <c r="Y2493" s="905"/>
      <c r="Z2493" s="895"/>
      <c r="AA2493" s="889"/>
      <c r="AB2493" s="892">
        <v>44792</v>
      </c>
      <c r="AC2493" s="476" t="s">
        <v>7678</v>
      </c>
      <c r="AD2493" s="645" t="str">
        <f t="shared" si="167"/>
        <v>atrasado</v>
      </c>
      <c r="AE2493" s="468" t="s">
        <v>7747</v>
      </c>
      <c r="AF2493" s="468" t="s">
        <v>2943</v>
      </c>
      <c r="AG2493" s="1099">
        <f t="shared" si="168"/>
        <v>44792</v>
      </c>
      <c r="AH2493" s="649">
        <f t="shared" si="169"/>
        <v>0</v>
      </c>
      <c r="AI2493" s="649" t="str">
        <f t="shared" si="170"/>
        <v>en término</v>
      </c>
    </row>
    <row r="2494" spans="2:35" s="649" customFormat="1" ht="54.95" customHeight="1" thickBot="1" x14ac:dyDescent="0.25">
      <c r="B2494" s="900" t="s">
        <v>36</v>
      </c>
      <c r="C2494" s="887" t="s">
        <v>7534</v>
      </c>
      <c r="D2494" s="888" t="s">
        <v>6441</v>
      </c>
      <c r="E2494" s="901">
        <v>4600557062</v>
      </c>
      <c r="F2494" s="1061" t="s">
        <v>7669</v>
      </c>
      <c r="G2494" s="889" t="s">
        <v>39</v>
      </c>
      <c r="H2494" s="890">
        <v>13590</v>
      </c>
      <c r="I2494" s="902" t="s">
        <v>40</v>
      </c>
      <c r="J2494" s="892">
        <v>44651</v>
      </c>
      <c r="K2494" s="893">
        <f t="shared" si="164"/>
        <v>89</v>
      </c>
      <c r="L2494" s="892">
        <v>44740</v>
      </c>
      <c r="M2494" s="892" t="s">
        <v>41</v>
      </c>
      <c r="N2494" s="889" t="s">
        <v>42</v>
      </c>
      <c r="O2494" s="892">
        <v>44722</v>
      </c>
      <c r="P2494" s="893">
        <f t="shared" si="165"/>
        <v>-10</v>
      </c>
      <c r="Q2494" s="901" t="s">
        <v>7737</v>
      </c>
      <c r="R2494" s="903">
        <v>44730</v>
      </c>
      <c r="S2494" s="904">
        <v>44732</v>
      </c>
      <c r="T2494" s="904">
        <v>44750</v>
      </c>
      <c r="U2494" s="893">
        <f t="shared" si="166"/>
        <v>99</v>
      </c>
      <c r="V2494" s="893" t="s">
        <v>950</v>
      </c>
      <c r="W2494" s="1106" t="s">
        <v>7748</v>
      </c>
      <c r="X2494" s="905"/>
      <c r="Y2494" s="905"/>
      <c r="Z2494" s="895"/>
      <c r="AA2494" s="889"/>
      <c r="AB2494" s="892">
        <v>44792</v>
      </c>
      <c r="AC2494" s="476" t="s">
        <v>7670</v>
      </c>
      <c r="AD2494" s="645" t="str">
        <f t="shared" si="167"/>
        <v>en término</v>
      </c>
      <c r="AE2494" s="468" t="s">
        <v>7747</v>
      </c>
      <c r="AF2494" s="468" t="s">
        <v>2943</v>
      </c>
      <c r="AG2494" s="1099">
        <f t="shared" si="168"/>
        <v>44792</v>
      </c>
      <c r="AH2494" s="649">
        <f t="shared" si="169"/>
        <v>0</v>
      </c>
      <c r="AI2494" s="649" t="str">
        <f t="shared" si="170"/>
        <v>en término</v>
      </c>
    </row>
    <row r="2495" spans="2:35" s="649" customFormat="1" ht="54.95" customHeight="1" thickBot="1" x14ac:dyDescent="0.25">
      <c r="B2495" s="900" t="s">
        <v>36</v>
      </c>
      <c r="C2495" s="887" t="s">
        <v>7534</v>
      </c>
      <c r="D2495" s="888" t="s">
        <v>7686</v>
      </c>
      <c r="E2495" s="1535" t="s">
        <v>7688</v>
      </c>
      <c r="F2495" s="1061" t="s">
        <v>7687</v>
      </c>
      <c r="G2495" s="889" t="s">
        <v>39</v>
      </c>
      <c r="H2495" s="890">
        <v>74418</v>
      </c>
      <c r="I2495" s="902"/>
      <c r="J2495" s="892">
        <v>44671</v>
      </c>
      <c r="K2495" s="893">
        <f t="shared" si="164"/>
        <v>110</v>
      </c>
      <c r="L2495" s="892">
        <v>44781</v>
      </c>
      <c r="M2495" s="892" t="s">
        <v>41</v>
      </c>
      <c r="N2495" s="889" t="s">
        <v>42</v>
      </c>
      <c r="O2495" s="892">
        <v>44722</v>
      </c>
      <c r="P2495" s="893">
        <f t="shared" si="165"/>
        <v>-51</v>
      </c>
      <c r="Q2495" s="901" t="s">
        <v>7737</v>
      </c>
      <c r="R2495" s="903">
        <v>44730</v>
      </c>
      <c r="S2495" s="904">
        <v>44732</v>
      </c>
      <c r="T2495" s="904">
        <v>44750</v>
      </c>
      <c r="U2495" s="893">
        <f t="shared" si="166"/>
        <v>79</v>
      </c>
      <c r="V2495" s="893" t="s">
        <v>7689</v>
      </c>
      <c r="W2495" s="1106" t="s">
        <v>7748</v>
      </c>
      <c r="X2495" s="905"/>
      <c r="Y2495" s="905"/>
      <c r="Z2495" s="895"/>
      <c r="AA2495" s="889"/>
      <c r="AB2495" s="892">
        <v>44792</v>
      </c>
      <c r="AC2495" s="476" t="s">
        <v>7690</v>
      </c>
      <c r="AD2495" s="645" t="str">
        <f t="shared" si="167"/>
        <v>en término</v>
      </c>
      <c r="AE2495" s="468" t="s">
        <v>7747</v>
      </c>
      <c r="AF2495" s="468" t="s">
        <v>2943</v>
      </c>
      <c r="AG2495" s="1099">
        <f t="shared" si="168"/>
        <v>44792</v>
      </c>
      <c r="AH2495" s="649">
        <f t="shared" si="169"/>
        <v>0</v>
      </c>
      <c r="AI2495" s="649" t="str">
        <f t="shared" si="170"/>
        <v>en término</v>
      </c>
    </row>
    <row r="2496" spans="2:35" s="649" customFormat="1" ht="54.95" customHeight="1" thickBot="1" x14ac:dyDescent="0.25">
      <c r="B2496" s="900" t="s">
        <v>36</v>
      </c>
      <c r="C2496" s="887" t="s">
        <v>7534</v>
      </c>
      <c r="D2496" s="888" t="s">
        <v>7691</v>
      </c>
      <c r="E2496" s="1535" t="s">
        <v>7693</v>
      </c>
      <c r="F2496" s="1061" t="s">
        <v>7692</v>
      </c>
      <c r="G2496" s="889" t="s">
        <v>39</v>
      </c>
      <c r="H2496" s="890">
        <v>153908</v>
      </c>
      <c r="I2496" s="902"/>
      <c r="J2496" s="892">
        <v>44671</v>
      </c>
      <c r="K2496" s="893">
        <f t="shared" si="164"/>
        <v>109</v>
      </c>
      <c r="L2496" s="892">
        <v>44780</v>
      </c>
      <c r="M2496" s="892" t="s">
        <v>41</v>
      </c>
      <c r="N2496" s="889" t="s">
        <v>42</v>
      </c>
      <c r="O2496" s="892">
        <v>44722</v>
      </c>
      <c r="P2496" s="893">
        <f t="shared" si="165"/>
        <v>-50</v>
      </c>
      <c r="Q2496" s="901" t="s">
        <v>7737</v>
      </c>
      <c r="R2496" s="903">
        <v>44730</v>
      </c>
      <c r="S2496" s="904">
        <v>44732</v>
      </c>
      <c r="T2496" s="904">
        <v>44750</v>
      </c>
      <c r="U2496" s="893">
        <f t="shared" si="166"/>
        <v>79</v>
      </c>
      <c r="V2496" s="893" t="s">
        <v>7694</v>
      </c>
      <c r="W2496" s="1106" t="s">
        <v>7748</v>
      </c>
      <c r="X2496" s="905"/>
      <c r="Y2496" s="905"/>
      <c r="Z2496" s="895"/>
      <c r="AA2496" s="889"/>
      <c r="AB2496" s="892">
        <v>44792</v>
      </c>
      <c r="AC2496" s="476" t="s">
        <v>7695</v>
      </c>
      <c r="AD2496" s="645" t="str">
        <f t="shared" si="167"/>
        <v>en término</v>
      </c>
      <c r="AE2496" s="468" t="s">
        <v>7747</v>
      </c>
      <c r="AF2496" s="468" t="s">
        <v>2943</v>
      </c>
      <c r="AG2496" s="1099">
        <f t="shared" si="168"/>
        <v>44792</v>
      </c>
      <c r="AH2496" s="649">
        <f t="shared" si="169"/>
        <v>0</v>
      </c>
      <c r="AI2496" s="649" t="str">
        <f t="shared" si="170"/>
        <v>en término</v>
      </c>
    </row>
    <row r="2497" spans="2:35" s="649" customFormat="1" ht="54.95" customHeight="1" thickBot="1" x14ac:dyDescent="0.25">
      <c r="B2497" s="900" t="s">
        <v>36</v>
      </c>
      <c r="C2497" s="887" t="s">
        <v>7534</v>
      </c>
      <c r="D2497" s="888" t="s">
        <v>6441</v>
      </c>
      <c r="E2497" s="901">
        <v>4600557062</v>
      </c>
      <c r="F2497" s="1061" t="s">
        <v>7672</v>
      </c>
      <c r="G2497" s="889" t="s">
        <v>39</v>
      </c>
      <c r="H2497" s="890">
        <v>5836.36</v>
      </c>
      <c r="I2497" s="902" t="s">
        <v>52</v>
      </c>
      <c r="J2497" s="892">
        <v>44658</v>
      </c>
      <c r="K2497" s="893">
        <f t="shared" si="164"/>
        <v>89</v>
      </c>
      <c r="L2497" s="892">
        <v>44747</v>
      </c>
      <c r="M2497" s="892" t="s">
        <v>41</v>
      </c>
      <c r="N2497" s="889" t="s">
        <v>42</v>
      </c>
      <c r="O2497" s="892">
        <v>44743</v>
      </c>
      <c r="P2497" s="893">
        <f t="shared" si="165"/>
        <v>4</v>
      </c>
      <c r="Q2497" s="901" t="s">
        <v>7742</v>
      </c>
      <c r="R2497" s="903">
        <v>44751</v>
      </c>
      <c r="S2497" s="904">
        <v>44753</v>
      </c>
      <c r="T2497" s="904">
        <v>44771</v>
      </c>
      <c r="U2497" s="893">
        <f t="shared" si="166"/>
        <v>113</v>
      </c>
      <c r="V2497" s="893" t="s">
        <v>5467</v>
      </c>
      <c r="W2497" s="1106" t="s">
        <v>7754</v>
      </c>
      <c r="X2497" s="905"/>
      <c r="Y2497" s="905"/>
      <c r="Z2497" s="895"/>
      <c r="AA2497" s="889"/>
      <c r="AB2497" s="892">
        <v>44812</v>
      </c>
      <c r="AC2497" s="476" t="s">
        <v>7673</v>
      </c>
      <c r="AD2497" s="645" t="str">
        <f t="shared" si="167"/>
        <v>atrasado</v>
      </c>
      <c r="AE2497" s="468" t="s">
        <v>7753</v>
      </c>
      <c r="AF2497" s="468" t="s">
        <v>2949</v>
      </c>
      <c r="AG2497" s="1099">
        <f t="shared" si="168"/>
        <v>44813</v>
      </c>
      <c r="AH2497" s="649">
        <f t="shared" si="169"/>
        <v>-1</v>
      </c>
      <c r="AI2497" s="649" t="str">
        <f t="shared" si="170"/>
        <v>en término</v>
      </c>
    </row>
    <row r="2498" spans="2:35" s="649" customFormat="1" ht="54.95" customHeight="1" thickBot="1" x14ac:dyDescent="0.25">
      <c r="B2498" s="900" t="s">
        <v>36</v>
      </c>
      <c r="C2498" s="887" t="s">
        <v>7534</v>
      </c>
      <c r="D2498" s="888" t="s">
        <v>6441</v>
      </c>
      <c r="E2498" s="901">
        <v>4600557062</v>
      </c>
      <c r="F2498" s="1061" t="s">
        <v>7683</v>
      </c>
      <c r="G2498" s="889" t="s">
        <v>39</v>
      </c>
      <c r="H2498" s="890">
        <v>14390.42</v>
      </c>
      <c r="I2498" s="902" t="s">
        <v>40</v>
      </c>
      <c r="J2498" s="892">
        <v>44669</v>
      </c>
      <c r="K2498" s="893">
        <f t="shared" si="164"/>
        <v>89</v>
      </c>
      <c r="L2498" s="892">
        <v>44758</v>
      </c>
      <c r="M2498" s="892" t="s">
        <v>41</v>
      </c>
      <c r="N2498" s="889" t="s">
        <v>42</v>
      </c>
      <c r="O2498" s="892">
        <v>44743</v>
      </c>
      <c r="P2498" s="893">
        <f t="shared" si="165"/>
        <v>-7</v>
      </c>
      <c r="Q2498" s="901" t="s">
        <v>7742</v>
      </c>
      <c r="R2498" s="903">
        <v>44751</v>
      </c>
      <c r="S2498" s="904">
        <v>44753</v>
      </c>
      <c r="T2498" s="904">
        <v>44771</v>
      </c>
      <c r="U2498" s="893">
        <f t="shared" si="166"/>
        <v>102</v>
      </c>
      <c r="V2498" s="893" t="s">
        <v>7684</v>
      </c>
      <c r="W2498" s="1106" t="s">
        <v>7754</v>
      </c>
      <c r="X2498" s="905"/>
      <c r="Y2498" s="905"/>
      <c r="Z2498" s="895"/>
      <c r="AA2498" s="889"/>
      <c r="AB2498" s="892">
        <v>44812</v>
      </c>
      <c r="AC2498" s="476" t="s">
        <v>7741</v>
      </c>
      <c r="AD2498" s="645" t="str">
        <f t="shared" si="167"/>
        <v>en término</v>
      </c>
      <c r="AE2498" s="468" t="s">
        <v>7753</v>
      </c>
      <c r="AF2498" s="468" t="s">
        <v>2949</v>
      </c>
      <c r="AG2498" s="1099">
        <f t="shared" si="168"/>
        <v>44813</v>
      </c>
      <c r="AH2498" s="649">
        <f t="shared" si="169"/>
        <v>-1</v>
      </c>
      <c r="AI2498" s="649" t="str">
        <f t="shared" si="170"/>
        <v>en término</v>
      </c>
    </row>
    <row r="2499" spans="2:35" s="649" customFormat="1" ht="54.95" customHeight="1" thickBot="1" x14ac:dyDescent="0.25">
      <c r="B2499" s="900" t="s">
        <v>36</v>
      </c>
      <c r="C2499" s="887" t="s">
        <v>7534</v>
      </c>
      <c r="D2499" s="888" t="s">
        <v>7679</v>
      </c>
      <c r="E2499" s="1535" t="s">
        <v>7682</v>
      </c>
      <c r="F2499" s="1061" t="s">
        <v>7680</v>
      </c>
      <c r="G2499" s="889" t="s">
        <v>39</v>
      </c>
      <c r="H2499" s="890">
        <v>12982</v>
      </c>
      <c r="I2499" s="902" t="s">
        <v>40</v>
      </c>
      <c r="J2499" s="892">
        <v>44669</v>
      </c>
      <c r="K2499" s="893">
        <f t="shared" si="164"/>
        <v>109</v>
      </c>
      <c r="L2499" s="892">
        <v>44778</v>
      </c>
      <c r="M2499" s="892" t="s">
        <v>41</v>
      </c>
      <c r="N2499" s="889" t="s">
        <v>42</v>
      </c>
      <c r="O2499" s="892">
        <v>44761</v>
      </c>
      <c r="P2499" s="893">
        <f t="shared" si="165"/>
        <v>-4</v>
      </c>
      <c r="Q2499" s="901" t="s">
        <v>7755</v>
      </c>
      <c r="R2499" s="903">
        <v>44774</v>
      </c>
      <c r="S2499" s="904">
        <v>44781</v>
      </c>
      <c r="T2499" s="904">
        <v>44799</v>
      </c>
      <c r="U2499" s="893">
        <f t="shared" si="166"/>
        <v>130</v>
      </c>
      <c r="V2499" s="893" t="s">
        <v>7681</v>
      </c>
      <c r="W2499" s="1106" t="s">
        <v>7777</v>
      </c>
      <c r="X2499" s="905"/>
      <c r="Y2499" s="905"/>
      <c r="Z2499" s="895"/>
      <c r="AA2499" s="889"/>
      <c r="AB2499" s="892">
        <v>44840</v>
      </c>
      <c r="AC2499" s="476" t="s">
        <v>7756</v>
      </c>
      <c r="AD2499" s="645" t="str">
        <f t="shared" si="167"/>
        <v>en término</v>
      </c>
      <c r="AE2499" s="468" t="s">
        <v>7776</v>
      </c>
      <c r="AF2499" s="468" t="s">
        <v>2957</v>
      </c>
      <c r="AG2499" s="1099">
        <f t="shared" si="168"/>
        <v>44841</v>
      </c>
      <c r="AH2499" s="649">
        <f t="shared" si="169"/>
        <v>-1</v>
      </c>
      <c r="AI2499" s="649" t="str">
        <f t="shared" si="170"/>
        <v>en término</v>
      </c>
    </row>
    <row r="2500" spans="2:35" s="649" customFormat="1" ht="54.95" customHeight="1" thickBot="1" x14ac:dyDescent="0.25">
      <c r="B2500" s="900" t="s">
        <v>36</v>
      </c>
      <c r="C2500" s="887" t="s">
        <v>7534</v>
      </c>
      <c r="D2500" s="888" t="s">
        <v>6441</v>
      </c>
      <c r="E2500" s="901">
        <v>4600557062</v>
      </c>
      <c r="F2500" s="1061" t="s">
        <v>7705</v>
      </c>
      <c r="G2500" s="889" t="s">
        <v>39</v>
      </c>
      <c r="H2500" s="890">
        <v>31121.06</v>
      </c>
      <c r="I2500" s="902" t="s">
        <v>40</v>
      </c>
      <c r="J2500" s="892">
        <v>44683</v>
      </c>
      <c r="K2500" s="893">
        <f t="shared" si="164"/>
        <v>88</v>
      </c>
      <c r="L2500" s="892">
        <v>44771</v>
      </c>
      <c r="M2500" s="892" t="s">
        <v>41</v>
      </c>
      <c r="N2500" s="889" t="s">
        <v>42</v>
      </c>
      <c r="O2500" s="892">
        <v>44761</v>
      </c>
      <c r="P2500" s="893">
        <f t="shared" si="165"/>
        <v>3</v>
      </c>
      <c r="Q2500" s="901" t="s">
        <v>7755</v>
      </c>
      <c r="R2500" s="903">
        <v>44774</v>
      </c>
      <c r="S2500" s="904">
        <v>44781</v>
      </c>
      <c r="T2500" s="904">
        <v>44799</v>
      </c>
      <c r="U2500" s="893">
        <f t="shared" si="166"/>
        <v>116</v>
      </c>
      <c r="V2500" s="893" t="s">
        <v>940</v>
      </c>
      <c r="W2500" s="1106" t="s">
        <v>7777</v>
      </c>
      <c r="X2500" s="905"/>
      <c r="Y2500" s="905"/>
      <c r="Z2500" s="895"/>
      <c r="AA2500" s="889"/>
      <c r="AB2500" s="892">
        <v>44840</v>
      </c>
      <c r="AC2500" s="476" t="s">
        <v>7757</v>
      </c>
      <c r="AD2500" s="645" t="str">
        <f t="shared" si="167"/>
        <v>atrasado</v>
      </c>
      <c r="AE2500" s="468" t="s">
        <v>7776</v>
      </c>
      <c r="AF2500" s="468" t="s">
        <v>2957</v>
      </c>
      <c r="AG2500" s="1099">
        <f t="shared" si="168"/>
        <v>44841</v>
      </c>
      <c r="AH2500" s="649">
        <f t="shared" si="169"/>
        <v>-1</v>
      </c>
      <c r="AI2500" s="649" t="str">
        <f t="shared" si="170"/>
        <v>en término</v>
      </c>
    </row>
    <row r="2501" spans="2:35" s="649" customFormat="1" ht="54.95" customHeight="1" thickBot="1" x14ac:dyDescent="0.25">
      <c r="B2501" s="900" t="s">
        <v>36</v>
      </c>
      <c r="C2501" s="887" t="s">
        <v>7534</v>
      </c>
      <c r="D2501" s="888" t="s">
        <v>6441</v>
      </c>
      <c r="E2501" s="901">
        <v>4600557062</v>
      </c>
      <c r="F2501" s="1061" t="s">
        <v>7706</v>
      </c>
      <c r="G2501" s="889" t="s">
        <v>39</v>
      </c>
      <c r="H2501" s="890">
        <v>1594</v>
      </c>
      <c r="I2501" s="902" t="s">
        <v>52</v>
      </c>
      <c r="J2501" s="892">
        <v>44683</v>
      </c>
      <c r="K2501" s="893">
        <f t="shared" si="164"/>
        <v>84</v>
      </c>
      <c r="L2501" s="892">
        <v>44767</v>
      </c>
      <c r="M2501" s="892" t="s">
        <v>41</v>
      </c>
      <c r="N2501" s="889" t="s">
        <v>42</v>
      </c>
      <c r="O2501" s="892">
        <v>44761</v>
      </c>
      <c r="P2501" s="893">
        <f t="shared" si="165"/>
        <v>7</v>
      </c>
      <c r="Q2501" s="901" t="s">
        <v>7755</v>
      </c>
      <c r="R2501" s="903">
        <v>44774</v>
      </c>
      <c r="S2501" s="904">
        <v>44781</v>
      </c>
      <c r="T2501" s="904">
        <v>44799</v>
      </c>
      <c r="U2501" s="893">
        <f t="shared" si="166"/>
        <v>116</v>
      </c>
      <c r="V2501" s="893" t="s">
        <v>53</v>
      </c>
      <c r="W2501" s="1106" t="s">
        <v>7777</v>
      </c>
      <c r="X2501" s="905"/>
      <c r="Y2501" s="905"/>
      <c r="Z2501" s="895"/>
      <c r="AA2501" s="889"/>
      <c r="AB2501" s="892">
        <v>44840</v>
      </c>
      <c r="AC2501" s="476" t="s">
        <v>7758</v>
      </c>
      <c r="AD2501" s="645" t="str">
        <f t="shared" si="167"/>
        <v>atrasado</v>
      </c>
      <c r="AE2501" s="468" t="s">
        <v>7776</v>
      </c>
      <c r="AF2501" s="468" t="s">
        <v>2957</v>
      </c>
      <c r="AG2501" s="1099">
        <f t="shared" si="168"/>
        <v>44841</v>
      </c>
      <c r="AH2501" s="649">
        <f t="shared" si="169"/>
        <v>-1</v>
      </c>
      <c r="AI2501" s="649" t="str">
        <f t="shared" si="170"/>
        <v>en término</v>
      </c>
    </row>
    <row r="2502" spans="2:35" s="649" customFormat="1" ht="54.95" customHeight="1" thickBot="1" x14ac:dyDescent="0.25">
      <c r="B2502" s="900" t="s">
        <v>36</v>
      </c>
      <c r="C2502" s="887" t="s">
        <v>7534</v>
      </c>
      <c r="D2502" s="888" t="s">
        <v>6441</v>
      </c>
      <c r="E2502" s="901">
        <v>4600557062</v>
      </c>
      <c r="F2502" s="1061" t="s">
        <v>7707</v>
      </c>
      <c r="G2502" s="889" t="s">
        <v>39</v>
      </c>
      <c r="H2502" s="890">
        <v>95958.3</v>
      </c>
      <c r="I2502" s="902" t="s">
        <v>142</v>
      </c>
      <c r="J2502" s="892">
        <v>44683</v>
      </c>
      <c r="K2502" s="893">
        <f t="shared" si="164"/>
        <v>84</v>
      </c>
      <c r="L2502" s="892">
        <v>44767</v>
      </c>
      <c r="M2502" s="892" t="s">
        <v>41</v>
      </c>
      <c r="N2502" s="889" t="s">
        <v>42</v>
      </c>
      <c r="O2502" s="892">
        <v>44761</v>
      </c>
      <c r="P2502" s="893">
        <f t="shared" si="165"/>
        <v>7</v>
      </c>
      <c r="Q2502" s="901" t="s">
        <v>7755</v>
      </c>
      <c r="R2502" s="903">
        <v>44774</v>
      </c>
      <c r="S2502" s="904">
        <v>44781</v>
      </c>
      <c r="T2502" s="904">
        <v>44799</v>
      </c>
      <c r="U2502" s="893">
        <f t="shared" si="166"/>
        <v>116</v>
      </c>
      <c r="V2502" s="893" t="s">
        <v>6955</v>
      </c>
      <c r="W2502" s="1106" t="s">
        <v>7777</v>
      </c>
      <c r="X2502" s="905"/>
      <c r="Y2502" s="905"/>
      <c r="Z2502" s="895"/>
      <c r="AA2502" s="889"/>
      <c r="AB2502" s="892">
        <v>44840</v>
      </c>
      <c r="AC2502" s="476" t="s">
        <v>7759</v>
      </c>
      <c r="AD2502" s="645" t="str">
        <f t="shared" si="167"/>
        <v>atrasado</v>
      </c>
      <c r="AE2502" s="468" t="s">
        <v>7776</v>
      </c>
      <c r="AF2502" s="468" t="s">
        <v>2957</v>
      </c>
      <c r="AG2502" s="1099">
        <f t="shared" si="168"/>
        <v>44841</v>
      </c>
      <c r="AH2502" s="649">
        <f t="shared" si="169"/>
        <v>-1</v>
      </c>
      <c r="AI2502" s="649" t="str">
        <f t="shared" si="170"/>
        <v>en término</v>
      </c>
    </row>
    <row r="2503" spans="2:35" s="649" customFormat="1" ht="54.95" customHeight="1" thickBot="1" x14ac:dyDescent="0.25">
      <c r="B2503" s="900" t="s">
        <v>36</v>
      </c>
      <c r="C2503" s="887" t="s">
        <v>7534</v>
      </c>
      <c r="D2503" s="888" t="s">
        <v>6441</v>
      </c>
      <c r="E2503" s="901">
        <v>4600557062</v>
      </c>
      <c r="F2503" s="1061" t="s">
        <v>7709</v>
      </c>
      <c r="G2503" s="889" t="s">
        <v>39</v>
      </c>
      <c r="H2503" s="890">
        <f>172264+24810</f>
        <v>197074</v>
      </c>
      <c r="I2503" s="902" t="s">
        <v>40</v>
      </c>
      <c r="J2503" s="892">
        <v>44683</v>
      </c>
      <c r="K2503" s="893">
        <f t="shared" si="164"/>
        <v>84</v>
      </c>
      <c r="L2503" s="892">
        <v>44767</v>
      </c>
      <c r="M2503" s="892" t="s">
        <v>41</v>
      </c>
      <c r="N2503" s="889" t="s">
        <v>42</v>
      </c>
      <c r="O2503" s="892">
        <v>44761</v>
      </c>
      <c r="P2503" s="893">
        <f t="shared" si="165"/>
        <v>7</v>
      </c>
      <c r="Q2503" s="901" t="s">
        <v>7755</v>
      </c>
      <c r="R2503" s="903">
        <v>44774</v>
      </c>
      <c r="S2503" s="904">
        <v>44781</v>
      </c>
      <c r="T2503" s="904">
        <v>44799</v>
      </c>
      <c r="U2503" s="893">
        <f t="shared" si="166"/>
        <v>116</v>
      </c>
      <c r="V2503" s="893" t="s">
        <v>7708</v>
      </c>
      <c r="W2503" s="1106" t="s">
        <v>7777</v>
      </c>
      <c r="X2503" s="905"/>
      <c r="Y2503" s="905"/>
      <c r="Z2503" s="895"/>
      <c r="AA2503" s="889"/>
      <c r="AB2503" s="892">
        <v>44840</v>
      </c>
      <c r="AC2503" s="476" t="s">
        <v>7760</v>
      </c>
      <c r="AD2503" s="645" t="str">
        <f t="shared" si="167"/>
        <v>atrasado</v>
      </c>
      <c r="AE2503" s="468" t="s">
        <v>7776</v>
      </c>
      <c r="AF2503" s="468" t="s">
        <v>2957</v>
      </c>
      <c r="AG2503" s="1099">
        <f t="shared" si="168"/>
        <v>44841</v>
      </c>
      <c r="AH2503" s="649">
        <f t="shared" si="169"/>
        <v>-1</v>
      </c>
      <c r="AI2503" s="649" t="str">
        <f t="shared" si="170"/>
        <v>en término</v>
      </c>
    </row>
    <row r="2504" spans="2:35" s="649" customFormat="1" ht="54.95" customHeight="1" thickBot="1" x14ac:dyDescent="0.25">
      <c r="B2504" s="900" t="s">
        <v>36</v>
      </c>
      <c r="C2504" s="887" t="s">
        <v>7534</v>
      </c>
      <c r="D2504" s="888" t="s">
        <v>6441</v>
      </c>
      <c r="E2504" s="901">
        <v>4600557062</v>
      </c>
      <c r="F2504" s="1061" t="s">
        <v>7710</v>
      </c>
      <c r="G2504" s="889" t="s">
        <v>39</v>
      </c>
      <c r="H2504" s="890">
        <v>53328</v>
      </c>
      <c r="I2504" s="902" t="s">
        <v>40</v>
      </c>
      <c r="J2504" s="892">
        <v>44683</v>
      </c>
      <c r="K2504" s="893">
        <f t="shared" si="164"/>
        <v>84</v>
      </c>
      <c r="L2504" s="892">
        <v>44767</v>
      </c>
      <c r="M2504" s="892" t="s">
        <v>41</v>
      </c>
      <c r="N2504" s="889" t="s">
        <v>42</v>
      </c>
      <c r="O2504" s="892">
        <v>44761</v>
      </c>
      <c r="P2504" s="893">
        <f t="shared" si="165"/>
        <v>7</v>
      </c>
      <c r="Q2504" s="901" t="s">
        <v>7755</v>
      </c>
      <c r="R2504" s="903">
        <v>44774</v>
      </c>
      <c r="S2504" s="904">
        <v>44781</v>
      </c>
      <c r="T2504" s="904">
        <v>44799</v>
      </c>
      <c r="U2504" s="893">
        <f t="shared" si="166"/>
        <v>116</v>
      </c>
      <c r="V2504" s="893" t="s">
        <v>1402</v>
      </c>
      <c r="W2504" s="1106" t="s">
        <v>7777</v>
      </c>
      <c r="X2504" s="905"/>
      <c r="Y2504" s="905"/>
      <c r="Z2504" s="895"/>
      <c r="AA2504" s="889"/>
      <c r="AB2504" s="892">
        <v>44840</v>
      </c>
      <c r="AC2504" s="476" t="s">
        <v>7761</v>
      </c>
      <c r="AD2504" s="645" t="str">
        <f t="shared" si="167"/>
        <v>atrasado</v>
      </c>
      <c r="AE2504" s="468" t="s">
        <v>7776</v>
      </c>
      <c r="AF2504" s="468" t="s">
        <v>2957</v>
      </c>
      <c r="AG2504" s="1099">
        <f t="shared" si="168"/>
        <v>44841</v>
      </c>
      <c r="AH2504" s="649">
        <f t="shared" si="169"/>
        <v>-1</v>
      </c>
      <c r="AI2504" s="649" t="str">
        <f t="shared" si="170"/>
        <v>en término</v>
      </c>
    </row>
    <row r="2505" spans="2:35" s="649" customFormat="1" ht="54.95" customHeight="1" thickBot="1" x14ac:dyDescent="0.25">
      <c r="B2505" s="900" t="s">
        <v>36</v>
      </c>
      <c r="C2505" s="887" t="s">
        <v>7534</v>
      </c>
      <c r="D2505" s="888" t="s">
        <v>6441</v>
      </c>
      <c r="E2505" s="901">
        <v>4600557062</v>
      </c>
      <c r="F2505" s="1061" t="s">
        <v>7711</v>
      </c>
      <c r="G2505" s="889" t="s">
        <v>39</v>
      </c>
      <c r="H2505" s="890">
        <v>29850</v>
      </c>
      <c r="I2505" s="902" t="s">
        <v>142</v>
      </c>
      <c r="J2505" s="892">
        <v>44683</v>
      </c>
      <c r="K2505" s="893">
        <f t="shared" si="164"/>
        <v>104</v>
      </c>
      <c r="L2505" s="892">
        <v>44787</v>
      </c>
      <c r="M2505" s="892" t="s">
        <v>41</v>
      </c>
      <c r="N2505" s="889" t="s">
        <v>42</v>
      </c>
      <c r="O2505" s="892">
        <v>44771</v>
      </c>
      <c r="P2505" s="893">
        <f t="shared" si="165"/>
        <v>-13</v>
      </c>
      <c r="Q2505" s="901" t="s">
        <v>7755</v>
      </c>
      <c r="R2505" s="903">
        <v>44774</v>
      </c>
      <c r="S2505" s="904">
        <v>44781</v>
      </c>
      <c r="T2505" s="904">
        <v>44799</v>
      </c>
      <c r="U2505" s="893">
        <f t="shared" si="166"/>
        <v>116</v>
      </c>
      <c r="V2505" s="893" t="s">
        <v>1087</v>
      </c>
      <c r="W2505" s="1106" t="s">
        <v>7777</v>
      </c>
      <c r="X2505" s="905"/>
      <c r="Y2505" s="905"/>
      <c r="Z2505" s="895"/>
      <c r="AA2505" s="889"/>
      <c r="AB2505" s="892">
        <v>44840</v>
      </c>
      <c r="AC2505" s="476" t="s">
        <v>7716</v>
      </c>
      <c r="AD2505" s="645" t="str">
        <f t="shared" si="167"/>
        <v>en término</v>
      </c>
      <c r="AE2505" s="468" t="s">
        <v>7776</v>
      </c>
      <c r="AF2505" s="468" t="s">
        <v>2957</v>
      </c>
      <c r="AG2505" s="1099">
        <f t="shared" si="168"/>
        <v>44841</v>
      </c>
      <c r="AH2505" s="649">
        <f t="shared" si="169"/>
        <v>-1</v>
      </c>
      <c r="AI2505" s="649" t="str">
        <f t="shared" si="170"/>
        <v>en término</v>
      </c>
    </row>
    <row r="2506" spans="2:35" s="649" customFormat="1" ht="54.95" customHeight="1" thickBot="1" x14ac:dyDescent="0.25">
      <c r="B2506" s="900" t="s">
        <v>36</v>
      </c>
      <c r="C2506" s="887" t="s">
        <v>7534</v>
      </c>
      <c r="D2506" s="888" t="s">
        <v>7768</v>
      </c>
      <c r="E2506" s="901"/>
      <c r="F2506" s="1061" t="s">
        <v>7764</v>
      </c>
      <c r="G2506" s="889" t="s">
        <v>39</v>
      </c>
      <c r="H2506" s="890">
        <v>15962</v>
      </c>
      <c r="I2506" s="902" t="s">
        <v>7765</v>
      </c>
      <c r="J2506" s="892">
        <v>44767</v>
      </c>
      <c r="K2506" s="893">
        <f t="shared" si="164"/>
        <v>20</v>
      </c>
      <c r="L2506" s="892">
        <v>44787</v>
      </c>
      <c r="M2506" s="892" t="s">
        <v>41</v>
      </c>
      <c r="N2506" s="889" t="s">
        <v>42</v>
      </c>
      <c r="O2506" s="892">
        <v>44771</v>
      </c>
      <c r="P2506" s="893">
        <f t="shared" si="165"/>
        <v>-13</v>
      </c>
      <c r="Q2506" s="901" t="s">
        <v>7755</v>
      </c>
      <c r="R2506" s="903">
        <v>44774</v>
      </c>
      <c r="S2506" s="904">
        <v>44781</v>
      </c>
      <c r="T2506" s="904">
        <v>44799</v>
      </c>
      <c r="U2506" s="893">
        <f t="shared" si="166"/>
        <v>32</v>
      </c>
      <c r="V2506" s="893" t="s">
        <v>7766</v>
      </c>
      <c r="W2506" s="1106" t="s">
        <v>7777</v>
      </c>
      <c r="X2506" s="905"/>
      <c r="Y2506" s="905"/>
      <c r="Z2506" s="895"/>
      <c r="AA2506" s="889"/>
      <c r="AB2506" s="892">
        <v>44840</v>
      </c>
      <c r="AC2506" s="476" t="s">
        <v>7767</v>
      </c>
      <c r="AD2506" s="645" t="str">
        <f t="shared" si="167"/>
        <v>en término</v>
      </c>
      <c r="AE2506" s="468" t="s">
        <v>7776</v>
      </c>
      <c r="AF2506" s="468" t="s">
        <v>2957</v>
      </c>
      <c r="AG2506" s="1099">
        <f t="shared" si="168"/>
        <v>44841</v>
      </c>
      <c r="AH2506" s="649">
        <f t="shared" si="169"/>
        <v>-1</v>
      </c>
      <c r="AI2506" s="649" t="str">
        <f t="shared" si="170"/>
        <v>en término</v>
      </c>
    </row>
    <row r="2507" spans="2:35" s="649" customFormat="1" ht="54.95" customHeight="1" thickBot="1" x14ac:dyDescent="0.25">
      <c r="B2507" s="900" t="s">
        <v>36</v>
      </c>
      <c r="C2507" s="887" t="s">
        <v>7534</v>
      </c>
      <c r="D2507" s="888" t="s">
        <v>7769</v>
      </c>
      <c r="E2507" s="901" t="s">
        <v>7770</v>
      </c>
      <c r="F2507" s="1061" t="s">
        <v>7778</v>
      </c>
      <c r="G2507" s="889" t="s">
        <v>39</v>
      </c>
      <c r="H2507" s="890">
        <v>84160</v>
      </c>
      <c r="I2507" s="902" t="s">
        <v>7602</v>
      </c>
      <c r="J2507" s="892">
        <v>44788</v>
      </c>
      <c r="K2507" s="893">
        <f t="shared" si="164"/>
        <v>101</v>
      </c>
      <c r="L2507" s="892">
        <v>44889</v>
      </c>
      <c r="M2507" s="892" t="s">
        <v>41</v>
      </c>
      <c r="N2507" s="889" t="s">
        <v>42</v>
      </c>
      <c r="O2507" s="892">
        <v>44869</v>
      </c>
      <c r="P2507" s="893">
        <f t="shared" si="165"/>
        <v>-12</v>
      </c>
      <c r="Q2507" s="901" t="s">
        <v>7807</v>
      </c>
      <c r="R2507" s="903">
        <v>44877</v>
      </c>
      <c r="S2507" s="904">
        <v>44880</v>
      </c>
      <c r="T2507" s="904">
        <v>44897</v>
      </c>
      <c r="U2507" s="893">
        <f t="shared" si="166"/>
        <v>109</v>
      </c>
      <c r="V2507" s="893" t="s">
        <v>7771</v>
      </c>
      <c r="W2507" s="1106" t="s">
        <v>7814</v>
      </c>
      <c r="X2507" s="905"/>
      <c r="Y2507" s="905"/>
      <c r="Z2507" s="895"/>
      <c r="AA2507" s="889"/>
      <c r="AB2507" s="892">
        <v>44946</v>
      </c>
      <c r="AC2507" s="476" t="s">
        <v>7813</v>
      </c>
      <c r="AD2507" s="645" t="str">
        <f t="shared" si="167"/>
        <v>en término</v>
      </c>
      <c r="AE2507" s="468" t="s">
        <v>7816</v>
      </c>
      <c r="AF2507" s="468" t="s">
        <v>3074</v>
      </c>
      <c r="AG2507" s="1099">
        <f>+S2507+60</f>
        <v>44940</v>
      </c>
      <c r="AH2507" s="649">
        <f>IF(AB2507="","",+AB2507-AG2507)</f>
        <v>6</v>
      </c>
      <c r="AI2507" s="649" t="str">
        <f t="shared" si="170"/>
        <v>atrasado</v>
      </c>
    </row>
    <row r="2508" spans="2:35" s="649" customFormat="1" ht="54.95" customHeight="1" thickBot="1" x14ac:dyDescent="0.25">
      <c r="B2508" s="900" t="s">
        <v>36</v>
      </c>
      <c r="C2508" s="887" t="s">
        <v>7534</v>
      </c>
      <c r="D2508" s="888" t="s">
        <v>7773</v>
      </c>
      <c r="E2508" s="901"/>
      <c r="F2508" s="1061" t="s">
        <v>7774</v>
      </c>
      <c r="G2508" s="889" t="s">
        <v>39</v>
      </c>
      <c r="H2508" s="890">
        <v>146192</v>
      </c>
      <c r="I2508" s="902" t="s">
        <v>7765</v>
      </c>
      <c r="J2508" s="892">
        <v>44791</v>
      </c>
      <c r="K2508" s="893">
        <f t="shared" si="164"/>
        <v>78</v>
      </c>
      <c r="L2508" s="892">
        <v>44869</v>
      </c>
      <c r="M2508" s="892" t="s">
        <v>41</v>
      </c>
      <c r="N2508" s="889" t="s">
        <v>42</v>
      </c>
      <c r="O2508" s="892">
        <v>44869</v>
      </c>
      <c r="P2508" s="893">
        <f t="shared" si="165"/>
        <v>8</v>
      </c>
      <c r="Q2508" s="901" t="s">
        <v>7807</v>
      </c>
      <c r="R2508" s="903">
        <v>44877</v>
      </c>
      <c r="S2508" s="904">
        <v>44880</v>
      </c>
      <c r="T2508" s="904">
        <v>44897</v>
      </c>
      <c r="U2508" s="893">
        <f t="shared" si="166"/>
        <v>106</v>
      </c>
      <c r="V2508" s="893" t="s">
        <v>7766</v>
      </c>
      <c r="W2508" s="1106" t="s">
        <v>7815</v>
      </c>
      <c r="X2508" s="905"/>
      <c r="Y2508" s="905"/>
      <c r="Z2508" s="895"/>
      <c r="AA2508" s="889"/>
      <c r="AB2508" s="892">
        <v>44946</v>
      </c>
      <c r="AC2508" s="476" t="s">
        <v>7812</v>
      </c>
      <c r="AD2508" s="645" t="str">
        <f t="shared" si="167"/>
        <v>atrasado</v>
      </c>
      <c r="AE2508" s="468" t="s">
        <v>7816</v>
      </c>
      <c r="AF2508" s="468" t="s">
        <v>3074</v>
      </c>
      <c r="AG2508" s="1099">
        <f t="shared" si="168"/>
        <v>44940</v>
      </c>
      <c r="AH2508" s="649">
        <f t="shared" si="169"/>
        <v>6</v>
      </c>
      <c r="AI2508" s="649" t="str">
        <f t="shared" si="170"/>
        <v>atrasado</v>
      </c>
    </row>
    <row r="2510" spans="2:35" x14ac:dyDescent="0.2">
      <c r="S2510" s="1560"/>
    </row>
    <row r="2512" spans="2:35" ht="12" thickBot="1" x14ac:dyDescent="0.25"/>
    <row r="2513" spans="1:39" s="556" customFormat="1" ht="39.950000000000003" customHeight="1" thickBot="1" x14ac:dyDescent="0.4">
      <c r="A2513" s="554"/>
      <c r="B2513" s="1611">
        <v>2023</v>
      </c>
      <c r="C2513" s="1612"/>
      <c r="D2513" s="1612"/>
      <c r="E2513" s="1612"/>
      <c r="F2513" s="1612"/>
      <c r="G2513" s="1612"/>
      <c r="H2513" s="1612"/>
      <c r="I2513" s="1612"/>
      <c r="J2513" s="1612"/>
      <c r="K2513" s="1612"/>
      <c r="L2513" s="1612"/>
      <c r="M2513" s="1612"/>
      <c r="N2513" s="1612"/>
      <c r="O2513" s="1612"/>
      <c r="P2513" s="1612"/>
      <c r="Q2513" s="1612"/>
      <c r="R2513" s="1612"/>
      <c r="S2513" s="1612"/>
      <c r="T2513" s="1612"/>
      <c r="U2513" s="1612"/>
      <c r="V2513" s="1612"/>
      <c r="W2513" s="1612"/>
      <c r="X2513" s="1612"/>
      <c r="Y2513" s="1612"/>
      <c r="Z2513" s="1612"/>
      <c r="AA2513" s="1612"/>
      <c r="AB2513" s="1612"/>
      <c r="AC2513" s="1613"/>
      <c r="AD2513" s="555"/>
    </row>
    <row r="2514" spans="1:39" s="441" customFormat="1" ht="60" customHeight="1" thickBot="1" x14ac:dyDescent="0.25">
      <c r="A2514" s="438"/>
      <c r="B2514" s="451" t="s">
        <v>130</v>
      </c>
      <c r="C2514" s="451" t="s">
        <v>4</v>
      </c>
      <c r="D2514" s="451" t="s">
        <v>5</v>
      </c>
      <c r="E2514" s="451" t="s">
        <v>6</v>
      </c>
      <c r="F2514" s="451" t="s">
        <v>7</v>
      </c>
      <c r="G2514" s="451" t="s">
        <v>8</v>
      </c>
      <c r="H2514" s="453" t="s">
        <v>9</v>
      </c>
      <c r="I2514" s="453" t="s">
        <v>10</v>
      </c>
      <c r="J2514" s="451" t="s">
        <v>11</v>
      </c>
      <c r="K2514" s="451" t="s">
        <v>12</v>
      </c>
      <c r="L2514" s="451" t="s">
        <v>13</v>
      </c>
      <c r="M2514" s="451" t="s">
        <v>14</v>
      </c>
      <c r="N2514" s="451" t="s">
        <v>15</v>
      </c>
      <c r="O2514" s="452" t="s">
        <v>16</v>
      </c>
      <c r="P2514" s="454" t="s">
        <v>17</v>
      </c>
      <c r="Q2514" s="451" t="s">
        <v>18</v>
      </c>
      <c r="R2514" s="452" t="s">
        <v>19</v>
      </c>
      <c r="S2514" s="451" t="s">
        <v>20</v>
      </c>
      <c r="T2514" s="451" t="s">
        <v>21</v>
      </c>
      <c r="U2514" s="452" t="s">
        <v>22</v>
      </c>
      <c r="V2514" s="451" t="s">
        <v>131</v>
      </c>
      <c r="W2514" s="451" t="s">
        <v>24</v>
      </c>
      <c r="X2514" s="451" t="s">
        <v>132</v>
      </c>
      <c r="Y2514" s="451" t="s">
        <v>26</v>
      </c>
      <c r="Z2514" s="451" t="s">
        <v>27</v>
      </c>
      <c r="AA2514" s="451" t="s">
        <v>28</v>
      </c>
      <c r="AB2514" s="451" t="s">
        <v>29</v>
      </c>
      <c r="AC2514" s="451" t="s">
        <v>30</v>
      </c>
      <c r="AD2514" s="439"/>
      <c r="AE2514" s="440"/>
      <c r="AF2514" s="440" t="s">
        <v>7187</v>
      </c>
      <c r="AG2514" s="440" t="s">
        <v>7188</v>
      </c>
      <c r="AH2514" s="440" t="s">
        <v>7189</v>
      </c>
      <c r="AI2514" s="440" t="s">
        <v>7190</v>
      </c>
      <c r="AJ2514" s="440" t="s">
        <v>8057</v>
      </c>
      <c r="AK2514" s="440"/>
      <c r="AL2514" s="440"/>
      <c r="AM2514" s="440"/>
    </row>
    <row r="2515" spans="1:39" s="649" customFormat="1" ht="54.95" customHeight="1" thickBot="1" x14ac:dyDescent="0.25">
      <c r="B2515" s="1516" t="s">
        <v>36</v>
      </c>
      <c r="C2515" s="1517" t="s">
        <v>7534</v>
      </c>
      <c r="D2515" s="1518" t="s">
        <v>7050</v>
      </c>
      <c r="E2515" s="1519">
        <v>4600611934</v>
      </c>
      <c r="F2515" s="1520" t="s">
        <v>7961</v>
      </c>
      <c r="G2515" s="1521" t="s">
        <v>39</v>
      </c>
      <c r="H2515" s="1522">
        <v>2054.02</v>
      </c>
      <c r="I2515" s="1523" t="s">
        <v>62</v>
      </c>
      <c r="J2515" s="1524">
        <v>45082</v>
      </c>
      <c r="K2515" s="1525">
        <f t="shared" ref="K2515:K2558" si="171">+L2515-J2515</f>
        <v>89</v>
      </c>
      <c r="L2515" s="1524">
        <v>45171</v>
      </c>
      <c r="M2515" s="1524" t="s">
        <v>41</v>
      </c>
      <c r="N2515" s="1521" t="s">
        <v>42</v>
      </c>
      <c r="O2515" s="1524"/>
      <c r="P2515" s="1525" t="str">
        <f t="shared" ref="P2515:P2558" si="172">IF(R2515="","",+R2515-L2515)</f>
        <v/>
      </c>
      <c r="Q2515" s="1519"/>
      <c r="R2515" s="1526"/>
      <c r="S2515" s="1527"/>
      <c r="T2515" s="1527"/>
      <c r="U2515" s="1525" t="str">
        <f t="shared" ref="U2515:U2558" si="173">IF(T2515="","",+T2515-J2515)</f>
        <v/>
      </c>
      <c r="V2515" s="1525" t="s">
        <v>4277</v>
      </c>
      <c r="W2515" s="1528"/>
      <c r="X2515" s="1529"/>
      <c r="Y2515" s="1529"/>
      <c r="Z2515" s="1530"/>
      <c r="AA2515" s="1521"/>
      <c r="AB2515" s="1531" t="str">
        <f>IF(S2515="","",IF('o.c.'!$Z$1&lt;(S2515+60),(S2515+60),"VENCIDA"))</f>
        <v/>
      </c>
      <c r="AC2515" s="1532" t="s">
        <v>7965</v>
      </c>
      <c r="AD2515" s="1557" t="s">
        <v>7968</v>
      </c>
      <c r="AE2515" s="468"/>
      <c r="AF2515" s="468"/>
    </row>
    <row r="2516" spans="1:39" s="649" customFormat="1" ht="54.95" customHeight="1" thickBot="1" x14ac:dyDescent="0.25">
      <c r="B2516" s="1516" t="s">
        <v>36</v>
      </c>
      <c r="C2516" s="1517" t="s">
        <v>7534</v>
      </c>
      <c r="D2516" s="1518" t="s">
        <v>7050</v>
      </c>
      <c r="E2516" s="1519">
        <v>4600611934</v>
      </c>
      <c r="F2516" s="1520" t="s">
        <v>7962</v>
      </c>
      <c r="G2516" s="1521" t="s">
        <v>39</v>
      </c>
      <c r="H2516" s="1522">
        <v>1027.01</v>
      </c>
      <c r="I2516" s="1523" t="s">
        <v>62</v>
      </c>
      <c r="J2516" s="1524">
        <v>45082</v>
      </c>
      <c r="K2516" s="1525">
        <f t="shared" si="171"/>
        <v>89</v>
      </c>
      <c r="L2516" s="1524">
        <v>45171</v>
      </c>
      <c r="M2516" s="1524" t="s">
        <v>41</v>
      </c>
      <c r="N2516" s="1521" t="s">
        <v>42</v>
      </c>
      <c r="O2516" s="1524"/>
      <c r="P2516" s="1525" t="str">
        <f t="shared" si="172"/>
        <v/>
      </c>
      <c r="Q2516" s="1519"/>
      <c r="R2516" s="1526"/>
      <c r="S2516" s="1527"/>
      <c r="T2516" s="1527"/>
      <c r="U2516" s="1525" t="str">
        <f t="shared" si="173"/>
        <v/>
      </c>
      <c r="V2516" s="1525" t="s">
        <v>7879</v>
      </c>
      <c r="W2516" s="1528"/>
      <c r="X2516" s="1529"/>
      <c r="Y2516" s="1529"/>
      <c r="Z2516" s="1530"/>
      <c r="AA2516" s="1521"/>
      <c r="AB2516" s="1531" t="str">
        <f>IF(S2516="","",IF('o.c.'!$Z$1&lt;(S2516+60),(S2516+60),"VENCIDA"))</f>
        <v/>
      </c>
      <c r="AC2516" s="1532" t="s">
        <v>7966</v>
      </c>
      <c r="AD2516" s="1557" t="s">
        <v>7968</v>
      </c>
      <c r="AE2516" s="468"/>
      <c r="AF2516" s="468"/>
    </row>
    <row r="2517" spans="1:39" s="649" customFormat="1" ht="54.95" customHeight="1" thickBot="1" x14ac:dyDescent="0.25">
      <c r="B2517" s="900" t="s">
        <v>36</v>
      </c>
      <c r="C2517" s="887" t="s">
        <v>7534</v>
      </c>
      <c r="D2517" s="888" t="s">
        <v>7050</v>
      </c>
      <c r="E2517" s="901">
        <v>4600611934</v>
      </c>
      <c r="F2517" s="1061" t="s">
        <v>7850</v>
      </c>
      <c r="G2517" s="889" t="s">
        <v>39</v>
      </c>
      <c r="H2517" s="890">
        <v>183.99</v>
      </c>
      <c r="I2517" s="902" t="s">
        <v>40</v>
      </c>
      <c r="J2517" s="892">
        <v>44963</v>
      </c>
      <c r="K2517" s="893">
        <f t="shared" si="171"/>
        <v>79</v>
      </c>
      <c r="L2517" s="892">
        <v>45042</v>
      </c>
      <c r="M2517" s="892" t="s">
        <v>41</v>
      </c>
      <c r="N2517" s="889" t="s">
        <v>42</v>
      </c>
      <c r="O2517" s="892">
        <v>45008</v>
      </c>
      <c r="P2517" s="893">
        <f t="shared" si="172"/>
        <v>-25</v>
      </c>
      <c r="Q2517" s="901" t="s">
        <v>7894</v>
      </c>
      <c r="R2517" s="903">
        <v>45017</v>
      </c>
      <c r="S2517" s="904">
        <v>45020</v>
      </c>
      <c r="T2517" s="904">
        <v>45038</v>
      </c>
      <c r="U2517" s="893">
        <f t="shared" si="173"/>
        <v>75</v>
      </c>
      <c r="V2517" s="893" t="s">
        <v>3772</v>
      </c>
      <c r="W2517" s="1106" t="s">
        <v>7902</v>
      </c>
      <c r="X2517" s="905"/>
      <c r="Y2517" s="905"/>
      <c r="Z2517" s="895"/>
      <c r="AA2517" s="889"/>
      <c r="AB2517" s="892">
        <v>45079</v>
      </c>
      <c r="AC2517" s="476" t="s">
        <v>7856</v>
      </c>
      <c r="AD2517" s="645" t="str">
        <f t="shared" ref="AD2517:AD2558" si="174">IF(P2517="","",IF(P2517&lt;=0,"en término","atrasado"))</f>
        <v>en término</v>
      </c>
      <c r="AE2517" s="468" t="s">
        <v>7900</v>
      </c>
      <c r="AF2517" s="468" t="s">
        <v>3846</v>
      </c>
      <c r="AG2517" s="1099">
        <f t="shared" ref="AG2517:AG2550" si="175">+S2517+60</f>
        <v>45080</v>
      </c>
      <c r="AH2517" s="649">
        <f>IF(AB2517="","",+AB2517-AG2517)</f>
        <v>-1</v>
      </c>
      <c r="AI2517" s="649" t="str">
        <f t="shared" ref="AI2517:AI2550" si="176">IF(AH2517="","",IF(AH2517&lt;=0,"en término","atrasado"))</f>
        <v>en término</v>
      </c>
    </row>
    <row r="2518" spans="1:39" s="649" customFormat="1" ht="54.95" customHeight="1" thickBot="1" x14ac:dyDescent="0.25">
      <c r="B2518" s="900" t="s">
        <v>36</v>
      </c>
      <c r="C2518" s="887" t="s">
        <v>7534</v>
      </c>
      <c r="D2518" s="888" t="s">
        <v>7050</v>
      </c>
      <c r="E2518" s="901">
        <v>4600611934</v>
      </c>
      <c r="F2518" s="1061" t="s">
        <v>7851</v>
      </c>
      <c r="G2518" s="889" t="s">
        <v>39</v>
      </c>
      <c r="H2518" s="890">
        <v>61.33</v>
      </c>
      <c r="I2518" s="902" t="s">
        <v>40</v>
      </c>
      <c r="J2518" s="892">
        <v>44963</v>
      </c>
      <c r="K2518" s="893">
        <f t="shared" si="171"/>
        <v>79</v>
      </c>
      <c r="L2518" s="892">
        <v>45042</v>
      </c>
      <c r="M2518" s="892" t="s">
        <v>41</v>
      </c>
      <c r="N2518" s="889" t="s">
        <v>42</v>
      </c>
      <c r="O2518" s="892">
        <v>45008</v>
      </c>
      <c r="P2518" s="893">
        <f t="shared" si="172"/>
        <v>-25</v>
      </c>
      <c r="Q2518" s="901" t="s">
        <v>7894</v>
      </c>
      <c r="R2518" s="903">
        <v>45017</v>
      </c>
      <c r="S2518" s="904">
        <v>45020</v>
      </c>
      <c r="T2518" s="904">
        <v>45038</v>
      </c>
      <c r="U2518" s="893">
        <f t="shared" si="173"/>
        <v>75</v>
      </c>
      <c r="V2518" s="893" t="s">
        <v>3772</v>
      </c>
      <c r="W2518" s="1106" t="s">
        <v>7902</v>
      </c>
      <c r="X2518" s="905"/>
      <c r="Y2518" s="905"/>
      <c r="Z2518" s="895"/>
      <c r="AA2518" s="889"/>
      <c r="AB2518" s="892">
        <v>45079</v>
      </c>
      <c r="AC2518" s="476" t="s">
        <v>7857</v>
      </c>
      <c r="AD2518" s="645" t="str">
        <f t="shared" si="174"/>
        <v>en término</v>
      </c>
      <c r="AE2518" s="468" t="s">
        <v>7900</v>
      </c>
      <c r="AF2518" s="468" t="s">
        <v>3846</v>
      </c>
      <c r="AG2518" s="1099">
        <f t="shared" si="175"/>
        <v>45080</v>
      </c>
      <c r="AH2518" s="649">
        <f t="shared" ref="AH2518:AH2550" si="177">IF(AB2518="","",+AB2518-AG2518)</f>
        <v>-1</v>
      </c>
      <c r="AI2518" s="649" t="str">
        <f t="shared" si="176"/>
        <v>en término</v>
      </c>
    </row>
    <row r="2519" spans="1:39" s="649" customFormat="1" ht="54.95" customHeight="1" thickBot="1" x14ac:dyDescent="0.25">
      <c r="B2519" s="900" t="s">
        <v>36</v>
      </c>
      <c r="C2519" s="887" t="s">
        <v>7534</v>
      </c>
      <c r="D2519" s="888" t="s">
        <v>7050</v>
      </c>
      <c r="E2519" s="901">
        <v>4600611934</v>
      </c>
      <c r="F2519" s="1061" t="s">
        <v>7852</v>
      </c>
      <c r="G2519" s="889" t="s">
        <v>39</v>
      </c>
      <c r="H2519" s="890">
        <v>315.07</v>
      </c>
      <c r="I2519" s="902" t="s">
        <v>40</v>
      </c>
      <c r="J2519" s="892">
        <v>44963</v>
      </c>
      <c r="K2519" s="893">
        <f t="shared" si="171"/>
        <v>64</v>
      </c>
      <c r="L2519" s="892">
        <v>45027</v>
      </c>
      <c r="M2519" s="892" t="s">
        <v>41</v>
      </c>
      <c r="N2519" s="889" t="s">
        <v>42</v>
      </c>
      <c r="O2519" s="892">
        <v>45008</v>
      </c>
      <c r="P2519" s="893">
        <f t="shared" si="172"/>
        <v>-10</v>
      </c>
      <c r="Q2519" s="901" t="s">
        <v>7894</v>
      </c>
      <c r="R2519" s="903">
        <v>45017</v>
      </c>
      <c r="S2519" s="904">
        <v>45020</v>
      </c>
      <c r="T2519" s="904">
        <v>45038</v>
      </c>
      <c r="U2519" s="893">
        <f t="shared" si="173"/>
        <v>75</v>
      </c>
      <c r="V2519" s="893" t="s">
        <v>7854</v>
      </c>
      <c r="W2519" s="1106" t="s">
        <v>7902</v>
      </c>
      <c r="X2519" s="905"/>
      <c r="Y2519" s="905"/>
      <c r="Z2519" s="895"/>
      <c r="AA2519" s="889"/>
      <c r="AB2519" s="892">
        <v>45079</v>
      </c>
      <c r="AC2519" s="476" t="s">
        <v>7858</v>
      </c>
      <c r="AD2519" s="645" t="str">
        <f t="shared" si="174"/>
        <v>en término</v>
      </c>
      <c r="AE2519" s="468" t="s">
        <v>7900</v>
      </c>
      <c r="AF2519" s="468" t="s">
        <v>3846</v>
      </c>
      <c r="AG2519" s="1099">
        <f t="shared" si="175"/>
        <v>45080</v>
      </c>
      <c r="AH2519" s="649">
        <f t="shared" si="177"/>
        <v>-1</v>
      </c>
      <c r="AI2519" s="649" t="str">
        <f t="shared" si="176"/>
        <v>en término</v>
      </c>
    </row>
    <row r="2520" spans="1:39" s="649" customFormat="1" ht="54.95" customHeight="1" thickBot="1" x14ac:dyDescent="0.25">
      <c r="B2520" s="900" t="s">
        <v>36</v>
      </c>
      <c r="C2520" s="887" t="s">
        <v>7534</v>
      </c>
      <c r="D2520" s="888" t="s">
        <v>7050</v>
      </c>
      <c r="E2520" s="901">
        <v>4600611934</v>
      </c>
      <c r="F2520" s="1061" t="s">
        <v>7853</v>
      </c>
      <c r="G2520" s="889" t="s">
        <v>39</v>
      </c>
      <c r="H2520" s="890">
        <v>61.33</v>
      </c>
      <c r="I2520" s="902" t="s">
        <v>40</v>
      </c>
      <c r="J2520" s="892">
        <v>44967</v>
      </c>
      <c r="K2520" s="893">
        <f t="shared" si="171"/>
        <v>85</v>
      </c>
      <c r="L2520" s="892">
        <v>45052</v>
      </c>
      <c r="M2520" s="892" t="s">
        <v>41</v>
      </c>
      <c r="N2520" s="889" t="s">
        <v>42</v>
      </c>
      <c r="O2520" s="892">
        <v>45008</v>
      </c>
      <c r="P2520" s="893">
        <f t="shared" si="172"/>
        <v>-35</v>
      </c>
      <c r="Q2520" s="901" t="s">
        <v>7894</v>
      </c>
      <c r="R2520" s="903">
        <v>45017</v>
      </c>
      <c r="S2520" s="904">
        <v>45020</v>
      </c>
      <c r="T2520" s="904">
        <v>45038</v>
      </c>
      <c r="U2520" s="893">
        <f t="shared" si="173"/>
        <v>71</v>
      </c>
      <c r="V2520" s="893" t="s">
        <v>3772</v>
      </c>
      <c r="W2520" s="1106" t="s">
        <v>7902</v>
      </c>
      <c r="X2520" s="905"/>
      <c r="Y2520" s="905"/>
      <c r="Z2520" s="895"/>
      <c r="AA2520" s="889"/>
      <c r="AB2520" s="892">
        <v>45079</v>
      </c>
      <c r="AC2520" s="476" t="s">
        <v>7859</v>
      </c>
      <c r="AD2520" s="645" t="str">
        <f t="shared" si="174"/>
        <v>en término</v>
      </c>
      <c r="AE2520" s="468" t="s">
        <v>7900</v>
      </c>
      <c r="AF2520" s="468" t="s">
        <v>3846</v>
      </c>
      <c r="AG2520" s="1099">
        <f t="shared" si="175"/>
        <v>45080</v>
      </c>
      <c r="AH2520" s="649">
        <f t="shared" si="177"/>
        <v>-1</v>
      </c>
      <c r="AI2520" s="649" t="str">
        <f t="shared" si="176"/>
        <v>en término</v>
      </c>
    </row>
    <row r="2521" spans="1:39" s="649" customFormat="1" ht="54.95" customHeight="1" thickBot="1" x14ac:dyDescent="0.25">
      <c r="B2521" s="900" t="s">
        <v>36</v>
      </c>
      <c r="C2521" s="887" t="s">
        <v>7534</v>
      </c>
      <c r="D2521" s="888" t="s">
        <v>7050</v>
      </c>
      <c r="E2521" s="901">
        <v>4600611934</v>
      </c>
      <c r="F2521" s="1061" t="s">
        <v>7855</v>
      </c>
      <c r="G2521" s="889" t="s">
        <v>39</v>
      </c>
      <c r="H2521" s="890">
        <v>1027.01</v>
      </c>
      <c r="I2521" s="902" t="s">
        <v>40</v>
      </c>
      <c r="J2521" s="892">
        <v>44967</v>
      </c>
      <c r="K2521" s="893">
        <f t="shared" si="171"/>
        <v>88</v>
      </c>
      <c r="L2521" s="892">
        <v>45055</v>
      </c>
      <c r="M2521" s="892" t="s">
        <v>41</v>
      </c>
      <c r="N2521" s="889" t="s">
        <v>42</v>
      </c>
      <c r="O2521" s="892">
        <v>45008</v>
      </c>
      <c r="P2521" s="893">
        <f t="shared" si="172"/>
        <v>-38</v>
      </c>
      <c r="Q2521" s="901" t="s">
        <v>7894</v>
      </c>
      <c r="R2521" s="903">
        <v>45017</v>
      </c>
      <c r="S2521" s="904">
        <v>45020</v>
      </c>
      <c r="T2521" s="904">
        <v>45038</v>
      </c>
      <c r="U2521" s="893">
        <f t="shared" si="173"/>
        <v>71</v>
      </c>
      <c r="V2521" s="893" t="s">
        <v>3501</v>
      </c>
      <c r="W2521" s="1106" t="s">
        <v>7902</v>
      </c>
      <c r="X2521" s="905"/>
      <c r="Y2521" s="905"/>
      <c r="Z2521" s="895"/>
      <c r="AA2521" s="889"/>
      <c r="AB2521" s="892">
        <v>45079</v>
      </c>
      <c r="AC2521" s="476" t="s">
        <v>7860</v>
      </c>
      <c r="AD2521" s="645" t="str">
        <f t="shared" si="174"/>
        <v>en término</v>
      </c>
      <c r="AE2521" s="468" t="s">
        <v>7900</v>
      </c>
      <c r="AF2521" s="468" t="s">
        <v>3846</v>
      </c>
      <c r="AG2521" s="1099">
        <f t="shared" si="175"/>
        <v>45080</v>
      </c>
      <c r="AH2521" s="649">
        <f t="shared" si="177"/>
        <v>-1</v>
      </c>
      <c r="AI2521" s="649" t="str">
        <f t="shared" si="176"/>
        <v>en término</v>
      </c>
    </row>
    <row r="2522" spans="1:39" s="649" customFormat="1" ht="54.95" customHeight="1" thickBot="1" x14ac:dyDescent="0.25">
      <c r="B2522" s="900" t="s">
        <v>36</v>
      </c>
      <c r="C2522" s="887" t="s">
        <v>7534</v>
      </c>
      <c r="D2522" s="888" t="s">
        <v>7769</v>
      </c>
      <c r="E2522" s="901" t="s">
        <v>7770</v>
      </c>
      <c r="F2522" s="1061" t="s">
        <v>7861</v>
      </c>
      <c r="G2522" s="889" t="s">
        <v>39</v>
      </c>
      <c r="H2522" s="890">
        <v>83060</v>
      </c>
      <c r="I2522" s="902" t="s">
        <v>7602</v>
      </c>
      <c r="J2522" s="892">
        <v>44967</v>
      </c>
      <c r="K2522" s="893">
        <f t="shared" si="171"/>
        <v>54</v>
      </c>
      <c r="L2522" s="892">
        <v>45021</v>
      </c>
      <c r="M2522" s="892" t="s">
        <v>41</v>
      </c>
      <c r="N2522" s="889" t="s">
        <v>42</v>
      </c>
      <c r="O2522" s="892">
        <v>45008</v>
      </c>
      <c r="P2522" s="893">
        <f t="shared" si="172"/>
        <v>-4</v>
      </c>
      <c r="Q2522" s="901" t="s">
        <v>7894</v>
      </c>
      <c r="R2522" s="903">
        <v>45017</v>
      </c>
      <c r="S2522" s="904">
        <v>45020</v>
      </c>
      <c r="T2522" s="904">
        <v>45038</v>
      </c>
      <c r="U2522" s="893">
        <f t="shared" si="173"/>
        <v>71</v>
      </c>
      <c r="V2522" s="893" t="s">
        <v>7862</v>
      </c>
      <c r="W2522" s="1106" t="s">
        <v>7902</v>
      </c>
      <c r="X2522" s="905"/>
      <c r="Y2522" s="905"/>
      <c r="Z2522" s="895"/>
      <c r="AA2522" s="889"/>
      <c r="AB2522" s="892">
        <v>45079</v>
      </c>
      <c r="AC2522" s="476" t="s">
        <v>7875</v>
      </c>
      <c r="AD2522" s="645" t="str">
        <f t="shared" si="174"/>
        <v>en término</v>
      </c>
      <c r="AE2522" s="468" t="s">
        <v>7900</v>
      </c>
      <c r="AF2522" s="468" t="s">
        <v>3846</v>
      </c>
      <c r="AG2522" s="1099">
        <f t="shared" si="175"/>
        <v>45080</v>
      </c>
      <c r="AH2522" s="649">
        <f t="shared" si="177"/>
        <v>-1</v>
      </c>
      <c r="AI2522" s="649" t="str">
        <f t="shared" si="176"/>
        <v>en término</v>
      </c>
    </row>
    <row r="2523" spans="1:39" s="649" customFormat="1" ht="54.95" customHeight="1" thickBot="1" x14ac:dyDescent="0.25">
      <c r="B2523" s="900" t="s">
        <v>36</v>
      </c>
      <c r="C2523" s="887" t="s">
        <v>7534</v>
      </c>
      <c r="D2523" s="888" t="s">
        <v>7769</v>
      </c>
      <c r="E2523" s="901" t="s">
        <v>7770</v>
      </c>
      <c r="F2523" s="1061" t="s">
        <v>7863</v>
      </c>
      <c r="G2523" s="889" t="s">
        <v>39</v>
      </c>
      <c r="H2523" s="890">
        <v>10135</v>
      </c>
      <c r="I2523" s="902" t="s">
        <v>7602</v>
      </c>
      <c r="J2523" s="892">
        <v>44967</v>
      </c>
      <c r="K2523" s="893">
        <f t="shared" si="171"/>
        <v>54</v>
      </c>
      <c r="L2523" s="892">
        <v>45021</v>
      </c>
      <c r="M2523" s="892" t="s">
        <v>41</v>
      </c>
      <c r="N2523" s="889" t="s">
        <v>42</v>
      </c>
      <c r="O2523" s="892">
        <v>45008</v>
      </c>
      <c r="P2523" s="893">
        <f t="shared" si="172"/>
        <v>-4</v>
      </c>
      <c r="Q2523" s="901" t="s">
        <v>7894</v>
      </c>
      <c r="R2523" s="903">
        <v>45017</v>
      </c>
      <c r="S2523" s="904">
        <v>45020</v>
      </c>
      <c r="T2523" s="904">
        <v>45038</v>
      </c>
      <c r="U2523" s="893">
        <f t="shared" si="173"/>
        <v>71</v>
      </c>
      <c r="V2523" s="893" t="s">
        <v>7864</v>
      </c>
      <c r="W2523" s="1106" t="s">
        <v>7902</v>
      </c>
      <c r="X2523" s="905"/>
      <c r="Y2523" s="905"/>
      <c r="Z2523" s="895"/>
      <c r="AA2523" s="889"/>
      <c r="AB2523" s="892">
        <v>45079</v>
      </c>
      <c r="AC2523" s="476" t="s">
        <v>7876</v>
      </c>
      <c r="AD2523" s="645" t="str">
        <f t="shared" si="174"/>
        <v>en término</v>
      </c>
      <c r="AE2523" s="468" t="s">
        <v>7900</v>
      </c>
      <c r="AF2523" s="468" t="s">
        <v>3846</v>
      </c>
      <c r="AG2523" s="1099">
        <f t="shared" si="175"/>
        <v>45080</v>
      </c>
      <c r="AH2523" s="649">
        <f t="shared" si="177"/>
        <v>-1</v>
      </c>
      <c r="AI2523" s="649" t="str">
        <f t="shared" si="176"/>
        <v>en término</v>
      </c>
    </row>
    <row r="2524" spans="1:39" s="649" customFormat="1" ht="54.95" customHeight="1" thickBot="1" x14ac:dyDescent="0.25">
      <c r="B2524" s="900" t="s">
        <v>36</v>
      </c>
      <c r="C2524" s="887" t="s">
        <v>7534</v>
      </c>
      <c r="D2524" s="888" t="s">
        <v>7865</v>
      </c>
      <c r="E2524" s="901" t="s">
        <v>7866</v>
      </c>
      <c r="F2524" s="1061" t="s">
        <v>7867</v>
      </c>
      <c r="G2524" s="889" t="s">
        <v>39</v>
      </c>
      <c r="H2524" s="890">
        <v>644</v>
      </c>
      <c r="I2524" s="902" t="s">
        <v>40</v>
      </c>
      <c r="J2524" s="892">
        <v>44964</v>
      </c>
      <c r="K2524" s="893">
        <f t="shared" si="171"/>
        <v>91</v>
      </c>
      <c r="L2524" s="892">
        <v>45055</v>
      </c>
      <c r="M2524" s="892" t="s">
        <v>41</v>
      </c>
      <c r="N2524" s="889" t="s">
        <v>42</v>
      </c>
      <c r="O2524" s="892">
        <v>45008</v>
      </c>
      <c r="P2524" s="893">
        <f t="shared" si="172"/>
        <v>-38</v>
      </c>
      <c r="Q2524" s="901" t="s">
        <v>7894</v>
      </c>
      <c r="R2524" s="903">
        <v>45017</v>
      </c>
      <c r="S2524" s="904">
        <v>45020</v>
      </c>
      <c r="T2524" s="904">
        <v>45038</v>
      </c>
      <c r="U2524" s="893">
        <f t="shared" si="173"/>
        <v>74</v>
      </c>
      <c r="V2524" s="893" t="s">
        <v>2077</v>
      </c>
      <c r="W2524" s="1106" t="s">
        <v>7902</v>
      </c>
      <c r="X2524" s="905"/>
      <c r="Y2524" s="905"/>
      <c r="Z2524" s="895"/>
      <c r="AA2524" s="889"/>
      <c r="AB2524" s="892">
        <v>45079</v>
      </c>
      <c r="AC2524" s="476" t="s">
        <v>7868</v>
      </c>
      <c r="AD2524" s="645" t="str">
        <f t="shared" si="174"/>
        <v>en término</v>
      </c>
      <c r="AE2524" s="468" t="s">
        <v>7900</v>
      </c>
      <c r="AF2524" s="468" t="s">
        <v>3846</v>
      </c>
      <c r="AG2524" s="1099">
        <f t="shared" si="175"/>
        <v>45080</v>
      </c>
      <c r="AH2524" s="649">
        <f t="shared" si="177"/>
        <v>-1</v>
      </c>
      <c r="AI2524" s="649" t="str">
        <f t="shared" si="176"/>
        <v>en término</v>
      </c>
    </row>
    <row r="2525" spans="1:39" s="649" customFormat="1" ht="54.95" customHeight="1" thickBot="1" x14ac:dyDescent="0.25">
      <c r="B2525" s="900" t="s">
        <v>36</v>
      </c>
      <c r="C2525" s="887" t="s">
        <v>7534</v>
      </c>
      <c r="D2525" s="888" t="s">
        <v>7769</v>
      </c>
      <c r="E2525" s="901" t="s">
        <v>7770</v>
      </c>
      <c r="F2525" s="1061" t="s">
        <v>7873</v>
      </c>
      <c r="G2525" s="889" t="s">
        <v>39</v>
      </c>
      <c r="H2525" s="890">
        <v>50560</v>
      </c>
      <c r="I2525" s="902" t="s">
        <v>7602</v>
      </c>
      <c r="J2525" s="892">
        <v>44991</v>
      </c>
      <c r="K2525" s="893">
        <f t="shared" si="171"/>
        <v>30</v>
      </c>
      <c r="L2525" s="892">
        <v>45021</v>
      </c>
      <c r="M2525" s="892" t="s">
        <v>41</v>
      </c>
      <c r="N2525" s="889" t="s">
        <v>42</v>
      </c>
      <c r="O2525" s="892">
        <v>45008</v>
      </c>
      <c r="P2525" s="893">
        <f t="shared" si="172"/>
        <v>-4</v>
      </c>
      <c r="Q2525" s="901" t="s">
        <v>7894</v>
      </c>
      <c r="R2525" s="903">
        <v>45017</v>
      </c>
      <c r="S2525" s="904">
        <v>45020</v>
      </c>
      <c r="T2525" s="904">
        <v>45038</v>
      </c>
      <c r="U2525" s="893">
        <f t="shared" si="173"/>
        <v>47</v>
      </c>
      <c r="V2525" s="893" t="s">
        <v>7874</v>
      </c>
      <c r="W2525" s="1106" t="s">
        <v>7902</v>
      </c>
      <c r="X2525" s="905"/>
      <c r="Y2525" s="905"/>
      <c r="Z2525" s="895"/>
      <c r="AA2525" s="889"/>
      <c r="AB2525" s="892">
        <v>45079</v>
      </c>
      <c r="AC2525" s="476" t="s">
        <v>7877</v>
      </c>
      <c r="AD2525" s="645" t="str">
        <f t="shared" si="174"/>
        <v>en término</v>
      </c>
      <c r="AE2525" s="468" t="s">
        <v>7900</v>
      </c>
      <c r="AF2525" s="468" t="s">
        <v>3846</v>
      </c>
      <c r="AG2525" s="1099">
        <f t="shared" si="175"/>
        <v>45080</v>
      </c>
      <c r="AH2525" s="649">
        <f t="shared" si="177"/>
        <v>-1</v>
      </c>
      <c r="AI2525" s="649" t="str">
        <f t="shared" si="176"/>
        <v>en término</v>
      </c>
    </row>
    <row r="2526" spans="1:39" s="649" customFormat="1" ht="54.95" customHeight="1" thickBot="1" x14ac:dyDescent="0.25">
      <c r="B2526" s="900" t="s">
        <v>36</v>
      </c>
      <c r="C2526" s="887" t="s">
        <v>7534</v>
      </c>
      <c r="D2526" s="888" t="s">
        <v>7050</v>
      </c>
      <c r="E2526" s="901">
        <v>4600611934</v>
      </c>
      <c r="F2526" s="1061" t="s">
        <v>7878</v>
      </c>
      <c r="G2526" s="889" t="s">
        <v>39</v>
      </c>
      <c r="H2526" s="890">
        <v>1027.01</v>
      </c>
      <c r="I2526" s="902" t="s">
        <v>62</v>
      </c>
      <c r="J2526" s="892">
        <v>44992</v>
      </c>
      <c r="K2526" s="893">
        <f t="shared" si="171"/>
        <v>62</v>
      </c>
      <c r="L2526" s="892">
        <v>45054</v>
      </c>
      <c r="M2526" s="892" t="s">
        <v>41</v>
      </c>
      <c r="N2526" s="889" t="s">
        <v>42</v>
      </c>
      <c r="O2526" s="892">
        <v>45044</v>
      </c>
      <c r="P2526" s="893">
        <f t="shared" si="172"/>
        <v>-2</v>
      </c>
      <c r="Q2526" s="901" t="s">
        <v>7914</v>
      </c>
      <c r="R2526" s="903">
        <v>45052</v>
      </c>
      <c r="S2526" s="904">
        <v>45055</v>
      </c>
      <c r="T2526" s="904">
        <v>45073</v>
      </c>
      <c r="U2526" s="893">
        <f t="shared" si="173"/>
        <v>81</v>
      </c>
      <c r="V2526" s="893" t="s">
        <v>7879</v>
      </c>
      <c r="W2526" s="1106" t="s">
        <v>7928</v>
      </c>
      <c r="X2526" s="905"/>
      <c r="Y2526" s="905"/>
      <c r="Z2526" s="895"/>
      <c r="AA2526" s="889"/>
      <c r="AB2526" s="892">
        <v>45112</v>
      </c>
      <c r="AC2526" s="476" t="s">
        <v>7883</v>
      </c>
      <c r="AD2526" s="645" t="str">
        <f t="shared" si="174"/>
        <v>en término</v>
      </c>
      <c r="AE2526" s="468" t="s">
        <v>7929</v>
      </c>
      <c r="AF2526" s="468" t="s">
        <v>2929</v>
      </c>
      <c r="AG2526" s="1099">
        <f t="shared" si="175"/>
        <v>45115</v>
      </c>
      <c r="AH2526" s="649">
        <f t="shared" si="177"/>
        <v>-3</v>
      </c>
      <c r="AI2526" s="649" t="str">
        <f t="shared" si="176"/>
        <v>en término</v>
      </c>
    </row>
    <row r="2527" spans="1:39" s="649" customFormat="1" ht="54.95" customHeight="1" thickBot="1" x14ac:dyDescent="0.25">
      <c r="B2527" s="900" t="s">
        <v>36</v>
      </c>
      <c r="C2527" s="887" t="s">
        <v>7534</v>
      </c>
      <c r="D2527" s="888" t="s">
        <v>7050</v>
      </c>
      <c r="E2527" s="901">
        <v>4600611934</v>
      </c>
      <c r="F2527" s="1061" t="s">
        <v>7880</v>
      </c>
      <c r="G2527" s="889" t="s">
        <v>39</v>
      </c>
      <c r="H2527" s="890">
        <v>8.42</v>
      </c>
      <c r="I2527" s="902" t="s">
        <v>40</v>
      </c>
      <c r="J2527" s="892">
        <v>44992</v>
      </c>
      <c r="K2527" s="893">
        <f t="shared" si="171"/>
        <v>70</v>
      </c>
      <c r="L2527" s="892">
        <v>45062</v>
      </c>
      <c r="M2527" s="892" t="s">
        <v>41</v>
      </c>
      <c r="N2527" s="889" t="s">
        <v>42</v>
      </c>
      <c r="O2527" s="892">
        <v>45044</v>
      </c>
      <c r="P2527" s="893">
        <f t="shared" si="172"/>
        <v>-10</v>
      </c>
      <c r="Q2527" s="901" t="s">
        <v>7914</v>
      </c>
      <c r="R2527" s="903">
        <v>45052</v>
      </c>
      <c r="S2527" s="904">
        <v>45055</v>
      </c>
      <c r="T2527" s="904">
        <v>45073</v>
      </c>
      <c r="U2527" s="893">
        <f t="shared" si="173"/>
        <v>81</v>
      </c>
      <c r="V2527" s="893" t="s">
        <v>7881</v>
      </c>
      <c r="W2527" s="1106" t="s">
        <v>7928</v>
      </c>
      <c r="X2527" s="905"/>
      <c r="Y2527" s="905"/>
      <c r="Z2527" s="895"/>
      <c r="AA2527" s="889"/>
      <c r="AB2527" s="892">
        <v>45112</v>
      </c>
      <c r="AC2527" s="476" t="s">
        <v>7882</v>
      </c>
      <c r="AD2527" s="645" t="str">
        <f t="shared" si="174"/>
        <v>en término</v>
      </c>
      <c r="AE2527" s="468" t="s">
        <v>7929</v>
      </c>
      <c r="AF2527" s="468" t="s">
        <v>2929</v>
      </c>
      <c r="AG2527" s="1099">
        <f t="shared" si="175"/>
        <v>45115</v>
      </c>
      <c r="AH2527" s="649">
        <f t="shared" si="177"/>
        <v>-3</v>
      </c>
      <c r="AI2527" s="649" t="str">
        <f t="shared" si="176"/>
        <v>en término</v>
      </c>
    </row>
    <row r="2528" spans="1:39" s="649" customFormat="1" ht="54.95" customHeight="1" thickBot="1" x14ac:dyDescent="0.25">
      <c r="B2528" s="900" t="s">
        <v>36</v>
      </c>
      <c r="C2528" s="887" t="s">
        <v>7534</v>
      </c>
      <c r="D2528" s="888" t="s">
        <v>7887</v>
      </c>
      <c r="E2528" s="901"/>
      <c r="F2528" s="1061" t="s">
        <v>7888</v>
      </c>
      <c r="G2528" s="889" t="s">
        <v>39</v>
      </c>
      <c r="H2528" s="890">
        <v>16880</v>
      </c>
      <c r="I2528" s="902" t="s">
        <v>142</v>
      </c>
      <c r="J2528" s="892">
        <v>44995</v>
      </c>
      <c r="K2528" s="893">
        <f t="shared" si="171"/>
        <v>67</v>
      </c>
      <c r="L2528" s="892">
        <v>45062</v>
      </c>
      <c r="M2528" s="892" t="s">
        <v>41</v>
      </c>
      <c r="N2528" s="889" t="s">
        <v>42</v>
      </c>
      <c r="O2528" s="892">
        <v>45044</v>
      </c>
      <c r="P2528" s="893">
        <f t="shared" si="172"/>
        <v>-10</v>
      </c>
      <c r="Q2528" s="901" t="s">
        <v>7914</v>
      </c>
      <c r="R2528" s="903">
        <v>45052</v>
      </c>
      <c r="S2528" s="904">
        <v>45055</v>
      </c>
      <c r="T2528" s="904">
        <v>45073</v>
      </c>
      <c r="U2528" s="893">
        <f t="shared" si="173"/>
        <v>78</v>
      </c>
      <c r="V2528" s="893" t="s">
        <v>7889</v>
      </c>
      <c r="W2528" s="1106" t="s">
        <v>7928</v>
      </c>
      <c r="X2528" s="905"/>
      <c r="Y2528" s="905"/>
      <c r="Z2528" s="895"/>
      <c r="AA2528" s="889"/>
      <c r="AB2528" s="892">
        <v>45112</v>
      </c>
      <c r="AC2528" s="476" t="s">
        <v>7890</v>
      </c>
      <c r="AD2528" s="645" t="str">
        <f t="shared" si="174"/>
        <v>en término</v>
      </c>
      <c r="AE2528" s="468" t="s">
        <v>7929</v>
      </c>
      <c r="AF2528" s="468" t="s">
        <v>2929</v>
      </c>
      <c r="AG2528" s="1099">
        <f t="shared" si="175"/>
        <v>45115</v>
      </c>
      <c r="AH2528" s="649">
        <f t="shared" si="177"/>
        <v>-3</v>
      </c>
      <c r="AI2528" s="649" t="str">
        <f t="shared" si="176"/>
        <v>en término</v>
      </c>
    </row>
    <row r="2529" spans="2:36" s="649" customFormat="1" ht="54.95" customHeight="1" thickBot="1" x14ac:dyDescent="0.25">
      <c r="B2529" s="900" t="s">
        <v>36</v>
      </c>
      <c r="C2529" s="887" t="s">
        <v>7534</v>
      </c>
      <c r="D2529" s="888" t="s">
        <v>7924</v>
      </c>
      <c r="E2529" s="901"/>
      <c r="F2529" s="1287" t="s">
        <v>7917</v>
      </c>
      <c r="G2529" s="889" t="s">
        <v>39</v>
      </c>
      <c r="H2529" s="890">
        <v>368919.4</v>
      </c>
      <c r="I2529" s="902" t="s">
        <v>7918</v>
      </c>
      <c r="J2529" s="892">
        <v>45033</v>
      </c>
      <c r="K2529" s="893">
        <f t="shared" si="171"/>
        <v>28</v>
      </c>
      <c r="L2529" s="892">
        <v>45061</v>
      </c>
      <c r="M2529" s="892" t="s">
        <v>41</v>
      </c>
      <c r="N2529" s="889" t="s">
        <v>42</v>
      </c>
      <c r="O2529" s="892">
        <v>45044</v>
      </c>
      <c r="P2529" s="893">
        <f t="shared" si="172"/>
        <v>-9</v>
      </c>
      <c r="Q2529" s="901" t="s">
        <v>7914</v>
      </c>
      <c r="R2529" s="903">
        <v>45052</v>
      </c>
      <c r="S2529" s="904">
        <v>45055</v>
      </c>
      <c r="T2529" s="904">
        <v>45073</v>
      </c>
      <c r="U2529" s="893">
        <f t="shared" si="173"/>
        <v>40</v>
      </c>
      <c r="V2529" s="893" t="s">
        <v>7919</v>
      </c>
      <c r="W2529" s="1106" t="s">
        <v>7928</v>
      </c>
      <c r="X2529" s="905"/>
      <c r="Y2529" s="905"/>
      <c r="Z2529" s="895"/>
      <c r="AA2529" s="889"/>
      <c r="AB2529" s="892">
        <v>45112</v>
      </c>
      <c r="AC2529" s="476" t="s">
        <v>7920</v>
      </c>
      <c r="AD2529" s="645" t="str">
        <f t="shared" si="174"/>
        <v>en término</v>
      </c>
      <c r="AE2529" s="468" t="s">
        <v>7929</v>
      </c>
      <c r="AF2529" s="468" t="s">
        <v>2929</v>
      </c>
      <c r="AG2529" s="1099">
        <f t="shared" si="175"/>
        <v>45115</v>
      </c>
      <c r="AH2529" s="649">
        <f t="shared" si="177"/>
        <v>-3</v>
      </c>
      <c r="AI2529" s="649" t="str">
        <f t="shared" si="176"/>
        <v>en término</v>
      </c>
    </row>
    <row r="2530" spans="2:36" s="649" customFormat="1" ht="54.95" customHeight="1" thickBot="1" x14ac:dyDescent="0.25">
      <c r="B2530" s="900" t="s">
        <v>36</v>
      </c>
      <c r="C2530" s="887" t="s">
        <v>7534</v>
      </c>
      <c r="D2530" s="888" t="s">
        <v>7925</v>
      </c>
      <c r="E2530" s="901"/>
      <c r="F2530" s="1061" t="s">
        <v>7904</v>
      </c>
      <c r="G2530" s="889" t="s">
        <v>39</v>
      </c>
      <c r="H2530" s="890">
        <v>88808</v>
      </c>
      <c r="I2530" s="902" t="s">
        <v>7765</v>
      </c>
      <c r="J2530" s="892">
        <v>45000</v>
      </c>
      <c r="K2530" s="893">
        <f t="shared" si="171"/>
        <v>44</v>
      </c>
      <c r="L2530" s="892">
        <v>45044</v>
      </c>
      <c r="M2530" s="892" t="s">
        <v>41</v>
      </c>
      <c r="N2530" s="889" t="s">
        <v>42</v>
      </c>
      <c r="O2530" s="892">
        <v>45076</v>
      </c>
      <c r="P2530" s="893">
        <f t="shared" si="172"/>
        <v>36</v>
      </c>
      <c r="Q2530" s="901" t="s">
        <v>7947</v>
      </c>
      <c r="R2530" s="903">
        <v>45080</v>
      </c>
      <c r="S2530" s="904">
        <v>45083</v>
      </c>
      <c r="T2530" s="904">
        <v>45100</v>
      </c>
      <c r="U2530" s="893">
        <f t="shared" si="173"/>
        <v>100</v>
      </c>
      <c r="V2530" s="893" t="s">
        <v>7766</v>
      </c>
      <c r="W2530" s="1106" t="s">
        <v>7958</v>
      </c>
      <c r="X2530" s="905"/>
      <c r="Y2530" s="905"/>
      <c r="Z2530" s="895"/>
      <c r="AA2530" s="889"/>
      <c r="AB2530" s="892">
        <v>45145</v>
      </c>
      <c r="AC2530" s="476" t="s">
        <v>7905</v>
      </c>
      <c r="AD2530" s="645" t="str">
        <f t="shared" si="174"/>
        <v>atrasado</v>
      </c>
      <c r="AE2530" s="468" t="s">
        <v>7957</v>
      </c>
      <c r="AF2530" s="468" t="s">
        <v>2937</v>
      </c>
      <c r="AG2530" s="1099">
        <f>+S2530+60</f>
        <v>45143</v>
      </c>
      <c r="AH2530" s="649">
        <f t="shared" si="177"/>
        <v>2</v>
      </c>
      <c r="AI2530" s="649" t="str">
        <f t="shared" si="176"/>
        <v>atrasado</v>
      </c>
    </row>
    <row r="2531" spans="2:36" s="649" customFormat="1" ht="54.95" customHeight="1" thickBot="1" x14ac:dyDescent="0.25">
      <c r="B2531" s="900" t="s">
        <v>36</v>
      </c>
      <c r="C2531" s="887" t="s">
        <v>7534</v>
      </c>
      <c r="D2531" s="888" t="s">
        <v>7769</v>
      </c>
      <c r="E2531" s="901" t="s">
        <v>7770</v>
      </c>
      <c r="F2531" s="1061" t="s">
        <v>7906</v>
      </c>
      <c r="G2531" s="889" t="s">
        <v>39</v>
      </c>
      <c r="H2531" s="890">
        <v>101445</v>
      </c>
      <c r="I2531" s="902" t="s">
        <v>7907</v>
      </c>
      <c r="J2531" s="892">
        <v>45028</v>
      </c>
      <c r="K2531" s="893">
        <f t="shared" si="171"/>
        <v>103</v>
      </c>
      <c r="L2531" s="892">
        <v>45131</v>
      </c>
      <c r="M2531" s="892" t="s">
        <v>41</v>
      </c>
      <c r="N2531" s="889" t="s">
        <v>42</v>
      </c>
      <c r="O2531" s="892">
        <v>45076</v>
      </c>
      <c r="P2531" s="893">
        <f t="shared" si="172"/>
        <v>-51</v>
      </c>
      <c r="Q2531" s="901" t="s">
        <v>7947</v>
      </c>
      <c r="R2531" s="903">
        <v>45080</v>
      </c>
      <c r="S2531" s="904">
        <v>45083</v>
      </c>
      <c r="T2531" s="904">
        <v>45100</v>
      </c>
      <c r="U2531" s="893">
        <f t="shared" si="173"/>
        <v>72</v>
      </c>
      <c r="V2531" s="893" t="s">
        <v>7908</v>
      </c>
      <c r="W2531" s="1106" t="s">
        <v>7958</v>
      </c>
      <c r="X2531" s="905"/>
      <c r="Y2531" s="905"/>
      <c r="Z2531" s="895"/>
      <c r="AA2531" s="889"/>
      <c r="AB2531" s="892">
        <v>45145</v>
      </c>
      <c r="AC2531" s="476" t="s">
        <v>7910</v>
      </c>
      <c r="AD2531" s="645" t="str">
        <f t="shared" si="174"/>
        <v>en término</v>
      </c>
      <c r="AE2531" s="468" t="s">
        <v>7957</v>
      </c>
      <c r="AF2531" s="468" t="s">
        <v>2937</v>
      </c>
      <c r="AG2531" s="1099">
        <f t="shared" si="175"/>
        <v>45143</v>
      </c>
      <c r="AH2531" s="649">
        <f t="shared" si="177"/>
        <v>2</v>
      </c>
      <c r="AI2531" s="649" t="str">
        <f t="shared" si="176"/>
        <v>atrasado</v>
      </c>
    </row>
    <row r="2532" spans="2:36" s="649" customFormat="1" ht="54.95" customHeight="1" thickBot="1" x14ac:dyDescent="0.25">
      <c r="B2532" s="900" t="s">
        <v>36</v>
      </c>
      <c r="C2532" s="887" t="s">
        <v>7534</v>
      </c>
      <c r="D2532" s="888" t="s">
        <v>7769</v>
      </c>
      <c r="E2532" s="901" t="s">
        <v>7770</v>
      </c>
      <c r="F2532" s="1061" t="s">
        <v>7909</v>
      </c>
      <c r="G2532" s="889" t="s">
        <v>39</v>
      </c>
      <c r="H2532" s="890">
        <v>175939</v>
      </c>
      <c r="I2532" s="902" t="s">
        <v>7907</v>
      </c>
      <c r="J2532" s="892">
        <v>45028</v>
      </c>
      <c r="K2532" s="893">
        <f t="shared" si="171"/>
        <v>103</v>
      </c>
      <c r="L2532" s="892">
        <v>45131</v>
      </c>
      <c r="M2532" s="892" t="s">
        <v>41</v>
      </c>
      <c r="N2532" s="889" t="s">
        <v>42</v>
      </c>
      <c r="O2532" s="892">
        <v>45076</v>
      </c>
      <c r="P2532" s="893">
        <f t="shared" si="172"/>
        <v>-51</v>
      </c>
      <c r="Q2532" s="901" t="s">
        <v>7947</v>
      </c>
      <c r="R2532" s="903">
        <v>45080</v>
      </c>
      <c r="S2532" s="904">
        <v>45083</v>
      </c>
      <c r="T2532" s="904">
        <v>45100</v>
      </c>
      <c r="U2532" s="893">
        <f t="shared" si="173"/>
        <v>72</v>
      </c>
      <c r="V2532" s="901" t="s">
        <v>7912</v>
      </c>
      <c r="W2532" s="1106" t="s">
        <v>7958</v>
      </c>
      <c r="X2532" s="905"/>
      <c r="Y2532" s="905"/>
      <c r="Z2532" s="895"/>
      <c r="AA2532" s="889"/>
      <c r="AB2532" s="892">
        <v>45145</v>
      </c>
      <c r="AC2532" s="476" t="s">
        <v>7911</v>
      </c>
      <c r="AD2532" s="645" t="str">
        <f t="shared" si="174"/>
        <v>en término</v>
      </c>
      <c r="AE2532" s="468" t="s">
        <v>7957</v>
      </c>
      <c r="AF2532" s="468" t="s">
        <v>2937</v>
      </c>
      <c r="AG2532" s="1099">
        <f t="shared" si="175"/>
        <v>45143</v>
      </c>
      <c r="AH2532" s="649">
        <f t="shared" si="177"/>
        <v>2</v>
      </c>
      <c r="AI2532" s="649" t="str">
        <f t="shared" si="176"/>
        <v>atrasado</v>
      </c>
    </row>
    <row r="2533" spans="2:36" s="649" customFormat="1" ht="54.95" customHeight="1" thickBot="1" x14ac:dyDescent="0.25">
      <c r="B2533" s="900" t="s">
        <v>36</v>
      </c>
      <c r="C2533" s="887" t="s">
        <v>7534</v>
      </c>
      <c r="D2533" s="888" t="s">
        <v>7924</v>
      </c>
      <c r="E2533" s="901"/>
      <c r="F2533" s="1287" t="s">
        <v>7917</v>
      </c>
      <c r="G2533" s="889" t="s">
        <v>39</v>
      </c>
      <c r="H2533" s="890">
        <v>61309.4</v>
      </c>
      <c r="I2533" s="902" t="s">
        <v>7918</v>
      </c>
      <c r="J2533" s="892">
        <v>45033</v>
      </c>
      <c r="K2533" s="893">
        <f t="shared" si="171"/>
        <v>64</v>
      </c>
      <c r="L2533" s="892">
        <v>45097</v>
      </c>
      <c r="M2533" s="892" t="s">
        <v>41</v>
      </c>
      <c r="N2533" s="889" t="s">
        <v>42</v>
      </c>
      <c r="O2533" s="892">
        <v>45076</v>
      </c>
      <c r="P2533" s="893">
        <f t="shared" si="172"/>
        <v>-17</v>
      </c>
      <c r="Q2533" s="901" t="s">
        <v>7947</v>
      </c>
      <c r="R2533" s="903">
        <v>45080</v>
      </c>
      <c r="S2533" s="904">
        <v>45083</v>
      </c>
      <c r="T2533" s="904">
        <v>45100</v>
      </c>
      <c r="U2533" s="893">
        <f t="shared" si="173"/>
        <v>67</v>
      </c>
      <c r="V2533" s="893" t="s">
        <v>7921</v>
      </c>
      <c r="W2533" s="1106" t="s">
        <v>7958</v>
      </c>
      <c r="X2533" s="905"/>
      <c r="Y2533" s="905"/>
      <c r="Z2533" s="895"/>
      <c r="AA2533" s="889"/>
      <c r="AB2533" s="892">
        <v>45145</v>
      </c>
      <c r="AC2533" s="476" t="s">
        <v>7923</v>
      </c>
      <c r="AD2533" s="645" t="str">
        <f t="shared" si="174"/>
        <v>en término</v>
      </c>
      <c r="AE2533" s="468" t="s">
        <v>7957</v>
      </c>
      <c r="AF2533" s="468" t="s">
        <v>2937</v>
      </c>
      <c r="AG2533" s="1099">
        <f>+S2533+60</f>
        <v>45143</v>
      </c>
      <c r="AH2533" s="649">
        <f t="shared" si="177"/>
        <v>2</v>
      </c>
      <c r="AI2533" s="649" t="str">
        <f t="shared" si="176"/>
        <v>atrasado</v>
      </c>
    </row>
    <row r="2534" spans="2:36" s="649" customFormat="1" ht="54.95" customHeight="1" thickBot="1" x14ac:dyDescent="0.25">
      <c r="B2534" s="900" t="s">
        <v>36</v>
      </c>
      <c r="C2534" s="887" t="s">
        <v>7534</v>
      </c>
      <c r="D2534" s="888" t="s">
        <v>7924</v>
      </c>
      <c r="E2534" s="901"/>
      <c r="F2534" s="1287" t="s">
        <v>7917</v>
      </c>
      <c r="G2534" s="889" t="s">
        <v>39</v>
      </c>
      <c r="H2534" s="890">
        <v>77513</v>
      </c>
      <c r="I2534" s="902" t="s">
        <v>7918</v>
      </c>
      <c r="J2534" s="892">
        <v>45033</v>
      </c>
      <c r="K2534" s="893">
        <f t="shared" si="171"/>
        <v>94</v>
      </c>
      <c r="L2534" s="892">
        <v>45127</v>
      </c>
      <c r="M2534" s="892" t="s">
        <v>41</v>
      </c>
      <c r="N2534" s="889" t="s">
        <v>42</v>
      </c>
      <c r="O2534" s="892">
        <v>45100</v>
      </c>
      <c r="P2534" s="893">
        <f t="shared" si="172"/>
        <v>-12</v>
      </c>
      <c r="Q2534" s="901" t="s">
        <v>7995</v>
      </c>
      <c r="R2534" s="903">
        <v>45115</v>
      </c>
      <c r="S2534" s="904">
        <v>45117</v>
      </c>
      <c r="T2534" s="904">
        <v>45138</v>
      </c>
      <c r="U2534" s="893">
        <f t="shared" si="173"/>
        <v>105</v>
      </c>
      <c r="V2534" s="893" t="s">
        <v>7922</v>
      </c>
      <c r="W2534" s="1106" t="s">
        <v>8003</v>
      </c>
      <c r="X2534" s="905"/>
      <c r="Y2534" s="905"/>
      <c r="Z2534" s="895"/>
      <c r="AA2534" s="889"/>
      <c r="AB2534" s="892">
        <v>45175</v>
      </c>
      <c r="AC2534" s="476" t="s">
        <v>7986</v>
      </c>
      <c r="AD2534" s="645" t="str">
        <f t="shared" si="174"/>
        <v>en término</v>
      </c>
      <c r="AE2534" s="468" t="s">
        <v>7997</v>
      </c>
      <c r="AF2534" s="468" t="s">
        <v>2943</v>
      </c>
      <c r="AG2534" s="1099">
        <f t="shared" si="175"/>
        <v>45177</v>
      </c>
      <c r="AH2534" s="649">
        <f t="shared" si="177"/>
        <v>-2</v>
      </c>
      <c r="AI2534" s="649" t="str">
        <f t="shared" si="176"/>
        <v>en término</v>
      </c>
      <c r="AJ2534" s="1559">
        <v>45145</v>
      </c>
    </row>
    <row r="2535" spans="2:36" s="649" customFormat="1" ht="54.95" customHeight="1" thickBot="1" x14ac:dyDescent="0.25">
      <c r="B2535" s="900" t="s">
        <v>36</v>
      </c>
      <c r="C2535" s="887" t="s">
        <v>7534</v>
      </c>
      <c r="D2535" s="888" t="s">
        <v>7050</v>
      </c>
      <c r="E2535" s="901">
        <v>4600611934</v>
      </c>
      <c r="F2535" s="1061" t="s">
        <v>7930</v>
      </c>
      <c r="G2535" s="889" t="s">
        <v>39</v>
      </c>
      <c r="H2535" s="890">
        <v>61.33</v>
      </c>
      <c r="I2535" s="902" t="s">
        <v>40</v>
      </c>
      <c r="J2535" s="892">
        <v>45049</v>
      </c>
      <c r="K2535" s="893">
        <f t="shared" si="171"/>
        <v>59</v>
      </c>
      <c r="L2535" s="892">
        <v>45108</v>
      </c>
      <c r="M2535" s="892" t="s">
        <v>41</v>
      </c>
      <c r="N2535" s="889" t="s">
        <v>42</v>
      </c>
      <c r="O2535" s="892">
        <v>45100</v>
      </c>
      <c r="P2535" s="893">
        <f t="shared" si="172"/>
        <v>7</v>
      </c>
      <c r="Q2535" s="901" t="s">
        <v>7995</v>
      </c>
      <c r="R2535" s="903">
        <v>45115</v>
      </c>
      <c r="S2535" s="904">
        <v>45117</v>
      </c>
      <c r="T2535" s="904">
        <v>45138</v>
      </c>
      <c r="U2535" s="893">
        <f t="shared" si="173"/>
        <v>89</v>
      </c>
      <c r="V2535" s="893" t="s">
        <v>7931</v>
      </c>
      <c r="W2535" s="1106" t="s">
        <v>8003</v>
      </c>
      <c r="X2535" s="905"/>
      <c r="Y2535" s="905"/>
      <c r="Z2535" s="895"/>
      <c r="AA2535" s="889"/>
      <c r="AB2535" s="892">
        <v>45175</v>
      </c>
      <c r="AC2535" s="476" t="s">
        <v>7987</v>
      </c>
      <c r="AD2535" s="645" t="str">
        <f t="shared" si="174"/>
        <v>atrasado</v>
      </c>
      <c r="AE2535" s="468" t="s">
        <v>7997</v>
      </c>
      <c r="AF2535" s="468" t="s">
        <v>2943</v>
      </c>
      <c r="AG2535" s="1099">
        <f t="shared" si="175"/>
        <v>45177</v>
      </c>
      <c r="AH2535" s="649">
        <f t="shared" si="177"/>
        <v>-2</v>
      </c>
      <c r="AI2535" s="649" t="str">
        <f t="shared" si="176"/>
        <v>en término</v>
      </c>
      <c r="AJ2535" s="1559">
        <v>45145</v>
      </c>
    </row>
    <row r="2536" spans="2:36" s="649" customFormat="1" ht="54.95" customHeight="1" thickBot="1" x14ac:dyDescent="0.25">
      <c r="B2536" s="900" t="s">
        <v>36</v>
      </c>
      <c r="C2536" s="887" t="s">
        <v>7534</v>
      </c>
      <c r="D2536" s="888" t="s">
        <v>7050</v>
      </c>
      <c r="E2536" s="901">
        <v>4600611934</v>
      </c>
      <c r="F2536" s="1061" t="s">
        <v>7932</v>
      </c>
      <c r="G2536" s="889" t="s">
        <v>39</v>
      </c>
      <c r="H2536" s="890">
        <v>1027.01</v>
      </c>
      <c r="I2536" s="902" t="s">
        <v>62</v>
      </c>
      <c r="J2536" s="892">
        <v>45049</v>
      </c>
      <c r="K2536" s="893">
        <f t="shared" si="171"/>
        <v>76</v>
      </c>
      <c r="L2536" s="892">
        <v>45125</v>
      </c>
      <c r="M2536" s="892" t="s">
        <v>41</v>
      </c>
      <c r="N2536" s="889" t="s">
        <v>42</v>
      </c>
      <c r="O2536" s="892">
        <v>45100</v>
      </c>
      <c r="P2536" s="893">
        <f t="shared" si="172"/>
        <v>-10</v>
      </c>
      <c r="Q2536" s="901" t="s">
        <v>7995</v>
      </c>
      <c r="R2536" s="903">
        <v>45115</v>
      </c>
      <c r="S2536" s="904">
        <v>45117</v>
      </c>
      <c r="T2536" s="904">
        <v>45138</v>
      </c>
      <c r="U2536" s="893">
        <f t="shared" si="173"/>
        <v>89</v>
      </c>
      <c r="V2536" s="893" t="s">
        <v>7879</v>
      </c>
      <c r="W2536" s="1106" t="s">
        <v>8003</v>
      </c>
      <c r="X2536" s="905"/>
      <c r="Y2536" s="905"/>
      <c r="Z2536" s="895"/>
      <c r="AA2536" s="889"/>
      <c r="AB2536" s="892">
        <v>45175</v>
      </c>
      <c r="AC2536" s="476" t="s">
        <v>7988</v>
      </c>
      <c r="AD2536" s="645" t="str">
        <f t="shared" si="174"/>
        <v>en término</v>
      </c>
      <c r="AE2536" s="468" t="s">
        <v>7997</v>
      </c>
      <c r="AF2536" s="468" t="s">
        <v>2943</v>
      </c>
      <c r="AG2536" s="1099">
        <f t="shared" si="175"/>
        <v>45177</v>
      </c>
      <c r="AH2536" s="649">
        <f t="shared" si="177"/>
        <v>-2</v>
      </c>
      <c r="AI2536" s="649" t="str">
        <f t="shared" si="176"/>
        <v>en término</v>
      </c>
      <c r="AJ2536" s="1559">
        <v>45145</v>
      </c>
    </row>
    <row r="2537" spans="2:36" s="649" customFormat="1" ht="54.95" customHeight="1" thickBot="1" x14ac:dyDescent="0.25">
      <c r="B2537" s="900" t="s">
        <v>36</v>
      </c>
      <c r="C2537" s="887" t="s">
        <v>7534</v>
      </c>
      <c r="D2537" s="888" t="s">
        <v>7050</v>
      </c>
      <c r="E2537" s="901">
        <v>4600611934</v>
      </c>
      <c r="F2537" s="1061" t="s">
        <v>7941</v>
      </c>
      <c r="G2537" s="889" t="s">
        <v>39</v>
      </c>
      <c r="H2537" s="890">
        <v>122.66</v>
      </c>
      <c r="I2537" s="902" t="s">
        <v>40</v>
      </c>
      <c r="J2537" s="892">
        <v>45058</v>
      </c>
      <c r="K2537" s="893">
        <f t="shared" si="171"/>
        <v>91</v>
      </c>
      <c r="L2537" s="892">
        <v>45149</v>
      </c>
      <c r="M2537" s="892" t="s">
        <v>41</v>
      </c>
      <c r="N2537" s="889" t="s">
        <v>42</v>
      </c>
      <c r="O2537" s="892">
        <v>45100</v>
      </c>
      <c r="P2537" s="893">
        <f t="shared" si="172"/>
        <v>-34</v>
      </c>
      <c r="Q2537" s="901" t="s">
        <v>7995</v>
      </c>
      <c r="R2537" s="903">
        <v>45115</v>
      </c>
      <c r="S2537" s="904">
        <v>45117</v>
      </c>
      <c r="T2537" s="904">
        <v>45138</v>
      </c>
      <c r="U2537" s="893">
        <f t="shared" si="173"/>
        <v>80</v>
      </c>
      <c r="V2537" s="893" t="s">
        <v>7942</v>
      </c>
      <c r="W2537" s="1106" t="s">
        <v>8003</v>
      </c>
      <c r="X2537" s="905"/>
      <c r="Y2537" s="905"/>
      <c r="Z2537" s="895"/>
      <c r="AA2537" s="889"/>
      <c r="AB2537" s="892">
        <v>45175</v>
      </c>
      <c r="AC2537" s="476" t="s">
        <v>7989</v>
      </c>
      <c r="AD2537" s="645" t="str">
        <f t="shared" si="174"/>
        <v>en término</v>
      </c>
      <c r="AE2537" s="468" t="s">
        <v>7997</v>
      </c>
      <c r="AF2537" s="468" t="s">
        <v>2943</v>
      </c>
      <c r="AG2537" s="1099">
        <f t="shared" si="175"/>
        <v>45177</v>
      </c>
      <c r="AH2537" s="649">
        <f t="shared" si="177"/>
        <v>-2</v>
      </c>
      <c r="AI2537" s="649" t="str">
        <f t="shared" si="176"/>
        <v>en término</v>
      </c>
      <c r="AJ2537" s="1559">
        <v>45145</v>
      </c>
    </row>
    <row r="2538" spans="2:36" s="649" customFormat="1" ht="54.95" customHeight="1" thickBot="1" x14ac:dyDescent="0.25">
      <c r="B2538" s="900" t="s">
        <v>36</v>
      </c>
      <c r="C2538" s="887" t="s">
        <v>7534</v>
      </c>
      <c r="D2538" s="888" t="s">
        <v>7050</v>
      </c>
      <c r="E2538" s="901">
        <v>4600611934</v>
      </c>
      <c r="F2538" s="1061" t="s">
        <v>7943</v>
      </c>
      <c r="G2538" s="889" t="s">
        <v>39</v>
      </c>
      <c r="H2538" s="890">
        <v>3081.03</v>
      </c>
      <c r="I2538" s="902" t="s">
        <v>62</v>
      </c>
      <c r="J2538" s="892">
        <v>45064</v>
      </c>
      <c r="K2538" s="893">
        <f t="shared" si="171"/>
        <v>86</v>
      </c>
      <c r="L2538" s="892">
        <v>45150</v>
      </c>
      <c r="M2538" s="892" t="s">
        <v>41</v>
      </c>
      <c r="N2538" s="889" t="s">
        <v>42</v>
      </c>
      <c r="O2538" s="892">
        <v>45100</v>
      </c>
      <c r="P2538" s="893">
        <f t="shared" si="172"/>
        <v>-35</v>
      </c>
      <c r="Q2538" s="901" t="s">
        <v>7995</v>
      </c>
      <c r="R2538" s="903">
        <v>45115</v>
      </c>
      <c r="S2538" s="904">
        <v>45117</v>
      </c>
      <c r="T2538" s="904">
        <v>45138</v>
      </c>
      <c r="U2538" s="893">
        <f t="shared" si="173"/>
        <v>74</v>
      </c>
      <c r="V2538" s="893" t="s">
        <v>7944</v>
      </c>
      <c r="W2538" s="1106" t="s">
        <v>8003</v>
      </c>
      <c r="X2538" s="905"/>
      <c r="Y2538" s="905"/>
      <c r="Z2538" s="895"/>
      <c r="AA2538" s="889"/>
      <c r="AB2538" s="892">
        <v>45175</v>
      </c>
      <c r="AC2538" s="476" t="s">
        <v>7990</v>
      </c>
      <c r="AD2538" s="645" t="str">
        <f t="shared" si="174"/>
        <v>en término</v>
      </c>
      <c r="AE2538" s="468" t="s">
        <v>7997</v>
      </c>
      <c r="AF2538" s="468" t="s">
        <v>2943</v>
      </c>
      <c r="AG2538" s="1099">
        <f t="shared" si="175"/>
        <v>45177</v>
      </c>
      <c r="AH2538" s="649">
        <f t="shared" si="177"/>
        <v>-2</v>
      </c>
      <c r="AI2538" s="649" t="str">
        <f t="shared" si="176"/>
        <v>en término</v>
      </c>
      <c r="AJ2538" s="1559">
        <v>45145</v>
      </c>
    </row>
    <row r="2539" spans="2:36" s="649" customFormat="1" ht="54.95" customHeight="1" thickBot="1" x14ac:dyDescent="0.25">
      <c r="B2539" s="900" t="s">
        <v>36</v>
      </c>
      <c r="C2539" s="887" t="s">
        <v>7534</v>
      </c>
      <c r="D2539" s="888" t="s">
        <v>7050</v>
      </c>
      <c r="E2539" s="901">
        <v>4600611934</v>
      </c>
      <c r="F2539" s="1061" t="s">
        <v>7945</v>
      </c>
      <c r="G2539" s="889" t="s">
        <v>39</v>
      </c>
      <c r="H2539" s="890">
        <v>306.66000000000003</v>
      </c>
      <c r="I2539" s="902" t="s">
        <v>40</v>
      </c>
      <c r="J2539" s="892">
        <v>45064</v>
      </c>
      <c r="K2539" s="893">
        <f t="shared" si="171"/>
        <v>89</v>
      </c>
      <c r="L2539" s="892">
        <v>45153</v>
      </c>
      <c r="M2539" s="892" t="s">
        <v>41</v>
      </c>
      <c r="N2539" s="889" t="s">
        <v>42</v>
      </c>
      <c r="O2539" s="892">
        <v>45100</v>
      </c>
      <c r="P2539" s="893">
        <f t="shared" si="172"/>
        <v>-38</v>
      </c>
      <c r="Q2539" s="901" t="s">
        <v>7995</v>
      </c>
      <c r="R2539" s="903">
        <v>45115</v>
      </c>
      <c r="S2539" s="904">
        <v>45117</v>
      </c>
      <c r="T2539" s="904">
        <v>45138</v>
      </c>
      <c r="U2539" s="893">
        <f t="shared" si="173"/>
        <v>74</v>
      </c>
      <c r="V2539" s="893" t="s">
        <v>7946</v>
      </c>
      <c r="W2539" s="1106" t="s">
        <v>8003</v>
      </c>
      <c r="X2539" s="905"/>
      <c r="Y2539" s="905"/>
      <c r="Z2539" s="895"/>
      <c r="AA2539" s="889"/>
      <c r="AB2539" s="892">
        <v>45175</v>
      </c>
      <c r="AC2539" s="476" t="s">
        <v>7991</v>
      </c>
      <c r="AD2539" s="645" t="str">
        <f t="shared" si="174"/>
        <v>en término</v>
      </c>
      <c r="AE2539" s="468" t="s">
        <v>7997</v>
      </c>
      <c r="AF2539" s="468" t="s">
        <v>2943</v>
      </c>
      <c r="AG2539" s="1099">
        <f t="shared" si="175"/>
        <v>45177</v>
      </c>
      <c r="AH2539" s="649">
        <f t="shared" si="177"/>
        <v>-2</v>
      </c>
      <c r="AI2539" s="649" t="str">
        <f t="shared" si="176"/>
        <v>en término</v>
      </c>
      <c r="AJ2539" s="1559">
        <v>45145</v>
      </c>
    </row>
    <row r="2540" spans="2:36" s="649" customFormat="1" ht="54.95" customHeight="1" thickBot="1" x14ac:dyDescent="0.25">
      <c r="B2540" s="900" t="s">
        <v>36</v>
      </c>
      <c r="C2540" s="887" t="s">
        <v>7534</v>
      </c>
      <c r="D2540" s="888" t="s">
        <v>7050</v>
      </c>
      <c r="E2540" s="901">
        <v>4600611934</v>
      </c>
      <c r="F2540" s="1061" t="s">
        <v>7948</v>
      </c>
      <c r="G2540" s="889" t="s">
        <v>39</v>
      </c>
      <c r="H2540" s="890">
        <v>1027.01</v>
      </c>
      <c r="I2540" s="902" t="s">
        <v>62</v>
      </c>
      <c r="J2540" s="892">
        <v>45068</v>
      </c>
      <c r="K2540" s="893">
        <f t="shared" si="171"/>
        <v>89</v>
      </c>
      <c r="L2540" s="892">
        <v>45157</v>
      </c>
      <c r="M2540" s="892" t="s">
        <v>41</v>
      </c>
      <c r="N2540" s="889" t="s">
        <v>42</v>
      </c>
      <c r="O2540" s="892">
        <v>45100</v>
      </c>
      <c r="P2540" s="893">
        <f t="shared" si="172"/>
        <v>-42</v>
      </c>
      <c r="Q2540" s="901" t="s">
        <v>7995</v>
      </c>
      <c r="R2540" s="903">
        <v>45115</v>
      </c>
      <c r="S2540" s="904">
        <v>45117</v>
      </c>
      <c r="T2540" s="904">
        <v>45138</v>
      </c>
      <c r="U2540" s="893">
        <f t="shared" si="173"/>
        <v>70</v>
      </c>
      <c r="V2540" s="893" t="s">
        <v>7879</v>
      </c>
      <c r="W2540" s="1106" t="s">
        <v>8003</v>
      </c>
      <c r="X2540" s="905"/>
      <c r="Y2540" s="905"/>
      <c r="Z2540" s="895"/>
      <c r="AA2540" s="889"/>
      <c r="AB2540" s="892">
        <v>45175</v>
      </c>
      <c r="AC2540" s="476" t="s">
        <v>7992</v>
      </c>
      <c r="AD2540" s="645" t="str">
        <f t="shared" si="174"/>
        <v>en término</v>
      </c>
      <c r="AE2540" s="468" t="s">
        <v>7997</v>
      </c>
      <c r="AF2540" s="468" t="s">
        <v>2943</v>
      </c>
      <c r="AG2540" s="1099">
        <f t="shared" si="175"/>
        <v>45177</v>
      </c>
      <c r="AH2540" s="649">
        <f t="shared" si="177"/>
        <v>-2</v>
      </c>
      <c r="AI2540" s="649" t="str">
        <f t="shared" si="176"/>
        <v>en término</v>
      </c>
      <c r="AJ2540" s="1559">
        <v>45145</v>
      </c>
    </row>
    <row r="2541" spans="2:36" s="649" customFormat="1" ht="54.95" customHeight="1" thickBot="1" x14ac:dyDescent="0.25">
      <c r="B2541" s="900" t="s">
        <v>36</v>
      </c>
      <c r="C2541" s="887" t="s">
        <v>7534</v>
      </c>
      <c r="D2541" s="888" t="s">
        <v>7050</v>
      </c>
      <c r="E2541" s="901">
        <v>4600611934</v>
      </c>
      <c r="F2541" s="1061" t="s">
        <v>7949</v>
      </c>
      <c r="G2541" s="889" t="s">
        <v>39</v>
      </c>
      <c r="H2541" s="890">
        <v>2054.02</v>
      </c>
      <c r="I2541" s="902" t="s">
        <v>62</v>
      </c>
      <c r="J2541" s="892">
        <v>45070</v>
      </c>
      <c r="K2541" s="893">
        <f t="shared" si="171"/>
        <v>89</v>
      </c>
      <c r="L2541" s="892">
        <v>45159</v>
      </c>
      <c r="M2541" s="892" t="s">
        <v>41</v>
      </c>
      <c r="N2541" s="889" t="s">
        <v>42</v>
      </c>
      <c r="O2541" s="892">
        <v>45100</v>
      </c>
      <c r="P2541" s="893">
        <f t="shared" si="172"/>
        <v>-44</v>
      </c>
      <c r="Q2541" s="901" t="s">
        <v>7995</v>
      </c>
      <c r="R2541" s="903">
        <v>45115</v>
      </c>
      <c r="S2541" s="904">
        <v>45117</v>
      </c>
      <c r="T2541" s="904">
        <v>45138</v>
      </c>
      <c r="U2541" s="893">
        <f t="shared" si="173"/>
        <v>68</v>
      </c>
      <c r="V2541" s="893" t="s">
        <v>4277</v>
      </c>
      <c r="W2541" s="1106" t="s">
        <v>8003</v>
      </c>
      <c r="X2541" s="905"/>
      <c r="Y2541" s="905"/>
      <c r="Z2541" s="895"/>
      <c r="AA2541" s="889"/>
      <c r="AB2541" s="892">
        <v>45175</v>
      </c>
      <c r="AC2541" s="476" t="s">
        <v>7993</v>
      </c>
      <c r="AD2541" s="645" t="str">
        <f t="shared" si="174"/>
        <v>en término</v>
      </c>
      <c r="AE2541" s="468" t="s">
        <v>7997</v>
      </c>
      <c r="AF2541" s="468" t="s">
        <v>2943</v>
      </c>
      <c r="AG2541" s="1099">
        <f t="shared" si="175"/>
        <v>45177</v>
      </c>
      <c r="AH2541" s="649">
        <f t="shared" si="177"/>
        <v>-2</v>
      </c>
      <c r="AI2541" s="649" t="str">
        <f t="shared" si="176"/>
        <v>en término</v>
      </c>
      <c r="AJ2541" s="1559">
        <v>45145</v>
      </c>
    </row>
    <row r="2542" spans="2:36" s="649" customFormat="1" ht="54.95" customHeight="1" thickBot="1" x14ac:dyDescent="0.25">
      <c r="B2542" s="900" t="s">
        <v>36</v>
      </c>
      <c r="C2542" s="887" t="s">
        <v>7534</v>
      </c>
      <c r="D2542" s="888" t="s">
        <v>7050</v>
      </c>
      <c r="E2542" s="901">
        <v>4600611934</v>
      </c>
      <c r="F2542" s="1061" t="s">
        <v>7956</v>
      </c>
      <c r="G2542" s="889" t="s">
        <v>39</v>
      </c>
      <c r="H2542" s="890">
        <v>1027.01</v>
      </c>
      <c r="I2542" s="902" t="s">
        <v>62</v>
      </c>
      <c r="J2542" s="892">
        <v>45072</v>
      </c>
      <c r="K2542" s="893">
        <f t="shared" si="171"/>
        <v>90</v>
      </c>
      <c r="L2542" s="892">
        <v>45162</v>
      </c>
      <c r="M2542" s="892" t="s">
        <v>41</v>
      </c>
      <c r="N2542" s="889" t="s">
        <v>42</v>
      </c>
      <c r="O2542" s="892">
        <v>45100</v>
      </c>
      <c r="P2542" s="893">
        <f t="shared" si="172"/>
        <v>-47</v>
      </c>
      <c r="Q2542" s="901" t="s">
        <v>7995</v>
      </c>
      <c r="R2542" s="903">
        <v>45115</v>
      </c>
      <c r="S2542" s="904">
        <v>45117</v>
      </c>
      <c r="T2542" s="904">
        <v>45138</v>
      </c>
      <c r="U2542" s="893">
        <f t="shared" si="173"/>
        <v>66</v>
      </c>
      <c r="V2542" s="893" t="s">
        <v>7879</v>
      </c>
      <c r="W2542" s="1106" t="s">
        <v>8003</v>
      </c>
      <c r="X2542" s="905"/>
      <c r="Y2542" s="905"/>
      <c r="Z2542" s="895"/>
      <c r="AA2542" s="889"/>
      <c r="AB2542" s="892">
        <v>45175</v>
      </c>
      <c r="AC2542" s="476" t="s">
        <v>7994</v>
      </c>
      <c r="AD2542" s="645" t="str">
        <f t="shared" si="174"/>
        <v>en término</v>
      </c>
      <c r="AE2542" s="468" t="s">
        <v>7997</v>
      </c>
      <c r="AF2542" s="468" t="s">
        <v>2943</v>
      </c>
      <c r="AG2542" s="1099">
        <f t="shared" si="175"/>
        <v>45177</v>
      </c>
      <c r="AH2542" s="649">
        <f t="shared" si="177"/>
        <v>-2</v>
      </c>
      <c r="AI2542" s="649" t="str">
        <f t="shared" si="176"/>
        <v>en término</v>
      </c>
      <c r="AJ2542" s="1559">
        <v>45145</v>
      </c>
    </row>
    <row r="2543" spans="2:36" s="649" customFormat="1" ht="54.95" customHeight="1" thickBot="1" x14ac:dyDescent="0.25">
      <c r="B2543" s="900" t="s">
        <v>36</v>
      </c>
      <c r="C2543" s="887" t="s">
        <v>7534</v>
      </c>
      <c r="D2543" s="888" t="s">
        <v>7769</v>
      </c>
      <c r="E2543" s="901" t="s">
        <v>7770</v>
      </c>
      <c r="F2543" s="1061" t="s">
        <v>7909</v>
      </c>
      <c r="G2543" s="889" t="s">
        <v>39</v>
      </c>
      <c r="H2543" s="890">
        <v>165720</v>
      </c>
      <c r="I2543" s="902" t="s">
        <v>7907</v>
      </c>
      <c r="J2543" s="892">
        <v>45028</v>
      </c>
      <c r="K2543" s="893">
        <f t="shared" si="171"/>
        <v>103</v>
      </c>
      <c r="L2543" s="892">
        <v>45131</v>
      </c>
      <c r="M2543" s="892" t="s">
        <v>41</v>
      </c>
      <c r="N2543" s="889" t="s">
        <v>42</v>
      </c>
      <c r="O2543" s="892">
        <v>45121</v>
      </c>
      <c r="P2543" s="893">
        <f t="shared" si="172"/>
        <v>-2</v>
      </c>
      <c r="Q2543" s="901" t="s">
        <v>8012</v>
      </c>
      <c r="R2543" s="903">
        <v>45129</v>
      </c>
      <c r="S2543" s="904">
        <v>45134</v>
      </c>
      <c r="T2543" s="904">
        <v>45149</v>
      </c>
      <c r="U2543" s="893">
        <f t="shared" si="173"/>
        <v>121</v>
      </c>
      <c r="V2543" s="893" t="s">
        <v>7913</v>
      </c>
      <c r="W2543" s="1106" t="s">
        <v>8018</v>
      </c>
      <c r="X2543" s="905"/>
      <c r="Y2543" s="905"/>
      <c r="Z2543" s="895"/>
      <c r="AA2543" s="889"/>
      <c r="AB2543" s="892">
        <v>45189</v>
      </c>
      <c r="AC2543" s="476" t="s">
        <v>7915</v>
      </c>
      <c r="AD2543" s="645" t="str">
        <f t="shared" si="174"/>
        <v>en término</v>
      </c>
      <c r="AE2543" s="468" t="s">
        <v>8015</v>
      </c>
      <c r="AF2543" s="468" t="s">
        <v>2949</v>
      </c>
      <c r="AG2543" s="1099">
        <f t="shared" si="175"/>
        <v>45194</v>
      </c>
      <c r="AH2543" s="649">
        <f t="shared" si="177"/>
        <v>-5</v>
      </c>
      <c r="AI2543" s="649" t="str">
        <f t="shared" si="176"/>
        <v>en término</v>
      </c>
      <c r="AJ2543" s="1559">
        <v>45155</v>
      </c>
    </row>
    <row r="2544" spans="2:36" s="649" customFormat="1" ht="54.95" customHeight="1" thickBot="1" x14ac:dyDescent="0.25">
      <c r="B2544" s="900" t="s">
        <v>36</v>
      </c>
      <c r="C2544" s="887" t="s">
        <v>7534</v>
      </c>
      <c r="D2544" s="888" t="s">
        <v>7769</v>
      </c>
      <c r="E2544" s="901" t="s">
        <v>7770</v>
      </c>
      <c r="F2544" s="1061" t="s">
        <v>7934</v>
      </c>
      <c r="G2544" s="889" t="s">
        <v>39</v>
      </c>
      <c r="H2544" s="890">
        <v>360464</v>
      </c>
      <c r="I2544" s="902" t="s">
        <v>7907</v>
      </c>
      <c r="J2544" s="892">
        <v>45049</v>
      </c>
      <c r="K2544" s="893">
        <f t="shared" si="171"/>
        <v>196</v>
      </c>
      <c r="L2544" s="892">
        <v>45245</v>
      </c>
      <c r="M2544" s="892" t="s">
        <v>41</v>
      </c>
      <c r="N2544" s="889" t="s">
        <v>42</v>
      </c>
      <c r="O2544" s="892">
        <v>45121</v>
      </c>
      <c r="P2544" s="893">
        <f t="shared" si="172"/>
        <v>-116</v>
      </c>
      <c r="Q2544" s="901" t="s">
        <v>8012</v>
      </c>
      <c r="R2544" s="903">
        <v>45129</v>
      </c>
      <c r="S2544" s="904">
        <v>45134</v>
      </c>
      <c r="T2544" s="904">
        <v>45149</v>
      </c>
      <c r="U2544" s="893">
        <f t="shared" si="173"/>
        <v>100</v>
      </c>
      <c r="V2544" s="893" t="s">
        <v>7933</v>
      </c>
      <c r="W2544" s="1106" t="s">
        <v>8018</v>
      </c>
      <c r="X2544" s="905"/>
      <c r="Y2544" s="905"/>
      <c r="Z2544" s="895"/>
      <c r="AA2544" s="889"/>
      <c r="AB2544" s="892">
        <v>45189</v>
      </c>
      <c r="AC2544" s="476" t="s">
        <v>7938</v>
      </c>
      <c r="AD2544" s="645" t="str">
        <f t="shared" si="174"/>
        <v>en término</v>
      </c>
      <c r="AE2544" s="468" t="s">
        <v>8015</v>
      </c>
      <c r="AF2544" s="468" t="s">
        <v>2949</v>
      </c>
      <c r="AG2544" s="1099">
        <f t="shared" si="175"/>
        <v>45194</v>
      </c>
      <c r="AH2544" s="649">
        <f t="shared" si="177"/>
        <v>-5</v>
      </c>
      <c r="AI2544" s="649" t="str">
        <f t="shared" si="176"/>
        <v>en término</v>
      </c>
      <c r="AJ2544" s="1559">
        <v>45155</v>
      </c>
    </row>
    <row r="2545" spans="2:36" s="649" customFormat="1" ht="54.95" customHeight="1" thickBot="1" x14ac:dyDescent="0.25">
      <c r="B2545" s="900" t="s">
        <v>36</v>
      </c>
      <c r="C2545" s="887" t="s">
        <v>7534</v>
      </c>
      <c r="D2545" s="888" t="s">
        <v>7865</v>
      </c>
      <c r="E2545" s="901" t="s">
        <v>7866</v>
      </c>
      <c r="F2545" s="1061" t="s">
        <v>7954</v>
      </c>
      <c r="G2545" s="889" t="s">
        <v>39</v>
      </c>
      <c r="H2545" s="890">
        <v>6440</v>
      </c>
      <c r="I2545" s="902" t="s">
        <v>40</v>
      </c>
      <c r="J2545" s="892">
        <v>45072</v>
      </c>
      <c r="K2545" s="893">
        <f t="shared" si="171"/>
        <v>99</v>
      </c>
      <c r="L2545" s="892">
        <v>45171</v>
      </c>
      <c r="M2545" s="892" t="s">
        <v>41</v>
      </c>
      <c r="N2545" s="889" t="s">
        <v>42</v>
      </c>
      <c r="O2545" s="892">
        <v>45121</v>
      </c>
      <c r="P2545" s="893">
        <f t="shared" si="172"/>
        <v>-42</v>
      </c>
      <c r="Q2545" s="901" t="s">
        <v>8012</v>
      </c>
      <c r="R2545" s="903">
        <v>45129</v>
      </c>
      <c r="S2545" s="904">
        <v>45134</v>
      </c>
      <c r="T2545" s="904">
        <v>45149</v>
      </c>
      <c r="U2545" s="893">
        <f t="shared" si="173"/>
        <v>77</v>
      </c>
      <c r="V2545" s="893" t="s">
        <v>1680</v>
      </c>
      <c r="W2545" s="1106" t="s">
        <v>8018</v>
      </c>
      <c r="X2545" s="905"/>
      <c r="Y2545" s="905"/>
      <c r="Z2545" s="895"/>
      <c r="AA2545" s="889"/>
      <c r="AB2545" s="892">
        <v>45189</v>
      </c>
      <c r="AC2545" s="476" t="s">
        <v>7955</v>
      </c>
      <c r="AD2545" s="645" t="str">
        <f t="shared" si="174"/>
        <v>en término</v>
      </c>
      <c r="AE2545" s="468" t="s">
        <v>8015</v>
      </c>
      <c r="AF2545" s="468" t="s">
        <v>2949</v>
      </c>
      <c r="AG2545" s="1099">
        <f t="shared" si="175"/>
        <v>45194</v>
      </c>
      <c r="AH2545" s="649">
        <f t="shared" si="177"/>
        <v>-5</v>
      </c>
      <c r="AI2545" s="649" t="str">
        <f t="shared" si="176"/>
        <v>en término</v>
      </c>
      <c r="AJ2545" s="1559">
        <v>45155</v>
      </c>
    </row>
    <row r="2546" spans="2:36" s="649" customFormat="1" ht="54.95" customHeight="1" thickBot="1" x14ac:dyDescent="0.25">
      <c r="B2546" s="900" t="s">
        <v>36</v>
      </c>
      <c r="C2546" s="887" t="s">
        <v>7534</v>
      </c>
      <c r="D2546" s="888" t="s">
        <v>7964</v>
      </c>
      <c r="E2546" s="901"/>
      <c r="F2546" s="1061" t="s">
        <v>7963</v>
      </c>
      <c r="G2546" s="889" t="s">
        <v>39</v>
      </c>
      <c r="H2546" s="890">
        <v>4666</v>
      </c>
      <c r="I2546" s="902" t="s">
        <v>7602</v>
      </c>
      <c r="J2546" s="892">
        <v>45082</v>
      </c>
      <c r="K2546" s="893">
        <f t="shared" si="171"/>
        <v>37</v>
      </c>
      <c r="L2546" s="892">
        <v>45119</v>
      </c>
      <c r="M2546" s="892" t="s">
        <v>41</v>
      </c>
      <c r="N2546" s="889" t="s">
        <v>42</v>
      </c>
      <c r="O2546" s="892">
        <v>45121</v>
      </c>
      <c r="P2546" s="893">
        <f t="shared" si="172"/>
        <v>10</v>
      </c>
      <c r="Q2546" s="901" t="s">
        <v>8012</v>
      </c>
      <c r="R2546" s="903">
        <v>45129</v>
      </c>
      <c r="S2546" s="904">
        <v>45134</v>
      </c>
      <c r="T2546" s="904">
        <v>45149</v>
      </c>
      <c r="U2546" s="893">
        <f t="shared" si="173"/>
        <v>67</v>
      </c>
      <c r="V2546" s="893" t="s">
        <v>7969</v>
      </c>
      <c r="W2546" s="1106" t="s">
        <v>8018</v>
      </c>
      <c r="X2546" s="905"/>
      <c r="Y2546" s="905"/>
      <c r="Z2546" s="895"/>
      <c r="AA2546" s="889"/>
      <c r="AB2546" s="892">
        <v>45189</v>
      </c>
      <c r="AC2546" s="476" t="s">
        <v>7967</v>
      </c>
      <c r="AD2546" s="645" t="str">
        <f t="shared" si="174"/>
        <v>atrasado</v>
      </c>
      <c r="AE2546" s="468" t="s">
        <v>8015</v>
      </c>
      <c r="AF2546" s="468" t="s">
        <v>2949</v>
      </c>
      <c r="AG2546" s="1099">
        <f t="shared" si="175"/>
        <v>45194</v>
      </c>
      <c r="AH2546" s="649">
        <f t="shared" si="177"/>
        <v>-5</v>
      </c>
      <c r="AI2546" s="649" t="str">
        <f t="shared" si="176"/>
        <v>en término</v>
      </c>
      <c r="AJ2546" s="1559">
        <v>45155</v>
      </c>
    </row>
    <row r="2547" spans="2:36" s="649" customFormat="1" ht="54.95" customHeight="1" thickBot="1" x14ac:dyDescent="0.25">
      <c r="B2547" s="900" t="s">
        <v>36</v>
      </c>
      <c r="C2547" s="887" t="s">
        <v>7534</v>
      </c>
      <c r="D2547" s="888" t="s">
        <v>7937</v>
      </c>
      <c r="E2547" s="901"/>
      <c r="F2547" s="1061" t="s">
        <v>7935</v>
      </c>
      <c r="G2547" s="889" t="s">
        <v>39</v>
      </c>
      <c r="H2547" s="890">
        <v>2766</v>
      </c>
      <c r="I2547" s="902"/>
      <c r="J2547" s="892">
        <v>45048</v>
      </c>
      <c r="K2547" s="893">
        <f t="shared" si="171"/>
        <v>89</v>
      </c>
      <c r="L2547" s="892">
        <v>45137</v>
      </c>
      <c r="M2547" s="892" t="s">
        <v>41</v>
      </c>
      <c r="N2547" s="889" t="s">
        <v>42</v>
      </c>
      <c r="O2547" s="892">
        <v>45149</v>
      </c>
      <c r="P2547" s="893">
        <f t="shared" si="172"/>
        <v>62</v>
      </c>
      <c r="Q2547" s="901" t="s">
        <v>8049</v>
      </c>
      <c r="R2547" s="903">
        <v>45199</v>
      </c>
      <c r="S2547" s="904">
        <v>45202</v>
      </c>
      <c r="T2547" s="904">
        <v>45220</v>
      </c>
      <c r="U2547" s="893">
        <f t="shared" si="173"/>
        <v>172</v>
      </c>
      <c r="V2547" s="893" t="s">
        <v>7936</v>
      </c>
      <c r="W2547" s="1106" t="s">
        <v>8056</v>
      </c>
      <c r="X2547" s="905"/>
      <c r="Y2547" s="905"/>
      <c r="Z2547" s="895"/>
      <c r="AA2547" s="889"/>
      <c r="AB2547" s="892">
        <v>45252</v>
      </c>
      <c r="AC2547" s="476" t="s">
        <v>8050</v>
      </c>
      <c r="AD2547" s="645" t="str">
        <f t="shared" si="174"/>
        <v>atrasado</v>
      </c>
      <c r="AE2547" s="468" t="s">
        <v>8054</v>
      </c>
      <c r="AF2547" s="468" t="s">
        <v>3056</v>
      </c>
      <c r="AG2547" s="1099">
        <f t="shared" si="175"/>
        <v>45262</v>
      </c>
      <c r="AH2547" s="649">
        <f t="shared" si="177"/>
        <v>-10</v>
      </c>
      <c r="AI2547" s="649" t="str">
        <f t="shared" si="176"/>
        <v>en término</v>
      </c>
      <c r="AJ2547" s="1559">
        <v>45156</v>
      </c>
    </row>
    <row r="2548" spans="2:36" s="649" customFormat="1" ht="54.95" customHeight="1" thickBot="1" x14ac:dyDescent="0.25">
      <c r="B2548" s="900" t="s">
        <v>36</v>
      </c>
      <c r="C2548" s="887" t="s">
        <v>7534</v>
      </c>
      <c r="D2548" s="888" t="s">
        <v>7980</v>
      </c>
      <c r="E2548" s="901"/>
      <c r="F2548" s="901" t="s">
        <v>7981</v>
      </c>
      <c r="G2548" s="889" t="s">
        <v>39</v>
      </c>
      <c r="H2548" s="890">
        <v>116960</v>
      </c>
      <c r="I2548" s="902" t="s">
        <v>7918</v>
      </c>
      <c r="J2548" s="892">
        <v>45099</v>
      </c>
      <c r="K2548" s="893">
        <f t="shared" si="171"/>
        <v>115</v>
      </c>
      <c r="L2548" s="892">
        <v>45214</v>
      </c>
      <c r="M2548" s="892" t="s">
        <v>41</v>
      </c>
      <c r="N2548" s="889" t="s">
        <v>42</v>
      </c>
      <c r="O2548" s="892">
        <v>45149</v>
      </c>
      <c r="P2548" s="893">
        <f t="shared" si="172"/>
        <v>-15</v>
      </c>
      <c r="Q2548" s="901" t="s">
        <v>8049</v>
      </c>
      <c r="R2548" s="903">
        <v>45199</v>
      </c>
      <c r="S2548" s="904">
        <v>45202</v>
      </c>
      <c r="T2548" s="904">
        <v>45220</v>
      </c>
      <c r="U2548" s="893">
        <f t="shared" si="173"/>
        <v>121</v>
      </c>
      <c r="V2548" s="893" t="s">
        <v>7982</v>
      </c>
      <c r="W2548" s="1106" t="s">
        <v>8056</v>
      </c>
      <c r="X2548" s="905"/>
      <c r="Y2548" s="905"/>
      <c r="Z2548" s="895"/>
      <c r="AA2548" s="889"/>
      <c r="AB2548" s="892">
        <v>45252</v>
      </c>
      <c r="AC2548" s="476" t="s">
        <v>8051</v>
      </c>
      <c r="AD2548" s="645" t="str">
        <f t="shared" si="174"/>
        <v>en término</v>
      </c>
      <c r="AE2548" s="468" t="s">
        <v>8054</v>
      </c>
      <c r="AF2548" s="468" t="s">
        <v>3056</v>
      </c>
      <c r="AG2548" s="1099">
        <f t="shared" si="175"/>
        <v>45262</v>
      </c>
      <c r="AH2548" s="649">
        <f t="shared" si="177"/>
        <v>-10</v>
      </c>
      <c r="AI2548" s="649" t="str">
        <f t="shared" si="176"/>
        <v>en término</v>
      </c>
      <c r="AJ2548" s="1559">
        <v>45157</v>
      </c>
    </row>
    <row r="2549" spans="2:36" s="649" customFormat="1" ht="54.95" customHeight="1" thickBot="1" x14ac:dyDescent="0.25">
      <c r="B2549" s="900" t="s">
        <v>36</v>
      </c>
      <c r="C2549" s="887" t="s">
        <v>7534</v>
      </c>
      <c r="D2549" s="888" t="s">
        <v>7998</v>
      </c>
      <c r="E2549" s="901"/>
      <c r="F2549" s="901" t="s">
        <v>7999</v>
      </c>
      <c r="G2549" s="889" t="s">
        <v>39</v>
      </c>
      <c r="H2549" s="890">
        <v>15800</v>
      </c>
      <c r="I2549" s="902" t="s">
        <v>7918</v>
      </c>
      <c r="J2549" s="892">
        <v>45104</v>
      </c>
      <c r="K2549" s="893">
        <f t="shared" si="171"/>
        <v>91</v>
      </c>
      <c r="L2549" s="892">
        <v>45195</v>
      </c>
      <c r="M2549" s="892" t="s">
        <v>41</v>
      </c>
      <c r="N2549" s="889" t="s">
        <v>42</v>
      </c>
      <c r="O2549" s="892">
        <v>45149</v>
      </c>
      <c r="P2549" s="893">
        <f t="shared" si="172"/>
        <v>4</v>
      </c>
      <c r="Q2549" s="901" t="s">
        <v>8049</v>
      </c>
      <c r="R2549" s="903">
        <v>45199</v>
      </c>
      <c r="S2549" s="904">
        <v>45202</v>
      </c>
      <c r="T2549" s="904">
        <v>45220</v>
      </c>
      <c r="U2549" s="893">
        <f t="shared" si="173"/>
        <v>116</v>
      </c>
      <c r="V2549" s="893" t="s">
        <v>8000</v>
      </c>
      <c r="W2549" s="1106" t="s">
        <v>8056</v>
      </c>
      <c r="X2549" s="905"/>
      <c r="Y2549" s="905"/>
      <c r="Z2549" s="895"/>
      <c r="AA2549" s="889"/>
      <c r="AB2549" s="892">
        <v>45252</v>
      </c>
      <c r="AC2549" s="476" t="s">
        <v>8052</v>
      </c>
      <c r="AD2549" s="645" t="str">
        <f t="shared" si="174"/>
        <v>atrasado</v>
      </c>
      <c r="AE2549" s="468" t="s">
        <v>8054</v>
      </c>
      <c r="AF2549" s="468" t="s">
        <v>3056</v>
      </c>
      <c r="AG2549" s="1099">
        <f t="shared" si="175"/>
        <v>45262</v>
      </c>
      <c r="AH2549" s="649">
        <f t="shared" si="177"/>
        <v>-10</v>
      </c>
      <c r="AI2549" s="649" t="str">
        <f t="shared" si="176"/>
        <v>en término</v>
      </c>
      <c r="AJ2549" s="1559">
        <v>45159</v>
      </c>
    </row>
    <row r="2550" spans="2:36" s="649" customFormat="1" ht="54.95" customHeight="1" thickBot="1" x14ac:dyDescent="0.25">
      <c r="B2550" s="900" t="s">
        <v>36</v>
      </c>
      <c r="C2550" s="887" t="s">
        <v>7534</v>
      </c>
      <c r="D2550" s="888" t="s">
        <v>7769</v>
      </c>
      <c r="E2550" s="901" t="s">
        <v>7770</v>
      </c>
      <c r="F2550" s="1061" t="s">
        <v>8007</v>
      </c>
      <c r="G2550" s="889" t="s">
        <v>39</v>
      </c>
      <c r="H2550" s="890">
        <v>69130</v>
      </c>
      <c r="I2550" s="902" t="s">
        <v>40</v>
      </c>
      <c r="J2550" s="892">
        <v>45106</v>
      </c>
      <c r="K2550" s="893">
        <f t="shared" si="171"/>
        <v>125</v>
      </c>
      <c r="L2550" s="892">
        <v>45231</v>
      </c>
      <c r="M2550" s="892" t="s">
        <v>41</v>
      </c>
      <c r="N2550" s="889" t="s">
        <v>42</v>
      </c>
      <c r="O2550" s="892">
        <v>45184</v>
      </c>
      <c r="P2550" s="893">
        <f t="shared" si="172"/>
        <v>-32</v>
      </c>
      <c r="Q2550" s="901" t="s">
        <v>8049</v>
      </c>
      <c r="R2550" s="903">
        <v>45199</v>
      </c>
      <c r="S2550" s="904">
        <v>45202</v>
      </c>
      <c r="T2550" s="904">
        <v>45220</v>
      </c>
      <c r="U2550" s="893">
        <f t="shared" si="173"/>
        <v>114</v>
      </c>
      <c r="V2550" s="901" t="s">
        <v>8010</v>
      </c>
      <c r="W2550" s="1106" t="s">
        <v>8056</v>
      </c>
      <c r="X2550" s="905"/>
      <c r="Y2550" s="905"/>
      <c r="Z2550" s="895"/>
      <c r="AA2550" s="889"/>
      <c r="AB2550" s="892">
        <v>45252</v>
      </c>
      <c r="AC2550" s="476" t="s">
        <v>8048</v>
      </c>
      <c r="AD2550" s="645" t="str">
        <f t="shared" si="174"/>
        <v>en término</v>
      </c>
      <c r="AE2550" s="468" t="s">
        <v>8054</v>
      </c>
      <c r="AF2550" s="468" t="s">
        <v>3056</v>
      </c>
      <c r="AG2550" s="1099">
        <f t="shared" si="175"/>
        <v>45262</v>
      </c>
      <c r="AH2550" s="649">
        <f t="shared" si="177"/>
        <v>-10</v>
      </c>
      <c r="AI2550" s="649" t="str">
        <f t="shared" si="176"/>
        <v>en término</v>
      </c>
      <c r="AJ2550" s="1559">
        <v>45161</v>
      </c>
    </row>
    <row r="2551" spans="2:36" s="649" customFormat="1" ht="54.95" customHeight="1" thickBot="1" x14ac:dyDescent="0.25">
      <c r="B2551" s="900" t="s">
        <v>36</v>
      </c>
      <c r="C2551" s="887" t="s">
        <v>7534</v>
      </c>
      <c r="D2551" s="888" t="s">
        <v>7769</v>
      </c>
      <c r="E2551" s="901" t="s">
        <v>7770</v>
      </c>
      <c r="F2551" s="1061" t="s">
        <v>7934</v>
      </c>
      <c r="G2551" s="889" t="s">
        <v>39</v>
      </c>
      <c r="H2551" s="890">
        <v>403504</v>
      </c>
      <c r="I2551" s="902" t="s">
        <v>7907</v>
      </c>
      <c r="J2551" s="892">
        <v>45049</v>
      </c>
      <c r="K2551" s="893">
        <f t="shared" si="171"/>
        <v>196</v>
      </c>
      <c r="L2551" s="892">
        <v>45245</v>
      </c>
      <c r="M2551" s="892" t="s">
        <v>41</v>
      </c>
      <c r="N2551" s="889" t="s">
        <v>42</v>
      </c>
      <c r="O2551" s="892">
        <v>45211</v>
      </c>
      <c r="P2551" s="893">
        <f t="shared" si="172"/>
        <v>-25</v>
      </c>
      <c r="Q2551" s="901" t="s">
        <v>8064</v>
      </c>
      <c r="R2551" s="903">
        <v>45220</v>
      </c>
      <c r="S2551" s="904">
        <v>45223</v>
      </c>
      <c r="T2551" s="904">
        <v>45241</v>
      </c>
      <c r="U2551" s="893">
        <f t="shared" si="173"/>
        <v>192</v>
      </c>
      <c r="V2551" s="893" t="s">
        <v>8009</v>
      </c>
      <c r="W2551" s="1106" t="s">
        <v>8079</v>
      </c>
      <c r="X2551" s="905"/>
      <c r="Y2551" s="905"/>
      <c r="Z2551" s="895"/>
      <c r="AA2551" s="889"/>
      <c r="AB2551" s="892">
        <v>45282</v>
      </c>
      <c r="AC2551" s="476" t="s">
        <v>8063</v>
      </c>
      <c r="AD2551" s="645" t="str">
        <f t="shared" si="174"/>
        <v>en término</v>
      </c>
      <c r="AE2551" s="468" t="s">
        <v>8078</v>
      </c>
      <c r="AF2551" s="468" t="s">
        <v>3067</v>
      </c>
      <c r="AG2551" s="1099">
        <f t="shared" ref="AG2551" si="178">+S2551+60</f>
        <v>45283</v>
      </c>
      <c r="AH2551" s="649">
        <f t="shared" ref="AH2551" si="179">IF(AB2551="","",+AB2551-AG2551)</f>
        <v>-1</v>
      </c>
      <c r="AI2551" s="649" t="str">
        <f t="shared" ref="AI2551" si="180">IF(AH2551="","",IF(AH2551&lt;=0,"en término","atrasado"))</f>
        <v>en término</v>
      </c>
      <c r="AJ2551" s="1559">
        <v>45162</v>
      </c>
    </row>
    <row r="2552" spans="2:36" s="649" customFormat="1" ht="54.95" customHeight="1" thickBot="1" x14ac:dyDescent="0.25">
      <c r="B2552" s="900" t="s">
        <v>36</v>
      </c>
      <c r="C2552" s="887" t="s">
        <v>7534</v>
      </c>
      <c r="D2552" s="888" t="s">
        <v>7769</v>
      </c>
      <c r="E2552" s="901" t="s">
        <v>7770</v>
      </c>
      <c r="F2552" s="1061" t="s">
        <v>8007</v>
      </c>
      <c r="G2552" s="889" t="s">
        <v>39</v>
      </c>
      <c r="H2552" s="890">
        <v>269786</v>
      </c>
      <c r="I2552" s="902" t="s">
        <v>40</v>
      </c>
      <c r="J2552" s="892">
        <v>45106</v>
      </c>
      <c r="K2552" s="893">
        <f t="shared" si="171"/>
        <v>125</v>
      </c>
      <c r="L2552" s="892">
        <v>45231</v>
      </c>
      <c r="M2552" s="892" t="s">
        <v>41</v>
      </c>
      <c r="N2552" s="889" t="s">
        <v>42</v>
      </c>
      <c r="O2552" s="892">
        <v>45226</v>
      </c>
      <c r="P2552" s="893">
        <f t="shared" si="172"/>
        <v>10</v>
      </c>
      <c r="Q2552" s="901" t="s">
        <v>8076</v>
      </c>
      <c r="R2552" s="903">
        <v>45241</v>
      </c>
      <c r="S2552" s="904">
        <v>45244</v>
      </c>
      <c r="T2552" s="904">
        <v>45269</v>
      </c>
      <c r="U2552" s="893">
        <f t="shared" si="173"/>
        <v>163</v>
      </c>
      <c r="V2552" s="901" t="s">
        <v>8011</v>
      </c>
      <c r="W2552" s="1106" t="s">
        <v>8077</v>
      </c>
      <c r="X2552" s="905"/>
      <c r="Y2552" s="905"/>
      <c r="Z2552" s="895"/>
      <c r="AA2552" s="889"/>
      <c r="AB2552" s="892">
        <v>45300</v>
      </c>
      <c r="AC2552" s="476" t="s">
        <v>8008</v>
      </c>
      <c r="AD2552" s="645" t="str">
        <f t="shared" si="174"/>
        <v>atrasado</v>
      </c>
      <c r="AE2552" s="468" t="s">
        <v>8075</v>
      </c>
      <c r="AF2552" s="468" t="s">
        <v>3067</v>
      </c>
      <c r="AG2552" s="1099">
        <f t="shared" ref="AG2552:AG2557" si="181">+S2552+60</f>
        <v>45304</v>
      </c>
      <c r="AH2552" s="649">
        <f t="shared" ref="AH2552:AH2557" si="182">IF(AB2552="","",+AB2552-AG2552)</f>
        <v>-4</v>
      </c>
      <c r="AI2552" s="649" t="str">
        <f t="shared" ref="AI2552:AI2557" si="183">IF(AH2552="","",IF(AH2552&lt;=0,"en término","atrasado"))</f>
        <v>en término</v>
      </c>
      <c r="AJ2552" s="1559">
        <v>45163</v>
      </c>
    </row>
    <row r="2553" spans="2:36" s="649" customFormat="1" ht="54.95" customHeight="1" thickBot="1" x14ac:dyDescent="0.25">
      <c r="B2553" s="900" t="s">
        <v>36</v>
      </c>
      <c r="C2553" s="887" t="s">
        <v>7534</v>
      </c>
      <c r="D2553" s="888" t="s">
        <v>7980</v>
      </c>
      <c r="E2553" s="901"/>
      <c r="F2553" s="1287" t="s">
        <v>7981</v>
      </c>
      <c r="G2553" s="889" t="s">
        <v>39</v>
      </c>
      <c r="H2553" s="890">
        <v>312089</v>
      </c>
      <c r="I2553" s="902" t="s">
        <v>7918</v>
      </c>
      <c r="J2553" s="892">
        <v>45099</v>
      </c>
      <c r="K2553" s="893">
        <f t="shared" si="171"/>
        <v>115</v>
      </c>
      <c r="L2553" s="892">
        <v>45214</v>
      </c>
      <c r="M2553" s="892" t="s">
        <v>41</v>
      </c>
      <c r="N2553" s="889" t="s">
        <v>42</v>
      </c>
      <c r="O2553" s="892">
        <v>45232</v>
      </c>
      <c r="P2553" s="893">
        <f t="shared" si="172"/>
        <v>27</v>
      </c>
      <c r="Q2553" s="901" t="s">
        <v>8076</v>
      </c>
      <c r="R2553" s="903">
        <v>45241</v>
      </c>
      <c r="S2553" s="904">
        <v>45244</v>
      </c>
      <c r="T2553" s="904">
        <v>45269</v>
      </c>
      <c r="U2553" s="893">
        <f t="shared" si="173"/>
        <v>170</v>
      </c>
      <c r="V2553" s="901" t="s">
        <v>7983</v>
      </c>
      <c r="W2553" s="1106" t="s">
        <v>8077</v>
      </c>
      <c r="X2553" s="905"/>
      <c r="Y2553" s="905"/>
      <c r="Z2553" s="895"/>
      <c r="AA2553" s="889"/>
      <c r="AB2553" s="892">
        <v>45300</v>
      </c>
      <c r="AC2553" s="476" t="s">
        <v>7996</v>
      </c>
      <c r="AD2553" s="645" t="str">
        <f t="shared" si="174"/>
        <v>atrasado</v>
      </c>
      <c r="AE2553" s="468" t="s">
        <v>8075</v>
      </c>
      <c r="AF2553" s="468" t="s">
        <v>3067</v>
      </c>
      <c r="AG2553" s="1099">
        <f t="shared" si="181"/>
        <v>45304</v>
      </c>
      <c r="AH2553" s="649">
        <f t="shared" si="182"/>
        <v>-4</v>
      </c>
      <c r="AI2553" s="649" t="str">
        <f t="shared" si="183"/>
        <v>en término</v>
      </c>
      <c r="AJ2553" s="1559">
        <v>45164</v>
      </c>
    </row>
    <row r="2554" spans="2:36" s="649" customFormat="1" ht="54.95" customHeight="1" thickBot="1" x14ac:dyDescent="0.25">
      <c r="B2554" s="900" t="s">
        <v>36</v>
      </c>
      <c r="C2554" s="887" t="s">
        <v>7534</v>
      </c>
      <c r="D2554" s="888" t="s">
        <v>7998</v>
      </c>
      <c r="E2554" s="901"/>
      <c r="F2554" s="1287" t="s">
        <v>7999</v>
      </c>
      <c r="G2554" s="889" t="s">
        <v>39</v>
      </c>
      <c r="H2554" s="890">
        <v>15800</v>
      </c>
      <c r="I2554" s="902" t="s">
        <v>7918</v>
      </c>
      <c r="J2554" s="892">
        <v>45104</v>
      </c>
      <c r="K2554" s="893">
        <f t="shared" si="171"/>
        <v>91</v>
      </c>
      <c r="L2554" s="892">
        <v>45195</v>
      </c>
      <c r="M2554" s="892" t="s">
        <v>41</v>
      </c>
      <c r="N2554" s="889" t="s">
        <v>42</v>
      </c>
      <c r="O2554" s="892">
        <v>45226</v>
      </c>
      <c r="P2554" s="893">
        <f t="shared" si="172"/>
        <v>46</v>
      </c>
      <c r="Q2554" s="901" t="s">
        <v>8076</v>
      </c>
      <c r="R2554" s="903">
        <v>45241</v>
      </c>
      <c r="S2554" s="904">
        <v>45244</v>
      </c>
      <c r="T2554" s="904">
        <v>45269</v>
      </c>
      <c r="U2554" s="893">
        <f t="shared" si="173"/>
        <v>165</v>
      </c>
      <c r="V2554" s="901" t="s">
        <v>8001</v>
      </c>
      <c r="W2554" s="1106" t="s">
        <v>8077</v>
      </c>
      <c r="X2554" s="905"/>
      <c r="Y2554" s="905"/>
      <c r="Z2554" s="895"/>
      <c r="AA2554" s="889"/>
      <c r="AB2554" s="892">
        <v>45300</v>
      </c>
      <c r="AC2554" s="476" t="s">
        <v>8002</v>
      </c>
      <c r="AD2554" s="645" t="str">
        <f t="shared" si="174"/>
        <v>atrasado</v>
      </c>
      <c r="AE2554" s="468" t="s">
        <v>8075</v>
      </c>
      <c r="AF2554" s="468" t="s">
        <v>3067</v>
      </c>
      <c r="AG2554" s="1099">
        <f t="shared" si="181"/>
        <v>45304</v>
      </c>
      <c r="AH2554" s="649">
        <f t="shared" si="182"/>
        <v>-4</v>
      </c>
      <c r="AI2554" s="649" t="str">
        <f t="shared" si="183"/>
        <v>en término</v>
      </c>
      <c r="AJ2554" s="1559">
        <v>45165</v>
      </c>
    </row>
    <row r="2555" spans="2:36" s="649" customFormat="1" ht="54.95" customHeight="1" thickBot="1" x14ac:dyDescent="0.25">
      <c r="B2555" s="900" t="s">
        <v>36</v>
      </c>
      <c r="C2555" s="887" t="s">
        <v>7534</v>
      </c>
      <c r="D2555" s="888" t="s">
        <v>7769</v>
      </c>
      <c r="E2555" s="901" t="s">
        <v>7770</v>
      </c>
      <c r="F2555" s="1061" t="s">
        <v>8027</v>
      </c>
      <c r="G2555" s="889" t="s">
        <v>39</v>
      </c>
      <c r="H2555" s="890">
        <v>43986</v>
      </c>
      <c r="I2555" s="902" t="s">
        <v>40</v>
      </c>
      <c r="J2555" s="892">
        <v>45142</v>
      </c>
      <c r="K2555" s="893">
        <f t="shared" si="171"/>
        <v>110</v>
      </c>
      <c r="L2555" s="892">
        <v>45252</v>
      </c>
      <c r="M2555" s="892" t="s">
        <v>41</v>
      </c>
      <c r="N2555" s="889" t="s">
        <v>42</v>
      </c>
      <c r="O2555" s="892">
        <v>45226</v>
      </c>
      <c r="P2555" s="893">
        <f t="shared" si="172"/>
        <v>-11</v>
      </c>
      <c r="Q2555" s="901" t="s">
        <v>8076</v>
      </c>
      <c r="R2555" s="903">
        <v>45241</v>
      </c>
      <c r="S2555" s="904">
        <v>45244</v>
      </c>
      <c r="T2555" s="904">
        <v>45269</v>
      </c>
      <c r="U2555" s="893">
        <f t="shared" si="173"/>
        <v>127</v>
      </c>
      <c r="V2555" s="901" t="s">
        <v>8028</v>
      </c>
      <c r="W2555" s="1106" t="s">
        <v>8077</v>
      </c>
      <c r="X2555" s="905"/>
      <c r="Y2555" s="905"/>
      <c r="Z2555" s="895"/>
      <c r="AA2555" s="889"/>
      <c r="AB2555" s="892">
        <v>45300</v>
      </c>
      <c r="AC2555" s="476" t="s">
        <v>8031</v>
      </c>
      <c r="AD2555" s="645" t="str">
        <f t="shared" si="174"/>
        <v>en término</v>
      </c>
      <c r="AE2555" s="468" t="s">
        <v>8075</v>
      </c>
      <c r="AF2555" s="468" t="s">
        <v>3067</v>
      </c>
      <c r="AG2555" s="1099">
        <f t="shared" si="181"/>
        <v>45304</v>
      </c>
      <c r="AH2555" s="649">
        <f t="shared" si="182"/>
        <v>-4</v>
      </c>
      <c r="AI2555" s="649" t="str">
        <f t="shared" si="183"/>
        <v>en término</v>
      </c>
      <c r="AJ2555" s="1559">
        <v>45166</v>
      </c>
    </row>
    <row r="2556" spans="2:36" s="649" customFormat="1" ht="54.95" customHeight="1" thickBot="1" x14ac:dyDescent="0.25">
      <c r="B2556" s="900" t="s">
        <v>36</v>
      </c>
      <c r="C2556" s="887" t="s">
        <v>7534</v>
      </c>
      <c r="D2556" s="888" t="s">
        <v>7769</v>
      </c>
      <c r="E2556" s="901" t="s">
        <v>7770</v>
      </c>
      <c r="F2556" s="1061" t="s">
        <v>8029</v>
      </c>
      <c r="G2556" s="889" t="s">
        <v>39</v>
      </c>
      <c r="H2556" s="890">
        <v>257870</v>
      </c>
      <c r="I2556" s="902" t="s">
        <v>40</v>
      </c>
      <c r="J2556" s="892">
        <v>45152</v>
      </c>
      <c r="K2556" s="893">
        <f t="shared" si="171"/>
        <v>202</v>
      </c>
      <c r="L2556" s="892">
        <v>45354</v>
      </c>
      <c r="M2556" s="892" t="s">
        <v>41</v>
      </c>
      <c r="N2556" s="889" t="s">
        <v>42</v>
      </c>
      <c r="O2556" s="892">
        <v>45226</v>
      </c>
      <c r="P2556" s="893">
        <f t="shared" si="172"/>
        <v>-113</v>
      </c>
      <c r="Q2556" s="901" t="s">
        <v>8076</v>
      </c>
      <c r="R2556" s="903">
        <v>45241</v>
      </c>
      <c r="S2556" s="904">
        <v>45244</v>
      </c>
      <c r="T2556" s="904">
        <v>45269</v>
      </c>
      <c r="U2556" s="893">
        <f t="shared" si="173"/>
        <v>117</v>
      </c>
      <c r="V2556" s="901" t="s">
        <v>8074</v>
      </c>
      <c r="W2556" s="1106" t="s">
        <v>8077</v>
      </c>
      <c r="X2556" s="905"/>
      <c r="Y2556" s="905"/>
      <c r="Z2556" s="895"/>
      <c r="AA2556" s="889"/>
      <c r="AB2556" s="892">
        <v>45300</v>
      </c>
      <c r="AC2556" s="476" t="s">
        <v>8032</v>
      </c>
      <c r="AD2556" s="645" t="str">
        <f t="shared" si="174"/>
        <v>en término</v>
      </c>
      <c r="AE2556" s="468" t="s">
        <v>8075</v>
      </c>
      <c r="AF2556" s="468" t="s">
        <v>3067</v>
      </c>
      <c r="AG2556" s="1099">
        <f t="shared" si="181"/>
        <v>45304</v>
      </c>
      <c r="AH2556" s="649">
        <f t="shared" si="182"/>
        <v>-4</v>
      </c>
      <c r="AI2556" s="649" t="str">
        <f t="shared" si="183"/>
        <v>en término</v>
      </c>
      <c r="AJ2556" s="1559">
        <v>45167</v>
      </c>
    </row>
    <row r="2557" spans="2:36" s="649" customFormat="1" ht="54.95" customHeight="1" thickBot="1" x14ac:dyDescent="0.25">
      <c r="B2557" s="900" t="s">
        <v>36</v>
      </c>
      <c r="C2557" s="887" t="s">
        <v>7534</v>
      </c>
      <c r="D2557" s="888" t="s">
        <v>8067</v>
      </c>
      <c r="E2557" s="901"/>
      <c r="F2557" s="1061" t="s">
        <v>8069</v>
      </c>
      <c r="G2557" s="889" t="s">
        <v>39</v>
      </c>
      <c r="H2557" s="890">
        <v>118436</v>
      </c>
      <c r="I2557" s="902" t="s">
        <v>142</v>
      </c>
      <c r="J2557" s="892">
        <v>45169</v>
      </c>
      <c r="K2557" s="893">
        <f t="shared" si="171"/>
        <v>72</v>
      </c>
      <c r="L2557" s="892">
        <v>45241</v>
      </c>
      <c r="M2557" s="892" t="s">
        <v>41</v>
      </c>
      <c r="N2557" s="889" t="s">
        <v>42</v>
      </c>
      <c r="O2557" s="892">
        <v>45226</v>
      </c>
      <c r="P2557" s="893">
        <f t="shared" si="172"/>
        <v>0</v>
      </c>
      <c r="Q2557" s="901" t="s">
        <v>8076</v>
      </c>
      <c r="R2557" s="903">
        <v>45241</v>
      </c>
      <c r="S2557" s="904">
        <v>45244</v>
      </c>
      <c r="T2557" s="904">
        <v>45269</v>
      </c>
      <c r="U2557" s="893">
        <f t="shared" si="173"/>
        <v>100</v>
      </c>
      <c r="V2557" s="901" t="s">
        <v>8070</v>
      </c>
      <c r="W2557" s="1106" t="s">
        <v>8077</v>
      </c>
      <c r="X2557" s="905"/>
      <c r="Y2557" s="905"/>
      <c r="Z2557" s="895"/>
      <c r="AA2557" s="889"/>
      <c r="AB2557" s="892">
        <v>45300</v>
      </c>
      <c r="AC2557" s="476" t="s">
        <v>8072</v>
      </c>
      <c r="AD2557" s="645" t="str">
        <f t="shared" si="174"/>
        <v>en término</v>
      </c>
      <c r="AE2557" s="468" t="s">
        <v>8075</v>
      </c>
      <c r="AF2557" s="468" t="s">
        <v>3067</v>
      </c>
      <c r="AG2557" s="1099">
        <f t="shared" si="181"/>
        <v>45304</v>
      </c>
      <c r="AH2557" s="649">
        <f t="shared" si="182"/>
        <v>-4</v>
      </c>
      <c r="AI2557" s="649" t="str">
        <f t="shared" si="183"/>
        <v>en término</v>
      </c>
      <c r="AJ2557" s="1559">
        <v>45168</v>
      </c>
    </row>
    <row r="2558" spans="2:36" s="649" customFormat="1" ht="54.95" customHeight="1" thickBot="1" x14ac:dyDescent="0.25">
      <c r="B2558" s="900" t="s">
        <v>36</v>
      </c>
      <c r="C2558" s="887" t="s">
        <v>7534</v>
      </c>
      <c r="D2558" s="888" t="s">
        <v>8068</v>
      </c>
      <c r="E2558" s="901"/>
      <c r="F2558" s="1061" t="s">
        <v>8071</v>
      </c>
      <c r="G2558" s="889" t="s">
        <v>39</v>
      </c>
      <c r="H2558" s="890">
        <v>30440</v>
      </c>
      <c r="I2558" s="902" t="s">
        <v>142</v>
      </c>
      <c r="J2558" s="892">
        <v>45169</v>
      </c>
      <c r="K2558" s="893">
        <f t="shared" si="171"/>
        <v>72</v>
      </c>
      <c r="L2558" s="892">
        <v>45241</v>
      </c>
      <c r="M2558" s="892" t="s">
        <v>41</v>
      </c>
      <c r="N2558" s="889" t="s">
        <v>42</v>
      </c>
      <c r="O2558" s="892">
        <v>45226</v>
      </c>
      <c r="P2558" s="893">
        <f t="shared" si="172"/>
        <v>0</v>
      </c>
      <c r="Q2558" s="901" t="s">
        <v>8076</v>
      </c>
      <c r="R2558" s="903">
        <v>45241</v>
      </c>
      <c r="S2558" s="904">
        <v>45244</v>
      </c>
      <c r="T2558" s="904">
        <v>45269</v>
      </c>
      <c r="U2558" s="893">
        <f t="shared" si="173"/>
        <v>100</v>
      </c>
      <c r="V2558" s="901" t="s">
        <v>7889</v>
      </c>
      <c r="W2558" s="1106" t="s">
        <v>8077</v>
      </c>
      <c r="X2558" s="905"/>
      <c r="Y2558" s="905"/>
      <c r="Z2558" s="895"/>
      <c r="AA2558" s="889"/>
      <c r="AB2558" s="892">
        <v>45300</v>
      </c>
      <c r="AC2558" s="476" t="s">
        <v>8073</v>
      </c>
      <c r="AD2558" s="645" t="str">
        <f t="shared" si="174"/>
        <v>en término</v>
      </c>
      <c r="AE2558" s="468" t="s">
        <v>8075</v>
      </c>
      <c r="AF2558" s="468" t="s">
        <v>3067</v>
      </c>
      <c r="AG2558" s="1099">
        <f t="shared" ref="AG2558" si="184">+S2558+60</f>
        <v>45304</v>
      </c>
      <c r="AH2558" s="649">
        <f t="shared" ref="AH2558" si="185">IF(AB2558="","",+AB2558-AG2558)</f>
        <v>-4</v>
      </c>
      <c r="AI2558" s="649" t="str">
        <f t="shared" ref="AI2558" si="186">IF(AH2558="","",IF(AH2558&lt;=0,"en término","atrasado"))</f>
        <v>en término</v>
      </c>
      <c r="AJ2558" s="1559">
        <v>45169</v>
      </c>
    </row>
    <row r="2559" spans="2:36" s="649" customFormat="1" ht="54.95" customHeight="1" thickBot="1" x14ac:dyDescent="0.25">
      <c r="B2559" s="900" t="s">
        <v>36</v>
      </c>
      <c r="C2559" s="887" t="s">
        <v>7534</v>
      </c>
      <c r="D2559" s="888" t="s">
        <v>7769</v>
      </c>
      <c r="E2559" s="901" t="s">
        <v>7770</v>
      </c>
      <c r="F2559" s="1061" t="s">
        <v>8029</v>
      </c>
      <c r="G2559" s="889" t="s">
        <v>39</v>
      </c>
      <c r="H2559" s="890">
        <v>158750</v>
      </c>
      <c r="I2559" s="902" t="s">
        <v>40</v>
      </c>
      <c r="J2559" s="892">
        <v>45152</v>
      </c>
      <c r="K2559" s="893">
        <f t="shared" ref="K2559:K2567" si="187">+L2559-J2559</f>
        <v>202</v>
      </c>
      <c r="L2559" s="892">
        <v>45354</v>
      </c>
      <c r="M2559" s="892" t="s">
        <v>41</v>
      </c>
      <c r="N2559" s="889" t="s">
        <v>42</v>
      </c>
      <c r="O2559" s="892">
        <v>45247</v>
      </c>
      <c r="P2559" s="893">
        <f t="shared" ref="P2559:P2567" si="188">IF(R2559="","",+R2559-L2559)</f>
        <v>-99</v>
      </c>
      <c r="Q2559" s="901" t="s">
        <v>8086</v>
      </c>
      <c r="R2559" s="903">
        <v>45255</v>
      </c>
      <c r="S2559" s="904">
        <v>45261</v>
      </c>
      <c r="T2559" s="904">
        <v>45275</v>
      </c>
      <c r="U2559" s="893">
        <f t="shared" ref="U2559:U2567" si="189">IF(T2559="","",+T2559-J2559)</f>
        <v>123</v>
      </c>
      <c r="V2559" s="901" t="s">
        <v>8030</v>
      </c>
      <c r="W2559" s="1106" t="s">
        <v>8098</v>
      </c>
      <c r="X2559" s="905"/>
      <c r="Y2559" s="905"/>
      <c r="Z2559" s="895"/>
      <c r="AA2559" s="889"/>
      <c r="AB2559" s="892">
        <v>45317</v>
      </c>
      <c r="AC2559" s="476" t="s">
        <v>8033</v>
      </c>
      <c r="AD2559" s="645" t="str">
        <f t="shared" ref="AD2559:AD2567" si="190">IF(P2559="","",IF(P2559&lt;=0,"en término","atrasado"))</f>
        <v>en término</v>
      </c>
      <c r="AE2559" s="468" t="s">
        <v>8087</v>
      </c>
      <c r="AF2559" s="468" t="s">
        <v>3074</v>
      </c>
      <c r="AG2559" s="1099">
        <f t="shared" ref="AG2559:AG2560" si="191">+S2559+60</f>
        <v>45321</v>
      </c>
      <c r="AH2559" s="649">
        <f t="shared" ref="AH2559:AH2560" si="192">IF(AB2559="","",+AB2559-AG2559)</f>
        <v>-4</v>
      </c>
      <c r="AI2559" s="649" t="str">
        <f t="shared" ref="AI2559:AI2560" si="193">IF(AH2559="","",IF(AH2559&lt;=0,"en término","atrasado"))</f>
        <v>en término</v>
      </c>
      <c r="AJ2559" s="1559">
        <v>45170</v>
      </c>
    </row>
    <row r="2560" spans="2:36" s="649" customFormat="1" ht="54.95" customHeight="1" thickBot="1" x14ac:dyDescent="0.25">
      <c r="B2560" s="900" t="s">
        <v>36</v>
      </c>
      <c r="C2560" s="887" t="s">
        <v>7534</v>
      </c>
      <c r="D2560" s="888" t="s">
        <v>8060</v>
      </c>
      <c r="E2560" s="901"/>
      <c r="F2560" s="1061" t="s">
        <v>8061</v>
      </c>
      <c r="G2560" s="889" t="s">
        <v>39</v>
      </c>
      <c r="H2560" s="890">
        <v>9800</v>
      </c>
      <c r="I2560" s="902" t="s">
        <v>40</v>
      </c>
      <c r="J2560" s="892">
        <v>45197</v>
      </c>
      <c r="K2560" s="893">
        <f t="shared" si="187"/>
        <v>74</v>
      </c>
      <c r="L2560" s="892">
        <v>45271</v>
      </c>
      <c r="M2560" s="892" t="s">
        <v>41</v>
      </c>
      <c r="N2560" s="889" t="s">
        <v>42</v>
      </c>
      <c r="O2560" s="892">
        <v>45247</v>
      </c>
      <c r="P2560" s="893">
        <f t="shared" si="188"/>
        <v>-16</v>
      </c>
      <c r="Q2560" s="901" t="s">
        <v>8086</v>
      </c>
      <c r="R2560" s="903">
        <v>45255</v>
      </c>
      <c r="S2560" s="904">
        <v>45261</v>
      </c>
      <c r="T2560" s="904">
        <v>45275</v>
      </c>
      <c r="U2560" s="893">
        <f t="shared" si="189"/>
        <v>78</v>
      </c>
      <c r="V2560" s="901" t="s">
        <v>8111</v>
      </c>
      <c r="W2560" s="1106" t="s">
        <v>8098</v>
      </c>
      <c r="X2560" s="905"/>
      <c r="Y2560" s="905"/>
      <c r="Z2560" s="895"/>
      <c r="AA2560" s="889"/>
      <c r="AB2560" s="892">
        <v>45317</v>
      </c>
      <c r="AC2560" s="476" t="s">
        <v>8062</v>
      </c>
      <c r="AD2560" s="645" t="str">
        <f t="shared" si="190"/>
        <v>en término</v>
      </c>
      <c r="AE2560" s="468" t="s">
        <v>8087</v>
      </c>
      <c r="AF2560" s="468" t="s">
        <v>3074</v>
      </c>
      <c r="AG2560" s="1099">
        <f t="shared" si="191"/>
        <v>45321</v>
      </c>
      <c r="AH2560" s="649">
        <f t="shared" si="192"/>
        <v>-4</v>
      </c>
      <c r="AI2560" s="649" t="str">
        <f t="shared" si="193"/>
        <v>en término</v>
      </c>
      <c r="AJ2560" s="1559">
        <v>45171</v>
      </c>
    </row>
    <row r="2561" spans="1:39" s="649" customFormat="1" ht="54.95" customHeight="1" thickBot="1" x14ac:dyDescent="0.25">
      <c r="B2561" s="900" t="s">
        <v>36</v>
      </c>
      <c r="C2561" s="887" t="s">
        <v>7534</v>
      </c>
      <c r="D2561" s="888" t="s">
        <v>8093</v>
      </c>
      <c r="E2561" s="901"/>
      <c r="F2561" s="1061" t="s">
        <v>8092</v>
      </c>
      <c r="G2561" s="889" t="s">
        <v>39</v>
      </c>
      <c r="H2561" s="890">
        <v>2190</v>
      </c>
      <c r="I2561" s="902" t="s">
        <v>40</v>
      </c>
      <c r="J2561" s="892">
        <v>45247</v>
      </c>
      <c r="K2561" s="893">
        <f t="shared" si="187"/>
        <v>54</v>
      </c>
      <c r="L2561" s="892">
        <v>45301</v>
      </c>
      <c r="M2561" s="892" t="s">
        <v>41</v>
      </c>
      <c r="N2561" s="889" t="s">
        <v>42</v>
      </c>
      <c r="O2561" s="892">
        <v>45275</v>
      </c>
      <c r="P2561" s="893">
        <f t="shared" si="188"/>
        <v>-18</v>
      </c>
      <c r="Q2561" s="901" t="s">
        <v>8049</v>
      </c>
      <c r="R2561" s="903">
        <v>45283</v>
      </c>
      <c r="S2561" s="904">
        <v>45286</v>
      </c>
      <c r="T2561" s="904">
        <v>45304</v>
      </c>
      <c r="U2561" s="893">
        <f t="shared" si="189"/>
        <v>57</v>
      </c>
      <c r="V2561" s="893" t="s">
        <v>8091</v>
      </c>
      <c r="W2561" s="1106" t="s">
        <v>8106</v>
      </c>
      <c r="X2561" s="905"/>
      <c r="Y2561" s="905"/>
      <c r="Z2561" s="895"/>
      <c r="AA2561" s="889"/>
      <c r="AB2561" s="1025">
        <v>45342</v>
      </c>
      <c r="AC2561" s="476" t="s">
        <v>8094</v>
      </c>
      <c r="AD2561" s="645" t="str">
        <f t="shared" si="190"/>
        <v>en término</v>
      </c>
      <c r="AE2561" s="468" t="s">
        <v>8105</v>
      </c>
      <c r="AF2561" s="468" t="s">
        <v>3082</v>
      </c>
      <c r="AG2561" s="1099">
        <f t="shared" ref="AG2561:AG2562" si="194">+S2561+60</f>
        <v>45346</v>
      </c>
      <c r="AH2561" s="649">
        <f t="shared" ref="AH2561:AH2562" si="195">IF(AB2561="","",+AB2561-AG2561)</f>
        <v>-4</v>
      </c>
      <c r="AI2561" s="649" t="str">
        <f t="shared" ref="AI2561:AI2562" si="196">IF(AH2561="","",IF(AH2561&lt;=0,"en término","atrasado"))</f>
        <v>en término</v>
      </c>
      <c r="AJ2561" s="1559">
        <v>45172</v>
      </c>
    </row>
    <row r="2562" spans="1:39" s="649" customFormat="1" ht="54.95" customHeight="1" thickBot="1" x14ac:dyDescent="0.25">
      <c r="B2562" s="900" t="s">
        <v>36</v>
      </c>
      <c r="C2562" s="887" t="s">
        <v>7534</v>
      </c>
      <c r="D2562" s="888" t="s">
        <v>8103</v>
      </c>
      <c r="E2562" s="901">
        <v>4500001144</v>
      </c>
      <c r="F2562" s="1061" t="s">
        <v>8096</v>
      </c>
      <c r="G2562" s="889" t="s">
        <v>39</v>
      </c>
      <c r="H2562" s="890">
        <v>99290</v>
      </c>
      <c r="I2562" s="902" t="s">
        <v>52</v>
      </c>
      <c r="J2562" s="892">
        <v>45246</v>
      </c>
      <c r="K2562" s="893">
        <f t="shared" si="187"/>
        <v>176</v>
      </c>
      <c r="L2562" s="892">
        <v>45422</v>
      </c>
      <c r="M2562" s="892" t="s">
        <v>41</v>
      </c>
      <c r="N2562" s="889" t="s">
        <v>42</v>
      </c>
      <c r="O2562" s="892">
        <v>45275</v>
      </c>
      <c r="P2562" s="893">
        <f t="shared" si="188"/>
        <v>-139</v>
      </c>
      <c r="Q2562" s="901" t="s">
        <v>8049</v>
      </c>
      <c r="R2562" s="903">
        <v>45283</v>
      </c>
      <c r="S2562" s="904">
        <v>45286</v>
      </c>
      <c r="T2562" s="904">
        <v>45304</v>
      </c>
      <c r="U2562" s="893">
        <f t="shared" si="189"/>
        <v>58</v>
      </c>
      <c r="V2562" s="901" t="s">
        <v>8108</v>
      </c>
      <c r="W2562" s="1106" t="s">
        <v>8106</v>
      </c>
      <c r="X2562" s="905"/>
      <c r="Y2562" s="905"/>
      <c r="Z2562" s="895"/>
      <c r="AA2562" s="889"/>
      <c r="AB2562" s="1025">
        <v>45342</v>
      </c>
      <c r="AC2562" s="476" t="s">
        <v>8097</v>
      </c>
      <c r="AD2562" s="645" t="str">
        <f t="shared" si="190"/>
        <v>en término</v>
      </c>
      <c r="AE2562" s="468" t="s">
        <v>8105</v>
      </c>
      <c r="AF2562" s="468" t="s">
        <v>3082</v>
      </c>
      <c r="AG2562" s="1099">
        <f t="shared" si="194"/>
        <v>45346</v>
      </c>
      <c r="AH2562" s="649">
        <f t="shared" si="195"/>
        <v>-4</v>
      </c>
      <c r="AI2562" s="649" t="str">
        <f t="shared" si="196"/>
        <v>en término</v>
      </c>
      <c r="AJ2562" s="1559">
        <v>45173</v>
      </c>
    </row>
    <row r="2563" spans="1:39" s="649" customFormat="1" ht="54.95" customHeight="1" thickBot="1" x14ac:dyDescent="0.25">
      <c r="B2563" s="1578"/>
      <c r="C2563" s="1567"/>
      <c r="D2563" s="1568"/>
      <c r="E2563" s="1569"/>
      <c r="F2563" s="1061"/>
      <c r="G2563" s="1077"/>
      <c r="H2563" s="1570"/>
      <c r="I2563" s="1571"/>
      <c r="J2563" s="1572"/>
      <c r="K2563" s="1573"/>
      <c r="L2563" s="1572"/>
      <c r="M2563" s="1572"/>
      <c r="N2563" s="1077"/>
      <c r="O2563" s="1572"/>
      <c r="P2563" s="1573"/>
      <c r="Q2563" s="1569"/>
      <c r="R2563" s="1574"/>
      <c r="S2563" s="1575"/>
      <c r="T2563" s="1575"/>
      <c r="U2563" s="1573"/>
      <c r="V2563" s="1569"/>
      <c r="W2563" s="1563"/>
      <c r="X2563" s="1077"/>
      <c r="Y2563" s="1077"/>
      <c r="Z2563" s="1576"/>
      <c r="AA2563" s="1077"/>
      <c r="AB2563" s="1577"/>
      <c r="AC2563" s="1579"/>
      <c r="AD2563" s="645"/>
      <c r="AE2563" s="656"/>
      <c r="AF2563" s="656"/>
      <c r="AG2563" s="1099"/>
      <c r="AJ2563" s="1559"/>
    </row>
    <row r="2564" spans="1:39" s="556" customFormat="1" ht="39.950000000000003" customHeight="1" thickBot="1" x14ac:dyDescent="0.4">
      <c r="A2564" s="554"/>
      <c r="B2564" s="1611">
        <v>2024</v>
      </c>
      <c r="C2564" s="1612"/>
      <c r="D2564" s="1612"/>
      <c r="E2564" s="1612"/>
      <c r="F2564" s="1612"/>
      <c r="G2564" s="1612"/>
      <c r="H2564" s="1612"/>
      <c r="I2564" s="1612"/>
      <c r="J2564" s="1612"/>
      <c r="K2564" s="1612"/>
      <c r="L2564" s="1612"/>
      <c r="M2564" s="1612"/>
      <c r="N2564" s="1612"/>
      <c r="O2564" s="1612"/>
      <c r="P2564" s="1612"/>
      <c r="Q2564" s="1612"/>
      <c r="R2564" s="1612"/>
      <c r="S2564" s="1612"/>
      <c r="T2564" s="1612"/>
      <c r="U2564" s="1612"/>
      <c r="V2564" s="1612"/>
      <c r="W2564" s="1612"/>
      <c r="X2564" s="1612"/>
      <c r="Y2564" s="1612"/>
      <c r="Z2564" s="1612"/>
      <c r="AA2564" s="1612"/>
      <c r="AB2564" s="1612"/>
      <c r="AC2564" s="1613"/>
      <c r="AD2564" s="555"/>
    </row>
    <row r="2565" spans="1:39" s="441" customFormat="1" ht="60" customHeight="1" thickBot="1" x14ac:dyDescent="0.25">
      <c r="A2565" s="438"/>
      <c r="B2565" s="451" t="s">
        <v>130</v>
      </c>
      <c r="C2565" s="451" t="s">
        <v>4</v>
      </c>
      <c r="D2565" s="451" t="s">
        <v>5</v>
      </c>
      <c r="E2565" s="451" t="s">
        <v>6</v>
      </c>
      <c r="F2565" s="451" t="s">
        <v>7</v>
      </c>
      <c r="G2565" s="451" t="s">
        <v>8</v>
      </c>
      <c r="H2565" s="453" t="s">
        <v>9</v>
      </c>
      <c r="I2565" s="453" t="s">
        <v>10</v>
      </c>
      <c r="J2565" s="451" t="s">
        <v>11</v>
      </c>
      <c r="K2565" s="451" t="s">
        <v>12</v>
      </c>
      <c r="L2565" s="451" t="s">
        <v>13</v>
      </c>
      <c r="M2565" s="451" t="s">
        <v>14</v>
      </c>
      <c r="N2565" s="451" t="s">
        <v>15</v>
      </c>
      <c r="O2565" s="452" t="s">
        <v>16</v>
      </c>
      <c r="P2565" s="454" t="s">
        <v>17</v>
      </c>
      <c r="Q2565" s="451" t="s">
        <v>18</v>
      </c>
      <c r="R2565" s="452" t="s">
        <v>19</v>
      </c>
      <c r="S2565" s="451" t="s">
        <v>20</v>
      </c>
      <c r="T2565" s="451" t="s">
        <v>21</v>
      </c>
      <c r="U2565" s="452" t="s">
        <v>22</v>
      </c>
      <c r="V2565" s="451" t="s">
        <v>131</v>
      </c>
      <c r="W2565" s="451" t="s">
        <v>24</v>
      </c>
      <c r="X2565" s="451" t="s">
        <v>132</v>
      </c>
      <c r="Y2565" s="451" t="s">
        <v>26</v>
      </c>
      <c r="Z2565" s="451" t="s">
        <v>27</v>
      </c>
      <c r="AA2565" s="451" t="s">
        <v>28</v>
      </c>
      <c r="AB2565" s="451" t="s">
        <v>29</v>
      </c>
      <c r="AC2565" s="451" t="s">
        <v>30</v>
      </c>
      <c r="AD2565" s="439"/>
      <c r="AE2565" s="440"/>
      <c r="AF2565" s="440" t="s">
        <v>7187</v>
      </c>
      <c r="AG2565" s="440" t="s">
        <v>7188</v>
      </c>
      <c r="AH2565" s="440" t="s">
        <v>7189</v>
      </c>
      <c r="AI2565" s="440" t="s">
        <v>7190</v>
      </c>
      <c r="AJ2565" s="440" t="s">
        <v>8057</v>
      </c>
      <c r="AK2565" s="440"/>
      <c r="AL2565" s="440"/>
      <c r="AM2565" s="440"/>
    </row>
    <row r="2566" spans="1:39" s="649" customFormat="1" ht="54.95" customHeight="1" thickBot="1" x14ac:dyDescent="0.25">
      <c r="B2566" s="900" t="s">
        <v>36</v>
      </c>
      <c r="C2566" s="887" t="s">
        <v>7534</v>
      </c>
      <c r="D2566" s="888" t="s">
        <v>7769</v>
      </c>
      <c r="E2566" s="901" t="s">
        <v>7770</v>
      </c>
      <c r="F2566" s="1061" t="s">
        <v>8029</v>
      </c>
      <c r="G2566" s="889" t="s">
        <v>39</v>
      </c>
      <c r="H2566" s="890">
        <v>699470</v>
      </c>
      <c r="I2566" s="902" t="s">
        <v>40</v>
      </c>
      <c r="J2566" s="892">
        <v>45152</v>
      </c>
      <c r="K2566" s="893">
        <f t="shared" si="187"/>
        <v>202</v>
      </c>
      <c r="L2566" s="892">
        <v>45354</v>
      </c>
      <c r="M2566" s="892" t="s">
        <v>41</v>
      </c>
      <c r="N2566" s="889" t="s">
        <v>42</v>
      </c>
      <c r="O2566" s="892">
        <v>45310</v>
      </c>
      <c r="P2566" s="893">
        <f t="shared" si="188"/>
        <v>-36</v>
      </c>
      <c r="Q2566" s="901" t="s">
        <v>8107</v>
      </c>
      <c r="R2566" s="903">
        <v>45318</v>
      </c>
      <c r="S2566" s="904">
        <v>45321</v>
      </c>
      <c r="T2566" s="904">
        <v>45339</v>
      </c>
      <c r="U2566" s="893">
        <f t="shared" si="189"/>
        <v>187</v>
      </c>
      <c r="V2566" s="901" t="s">
        <v>8104</v>
      </c>
      <c r="W2566" s="1106" t="s">
        <v>8115</v>
      </c>
      <c r="X2566" s="905"/>
      <c r="Y2566" s="905"/>
      <c r="Z2566" s="895"/>
      <c r="AA2566" s="889"/>
      <c r="AB2566" s="892">
        <v>45383</v>
      </c>
      <c r="AC2566" s="476" t="s">
        <v>8034</v>
      </c>
      <c r="AD2566" s="645" t="str">
        <f t="shared" si="190"/>
        <v>en término</v>
      </c>
      <c r="AE2566" s="468" t="s">
        <v>8114</v>
      </c>
      <c r="AF2566" s="468" t="s">
        <v>2968</v>
      </c>
      <c r="AG2566" s="1099">
        <f t="shared" ref="AG2566:AG2567" si="197">+S2566+60</f>
        <v>45381</v>
      </c>
      <c r="AH2566" s="649">
        <f t="shared" ref="AH2566:AH2567" si="198">IF(AB2566="","",+AB2566-AG2566)</f>
        <v>2</v>
      </c>
      <c r="AI2566" s="649" t="str">
        <f t="shared" ref="AI2566:AI2567" si="199">IF(AH2566="","",IF(AH2566&lt;=0,"en término","atrasado"))</f>
        <v>atrasado</v>
      </c>
      <c r="AJ2566" s="1559">
        <v>45174</v>
      </c>
    </row>
    <row r="2567" spans="1:39" s="649" customFormat="1" ht="54.95" customHeight="1" thickBot="1" x14ac:dyDescent="0.25">
      <c r="B2567" s="900" t="s">
        <v>36</v>
      </c>
      <c r="C2567" s="887" t="s">
        <v>7534</v>
      </c>
      <c r="D2567" s="888" t="s">
        <v>8095</v>
      </c>
      <c r="E2567" s="901">
        <v>4500001144</v>
      </c>
      <c r="F2567" s="1061" t="s">
        <v>8096</v>
      </c>
      <c r="G2567" s="889" t="s">
        <v>39</v>
      </c>
      <c r="H2567" s="890">
        <v>534519</v>
      </c>
      <c r="I2567" s="902" t="s">
        <v>52</v>
      </c>
      <c r="J2567" s="892">
        <v>45246</v>
      </c>
      <c r="K2567" s="893">
        <f t="shared" si="187"/>
        <v>176</v>
      </c>
      <c r="L2567" s="892">
        <v>45422</v>
      </c>
      <c r="M2567" s="892" t="s">
        <v>41</v>
      </c>
      <c r="N2567" s="889" t="s">
        <v>42</v>
      </c>
      <c r="O2567" s="892">
        <v>45310</v>
      </c>
      <c r="P2567" s="893">
        <f t="shared" si="188"/>
        <v>-104</v>
      </c>
      <c r="Q2567" s="901" t="s">
        <v>8107</v>
      </c>
      <c r="R2567" s="903">
        <v>45318</v>
      </c>
      <c r="S2567" s="904">
        <v>45321</v>
      </c>
      <c r="T2567" s="904">
        <v>45339</v>
      </c>
      <c r="U2567" s="893">
        <f t="shared" si="189"/>
        <v>93</v>
      </c>
      <c r="V2567" s="901" t="s">
        <v>8109</v>
      </c>
      <c r="W2567" s="1106" t="s">
        <v>8115</v>
      </c>
      <c r="X2567" s="905"/>
      <c r="Y2567" s="905"/>
      <c r="Z2567" s="895"/>
      <c r="AA2567" s="889"/>
      <c r="AB2567" s="892">
        <v>45383</v>
      </c>
      <c r="AC2567" s="476" t="s">
        <v>8112</v>
      </c>
      <c r="AD2567" s="645" t="str">
        <f t="shared" si="190"/>
        <v>en término</v>
      </c>
      <c r="AE2567" s="468" t="s">
        <v>8114</v>
      </c>
      <c r="AF2567" s="468" t="s">
        <v>2968</v>
      </c>
      <c r="AG2567" s="1099">
        <f t="shared" si="197"/>
        <v>45381</v>
      </c>
      <c r="AH2567" s="649">
        <f t="shared" si="198"/>
        <v>2</v>
      </c>
      <c r="AI2567" s="649" t="str">
        <f t="shared" si="199"/>
        <v>atrasado</v>
      </c>
      <c r="AJ2567" s="1559">
        <v>45175</v>
      </c>
    </row>
    <row r="2568" spans="1:39" s="649" customFormat="1" ht="54.95" customHeight="1" thickBot="1" x14ac:dyDescent="0.25">
      <c r="B2568" s="900" t="s">
        <v>36</v>
      </c>
      <c r="C2568" s="887" t="s">
        <v>7534</v>
      </c>
      <c r="D2568" s="888" t="s">
        <v>8083</v>
      </c>
      <c r="E2568" s="901"/>
      <c r="F2568" s="1061" t="s">
        <v>8084</v>
      </c>
      <c r="G2568" s="889" t="s">
        <v>39</v>
      </c>
      <c r="H2568" s="890">
        <v>134650</v>
      </c>
      <c r="I2568" s="902" t="s">
        <v>40</v>
      </c>
      <c r="J2568" s="892">
        <v>45244</v>
      </c>
      <c r="K2568" s="893">
        <f>+L2568-J2568</f>
        <v>105</v>
      </c>
      <c r="L2568" s="892">
        <v>45349</v>
      </c>
      <c r="M2568" s="892" t="s">
        <v>41</v>
      </c>
      <c r="N2568" s="889" t="s">
        <v>42</v>
      </c>
      <c r="O2568" s="892">
        <v>45349</v>
      </c>
      <c r="P2568" s="893">
        <f>IF(R2568="","",+R2568-L2568)</f>
        <v>11</v>
      </c>
      <c r="Q2568" s="901" t="s">
        <v>8124</v>
      </c>
      <c r="R2568" s="903">
        <v>45360</v>
      </c>
      <c r="S2568" s="904">
        <v>45363</v>
      </c>
      <c r="T2568" s="904">
        <f>+S2568+20</f>
        <v>45383</v>
      </c>
      <c r="U2568" s="893">
        <f>IF(T2568="","",+T2568-J2568)</f>
        <v>139</v>
      </c>
      <c r="V2568" s="901" t="s">
        <v>8110</v>
      </c>
      <c r="W2568" s="1106" t="s">
        <v>8125</v>
      </c>
      <c r="X2568" s="905"/>
      <c r="Y2568" s="905"/>
      <c r="Z2568" s="895"/>
      <c r="AA2568" s="889"/>
      <c r="AB2568" s="892">
        <v>45420</v>
      </c>
      <c r="AC2568" s="476" t="s">
        <v>8085</v>
      </c>
      <c r="AD2568" s="645" t="str">
        <f>IF(P2568="","",IF(P2568&lt;=0,"en término","atrasado"))</f>
        <v>atrasado</v>
      </c>
      <c r="AE2568" s="468" t="s">
        <v>8118</v>
      </c>
      <c r="AF2568" s="468" t="s">
        <v>2981</v>
      </c>
      <c r="AG2568" s="1099">
        <f t="shared" ref="AG2568" si="200">+S2568+60</f>
        <v>45423</v>
      </c>
      <c r="AH2568" s="649">
        <f t="shared" ref="AH2568" si="201">IF(AB2568="","",+AB2568-AG2568)</f>
        <v>-3</v>
      </c>
      <c r="AI2568" s="649" t="str">
        <f t="shared" ref="AI2568" si="202">IF(AH2568="","",IF(AH2568&lt;=0,"en término","atrasado"))</f>
        <v>en término</v>
      </c>
      <c r="AJ2568" s="1559">
        <v>45176</v>
      </c>
    </row>
    <row r="2569" spans="1:39" x14ac:dyDescent="0.2">
      <c r="AD2569" s="2"/>
    </row>
    <row r="2573" spans="1:39" x14ac:dyDescent="0.2">
      <c r="H2573" s="223"/>
    </row>
  </sheetData>
  <customSheetViews>
    <customSheetView guid="{4C4B61E0-A90E-11D1-A823-006097B607DD}" showPageBreaks="1" showRuler="0" topLeftCell="A47">
      <selection activeCell="O45" sqref="O25:O45"/>
      <pageMargins left="0" right="0" top="0" bottom="0" header="0" footer="0"/>
      <printOptions gridLines="1"/>
      <pageSetup orientation="portrait" horizontalDpi="300" verticalDpi="300" r:id="rId1"/>
      <headerFooter alignWithMargins="0">
        <oddHeader>&amp;A</oddHeader>
        <oddFooter>Página &amp;P</oddFooter>
      </headerFooter>
    </customSheetView>
  </customSheetViews>
  <mergeCells count="67">
    <mergeCell ref="B2564:AC2564"/>
    <mergeCell ref="B2513:AC2513"/>
    <mergeCell ref="B2309:AC2309"/>
    <mergeCell ref="B1879:AC1879"/>
    <mergeCell ref="B2164:AC2164"/>
    <mergeCell ref="B2457:AC2457"/>
    <mergeCell ref="B2370:AC2370"/>
    <mergeCell ref="AG2220:AI2220"/>
    <mergeCell ref="B2252:AC2252"/>
    <mergeCell ref="B2205:AC2205"/>
    <mergeCell ref="B2188:AC2188"/>
    <mergeCell ref="B2121:AC2121"/>
    <mergeCell ref="B1778:AC1778"/>
    <mergeCell ref="F2100:F2101"/>
    <mergeCell ref="B1986:AC1986"/>
    <mergeCell ref="B1464:AC1464"/>
    <mergeCell ref="Z1580:Z1581"/>
    <mergeCell ref="H1560:H1561"/>
    <mergeCell ref="S1580:S1581"/>
    <mergeCell ref="J1580:J1581"/>
    <mergeCell ref="I1580:I1581"/>
    <mergeCell ref="O1580:O1581"/>
    <mergeCell ref="Q1580:Q1581"/>
    <mergeCell ref="R1580:R1581"/>
    <mergeCell ref="T1580:T1581"/>
    <mergeCell ref="B2073:AC2073"/>
    <mergeCell ref="E1898:E1899"/>
    <mergeCell ref="F1898:F1899"/>
    <mergeCell ref="AC1357:AC1359"/>
    <mergeCell ref="Y1580:Y1581"/>
    <mergeCell ref="AA1580:AA1581"/>
    <mergeCell ref="AB1580:AB1581"/>
    <mergeCell ref="AC1376:AC1378"/>
    <mergeCell ref="AC1372:AC1374"/>
    <mergeCell ref="B1538:AC1538"/>
    <mergeCell ref="AC1379:AC1381"/>
    <mergeCell ref="F1580:F1581"/>
    <mergeCell ref="W1580:W1581"/>
    <mergeCell ref="N1580:N1581"/>
    <mergeCell ref="AC1363:AC1365"/>
    <mergeCell ref="AC1412:AC1414"/>
    <mergeCell ref="AC1580:AC1581"/>
    <mergeCell ref="X1580:X1581"/>
    <mergeCell ref="U1580:U1581"/>
    <mergeCell ref="B5:AC5"/>
    <mergeCell ref="B1146:AC1146"/>
    <mergeCell ref="B154:AC154"/>
    <mergeCell ref="B295:AC295"/>
    <mergeCell ref="B489:AC489"/>
    <mergeCell ref="B640:AC640"/>
    <mergeCell ref="B778:AC778"/>
    <mergeCell ref="AC1354:AC1356"/>
    <mergeCell ref="B936:AC936"/>
    <mergeCell ref="AC1360:AC1362"/>
    <mergeCell ref="B1687:AC1687"/>
    <mergeCell ref="B1617:AC1617"/>
    <mergeCell ref="M1580:M1581"/>
    <mergeCell ref="V1580:V1581"/>
    <mergeCell ref="AC1348:AC1350"/>
    <mergeCell ref="AC1351:AC1353"/>
    <mergeCell ref="F1560:F1561"/>
    <mergeCell ref="B1334:AC1334"/>
    <mergeCell ref="G1580:G1581"/>
    <mergeCell ref="B1580:B1581"/>
    <mergeCell ref="C1580:C1581"/>
    <mergeCell ref="D1580:D1581"/>
    <mergeCell ref="E1580:E1581"/>
  </mergeCells>
  <phoneticPr fontId="0" type="noConversion"/>
  <printOptions horizontalCentered="1"/>
  <pageMargins left="0.19685039370078741" right="0.75" top="0.19685039370078741" bottom="0.91" header="0" footer="0.19685039370078741"/>
  <pageSetup paperSize="5" scale="35" fitToHeight="3" orientation="landscape" r:id="rId2"/>
  <headerFooter alignWithMargins="0">
    <oddFooter>&amp;LBNDF 3.1085 Rev. _ 3/11/00&amp;CINFORME O/C ENTREGADAS 
- &amp;D &amp;R&amp;"Tahoma,Normal"&amp;9Brasil &amp;P de &amp;N</oddFooter>
  </headerFooter>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O798"/>
  <sheetViews>
    <sheetView topLeftCell="A792" zoomScale="90" zoomScaleNormal="90" workbookViewId="0">
      <selection activeCell="B8" sqref="B8:AC8"/>
    </sheetView>
  </sheetViews>
  <sheetFormatPr baseColWidth="10" defaultColWidth="11.42578125" defaultRowHeight="11.25" x14ac:dyDescent="0.2"/>
  <cols>
    <col min="1" max="1" width="6.7109375" style="2" customWidth="1"/>
    <col min="2" max="2" width="11" style="310" customWidth="1"/>
    <col min="3" max="3" width="22.28515625" style="2" customWidth="1"/>
    <col min="4" max="4" width="10.42578125" style="2" customWidth="1"/>
    <col min="5" max="5" width="24.28515625" style="2"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30" width="11.42578125" style="3"/>
    <col min="31" max="31" width="16.140625" style="2" customWidth="1"/>
    <col min="32" max="16384" width="11.42578125" style="2"/>
  </cols>
  <sheetData>
    <row r="1" spans="1:39" s="540" customFormat="1" ht="25.5" x14ac:dyDescent="0.35">
      <c r="B1" s="558" t="s">
        <v>126</v>
      </c>
      <c r="F1" s="541"/>
      <c r="G1" s="541"/>
      <c r="I1" s="541"/>
      <c r="S1" s="542"/>
      <c r="X1" s="541"/>
      <c r="Y1" s="541"/>
      <c r="Z1" s="546" t="s">
        <v>127</v>
      </c>
      <c r="AA1" s="547">
        <f ca="1">TODAY()</f>
        <v>45457</v>
      </c>
      <c r="AC1" s="541"/>
      <c r="AD1" s="541"/>
    </row>
    <row r="2" spans="1:39" s="540" customFormat="1" ht="23.25" x14ac:dyDescent="0.35">
      <c r="B2" s="559" t="s">
        <v>128</v>
      </c>
      <c r="F2" s="541"/>
      <c r="G2" s="541"/>
      <c r="I2" s="541"/>
      <c r="S2" s="542"/>
      <c r="W2" s="541"/>
      <c r="X2" s="541"/>
      <c r="Y2" s="541"/>
      <c r="AC2" s="541"/>
      <c r="AD2" s="541"/>
    </row>
    <row r="3" spans="1:39" ht="6" customHeight="1" x14ac:dyDescent="0.2"/>
    <row r="4" spans="1:39" ht="6" customHeight="1" thickBot="1" x14ac:dyDescent="0.25"/>
    <row r="5" spans="1:39" s="556" customFormat="1" ht="39.950000000000003" customHeight="1" thickBot="1" x14ac:dyDescent="0.4">
      <c r="B5" s="1611">
        <v>1998</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c r="AD5" s="555"/>
    </row>
    <row r="6" spans="1:39"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c r="AK6" s="440"/>
      <c r="AL6" s="440"/>
      <c r="AM6" s="440"/>
    </row>
    <row r="7" spans="1:39" s="9" customFormat="1" x14ac:dyDescent="0.2">
      <c r="B7" s="312"/>
      <c r="C7" s="16"/>
      <c r="D7" s="6"/>
      <c r="E7" s="6"/>
      <c r="F7" s="6"/>
      <c r="G7" s="6"/>
      <c r="H7" s="17"/>
      <c r="I7" s="39"/>
      <c r="J7" s="6"/>
      <c r="K7" s="6"/>
      <c r="L7" s="40"/>
      <c r="M7" s="6"/>
      <c r="N7" s="6"/>
      <c r="O7" s="6"/>
      <c r="P7" s="6"/>
      <c r="Q7" s="6"/>
      <c r="R7" s="6"/>
      <c r="S7" s="6"/>
      <c r="T7" s="16"/>
      <c r="U7" s="16"/>
      <c r="V7" s="6"/>
      <c r="W7" s="6"/>
      <c r="X7" s="57"/>
      <c r="Y7" s="57"/>
      <c r="Z7" s="58"/>
      <c r="AA7" s="6"/>
      <c r="AB7" s="6"/>
      <c r="AC7" s="12"/>
      <c r="AD7" s="10"/>
    </row>
    <row r="8" spans="1:39" s="9" customFormat="1" x14ac:dyDescent="0.2">
      <c r="B8" s="312" t="s">
        <v>78</v>
      </c>
      <c r="C8" s="16" t="s">
        <v>3165</v>
      </c>
      <c r="D8" s="6"/>
      <c r="E8" s="6"/>
      <c r="F8" s="6">
        <v>102273</v>
      </c>
      <c r="G8" s="6"/>
      <c r="H8" s="17">
        <v>37254</v>
      </c>
      <c r="I8" s="6"/>
      <c r="J8" s="7">
        <v>36054</v>
      </c>
      <c r="K8" s="7"/>
      <c r="L8" s="23"/>
      <c r="M8" s="18" t="s">
        <v>3166</v>
      </c>
      <c r="N8" s="6" t="s">
        <v>42</v>
      </c>
      <c r="O8" s="6"/>
      <c r="P8" s="6"/>
      <c r="Q8" s="6"/>
      <c r="R8" s="6"/>
      <c r="S8" s="7">
        <v>36117</v>
      </c>
      <c r="T8" s="7">
        <v>36117</v>
      </c>
      <c r="U8" s="7"/>
      <c r="V8" s="6"/>
      <c r="W8" s="6"/>
      <c r="X8" s="59"/>
      <c r="Y8" s="59"/>
      <c r="Z8" s="60"/>
      <c r="AA8" s="7"/>
      <c r="AB8" s="7"/>
      <c r="AC8" s="6"/>
      <c r="AD8" s="10"/>
    </row>
    <row r="9" spans="1:39" s="9" customFormat="1" ht="12" thickBot="1" x14ac:dyDescent="0.25">
      <c r="B9" s="313"/>
      <c r="C9" s="19"/>
      <c r="D9" s="5"/>
      <c r="E9" s="5"/>
      <c r="F9" s="5"/>
      <c r="G9" s="5"/>
      <c r="H9" s="20"/>
      <c r="I9" s="21"/>
      <c r="J9" s="5"/>
      <c r="K9" s="5"/>
      <c r="L9" s="22"/>
      <c r="M9" s="5"/>
      <c r="N9" s="5"/>
      <c r="O9" s="5"/>
      <c r="P9" s="5"/>
      <c r="Q9" s="5"/>
      <c r="R9" s="5"/>
      <c r="S9" s="5"/>
      <c r="T9" s="19"/>
      <c r="U9" s="19"/>
      <c r="V9" s="5"/>
      <c r="W9" s="5"/>
      <c r="X9" s="61"/>
      <c r="Y9" s="61"/>
      <c r="Z9" s="62"/>
      <c r="AA9" s="5"/>
      <c r="AB9" s="5"/>
      <c r="AC9" s="5"/>
      <c r="AD9" s="10"/>
    </row>
    <row r="10" spans="1:39" s="9" customFormat="1" x14ac:dyDescent="0.2">
      <c r="B10" s="314"/>
      <c r="C10" s="11"/>
      <c r="D10" s="12"/>
      <c r="E10" s="12"/>
      <c r="F10" s="12"/>
      <c r="G10" s="12"/>
      <c r="H10" s="13"/>
      <c r="I10" s="14"/>
      <c r="J10" s="12"/>
      <c r="K10" s="12"/>
      <c r="L10" s="15"/>
      <c r="M10" s="12"/>
      <c r="N10" s="12"/>
      <c r="O10" s="12"/>
      <c r="P10" s="12"/>
      <c r="Q10" s="12"/>
      <c r="R10" s="12"/>
      <c r="S10" s="12"/>
      <c r="T10" s="11"/>
      <c r="U10" s="11"/>
      <c r="V10" s="12"/>
      <c r="W10" s="10"/>
      <c r="X10" s="59"/>
      <c r="Y10" s="59"/>
      <c r="Z10" s="60"/>
      <c r="AA10" s="12"/>
      <c r="AB10" s="6"/>
      <c r="AC10" s="6"/>
      <c r="AD10" s="10"/>
    </row>
    <row r="11" spans="1:39" s="9" customFormat="1" x14ac:dyDescent="0.2">
      <c r="B11" s="312" t="s">
        <v>78</v>
      </c>
      <c r="C11" s="16" t="s">
        <v>79</v>
      </c>
      <c r="D11" s="6"/>
      <c r="E11" s="6"/>
      <c r="F11" s="6" t="s">
        <v>3167</v>
      </c>
      <c r="G11" s="6"/>
      <c r="H11" s="17">
        <v>130023</v>
      </c>
      <c r="I11" s="6" t="s">
        <v>3168</v>
      </c>
      <c r="J11" s="7">
        <v>36113</v>
      </c>
      <c r="K11" s="7"/>
      <c r="L11" s="23">
        <v>35809</v>
      </c>
      <c r="M11" s="18" t="s">
        <v>3169</v>
      </c>
      <c r="N11" s="6" t="s">
        <v>42</v>
      </c>
      <c r="O11" s="6"/>
      <c r="P11" s="6"/>
      <c r="Q11" s="6"/>
      <c r="R11" s="6"/>
      <c r="S11" s="7">
        <v>35807</v>
      </c>
      <c r="T11" s="7">
        <v>35807</v>
      </c>
      <c r="U11" s="7"/>
      <c r="V11" s="6"/>
      <c r="W11" s="10">
        <v>369</v>
      </c>
      <c r="X11" s="59"/>
      <c r="Y11" s="59"/>
      <c r="Z11" s="60"/>
      <c r="AA11" s="7">
        <v>35828</v>
      </c>
      <c r="AB11" s="7" t="s">
        <v>211</v>
      </c>
      <c r="AC11" s="6"/>
      <c r="AD11" s="10"/>
    </row>
    <row r="12" spans="1:39" s="9" customFormat="1" ht="12" thickBot="1" x14ac:dyDescent="0.25">
      <c r="B12" s="313"/>
      <c r="C12" s="19"/>
      <c r="D12" s="5"/>
      <c r="E12" s="5"/>
      <c r="F12" s="5"/>
      <c r="G12" s="5"/>
      <c r="H12" s="20"/>
      <c r="I12" s="21" t="s">
        <v>3170</v>
      </c>
      <c r="J12" s="5"/>
      <c r="K12" s="5"/>
      <c r="L12" s="22"/>
      <c r="M12" s="5"/>
      <c r="N12" s="5"/>
      <c r="O12" s="5"/>
      <c r="P12" s="5"/>
      <c r="Q12" s="5"/>
      <c r="R12" s="5"/>
      <c r="S12" s="5"/>
      <c r="T12" s="19"/>
      <c r="U12" s="19"/>
      <c r="V12" s="5"/>
      <c r="W12" s="36"/>
      <c r="X12" s="61"/>
      <c r="Y12" s="61"/>
      <c r="Z12" s="62"/>
      <c r="AA12" s="5"/>
      <c r="AB12" s="5"/>
      <c r="AC12" s="5"/>
      <c r="AD12" s="10"/>
    </row>
    <row r="13" spans="1:39" s="9" customFormat="1" x14ac:dyDescent="0.2">
      <c r="B13" s="314"/>
      <c r="C13" s="11"/>
      <c r="D13" s="12"/>
      <c r="E13" s="12"/>
      <c r="F13" s="12"/>
      <c r="G13" s="12"/>
      <c r="H13" s="13"/>
      <c r="I13" s="14"/>
      <c r="J13" s="12"/>
      <c r="K13" s="12"/>
      <c r="L13" s="15"/>
      <c r="M13" s="12"/>
      <c r="N13" s="12"/>
      <c r="O13" s="12"/>
      <c r="P13" s="12"/>
      <c r="Q13" s="12"/>
      <c r="R13" s="12"/>
      <c r="S13" s="12"/>
      <c r="T13" s="11"/>
      <c r="U13" s="11"/>
      <c r="V13" s="12"/>
      <c r="W13" s="10"/>
      <c r="X13" s="59"/>
      <c r="Y13" s="59"/>
      <c r="Z13" s="60"/>
      <c r="AA13" s="12"/>
      <c r="AB13" s="6"/>
      <c r="AC13" s="6"/>
      <c r="AD13" s="10"/>
    </row>
    <row r="14" spans="1:39" s="9" customFormat="1" x14ac:dyDescent="0.2">
      <c r="B14" s="312" t="s">
        <v>78</v>
      </c>
      <c r="C14" s="16" t="s">
        <v>79</v>
      </c>
      <c r="D14" s="6"/>
      <c r="E14" s="6"/>
      <c r="F14" s="6" t="s">
        <v>3167</v>
      </c>
      <c r="G14" s="6"/>
      <c r="H14" s="17">
        <v>22064</v>
      </c>
      <c r="I14" s="6" t="s">
        <v>3168</v>
      </c>
      <c r="J14" s="7">
        <v>35748</v>
      </c>
      <c r="K14" s="7"/>
      <c r="L14" s="23">
        <v>35809</v>
      </c>
      <c r="M14" s="18" t="s">
        <v>3171</v>
      </c>
      <c r="N14" s="6" t="s">
        <v>110</v>
      </c>
      <c r="O14" s="6"/>
      <c r="P14" s="6"/>
      <c r="Q14" s="6"/>
      <c r="R14" s="6"/>
      <c r="S14" s="7">
        <v>35809</v>
      </c>
      <c r="T14" s="7">
        <v>35809</v>
      </c>
      <c r="U14" s="7"/>
      <c r="V14" s="6" t="s">
        <v>3172</v>
      </c>
      <c r="W14" s="10" t="s">
        <v>283</v>
      </c>
      <c r="X14" s="59"/>
      <c r="Y14" s="59"/>
      <c r="Z14" s="60"/>
      <c r="AA14" s="7">
        <v>35814</v>
      </c>
      <c r="AB14" s="7" t="s">
        <v>283</v>
      </c>
      <c r="AC14" s="6"/>
      <c r="AD14" s="10"/>
    </row>
    <row r="15" spans="1:39" s="9" customFormat="1" ht="12" thickBot="1" x14ac:dyDescent="0.25">
      <c r="B15" s="313"/>
      <c r="C15" s="19"/>
      <c r="D15" s="5"/>
      <c r="E15" s="5"/>
      <c r="F15" s="5"/>
      <c r="G15" s="5"/>
      <c r="H15" s="20"/>
      <c r="I15" s="21" t="s">
        <v>3170</v>
      </c>
      <c r="J15" s="5"/>
      <c r="K15" s="5"/>
      <c r="L15" s="22"/>
      <c r="M15" s="5"/>
      <c r="N15" s="5"/>
      <c r="O15" s="5"/>
      <c r="P15" s="5"/>
      <c r="Q15" s="5"/>
      <c r="R15" s="5"/>
      <c r="S15" s="5"/>
      <c r="T15" s="19"/>
      <c r="U15" s="19"/>
      <c r="V15" s="5"/>
      <c r="W15" s="36"/>
      <c r="X15" s="61"/>
      <c r="Y15" s="61"/>
      <c r="Z15" s="62"/>
      <c r="AA15" s="5"/>
      <c r="AB15" s="5"/>
      <c r="AC15" s="5"/>
      <c r="AD15" s="10"/>
    </row>
    <row r="16" spans="1:39" s="9" customFormat="1" x14ac:dyDescent="0.2">
      <c r="B16" s="314"/>
      <c r="C16" s="11"/>
      <c r="D16" s="12"/>
      <c r="E16" s="12"/>
      <c r="F16" s="12"/>
      <c r="G16" s="12"/>
      <c r="H16" s="13"/>
      <c r="I16" s="14"/>
      <c r="J16" s="12"/>
      <c r="K16" s="12"/>
      <c r="L16" s="15"/>
      <c r="M16" s="12"/>
      <c r="N16" s="12"/>
      <c r="O16" s="12"/>
      <c r="P16" s="12"/>
      <c r="Q16" s="12"/>
      <c r="R16" s="12"/>
      <c r="S16" s="12"/>
      <c r="T16" s="11"/>
      <c r="U16" s="11"/>
      <c r="V16" s="12" t="s">
        <v>3173</v>
      </c>
      <c r="W16" s="10"/>
      <c r="X16" s="59"/>
      <c r="Y16" s="59"/>
      <c r="Z16" s="60"/>
      <c r="AA16" s="12"/>
      <c r="AB16" s="6"/>
      <c r="AC16" s="6"/>
      <c r="AD16" s="10"/>
    </row>
    <row r="17" spans="2:30" s="9" customFormat="1" x14ac:dyDescent="0.2">
      <c r="B17" s="312" t="s">
        <v>78</v>
      </c>
      <c r="C17" s="16" t="s">
        <v>79</v>
      </c>
      <c r="D17" s="6"/>
      <c r="E17" s="6"/>
      <c r="F17" s="6" t="s">
        <v>3167</v>
      </c>
      <c r="G17" s="6"/>
      <c r="H17" s="17">
        <v>9908</v>
      </c>
      <c r="I17" s="6" t="s">
        <v>3168</v>
      </c>
      <c r="J17" s="7">
        <v>35748</v>
      </c>
      <c r="K17" s="7"/>
      <c r="L17" s="23">
        <v>35809</v>
      </c>
      <c r="M17" s="18" t="s">
        <v>3169</v>
      </c>
      <c r="N17" s="6" t="s">
        <v>42</v>
      </c>
      <c r="O17" s="6"/>
      <c r="P17" s="6"/>
      <c r="Q17" s="6"/>
      <c r="R17" s="6"/>
      <c r="S17" s="7">
        <v>35853</v>
      </c>
      <c r="T17" s="7">
        <v>35857</v>
      </c>
      <c r="U17" s="7"/>
      <c r="V17" s="6" t="s">
        <v>3174</v>
      </c>
      <c r="W17" s="10">
        <v>375</v>
      </c>
      <c r="X17" s="59"/>
      <c r="Y17" s="59"/>
      <c r="Z17" s="60"/>
      <c r="AA17" s="7">
        <v>35897</v>
      </c>
      <c r="AB17" s="7"/>
      <c r="AC17" s="6"/>
      <c r="AD17" s="10"/>
    </row>
    <row r="18" spans="2:30" s="9" customFormat="1" ht="12" thickBot="1" x14ac:dyDescent="0.25">
      <c r="B18" s="313"/>
      <c r="C18" s="19"/>
      <c r="D18" s="5"/>
      <c r="E18" s="5"/>
      <c r="F18" s="5"/>
      <c r="G18" s="5"/>
      <c r="H18" s="20"/>
      <c r="I18" s="21" t="s">
        <v>3170</v>
      </c>
      <c r="J18" s="5"/>
      <c r="K18" s="5"/>
      <c r="L18" s="22"/>
      <c r="M18" s="5"/>
      <c r="N18" s="5"/>
      <c r="O18" s="5"/>
      <c r="P18" s="5"/>
      <c r="Q18" s="5"/>
      <c r="R18" s="5"/>
      <c r="S18" s="5"/>
      <c r="T18" s="19"/>
      <c r="U18" s="19"/>
      <c r="V18" s="5" t="s">
        <v>3175</v>
      </c>
      <c r="W18" s="36"/>
      <c r="X18" s="61"/>
      <c r="Y18" s="61"/>
      <c r="Z18" s="62"/>
      <c r="AA18" s="5"/>
      <c r="AB18" s="5"/>
      <c r="AC18" s="5"/>
      <c r="AD18" s="10"/>
    </row>
    <row r="19" spans="2:30" s="9" customFormat="1" x14ac:dyDescent="0.2">
      <c r="B19" s="314"/>
      <c r="C19" s="11"/>
      <c r="D19" s="12"/>
      <c r="E19" s="12"/>
      <c r="F19" s="12"/>
      <c r="G19" s="12"/>
      <c r="H19" s="13"/>
      <c r="I19" s="14"/>
      <c r="J19" s="12"/>
      <c r="K19" s="12"/>
      <c r="L19" s="15"/>
      <c r="M19" s="12"/>
      <c r="N19" s="12"/>
      <c r="O19" s="12"/>
      <c r="P19" s="12"/>
      <c r="Q19" s="12"/>
      <c r="R19" s="12"/>
      <c r="S19" s="12"/>
      <c r="T19" s="11"/>
      <c r="U19" s="11"/>
      <c r="V19" s="12"/>
      <c r="W19" s="10"/>
      <c r="X19" s="59"/>
      <c r="Y19" s="59"/>
      <c r="Z19" s="60"/>
      <c r="AA19" s="12"/>
      <c r="AB19" s="6"/>
      <c r="AC19" s="6"/>
      <c r="AD19" s="10"/>
    </row>
    <row r="20" spans="2:30" s="9" customFormat="1" x14ac:dyDescent="0.2">
      <c r="B20" s="312" t="s">
        <v>78</v>
      </c>
      <c r="C20" s="16" t="s">
        <v>79</v>
      </c>
      <c r="D20" s="6"/>
      <c r="E20" s="6"/>
      <c r="F20" s="6" t="s">
        <v>3176</v>
      </c>
      <c r="G20" s="6"/>
      <c r="H20" s="17">
        <v>13595</v>
      </c>
      <c r="I20" s="6" t="s">
        <v>3168</v>
      </c>
      <c r="J20" s="7">
        <v>35769</v>
      </c>
      <c r="K20" s="7"/>
      <c r="L20" s="23">
        <v>35831</v>
      </c>
      <c r="M20" s="18" t="s">
        <v>3177</v>
      </c>
      <c r="N20" s="6" t="s">
        <v>42</v>
      </c>
      <c r="O20" s="6"/>
      <c r="P20" s="6"/>
      <c r="Q20" s="6"/>
      <c r="R20" s="6"/>
      <c r="S20" s="7">
        <v>35853</v>
      </c>
      <c r="T20" s="7">
        <v>35857</v>
      </c>
      <c r="U20" s="7"/>
      <c r="V20" s="6" t="s">
        <v>3178</v>
      </c>
      <c r="W20" s="10">
        <v>375</v>
      </c>
      <c r="X20" s="59"/>
      <c r="Y20" s="59"/>
      <c r="Z20" s="60"/>
      <c r="AA20" s="7">
        <v>35897</v>
      </c>
      <c r="AB20" s="7"/>
      <c r="AC20" s="6"/>
      <c r="AD20" s="10"/>
    </row>
    <row r="21" spans="2:30" s="9" customFormat="1" ht="12" thickBot="1" x14ac:dyDescent="0.25">
      <c r="B21" s="313"/>
      <c r="C21" s="19"/>
      <c r="D21" s="5"/>
      <c r="E21" s="5"/>
      <c r="F21" s="5"/>
      <c r="G21" s="5"/>
      <c r="H21" s="20"/>
      <c r="I21" s="21" t="s">
        <v>3179</v>
      </c>
      <c r="J21" s="5"/>
      <c r="K21" s="5"/>
      <c r="L21" s="22"/>
      <c r="M21" s="5"/>
      <c r="N21" s="5"/>
      <c r="O21" s="5"/>
      <c r="P21" s="5"/>
      <c r="Q21" s="5"/>
      <c r="R21" s="5"/>
      <c r="S21" s="5"/>
      <c r="T21" s="19"/>
      <c r="U21" s="19"/>
      <c r="V21" s="5"/>
      <c r="W21" s="36"/>
      <c r="X21" s="61"/>
      <c r="Y21" s="61"/>
      <c r="Z21" s="62"/>
      <c r="AA21" s="5"/>
      <c r="AB21" s="5"/>
      <c r="AC21" s="5"/>
      <c r="AD21" s="10"/>
    </row>
    <row r="22" spans="2:30" s="9" customFormat="1" x14ac:dyDescent="0.2">
      <c r="B22" s="314"/>
      <c r="C22" s="11"/>
      <c r="D22" s="12"/>
      <c r="E22" s="12"/>
      <c r="F22" s="12"/>
      <c r="G22" s="12"/>
      <c r="H22" s="13"/>
      <c r="I22" s="14"/>
      <c r="J22" s="12"/>
      <c r="K22" s="12"/>
      <c r="L22" s="15"/>
      <c r="M22" s="12"/>
      <c r="N22" s="12"/>
      <c r="O22" s="12"/>
      <c r="P22" s="12"/>
      <c r="Q22" s="12"/>
      <c r="R22" s="12"/>
      <c r="S22" s="12"/>
      <c r="T22" s="11"/>
      <c r="U22" s="11"/>
      <c r="V22" s="12" t="s">
        <v>3180</v>
      </c>
      <c r="W22" s="10"/>
      <c r="X22" s="59"/>
      <c r="Y22" s="59"/>
      <c r="Z22" s="60"/>
      <c r="AA22" s="12"/>
      <c r="AB22" s="6"/>
      <c r="AC22" s="6"/>
      <c r="AD22" s="10"/>
    </row>
    <row r="23" spans="2:30" s="9" customFormat="1" x14ac:dyDescent="0.2">
      <c r="B23" s="312" t="s">
        <v>78</v>
      </c>
      <c r="C23" s="16" t="s">
        <v>79</v>
      </c>
      <c r="D23" s="6"/>
      <c r="E23" s="6"/>
      <c r="F23" s="6" t="s">
        <v>3167</v>
      </c>
      <c r="G23" s="6"/>
      <c r="H23" s="17">
        <v>55565</v>
      </c>
      <c r="I23" s="6" t="s">
        <v>3168</v>
      </c>
      <c r="J23" s="7">
        <v>36113</v>
      </c>
      <c r="K23" s="7"/>
      <c r="L23" s="23">
        <v>35868</v>
      </c>
      <c r="M23" s="18" t="s">
        <v>3169</v>
      </c>
      <c r="N23" s="6" t="s">
        <v>42</v>
      </c>
      <c r="O23" s="6"/>
      <c r="P23" s="6"/>
      <c r="Q23" s="6"/>
      <c r="R23" s="6"/>
      <c r="S23" s="7">
        <v>35888</v>
      </c>
      <c r="T23" s="7">
        <v>35891</v>
      </c>
      <c r="U23" s="7"/>
      <c r="V23" s="6" t="s">
        <v>3181</v>
      </c>
      <c r="W23" s="10">
        <v>388</v>
      </c>
      <c r="X23" s="59"/>
      <c r="Y23" s="59"/>
      <c r="Z23" s="60"/>
      <c r="AA23" s="7">
        <v>35937</v>
      </c>
      <c r="AB23" s="7" t="s">
        <v>211</v>
      </c>
      <c r="AC23" s="6"/>
      <c r="AD23" s="10"/>
    </row>
    <row r="24" spans="2:30" s="9" customFormat="1" ht="12" thickBot="1" x14ac:dyDescent="0.25">
      <c r="B24" s="313"/>
      <c r="C24" s="19"/>
      <c r="D24" s="5"/>
      <c r="E24" s="5"/>
      <c r="F24" s="5"/>
      <c r="G24" s="5"/>
      <c r="H24" s="20"/>
      <c r="I24" s="21" t="s">
        <v>3170</v>
      </c>
      <c r="J24" s="5"/>
      <c r="K24" s="5"/>
      <c r="L24" s="22"/>
      <c r="M24" s="5"/>
      <c r="N24" s="5"/>
      <c r="O24" s="5"/>
      <c r="P24" s="5"/>
      <c r="Q24" s="5"/>
      <c r="R24" s="5"/>
      <c r="S24" s="5"/>
      <c r="T24" s="19"/>
      <c r="U24" s="19"/>
      <c r="V24" s="5" t="s">
        <v>3182</v>
      </c>
      <c r="W24" s="36"/>
      <c r="X24" s="61"/>
      <c r="Y24" s="61"/>
      <c r="Z24" s="62"/>
      <c r="AA24" s="5" t="s">
        <v>77</v>
      </c>
      <c r="AB24" s="5"/>
      <c r="AC24" s="5"/>
      <c r="AD24" s="10"/>
    </row>
    <row r="25" spans="2:30" s="9" customFormat="1" x14ac:dyDescent="0.2">
      <c r="B25" s="314"/>
      <c r="C25" s="11"/>
      <c r="D25" s="12"/>
      <c r="E25" s="12"/>
      <c r="F25" s="12"/>
      <c r="G25" s="12"/>
      <c r="H25" s="13"/>
      <c r="I25" s="14"/>
      <c r="J25" s="12"/>
      <c r="K25" s="12"/>
      <c r="L25" s="15"/>
      <c r="M25" s="12"/>
      <c r="N25" s="12"/>
      <c r="O25" s="12"/>
      <c r="P25" s="12"/>
      <c r="Q25" s="12"/>
      <c r="R25" s="12"/>
      <c r="S25" s="12"/>
      <c r="T25" s="11"/>
      <c r="U25" s="11"/>
      <c r="V25" s="12" t="s">
        <v>3183</v>
      </c>
      <c r="W25" s="10"/>
      <c r="X25" s="59"/>
      <c r="Y25" s="59"/>
      <c r="Z25" s="60"/>
      <c r="AA25" s="12"/>
      <c r="AB25" s="6"/>
      <c r="AC25" s="6"/>
      <c r="AD25" s="10"/>
    </row>
    <row r="26" spans="2:30" s="9" customFormat="1" x14ac:dyDescent="0.2">
      <c r="B26" s="312" t="s">
        <v>78</v>
      </c>
      <c r="C26" s="16" t="s">
        <v>3165</v>
      </c>
      <c r="D26" s="6"/>
      <c r="E26" s="6"/>
      <c r="F26" s="6">
        <v>104084</v>
      </c>
      <c r="G26" s="6"/>
      <c r="H26" s="17">
        <v>20397</v>
      </c>
      <c r="I26" s="6" t="s">
        <v>3184</v>
      </c>
      <c r="J26" s="7">
        <v>35829</v>
      </c>
      <c r="K26" s="7"/>
      <c r="L26" s="23">
        <v>35885</v>
      </c>
      <c r="M26" s="18" t="s">
        <v>3177</v>
      </c>
      <c r="N26" s="6" t="s">
        <v>42</v>
      </c>
      <c r="O26" s="6"/>
      <c r="P26" s="6"/>
      <c r="Q26" s="6"/>
      <c r="R26" s="6"/>
      <c r="S26" s="7">
        <v>35884</v>
      </c>
      <c r="T26" s="7">
        <v>35885</v>
      </c>
      <c r="U26" s="7"/>
      <c r="V26" s="6" t="s">
        <v>3185</v>
      </c>
      <c r="W26" s="10">
        <v>387</v>
      </c>
      <c r="X26" s="59"/>
      <c r="Y26" s="59"/>
      <c r="Z26" s="60"/>
      <c r="AA26" s="7" t="s">
        <v>3186</v>
      </c>
      <c r="AB26" s="7"/>
      <c r="AC26" s="6"/>
      <c r="AD26" s="10"/>
    </row>
    <row r="27" spans="2:30" s="9" customFormat="1" ht="12" thickBot="1" x14ac:dyDescent="0.25">
      <c r="B27" s="313"/>
      <c r="C27" s="19"/>
      <c r="D27" s="5"/>
      <c r="E27" s="5"/>
      <c r="F27" s="5"/>
      <c r="G27" s="5"/>
      <c r="H27" s="20"/>
      <c r="I27" s="21"/>
      <c r="J27" s="5"/>
      <c r="K27" s="5"/>
      <c r="L27" s="22"/>
      <c r="M27" s="5"/>
      <c r="N27" s="5"/>
      <c r="O27" s="5"/>
      <c r="P27" s="5"/>
      <c r="Q27" s="5"/>
      <c r="R27" s="5"/>
      <c r="S27" s="5"/>
      <c r="T27" s="19"/>
      <c r="U27" s="19"/>
      <c r="V27" s="5" t="s">
        <v>3187</v>
      </c>
      <c r="W27" s="36">
        <v>398</v>
      </c>
      <c r="X27" s="61"/>
      <c r="Y27" s="61"/>
      <c r="Z27" s="62"/>
      <c r="AA27" s="5"/>
      <c r="AB27" s="5"/>
      <c r="AC27" s="5"/>
      <c r="AD27" s="10"/>
    </row>
    <row r="28" spans="2:30" s="9" customFormat="1" x14ac:dyDescent="0.2">
      <c r="B28" s="314"/>
      <c r="C28" s="11"/>
      <c r="D28" s="12"/>
      <c r="E28" s="12"/>
      <c r="F28" s="12"/>
      <c r="G28" s="12"/>
      <c r="H28" s="13"/>
      <c r="I28" s="14"/>
      <c r="J28" s="12"/>
      <c r="K28" s="12"/>
      <c r="L28" s="15"/>
      <c r="M28" s="12"/>
      <c r="N28" s="12"/>
      <c r="O28" s="12"/>
      <c r="P28" s="12"/>
      <c r="Q28" s="12"/>
      <c r="R28" s="12"/>
      <c r="S28" s="12"/>
      <c r="T28" s="11"/>
      <c r="U28" s="11"/>
      <c r="V28" s="12" t="s">
        <v>3188</v>
      </c>
      <c r="W28" s="12"/>
      <c r="X28" s="59"/>
      <c r="Y28" s="59"/>
      <c r="Z28" s="60"/>
      <c r="AA28" s="34"/>
      <c r="AB28" s="47"/>
      <c r="AC28" s="6"/>
      <c r="AD28" s="10"/>
    </row>
    <row r="29" spans="2:30" s="9" customFormat="1" x14ac:dyDescent="0.2">
      <c r="B29" s="312" t="s">
        <v>78</v>
      </c>
      <c r="C29" s="16" t="s">
        <v>3165</v>
      </c>
      <c r="D29" s="6" t="s">
        <v>3189</v>
      </c>
      <c r="E29" s="6"/>
      <c r="F29" s="6">
        <v>105960</v>
      </c>
      <c r="G29" s="6"/>
      <c r="H29" s="17">
        <v>3385.25</v>
      </c>
      <c r="I29" s="6" t="s">
        <v>3184</v>
      </c>
      <c r="J29" s="7">
        <v>35949</v>
      </c>
      <c r="K29" s="7"/>
      <c r="L29" s="23">
        <v>36004</v>
      </c>
      <c r="M29" s="18" t="s">
        <v>3177</v>
      </c>
      <c r="N29" s="6" t="s">
        <v>42</v>
      </c>
      <c r="O29" s="6"/>
      <c r="P29" s="6"/>
      <c r="Q29" s="6"/>
      <c r="R29" s="6"/>
      <c r="S29" s="7">
        <v>35993</v>
      </c>
      <c r="T29" s="7">
        <v>35996</v>
      </c>
      <c r="U29" s="7"/>
      <c r="V29" s="6" t="s">
        <v>3190</v>
      </c>
      <c r="W29" s="6">
        <v>422</v>
      </c>
      <c r="X29" s="59"/>
      <c r="Y29" s="59"/>
      <c r="Z29" s="60"/>
      <c r="AA29" s="35" t="s">
        <v>3186</v>
      </c>
      <c r="AB29" s="35"/>
      <c r="AC29" s="6"/>
      <c r="AD29" s="10"/>
    </row>
    <row r="30" spans="2:30" s="9" customFormat="1" ht="12" thickBot="1" x14ac:dyDescent="0.25">
      <c r="B30" s="313"/>
      <c r="C30" s="19"/>
      <c r="D30" s="5"/>
      <c r="E30" s="5"/>
      <c r="F30" s="5"/>
      <c r="G30" s="5"/>
      <c r="H30" s="20"/>
      <c r="I30" s="21"/>
      <c r="J30" s="5"/>
      <c r="K30" s="5"/>
      <c r="L30" s="22"/>
      <c r="M30" s="5"/>
      <c r="N30" s="5" t="s">
        <v>110</v>
      </c>
      <c r="O30" s="5"/>
      <c r="P30" s="5"/>
      <c r="Q30" s="5"/>
      <c r="R30" s="5"/>
      <c r="S30" s="5" t="s">
        <v>3191</v>
      </c>
      <c r="T30" s="5" t="s">
        <v>3192</v>
      </c>
      <c r="U30" s="5"/>
      <c r="V30" s="5" t="s">
        <v>3193</v>
      </c>
      <c r="W30" s="5"/>
      <c r="X30" s="61"/>
      <c r="Y30" s="61"/>
      <c r="Z30" s="62"/>
      <c r="AA30" s="36"/>
      <c r="AB30" s="36"/>
      <c r="AC30" s="5"/>
      <c r="AD30" s="10"/>
    </row>
    <row r="31" spans="2:30" s="9" customFormat="1" x14ac:dyDescent="0.2">
      <c r="B31" s="314"/>
      <c r="C31" s="11"/>
      <c r="D31" s="12"/>
      <c r="E31" s="12"/>
      <c r="F31" s="12"/>
      <c r="G31" s="12"/>
      <c r="H31" s="13"/>
      <c r="I31" s="14"/>
      <c r="J31" s="12"/>
      <c r="K31" s="12"/>
      <c r="L31" s="15"/>
      <c r="M31" s="12"/>
      <c r="N31" s="12"/>
      <c r="O31" s="12"/>
      <c r="P31" s="12"/>
      <c r="Q31" s="12"/>
      <c r="R31" s="12"/>
      <c r="S31" s="12"/>
      <c r="T31" s="11"/>
      <c r="U31" s="11"/>
      <c r="V31" s="12"/>
      <c r="W31" s="34"/>
      <c r="X31" s="59"/>
      <c r="Y31" s="59"/>
      <c r="Z31" s="60"/>
      <c r="AA31" s="34"/>
      <c r="AB31" s="47"/>
      <c r="AC31" s="56"/>
      <c r="AD31" s="10"/>
    </row>
    <row r="32" spans="2:30" s="9" customFormat="1" x14ac:dyDescent="0.2">
      <c r="B32" s="312" t="s">
        <v>78</v>
      </c>
      <c r="C32" s="16" t="s">
        <v>79</v>
      </c>
      <c r="D32" s="6"/>
      <c r="E32" s="6"/>
      <c r="F32" s="6" t="s">
        <v>3194</v>
      </c>
      <c r="G32" s="6"/>
      <c r="H32" s="17">
        <v>74760</v>
      </c>
      <c r="I32" s="6" t="s">
        <v>3168</v>
      </c>
      <c r="J32" s="7">
        <v>35835</v>
      </c>
      <c r="K32" s="7"/>
      <c r="L32" s="23">
        <v>35894</v>
      </c>
      <c r="M32" s="18" t="s">
        <v>3169</v>
      </c>
      <c r="N32" s="6" t="s">
        <v>42</v>
      </c>
      <c r="O32" s="6"/>
      <c r="P32" s="6"/>
      <c r="Q32" s="6"/>
      <c r="R32" s="6"/>
      <c r="S32" s="7">
        <v>36007</v>
      </c>
      <c r="T32" s="7">
        <v>36019</v>
      </c>
      <c r="U32" s="7"/>
      <c r="V32" s="6" t="s">
        <v>3195</v>
      </c>
      <c r="W32" s="47">
        <v>423</v>
      </c>
      <c r="X32" s="59"/>
      <c r="Y32" s="59"/>
      <c r="Z32" s="60"/>
      <c r="AA32" s="35">
        <v>36051</v>
      </c>
      <c r="AB32" s="35" t="s">
        <v>211</v>
      </c>
      <c r="AC32" s="6"/>
      <c r="AD32" s="10"/>
    </row>
    <row r="33" spans="1:40" s="9" customFormat="1" ht="12" thickBot="1" x14ac:dyDescent="0.25">
      <c r="B33" s="313"/>
      <c r="C33" s="19"/>
      <c r="D33" s="5"/>
      <c r="E33" s="5"/>
      <c r="F33" s="5"/>
      <c r="G33" s="5"/>
      <c r="H33" s="20"/>
      <c r="I33" s="21" t="s">
        <v>3170</v>
      </c>
      <c r="J33" s="5"/>
      <c r="K33" s="5"/>
      <c r="L33" s="22"/>
      <c r="M33" s="5"/>
      <c r="N33" s="5"/>
      <c r="O33" s="5"/>
      <c r="P33" s="5"/>
      <c r="Q33" s="5"/>
      <c r="R33" s="5"/>
      <c r="S33" s="5" t="s">
        <v>3196</v>
      </c>
      <c r="T33" s="5" t="s">
        <v>3197</v>
      </c>
      <c r="U33" s="5"/>
      <c r="V33" s="5" t="s">
        <v>3198</v>
      </c>
      <c r="W33" s="36"/>
      <c r="X33" s="61"/>
      <c r="Y33" s="61"/>
      <c r="Z33" s="62"/>
      <c r="AA33" s="36" t="s">
        <v>3199</v>
      </c>
      <c r="AB33" s="36"/>
      <c r="AC33" s="65"/>
      <c r="AD33" s="10"/>
    </row>
    <row r="34" spans="1:40" s="9" customFormat="1" x14ac:dyDescent="0.2">
      <c r="B34" s="314"/>
      <c r="C34" s="11"/>
      <c r="D34" s="12"/>
      <c r="E34" s="12"/>
      <c r="F34" s="12"/>
      <c r="G34" s="12"/>
      <c r="H34" s="13"/>
      <c r="I34" s="14"/>
      <c r="J34" s="12"/>
      <c r="K34" s="12"/>
      <c r="L34" s="15"/>
      <c r="M34" s="12"/>
      <c r="N34" s="12"/>
      <c r="O34" s="12"/>
      <c r="P34" s="12"/>
      <c r="Q34" s="12"/>
      <c r="R34" s="12"/>
      <c r="S34" s="12"/>
      <c r="T34" s="11"/>
      <c r="U34" s="11"/>
      <c r="V34" s="12" t="s">
        <v>3200</v>
      </c>
      <c r="W34" s="47"/>
      <c r="X34" s="59"/>
      <c r="Y34" s="59"/>
      <c r="Z34" s="60"/>
      <c r="AA34" s="34"/>
      <c r="AB34" s="47"/>
      <c r="AC34" s="6"/>
      <c r="AD34" s="10"/>
    </row>
    <row r="35" spans="1:40" s="9" customFormat="1" x14ac:dyDescent="0.2">
      <c r="B35" s="312" t="s">
        <v>78</v>
      </c>
      <c r="C35" s="16" t="s">
        <v>3165</v>
      </c>
      <c r="D35" s="6" t="s">
        <v>3201</v>
      </c>
      <c r="E35" s="6"/>
      <c r="F35" s="6">
        <v>106592</v>
      </c>
      <c r="G35" s="6"/>
      <c r="H35" s="17">
        <v>38204</v>
      </c>
      <c r="I35" s="6" t="s">
        <v>3184</v>
      </c>
      <c r="J35" s="7">
        <v>35998</v>
      </c>
      <c r="K35" s="7"/>
      <c r="L35" s="23">
        <v>36060</v>
      </c>
      <c r="M35" s="18" t="s">
        <v>3177</v>
      </c>
      <c r="N35" s="6" t="s">
        <v>42</v>
      </c>
      <c r="O35" s="6"/>
      <c r="P35" s="6"/>
      <c r="Q35" s="6"/>
      <c r="R35" s="6"/>
      <c r="S35" s="7">
        <v>36056</v>
      </c>
      <c r="T35" s="7">
        <v>36059</v>
      </c>
      <c r="U35" s="7"/>
      <c r="V35" s="6" t="s">
        <v>3202</v>
      </c>
      <c r="W35" s="47">
        <v>442</v>
      </c>
      <c r="X35" s="59"/>
      <c r="Y35" s="59"/>
      <c r="Z35" s="60"/>
      <c r="AA35" s="35" t="s">
        <v>3203</v>
      </c>
      <c r="AB35" s="35" t="s">
        <v>211</v>
      </c>
      <c r="AC35" s="6"/>
      <c r="AD35" s="10"/>
    </row>
    <row r="36" spans="1:40" s="9" customFormat="1" ht="12" thickBot="1" x14ac:dyDescent="0.25">
      <c r="B36" s="313"/>
      <c r="C36" s="19"/>
      <c r="D36" s="5"/>
      <c r="E36" s="5"/>
      <c r="F36" s="5"/>
      <c r="G36" s="5"/>
      <c r="H36" s="20"/>
      <c r="I36" s="21"/>
      <c r="J36" s="5"/>
      <c r="K36" s="5"/>
      <c r="L36" s="22"/>
      <c r="M36" s="5"/>
      <c r="N36" s="5"/>
      <c r="O36" s="5"/>
      <c r="P36" s="5"/>
      <c r="Q36" s="5"/>
      <c r="R36" s="5"/>
      <c r="S36" s="5" t="s">
        <v>3204</v>
      </c>
      <c r="T36" s="5" t="s">
        <v>3205</v>
      </c>
      <c r="U36" s="5"/>
      <c r="V36" s="5" t="s">
        <v>3206</v>
      </c>
      <c r="W36" s="36"/>
      <c r="X36" s="61"/>
      <c r="Y36" s="61"/>
      <c r="Z36" s="62"/>
      <c r="AA36" s="36"/>
      <c r="AB36" s="36"/>
      <c r="AC36" s="5"/>
      <c r="AD36" s="10"/>
    </row>
    <row r="37" spans="1:40" s="9" customFormat="1" x14ac:dyDescent="0.2">
      <c r="B37" s="314"/>
      <c r="C37" s="11"/>
      <c r="D37" s="12"/>
      <c r="E37" s="12"/>
      <c r="F37" s="12"/>
      <c r="G37" s="12"/>
      <c r="H37" s="13"/>
      <c r="I37" s="14"/>
      <c r="J37" s="12"/>
      <c r="K37" s="12"/>
      <c r="L37" s="15"/>
      <c r="M37" s="12"/>
      <c r="N37" s="12"/>
      <c r="O37" s="12"/>
      <c r="P37" s="12"/>
      <c r="Q37" s="12"/>
      <c r="R37" s="12"/>
      <c r="S37" s="12"/>
      <c r="T37" s="11"/>
      <c r="U37" s="11"/>
      <c r="V37" s="12" t="s">
        <v>3200</v>
      </c>
      <c r="W37" s="47"/>
      <c r="X37" s="59"/>
      <c r="Y37" s="59"/>
      <c r="Z37" s="60"/>
      <c r="AA37" s="34"/>
      <c r="AB37" s="47"/>
      <c r="AC37" s="6"/>
      <c r="AD37" s="10"/>
    </row>
    <row r="38" spans="1:40" s="9" customFormat="1" x14ac:dyDescent="0.2">
      <c r="B38" s="312" t="s">
        <v>78</v>
      </c>
      <c r="C38" s="16" t="s">
        <v>3165</v>
      </c>
      <c r="D38" s="6" t="s">
        <v>3207</v>
      </c>
      <c r="E38" s="6"/>
      <c r="F38" s="6">
        <v>106831</v>
      </c>
      <c r="G38" s="6"/>
      <c r="H38" s="17">
        <v>41422</v>
      </c>
      <c r="I38" s="6" t="s">
        <v>3184</v>
      </c>
      <c r="J38" s="7">
        <v>36010</v>
      </c>
      <c r="K38" s="7"/>
      <c r="L38" s="23">
        <v>36052</v>
      </c>
      <c r="M38" s="18" t="s">
        <v>3177</v>
      </c>
      <c r="N38" s="6" t="s">
        <v>42</v>
      </c>
      <c r="O38" s="6"/>
      <c r="P38" s="6"/>
      <c r="Q38" s="6"/>
      <c r="R38" s="6"/>
      <c r="S38" s="7">
        <v>36049</v>
      </c>
      <c r="T38" s="7">
        <v>36052</v>
      </c>
      <c r="U38" s="7"/>
      <c r="V38" s="6" t="s">
        <v>3202</v>
      </c>
      <c r="W38" s="47">
        <v>438</v>
      </c>
      <c r="X38" s="59"/>
      <c r="Y38" s="59"/>
      <c r="Z38" s="60"/>
      <c r="AA38" s="35" t="s">
        <v>3203</v>
      </c>
      <c r="AB38" s="35" t="s">
        <v>211</v>
      </c>
      <c r="AC38" s="6"/>
      <c r="AD38" s="10"/>
    </row>
    <row r="39" spans="1:40" s="9" customFormat="1" ht="12" thickBot="1" x14ac:dyDescent="0.25">
      <c r="B39" s="313"/>
      <c r="C39" s="19"/>
      <c r="D39" s="5"/>
      <c r="E39" s="5"/>
      <c r="F39" s="5"/>
      <c r="G39" s="5"/>
      <c r="H39" s="20"/>
      <c r="I39" s="21"/>
      <c r="J39" s="5"/>
      <c r="K39" s="5"/>
      <c r="L39" s="22"/>
      <c r="M39" s="5"/>
      <c r="N39" s="5"/>
      <c r="O39" s="5"/>
      <c r="P39" s="5"/>
      <c r="Q39" s="5"/>
      <c r="R39" s="5"/>
      <c r="S39" s="5" t="s">
        <v>3204</v>
      </c>
      <c r="T39" s="5" t="s">
        <v>3205</v>
      </c>
      <c r="U39" s="5"/>
      <c r="V39" s="5" t="s">
        <v>3208</v>
      </c>
      <c r="W39" s="36"/>
      <c r="X39" s="61"/>
      <c r="Y39" s="61"/>
      <c r="Z39" s="62"/>
      <c r="AA39" s="36"/>
      <c r="AB39" s="36"/>
      <c r="AC39" s="5"/>
      <c r="AD39" s="10"/>
    </row>
    <row r="40" spans="1:40" s="9" customFormat="1" x14ac:dyDescent="0.2">
      <c r="B40" s="314"/>
      <c r="C40" s="11"/>
      <c r="D40" s="12"/>
      <c r="E40" s="12"/>
      <c r="F40" s="12"/>
      <c r="G40" s="12"/>
      <c r="H40" s="13"/>
      <c r="I40" s="14"/>
      <c r="J40" s="12"/>
      <c r="K40" s="12"/>
      <c r="L40" s="15"/>
      <c r="M40" s="12"/>
      <c r="N40" s="12"/>
      <c r="O40" s="12"/>
      <c r="P40" s="12"/>
      <c r="Q40" s="12"/>
      <c r="R40" s="12"/>
      <c r="S40" s="12"/>
      <c r="T40" s="11"/>
      <c r="U40" s="11"/>
      <c r="V40" s="12"/>
      <c r="W40" s="47"/>
      <c r="X40" s="59"/>
      <c r="Y40" s="59"/>
      <c r="Z40" s="60"/>
      <c r="AA40" s="34"/>
      <c r="AB40" s="47"/>
      <c r="AC40" s="6"/>
      <c r="AD40" s="10"/>
    </row>
    <row r="41" spans="1:40" s="9" customFormat="1" x14ac:dyDescent="0.2">
      <c r="B41" s="312" t="s">
        <v>78</v>
      </c>
      <c r="C41" s="16" t="s">
        <v>3165</v>
      </c>
      <c r="D41" s="6" t="s">
        <v>3209</v>
      </c>
      <c r="E41" s="6"/>
      <c r="F41" s="6">
        <v>106929</v>
      </c>
      <c r="G41" s="6"/>
      <c r="H41" s="17">
        <v>14391</v>
      </c>
      <c r="I41" s="6" t="s">
        <v>3184</v>
      </c>
      <c r="J41" s="7">
        <v>36042</v>
      </c>
      <c r="K41" s="7"/>
      <c r="L41" s="23">
        <v>36084</v>
      </c>
      <c r="M41" s="18" t="s">
        <v>3177</v>
      </c>
      <c r="N41" s="6" t="s">
        <v>42</v>
      </c>
      <c r="O41" s="6"/>
      <c r="P41" s="6"/>
      <c r="Q41" s="6"/>
      <c r="R41" s="6"/>
      <c r="S41" s="7">
        <v>36082</v>
      </c>
      <c r="T41" s="7">
        <v>36082</v>
      </c>
      <c r="U41" s="7"/>
      <c r="V41" s="6" t="s">
        <v>3200</v>
      </c>
      <c r="W41" s="47">
        <v>451</v>
      </c>
      <c r="X41" s="59"/>
      <c r="Y41" s="59"/>
      <c r="Z41" s="60"/>
      <c r="AA41" s="35" t="s">
        <v>3203</v>
      </c>
      <c r="AB41" s="35" t="s">
        <v>211</v>
      </c>
      <c r="AC41" s="6"/>
      <c r="AD41" s="10"/>
    </row>
    <row r="42" spans="1:40" s="9" customFormat="1" ht="12" thickBot="1" x14ac:dyDescent="0.25">
      <c r="B42" s="313"/>
      <c r="C42" s="19"/>
      <c r="D42" s="5"/>
      <c r="E42" s="5"/>
      <c r="F42" s="5"/>
      <c r="G42" s="5"/>
      <c r="H42" s="20"/>
      <c r="I42" s="21"/>
      <c r="J42" s="5"/>
      <c r="K42" s="5"/>
      <c r="L42" s="22"/>
      <c r="M42" s="5"/>
      <c r="N42" s="5"/>
      <c r="O42" s="5"/>
      <c r="P42" s="5"/>
      <c r="Q42" s="5"/>
      <c r="R42" s="5"/>
      <c r="S42" s="5" t="s">
        <v>270</v>
      </c>
      <c r="T42" s="5" t="s">
        <v>3203</v>
      </c>
      <c r="U42" s="5"/>
      <c r="V42" s="5"/>
      <c r="W42" s="36"/>
      <c r="X42" s="61"/>
      <c r="Y42" s="61"/>
      <c r="Z42" s="62"/>
      <c r="AA42" s="36"/>
      <c r="AB42" s="36"/>
      <c r="AC42" s="5"/>
      <c r="AD42" s="10"/>
    </row>
    <row r="43" spans="1:40" s="9" customFormat="1" ht="12.75" customHeight="1" x14ac:dyDescent="0.2">
      <c r="B43" s="314"/>
      <c r="C43" s="11"/>
      <c r="D43" s="12"/>
      <c r="E43" s="12"/>
      <c r="F43" s="12"/>
      <c r="G43" s="12"/>
      <c r="H43" s="13"/>
      <c r="I43" s="14"/>
      <c r="J43" s="12"/>
      <c r="K43" s="12"/>
      <c r="L43" s="15"/>
      <c r="M43" s="12"/>
      <c r="N43" s="12"/>
      <c r="O43" s="34"/>
      <c r="P43" s="34"/>
      <c r="Q43" s="34"/>
      <c r="R43" s="34"/>
      <c r="S43" s="300" t="s">
        <v>3210</v>
      </c>
      <c r="T43" s="1051"/>
      <c r="U43" s="1051"/>
      <c r="V43" s="12" t="s">
        <v>3211</v>
      </c>
      <c r="W43" s="57"/>
      <c r="X43" s="57"/>
      <c r="Y43" s="57"/>
      <c r="Z43" s="58"/>
      <c r="AA43" s="57"/>
      <c r="AB43" s="57"/>
      <c r="AC43" s="12"/>
      <c r="AD43" s="10"/>
    </row>
    <row r="44" spans="1:40" s="9" customFormat="1" ht="12.75" customHeight="1" x14ac:dyDescent="0.2">
      <c r="B44" s="312" t="s">
        <v>78</v>
      </c>
      <c r="C44" s="16" t="s">
        <v>79</v>
      </c>
      <c r="D44" s="6"/>
      <c r="E44" s="6"/>
      <c r="F44" s="6" t="s">
        <v>3194</v>
      </c>
      <c r="G44" s="6"/>
      <c r="H44" s="17">
        <v>74760</v>
      </c>
      <c r="I44" s="6" t="s">
        <v>3168</v>
      </c>
      <c r="J44" s="7">
        <v>35835</v>
      </c>
      <c r="K44" s="7"/>
      <c r="L44" s="23">
        <v>35894</v>
      </c>
      <c r="M44" s="18" t="s">
        <v>3169</v>
      </c>
      <c r="N44" s="6" t="s">
        <v>42</v>
      </c>
      <c r="O44" s="47"/>
      <c r="P44" s="47"/>
      <c r="Q44" s="47"/>
      <c r="R44" s="47"/>
      <c r="S44" s="1052"/>
      <c r="T44" s="1053"/>
      <c r="U44" s="1053"/>
      <c r="V44" s="6" t="s">
        <v>3212</v>
      </c>
      <c r="W44" s="59"/>
      <c r="X44" s="59"/>
      <c r="Y44" s="59"/>
      <c r="Z44" s="60"/>
      <c r="AA44" s="59"/>
      <c r="AB44" s="59"/>
      <c r="AC44" s="6"/>
      <c r="AD44" s="10"/>
    </row>
    <row r="45" spans="1:40" s="9" customFormat="1" ht="13.5" customHeight="1" thickBot="1" x14ac:dyDescent="0.25">
      <c r="B45" s="313"/>
      <c r="C45" s="19"/>
      <c r="D45" s="5"/>
      <c r="E45" s="5"/>
      <c r="F45" s="5"/>
      <c r="G45" s="5"/>
      <c r="H45" s="20"/>
      <c r="I45" s="21" t="s">
        <v>3170</v>
      </c>
      <c r="J45" s="5"/>
      <c r="K45" s="5"/>
      <c r="L45" s="22"/>
      <c r="M45" s="5"/>
      <c r="N45" s="5"/>
      <c r="O45" s="36"/>
      <c r="P45" s="36"/>
      <c r="Q45" s="36"/>
      <c r="R45" s="36"/>
      <c r="S45" s="1054"/>
      <c r="T45" s="1055"/>
      <c r="U45" s="1055"/>
      <c r="V45" s="5" t="s">
        <v>3213</v>
      </c>
      <c r="W45" s="61"/>
      <c r="X45" s="61"/>
      <c r="Y45" s="61"/>
      <c r="Z45" s="62"/>
      <c r="AA45" s="61"/>
      <c r="AB45" s="61"/>
      <c r="AC45" s="5"/>
      <c r="AD45" s="10"/>
    </row>
    <row r="46" spans="1:40" s="123" customFormat="1" ht="12" thickBot="1" x14ac:dyDescent="0.25">
      <c r="B46" s="315"/>
      <c r="C46" s="28"/>
      <c r="D46" s="30"/>
      <c r="E46" s="30"/>
      <c r="F46" s="30"/>
      <c r="G46" s="30"/>
      <c r="H46" s="119"/>
      <c r="I46" s="31"/>
      <c r="J46" s="30"/>
      <c r="K46" s="30"/>
      <c r="L46" s="32"/>
      <c r="M46" s="30"/>
      <c r="N46" s="30"/>
      <c r="O46" s="30"/>
      <c r="P46" s="30"/>
      <c r="Q46" s="30"/>
      <c r="R46" s="30"/>
      <c r="S46" s="48"/>
      <c r="T46" s="30"/>
      <c r="U46" s="30"/>
      <c r="V46" s="99"/>
      <c r="W46" s="99"/>
      <c r="X46" s="99"/>
      <c r="Y46" s="99"/>
      <c r="Z46" s="99"/>
      <c r="AA46" s="99"/>
      <c r="AB46" s="99"/>
      <c r="AC46" s="99"/>
      <c r="AD46" s="204"/>
      <c r="AE46" s="122"/>
      <c r="AF46" s="122"/>
      <c r="AG46" s="122"/>
      <c r="AH46" s="122"/>
      <c r="AI46" s="122"/>
      <c r="AJ46" s="122"/>
      <c r="AK46" s="122"/>
      <c r="AL46" s="122"/>
      <c r="AM46" s="122"/>
      <c r="AN46" s="122"/>
    </row>
    <row r="47" spans="1:40" s="556" customFormat="1" ht="39.950000000000003" customHeight="1" thickBot="1" x14ac:dyDescent="0.4">
      <c r="B47" s="1611">
        <v>1999</v>
      </c>
      <c r="C47" s="1612"/>
      <c r="D47" s="1612"/>
      <c r="E47" s="1612"/>
      <c r="F47" s="1612"/>
      <c r="G47" s="1612"/>
      <c r="H47" s="1612"/>
      <c r="I47" s="1612"/>
      <c r="J47" s="1612"/>
      <c r="K47" s="1612"/>
      <c r="L47" s="1612"/>
      <c r="M47" s="1612"/>
      <c r="N47" s="1612"/>
      <c r="O47" s="1612"/>
      <c r="P47" s="1612"/>
      <c r="Q47" s="1612"/>
      <c r="R47" s="1612"/>
      <c r="S47" s="1612"/>
      <c r="T47" s="1612"/>
      <c r="U47" s="1612"/>
      <c r="V47" s="1612"/>
      <c r="W47" s="1612"/>
      <c r="X47" s="1612"/>
      <c r="Y47" s="1612"/>
      <c r="Z47" s="1612"/>
      <c r="AA47" s="1612"/>
      <c r="AB47" s="1612"/>
      <c r="AC47" s="1613"/>
      <c r="AD47" s="555"/>
    </row>
    <row r="48" spans="1:40" s="441" customFormat="1" ht="60" customHeight="1" thickBot="1" x14ac:dyDescent="0.25">
      <c r="A48" s="438"/>
      <c r="B48" s="451" t="s">
        <v>130</v>
      </c>
      <c r="C48" s="451" t="s">
        <v>4</v>
      </c>
      <c r="D48" s="451" t="s">
        <v>5</v>
      </c>
      <c r="E48" s="451" t="s">
        <v>6</v>
      </c>
      <c r="F48" s="451" t="s">
        <v>7</v>
      </c>
      <c r="G48" s="451" t="s">
        <v>8</v>
      </c>
      <c r="H48" s="453" t="s">
        <v>9</v>
      </c>
      <c r="I48" s="453" t="s">
        <v>10</v>
      </c>
      <c r="J48" s="451" t="s">
        <v>11</v>
      </c>
      <c r="K48" s="451" t="s">
        <v>12</v>
      </c>
      <c r="L48" s="451" t="s">
        <v>13</v>
      </c>
      <c r="M48" s="451" t="s">
        <v>14</v>
      </c>
      <c r="N48" s="451" t="s">
        <v>15</v>
      </c>
      <c r="O48" s="452" t="s">
        <v>16</v>
      </c>
      <c r="P48" s="454" t="s">
        <v>17</v>
      </c>
      <c r="Q48" s="451" t="s">
        <v>18</v>
      </c>
      <c r="R48" s="452" t="s">
        <v>19</v>
      </c>
      <c r="S48" s="451" t="s">
        <v>20</v>
      </c>
      <c r="T48" s="451" t="s">
        <v>21</v>
      </c>
      <c r="U48" s="452" t="s">
        <v>22</v>
      </c>
      <c r="V48" s="451" t="s">
        <v>131</v>
      </c>
      <c r="W48" s="451" t="s">
        <v>24</v>
      </c>
      <c r="X48" s="451" t="s">
        <v>132</v>
      </c>
      <c r="Y48" s="451" t="s">
        <v>26</v>
      </c>
      <c r="Z48" s="451" t="s">
        <v>27</v>
      </c>
      <c r="AA48" s="451" t="s">
        <v>28</v>
      </c>
      <c r="AB48" s="451" t="s">
        <v>29</v>
      </c>
      <c r="AC48" s="451" t="s">
        <v>30</v>
      </c>
      <c r="AD48" s="439"/>
      <c r="AE48" s="440"/>
      <c r="AF48" s="440"/>
      <c r="AG48" s="440"/>
      <c r="AH48" s="440"/>
      <c r="AI48" s="440"/>
      <c r="AJ48" s="440"/>
      <c r="AK48" s="440"/>
      <c r="AL48" s="440"/>
      <c r="AM48" s="440"/>
    </row>
    <row r="49" spans="2:30" s="9" customFormat="1" x14ac:dyDescent="0.2">
      <c r="B49" s="314"/>
      <c r="C49" s="11"/>
      <c r="D49" s="12"/>
      <c r="E49" s="12"/>
      <c r="F49" s="12"/>
      <c r="G49" s="12"/>
      <c r="H49" s="13"/>
      <c r="I49" s="14"/>
      <c r="J49" s="12"/>
      <c r="K49" s="12"/>
      <c r="L49" s="15"/>
      <c r="M49" s="12"/>
      <c r="N49" s="12"/>
      <c r="O49" s="12"/>
      <c r="P49" s="12"/>
      <c r="Q49" s="12"/>
      <c r="R49" s="12"/>
      <c r="S49" s="12"/>
      <c r="T49" s="11"/>
      <c r="U49" s="11"/>
      <c r="V49" s="12" t="s">
        <v>3214</v>
      </c>
      <c r="W49" s="12"/>
      <c r="X49" s="12"/>
      <c r="Y49" s="57"/>
      <c r="Z49" s="12"/>
      <c r="AA49" s="34"/>
      <c r="AB49" s="34"/>
      <c r="AC49" s="12"/>
      <c r="AD49" s="10"/>
    </row>
    <row r="50" spans="2:30" s="9" customFormat="1" x14ac:dyDescent="0.2">
      <c r="B50" s="312" t="s">
        <v>78</v>
      </c>
      <c r="C50" s="16" t="s">
        <v>79</v>
      </c>
      <c r="D50" s="6"/>
      <c r="E50" s="6"/>
      <c r="F50" s="6" t="s">
        <v>3215</v>
      </c>
      <c r="G50" s="6"/>
      <c r="H50" s="17">
        <v>920</v>
      </c>
      <c r="I50" s="6" t="s">
        <v>3168</v>
      </c>
      <c r="J50" s="7">
        <v>36130</v>
      </c>
      <c r="K50" s="7"/>
      <c r="L50" s="23" t="s">
        <v>3216</v>
      </c>
      <c r="M50" s="18" t="s">
        <v>3217</v>
      </c>
      <c r="N50" s="6" t="s">
        <v>110</v>
      </c>
      <c r="O50" s="6"/>
      <c r="P50" s="6"/>
      <c r="Q50" s="6"/>
      <c r="R50" s="6"/>
      <c r="S50" s="7">
        <v>36188</v>
      </c>
      <c r="T50" s="7">
        <v>36195</v>
      </c>
      <c r="U50" s="7"/>
      <c r="V50" s="6" t="s">
        <v>3218</v>
      </c>
      <c r="W50" s="6">
        <v>480</v>
      </c>
      <c r="X50" s="6" t="s">
        <v>318</v>
      </c>
      <c r="Y50" s="59"/>
      <c r="Z50" s="6" t="s">
        <v>3219</v>
      </c>
      <c r="AA50" s="35">
        <v>36196</v>
      </c>
      <c r="AB50" s="35" t="s">
        <v>211</v>
      </c>
      <c r="AC50" s="6"/>
      <c r="AD50" s="10"/>
    </row>
    <row r="51" spans="2:30" s="9" customFormat="1" ht="12" thickBot="1" x14ac:dyDescent="0.25">
      <c r="B51" s="313"/>
      <c r="C51" s="19"/>
      <c r="D51" s="5"/>
      <c r="E51" s="5"/>
      <c r="F51" s="5"/>
      <c r="G51" s="5"/>
      <c r="H51" s="20"/>
      <c r="I51" s="21" t="s">
        <v>3170</v>
      </c>
      <c r="J51" s="5"/>
      <c r="K51" s="5"/>
      <c r="L51" s="22"/>
      <c r="M51" s="5"/>
      <c r="N51" s="5"/>
      <c r="O51" s="5"/>
      <c r="P51" s="5"/>
      <c r="Q51" s="5"/>
      <c r="R51" s="5"/>
      <c r="S51" s="5" t="s">
        <v>3220</v>
      </c>
      <c r="T51" s="5"/>
      <c r="U51" s="5"/>
      <c r="V51" s="5" t="s">
        <v>3221</v>
      </c>
      <c r="W51" s="5"/>
      <c r="X51" s="5"/>
      <c r="Y51" s="61"/>
      <c r="Z51" s="5"/>
      <c r="AA51" s="36"/>
      <c r="AB51" s="36"/>
      <c r="AC51" s="5"/>
      <c r="AD51" s="10"/>
    </row>
    <row r="52" spans="2:30" s="9" customFormat="1" x14ac:dyDescent="0.2">
      <c r="B52" s="314"/>
      <c r="C52" s="11"/>
      <c r="D52" s="12"/>
      <c r="E52" s="12"/>
      <c r="F52" s="12"/>
      <c r="G52" s="12"/>
      <c r="H52" s="13"/>
      <c r="I52" s="14"/>
      <c r="J52" s="12"/>
      <c r="K52" s="12"/>
      <c r="L52" s="15"/>
      <c r="M52" s="12"/>
      <c r="N52" s="12"/>
      <c r="O52" s="12"/>
      <c r="P52" s="12"/>
      <c r="Q52" s="12"/>
      <c r="R52" s="12"/>
      <c r="S52" s="12"/>
      <c r="T52" s="11"/>
      <c r="U52" s="11"/>
      <c r="V52" s="12" t="s">
        <v>3222</v>
      </c>
      <c r="W52" s="47"/>
      <c r="X52" s="6"/>
      <c r="Y52" s="59"/>
      <c r="Z52" s="6"/>
      <c r="AA52" s="34"/>
      <c r="AB52" s="47"/>
      <c r="AC52" s="6"/>
      <c r="AD52" s="10"/>
    </row>
    <row r="53" spans="2:30" s="9" customFormat="1" x14ac:dyDescent="0.2">
      <c r="B53" s="312" t="s">
        <v>78</v>
      </c>
      <c r="C53" s="16" t="s">
        <v>79</v>
      </c>
      <c r="D53" s="6"/>
      <c r="E53" s="6"/>
      <c r="F53" s="6" t="s">
        <v>3223</v>
      </c>
      <c r="G53" s="6"/>
      <c r="H53" s="17">
        <v>11265</v>
      </c>
      <c r="I53" s="6" t="s">
        <v>3168</v>
      </c>
      <c r="J53" s="7">
        <v>36131</v>
      </c>
      <c r="K53" s="7"/>
      <c r="L53" s="23" t="s">
        <v>3224</v>
      </c>
      <c r="M53" s="18" t="s">
        <v>3217</v>
      </c>
      <c r="N53" s="6" t="s">
        <v>110</v>
      </c>
      <c r="O53" s="6"/>
      <c r="P53" s="6"/>
      <c r="Q53" s="6"/>
      <c r="R53" s="6"/>
      <c r="S53" s="7">
        <v>36188</v>
      </c>
      <c r="T53" s="7">
        <v>36195</v>
      </c>
      <c r="U53" s="7"/>
      <c r="V53" s="6" t="s">
        <v>3225</v>
      </c>
      <c r="W53" s="47">
        <v>480</v>
      </c>
      <c r="X53" s="6" t="s">
        <v>318</v>
      </c>
      <c r="Y53" s="59"/>
      <c r="Z53" s="6" t="s">
        <v>3219</v>
      </c>
      <c r="AA53" s="35">
        <v>36196</v>
      </c>
      <c r="AB53" s="35" t="s">
        <v>211</v>
      </c>
      <c r="AC53" s="6"/>
      <c r="AD53" s="10"/>
    </row>
    <row r="54" spans="2:30" s="9" customFormat="1" ht="12" thickBot="1" x14ac:dyDescent="0.25">
      <c r="B54" s="313"/>
      <c r="C54" s="19"/>
      <c r="D54" s="5"/>
      <c r="E54" s="5"/>
      <c r="F54" s="5"/>
      <c r="G54" s="5"/>
      <c r="H54" s="20"/>
      <c r="I54" s="21" t="s">
        <v>3179</v>
      </c>
      <c r="J54" s="5"/>
      <c r="K54" s="5"/>
      <c r="L54" s="22"/>
      <c r="M54" s="5"/>
      <c r="N54" s="5"/>
      <c r="O54" s="5"/>
      <c r="P54" s="5"/>
      <c r="Q54" s="5"/>
      <c r="R54" s="5"/>
      <c r="S54" s="5" t="s">
        <v>3220</v>
      </c>
      <c r="T54" s="5"/>
      <c r="U54" s="5"/>
      <c r="V54" s="5" t="s">
        <v>3221</v>
      </c>
      <c r="W54" s="36"/>
      <c r="X54" s="5"/>
      <c r="Y54" s="61"/>
      <c r="Z54" s="5"/>
      <c r="AA54" s="36"/>
      <c r="AB54" s="36"/>
      <c r="AC54" s="5"/>
      <c r="AD54" s="10"/>
    </row>
    <row r="55" spans="2:30" s="9" customFormat="1" x14ac:dyDescent="0.2">
      <c r="B55" s="314"/>
      <c r="C55" s="11"/>
      <c r="D55" s="12"/>
      <c r="E55" s="12"/>
      <c r="F55" s="12"/>
      <c r="G55" s="12"/>
      <c r="H55" s="13"/>
      <c r="I55" s="14"/>
      <c r="J55" s="12"/>
      <c r="K55" s="12"/>
      <c r="L55" s="15"/>
      <c r="M55" s="12"/>
      <c r="N55" s="12"/>
      <c r="O55" s="12"/>
      <c r="P55" s="12"/>
      <c r="Q55" s="12"/>
      <c r="R55" s="12"/>
      <c r="S55" s="12" t="s">
        <v>3226</v>
      </c>
      <c r="T55" s="11"/>
      <c r="U55" s="11"/>
      <c r="V55" s="12" t="s">
        <v>3227</v>
      </c>
      <c r="W55" s="47"/>
      <c r="X55" s="57"/>
      <c r="Y55" s="59"/>
      <c r="Z55" s="6"/>
      <c r="AA55" s="34"/>
      <c r="AB55" s="47"/>
      <c r="AC55" s="6"/>
      <c r="AD55" s="10"/>
    </row>
    <row r="56" spans="2:30" s="9" customFormat="1" x14ac:dyDescent="0.2">
      <c r="B56" s="312" t="s">
        <v>78</v>
      </c>
      <c r="C56" s="16" t="s">
        <v>79</v>
      </c>
      <c r="D56" s="6"/>
      <c r="E56" s="6"/>
      <c r="F56" s="6" t="s">
        <v>3215</v>
      </c>
      <c r="G56" s="6"/>
      <c r="H56" s="17">
        <v>60543</v>
      </c>
      <c r="I56" s="6" t="s">
        <v>3168</v>
      </c>
      <c r="J56" s="7">
        <v>36130</v>
      </c>
      <c r="K56" s="7"/>
      <c r="L56" s="23" t="s">
        <v>3216</v>
      </c>
      <c r="M56" s="18" t="s">
        <v>3217</v>
      </c>
      <c r="N56" s="6" t="s">
        <v>42</v>
      </c>
      <c r="O56" s="6"/>
      <c r="P56" s="6"/>
      <c r="Q56" s="6"/>
      <c r="R56" s="6"/>
      <c r="S56" s="7">
        <v>36247</v>
      </c>
      <c r="T56" s="7">
        <v>36254</v>
      </c>
      <c r="U56" s="7"/>
      <c r="V56" s="6" t="s">
        <v>3228</v>
      </c>
      <c r="W56" s="47">
        <v>486</v>
      </c>
      <c r="X56" s="59"/>
      <c r="Y56" s="59"/>
      <c r="Z56" s="6">
        <v>6519678012</v>
      </c>
      <c r="AA56" s="35">
        <v>36305</v>
      </c>
      <c r="AB56" s="35" t="s">
        <v>211</v>
      </c>
      <c r="AC56" s="6"/>
      <c r="AD56" s="10"/>
    </row>
    <row r="57" spans="2:30" s="9" customFormat="1" ht="12" thickBot="1" x14ac:dyDescent="0.25">
      <c r="B57" s="313"/>
      <c r="C57" s="19"/>
      <c r="D57" s="5"/>
      <c r="E57" s="5"/>
      <c r="F57" s="5"/>
      <c r="G57" s="5"/>
      <c r="H57" s="20"/>
      <c r="I57" s="21" t="s">
        <v>3170</v>
      </c>
      <c r="J57" s="5"/>
      <c r="K57" s="5"/>
      <c r="L57" s="22"/>
      <c r="M57" s="5"/>
      <c r="N57" s="5"/>
      <c r="O57" s="5"/>
      <c r="P57" s="5"/>
      <c r="Q57" s="5"/>
      <c r="R57" s="5"/>
      <c r="S57" s="5" t="s">
        <v>3229</v>
      </c>
      <c r="T57" s="5"/>
      <c r="U57" s="5"/>
      <c r="V57" s="5" t="s">
        <v>3230</v>
      </c>
      <c r="W57" s="36"/>
      <c r="X57" s="61"/>
      <c r="Y57" s="61"/>
      <c r="Z57" s="5"/>
      <c r="AA57" s="36"/>
      <c r="AB57" s="36"/>
      <c r="AC57" s="65"/>
      <c r="AD57" s="10"/>
    </row>
    <row r="58" spans="2:30" s="9" customFormat="1" x14ac:dyDescent="0.2">
      <c r="B58" s="314"/>
      <c r="C58" s="11"/>
      <c r="D58" s="12"/>
      <c r="E58" s="12"/>
      <c r="F58" s="12"/>
      <c r="G58" s="12"/>
      <c r="H58" s="13"/>
      <c r="I58" s="14"/>
      <c r="J58" s="12"/>
      <c r="K58" s="12"/>
      <c r="L58" s="15"/>
      <c r="M58" s="12"/>
      <c r="N58" s="12"/>
      <c r="O58" s="12"/>
      <c r="P58" s="12"/>
      <c r="Q58" s="12"/>
      <c r="R58" s="12"/>
      <c r="S58" s="12"/>
      <c r="T58" s="11"/>
      <c r="U58" s="11"/>
      <c r="V58" s="12" t="s">
        <v>3231</v>
      </c>
      <c r="W58" s="47"/>
      <c r="X58" s="57"/>
      <c r="Y58" s="59"/>
      <c r="Z58" s="6"/>
      <c r="AA58" s="34"/>
      <c r="AB58" s="47"/>
      <c r="AC58" s="104"/>
      <c r="AD58" s="10"/>
    </row>
    <row r="59" spans="2:30" s="9" customFormat="1" x14ac:dyDescent="0.2">
      <c r="B59" s="312" t="s">
        <v>78</v>
      </c>
      <c r="C59" s="16" t="s">
        <v>79</v>
      </c>
      <c r="D59" s="6" t="s">
        <v>3232</v>
      </c>
      <c r="E59" s="6"/>
      <c r="F59" s="6" t="s">
        <v>3233</v>
      </c>
      <c r="G59" s="6"/>
      <c r="H59" s="17">
        <v>41433.199999999997</v>
      </c>
      <c r="I59" s="6" t="s">
        <v>3234</v>
      </c>
      <c r="J59" s="7">
        <v>36284</v>
      </c>
      <c r="K59" s="7"/>
      <c r="L59" s="23">
        <f>J59+45</f>
        <v>36329</v>
      </c>
      <c r="M59" s="18" t="s">
        <v>3217</v>
      </c>
      <c r="N59" s="6" t="s">
        <v>656</v>
      </c>
      <c r="O59" s="6"/>
      <c r="P59" s="6"/>
      <c r="Q59" s="6"/>
      <c r="R59" s="6"/>
      <c r="S59" s="7">
        <v>36329</v>
      </c>
      <c r="T59" s="7">
        <v>36341</v>
      </c>
      <c r="U59" s="7"/>
      <c r="V59" s="6" t="s">
        <v>3235</v>
      </c>
      <c r="W59" s="47">
        <v>501</v>
      </c>
      <c r="X59" s="59"/>
      <c r="Y59" s="59"/>
      <c r="Z59" s="6" t="s">
        <v>1676</v>
      </c>
      <c r="AA59" s="35">
        <v>36342</v>
      </c>
      <c r="AB59" s="35" t="s">
        <v>47</v>
      </c>
      <c r="AC59" s="56"/>
      <c r="AD59" s="10"/>
    </row>
    <row r="60" spans="2:30" s="9" customFormat="1" ht="12" thickBot="1" x14ac:dyDescent="0.25">
      <c r="B60" s="313"/>
      <c r="C60" s="19" t="s">
        <v>3236</v>
      </c>
      <c r="D60" s="5"/>
      <c r="E60" s="5"/>
      <c r="F60" s="5"/>
      <c r="G60" s="5"/>
      <c r="H60" s="20"/>
      <c r="I60" s="21" t="s">
        <v>3237</v>
      </c>
      <c r="J60" s="5"/>
      <c r="K60" s="5"/>
      <c r="L60" s="22"/>
      <c r="M60" s="5"/>
      <c r="N60" s="5"/>
      <c r="O60" s="5"/>
      <c r="P60" s="5"/>
      <c r="Q60" s="5"/>
      <c r="R60" s="5"/>
      <c r="S60" s="5"/>
      <c r="T60" s="5"/>
      <c r="U60" s="5"/>
      <c r="V60" s="5" t="s">
        <v>385</v>
      </c>
      <c r="W60" s="36"/>
      <c r="X60" s="61"/>
      <c r="Y60" s="61"/>
      <c r="Z60" s="5" t="s">
        <v>3238</v>
      </c>
      <c r="AA60" s="36"/>
      <c r="AB60" s="36"/>
      <c r="AC60" s="65"/>
      <c r="AD60" s="10"/>
    </row>
    <row r="61" spans="2:30" s="76" customFormat="1" x14ac:dyDescent="0.2">
      <c r="B61" s="316"/>
      <c r="C61" s="69"/>
      <c r="D61" s="70"/>
      <c r="E61" s="70"/>
      <c r="F61" s="70"/>
      <c r="G61" s="70"/>
      <c r="H61" s="71"/>
      <c r="I61" s="72"/>
      <c r="J61" s="70"/>
      <c r="K61" s="70"/>
      <c r="L61" s="73"/>
      <c r="M61" s="70"/>
      <c r="N61" s="70"/>
      <c r="O61" s="70"/>
      <c r="P61" s="70"/>
      <c r="Q61" s="70"/>
      <c r="R61" s="70"/>
      <c r="S61" s="74"/>
      <c r="T61" s="69"/>
      <c r="U61" s="69"/>
      <c r="V61" s="70"/>
      <c r="W61" s="75"/>
      <c r="X61" s="75"/>
      <c r="Y61" s="75"/>
      <c r="Z61" s="57"/>
      <c r="AA61" s="70"/>
      <c r="AB61" s="70"/>
      <c r="AC61" s="70"/>
      <c r="AD61" s="205"/>
    </row>
    <row r="62" spans="2:30" s="76" customFormat="1" x14ac:dyDescent="0.2">
      <c r="B62" s="316" t="s">
        <v>78</v>
      </c>
      <c r="C62" s="69" t="s">
        <v>79</v>
      </c>
      <c r="D62" s="74" t="s">
        <v>3239</v>
      </c>
      <c r="E62" s="74"/>
      <c r="F62" s="70" t="s">
        <v>3240</v>
      </c>
      <c r="G62" s="70"/>
      <c r="H62" s="71">
        <v>8350</v>
      </c>
      <c r="I62" s="72" t="s">
        <v>3168</v>
      </c>
      <c r="J62" s="74">
        <v>36353</v>
      </c>
      <c r="K62" s="74"/>
      <c r="L62" s="23">
        <v>36418</v>
      </c>
      <c r="M62" s="70" t="s">
        <v>280</v>
      </c>
      <c r="N62" s="70" t="s">
        <v>110</v>
      </c>
      <c r="O62" s="70"/>
      <c r="P62" s="70"/>
      <c r="Q62" s="70"/>
      <c r="R62" s="70"/>
      <c r="S62" s="74" t="s">
        <v>3241</v>
      </c>
      <c r="T62" s="74">
        <v>36403</v>
      </c>
      <c r="U62" s="74"/>
      <c r="V62" s="70" t="s">
        <v>3242</v>
      </c>
      <c r="W62" s="75"/>
      <c r="X62" s="75"/>
      <c r="Y62" s="75"/>
      <c r="Z62" s="59"/>
      <c r="AA62" s="70" t="s">
        <v>318</v>
      </c>
      <c r="AB62" s="70"/>
      <c r="AC62" s="70"/>
      <c r="AD62" s="205"/>
    </row>
    <row r="63" spans="2:30" s="76" customFormat="1" ht="12" thickBot="1" x14ac:dyDescent="0.25">
      <c r="B63" s="316"/>
      <c r="C63" s="69"/>
      <c r="D63" s="70"/>
      <c r="E63" s="70"/>
      <c r="F63" s="70"/>
      <c r="G63" s="70"/>
      <c r="H63" s="71" t="s">
        <v>3243</v>
      </c>
      <c r="I63" s="77" t="s">
        <v>3170</v>
      </c>
      <c r="J63" s="70"/>
      <c r="K63" s="70"/>
      <c r="L63" s="73"/>
      <c r="M63" s="70"/>
      <c r="N63" s="70"/>
      <c r="O63" s="70"/>
      <c r="P63" s="70"/>
      <c r="Q63" s="70"/>
      <c r="R63" s="70"/>
      <c r="S63" s="74"/>
      <c r="T63" s="69"/>
      <c r="U63" s="69"/>
      <c r="V63" s="70" t="s">
        <v>3244</v>
      </c>
      <c r="W63" s="75"/>
      <c r="X63" s="75"/>
      <c r="Y63" s="75"/>
      <c r="Z63" s="61"/>
      <c r="AA63" s="70"/>
      <c r="AB63" s="70"/>
      <c r="AC63" s="70"/>
      <c r="AD63" s="205"/>
    </row>
    <row r="64" spans="2:30" s="76" customFormat="1" x14ac:dyDescent="0.2">
      <c r="B64" s="317"/>
      <c r="C64" s="78"/>
      <c r="D64" s="79"/>
      <c r="E64" s="79"/>
      <c r="F64" s="80"/>
      <c r="G64" s="80"/>
      <c r="H64" s="81"/>
      <c r="I64" s="81"/>
      <c r="J64" s="80"/>
      <c r="K64" s="80"/>
      <c r="L64" s="8"/>
      <c r="M64" s="80"/>
      <c r="N64" s="80"/>
      <c r="O64" s="80"/>
      <c r="P64" s="80"/>
      <c r="Q64" s="80"/>
      <c r="R64" s="80"/>
      <c r="S64" s="80"/>
      <c r="T64" s="80"/>
      <c r="U64" s="80"/>
      <c r="V64" s="80"/>
      <c r="W64" s="82"/>
      <c r="X64" s="82"/>
      <c r="Y64" s="82"/>
      <c r="Z64" s="57"/>
      <c r="AA64" s="80"/>
      <c r="AB64" s="80"/>
      <c r="AC64" s="80"/>
      <c r="AD64" s="205"/>
    </row>
    <row r="65" spans="2:30" s="76" customFormat="1" x14ac:dyDescent="0.2">
      <c r="B65" s="316" t="s">
        <v>78</v>
      </c>
      <c r="C65" s="69" t="s">
        <v>79</v>
      </c>
      <c r="D65" s="74" t="s">
        <v>3245</v>
      </c>
      <c r="E65" s="74"/>
      <c r="F65" s="70" t="s">
        <v>3246</v>
      </c>
      <c r="G65" s="70"/>
      <c r="H65" s="83">
        <f>326</f>
        <v>326</v>
      </c>
      <c r="I65" s="72" t="s">
        <v>3168</v>
      </c>
      <c r="J65" s="74">
        <v>36353</v>
      </c>
      <c r="K65" s="74"/>
      <c r="L65" s="84" t="s">
        <v>3247</v>
      </c>
      <c r="M65" s="85" t="s">
        <v>280</v>
      </c>
      <c r="N65" s="70" t="s">
        <v>110</v>
      </c>
      <c r="O65" s="70"/>
      <c r="P65" s="70"/>
      <c r="Q65" s="70"/>
      <c r="R65" s="70"/>
      <c r="S65" s="74" t="s">
        <v>3241</v>
      </c>
      <c r="T65" s="74">
        <v>36403</v>
      </c>
      <c r="U65" s="74"/>
      <c r="V65" s="70" t="s">
        <v>3248</v>
      </c>
      <c r="W65" s="75"/>
      <c r="X65" s="75"/>
      <c r="Y65" s="75"/>
      <c r="Z65" s="59"/>
      <c r="AA65" s="70" t="s">
        <v>318</v>
      </c>
      <c r="AB65" s="70"/>
      <c r="AC65" s="70"/>
      <c r="AD65" s="205"/>
    </row>
    <row r="66" spans="2:30" s="76" customFormat="1" ht="12" thickBot="1" x14ac:dyDescent="0.25">
      <c r="B66" s="318"/>
      <c r="C66" s="86"/>
      <c r="D66" s="87"/>
      <c r="E66" s="87"/>
      <c r="F66" s="87"/>
      <c r="G66" s="87"/>
      <c r="H66" s="88" t="s">
        <v>3243</v>
      </c>
      <c r="I66" s="77" t="s">
        <v>3179</v>
      </c>
      <c r="J66" s="87"/>
      <c r="K66" s="87"/>
      <c r="L66" s="4"/>
      <c r="M66" s="87"/>
      <c r="N66" s="87"/>
      <c r="O66" s="87"/>
      <c r="P66" s="87"/>
      <c r="Q66" s="87"/>
      <c r="R66" s="87"/>
      <c r="S66" s="89"/>
      <c r="T66" s="86"/>
      <c r="U66" s="86"/>
      <c r="V66" s="87" t="s">
        <v>3244</v>
      </c>
      <c r="W66" s="90"/>
      <c r="X66" s="90"/>
      <c r="Y66" s="90"/>
      <c r="Z66" s="61"/>
      <c r="AA66" s="87"/>
      <c r="AB66" s="87"/>
      <c r="AC66" s="87"/>
      <c r="AD66" s="205"/>
    </row>
    <row r="67" spans="2:30" s="98" customFormat="1" x14ac:dyDescent="0.2">
      <c r="B67" s="319"/>
      <c r="D67" s="99"/>
      <c r="E67" s="99"/>
      <c r="F67" s="99"/>
      <c r="G67" s="99"/>
      <c r="H67" s="100"/>
      <c r="I67" s="101"/>
      <c r="J67" s="99"/>
      <c r="K67" s="99"/>
      <c r="L67" s="102"/>
      <c r="M67" s="99"/>
      <c r="N67" s="99"/>
      <c r="O67" s="99"/>
      <c r="P67" s="99"/>
      <c r="Q67" s="99"/>
      <c r="R67" s="99"/>
      <c r="S67" s="103"/>
      <c r="V67" s="99"/>
      <c r="W67" s="99"/>
      <c r="X67" s="99"/>
      <c r="Y67" s="99"/>
      <c r="Z67" s="30"/>
      <c r="AA67" s="99"/>
      <c r="AB67" s="99"/>
      <c r="AC67" s="99"/>
      <c r="AD67" s="99"/>
    </row>
    <row r="68" spans="2:30" s="98" customFormat="1" ht="12" thickBot="1" x14ac:dyDescent="0.25">
      <c r="B68" s="319"/>
      <c r="D68" s="99"/>
      <c r="E68" s="99"/>
      <c r="F68" s="99"/>
      <c r="G68" s="99"/>
      <c r="H68" s="100"/>
      <c r="I68" s="101"/>
      <c r="J68" s="99"/>
      <c r="K68" s="99"/>
      <c r="L68" s="102"/>
      <c r="M68" s="99"/>
      <c r="N68" s="99"/>
      <c r="O68" s="99"/>
      <c r="P68" s="99"/>
      <c r="Q68" s="99"/>
      <c r="R68" s="99"/>
      <c r="S68" s="103"/>
      <c r="V68" s="99"/>
      <c r="W68" s="99"/>
      <c r="X68" s="99"/>
      <c r="Y68" s="99"/>
      <c r="Z68" s="30"/>
      <c r="AA68" s="99"/>
      <c r="AB68" s="99"/>
      <c r="AC68" s="99"/>
      <c r="AD68" s="99"/>
    </row>
    <row r="69" spans="2:30" s="9" customFormat="1" x14ac:dyDescent="0.2">
      <c r="B69" s="314"/>
      <c r="C69" s="11"/>
      <c r="D69" s="91"/>
      <c r="E69" s="91"/>
      <c r="F69" s="12"/>
      <c r="G69" s="12"/>
      <c r="H69" s="13"/>
      <c r="I69" s="13"/>
      <c r="J69" s="12"/>
      <c r="K69" s="12"/>
      <c r="L69" s="15"/>
      <c r="M69" s="12"/>
      <c r="N69" s="12"/>
      <c r="O69" s="12"/>
      <c r="P69" s="12"/>
      <c r="Q69" s="12"/>
      <c r="R69" s="12"/>
      <c r="S69" s="12"/>
      <c r="T69" s="12"/>
      <c r="U69" s="12"/>
      <c r="V69" s="12"/>
      <c r="W69" s="12"/>
      <c r="X69" s="57"/>
      <c r="Y69" s="57"/>
      <c r="Z69" s="12"/>
      <c r="AA69" s="12"/>
      <c r="AB69" s="12"/>
      <c r="AC69" s="12"/>
      <c r="AD69" s="10"/>
    </row>
    <row r="70" spans="2:30" s="9" customFormat="1" x14ac:dyDescent="0.2">
      <c r="B70" s="312" t="s">
        <v>78</v>
      </c>
      <c r="C70" s="16" t="s">
        <v>79</v>
      </c>
      <c r="D70" s="7" t="s">
        <v>3245</v>
      </c>
      <c r="E70" s="7"/>
      <c r="F70" s="6" t="s">
        <v>3246</v>
      </c>
      <c r="G70" s="6"/>
      <c r="H70" s="17">
        <f>5302+590</f>
        <v>5892</v>
      </c>
      <c r="I70" s="39" t="s">
        <v>3168</v>
      </c>
      <c r="J70" s="7">
        <v>36353</v>
      </c>
      <c r="K70" s="7"/>
      <c r="L70" s="23" t="s">
        <v>3247</v>
      </c>
      <c r="M70" s="18" t="s">
        <v>274</v>
      </c>
      <c r="N70" s="6" t="s">
        <v>110</v>
      </c>
      <c r="O70" s="6"/>
      <c r="P70" s="6"/>
      <c r="Q70" s="6"/>
      <c r="R70" s="6"/>
      <c r="S70" s="7">
        <v>36363</v>
      </c>
      <c r="T70" s="7">
        <v>36364</v>
      </c>
      <c r="U70" s="7"/>
      <c r="V70" s="6" t="s">
        <v>3249</v>
      </c>
      <c r="W70" s="6">
        <v>507</v>
      </c>
      <c r="X70" s="59"/>
      <c r="Y70" s="59"/>
      <c r="Z70" s="6" t="s">
        <v>399</v>
      </c>
      <c r="AA70" s="6" t="s">
        <v>318</v>
      </c>
      <c r="AB70" s="6" t="s">
        <v>47</v>
      </c>
      <c r="AC70" s="6"/>
      <c r="AD70" s="10"/>
    </row>
    <row r="71" spans="2:30" s="9" customFormat="1" ht="12" thickBot="1" x14ac:dyDescent="0.25">
      <c r="B71" s="313"/>
      <c r="C71" s="19"/>
      <c r="D71" s="5"/>
      <c r="E71" s="5"/>
      <c r="F71" s="5"/>
      <c r="G71" s="5"/>
      <c r="H71" s="26"/>
      <c r="I71" s="21" t="s">
        <v>3179</v>
      </c>
      <c r="J71" s="5"/>
      <c r="K71" s="5"/>
      <c r="L71" s="22"/>
      <c r="M71" s="5"/>
      <c r="N71" s="5"/>
      <c r="O71" s="5"/>
      <c r="P71" s="5"/>
      <c r="Q71" s="5"/>
      <c r="R71" s="5"/>
      <c r="S71" s="27" t="s">
        <v>3250</v>
      </c>
      <c r="T71" s="19"/>
      <c r="U71" s="19"/>
      <c r="V71" s="5" t="s">
        <v>3251</v>
      </c>
      <c r="W71" s="5"/>
      <c r="X71" s="61"/>
      <c r="Y71" s="61"/>
      <c r="Z71" s="5"/>
      <c r="AA71" s="5"/>
      <c r="AB71" s="5"/>
      <c r="AC71" s="5"/>
      <c r="AD71" s="10"/>
    </row>
    <row r="72" spans="2:30" s="76" customFormat="1" x14ac:dyDescent="0.2">
      <c r="B72" s="317"/>
      <c r="C72" s="11"/>
      <c r="D72" s="91"/>
      <c r="E72" s="91"/>
      <c r="F72" s="12"/>
      <c r="G72" s="12"/>
      <c r="H72" s="13"/>
      <c r="I72" s="13"/>
      <c r="J72" s="12"/>
      <c r="K72" s="12"/>
      <c r="L72" s="15"/>
      <c r="M72" s="12"/>
      <c r="N72" s="12"/>
      <c r="O72" s="12"/>
      <c r="P72" s="12"/>
      <c r="Q72" s="12"/>
      <c r="R72" s="12"/>
      <c r="S72" s="12"/>
      <c r="T72" s="12"/>
      <c r="U72" s="12"/>
      <c r="V72" s="80"/>
      <c r="W72" s="80"/>
      <c r="X72" s="82"/>
      <c r="Y72" s="82"/>
      <c r="Z72" s="80"/>
      <c r="AA72" s="80"/>
      <c r="AB72" s="80"/>
      <c r="AC72" s="80"/>
      <c r="AD72" s="205"/>
    </row>
    <row r="73" spans="2:30" s="76" customFormat="1" x14ac:dyDescent="0.2">
      <c r="B73" s="312" t="s">
        <v>78</v>
      </c>
      <c r="C73" s="16" t="s">
        <v>3165</v>
      </c>
      <c r="D73" s="7" t="s">
        <v>3252</v>
      </c>
      <c r="E73" s="7"/>
      <c r="F73" s="6">
        <v>112368</v>
      </c>
      <c r="G73" s="6"/>
      <c r="H73" s="17">
        <v>33535</v>
      </c>
      <c r="I73" s="39" t="s">
        <v>3184</v>
      </c>
      <c r="J73" s="7">
        <v>36385</v>
      </c>
      <c r="K73" s="7"/>
      <c r="L73" s="23">
        <v>36438</v>
      </c>
      <c r="M73" s="18" t="s">
        <v>135</v>
      </c>
      <c r="N73" s="6" t="s">
        <v>42</v>
      </c>
      <c r="O73" s="6"/>
      <c r="P73" s="6"/>
      <c r="Q73" s="6"/>
      <c r="R73" s="6"/>
      <c r="S73" s="7">
        <v>36428</v>
      </c>
      <c r="T73" s="7">
        <v>36428</v>
      </c>
      <c r="U73" s="7"/>
      <c r="V73" s="40" t="s">
        <v>3253</v>
      </c>
      <c r="W73" s="70">
        <v>530</v>
      </c>
      <c r="X73" s="75"/>
      <c r="Y73" s="75"/>
      <c r="Z73" s="6">
        <v>6576795153</v>
      </c>
      <c r="AA73" s="70"/>
      <c r="AB73" s="70" t="s">
        <v>47</v>
      </c>
      <c r="AC73" s="70"/>
      <c r="AD73" s="205"/>
    </row>
    <row r="74" spans="2:30" s="76" customFormat="1" ht="12" thickBot="1" x14ac:dyDescent="0.25">
      <c r="B74" s="313"/>
      <c r="C74" s="19"/>
      <c r="D74" s="5"/>
      <c r="E74" s="5"/>
      <c r="F74" s="5"/>
      <c r="G74" s="5"/>
      <c r="H74" s="26"/>
      <c r="I74" s="21"/>
      <c r="J74" s="5"/>
      <c r="K74" s="5"/>
      <c r="L74" s="22"/>
      <c r="M74" s="5"/>
      <c r="N74" s="5"/>
      <c r="O74" s="5"/>
      <c r="P74" s="5"/>
      <c r="Q74" s="5"/>
      <c r="R74" s="5"/>
      <c r="S74" s="27" t="s">
        <v>296</v>
      </c>
      <c r="T74" s="5" t="s">
        <v>3254</v>
      </c>
      <c r="U74" s="5"/>
      <c r="V74" s="87" t="s">
        <v>3255</v>
      </c>
      <c r="W74" s="87"/>
      <c r="X74" s="90"/>
      <c r="Y74" s="90"/>
      <c r="Z74" s="87"/>
      <c r="AA74" s="87"/>
      <c r="AB74" s="87"/>
      <c r="AC74" s="87"/>
      <c r="AD74" s="205"/>
    </row>
    <row r="75" spans="2:30" s="76" customFormat="1" x14ac:dyDescent="0.2">
      <c r="B75" s="314"/>
      <c r="C75" s="11"/>
      <c r="D75" s="91"/>
      <c r="E75" s="91"/>
      <c r="F75" s="12"/>
      <c r="G75" s="12"/>
      <c r="H75" s="13"/>
      <c r="I75" s="13"/>
      <c r="J75" s="12"/>
      <c r="K75" s="12"/>
      <c r="L75" s="15"/>
      <c r="M75" s="12"/>
      <c r="N75" s="12"/>
      <c r="O75" s="12"/>
      <c r="P75" s="12"/>
      <c r="Q75" s="12"/>
      <c r="R75" s="12"/>
      <c r="S75" s="12"/>
      <c r="T75" s="12"/>
      <c r="U75" s="12"/>
      <c r="V75" s="80"/>
      <c r="W75" s="80"/>
      <c r="X75" s="82"/>
      <c r="Y75" s="82"/>
      <c r="Z75" s="80"/>
      <c r="AA75" s="80"/>
      <c r="AB75" s="80"/>
      <c r="AC75" s="80"/>
      <c r="AD75" s="205"/>
    </row>
    <row r="76" spans="2:30" s="76" customFormat="1" x14ac:dyDescent="0.2">
      <c r="B76" s="312" t="s">
        <v>78</v>
      </c>
      <c r="C76" s="16" t="s">
        <v>3165</v>
      </c>
      <c r="D76" s="7" t="s">
        <v>3256</v>
      </c>
      <c r="E76" s="7"/>
      <c r="F76" s="6">
        <v>112618</v>
      </c>
      <c r="G76" s="6"/>
      <c r="H76" s="17">
        <v>20864.599999999999</v>
      </c>
      <c r="I76" s="39" t="s">
        <v>3184</v>
      </c>
      <c r="J76" s="7">
        <v>36399</v>
      </c>
      <c r="K76" s="7"/>
      <c r="L76" s="23">
        <v>36441</v>
      </c>
      <c r="M76" s="18" t="s">
        <v>135</v>
      </c>
      <c r="N76" s="6" t="s">
        <v>42</v>
      </c>
      <c r="O76" s="6"/>
      <c r="P76" s="6"/>
      <c r="Q76" s="6"/>
      <c r="R76" s="6"/>
      <c r="S76" s="7">
        <v>36428</v>
      </c>
      <c r="T76" s="7">
        <v>36428</v>
      </c>
      <c r="U76" s="7"/>
      <c r="V76" s="40" t="s">
        <v>3253</v>
      </c>
      <c r="W76" s="70">
        <v>529</v>
      </c>
      <c r="X76" s="75"/>
      <c r="Y76" s="75"/>
      <c r="Z76" s="6">
        <v>6576795153</v>
      </c>
      <c r="AA76" s="70"/>
      <c r="AB76" s="70" t="s">
        <v>47</v>
      </c>
      <c r="AC76" s="70"/>
      <c r="AD76" s="205"/>
    </row>
    <row r="77" spans="2:30" s="76" customFormat="1" ht="12" thickBot="1" x14ac:dyDescent="0.25">
      <c r="B77" s="313"/>
      <c r="C77" s="19"/>
      <c r="D77" s="5"/>
      <c r="E77" s="5"/>
      <c r="F77" s="5"/>
      <c r="G77" s="5"/>
      <c r="H77" s="26"/>
      <c r="I77" s="21"/>
      <c r="J77" s="5"/>
      <c r="K77" s="5"/>
      <c r="L77" s="22"/>
      <c r="M77" s="5"/>
      <c r="N77" s="5"/>
      <c r="O77" s="5"/>
      <c r="P77" s="5"/>
      <c r="Q77" s="5"/>
      <c r="R77" s="5"/>
      <c r="S77" s="27" t="s">
        <v>296</v>
      </c>
      <c r="T77" s="5" t="s">
        <v>3254</v>
      </c>
      <c r="U77" s="5"/>
      <c r="V77" s="87" t="s">
        <v>3257</v>
      </c>
      <c r="W77" s="87"/>
      <c r="X77" s="90"/>
      <c r="Y77" s="90"/>
      <c r="Z77" s="87"/>
      <c r="AA77" s="87"/>
      <c r="AB77" s="87"/>
      <c r="AC77" s="87"/>
      <c r="AD77" s="205"/>
    </row>
    <row r="78" spans="2:30" s="9" customFormat="1" x14ac:dyDescent="0.2">
      <c r="B78" s="314"/>
      <c r="C78" s="11"/>
      <c r="D78" s="91"/>
      <c r="E78" s="91"/>
      <c r="F78" s="12"/>
      <c r="G78" s="12"/>
      <c r="H78" s="13"/>
      <c r="I78" s="13"/>
      <c r="J78" s="12"/>
      <c r="K78" s="12"/>
      <c r="L78" s="15"/>
      <c r="M78" s="12"/>
      <c r="N78" s="12"/>
      <c r="O78" s="12"/>
      <c r="P78" s="12"/>
      <c r="Q78" s="12"/>
      <c r="R78" s="12"/>
      <c r="S78" s="12"/>
      <c r="T78" s="12"/>
      <c r="U78" s="12"/>
      <c r="V78" s="12"/>
      <c r="W78" s="80"/>
      <c r="X78" s="57"/>
      <c r="Y78" s="57"/>
      <c r="Z78" s="12"/>
      <c r="AA78" s="12"/>
      <c r="AB78" s="12"/>
      <c r="AC78" s="12"/>
      <c r="AD78" s="10"/>
    </row>
    <row r="79" spans="2:30" s="9" customFormat="1" x14ac:dyDescent="0.2">
      <c r="B79" s="312" t="s">
        <v>78</v>
      </c>
      <c r="C79" s="16" t="s">
        <v>79</v>
      </c>
      <c r="D79" s="7" t="s">
        <v>3239</v>
      </c>
      <c r="E79" s="7"/>
      <c r="F79" s="6" t="s">
        <v>3240</v>
      </c>
      <c r="G79" s="6"/>
      <c r="H79" s="17">
        <f>49680+1790</f>
        <v>51470</v>
      </c>
      <c r="I79" s="39" t="s">
        <v>3168</v>
      </c>
      <c r="J79" s="7">
        <v>36353</v>
      </c>
      <c r="K79" s="7"/>
      <c r="L79" s="23">
        <v>36418</v>
      </c>
      <c r="M79" s="18" t="s">
        <v>135</v>
      </c>
      <c r="N79" s="6" t="s">
        <v>42</v>
      </c>
      <c r="O79" s="6"/>
      <c r="P79" s="6"/>
      <c r="Q79" s="6"/>
      <c r="R79" s="6"/>
      <c r="S79" s="7">
        <v>36396</v>
      </c>
      <c r="T79" s="7">
        <v>36424</v>
      </c>
      <c r="U79" s="7"/>
      <c r="V79" s="6" t="s">
        <v>3258</v>
      </c>
      <c r="W79" s="70">
        <v>521</v>
      </c>
      <c r="X79" s="59"/>
      <c r="Y79" s="59"/>
      <c r="Z79" s="6">
        <v>6576795116</v>
      </c>
      <c r="AA79" s="6"/>
      <c r="AB79" s="6" t="s">
        <v>211</v>
      </c>
      <c r="AC79" s="6"/>
      <c r="AD79" s="10"/>
    </row>
    <row r="80" spans="2:30" s="9" customFormat="1" ht="12" thickBot="1" x14ac:dyDescent="0.25">
      <c r="B80" s="313"/>
      <c r="C80" s="19"/>
      <c r="D80" s="5"/>
      <c r="E80" s="5"/>
      <c r="F80" s="5"/>
      <c r="G80" s="5"/>
      <c r="H80" s="26"/>
      <c r="I80" s="21" t="s">
        <v>3170</v>
      </c>
      <c r="J80" s="5"/>
      <c r="K80" s="5"/>
      <c r="L80" s="22"/>
      <c r="M80" s="5"/>
      <c r="N80" s="5"/>
      <c r="O80" s="5"/>
      <c r="P80" s="5"/>
      <c r="Q80" s="5"/>
      <c r="R80" s="5"/>
      <c r="S80" s="27" t="s">
        <v>296</v>
      </c>
      <c r="T80" s="19"/>
      <c r="U80" s="19"/>
      <c r="V80" s="106" t="s">
        <v>3259</v>
      </c>
      <c r="W80" s="87"/>
      <c r="X80" s="61"/>
      <c r="Y80" s="61"/>
      <c r="Z80" s="5"/>
      <c r="AA80" s="5"/>
      <c r="AB80" s="5"/>
      <c r="AC80" s="5"/>
      <c r="AD80" s="10"/>
    </row>
    <row r="81" spans="2:40" s="76" customFormat="1" x14ac:dyDescent="0.2">
      <c r="B81" s="314"/>
      <c r="C81" s="11"/>
      <c r="D81" s="91"/>
      <c r="E81" s="91"/>
      <c r="F81" s="12"/>
      <c r="G81" s="12"/>
      <c r="H81" s="13"/>
      <c r="I81" s="13"/>
      <c r="J81" s="12"/>
      <c r="K81" s="12"/>
      <c r="L81" s="15"/>
      <c r="M81" s="12"/>
      <c r="N81" s="12"/>
      <c r="O81" s="12"/>
      <c r="P81" s="12"/>
      <c r="Q81" s="12"/>
      <c r="R81" s="12"/>
      <c r="S81" s="12"/>
      <c r="T81" s="12"/>
      <c r="U81" s="12"/>
      <c r="V81" s="80"/>
      <c r="W81" s="80"/>
      <c r="X81" s="82"/>
      <c r="Y81" s="82"/>
      <c r="Z81" s="80"/>
      <c r="AA81" s="80"/>
      <c r="AB81" s="80"/>
      <c r="AC81" s="80"/>
      <c r="AD81" s="205"/>
    </row>
    <row r="82" spans="2:40" s="76" customFormat="1" x14ac:dyDescent="0.2">
      <c r="B82" s="312" t="s">
        <v>78</v>
      </c>
      <c r="C82" s="16" t="s">
        <v>3165</v>
      </c>
      <c r="D82" s="7" t="s">
        <v>3260</v>
      </c>
      <c r="E82" s="7"/>
      <c r="F82" s="6">
        <v>113432</v>
      </c>
      <c r="G82" s="6"/>
      <c r="H82" s="17">
        <v>9450</v>
      </c>
      <c r="I82" s="39" t="s">
        <v>3184</v>
      </c>
      <c r="J82" s="7">
        <v>36438</v>
      </c>
      <c r="K82" s="7"/>
      <c r="L82" s="23">
        <v>36479</v>
      </c>
      <c r="M82" s="18" t="s">
        <v>135</v>
      </c>
      <c r="N82" s="6" t="s">
        <v>42</v>
      </c>
      <c r="O82" s="6"/>
      <c r="P82" s="6"/>
      <c r="Q82" s="6"/>
      <c r="R82" s="6"/>
      <c r="S82" s="7">
        <v>36470</v>
      </c>
      <c r="T82" s="7" t="s">
        <v>3261</v>
      </c>
      <c r="U82" s="7"/>
      <c r="V82" s="40" t="s">
        <v>3253</v>
      </c>
      <c r="W82" s="70">
        <v>543</v>
      </c>
      <c r="X82" s="75"/>
      <c r="Y82" s="75"/>
      <c r="Z82" s="6">
        <v>6642796742</v>
      </c>
      <c r="AA82" s="70"/>
      <c r="AB82" s="70" t="s">
        <v>47</v>
      </c>
      <c r="AC82" s="70"/>
      <c r="AD82" s="205"/>
    </row>
    <row r="83" spans="2:40" s="76" customFormat="1" ht="12" thickBot="1" x14ac:dyDescent="0.25">
      <c r="B83" s="313"/>
      <c r="C83" s="19"/>
      <c r="D83" s="5"/>
      <c r="E83" s="5"/>
      <c r="F83" s="5"/>
      <c r="G83" s="5"/>
      <c r="H83" s="26"/>
      <c r="I83" s="21"/>
      <c r="J83" s="5"/>
      <c r="K83" s="5"/>
      <c r="L83" s="22" t="s">
        <v>3262</v>
      </c>
      <c r="M83" s="5"/>
      <c r="N83" s="5"/>
      <c r="O83" s="5"/>
      <c r="P83" s="5"/>
      <c r="Q83" s="5"/>
      <c r="R83" s="5"/>
      <c r="S83" s="27" t="s">
        <v>270</v>
      </c>
      <c r="T83" s="5"/>
      <c r="U83" s="5"/>
      <c r="V83" s="107" t="s">
        <v>3263</v>
      </c>
      <c r="W83" s="87"/>
      <c r="X83" s="90"/>
      <c r="Y83" s="90"/>
      <c r="Z83" s="87"/>
      <c r="AA83" s="87"/>
      <c r="AB83" s="87"/>
      <c r="AC83" s="87"/>
      <c r="AD83" s="205"/>
    </row>
    <row r="84" spans="2:40" s="76" customFormat="1" x14ac:dyDescent="0.2">
      <c r="B84" s="314"/>
      <c r="C84" s="11"/>
      <c r="D84" s="91"/>
      <c r="E84" s="91"/>
      <c r="F84" s="12"/>
      <c r="G84" s="12"/>
      <c r="H84" s="13"/>
      <c r="I84" s="13"/>
      <c r="J84" s="12"/>
      <c r="K84" s="12"/>
      <c r="L84" s="15"/>
      <c r="M84" s="12"/>
      <c r="N84" s="34"/>
      <c r="O84" s="34"/>
      <c r="P84" s="34"/>
      <c r="Q84" s="34"/>
      <c r="R84" s="34"/>
      <c r="S84" s="34"/>
      <c r="T84" s="94"/>
      <c r="U84" s="94"/>
      <c r="V84" s="108"/>
      <c r="W84" s="82"/>
      <c r="X84" s="82"/>
      <c r="Y84" s="82"/>
      <c r="Z84" s="82"/>
      <c r="AA84" s="80"/>
      <c r="AB84" s="80"/>
      <c r="AC84" s="80"/>
      <c r="AD84" s="205"/>
    </row>
    <row r="85" spans="2:40" s="76" customFormat="1" x14ac:dyDescent="0.2">
      <c r="B85" s="312" t="s">
        <v>78</v>
      </c>
      <c r="C85" s="16" t="s">
        <v>3165</v>
      </c>
      <c r="D85" s="7" t="s">
        <v>3260</v>
      </c>
      <c r="E85" s="7"/>
      <c r="F85" s="6">
        <v>113463</v>
      </c>
      <c r="G85" s="6"/>
      <c r="H85" s="17">
        <v>3550</v>
      </c>
      <c r="I85" s="39" t="s">
        <v>3184</v>
      </c>
      <c r="J85" s="7">
        <v>36438</v>
      </c>
      <c r="K85" s="7"/>
      <c r="L85" s="23">
        <v>36467</v>
      </c>
      <c r="M85" s="18" t="s">
        <v>280</v>
      </c>
      <c r="N85" s="47" t="s">
        <v>110</v>
      </c>
      <c r="O85" s="47"/>
      <c r="P85" s="47"/>
      <c r="Q85" s="47"/>
      <c r="R85" s="47"/>
      <c r="S85" s="299" t="s">
        <v>347</v>
      </c>
      <c r="T85" s="151"/>
      <c r="U85" s="151"/>
      <c r="V85" s="109" t="s">
        <v>292</v>
      </c>
      <c r="W85" s="75"/>
      <c r="X85" s="75"/>
      <c r="Y85" s="75"/>
      <c r="Z85" s="75"/>
      <c r="AA85" s="70"/>
      <c r="AB85" s="70"/>
      <c r="AC85" s="70"/>
      <c r="AD85" s="205"/>
    </row>
    <row r="86" spans="2:40" s="76" customFormat="1" ht="12" thickBot="1" x14ac:dyDescent="0.25">
      <c r="B86" s="313"/>
      <c r="C86" s="19"/>
      <c r="D86" s="5"/>
      <c r="E86" s="5"/>
      <c r="F86" s="5"/>
      <c r="G86" s="5"/>
      <c r="H86" s="26"/>
      <c r="I86" s="21"/>
      <c r="J86" s="5"/>
      <c r="K86" s="5"/>
      <c r="L86" s="22"/>
      <c r="M86" s="5"/>
      <c r="N86" s="36"/>
      <c r="O86" s="36"/>
      <c r="P86" s="36"/>
      <c r="Q86" s="36"/>
      <c r="R86" s="36"/>
      <c r="S86" s="95">
        <v>36462</v>
      </c>
      <c r="T86" s="68" t="s">
        <v>3264</v>
      </c>
      <c r="U86" s="68"/>
      <c r="V86" s="110" t="s">
        <v>3265</v>
      </c>
      <c r="W86" s="90"/>
      <c r="X86" s="90"/>
      <c r="Y86" s="90"/>
      <c r="Z86" s="90"/>
      <c r="AA86" s="87"/>
      <c r="AB86" s="87"/>
      <c r="AC86" s="87"/>
      <c r="AD86" s="205"/>
    </row>
    <row r="87" spans="2:40" s="76" customFormat="1" x14ac:dyDescent="0.2">
      <c r="B87" s="314"/>
      <c r="C87" s="11"/>
      <c r="D87" s="91"/>
      <c r="E87" s="91"/>
      <c r="F87" s="12"/>
      <c r="G87" s="12"/>
      <c r="H87" s="13"/>
      <c r="I87" s="13"/>
      <c r="J87" s="12"/>
      <c r="K87" s="12"/>
      <c r="L87" s="15"/>
      <c r="M87" s="12"/>
      <c r="N87" s="34"/>
      <c r="O87" s="34"/>
      <c r="P87" s="34"/>
      <c r="Q87" s="34"/>
      <c r="R87" s="34"/>
      <c r="S87" s="34"/>
      <c r="T87" s="94"/>
      <c r="U87" s="94"/>
      <c r="V87" s="108"/>
      <c r="W87" s="82"/>
      <c r="X87" s="82"/>
      <c r="Y87" s="82"/>
      <c r="Z87" s="82"/>
      <c r="AA87" s="80"/>
      <c r="AB87" s="80"/>
      <c r="AC87" s="80"/>
      <c r="AD87" s="205"/>
    </row>
    <row r="88" spans="2:40" s="76" customFormat="1" x14ac:dyDescent="0.2">
      <c r="B88" s="312" t="s">
        <v>78</v>
      </c>
      <c r="C88" s="16" t="s">
        <v>79</v>
      </c>
      <c r="D88" s="7" t="s">
        <v>3266</v>
      </c>
      <c r="E88" s="7"/>
      <c r="F88" s="6" t="s">
        <v>3267</v>
      </c>
      <c r="G88" s="6"/>
      <c r="H88" s="17">
        <v>1997</v>
      </c>
      <c r="I88" s="39" t="s">
        <v>3268</v>
      </c>
      <c r="J88" s="7">
        <v>36476</v>
      </c>
      <c r="K88" s="7"/>
      <c r="L88" s="23">
        <v>36506</v>
      </c>
      <c r="M88" s="18" t="s">
        <v>280</v>
      </c>
      <c r="N88" s="47" t="s">
        <v>110</v>
      </c>
      <c r="O88" s="47"/>
      <c r="P88" s="47"/>
      <c r="Q88" s="47"/>
      <c r="R88" s="47"/>
      <c r="S88" s="299" t="s">
        <v>347</v>
      </c>
      <c r="T88" s="151"/>
      <c r="U88" s="151"/>
      <c r="V88" s="67" t="s">
        <v>3269</v>
      </c>
      <c r="W88" s="75"/>
      <c r="X88" s="75"/>
      <c r="Y88" s="75"/>
      <c r="Z88" s="75"/>
      <c r="AA88" s="70"/>
      <c r="AB88" s="70"/>
      <c r="AC88" s="70"/>
      <c r="AD88" s="205"/>
    </row>
    <row r="89" spans="2:40" s="76" customFormat="1" ht="12" thickBot="1" x14ac:dyDescent="0.25">
      <c r="B89" s="313"/>
      <c r="C89" s="19"/>
      <c r="D89" s="5"/>
      <c r="E89" s="5"/>
      <c r="F89" s="5"/>
      <c r="G89" s="5"/>
      <c r="H89" s="26"/>
      <c r="I89" s="21" t="s">
        <v>3270</v>
      </c>
      <c r="J89" s="5"/>
      <c r="K89" s="5"/>
      <c r="L89" s="22"/>
      <c r="M89" s="5"/>
      <c r="N89" s="36"/>
      <c r="O89" s="36"/>
      <c r="P89" s="36"/>
      <c r="Q89" s="36"/>
      <c r="R89" s="36"/>
      <c r="S89" s="95" t="s">
        <v>3271</v>
      </c>
      <c r="T89" s="96">
        <v>36496</v>
      </c>
      <c r="U89" s="96"/>
      <c r="V89" s="110"/>
      <c r="W89" s="90"/>
      <c r="X89" s="90"/>
      <c r="Y89" s="90"/>
      <c r="Z89" s="90"/>
      <c r="AA89" s="87"/>
      <c r="AB89" s="87"/>
      <c r="AC89" s="87"/>
      <c r="AD89" s="205"/>
    </row>
    <row r="90" spans="2:40" s="64" customFormat="1" x14ac:dyDescent="0.2">
      <c r="B90" s="314"/>
      <c r="C90" s="11"/>
      <c r="D90" s="91"/>
      <c r="E90" s="91"/>
      <c r="F90" s="12"/>
      <c r="G90" s="12"/>
      <c r="H90" s="13"/>
      <c r="I90" s="13"/>
      <c r="J90" s="12"/>
      <c r="K90" s="12"/>
      <c r="L90" s="15"/>
      <c r="M90" s="12"/>
      <c r="N90" s="34"/>
      <c r="O90" s="34"/>
      <c r="P90" s="34"/>
      <c r="Q90" s="34"/>
      <c r="R90" s="34"/>
      <c r="S90" s="34"/>
      <c r="T90" s="94"/>
      <c r="U90" s="94"/>
      <c r="V90" s="108"/>
      <c r="W90" s="82"/>
      <c r="X90" s="82"/>
      <c r="Y90" s="82"/>
      <c r="Z90" s="82"/>
      <c r="AA90" s="80"/>
      <c r="AB90" s="80"/>
      <c r="AC90" s="80"/>
      <c r="AD90" s="206"/>
      <c r="AE90" s="63"/>
      <c r="AF90" s="63"/>
      <c r="AG90" s="63"/>
      <c r="AH90" s="63"/>
      <c r="AI90" s="63"/>
      <c r="AJ90" s="63"/>
      <c r="AK90" s="63"/>
      <c r="AL90" s="63"/>
      <c r="AM90" s="63"/>
      <c r="AN90" s="63"/>
    </row>
    <row r="91" spans="2:40" s="64" customFormat="1" x14ac:dyDescent="0.2">
      <c r="B91" s="312" t="s">
        <v>78</v>
      </c>
      <c r="C91" s="16" t="s">
        <v>3272</v>
      </c>
      <c r="D91" s="7" t="s">
        <v>3273</v>
      </c>
      <c r="E91" s="7"/>
      <c r="F91" s="6" t="s">
        <v>3274</v>
      </c>
      <c r="G91" s="6"/>
      <c r="H91" s="17">
        <v>9680</v>
      </c>
      <c r="I91" s="39" t="s">
        <v>3168</v>
      </c>
      <c r="J91" s="7">
        <v>36469</v>
      </c>
      <c r="K91" s="7"/>
      <c r="L91" s="23">
        <v>36576</v>
      </c>
      <c r="M91" s="18" t="s">
        <v>280</v>
      </c>
      <c r="N91" s="47" t="s">
        <v>110</v>
      </c>
      <c r="O91" s="47"/>
      <c r="P91" s="47"/>
      <c r="Q91" s="47"/>
      <c r="R91" s="47"/>
      <c r="S91" s="299" t="s">
        <v>347</v>
      </c>
      <c r="T91" s="151"/>
      <c r="U91" s="151"/>
      <c r="V91" s="109" t="s">
        <v>292</v>
      </c>
      <c r="W91" s="75"/>
      <c r="X91" s="75"/>
      <c r="Y91" s="75"/>
      <c r="Z91" s="75"/>
      <c r="AA91" s="70"/>
      <c r="AB91" s="70"/>
      <c r="AC91" s="70"/>
      <c r="AD91" s="206"/>
      <c r="AE91" s="63"/>
      <c r="AF91" s="63"/>
      <c r="AG91" s="63"/>
      <c r="AH91" s="63"/>
      <c r="AI91" s="63"/>
      <c r="AJ91" s="63"/>
      <c r="AK91" s="63"/>
      <c r="AL91" s="63"/>
      <c r="AM91" s="63"/>
      <c r="AN91" s="63"/>
    </row>
    <row r="92" spans="2:40" s="64" customFormat="1" ht="12" thickBot="1" x14ac:dyDescent="0.25">
      <c r="B92" s="313"/>
      <c r="C92" s="19"/>
      <c r="D92" s="5"/>
      <c r="E92" s="5"/>
      <c r="F92" s="5"/>
      <c r="G92" s="5"/>
      <c r="H92" s="26"/>
      <c r="I92" s="21" t="s">
        <v>3275</v>
      </c>
      <c r="J92" s="5"/>
      <c r="K92" s="5"/>
      <c r="L92" s="22"/>
      <c r="M92" s="5"/>
      <c r="N92" s="36"/>
      <c r="O92" s="36"/>
      <c r="P92" s="36"/>
      <c r="Q92" s="36"/>
      <c r="R92" s="36"/>
      <c r="S92" s="95">
        <v>36522</v>
      </c>
      <c r="T92" s="96">
        <v>36502</v>
      </c>
      <c r="U92" s="96"/>
      <c r="V92" s="68" t="s">
        <v>3276</v>
      </c>
      <c r="W92" s="90"/>
      <c r="X92" s="90"/>
      <c r="Y92" s="90"/>
      <c r="Z92" s="90"/>
      <c r="AA92" s="87"/>
      <c r="AB92" s="87"/>
      <c r="AC92" s="87"/>
      <c r="AD92" s="206"/>
      <c r="AE92" s="63"/>
      <c r="AF92" s="63"/>
      <c r="AG92" s="63"/>
      <c r="AH92" s="63"/>
      <c r="AI92" s="63"/>
      <c r="AJ92" s="63"/>
      <c r="AK92" s="63"/>
      <c r="AL92" s="63"/>
      <c r="AM92" s="63"/>
      <c r="AN92" s="63"/>
    </row>
    <row r="93" spans="2:40" s="64" customFormat="1" x14ac:dyDescent="0.2">
      <c r="B93" s="312"/>
      <c r="C93" s="16"/>
      <c r="D93" s="6"/>
      <c r="E93" s="6"/>
      <c r="F93" s="6"/>
      <c r="G93" s="6"/>
      <c r="H93" s="153"/>
      <c r="I93" s="39"/>
      <c r="J93" s="6"/>
      <c r="K93" s="6"/>
      <c r="L93" s="40"/>
      <c r="M93" s="6"/>
      <c r="N93" s="47"/>
      <c r="O93" s="47"/>
      <c r="P93" s="47"/>
      <c r="Q93" s="47"/>
      <c r="R93" s="47"/>
      <c r="S93" s="12"/>
      <c r="T93" s="12"/>
      <c r="U93" s="67"/>
      <c r="V93" s="67"/>
      <c r="W93" s="70"/>
      <c r="X93" s="75"/>
      <c r="Y93" s="75"/>
      <c r="Z93" s="82"/>
      <c r="AA93" s="70"/>
      <c r="AB93" s="70"/>
      <c r="AC93" s="70"/>
      <c r="AD93" s="206"/>
      <c r="AE93" s="63"/>
      <c r="AF93" s="63"/>
      <c r="AG93" s="63"/>
      <c r="AH93" s="63"/>
      <c r="AI93" s="63"/>
      <c r="AJ93" s="63"/>
      <c r="AK93" s="63"/>
      <c r="AL93" s="63"/>
      <c r="AM93" s="63"/>
      <c r="AN93" s="63"/>
    </row>
    <row r="94" spans="2:40" s="64" customFormat="1" x14ac:dyDescent="0.2">
      <c r="B94" s="312" t="s">
        <v>78</v>
      </c>
      <c r="C94" s="16" t="s">
        <v>3272</v>
      </c>
      <c r="D94" s="7" t="s">
        <v>3266</v>
      </c>
      <c r="E94" s="7"/>
      <c r="F94" s="6" t="s">
        <v>3267</v>
      </c>
      <c r="G94" s="6"/>
      <c r="H94" s="17">
        <v>5030</v>
      </c>
      <c r="I94" s="39" t="s">
        <v>3168</v>
      </c>
      <c r="J94" s="7">
        <v>36476</v>
      </c>
      <c r="K94" s="7"/>
      <c r="L94" s="23">
        <v>36506</v>
      </c>
      <c r="M94" s="18" t="s">
        <v>3277</v>
      </c>
      <c r="N94" s="47" t="s">
        <v>110</v>
      </c>
      <c r="O94" s="47"/>
      <c r="P94" s="47"/>
      <c r="Q94" s="47"/>
      <c r="R94" s="47"/>
      <c r="S94" s="7" t="s">
        <v>3271</v>
      </c>
      <c r="T94" s="7">
        <v>36522</v>
      </c>
      <c r="U94" s="150"/>
      <c r="V94" s="67" t="s">
        <v>3278</v>
      </c>
      <c r="W94" s="70">
        <v>551</v>
      </c>
      <c r="X94" s="75"/>
      <c r="Y94" s="75"/>
      <c r="Z94" s="75"/>
      <c r="AA94" s="70"/>
      <c r="AB94" s="70" t="s">
        <v>211</v>
      </c>
      <c r="AC94" s="70"/>
      <c r="AD94" s="206"/>
      <c r="AE94" s="63"/>
      <c r="AF94" s="63"/>
      <c r="AG94" s="63"/>
      <c r="AH94" s="63"/>
      <c r="AI94" s="63"/>
      <c r="AJ94" s="63"/>
      <c r="AK94" s="63"/>
      <c r="AL94" s="63"/>
      <c r="AM94" s="63"/>
      <c r="AN94" s="63"/>
    </row>
    <row r="95" spans="2:40" s="64" customFormat="1" ht="12" thickBot="1" x14ac:dyDescent="0.25">
      <c r="B95" s="313"/>
      <c r="C95" s="19"/>
      <c r="D95" s="5"/>
      <c r="E95" s="5"/>
      <c r="F95" s="5"/>
      <c r="G95" s="5"/>
      <c r="H95" s="26"/>
      <c r="I95" s="21" t="s">
        <v>3275</v>
      </c>
      <c r="J95" s="5"/>
      <c r="K95" s="5"/>
      <c r="L95" s="22"/>
      <c r="M95" s="5"/>
      <c r="N95" s="36"/>
      <c r="O95" s="36"/>
      <c r="P95" s="36"/>
      <c r="Q95" s="36"/>
      <c r="R95" s="36"/>
      <c r="S95" s="27"/>
      <c r="T95" s="5"/>
      <c r="U95" s="68"/>
      <c r="V95" s="68"/>
      <c r="W95" s="87"/>
      <c r="X95" s="90"/>
      <c r="Y95" s="90"/>
      <c r="Z95" s="90"/>
      <c r="AA95" s="87"/>
      <c r="AB95" s="87"/>
      <c r="AC95" s="87"/>
      <c r="AD95" s="206"/>
      <c r="AE95" s="63"/>
      <c r="AF95" s="63"/>
      <c r="AG95" s="63"/>
      <c r="AH95" s="63"/>
      <c r="AI95" s="63"/>
      <c r="AJ95" s="63"/>
      <c r="AK95" s="63"/>
      <c r="AL95" s="63"/>
      <c r="AM95" s="63"/>
      <c r="AN95" s="63"/>
    </row>
    <row r="96" spans="2:40" s="64" customFormat="1" x14ac:dyDescent="0.2">
      <c r="B96" s="314"/>
      <c r="C96" s="11"/>
      <c r="D96" s="12"/>
      <c r="E96" s="12"/>
      <c r="F96" s="12"/>
      <c r="G96" s="12"/>
      <c r="H96" s="144"/>
      <c r="I96" s="14"/>
      <c r="J96" s="12"/>
      <c r="K96" s="12"/>
      <c r="L96" s="15"/>
      <c r="M96" s="12"/>
      <c r="N96" s="34"/>
      <c r="O96" s="34"/>
      <c r="P96" s="34"/>
      <c r="Q96" s="34"/>
      <c r="R96" s="34"/>
      <c r="S96" s="12"/>
      <c r="T96" s="12"/>
      <c r="U96" s="94"/>
      <c r="V96" s="94" t="s">
        <v>3279</v>
      </c>
      <c r="W96" s="80"/>
      <c r="X96" s="82"/>
      <c r="Y96" s="82"/>
      <c r="Z96" s="80"/>
      <c r="AA96" s="80"/>
      <c r="AB96" s="80"/>
      <c r="AC96" s="80"/>
      <c r="AD96" s="206"/>
      <c r="AE96" s="63"/>
      <c r="AF96" s="63"/>
      <c r="AG96" s="63"/>
      <c r="AH96" s="63"/>
      <c r="AI96" s="63"/>
      <c r="AJ96" s="63"/>
      <c r="AK96" s="63"/>
      <c r="AL96" s="63"/>
      <c r="AM96" s="63"/>
      <c r="AN96" s="63"/>
    </row>
    <row r="97" spans="1:40" s="64" customFormat="1" x14ac:dyDescent="0.2">
      <c r="B97" s="312" t="s">
        <v>78</v>
      </c>
      <c r="C97" s="16" t="s">
        <v>79</v>
      </c>
      <c r="D97" s="7" t="s">
        <v>3266</v>
      </c>
      <c r="E97" s="7"/>
      <c r="F97" s="6" t="s">
        <v>3267</v>
      </c>
      <c r="G97" s="6"/>
      <c r="H97" s="17">
        <v>13481.9</v>
      </c>
      <c r="I97" s="39" t="s">
        <v>3168</v>
      </c>
      <c r="J97" s="7">
        <v>36476</v>
      </c>
      <c r="K97" s="7"/>
      <c r="L97" s="23">
        <v>36506</v>
      </c>
      <c r="M97" s="18" t="s">
        <v>135</v>
      </c>
      <c r="N97" s="47" t="s">
        <v>42</v>
      </c>
      <c r="O97" s="47"/>
      <c r="P97" s="47"/>
      <c r="Q97" s="47"/>
      <c r="R97" s="47"/>
      <c r="S97" s="7" t="s">
        <v>3271</v>
      </c>
      <c r="T97" s="7">
        <v>36517</v>
      </c>
      <c r="U97" s="150"/>
      <c r="V97" s="67" t="s">
        <v>3280</v>
      </c>
      <c r="W97" s="70">
        <v>550</v>
      </c>
      <c r="X97" s="75"/>
      <c r="Y97" s="75"/>
      <c r="Z97" s="70">
        <v>658298135</v>
      </c>
      <c r="AA97" s="70"/>
      <c r="AB97" s="70" t="s">
        <v>47</v>
      </c>
      <c r="AC97" s="70"/>
      <c r="AD97" s="206"/>
      <c r="AE97" s="63"/>
      <c r="AF97" s="63"/>
      <c r="AG97" s="63"/>
      <c r="AH97" s="63"/>
      <c r="AI97" s="63"/>
      <c r="AJ97" s="63"/>
      <c r="AK97" s="63"/>
      <c r="AL97" s="63"/>
      <c r="AM97" s="63"/>
      <c r="AN97" s="63"/>
    </row>
    <row r="98" spans="1:40" s="64" customFormat="1" ht="12" thickBot="1" x14ac:dyDescent="0.25">
      <c r="B98" s="313"/>
      <c r="C98" s="19"/>
      <c r="D98" s="5"/>
      <c r="E98" s="5"/>
      <c r="F98" s="5"/>
      <c r="G98" s="5"/>
      <c r="H98" s="26"/>
      <c r="I98" s="21" t="s">
        <v>3270</v>
      </c>
      <c r="J98" s="5"/>
      <c r="K98" s="5"/>
      <c r="L98" s="22"/>
      <c r="M98" s="5"/>
      <c r="N98" s="36"/>
      <c r="O98" s="36"/>
      <c r="P98" s="36"/>
      <c r="Q98" s="36"/>
      <c r="R98" s="36"/>
      <c r="S98" s="27"/>
      <c r="T98" s="5"/>
      <c r="U98" s="68"/>
      <c r="V98" s="110" t="s">
        <v>3281</v>
      </c>
      <c r="W98" s="87"/>
      <c r="X98" s="90"/>
      <c r="Y98" s="90"/>
      <c r="Z98" s="87"/>
      <c r="AA98" s="87"/>
      <c r="AB98" s="87"/>
      <c r="AC98" s="87"/>
      <c r="AD98" s="206"/>
      <c r="AE98" s="63"/>
      <c r="AF98" s="63"/>
      <c r="AG98" s="63"/>
      <c r="AH98" s="63"/>
      <c r="AI98" s="63"/>
      <c r="AJ98" s="63"/>
      <c r="AK98" s="63"/>
      <c r="AL98" s="63"/>
      <c r="AM98" s="63"/>
      <c r="AN98" s="63"/>
    </row>
    <row r="99" spans="1:40" s="123" customFormat="1" ht="12" thickBot="1" x14ac:dyDescent="0.25">
      <c r="B99" s="315"/>
      <c r="C99" s="28"/>
      <c r="D99" s="30"/>
      <c r="E99" s="30"/>
      <c r="F99" s="30"/>
      <c r="G99" s="30"/>
      <c r="H99" s="119"/>
      <c r="I99" s="31"/>
      <c r="J99" s="30"/>
      <c r="K99" s="30"/>
      <c r="L99" s="32"/>
      <c r="M99" s="30"/>
      <c r="N99" s="30"/>
      <c r="O99" s="30"/>
      <c r="P99" s="30"/>
      <c r="Q99" s="30"/>
      <c r="R99" s="30"/>
      <c r="S99" s="48"/>
      <c r="T99" s="30"/>
      <c r="U99" s="30"/>
      <c r="V99" s="99"/>
      <c r="W99" s="99"/>
      <c r="X99" s="99"/>
      <c r="Y99" s="99"/>
      <c r="Z99" s="99"/>
      <c r="AA99" s="99"/>
      <c r="AB99" s="99"/>
      <c r="AC99" s="99"/>
      <c r="AD99" s="204"/>
      <c r="AE99" s="122"/>
      <c r="AF99" s="122"/>
      <c r="AG99" s="122"/>
      <c r="AH99" s="122"/>
      <c r="AI99" s="122"/>
      <c r="AJ99" s="122"/>
      <c r="AK99" s="122"/>
      <c r="AL99" s="122"/>
      <c r="AM99" s="122"/>
      <c r="AN99" s="122"/>
    </row>
    <row r="100" spans="1:40" s="556" customFormat="1" ht="39.950000000000003" customHeight="1" thickBot="1" x14ac:dyDescent="0.4">
      <c r="B100" s="1611">
        <v>2000</v>
      </c>
      <c r="C100" s="1612"/>
      <c r="D100" s="1612"/>
      <c r="E100" s="1612"/>
      <c r="F100" s="1612"/>
      <c r="G100" s="1612"/>
      <c r="H100" s="1612"/>
      <c r="I100" s="1612"/>
      <c r="J100" s="1612"/>
      <c r="K100" s="1612"/>
      <c r="L100" s="1612"/>
      <c r="M100" s="1612"/>
      <c r="N100" s="1612"/>
      <c r="O100" s="1612"/>
      <c r="P100" s="1612"/>
      <c r="Q100" s="1612"/>
      <c r="R100" s="1612"/>
      <c r="S100" s="1612"/>
      <c r="T100" s="1612"/>
      <c r="U100" s="1612"/>
      <c r="V100" s="1612"/>
      <c r="W100" s="1612"/>
      <c r="X100" s="1612"/>
      <c r="Y100" s="1612"/>
      <c r="Z100" s="1612"/>
      <c r="AA100" s="1612"/>
      <c r="AB100" s="1612"/>
      <c r="AC100" s="1613"/>
      <c r="AD100" s="555"/>
    </row>
    <row r="101" spans="1:40" s="441" customFormat="1" ht="60" customHeight="1" thickBot="1" x14ac:dyDescent="0.25">
      <c r="A101" s="438"/>
      <c r="B101" s="451" t="s">
        <v>130</v>
      </c>
      <c r="C101" s="451" t="s">
        <v>4</v>
      </c>
      <c r="D101" s="451" t="s">
        <v>5</v>
      </c>
      <c r="E101" s="451" t="s">
        <v>6</v>
      </c>
      <c r="F101" s="451" t="s">
        <v>7</v>
      </c>
      <c r="G101" s="451" t="s">
        <v>8</v>
      </c>
      <c r="H101" s="453" t="s">
        <v>9</v>
      </c>
      <c r="I101" s="453" t="s">
        <v>10</v>
      </c>
      <c r="J101" s="451" t="s">
        <v>11</v>
      </c>
      <c r="K101" s="451" t="s">
        <v>12</v>
      </c>
      <c r="L101" s="451" t="s">
        <v>13</v>
      </c>
      <c r="M101" s="451" t="s">
        <v>14</v>
      </c>
      <c r="N101" s="451" t="s">
        <v>15</v>
      </c>
      <c r="O101" s="452" t="s">
        <v>16</v>
      </c>
      <c r="P101" s="454" t="s">
        <v>17</v>
      </c>
      <c r="Q101" s="451" t="s">
        <v>18</v>
      </c>
      <c r="R101" s="452" t="s">
        <v>19</v>
      </c>
      <c r="S101" s="451" t="s">
        <v>20</v>
      </c>
      <c r="T101" s="451" t="s">
        <v>21</v>
      </c>
      <c r="U101" s="452" t="s">
        <v>22</v>
      </c>
      <c r="V101" s="451" t="s">
        <v>131</v>
      </c>
      <c r="W101" s="451" t="s">
        <v>24</v>
      </c>
      <c r="X101" s="451" t="s">
        <v>132</v>
      </c>
      <c r="Y101" s="451" t="s">
        <v>26</v>
      </c>
      <c r="Z101" s="451" t="s">
        <v>27</v>
      </c>
      <c r="AA101" s="451" t="s">
        <v>28</v>
      </c>
      <c r="AB101" s="451" t="s">
        <v>29</v>
      </c>
      <c r="AC101" s="451" t="s">
        <v>30</v>
      </c>
      <c r="AD101" s="439"/>
      <c r="AE101" s="440"/>
      <c r="AF101" s="440"/>
      <c r="AG101" s="440"/>
      <c r="AH101" s="440"/>
      <c r="AI101" s="440"/>
      <c r="AJ101" s="440"/>
      <c r="AK101" s="440"/>
      <c r="AL101" s="440"/>
      <c r="AM101" s="440"/>
    </row>
    <row r="102" spans="1:40" s="64" customFormat="1" x14ac:dyDescent="0.2">
      <c r="B102" s="314"/>
      <c r="C102" s="11"/>
      <c r="D102" s="91"/>
      <c r="E102" s="91"/>
      <c r="F102" s="12"/>
      <c r="G102" s="12"/>
      <c r="H102" s="13"/>
      <c r="I102" s="13"/>
      <c r="J102" s="12"/>
      <c r="K102" s="12"/>
      <c r="L102" s="15"/>
      <c r="M102" s="12"/>
      <c r="N102" s="12"/>
      <c r="O102" s="12"/>
      <c r="P102" s="12"/>
      <c r="Q102" s="12"/>
      <c r="R102" s="12"/>
      <c r="S102" s="12"/>
      <c r="T102" s="12"/>
      <c r="U102" s="12"/>
      <c r="V102" s="80"/>
      <c r="W102" s="80"/>
      <c r="X102" s="82"/>
      <c r="Y102" s="82"/>
      <c r="Z102" s="80"/>
      <c r="AA102" s="80"/>
      <c r="AB102" s="80"/>
      <c r="AC102" s="80"/>
      <c r="AD102" s="206"/>
      <c r="AE102" s="63"/>
      <c r="AF102" s="63"/>
      <c r="AG102" s="63"/>
      <c r="AH102" s="63"/>
      <c r="AI102" s="63"/>
      <c r="AJ102" s="63"/>
      <c r="AK102" s="63"/>
      <c r="AL102" s="63"/>
      <c r="AM102" s="63"/>
      <c r="AN102" s="63"/>
    </row>
    <row r="103" spans="1:40" s="64" customFormat="1" x14ac:dyDescent="0.2">
      <c r="B103" s="312" t="s">
        <v>78</v>
      </c>
      <c r="C103" s="16" t="s">
        <v>3272</v>
      </c>
      <c r="D103" s="7"/>
      <c r="E103" s="7"/>
      <c r="F103" s="6" t="s">
        <v>3282</v>
      </c>
      <c r="G103" s="6"/>
      <c r="H103" s="17">
        <v>315</v>
      </c>
      <c r="I103" s="39" t="s">
        <v>3234</v>
      </c>
      <c r="J103" s="7"/>
      <c r="K103" s="7"/>
      <c r="L103" s="23"/>
      <c r="M103" s="18"/>
      <c r="N103" s="118" t="s">
        <v>464</v>
      </c>
      <c r="O103" s="118"/>
      <c r="P103" s="118"/>
      <c r="Q103" s="118"/>
      <c r="R103" s="118"/>
      <c r="S103" s="7">
        <v>36552</v>
      </c>
      <c r="T103" s="7">
        <v>36552</v>
      </c>
      <c r="U103" s="7"/>
      <c r="V103" s="6" t="s">
        <v>3283</v>
      </c>
      <c r="W103" s="70">
        <v>561</v>
      </c>
      <c r="X103" s="75"/>
      <c r="Y103" s="75"/>
      <c r="Z103" s="70" t="s">
        <v>318</v>
      </c>
      <c r="AA103" s="70" t="s">
        <v>318</v>
      </c>
      <c r="AB103" s="70"/>
      <c r="AC103" s="70"/>
      <c r="AD103" s="206"/>
      <c r="AE103" s="63"/>
      <c r="AF103" s="63"/>
      <c r="AG103" s="63"/>
      <c r="AH103" s="63"/>
      <c r="AI103" s="63"/>
      <c r="AJ103" s="63"/>
      <c r="AK103" s="63"/>
      <c r="AL103" s="63"/>
      <c r="AM103" s="63"/>
      <c r="AN103" s="63"/>
    </row>
    <row r="104" spans="1:40" s="64" customFormat="1" ht="12" thickBot="1" x14ac:dyDescent="0.25">
      <c r="B104" s="313"/>
      <c r="C104" s="19"/>
      <c r="D104" s="5"/>
      <c r="E104" s="5"/>
      <c r="F104" s="5"/>
      <c r="G104" s="5"/>
      <c r="H104" s="26"/>
      <c r="I104" s="21"/>
      <c r="J104" s="5"/>
      <c r="K104" s="5"/>
      <c r="L104" s="22"/>
      <c r="M104" s="5"/>
      <c r="N104" s="5"/>
      <c r="O104" s="5"/>
      <c r="P104" s="5"/>
      <c r="Q104" s="5"/>
      <c r="R104" s="5"/>
      <c r="S104" s="27"/>
      <c r="T104" s="5"/>
      <c r="U104" s="5"/>
      <c r="V104" s="5"/>
      <c r="W104" s="87"/>
      <c r="X104" s="90"/>
      <c r="Y104" s="90"/>
      <c r="Z104" s="87"/>
      <c r="AA104" s="87"/>
      <c r="AB104" s="87"/>
      <c r="AC104" s="87"/>
      <c r="AD104" s="206"/>
      <c r="AE104" s="63"/>
      <c r="AF104" s="63"/>
      <c r="AG104" s="63"/>
      <c r="AH104" s="63"/>
      <c r="AI104" s="63"/>
      <c r="AJ104" s="63"/>
      <c r="AK104" s="63"/>
      <c r="AL104" s="63"/>
      <c r="AM104" s="63"/>
      <c r="AN104" s="63"/>
    </row>
    <row r="105" spans="1:40" s="64" customFormat="1" x14ac:dyDescent="0.2">
      <c r="B105" s="314"/>
      <c r="C105" s="11"/>
      <c r="D105" s="91"/>
      <c r="E105" s="91"/>
      <c r="F105" s="12"/>
      <c r="G105" s="12"/>
      <c r="H105" s="13"/>
      <c r="I105" s="13"/>
      <c r="J105" s="12"/>
      <c r="K105" s="12"/>
      <c r="L105" s="15"/>
      <c r="M105" s="12"/>
      <c r="N105" s="12"/>
      <c r="O105" s="6"/>
      <c r="P105" s="6"/>
      <c r="Q105" s="6"/>
      <c r="R105" s="6"/>
      <c r="S105" s="6"/>
      <c r="T105" s="6"/>
      <c r="U105" s="6"/>
      <c r="V105" s="80"/>
      <c r="W105" s="80"/>
      <c r="X105" s="82"/>
      <c r="Y105" s="82"/>
      <c r="Z105" s="80"/>
      <c r="AA105" s="80"/>
      <c r="AB105" s="80"/>
      <c r="AC105" s="80"/>
      <c r="AD105" s="206"/>
      <c r="AE105" s="63"/>
      <c r="AF105" s="63"/>
      <c r="AG105" s="63"/>
      <c r="AH105" s="63"/>
      <c r="AI105" s="63"/>
      <c r="AJ105" s="63"/>
      <c r="AK105" s="63"/>
      <c r="AL105" s="63"/>
      <c r="AM105" s="63"/>
      <c r="AN105" s="63"/>
    </row>
    <row r="106" spans="1:40" s="64" customFormat="1" x14ac:dyDescent="0.2">
      <c r="B106" s="312" t="s">
        <v>78</v>
      </c>
      <c r="C106" s="16" t="s">
        <v>3284</v>
      </c>
      <c r="D106" s="7" t="s">
        <v>3285</v>
      </c>
      <c r="E106" s="7"/>
      <c r="F106" s="6" t="s">
        <v>3286</v>
      </c>
      <c r="G106" s="6"/>
      <c r="H106" s="17">
        <v>11644</v>
      </c>
      <c r="I106" s="39" t="s">
        <v>3275</v>
      </c>
      <c r="J106" s="7">
        <v>36530</v>
      </c>
      <c r="K106" s="7"/>
      <c r="L106" s="23" t="s">
        <v>497</v>
      </c>
      <c r="M106" s="18" t="s">
        <v>3287</v>
      </c>
      <c r="N106" s="6" t="s">
        <v>110</v>
      </c>
      <c r="O106" s="6"/>
      <c r="P106" s="6"/>
      <c r="Q106" s="6"/>
      <c r="R106" s="6"/>
      <c r="S106" s="7" t="s">
        <v>498</v>
      </c>
      <c r="T106" s="7">
        <v>36565</v>
      </c>
      <c r="U106" s="7"/>
      <c r="V106" s="6" t="s">
        <v>3288</v>
      </c>
      <c r="W106" s="70">
        <v>560</v>
      </c>
      <c r="X106" s="75"/>
      <c r="Y106" s="75"/>
      <c r="Z106" s="70"/>
      <c r="AA106" s="70"/>
      <c r="AB106" s="70" t="s">
        <v>47</v>
      </c>
      <c r="AC106" s="70"/>
      <c r="AD106" s="206"/>
      <c r="AE106" s="63"/>
      <c r="AF106" s="63"/>
      <c r="AG106" s="63"/>
      <c r="AH106" s="63"/>
      <c r="AI106" s="63"/>
      <c r="AJ106" s="63"/>
      <c r="AK106" s="63"/>
      <c r="AL106" s="63"/>
      <c r="AM106" s="63"/>
      <c r="AN106" s="63"/>
    </row>
    <row r="107" spans="1:40" s="64" customFormat="1" ht="12" thickBot="1" x14ac:dyDescent="0.25">
      <c r="B107" s="313"/>
      <c r="C107" s="19"/>
      <c r="D107" s="5"/>
      <c r="E107" s="5"/>
      <c r="F107" s="5"/>
      <c r="G107" s="5"/>
      <c r="H107" s="26"/>
      <c r="I107" s="21" t="s">
        <v>3234</v>
      </c>
      <c r="J107" s="5"/>
      <c r="K107" s="5"/>
      <c r="L107" s="22"/>
      <c r="M107" s="5"/>
      <c r="N107" s="5"/>
      <c r="O107" s="5"/>
      <c r="P107" s="5"/>
      <c r="Q107" s="5"/>
      <c r="R107" s="5"/>
      <c r="S107" s="27" t="s">
        <v>270</v>
      </c>
      <c r="T107" s="5"/>
      <c r="U107" s="5"/>
      <c r="V107" s="5" t="s">
        <v>3289</v>
      </c>
      <c r="W107" s="87"/>
      <c r="X107" s="90"/>
      <c r="Y107" s="90"/>
      <c r="Z107" s="87"/>
      <c r="AA107" s="87"/>
      <c r="AB107" s="87"/>
      <c r="AC107" s="87"/>
      <c r="AD107" s="206"/>
      <c r="AE107" s="63"/>
      <c r="AF107" s="63"/>
      <c r="AG107" s="63"/>
      <c r="AH107" s="63"/>
      <c r="AI107" s="63"/>
      <c r="AJ107" s="63"/>
      <c r="AK107" s="63"/>
      <c r="AL107" s="63"/>
      <c r="AM107" s="63"/>
      <c r="AN107" s="63"/>
    </row>
    <row r="108" spans="1:40" s="64" customFormat="1" x14ac:dyDescent="0.2">
      <c r="B108" s="314"/>
      <c r="C108" s="11"/>
      <c r="D108" s="91"/>
      <c r="E108" s="91"/>
      <c r="F108" s="12"/>
      <c r="G108" s="12"/>
      <c r="H108" s="13"/>
      <c r="I108" s="13"/>
      <c r="J108" s="12"/>
      <c r="K108" s="12"/>
      <c r="L108" s="15"/>
      <c r="M108" s="12" t="s">
        <v>135</v>
      </c>
      <c r="N108" s="12" t="s">
        <v>42</v>
      </c>
      <c r="O108" s="12"/>
      <c r="P108" s="12"/>
      <c r="Q108" s="12"/>
      <c r="R108" s="12"/>
      <c r="S108" s="12"/>
      <c r="T108" s="91">
        <v>36587</v>
      </c>
      <c r="U108" s="91"/>
      <c r="V108" s="80"/>
      <c r="W108" s="80">
        <v>567</v>
      </c>
      <c r="X108" s="82"/>
      <c r="Y108" s="82"/>
      <c r="Z108" s="80"/>
      <c r="AA108" s="80"/>
      <c r="AB108" s="70" t="s">
        <v>47</v>
      </c>
      <c r="AC108" s="73"/>
      <c r="AD108" s="206"/>
      <c r="AE108" s="63"/>
      <c r="AF108" s="63"/>
      <c r="AG108" s="63"/>
      <c r="AH108" s="63"/>
      <c r="AI108" s="63"/>
      <c r="AJ108" s="63"/>
      <c r="AK108" s="63"/>
      <c r="AL108" s="63"/>
      <c r="AM108" s="63"/>
      <c r="AN108" s="63"/>
    </row>
    <row r="109" spans="1:40" s="64" customFormat="1" x14ac:dyDescent="0.2">
      <c r="B109" s="312" t="s">
        <v>78</v>
      </c>
      <c r="C109" s="16" t="s">
        <v>3272</v>
      </c>
      <c r="D109" s="7" t="s">
        <v>3273</v>
      </c>
      <c r="E109" s="7"/>
      <c r="F109" s="6" t="s">
        <v>3274</v>
      </c>
      <c r="G109" s="6"/>
      <c r="H109" s="17">
        <v>29768</v>
      </c>
      <c r="I109" s="39" t="s">
        <v>3168</v>
      </c>
      <c r="J109" s="7">
        <v>36469</v>
      </c>
      <c r="K109" s="7"/>
      <c r="L109" s="23">
        <v>36576</v>
      </c>
      <c r="M109" s="18" t="s">
        <v>249</v>
      </c>
      <c r="N109" s="6" t="s">
        <v>3290</v>
      </c>
      <c r="O109" s="6"/>
      <c r="P109" s="6"/>
      <c r="Q109" s="6"/>
      <c r="R109" s="6"/>
      <c r="S109" s="7">
        <v>36554</v>
      </c>
      <c r="T109" s="7"/>
      <c r="U109" s="7"/>
      <c r="V109" s="73" t="s">
        <v>3291</v>
      </c>
      <c r="W109" s="70"/>
      <c r="X109" s="75"/>
      <c r="Y109" s="75"/>
      <c r="Z109" s="70"/>
      <c r="AA109" s="70"/>
      <c r="AB109" s="70"/>
      <c r="AC109" s="129"/>
      <c r="AD109" s="206"/>
      <c r="AE109" s="63"/>
      <c r="AF109" s="63"/>
      <c r="AG109" s="63"/>
      <c r="AH109" s="63"/>
      <c r="AI109" s="63"/>
      <c r="AJ109" s="63"/>
      <c r="AK109" s="63"/>
      <c r="AL109" s="63"/>
      <c r="AM109" s="63"/>
      <c r="AN109" s="63"/>
    </row>
    <row r="110" spans="1:40" s="64" customFormat="1" ht="12" thickBot="1" x14ac:dyDescent="0.25">
      <c r="B110" s="313"/>
      <c r="C110" s="19"/>
      <c r="D110" s="5"/>
      <c r="E110" s="5"/>
      <c r="F110" s="5"/>
      <c r="G110" s="5"/>
      <c r="H110" s="26">
        <v>26182</v>
      </c>
      <c r="I110" s="21" t="s">
        <v>3275</v>
      </c>
      <c r="J110" s="5"/>
      <c r="K110" s="5"/>
      <c r="L110" s="22"/>
      <c r="M110" s="18" t="s">
        <v>3287</v>
      </c>
      <c r="N110" s="5" t="s">
        <v>110</v>
      </c>
      <c r="O110" s="5"/>
      <c r="P110" s="5"/>
      <c r="Q110" s="5"/>
      <c r="R110" s="5"/>
      <c r="S110" s="27" t="s">
        <v>699</v>
      </c>
      <c r="T110" s="27">
        <v>36565</v>
      </c>
      <c r="U110" s="27"/>
      <c r="V110" s="87" t="s">
        <v>3292</v>
      </c>
      <c r="W110" s="87">
        <v>566</v>
      </c>
      <c r="X110" s="90"/>
      <c r="Y110" s="90"/>
      <c r="Z110" s="87"/>
      <c r="AA110" s="87"/>
      <c r="AB110" s="87" t="s">
        <v>211</v>
      </c>
      <c r="AC110" s="87"/>
      <c r="AD110" s="206"/>
      <c r="AE110" s="63"/>
      <c r="AF110" s="63"/>
      <c r="AG110" s="63"/>
      <c r="AH110" s="63"/>
      <c r="AI110" s="63"/>
      <c r="AJ110" s="63"/>
      <c r="AK110" s="63"/>
      <c r="AL110" s="63"/>
      <c r="AM110" s="63"/>
      <c r="AN110" s="63"/>
    </row>
    <row r="111" spans="1:40" s="76" customFormat="1" x14ac:dyDescent="0.2">
      <c r="B111" s="314"/>
      <c r="C111" s="11"/>
      <c r="D111" s="91"/>
      <c r="E111" s="91"/>
      <c r="F111" s="12"/>
      <c r="G111" s="12"/>
      <c r="H111" s="13"/>
      <c r="I111" s="14"/>
      <c r="J111" s="12"/>
      <c r="K111" s="12"/>
      <c r="L111" s="15"/>
      <c r="M111" s="12"/>
      <c r="N111" s="34"/>
      <c r="O111" s="34"/>
      <c r="P111" s="34"/>
      <c r="Q111" s="34"/>
      <c r="R111" s="34"/>
      <c r="S111" s="91"/>
      <c r="T111" s="12"/>
      <c r="U111" s="94"/>
      <c r="V111" s="108"/>
      <c r="W111" s="80"/>
      <c r="X111" s="82"/>
      <c r="Y111" s="82"/>
      <c r="Z111" s="82"/>
      <c r="AA111" s="80"/>
      <c r="AB111" s="80"/>
      <c r="AC111" s="128"/>
      <c r="AD111" s="205"/>
    </row>
    <row r="112" spans="1:40" s="76" customFormat="1" x14ac:dyDescent="0.2">
      <c r="B112" s="312" t="s">
        <v>78</v>
      </c>
      <c r="C112" s="16" t="s">
        <v>3272</v>
      </c>
      <c r="D112" s="7" t="s">
        <v>3293</v>
      </c>
      <c r="E112" s="7"/>
      <c r="F112" s="6" t="s">
        <v>3294</v>
      </c>
      <c r="G112" s="6"/>
      <c r="H112" s="17">
        <v>16692</v>
      </c>
      <c r="I112" s="39" t="s">
        <v>3268</v>
      </c>
      <c r="J112" s="7">
        <v>36587</v>
      </c>
      <c r="K112" s="7"/>
      <c r="L112" s="23">
        <v>36595</v>
      </c>
      <c r="M112" s="18" t="s">
        <v>124</v>
      </c>
      <c r="N112" s="47" t="s">
        <v>110</v>
      </c>
      <c r="O112" s="47"/>
      <c r="P112" s="47"/>
      <c r="Q112" s="47"/>
      <c r="R112" s="47"/>
      <c r="S112" s="7">
        <v>36595</v>
      </c>
      <c r="T112" s="121">
        <v>36603</v>
      </c>
      <c r="U112" s="320"/>
      <c r="V112" s="109" t="s">
        <v>3295</v>
      </c>
      <c r="W112" s="70">
        <v>508</v>
      </c>
      <c r="X112" s="75"/>
      <c r="Y112" s="75"/>
      <c r="Z112" s="75"/>
      <c r="AA112" s="70"/>
      <c r="AB112" s="70" t="s">
        <v>47</v>
      </c>
      <c r="AC112" s="73"/>
      <c r="AD112" s="205"/>
    </row>
    <row r="113" spans="2:30" s="76" customFormat="1" ht="13.5" customHeight="1" thickBot="1" x14ac:dyDescent="0.25">
      <c r="B113" s="313"/>
      <c r="C113" s="19"/>
      <c r="D113" s="5"/>
      <c r="E113" s="5"/>
      <c r="F113" s="5"/>
      <c r="G113" s="5"/>
      <c r="H113" s="105"/>
      <c r="I113" s="21" t="s">
        <v>3275</v>
      </c>
      <c r="J113" s="5"/>
      <c r="K113" s="5"/>
      <c r="L113" s="22"/>
      <c r="M113" s="5"/>
      <c r="N113" s="36"/>
      <c r="O113" s="36"/>
      <c r="P113" s="36"/>
      <c r="Q113" s="36"/>
      <c r="R113" s="36"/>
      <c r="S113" s="5" t="s">
        <v>647</v>
      </c>
      <c r="T113" s="27">
        <v>36607</v>
      </c>
      <c r="U113" s="96"/>
      <c r="V113" s="68" t="s">
        <v>3296</v>
      </c>
      <c r="W113" s="87"/>
      <c r="X113" s="90"/>
      <c r="Y113" s="90"/>
      <c r="Z113" s="90"/>
      <c r="AA113" s="87"/>
      <c r="AB113" s="87"/>
      <c r="AC113" s="130"/>
      <c r="AD113" s="205"/>
    </row>
    <row r="114" spans="2:30" s="76" customFormat="1" x14ac:dyDescent="0.2">
      <c r="B114" s="314"/>
      <c r="C114" s="11"/>
      <c r="D114" s="91"/>
      <c r="E114" s="91"/>
      <c r="F114" s="12"/>
      <c r="G114" s="12"/>
      <c r="H114" s="13"/>
      <c r="I114" s="13"/>
      <c r="J114" s="12"/>
      <c r="K114" s="12"/>
      <c r="L114" s="15"/>
      <c r="M114" s="12"/>
      <c r="N114" s="12"/>
      <c r="O114" s="6"/>
      <c r="P114" s="6"/>
      <c r="Q114" s="6"/>
      <c r="R114" s="6"/>
      <c r="S114" s="6"/>
      <c r="T114" s="6"/>
      <c r="U114" s="6"/>
      <c r="V114" s="80"/>
      <c r="W114" s="80"/>
      <c r="X114" s="82"/>
      <c r="Y114" s="82"/>
      <c r="Z114" s="80"/>
      <c r="AA114" s="80"/>
      <c r="AB114" s="80"/>
      <c r="AC114" s="80"/>
      <c r="AD114" s="205"/>
    </row>
    <row r="115" spans="2:30" s="76" customFormat="1" x14ac:dyDescent="0.2">
      <c r="B115" s="312" t="s">
        <v>78</v>
      </c>
      <c r="C115" s="16" t="s">
        <v>3165</v>
      </c>
      <c r="D115" s="7" t="s">
        <v>3297</v>
      </c>
      <c r="E115" s="7"/>
      <c r="F115" s="6">
        <v>115613</v>
      </c>
      <c r="G115" s="6"/>
      <c r="H115" s="17">
        <v>6070</v>
      </c>
      <c r="I115" s="39" t="s">
        <v>3184</v>
      </c>
      <c r="J115" s="7">
        <v>36574</v>
      </c>
      <c r="K115" s="7"/>
      <c r="L115" s="23">
        <v>36629</v>
      </c>
      <c r="M115" s="18" t="s">
        <v>3298</v>
      </c>
      <c r="N115" s="6" t="s">
        <v>42</v>
      </c>
      <c r="O115" s="6"/>
      <c r="P115" s="6"/>
      <c r="Q115" s="6"/>
      <c r="R115" s="6"/>
      <c r="S115" s="7">
        <v>36624</v>
      </c>
      <c r="T115" s="7">
        <v>36629</v>
      </c>
      <c r="U115" s="7"/>
      <c r="V115" s="40" t="s">
        <v>3200</v>
      </c>
      <c r="W115" s="70">
        <v>586</v>
      </c>
      <c r="X115" s="75"/>
      <c r="Y115" s="75"/>
      <c r="Z115" s="70">
        <v>6640172000</v>
      </c>
      <c r="AA115" s="70"/>
      <c r="AB115" s="70" t="s">
        <v>211</v>
      </c>
      <c r="AC115" s="73"/>
      <c r="AD115" s="205"/>
    </row>
    <row r="116" spans="2:30" s="76" customFormat="1" ht="12" thickBot="1" x14ac:dyDescent="0.25">
      <c r="B116" s="313"/>
      <c r="C116" s="19"/>
      <c r="D116" s="5"/>
      <c r="E116" s="5"/>
      <c r="F116" s="5"/>
      <c r="G116" s="5"/>
      <c r="H116" s="105"/>
      <c r="I116" s="21"/>
      <c r="J116" s="5"/>
      <c r="K116" s="5"/>
      <c r="L116" s="22"/>
      <c r="M116" s="5"/>
      <c r="N116" s="5"/>
      <c r="O116" s="5"/>
      <c r="P116" s="5"/>
      <c r="Q116" s="5"/>
      <c r="R116" s="5"/>
      <c r="S116" s="127" t="s">
        <v>647</v>
      </c>
      <c r="T116" s="5"/>
      <c r="U116" s="5"/>
      <c r="V116" s="5" t="s">
        <v>1717</v>
      </c>
      <c r="W116" s="87"/>
      <c r="X116" s="90"/>
      <c r="Y116" s="90"/>
      <c r="Z116" s="87"/>
      <c r="AA116" s="87"/>
      <c r="AB116" s="87"/>
      <c r="AC116" s="87"/>
      <c r="AD116" s="205"/>
    </row>
    <row r="117" spans="2:30" s="76" customFormat="1" x14ac:dyDescent="0.2">
      <c r="B117" s="314"/>
      <c r="C117" s="11"/>
      <c r="D117" s="91"/>
      <c r="E117" s="91"/>
      <c r="F117" s="12"/>
      <c r="G117" s="12"/>
      <c r="H117" s="13"/>
      <c r="I117" s="13"/>
      <c r="J117" s="12"/>
      <c r="K117" s="12"/>
      <c r="L117" s="15"/>
      <c r="M117" s="12"/>
      <c r="N117" s="12"/>
      <c r="O117" s="12"/>
      <c r="P117" s="12"/>
      <c r="Q117" s="12"/>
      <c r="R117" s="12"/>
      <c r="S117" s="12"/>
      <c r="T117" s="12"/>
      <c r="U117" s="12"/>
      <c r="V117" s="80"/>
      <c r="W117" s="80"/>
      <c r="X117" s="82"/>
      <c r="Y117" s="82"/>
      <c r="Z117" s="80"/>
      <c r="AA117" s="80"/>
      <c r="AB117" s="80"/>
      <c r="AC117" s="80"/>
      <c r="AD117" s="205"/>
    </row>
    <row r="118" spans="2:30" s="76" customFormat="1" x14ac:dyDescent="0.2">
      <c r="B118" s="312" t="s">
        <v>78</v>
      </c>
      <c r="C118" s="16" t="s">
        <v>3272</v>
      </c>
      <c r="D118" s="7" t="s">
        <v>3299</v>
      </c>
      <c r="E118" s="7"/>
      <c r="F118" s="6" t="s">
        <v>3300</v>
      </c>
      <c r="G118" s="6"/>
      <c r="H118" s="17">
        <f>91900+3081.2</f>
        <v>94981.2</v>
      </c>
      <c r="I118" s="39" t="s">
        <v>3168</v>
      </c>
      <c r="J118" s="7">
        <v>36552</v>
      </c>
      <c r="K118" s="7"/>
      <c r="L118" s="23" t="s">
        <v>3301</v>
      </c>
      <c r="M118" s="18" t="s">
        <v>3298</v>
      </c>
      <c r="N118" s="6" t="s">
        <v>42</v>
      </c>
      <c r="O118" s="6"/>
      <c r="P118" s="6"/>
      <c r="Q118" s="6"/>
      <c r="R118" s="6"/>
      <c r="S118" s="7">
        <v>36620</v>
      </c>
      <c r="T118" s="7">
        <v>36633</v>
      </c>
      <c r="U118" s="7"/>
      <c r="V118" s="73" t="s">
        <v>3302</v>
      </c>
      <c r="W118" s="70">
        <v>576</v>
      </c>
      <c r="X118" s="75"/>
      <c r="Y118" s="75"/>
      <c r="Z118" s="70" t="s">
        <v>47</v>
      </c>
      <c r="AA118" s="70"/>
      <c r="AB118" s="70" t="s">
        <v>211</v>
      </c>
      <c r="AC118" s="70"/>
      <c r="AD118" s="205"/>
    </row>
    <row r="119" spans="2:30" s="76" customFormat="1" ht="12" thickBot="1" x14ac:dyDescent="0.25">
      <c r="B119" s="313"/>
      <c r="C119" s="19"/>
      <c r="D119" s="5"/>
      <c r="E119" s="5"/>
      <c r="F119" s="5"/>
      <c r="G119" s="5"/>
      <c r="H119" s="105" t="s">
        <v>3303</v>
      </c>
      <c r="I119" s="21" t="s">
        <v>3275</v>
      </c>
      <c r="J119" s="5"/>
      <c r="K119" s="5"/>
      <c r="L119" s="22"/>
      <c r="M119" s="5"/>
      <c r="N119" s="5"/>
      <c r="O119" s="5"/>
      <c r="P119" s="5"/>
      <c r="Q119" s="5"/>
      <c r="R119" s="5"/>
      <c r="S119" s="132" t="s">
        <v>3304</v>
      </c>
      <c r="T119" s="5"/>
      <c r="U119" s="5"/>
      <c r="V119" s="22" t="s">
        <v>3305</v>
      </c>
      <c r="W119" s="87"/>
      <c r="X119" s="90"/>
      <c r="Y119" s="90"/>
      <c r="Z119" s="87"/>
      <c r="AA119" s="87"/>
      <c r="AB119" s="87"/>
      <c r="AC119" s="87"/>
      <c r="AD119" s="205"/>
    </row>
    <row r="120" spans="2:30" s="76" customFormat="1" x14ac:dyDescent="0.2">
      <c r="B120" s="314"/>
      <c r="C120" s="11"/>
      <c r="D120" s="91"/>
      <c r="E120" s="91"/>
      <c r="F120" s="12"/>
      <c r="G120" s="12"/>
      <c r="H120" s="13"/>
      <c r="I120" s="13"/>
      <c r="J120" s="12"/>
      <c r="K120" s="12"/>
      <c r="L120" s="15"/>
      <c r="M120" s="12"/>
      <c r="N120" s="12"/>
      <c r="O120" s="6"/>
      <c r="P120" s="6"/>
      <c r="Q120" s="6"/>
      <c r="R120" s="6"/>
      <c r="S120" s="6"/>
      <c r="T120" s="6"/>
      <c r="U120" s="6"/>
      <c r="V120" s="80"/>
      <c r="W120" s="80"/>
      <c r="X120" s="82"/>
      <c r="Y120" s="82"/>
      <c r="Z120" s="80"/>
      <c r="AA120" s="80"/>
      <c r="AB120" s="80"/>
      <c r="AC120" s="80"/>
      <c r="AD120" s="205"/>
    </row>
    <row r="121" spans="2:30" s="76" customFormat="1" x14ac:dyDescent="0.2">
      <c r="B121" s="312" t="s">
        <v>78</v>
      </c>
      <c r="C121" s="16" t="s">
        <v>3272</v>
      </c>
      <c r="D121" s="7" t="s">
        <v>3306</v>
      </c>
      <c r="E121" s="7"/>
      <c r="F121" s="6" t="s">
        <v>3307</v>
      </c>
      <c r="G121" s="6"/>
      <c r="H121" s="17">
        <f>3640+122</f>
        <v>3762</v>
      </c>
      <c r="I121" s="39" t="s">
        <v>3165</v>
      </c>
      <c r="J121" s="7">
        <v>36574</v>
      </c>
      <c r="K121" s="7"/>
      <c r="L121" s="23">
        <f>J121+30</f>
        <v>36604</v>
      </c>
      <c r="M121" s="18" t="s">
        <v>3298</v>
      </c>
      <c r="N121" s="6" t="s">
        <v>42</v>
      </c>
      <c r="O121" s="6"/>
      <c r="P121" s="6"/>
      <c r="Q121" s="6"/>
      <c r="R121" s="6"/>
      <c r="S121" s="7">
        <v>36620</v>
      </c>
      <c r="T121" s="7">
        <v>36633</v>
      </c>
      <c r="U121" s="7"/>
      <c r="V121" s="6" t="s">
        <v>752</v>
      </c>
      <c r="W121" s="70">
        <v>590</v>
      </c>
      <c r="X121" s="75"/>
      <c r="Y121" s="75"/>
      <c r="Z121" s="70" t="s">
        <v>47</v>
      </c>
      <c r="AA121" s="70"/>
      <c r="AB121" s="70" t="s">
        <v>211</v>
      </c>
      <c r="AC121" s="73"/>
      <c r="AD121" s="205"/>
    </row>
    <row r="122" spans="2:30" s="76" customFormat="1" ht="12" thickBot="1" x14ac:dyDescent="0.25">
      <c r="B122" s="313"/>
      <c r="C122" s="19"/>
      <c r="D122" s="5"/>
      <c r="E122" s="5"/>
      <c r="F122" s="5"/>
      <c r="G122" s="5"/>
      <c r="H122" s="105"/>
      <c r="I122" s="21" t="s">
        <v>3308</v>
      </c>
      <c r="J122" s="5"/>
      <c r="K122" s="5"/>
      <c r="L122" s="22"/>
      <c r="M122" s="5"/>
      <c r="N122" s="5"/>
      <c r="O122" s="5"/>
      <c r="P122" s="5"/>
      <c r="Q122" s="5"/>
      <c r="R122" s="5"/>
      <c r="S122" s="132" t="s">
        <v>3304</v>
      </c>
      <c r="T122" s="5"/>
      <c r="U122" s="5"/>
      <c r="V122" s="5" t="s">
        <v>3309</v>
      </c>
      <c r="W122" s="87"/>
      <c r="X122" s="90"/>
      <c r="Y122" s="90"/>
      <c r="Z122" s="87"/>
      <c r="AA122" s="87"/>
      <c r="AB122" s="87"/>
      <c r="AC122" s="4"/>
      <c r="AD122" s="205"/>
    </row>
    <row r="123" spans="2:30" s="76" customFormat="1" x14ac:dyDescent="0.2">
      <c r="B123" s="314"/>
      <c r="C123" s="11"/>
      <c r="D123" s="91"/>
      <c r="E123" s="91"/>
      <c r="F123" s="12"/>
      <c r="G123" s="12"/>
      <c r="H123" s="13"/>
      <c r="I123" s="13"/>
      <c r="J123" s="12"/>
      <c r="K123" s="12"/>
      <c r="L123" s="15"/>
      <c r="M123" s="12"/>
      <c r="N123" s="12"/>
      <c r="O123" s="6"/>
      <c r="P123" s="6"/>
      <c r="Q123" s="6"/>
      <c r="R123" s="6"/>
      <c r="S123" s="6"/>
      <c r="T123" s="6"/>
      <c r="U123" s="6"/>
      <c r="V123" s="80"/>
      <c r="W123" s="80"/>
      <c r="X123" s="82"/>
      <c r="Y123" s="82"/>
      <c r="Z123" s="80"/>
      <c r="AA123" s="80"/>
      <c r="AB123" s="80"/>
      <c r="AC123" s="8"/>
      <c r="AD123" s="205"/>
    </row>
    <row r="124" spans="2:30" s="76" customFormat="1" x14ac:dyDescent="0.2">
      <c r="B124" s="312" t="s">
        <v>78</v>
      </c>
      <c r="C124" s="16" t="s">
        <v>3272</v>
      </c>
      <c r="D124" s="7" t="s">
        <v>3310</v>
      </c>
      <c r="E124" s="7"/>
      <c r="F124" s="6" t="s">
        <v>3311</v>
      </c>
      <c r="G124" s="6"/>
      <c r="H124" s="17">
        <f>11291+378.6</f>
        <v>11669.6</v>
      </c>
      <c r="I124" s="39" t="s">
        <v>3234</v>
      </c>
      <c r="J124" s="7">
        <v>36592</v>
      </c>
      <c r="K124" s="7"/>
      <c r="L124" s="23"/>
      <c r="M124" s="18" t="s">
        <v>3298</v>
      </c>
      <c r="N124" s="6" t="s">
        <v>42</v>
      </c>
      <c r="O124" s="6"/>
      <c r="P124" s="6"/>
      <c r="Q124" s="6"/>
      <c r="R124" s="6"/>
      <c r="S124" s="7">
        <v>36620</v>
      </c>
      <c r="T124" s="7">
        <v>36633</v>
      </c>
      <c r="U124" s="7"/>
      <c r="V124" s="6" t="s">
        <v>3312</v>
      </c>
      <c r="W124" s="70">
        <v>589</v>
      </c>
      <c r="X124" s="75"/>
      <c r="Y124" s="75"/>
      <c r="Z124" s="70" t="s">
        <v>47</v>
      </c>
      <c r="AA124" s="70"/>
      <c r="AB124" s="70" t="s">
        <v>211</v>
      </c>
      <c r="AC124" s="73"/>
      <c r="AD124" s="205"/>
    </row>
    <row r="125" spans="2:30" s="76" customFormat="1" ht="12" thickBot="1" x14ac:dyDescent="0.25">
      <c r="B125" s="313"/>
      <c r="C125" s="19"/>
      <c r="D125" s="5"/>
      <c r="E125" s="5"/>
      <c r="F125" s="5"/>
      <c r="G125" s="5"/>
      <c r="H125" s="105"/>
      <c r="I125" s="21"/>
      <c r="J125" s="5"/>
      <c r="K125" s="5"/>
      <c r="L125" s="22"/>
      <c r="M125" s="5"/>
      <c r="N125" s="5"/>
      <c r="O125" s="5"/>
      <c r="P125" s="5"/>
      <c r="Q125" s="5"/>
      <c r="R125" s="5"/>
      <c r="S125" s="132" t="s">
        <v>3304</v>
      </c>
      <c r="T125" s="5"/>
      <c r="U125" s="5"/>
      <c r="V125" s="5" t="s">
        <v>3309</v>
      </c>
      <c r="W125" s="87"/>
      <c r="X125" s="90"/>
      <c r="Y125" s="90"/>
      <c r="Z125" s="87"/>
      <c r="AA125" s="87"/>
      <c r="AB125" s="87"/>
      <c r="AC125" s="4"/>
      <c r="AD125" s="205"/>
    </row>
    <row r="126" spans="2:30" s="76" customFormat="1" x14ac:dyDescent="0.2">
      <c r="B126" s="314"/>
      <c r="C126" s="11"/>
      <c r="D126" s="91"/>
      <c r="E126" s="91"/>
      <c r="F126" s="12"/>
      <c r="G126" s="12"/>
      <c r="H126" s="13"/>
      <c r="I126" s="13"/>
      <c r="J126" s="12"/>
      <c r="K126" s="12"/>
      <c r="L126" s="15"/>
      <c r="M126" s="12"/>
      <c r="N126" s="12"/>
      <c r="O126" s="6"/>
      <c r="P126" s="6"/>
      <c r="Q126" s="6"/>
      <c r="R126" s="6"/>
      <c r="S126" s="6"/>
      <c r="T126" s="6"/>
      <c r="U126" s="6"/>
      <c r="V126" s="80"/>
      <c r="W126" s="80"/>
      <c r="X126" s="82"/>
      <c r="Y126" s="82"/>
      <c r="Z126" s="80"/>
      <c r="AA126" s="80"/>
      <c r="AB126" s="80"/>
      <c r="AC126" s="8"/>
      <c r="AD126" s="205"/>
    </row>
    <row r="127" spans="2:30" s="76" customFormat="1" x14ac:dyDescent="0.2">
      <c r="B127" s="312" t="s">
        <v>78</v>
      </c>
      <c r="C127" s="16" t="s">
        <v>3272</v>
      </c>
      <c r="D127" s="7" t="s">
        <v>3313</v>
      </c>
      <c r="E127" s="7"/>
      <c r="F127" s="6" t="s">
        <v>3314</v>
      </c>
      <c r="G127" s="6"/>
      <c r="H127" s="17">
        <f>13071+438.2</f>
        <v>13509.2</v>
      </c>
      <c r="I127" s="39" t="s">
        <v>3315</v>
      </c>
      <c r="J127" s="7">
        <v>36594</v>
      </c>
      <c r="K127" s="7"/>
      <c r="L127" s="23"/>
      <c r="M127" s="18" t="s">
        <v>3298</v>
      </c>
      <c r="N127" s="6" t="s">
        <v>42</v>
      </c>
      <c r="O127" s="6"/>
      <c r="P127" s="6"/>
      <c r="Q127" s="6"/>
      <c r="R127" s="6"/>
      <c r="S127" s="7">
        <v>36620</v>
      </c>
      <c r="T127" s="7">
        <v>36633</v>
      </c>
      <c r="U127" s="7"/>
      <c r="V127" s="6" t="s">
        <v>3316</v>
      </c>
      <c r="W127" s="70">
        <v>588</v>
      </c>
      <c r="X127" s="75"/>
      <c r="Y127" s="75"/>
      <c r="Z127" s="70" t="s">
        <v>47</v>
      </c>
      <c r="AA127" s="70"/>
      <c r="AB127" s="70" t="s">
        <v>211</v>
      </c>
      <c r="AC127" s="73"/>
      <c r="AD127" s="205"/>
    </row>
    <row r="128" spans="2:30" s="76" customFormat="1" ht="12" thickBot="1" x14ac:dyDescent="0.25">
      <c r="B128" s="313"/>
      <c r="C128" s="19"/>
      <c r="D128" s="5"/>
      <c r="E128" s="5"/>
      <c r="F128" s="5"/>
      <c r="G128" s="5"/>
      <c r="H128" s="105"/>
      <c r="I128" s="21"/>
      <c r="J128" s="5"/>
      <c r="K128" s="5"/>
      <c r="L128" s="22"/>
      <c r="M128" s="5"/>
      <c r="N128" s="5"/>
      <c r="O128" s="5"/>
      <c r="P128" s="5"/>
      <c r="Q128" s="5"/>
      <c r="R128" s="5"/>
      <c r="S128" s="132" t="s">
        <v>3304</v>
      </c>
      <c r="T128" s="5"/>
      <c r="U128" s="5"/>
      <c r="V128" s="5" t="s">
        <v>3309</v>
      </c>
      <c r="W128" s="87"/>
      <c r="X128" s="90"/>
      <c r="Y128" s="90"/>
      <c r="Z128" s="87"/>
      <c r="AA128" s="87"/>
      <c r="AB128" s="87"/>
      <c r="AC128" s="4"/>
      <c r="AD128" s="205"/>
    </row>
    <row r="129" spans="2:30" s="76" customFormat="1" x14ac:dyDescent="0.2">
      <c r="B129" s="314"/>
      <c r="C129" s="11"/>
      <c r="D129" s="91"/>
      <c r="E129" s="91"/>
      <c r="F129" s="12"/>
      <c r="G129" s="12"/>
      <c r="H129" s="13"/>
      <c r="I129" s="13"/>
      <c r="J129" s="12"/>
      <c r="K129" s="12"/>
      <c r="L129" s="15"/>
      <c r="M129" s="12"/>
      <c r="N129" s="12"/>
      <c r="O129" s="12"/>
      <c r="P129" s="12"/>
      <c r="Q129" s="12"/>
      <c r="R129" s="12"/>
      <c r="S129" s="12"/>
      <c r="T129" s="12"/>
      <c r="U129" s="12"/>
      <c r="V129" s="80"/>
      <c r="W129" s="82"/>
      <c r="X129" s="82"/>
      <c r="Y129" s="82"/>
      <c r="Z129" s="80"/>
      <c r="AA129" s="80"/>
      <c r="AB129" s="80"/>
      <c r="AC129" s="80"/>
      <c r="AD129" s="205"/>
    </row>
    <row r="130" spans="2:30" s="76" customFormat="1" x14ac:dyDescent="0.2">
      <c r="B130" s="312" t="s">
        <v>78</v>
      </c>
      <c r="C130" s="16" t="s">
        <v>3272</v>
      </c>
      <c r="D130" s="7" t="s">
        <v>3313</v>
      </c>
      <c r="E130" s="7"/>
      <c r="F130" s="6" t="s">
        <v>3314</v>
      </c>
      <c r="G130" s="6"/>
      <c r="H130" s="17">
        <v>6922</v>
      </c>
      <c r="I130" s="39" t="s">
        <v>3315</v>
      </c>
      <c r="J130" s="7">
        <v>36594</v>
      </c>
      <c r="K130" s="7"/>
      <c r="L130" s="23">
        <v>36636</v>
      </c>
      <c r="M130" s="18" t="s">
        <v>280</v>
      </c>
      <c r="N130" s="6" t="s">
        <v>42</v>
      </c>
      <c r="O130" s="6"/>
      <c r="P130" s="6"/>
      <c r="Q130" s="6"/>
      <c r="R130" s="6"/>
      <c r="S130" s="7">
        <v>36639</v>
      </c>
      <c r="T130" s="7">
        <v>36639</v>
      </c>
      <c r="U130" s="7"/>
      <c r="V130" s="40" t="s">
        <v>347</v>
      </c>
      <c r="W130" s="75"/>
      <c r="X130" s="75"/>
      <c r="Y130" s="75"/>
      <c r="Z130" s="70"/>
      <c r="AA130" s="70"/>
      <c r="AB130" s="70"/>
      <c r="AC130" s="70"/>
      <c r="AD130" s="205"/>
    </row>
    <row r="131" spans="2:30" s="76" customFormat="1" ht="12" thickBot="1" x14ac:dyDescent="0.25">
      <c r="B131" s="313"/>
      <c r="C131" s="19"/>
      <c r="D131" s="5"/>
      <c r="E131" s="5"/>
      <c r="F131" s="5"/>
      <c r="G131" s="5"/>
      <c r="H131" s="105"/>
      <c r="I131" s="21"/>
      <c r="J131" s="5"/>
      <c r="K131" s="5"/>
      <c r="L131" s="22"/>
      <c r="M131" s="5"/>
      <c r="N131" s="5"/>
      <c r="O131" s="5"/>
      <c r="P131" s="5"/>
      <c r="Q131" s="5"/>
      <c r="R131" s="5"/>
      <c r="S131" s="132" t="s">
        <v>3317</v>
      </c>
      <c r="T131" s="5"/>
      <c r="U131" s="5"/>
      <c r="V131" s="5" t="s">
        <v>3318</v>
      </c>
      <c r="W131" s="90"/>
      <c r="X131" s="90"/>
      <c r="Y131" s="90"/>
      <c r="Z131" s="87"/>
      <c r="AA131" s="87"/>
      <c r="AB131" s="87"/>
      <c r="AC131" s="87"/>
      <c r="AD131" s="205"/>
    </row>
    <row r="132" spans="2:30" s="76" customFormat="1" x14ac:dyDescent="0.2">
      <c r="B132" s="315"/>
      <c r="C132" s="28"/>
      <c r="D132" s="30"/>
      <c r="E132" s="30"/>
      <c r="F132" s="30"/>
      <c r="G132" s="30"/>
      <c r="H132" s="217"/>
      <c r="I132" s="31"/>
      <c r="J132" s="30"/>
      <c r="K132" s="30"/>
      <c r="L132" s="32"/>
      <c r="M132" s="30"/>
      <c r="N132" s="30"/>
      <c r="O132" s="30"/>
      <c r="P132" s="30"/>
      <c r="Q132" s="30"/>
      <c r="R132" s="30"/>
      <c r="S132" s="126"/>
      <c r="T132" s="30"/>
      <c r="U132" s="30"/>
      <c r="V132" s="30"/>
      <c r="W132" s="99"/>
      <c r="X132" s="99"/>
      <c r="Y132" s="99"/>
      <c r="Z132" s="99"/>
      <c r="AA132" s="99"/>
      <c r="AB132" s="99"/>
      <c r="AC132" s="99"/>
      <c r="AD132" s="205"/>
    </row>
    <row r="133" spans="2:30" ht="12" thickBot="1" x14ac:dyDescent="0.25">
      <c r="W133" s="38"/>
      <c r="X133" s="38"/>
      <c r="Y133" s="38"/>
      <c r="Z133" s="37"/>
      <c r="AC133" s="38"/>
    </row>
    <row r="134" spans="2:30" s="76" customFormat="1" x14ac:dyDescent="0.2">
      <c r="B134" s="314"/>
      <c r="C134" s="11"/>
      <c r="D134" s="91"/>
      <c r="E134" s="91"/>
      <c r="F134" s="12"/>
      <c r="G134" s="12"/>
      <c r="H134" s="13"/>
      <c r="I134" s="14" t="s">
        <v>3275</v>
      </c>
      <c r="J134" s="12"/>
      <c r="K134" s="12"/>
      <c r="L134" s="15"/>
      <c r="M134" s="12"/>
      <c r="N134" s="34"/>
      <c r="O134" s="34"/>
      <c r="P134" s="34"/>
      <c r="Q134" s="34"/>
      <c r="R134" s="34"/>
      <c r="S134" s="34"/>
      <c r="T134" s="94"/>
      <c r="U134" s="94"/>
      <c r="V134" s="108"/>
      <c r="W134" s="82"/>
      <c r="X134" s="82"/>
      <c r="Y134" s="82"/>
      <c r="Z134" s="82"/>
      <c r="AA134" s="80"/>
      <c r="AB134" s="80"/>
      <c r="AC134" s="80"/>
      <c r="AD134" s="205"/>
    </row>
    <row r="135" spans="2:30" s="76" customFormat="1" x14ac:dyDescent="0.2">
      <c r="B135" s="312" t="s">
        <v>78</v>
      </c>
      <c r="C135" s="16" t="s">
        <v>3272</v>
      </c>
      <c r="D135" s="7"/>
      <c r="E135" s="7"/>
      <c r="F135" s="6" t="s">
        <v>3319</v>
      </c>
      <c r="G135" s="6"/>
      <c r="H135" s="17">
        <f>22990+320</f>
        <v>23310</v>
      </c>
      <c r="I135" s="39" t="s">
        <v>3270</v>
      </c>
      <c r="J135" s="7">
        <v>36574</v>
      </c>
      <c r="K135" s="7"/>
      <c r="L135" s="23" t="s">
        <v>3320</v>
      </c>
      <c r="M135" s="18" t="s">
        <v>280</v>
      </c>
      <c r="N135" s="47" t="s">
        <v>110</v>
      </c>
      <c r="O135" s="47"/>
      <c r="P135" s="47"/>
      <c r="Q135" s="47"/>
      <c r="R135" s="47"/>
      <c r="S135" s="35" t="s">
        <v>347</v>
      </c>
      <c r="T135" s="150"/>
      <c r="U135" s="150"/>
      <c r="V135" s="109" t="s">
        <v>347</v>
      </c>
      <c r="W135" s="75"/>
      <c r="X135" s="75"/>
      <c r="Y135" s="75"/>
      <c r="Z135" s="75"/>
      <c r="AA135" s="70"/>
      <c r="AB135" s="70"/>
      <c r="AC135" s="70"/>
      <c r="AD135" s="205"/>
    </row>
    <row r="136" spans="2:30" s="76" customFormat="1" ht="13.5" customHeight="1" thickBot="1" x14ac:dyDescent="0.25">
      <c r="B136" s="313"/>
      <c r="C136" s="19"/>
      <c r="D136" s="5"/>
      <c r="E136" s="5"/>
      <c r="F136" s="5"/>
      <c r="G136" s="5"/>
      <c r="H136" s="105"/>
      <c r="I136" s="21" t="s">
        <v>3234</v>
      </c>
      <c r="J136" s="5"/>
      <c r="K136" s="5"/>
      <c r="L136" s="22"/>
      <c r="M136" s="5"/>
      <c r="N136" s="36"/>
      <c r="O136" s="36"/>
      <c r="P136" s="36"/>
      <c r="Q136" s="36"/>
      <c r="R136" s="36"/>
      <c r="S136" s="95">
        <v>36630</v>
      </c>
      <c r="T136" s="96"/>
      <c r="U136" s="96"/>
      <c r="V136" s="133"/>
      <c r="W136" s="90"/>
      <c r="X136" s="90"/>
      <c r="Y136" s="90"/>
      <c r="Z136" s="90"/>
      <c r="AA136" s="87"/>
      <c r="AB136" s="87"/>
      <c r="AC136" s="87"/>
      <c r="AD136" s="205"/>
    </row>
    <row r="137" spans="2:30" s="76" customFormat="1" x14ac:dyDescent="0.2">
      <c r="B137" s="314"/>
      <c r="C137" s="11"/>
      <c r="D137" s="91"/>
      <c r="E137" s="91"/>
      <c r="F137" s="12"/>
      <c r="G137" s="12"/>
      <c r="H137" s="13"/>
      <c r="I137" s="14"/>
      <c r="J137" s="12"/>
      <c r="K137" s="12"/>
      <c r="L137" s="15"/>
      <c r="M137" s="12"/>
      <c r="N137" s="34"/>
      <c r="O137" s="34"/>
      <c r="P137" s="34"/>
      <c r="Q137" s="34"/>
      <c r="R137" s="34"/>
      <c r="S137" s="34"/>
      <c r="T137" s="94"/>
      <c r="U137" s="94"/>
      <c r="V137" s="108"/>
      <c r="W137" s="82"/>
      <c r="X137" s="82"/>
      <c r="Y137" s="82"/>
      <c r="Z137" s="82"/>
      <c r="AA137" s="80"/>
      <c r="AB137" s="80"/>
      <c r="AC137" s="80"/>
      <c r="AD137" s="205"/>
    </row>
    <row r="138" spans="2:30" s="76" customFormat="1" x14ac:dyDescent="0.2">
      <c r="B138" s="312" t="s">
        <v>78</v>
      </c>
      <c r="C138" s="16" t="s">
        <v>3165</v>
      </c>
      <c r="D138" s="7" t="s">
        <v>3321</v>
      </c>
      <c r="E138" s="7"/>
      <c r="F138" s="6">
        <v>115692</v>
      </c>
      <c r="G138" s="6"/>
      <c r="H138" s="17">
        <v>5630</v>
      </c>
      <c r="I138" s="39" t="s">
        <v>3184</v>
      </c>
      <c r="J138" s="7">
        <v>36579</v>
      </c>
      <c r="K138" s="7"/>
      <c r="L138" s="23">
        <v>36615</v>
      </c>
      <c r="M138" s="18" t="s">
        <v>280</v>
      </c>
      <c r="N138" s="47" t="s">
        <v>110</v>
      </c>
      <c r="O138" s="47"/>
      <c r="P138" s="47"/>
      <c r="Q138" s="47"/>
      <c r="R138" s="47"/>
      <c r="S138" s="35" t="s">
        <v>347</v>
      </c>
      <c r="T138" s="150"/>
      <c r="U138" s="150"/>
      <c r="V138" s="109" t="s">
        <v>347</v>
      </c>
      <c r="W138" s="75"/>
      <c r="X138" s="75"/>
      <c r="Y138" s="75"/>
      <c r="Z138" s="75"/>
      <c r="AA138" s="70"/>
      <c r="AB138" s="70"/>
      <c r="AC138" s="70"/>
      <c r="AD138" s="205"/>
    </row>
    <row r="139" spans="2:30" s="76" customFormat="1" ht="13.5" customHeight="1" thickBot="1" x14ac:dyDescent="0.25">
      <c r="B139" s="313"/>
      <c r="C139" s="19"/>
      <c r="D139" s="5"/>
      <c r="E139" s="5"/>
      <c r="F139" s="5"/>
      <c r="G139" s="5"/>
      <c r="H139" s="105"/>
      <c r="I139" s="21"/>
      <c r="J139" s="5"/>
      <c r="K139" s="5"/>
      <c r="L139" s="22"/>
      <c r="M139" s="5"/>
      <c r="N139" s="36"/>
      <c r="O139" s="36"/>
      <c r="P139" s="36"/>
      <c r="Q139" s="36"/>
      <c r="R139" s="36"/>
      <c r="S139" s="95">
        <v>36641</v>
      </c>
      <c r="T139" s="96" t="s">
        <v>3322</v>
      </c>
      <c r="U139" s="96"/>
      <c r="V139" s="68" t="s">
        <v>3323</v>
      </c>
      <c r="W139" s="90"/>
      <c r="X139" s="90"/>
      <c r="Y139" s="90"/>
      <c r="Z139" s="90"/>
      <c r="AA139" s="87"/>
      <c r="AB139" s="87"/>
      <c r="AC139" s="87"/>
      <c r="AD139" s="205"/>
    </row>
    <row r="140" spans="2:30" s="76" customFormat="1" x14ac:dyDescent="0.2">
      <c r="B140" s="314"/>
      <c r="C140" s="11"/>
      <c r="D140" s="91"/>
      <c r="E140" s="91"/>
      <c r="F140" s="12"/>
      <c r="G140" s="12"/>
      <c r="H140" s="13"/>
      <c r="I140" s="14"/>
      <c r="J140" s="12"/>
      <c r="K140" s="12"/>
      <c r="L140" s="15"/>
      <c r="M140" s="12"/>
      <c r="N140" s="34"/>
      <c r="O140" s="34"/>
      <c r="P140" s="34"/>
      <c r="Q140" s="34"/>
      <c r="R140" s="34"/>
      <c r="S140" s="34"/>
      <c r="T140" s="94"/>
      <c r="U140" s="94"/>
      <c r="V140" s="108"/>
      <c r="W140" s="82"/>
      <c r="X140" s="82"/>
      <c r="Y140" s="82"/>
      <c r="Z140" s="82"/>
      <c r="AA140" s="80"/>
      <c r="AB140" s="80"/>
      <c r="AC140" s="80"/>
      <c r="AD140" s="205"/>
    </row>
    <row r="141" spans="2:30" s="76" customFormat="1" x14ac:dyDescent="0.2">
      <c r="B141" s="312" t="s">
        <v>78</v>
      </c>
      <c r="C141" s="16" t="s">
        <v>3165</v>
      </c>
      <c r="D141" s="7" t="s">
        <v>3324</v>
      </c>
      <c r="E141" s="7"/>
      <c r="F141" s="6">
        <v>115659</v>
      </c>
      <c r="G141" s="6"/>
      <c r="H141" s="17">
        <v>20583</v>
      </c>
      <c r="I141" s="39" t="s">
        <v>3184</v>
      </c>
      <c r="J141" s="7">
        <v>36579</v>
      </c>
      <c r="K141" s="7"/>
      <c r="L141" s="23">
        <v>36634</v>
      </c>
      <c r="M141" s="18" t="s">
        <v>280</v>
      </c>
      <c r="N141" s="47" t="s">
        <v>110</v>
      </c>
      <c r="O141" s="47"/>
      <c r="P141" s="47"/>
      <c r="Q141" s="47"/>
      <c r="R141" s="47"/>
      <c r="S141" s="35" t="s">
        <v>347</v>
      </c>
      <c r="T141" s="150"/>
      <c r="U141" s="150"/>
      <c r="V141" s="109" t="s">
        <v>347</v>
      </c>
      <c r="W141" s="75"/>
      <c r="X141" s="75"/>
      <c r="Y141" s="75"/>
      <c r="Z141" s="75"/>
      <c r="AA141" s="70"/>
      <c r="AB141" s="70"/>
      <c r="AC141" s="70"/>
      <c r="AD141" s="205"/>
    </row>
    <row r="142" spans="2:30" s="76" customFormat="1" ht="13.5" customHeight="1" thickBot="1" x14ac:dyDescent="0.25">
      <c r="B142" s="313"/>
      <c r="C142" s="19"/>
      <c r="D142" s="5"/>
      <c r="E142" s="5"/>
      <c r="F142" s="5"/>
      <c r="G142" s="5"/>
      <c r="H142" s="105"/>
      <c r="I142" s="21"/>
      <c r="J142" s="5"/>
      <c r="K142" s="5"/>
      <c r="L142" s="22"/>
      <c r="M142" s="5"/>
      <c r="N142" s="36"/>
      <c r="O142" s="36"/>
      <c r="P142" s="36"/>
      <c r="Q142" s="36"/>
      <c r="R142" s="36"/>
      <c r="S142" s="95">
        <v>36658</v>
      </c>
      <c r="T142" s="96" t="s">
        <v>3325</v>
      </c>
      <c r="U142" s="96"/>
      <c r="V142" s="68" t="s">
        <v>3326</v>
      </c>
      <c r="W142" s="90"/>
      <c r="X142" s="90"/>
      <c r="Y142" s="90"/>
      <c r="Z142" s="90"/>
      <c r="AA142" s="87"/>
      <c r="AB142" s="87"/>
      <c r="AC142" s="87"/>
      <c r="AD142" s="205"/>
    </row>
    <row r="143" spans="2:30" s="76" customFormat="1" x14ac:dyDescent="0.2">
      <c r="B143" s="314"/>
      <c r="C143" s="11"/>
      <c r="D143" s="91"/>
      <c r="E143" s="91"/>
      <c r="F143" s="12"/>
      <c r="G143" s="12"/>
      <c r="H143" s="13"/>
      <c r="I143" s="14"/>
      <c r="J143" s="12"/>
      <c r="K143" s="12"/>
      <c r="L143" s="15"/>
      <c r="M143" s="12"/>
      <c r="N143" s="34"/>
      <c r="O143" s="34"/>
      <c r="P143" s="34"/>
      <c r="Q143" s="34"/>
      <c r="R143" s="34"/>
      <c r="S143" s="34"/>
      <c r="T143" s="94"/>
      <c r="U143" s="94"/>
      <c r="V143" s="108"/>
      <c r="W143" s="82"/>
      <c r="X143" s="82"/>
      <c r="Y143" s="82"/>
      <c r="Z143" s="82"/>
      <c r="AA143" s="80"/>
      <c r="AB143" s="80"/>
      <c r="AC143" s="80"/>
      <c r="AD143" s="205"/>
    </row>
    <row r="144" spans="2:30" s="76" customFormat="1" x14ac:dyDescent="0.2">
      <c r="B144" s="312" t="s">
        <v>78</v>
      </c>
      <c r="C144" s="16" t="s">
        <v>3165</v>
      </c>
      <c r="D144" s="7" t="s">
        <v>3321</v>
      </c>
      <c r="E144" s="7"/>
      <c r="F144" s="6">
        <v>115685</v>
      </c>
      <c r="G144" s="6"/>
      <c r="H144" s="17">
        <v>8630</v>
      </c>
      <c r="I144" s="39" t="s">
        <v>3184</v>
      </c>
      <c r="J144" s="7">
        <v>36579</v>
      </c>
      <c r="K144" s="7"/>
      <c r="L144" s="23">
        <v>36635</v>
      </c>
      <c r="M144" s="18" t="s">
        <v>280</v>
      </c>
      <c r="N144" s="47" t="s">
        <v>110</v>
      </c>
      <c r="O144" s="47"/>
      <c r="P144" s="47"/>
      <c r="Q144" s="47"/>
      <c r="R144" s="47"/>
      <c r="S144" s="35" t="s">
        <v>347</v>
      </c>
      <c r="T144" s="150"/>
      <c r="U144" s="150"/>
      <c r="V144" s="109" t="s">
        <v>347</v>
      </c>
      <c r="W144" s="75"/>
      <c r="X144" s="75"/>
      <c r="Y144" s="75"/>
      <c r="Z144" s="75"/>
      <c r="AA144" s="70"/>
      <c r="AB144" s="70"/>
      <c r="AC144" s="70"/>
      <c r="AD144" s="205"/>
    </row>
    <row r="145" spans="2:30" s="76" customFormat="1" ht="13.5" customHeight="1" thickBot="1" x14ac:dyDescent="0.25">
      <c r="B145" s="313"/>
      <c r="C145" s="19"/>
      <c r="D145" s="5"/>
      <c r="E145" s="5"/>
      <c r="F145" s="5"/>
      <c r="G145" s="5"/>
      <c r="H145" s="105"/>
      <c r="I145" s="21"/>
      <c r="J145" s="5"/>
      <c r="K145" s="5"/>
      <c r="L145" s="22"/>
      <c r="M145" s="5"/>
      <c r="N145" s="36"/>
      <c r="O145" s="36"/>
      <c r="P145" s="36"/>
      <c r="Q145" s="36"/>
      <c r="R145" s="36"/>
      <c r="S145" s="95">
        <v>36664</v>
      </c>
      <c r="T145" s="96" t="s">
        <v>3325</v>
      </c>
      <c r="U145" s="96"/>
      <c r="V145" s="68" t="s">
        <v>3327</v>
      </c>
      <c r="W145" s="90"/>
      <c r="X145" s="90"/>
      <c r="Y145" s="90"/>
      <c r="Z145" s="90"/>
      <c r="AA145" s="87"/>
      <c r="AB145" s="87"/>
      <c r="AC145" s="87"/>
      <c r="AD145" s="205"/>
    </row>
    <row r="146" spans="2:30" s="76" customFormat="1" x14ac:dyDescent="0.2">
      <c r="B146" s="314"/>
      <c r="C146" s="11"/>
      <c r="D146" s="91"/>
      <c r="E146" s="91"/>
      <c r="F146" s="12"/>
      <c r="G146" s="12"/>
      <c r="H146" s="13"/>
      <c r="I146" s="13"/>
      <c r="J146" s="12"/>
      <c r="K146" s="12"/>
      <c r="L146" s="15"/>
      <c r="M146" s="12"/>
      <c r="N146" s="12"/>
      <c r="O146" s="12"/>
      <c r="P146" s="12"/>
      <c r="Q146" s="12"/>
      <c r="R146" s="12"/>
      <c r="S146" s="12"/>
      <c r="T146" s="12"/>
      <c r="U146" s="12"/>
      <c r="V146" s="80"/>
      <c r="W146" s="80"/>
      <c r="X146" s="82"/>
      <c r="Y146" s="82"/>
      <c r="Z146" s="80"/>
      <c r="AA146" s="80"/>
      <c r="AB146" s="80"/>
      <c r="AC146" s="80"/>
      <c r="AD146" s="205"/>
    </row>
    <row r="147" spans="2:30" s="76" customFormat="1" x14ac:dyDescent="0.2">
      <c r="B147" s="312" t="s">
        <v>78</v>
      </c>
      <c r="C147" s="16" t="s">
        <v>3165</v>
      </c>
      <c r="D147" s="7" t="s">
        <v>3328</v>
      </c>
      <c r="E147" s="7"/>
      <c r="F147" s="6">
        <v>116159</v>
      </c>
      <c r="G147" s="6"/>
      <c r="H147" s="17">
        <v>85721</v>
      </c>
      <c r="I147" s="39" t="s">
        <v>3184</v>
      </c>
      <c r="J147" s="7">
        <v>36619</v>
      </c>
      <c r="K147" s="7"/>
      <c r="L147" s="23">
        <v>36660</v>
      </c>
      <c r="M147" s="18" t="s">
        <v>3298</v>
      </c>
      <c r="N147" s="6" t="s">
        <v>42</v>
      </c>
      <c r="O147" s="6"/>
      <c r="P147" s="6"/>
      <c r="Q147" s="6"/>
      <c r="R147" s="6"/>
      <c r="S147" s="7">
        <v>36653</v>
      </c>
      <c r="T147" s="7">
        <v>36661</v>
      </c>
      <c r="U147" s="7"/>
      <c r="V147" s="40" t="s">
        <v>3329</v>
      </c>
      <c r="W147" s="70">
        <v>600</v>
      </c>
      <c r="X147" s="75"/>
      <c r="Y147" s="75"/>
      <c r="Z147" s="6">
        <v>6640171941</v>
      </c>
      <c r="AA147" s="70" t="s">
        <v>318</v>
      </c>
      <c r="AB147" s="70" t="s">
        <v>211</v>
      </c>
      <c r="AC147" s="73"/>
      <c r="AD147" s="205"/>
    </row>
    <row r="148" spans="2:30" s="76" customFormat="1" ht="12" thickBot="1" x14ac:dyDescent="0.25">
      <c r="B148" s="313"/>
      <c r="C148" s="19"/>
      <c r="D148" s="5"/>
      <c r="E148" s="5"/>
      <c r="F148" s="5"/>
      <c r="G148" s="5"/>
      <c r="H148" s="105"/>
      <c r="I148" s="21"/>
      <c r="J148" s="5"/>
      <c r="K148" s="5"/>
      <c r="L148" s="22"/>
      <c r="M148" s="5"/>
      <c r="N148" s="5"/>
      <c r="O148" s="5"/>
      <c r="P148" s="5"/>
      <c r="Q148" s="5"/>
      <c r="R148" s="5"/>
      <c r="S148" s="27" t="s">
        <v>296</v>
      </c>
      <c r="T148" s="5" t="s">
        <v>3330</v>
      </c>
      <c r="U148" s="5"/>
      <c r="V148" s="5" t="s">
        <v>3331</v>
      </c>
      <c r="W148" s="87">
        <v>601</v>
      </c>
      <c r="X148" s="90"/>
      <c r="Y148" s="90"/>
      <c r="Z148" s="87"/>
      <c r="AA148" s="87"/>
      <c r="AB148" s="87"/>
      <c r="AC148" s="87"/>
      <c r="AD148" s="205"/>
    </row>
    <row r="149" spans="2:30" s="76" customFormat="1" x14ac:dyDescent="0.2">
      <c r="B149" s="314"/>
      <c r="C149" s="11"/>
      <c r="D149" s="91"/>
      <c r="E149" s="91"/>
      <c r="F149" s="12"/>
      <c r="G149" s="12"/>
      <c r="H149" s="13"/>
      <c r="I149" s="13"/>
      <c r="J149" s="12"/>
      <c r="K149" s="12"/>
      <c r="L149" s="15"/>
      <c r="M149" s="12"/>
      <c r="N149" s="12"/>
      <c r="O149" s="12"/>
      <c r="P149" s="12"/>
      <c r="Q149" s="12"/>
      <c r="R149" s="12"/>
      <c r="S149" s="12"/>
      <c r="T149" s="12"/>
      <c r="U149" s="12"/>
      <c r="V149" s="80"/>
      <c r="W149" s="80"/>
      <c r="X149" s="82"/>
      <c r="Y149" s="82"/>
      <c r="Z149" s="80"/>
      <c r="AA149" s="80"/>
      <c r="AB149" s="80"/>
      <c r="AC149" s="80"/>
      <c r="AD149" s="205"/>
    </row>
    <row r="150" spans="2:30" s="76" customFormat="1" x14ac:dyDescent="0.2">
      <c r="B150" s="312" t="s">
        <v>78</v>
      </c>
      <c r="C150" s="16" t="s">
        <v>3165</v>
      </c>
      <c r="D150" s="7" t="s">
        <v>3332</v>
      </c>
      <c r="E150" s="7"/>
      <c r="F150" s="6">
        <v>115913</v>
      </c>
      <c r="G150" s="6"/>
      <c r="H150" s="17">
        <v>8436</v>
      </c>
      <c r="I150" s="39" t="s">
        <v>3184</v>
      </c>
      <c r="J150" s="7">
        <v>36599</v>
      </c>
      <c r="K150" s="7"/>
      <c r="L150" s="23">
        <v>36656</v>
      </c>
      <c r="M150" s="18" t="s">
        <v>3298</v>
      </c>
      <c r="N150" s="6" t="s">
        <v>42</v>
      </c>
      <c r="O150" s="6"/>
      <c r="P150" s="6"/>
      <c r="Q150" s="6"/>
      <c r="R150" s="6"/>
      <c r="S150" s="7" t="s">
        <v>3098</v>
      </c>
      <c r="T150" s="7">
        <v>36656</v>
      </c>
      <c r="U150" s="7"/>
      <c r="V150" s="40" t="s">
        <v>3329</v>
      </c>
      <c r="W150" s="70">
        <v>596</v>
      </c>
      <c r="X150" s="75"/>
      <c r="Y150" s="75"/>
      <c r="Z150" s="70"/>
      <c r="AA150" s="70"/>
      <c r="AB150" s="70" t="s">
        <v>211</v>
      </c>
      <c r="AC150" s="73"/>
      <c r="AD150" s="205"/>
    </row>
    <row r="151" spans="2:30" s="76" customFormat="1" ht="12" thickBot="1" x14ac:dyDescent="0.25">
      <c r="B151" s="313"/>
      <c r="C151" s="19"/>
      <c r="D151" s="5"/>
      <c r="E151" s="5"/>
      <c r="F151" s="5"/>
      <c r="G151" s="5"/>
      <c r="H151" s="105"/>
      <c r="I151" s="21"/>
      <c r="J151" s="5"/>
      <c r="K151" s="5"/>
      <c r="L151" s="22"/>
      <c r="M151" s="5"/>
      <c r="N151" s="5"/>
      <c r="O151" s="5"/>
      <c r="P151" s="5"/>
      <c r="Q151" s="5"/>
      <c r="R151" s="5"/>
      <c r="S151" s="132"/>
      <c r="T151" s="5"/>
      <c r="U151" s="5"/>
      <c r="V151" s="5" t="s">
        <v>270</v>
      </c>
      <c r="W151" s="87"/>
      <c r="X151" s="90"/>
      <c r="Y151" s="90"/>
      <c r="Z151" s="87"/>
      <c r="AA151" s="87"/>
      <c r="AB151" s="87"/>
      <c r="AC151" s="87"/>
      <c r="AD151" s="205"/>
    </row>
    <row r="152" spans="2:30" s="76" customFormat="1" x14ac:dyDescent="0.2">
      <c r="B152" s="314"/>
      <c r="C152" s="11"/>
      <c r="D152" s="91"/>
      <c r="E152" s="91"/>
      <c r="F152" s="12"/>
      <c r="G152" s="12"/>
      <c r="H152" s="13"/>
      <c r="I152" s="13"/>
      <c r="J152" s="12"/>
      <c r="K152" s="12"/>
      <c r="L152" s="15"/>
      <c r="M152" s="12"/>
      <c r="N152" s="12"/>
      <c r="O152" s="12"/>
      <c r="P152" s="12"/>
      <c r="Q152" s="12"/>
      <c r="R152" s="12"/>
      <c r="S152" s="12"/>
      <c r="T152" s="12"/>
      <c r="U152" s="12"/>
      <c r="V152" s="80"/>
      <c r="W152" s="80"/>
      <c r="X152" s="82"/>
      <c r="Y152" s="82"/>
      <c r="Z152" s="12"/>
      <c r="AA152" s="80"/>
      <c r="AB152" s="80"/>
      <c r="AC152" s="80"/>
      <c r="AD152" s="205"/>
    </row>
    <row r="153" spans="2:30" s="76" customFormat="1" x14ac:dyDescent="0.2">
      <c r="B153" s="312" t="s">
        <v>78</v>
      </c>
      <c r="C153" s="16" t="s">
        <v>3165</v>
      </c>
      <c r="D153" s="7" t="s">
        <v>3333</v>
      </c>
      <c r="E153" s="7"/>
      <c r="F153" s="6">
        <v>116240</v>
      </c>
      <c r="G153" s="6"/>
      <c r="H153" s="17">
        <v>29592.75</v>
      </c>
      <c r="I153" s="39" t="s">
        <v>3184</v>
      </c>
      <c r="J153" s="7">
        <v>36622</v>
      </c>
      <c r="K153" s="7"/>
      <c r="L153" s="23">
        <v>36681</v>
      </c>
      <c r="M153" s="18" t="s">
        <v>3298</v>
      </c>
      <c r="N153" s="6" t="s">
        <v>42</v>
      </c>
      <c r="O153" s="6"/>
      <c r="P153" s="6"/>
      <c r="Q153" s="6"/>
      <c r="R153" s="6"/>
      <c r="S153" s="7">
        <v>36675</v>
      </c>
      <c r="T153" s="7">
        <v>36684</v>
      </c>
      <c r="U153" s="7"/>
      <c r="V153" s="40" t="s">
        <v>3329</v>
      </c>
      <c r="W153" s="70">
        <v>604</v>
      </c>
      <c r="X153" s="75"/>
      <c r="Y153" s="75"/>
      <c r="Z153" s="6">
        <v>6638142840</v>
      </c>
      <c r="AA153" s="70"/>
      <c r="AB153" s="70" t="s">
        <v>211</v>
      </c>
      <c r="AC153" s="73"/>
      <c r="AD153" s="205"/>
    </row>
    <row r="154" spans="2:30" s="76" customFormat="1" ht="12" thickBot="1" x14ac:dyDescent="0.25">
      <c r="B154" s="313"/>
      <c r="C154" s="19"/>
      <c r="D154" s="5"/>
      <c r="E154" s="5"/>
      <c r="F154" s="5"/>
      <c r="G154" s="5"/>
      <c r="H154" s="105"/>
      <c r="I154" s="21"/>
      <c r="J154" s="5"/>
      <c r="K154" s="5"/>
      <c r="L154" s="22"/>
      <c r="M154" s="5"/>
      <c r="N154" s="5"/>
      <c r="O154" s="5"/>
      <c r="P154" s="5"/>
      <c r="Q154" s="5"/>
      <c r="R154" s="5"/>
      <c r="S154" s="27" t="s">
        <v>296</v>
      </c>
      <c r="T154" s="5"/>
      <c r="U154" s="5"/>
      <c r="V154" s="5" t="s">
        <v>597</v>
      </c>
      <c r="W154" s="87"/>
      <c r="X154" s="90"/>
      <c r="Y154" s="90"/>
      <c r="Z154" s="5"/>
      <c r="AA154" s="87"/>
      <c r="AB154" s="87"/>
      <c r="AC154" s="4"/>
      <c r="AD154" s="205"/>
    </row>
    <row r="155" spans="2:30" s="76" customFormat="1" x14ac:dyDescent="0.2">
      <c r="B155" s="314"/>
      <c r="C155" s="11"/>
      <c r="D155" s="91"/>
      <c r="E155" s="91"/>
      <c r="F155" s="12"/>
      <c r="G155" s="12"/>
      <c r="H155" s="13"/>
      <c r="I155" s="13"/>
      <c r="J155" s="12"/>
      <c r="K155" s="12"/>
      <c r="L155" s="15"/>
      <c r="M155" s="12"/>
      <c r="N155" s="12"/>
      <c r="O155" s="12"/>
      <c r="P155" s="12"/>
      <c r="Q155" s="12"/>
      <c r="R155" s="12"/>
      <c r="S155" s="12"/>
      <c r="T155" s="12"/>
      <c r="U155" s="12"/>
      <c r="V155" s="80"/>
      <c r="W155" s="80"/>
      <c r="X155" s="82"/>
      <c r="Y155" s="82"/>
      <c r="Z155" s="12"/>
      <c r="AA155" s="80"/>
      <c r="AB155" s="80"/>
      <c r="AC155" s="8"/>
      <c r="AD155" s="205"/>
    </row>
    <row r="156" spans="2:30" s="76" customFormat="1" x14ac:dyDescent="0.2">
      <c r="B156" s="312" t="s">
        <v>78</v>
      </c>
      <c r="C156" s="16" t="s">
        <v>3165</v>
      </c>
      <c r="D156" s="7" t="s">
        <v>3334</v>
      </c>
      <c r="E156" s="7"/>
      <c r="F156" s="6">
        <v>116366</v>
      </c>
      <c r="G156" s="6"/>
      <c r="H156" s="17">
        <v>11389</v>
      </c>
      <c r="I156" s="39" t="s">
        <v>3184</v>
      </c>
      <c r="J156" s="7">
        <v>36628</v>
      </c>
      <c r="K156" s="7"/>
      <c r="L156" s="23">
        <v>36688</v>
      </c>
      <c r="M156" s="18" t="s">
        <v>3298</v>
      </c>
      <c r="N156" s="6" t="s">
        <v>42</v>
      </c>
      <c r="O156" s="6"/>
      <c r="P156" s="6"/>
      <c r="Q156" s="6"/>
      <c r="R156" s="6"/>
      <c r="S156" s="7">
        <v>36675</v>
      </c>
      <c r="T156" s="7">
        <v>36684</v>
      </c>
      <c r="U156" s="7"/>
      <c r="V156" s="40" t="s">
        <v>3329</v>
      </c>
      <c r="W156" s="70">
        <v>605</v>
      </c>
      <c r="X156" s="75"/>
      <c r="Y156" s="75"/>
      <c r="Z156" s="6">
        <v>6638142840</v>
      </c>
      <c r="AA156" s="70"/>
      <c r="AB156" s="70" t="s">
        <v>211</v>
      </c>
      <c r="AC156" s="73"/>
      <c r="AD156" s="205"/>
    </row>
    <row r="157" spans="2:30" s="76" customFormat="1" ht="12" thickBot="1" x14ac:dyDescent="0.25">
      <c r="B157" s="313"/>
      <c r="C157" s="19"/>
      <c r="D157" s="5"/>
      <c r="E157" s="5"/>
      <c r="F157" s="5"/>
      <c r="G157" s="5"/>
      <c r="H157" s="105"/>
      <c r="I157" s="21"/>
      <c r="J157" s="5"/>
      <c r="K157" s="5"/>
      <c r="L157" s="22"/>
      <c r="M157" s="5"/>
      <c r="N157" s="5"/>
      <c r="O157" s="5"/>
      <c r="P157" s="5"/>
      <c r="Q157" s="5"/>
      <c r="R157" s="5"/>
      <c r="S157" s="27" t="s">
        <v>296</v>
      </c>
      <c r="T157" s="5"/>
      <c r="U157" s="5"/>
      <c r="V157" s="5" t="s">
        <v>597</v>
      </c>
      <c r="W157" s="87"/>
      <c r="X157" s="90"/>
      <c r="Y157" s="90"/>
      <c r="Z157" s="87"/>
      <c r="AA157" s="87"/>
      <c r="AB157" s="87"/>
      <c r="AC157" s="4"/>
      <c r="AD157" s="205"/>
    </row>
    <row r="158" spans="2:30" s="76" customFormat="1" x14ac:dyDescent="0.2">
      <c r="B158" s="314"/>
      <c r="C158" s="11"/>
      <c r="D158" s="91"/>
      <c r="E158" s="91"/>
      <c r="F158" s="12"/>
      <c r="G158" s="12"/>
      <c r="H158" s="13"/>
      <c r="I158" s="13"/>
      <c r="J158" s="12"/>
      <c r="K158" s="12"/>
      <c r="L158" s="15"/>
      <c r="M158" s="12"/>
      <c r="N158" s="12"/>
      <c r="O158" s="12"/>
      <c r="P158" s="12"/>
      <c r="Q158" s="12"/>
      <c r="R158" s="12"/>
      <c r="S158" s="12"/>
      <c r="T158" s="12"/>
      <c r="U158" s="12"/>
      <c r="V158" s="80"/>
      <c r="W158" s="80"/>
      <c r="X158" s="82"/>
      <c r="Y158" s="82"/>
      <c r="Z158" s="80"/>
      <c r="AA158" s="80"/>
      <c r="AB158" s="80"/>
      <c r="AC158" s="80"/>
      <c r="AD158" s="205"/>
    </row>
    <row r="159" spans="2:30" s="76" customFormat="1" x14ac:dyDescent="0.2">
      <c r="B159" s="312" t="s">
        <v>78</v>
      </c>
      <c r="C159" s="16" t="s">
        <v>3165</v>
      </c>
      <c r="D159" s="7" t="s">
        <v>3335</v>
      </c>
      <c r="E159" s="7"/>
      <c r="F159" s="6">
        <v>116863</v>
      </c>
      <c r="G159" s="6"/>
      <c r="H159" s="17">
        <v>8900</v>
      </c>
      <c r="I159" s="39" t="s">
        <v>3184</v>
      </c>
      <c r="J159" s="7">
        <v>36658</v>
      </c>
      <c r="K159" s="7"/>
      <c r="L159" s="23">
        <v>36701</v>
      </c>
      <c r="M159" s="18" t="s">
        <v>3298</v>
      </c>
      <c r="N159" s="6" t="s">
        <v>42</v>
      </c>
      <c r="O159" s="6"/>
      <c r="P159" s="6"/>
      <c r="Q159" s="6"/>
      <c r="R159" s="6"/>
      <c r="S159" s="7">
        <v>36693</v>
      </c>
      <c r="T159" s="7">
        <v>36703</v>
      </c>
      <c r="U159" s="7"/>
      <c r="V159" s="40" t="s">
        <v>3329</v>
      </c>
      <c r="W159" s="70">
        <v>607</v>
      </c>
      <c r="X159" s="75"/>
      <c r="Y159" s="75"/>
      <c r="Z159" s="70">
        <v>6638142884</v>
      </c>
      <c r="AA159" s="70"/>
      <c r="AB159" s="70" t="s">
        <v>211</v>
      </c>
      <c r="AC159" s="73"/>
      <c r="AD159" s="205"/>
    </row>
    <row r="160" spans="2:30" s="76" customFormat="1" ht="12" thickBot="1" x14ac:dyDescent="0.25">
      <c r="B160" s="313"/>
      <c r="C160" s="19"/>
      <c r="D160" s="5"/>
      <c r="E160" s="5"/>
      <c r="F160" s="5"/>
      <c r="G160" s="5"/>
      <c r="H160" s="105"/>
      <c r="I160" s="21"/>
      <c r="J160" s="5"/>
      <c r="K160" s="5"/>
      <c r="L160" s="22"/>
      <c r="M160" s="5"/>
      <c r="N160" s="5"/>
      <c r="O160" s="5"/>
      <c r="P160" s="5"/>
      <c r="Q160" s="5"/>
      <c r="R160" s="5"/>
      <c r="S160" s="132" t="s">
        <v>647</v>
      </c>
      <c r="T160" s="5"/>
      <c r="U160" s="5"/>
      <c r="V160" s="5" t="s">
        <v>597</v>
      </c>
      <c r="W160" s="87"/>
      <c r="X160" s="90"/>
      <c r="Y160" s="90"/>
      <c r="Z160" s="87"/>
      <c r="AA160" s="87"/>
      <c r="AB160" s="87"/>
      <c r="AC160" s="4"/>
      <c r="AD160" s="205"/>
    </row>
    <row r="161" spans="2:30" s="76" customFormat="1" x14ac:dyDescent="0.2">
      <c r="B161" s="314"/>
      <c r="C161" s="11"/>
      <c r="D161" s="12"/>
      <c r="E161" s="12"/>
      <c r="F161" s="12"/>
      <c r="G161" s="12"/>
      <c r="H161" s="504"/>
      <c r="I161" s="14"/>
      <c r="J161" s="12"/>
      <c r="K161" s="12"/>
      <c r="L161" s="15"/>
      <c r="M161" s="12"/>
      <c r="N161" s="12"/>
      <c r="O161" s="12"/>
      <c r="P161" s="12"/>
      <c r="Q161" s="12"/>
      <c r="R161" s="12"/>
      <c r="S161" s="141"/>
      <c r="T161" s="12"/>
      <c r="U161" s="12"/>
      <c r="V161" s="12"/>
      <c r="W161" s="80"/>
      <c r="X161" s="82"/>
      <c r="Y161" s="82"/>
      <c r="Z161" s="80"/>
      <c r="AA161" s="80"/>
      <c r="AB161" s="80"/>
      <c r="AC161" s="8"/>
      <c r="AD161" s="205"/>
    </row>
    <row r="162" spans="2:30" s="76" customFormat="1" x14ac:dyDescent="0.2">
      <c r="B162" s="312" t="s">
        <v>78</v>
      </c>
      <c r="C162" s="16" t="s">
        <v>3165</v>
      </c>
      <c r="D162" s="6" t="s">
        <v>3336</v>
      </c>
      <c r="E162" s="6"/>
      <c r="F162" s="6">
        <v>116495</v>
      </c>
      <c r="G162" s="6"/>
      <c r="H162" s="17">
        <v>7347</v>
      </c>
      <c r="I162" s="39" t="s">
        <v>3184</v>
      </c>
      <c r="J162" s="7">
        <v>36657</v>
      </c>
      <c r="K162" s="7"/>
      <c r="L162" s="23">
        <v>36718</v>
      </c>
      <c r="M162" s="18" t="s">
        <v>3298</v>
      </c>
      <c r="N162" s="6" t="s">
        <v>42</v>
      </c>
      <c r="O162" s="6"/>
      <c r="P162" s="6"/>
      <c r="Q162" s="6"/>
      <c r="R162" s="6"/>
      <c r="S162" s="142">
        <v>36710</v>
      </c>
      <c r="T162" s="7">
        <v>36718</v>
      </c>
      <c r="U162" s="7"/>
      <c r="V162" s="40" t="s">
        <v>3329</v>
      </c>
      <c r="W162" s="70">
        <v>609</v>
      </c>
      <c r="X162" s="75"/>
      <c r="Y162" s="75"/>
      <c r="Z162" s="70">
        <v>6638142884</v>
      </c>
      <c r="AA162" s="70"/>
      <c r="AB162" s="70" t="s">
        <v>211</v>
      </c>
      <c r="AC162" s="73"/>
      <c r="AD162" s="205"/>
    </row>
    <row r="163" spans="2:30" s="76" customFormat="1" ht="12" thickBot="1" x14ac:dyDescent="0.25">
      <c r="B163" s="313"/>
      <c r="C163" s="19"/>
      <c r="D163" s="5"/>
      <c r="E163" s="5"/>
      <c r="F163" s="5"/>
      <c r="G163" s="5"/>
      <c r="H163" s="105"/>
      <c r="I163" s="21"/>
      <c r="J163" s="5"/>
      <c r="K163" s="5"/>
      <c r="L163" s="22"/>
      <c r="M163" s="5"/>
      <c r="N163" s="5"/>
      <c r="O163" s="5"/>
      <c r="P163" s="5"/>
      <c r="Q163" s="5"/>
      <c r="R163" s="5"/>
      <c r="S163" s="132" t="s">
        <v>647</v>
      </c>
      <c r="T163" s="5"/>
      <c r="U163" s="5"/>
      <c r="V163" s="5" t="s">
        <v>597</v>
      </c>
      <c r="W163" s="87"/>
      <c r="X163" s="90"/>
      <c r="Y163" s="90"/>
      <c r="Z163" s="87"/>
      <c r="AA163" s="87"/>
      <c r="AB163" s="87"/>
      <c r="AC163" s="87"/>
      <c r="AD163" s="205"/>
    </row>
    <row r="164" spans="2:30" s="76" customFormat="1" x14ac:dyDescent="0.2">
      <c r="B164" s="314"/>
      <c r="C164" s="11"/>
      <c r="D164" s="12"/>
      <c r="E164" s="12"/>
      <c r="F164" s="12"/>
      <c r="G164" s="12"/>
      <c r="H164" s="504"/>
      <c r="I164" s="14"/>
      <c r="J164" s="12"/>
      <c r="K164" s="12"/>
      <c r="L164" s="15"/>
      <c r="M164" s="12"/>
      <c r="N164" s="12"/>
      <c r="O164" s="12"/>
      <c r="P164" s="12"/>
      <c r="Q164" s="12"/>
      <c r="R164" s="12"/>
      <c r="S164" s="141"/>
      <c r="T164" s="12"/>
      <c r="U164" s="12"/>
      <c r="V164" s="12"/>
      <c r="W164" s="80"/>
      <c r="X164" s="82"/>
      <c r="Y164" s="82"/>
      <c r="Z164" s="80"/>
      <c r="AA164" s="80"/>
      <c r="AB164" s="80"/>
      <c r="AC164" s="80"/>
      <c r="AD164" s="205"/>
    </row>
    <row r="165" spans="2:30" s="76" customFormat="1" x14ac:dyDescent="0.2">
      <c r="B165" s="312" t="s">
        <v>78</v>
      </c>
      <c r="C165" s="16" t="s">
        <v>79</v>
      </c>
      <c r="D165" s="6" t="s">
        <v>3337</v>
      </c>
      <c r="E165" s="6"/>
      <c r="F165" s="6" t="s">
        <v>3338</v>
      </c>
      <c r="G165" s="6"/>
      <c r="H165" s="17">
        <f>2700+80+480</f>
        <v>3260</v>
      </c>
      <c r="I165" s="39" t="s">
        <v>3234</v>
      </c>
      <c r="J165" s="7">
        <v>36693</v>
      </c>
      <c r="K165" s="7"/>
      <c r="L165" s="23" t="s">
        <v>3224</v>
      </c>
      <c r="M165" s="18" t="s">
        <v>3339</v>
      </c>
      <c r="N165" s="6" t="s">
        <v>110</v>
      </c>
      <c r="O165" s="6"/>
      <c r="P165" s="6"/>
      <c r="Q165" s="6"/>
      <c r="R165" s="6"/>
      <c r="S165" s="142">
        <v>36714</v>
      </c>
      <c r="T165" s="7">
        <v>36721</v>
      </c>
      <c r="U165" s="7"/>
      <c r="V165" s="40" t="s">
        <v>3340</v>
      </c>
      <c r="W165" s="70">
        <v>611</v>
      </c>
      <c r="X165" s="75"/>
      <c r="Y165" s="75"/>
      <c r="Z165" s="70">
        <v>6638142991</v>
      </c>
      <c r="AA165" s="70"/>
      <c r="AB165" s="70" t="s">
        <v>211</v>
      </c>
      <c r="AC165" s="70"/>
      <c r="AD165" s="205"/>
    </row>
    <row r="166" spans="2:30" s="76" customFormat="1" ht="12" thickBot="1" x14ac:dyDescent="0.25">
      <c r="B166" s="313"/>
      <c r="C166" s="19"/>
      <c r="D166" s="5"/>
      <c r="E166" s="5"/>
      <c r="F166" s="5"/>
      <c r="G166" s="5"/>
      <c r="H166" s="105"/>
      <c r="I166" s="21"/>
      <c r="J166" s="5"/>
      <c r="K166" s="5"/>
      <c r="L166" s="22"/>
      <c r="M166" s="5"/>
      <c r="N166" s="5"/>
      <c r="O166" s="5"/>
      <c r="P166" s="5"/>
      <c r="Q166" s="5"/>
      <c r="R166" s="5"/>
      <c r="S166" s="132" t="s">
        <v>647</v>
      </c>
      <c r="T166" s="5" t="s">
        <v>3250</v>
      </c>
      <c r="U166" s="5"/>
      <c r="V166" s="5" t="s">
        <v>3341</v>
      </c>
      <c r="W166" s="87"/>
      <c r="X166" s="90"/>
      <c r="Y166" s="90"/>
      <c r="Z166" s="87"/>
      <c r="AA166" s="87"/>
      <c r="AB166" s="87"/>
      <c r="AC166" s="87"/>
      <c r="AD166" s="205"/>
    </row>
    <row r="167" spans="2:30" s="76" customFormat="1" x14ac:dyDescent="0.2">
      <c r="B167" s="314"/>
      <c r="C167" s="11"/>
      <c r="D167" s="12"/>
      <c r="E167" s="12"/>
      <c r="F167" s="12"/>
      <c r="G167" s="12"/>
      <c r="H167" s="504"/>
      <c r="I167" s="14"/>
      <c r="J167" s="12"/>
      <c r="K167" s="12"/>
      <c r="L167" s="15"/>
      <c r="M167" s="12"/>
      <c r="N167" s="12"/>
      <c r="O167" s="12"/>
      <c r="P167" s="12"/>
      <c r="Q167" s="12"/>
      <c r="R167" s="12"/>
      <c r="S167" s="141"/>
      <c r="T167" s="12"/>
      <c r="U167" s="12"/>
      <c r="V167" s="12"/>
      <c r="W167" s="80"/>
      <c r="X167" s="82"/>
      <c r="Y167" s="82"/>
      <c r="Z167" s="80"/>
      <c r="AA167" s="80"/>
      <c r="AB167" s="80"/>
      <c r="AC167" s="80"/>
      <c r="AD167" s="205"/>
    </row>
    <row r="168" spans="2:30" s="76" customFormat="1" x14ac:dyDescent="0.2">
      <c r="B168" s="312" t="s">
        <v>78</v>
      </c>
      <c r="C168" s="16" t="s">
        <v>79</v>
      </c>
      <c r="D168" s="6" t="s">
        <v>3342</v>
      </c>
      <c r="E168" s="6"/>
      <c r="F168" s="6" t="s">
        <v>3343</v>
      </c>
      <c r="G168" s="6"/>
      <c r="H168" s="17">
        <f>102520+3040</f>
        <v>105560</v>
      </c>
      <c r="I168" s="39" t="s">
        <v>3275</v>
      </c>
      <c r="J168" s="7">
        <v>36697</v>
      </c>
      <c r="K168" s="7"/>
      <c r="L168" s="23" t="s">
        <v>3344</v>
      </c>
      <c r="M168" s="18" t="s">
        <v>3298</v>
      </c>
      <c r="N168" s="6" t="s">
        <v>42</v>
      </c>
      <c r="O168" s="6"/>
      <c r="P168" s="6"/>
      <c r="Q168" s="6"/>
      <c r="R168" s="6"/>
      <c r="S168" s="142">
        <v>36763</v>
      </c>
      <c r="T168" s="7">
        <v>36772</v>
      </c>
      <c r="U168" s="7"/>
      <c r="V168" s="40" t="s">
        <v>3345</v>
      </c>
      <c r="W168" s="70">
        <v>628</v>
      </c>
      <c r="X168" s="75"/>
      <c r="Y168" s="75"/>
      <c r="Z168" s="70">
        <v>6638142932</v>
      </c>
      <c r="AA168" s="70"/>
      <c r="AB168" s="70" t="s">
        <v>211</v>
      </c>
      <c r="AC168" s="70"/>
      <c r="AD168" s="205"/>
    </row>
    <row r="169" spans="2:30" s="76" customFormat="1" ht="12" thickBot="1" x14ac:dyDescent="0.25">
      <c r="B169" s="313"/>
      <c r="C169" s="19"/>
      <c r="D169" s="5"/>
      <c r="E169" s="5"/>
      <c r="F169" s="5"/>
      <c r="G169" s="5"/>
      <c r="H169" s="105"/>
      <c r="I169" s="21"/>
      <c r="J169" s="5"/>
      <c r="K169" s="5"/>
      <c r="L169" s="22"/>
      <c r="M169" s="5"/>
      <c r="N169" s="5"/>
      <c r="O169" s="5"/>
      <c r="P169" s="5"/>
      <c r="Q169" s="5"/>
      <c r="R169" s="5"/>
      <c r="S169" s="132" t="s">
        <v>296</v>
      </c>
      <c r="T169" s="5"/>
      <c r="U169" s="5"/>
      <c r="V169" s="5" t="s">
        <v>3346</v>
      </c>
      <c r="W169" s="87"/>
      <c r="X169" s="90"/>
      <c r="Y169" s="90"/>
      <c r="Z169" s="87"/>
      <c r="AA169" s="87"/>
      <c r="AB169" s="130" t="s">
        <v>3347</v>
      </c>
      <c r="AC169" s="130"/>
      <c r="AD169" s="205"/>
    </row>
    <row r="170" spans="2:30" s="76" customFormat="1" x14ac:dyDescent="0.2">
      <c r="B170" s="314"/>
      <c r="C170" s="11"/>
      <c r="D170" s="12"/>
      <c r="E170" s="12"/>
      <c r="F170" s="12"/>
      <c r="G170" s="12"/>
      <c r="H170" s="504"/>
      <c r="I170" s="14"/>
      <c r="J170" s="12"/>
      <c r="K170" s="12"/>
      <c r="L170" s="15"/>
      <c r="M170" s="12"/>
      <c r="N170" s="12"/>
      <c r="O170" s="12"/>
      <c r="P170" s="12"/>
      <c r="Q170" s="12"/>
      <c r="R170" s="12"/>
      <c r="S170" s="141"/>
      <c r="T170" s="12"/>
      <c r="U170" s="12"/>
      <c r="V170" s="12"/>
      <c r="W170" s="80"/>
      <c r="X170" s="82"/>
      <c r="Y170" s="82"/>
      <c r="Z170" s="80"/>
      <c r="AA170" s="80"/>
      <c r="AB170" s="128" t="s">
        <v>3348</v>
      </c>
      <c r="AC170" s="128"/>
      <c r="AD170" s="205"/>
    </row>
    <row r="171" spans="2:30" s="76" customFormat="1" x14ac:dyDescent="0.2">
      <c r="B171" s="312" t="s">
        <v>78</v>
      </c>
      <c r="C171" s="16" t="s">
        <v>79</v>
      </c>
      <c r="D171" s="6" t="s">
        <v>3349</v>
      </c>
      <c r="E171" s="6"/>
      <c r="F171" s="6" t="s">
        <v>3350</v>
      </c>
      <c r="G171" s="6"/>
      <c r="H171" s="17">
        <v>8840.7999999999993</v>
      </c>
      <c r="I171" s="39" t="s">
        <v>3270</v>
      </c>
      <c r="J171" s="7">
        <v>36728</v>
      </c>
      <c r="K171" s="7"/>
      <c r="L171" s="23" t="s">
        <v>3344</v>
      </c>
      <c r="M171" s="18" t="s">
        <v>3298</v>
      </c>
      <c r="N171" s="6" t="s">
        <v>42</v>
      </c>
      <c r="O171" s="6"/>
      <c r="P171" s="6"/>
      <c r="Q171" s="6"/>
      <c r="R171" s="6"/>
      <c r="S171" s="142">
        <v>36763</v>
      </c>
      <c r="T171" s="7">
        <v>36772</v>
      </c>
      <c r="U171" s="7"/>
      <c r="V171" s="40" t="s">
        <v>3351</v>
      </c>
      <c r="W171" s="70">
        <v>628</v>
      </c>
      <c r="X171" s="75"/>
      <c r="Y171" s="75"/>
      <c r="Z171" s="70">
        <v>6638142932</v>
      </c>
      <c r="AA171" s="70"/>
      <c r="AB171" s="70" t="s">
        <v>211</v>
      </c>
      <c r="AC171" s="70"/>
      <c r="AD171" s="205"/>
    </row>
    <row r="172" spans="2:30" s="76" customFormat="1" ht="12" thickBot="1" x14ac:dyDescent="0.25">
      <c r="B172" s="313"/>
      <c r="C172" s="19"/>
      <c r="D172" s="5"/>
      <c r="E172" s="5"/>
      <c r="F172" s="5"/>
      <c r="G172" s="5"/>
      <c r="H172" s="105" t="s">
        <v>429</v>
      </c>
      <c r="I172" s="21"/>
      <c r="J172" s="5"/>
      <c r="K172" s="5"/>
      <c r="L172" s="22"/>
      <c r="M172" s="5"/>
      <c r="N172" s="5"/>
      <c r="O172" s="5"/>
      <c r="P172" s="5"/>
      <c r="Q172" s="5"/>
      <c r="R172" s="5"/>
      <c r="S172" s="132" t="s">
        <v>296</v>
      </c>
      <c r="T172" s="5"/>
      <c r="U172" s="5"/>
      <c r="V172" s="5" t="s">
        <v>3352</v>
      </c>
      <c r="W172" s="87"/>
      <c r="X172" s="90"/>
      <c r="Y172" s="90"/>
      <c r="Z172" s="87"/>
      <c r="AA172" s="87"/>
      <c r="AB172" s="87"/>
      <c r="AC172" s="87"/>
      <c r="AD172" s="205"/>
    </row>
    <row r="173" spans="2:30" s="76" customFormat="1" x14ac:dyDescent="0.2">
      <c r="B173" s="314"/>
      <c r="C173" s="11"/>
      <c r="D173" s="12"/>
      <c r="E173" s="12"/>
      <c r="F173" s="12"/>
      <c r="G173" s="12"/>
      <c r="H173" s="504"/>
      <c r="I173" s="14"/>
      <c r="J173" s="12"/>
      <c r="K173" s="12"/>
      <c r="L173" s="15"/>
      <c r="M173" s="12"/>
      <c r="N173" s="12"/>
      <c r="O173" s="12"/>
      <c r="P173" s="12"/>
      <c r="Q173" s="12"/>
      <c r="R173" s="12"/>
      <c r="S173" s="141"/>
      <c r="T173" s="12"/>
      <c r="U173" s="12"/>
      <c r="V173" s="12"/>
      <c r="W173" s="80"/>
      <c r="X173" s="82"/>
      <c r="Y173" s="82"/>
      <c r="Z173" s="80"/>
      <c r="AA173" s="80"/>
      <c r="AB173" s="80"/>
      <c r="AC173" s="80"/>
      <c r="AD173" s="205"/>
    </row>
    <row r="174" spans="2:30" s="76" customFormat="1" x14ac:dyDescent="0.2">
      <c r="B174" s="312" t="s">
        <v>78</v>
      </c>
      <c r="C174" s="16" t="s">
        <v>3165</v>
      </c>
      <c r="D174" s="6" t="s">
        <v>3353</v>
      </c>
      <c r="E174" s="6"/>
      <c r="F174" s="6">
        <v>117773</v>
      </c>
      <c r="G174" s="6"/>
      <c r="H174" s="17">
        <v>22430</v>
      </c>
      <c r="I174" s="39" t="s">
        <v>3184</v>
      </c>
      <c r="J174" s="7">
        <v>36721</v>
      </c>
      <c r="K174" s="7"/>
      <c r="L174" s="23">
        <v>36775</v>
      </c>
      <c r="M174" s="18" t="s">
        <v>3298</v>
      </c>
      <c r="N174" s="6" t="s">
        <v>42</v>
      </c>
      <c r="O174" s="6"/>
      <c r="P174" s="6"/>
      <c r="Q174" s="6"/>
      <c r="R174" s="6"/>
      <c r="S174" s="142">
        <v>36768</v>
      </c>
      <c r="T174" s="7">
        <v>36775</v>
      </c>
      <c r="U174" s="7"/>
      <c r="V174" s="40" t="s">
        <v>3329</v>
      </c>
      <c r="W174" s="70">
        <v>635</v>
      </c>
      <c r="X174" s="75"/>
      <c r="Y174" s="75"/>
      <c r="Z174" s="70">
        <v>6671051413</v>
      </c>
      <c r="AA174" s="70"/>
      <c r="AB174" s="70" t="s">
        <v>211</v>
      </c>
      <c r="AC174" s="70"/>
      <c r="AD174" s="205"/>
    </row>
    <row r="175" spans="2:30" s="76" customFormat="1" ht="12" thickBot="1" x14ac:dyDescent="0.25">
      <c r="B175" s="313"/>
      <c r="C175" s="19"/>
      <c r="D175" s="5"/>
      <c r="E175" s="5"/>
      <c r="F175" s="5"/>
      <c r="G175" s="5"/>
      <c r="H175" s="105"/>
      <c r="I175" s="21"/>
      <c r="J175" s="5"/>
      <c r="K175" s="5"/>
      <c r="L175" s="22"/>
      <c r="M175" s="5"/>
      <c r="N175" s="5"/>
      <c r="O175" s="5"/>
      <c r="P175" s="5"/>
      <c r="Q175" s="5"/>
      <c r="R175" s="5"/>
      <c r="S175" s="132" t="s">
        <v>296</v>
      </c>
      <c r="T175" s="5" t="s">
        <v>3354</v>
      </c>
      <c r="U175" s="5"/>
      <c r="V175" s="5"/>
      <c r="W175" s="87"/>
      <c r="X175" s="90"/>
      <c r="Y175" s="90"/>
      <c r="Z175" s="87"/>
      <c r="AA175" s="87"/>
      <c r="AB175" s="87"/>
      <c r="AC175" s="87"/>
      <c r="AD175" s="205"/>
    </row>
    <row r="176" spans="2:30" s="76" customFormat="1" x14ac:dyDescent="0.2">
      <c r="B176" s="314"/>
      <c r="C176" s="11"/>
      <c r="D176" s="12"/>
      <c r="E176" s="12"/>
      <c r="F176" s="12"/>
      <c r="G176" s="12"/>
      <c r="H176" s="504"/>
      <c r="I176" s="14"/>
      <c r="J176" s="12"/>
      <c r="K176" s="12"/>
      <c r="L176" s="15"/>
      <c r="M176" s="12"/>
      <c r="N176" s="12"/>
      <c r="O176" s="12"/>
      <c r="P176" s="12"/>
      <c r="Q176" s="12"/>
      <c r="R176" s="12"/>
      <c r="S176" s="141"/>
      <c r="T176" s="12"/>
      <c r="U176" s="12"/>
      <c r="V176" s="12"/>
      <c r="W176" s="80"/>
      <c r="X176" s="82"/>
      <c r="Y176" s="82"/>
      <c r="Z176" s="80"/>
      <c r="AA176" s="80"/>
      <c r="AB176" s="80"/>
      <c r="AC176" s="80"/>
      <c r="AD176" s="205"/>
    </row>
    <row r="177" spans="2:30" s="76" customFormat="1" x14ac:dyDescent="0.2">
      <c r="B177" s="312" t="s">
        <v>78</v>
      </c>
      <c r="C177" s="16" t="s">
        <v>79</v>
      </c>
      <c r="D177" s="6" t="s">
        <v>3355</v>
      </c>
      <c r="E177" s="6"/>
      <c r="F177" s="6" t="s">
        <v>3356</v>
      </c>
      <c r="G177" s="6"/>
      <c r="H177" s="17">
        <f>3008+610</f>
        <v>3618</v>
      </c>
      <c r="I177" s="39" t="s">
        <v>3357</v>
      </c>
      <c r="J177" s="7">
        <v>36780</v>
      </c>
      <c r="K177" s="7"/>
      <c r="L177" s="23">
        <f>+J177+30</f>
        <v>36810</v>
      </c>
      <c r="M177" s="18" t="s">
        <v>3298</v>
      </c>
      <c r="N177" s="6" t="s">
        <v>42</v>
      </c>
      <c r="O177" s="6"/>
      <c r="P177" s="6"/>
      <c r="Q177" s="6"/>
      <c r="R177" s="6"/>
      <c r="S177" s="7">
        <v>36801</v>
      </c>
      <c r="T177" s="7">
        <v>36813</v>
      </c>
      <c r="U177" s="7"/>
      <c r="V177" s="6" t="s">
        <v>3358</v>
      </c>
      <c r="W177" s="70">
        <v>641</v>
      </c>
      <c r="X177" s="75"/>
      <c r="Y177" s="75"/>
      <c r="Z177" s="6">
        <v>6671051343</v>
      </c>
      <c r="AA177" s="70"/>
      <c r="AB177" s="70" t="s">
        <v>211</v>
      </c>
      <c r="AC177" s="70"/>
      <c r="AD177" s="205"/>
    </row>
    <row r="178" spans="2:30" s="76" customFormat="1" ht="12" thickBot="1" x14ac:dyDescent="0.25">
      <c r="B178" s="313"/>
      <c r="C178" s="19"/>
      <c r="D178" s="5"/>
      <c r="E178" s="5"/>
      <c r="F178" s="5"/>
      <c r="G178" s="5"/>
      <c r="H178" s="105"/>
      <c r="I178" s="21"/>
      <c r="J178" s="5"/>
      <c r="K178" s="5"/>
      <c r="L178" s="22"/>
      <c r="M178" s="5"/>
      <c r="N178" s="5"/>
      <c r="O178" s="5"/>
      <c r="P178" s="5"/>
      <c r="Q178" s="5"/>
      <c r="R178" s="5"/>
      <c r="S178" s="27" t="s">
        <v>647</v>
      </c>
      <c r="T178" s="5" t="s">
        <v>3359</v>
      </c>
      <c r="U178" s="5"/>
      <c r="V178" s="5"/>
      <c r="W178" s="87"/>
      <c r="X178" s="90"/>
      <c r="Y178" s="90"/>
      <c r="Z178" s="87"/>
      <c r="AA178" s="87"/>
      <c r="AB178" s="87"/>
      <c r="AC178" s="87"/>
      <c r="AD178" s="205"/>
    </row>
    <row r="179" spans="2:30" s="76" customFormat="1" x14ac:dyDescent="0.2">
      <c r="B179" s="314"/>
      <c r="C179" s="11"/>
      <c r="D179" s="12"/>
      <c r="E179" s="12"/>
      <c r="F179" s="12"/>
      <c r="G179" s="12"/>
      <c r="H179" s="504"/>
      <c r="I179" s="14"/>
      <c r="J179" s="12"/>
      <c r="K179" s="12"/>
      <c r="L179" s="15"/>
      <c r="M179" s="12"/>
      <c r="N179" s="12"/>
      <c r="O179" s="12"/>
      <c r="P179" s="12"/>
      <c r="Q179" s="12"/>
      <c r="R179" s="12"/>
      <c r="S179" s="147"/>
      <c r="T179" s="12"/>
      <c r="U179" s="12"/>
      <c r="V179" s="12"/>
      <c r="W179" s="80"/>
      <c r="X179" s="82"/>
      <c r="Y179" s="82"/>
      <c r="Z179" s="80"/>
      <c r="AA179" s="80"/>
      <c r="AB179" s="80"/>
      <c r="AC179" s="80"/>
      <c r="AD179" s="205"/>
    </row>
    <row r="180" spans="2:30" s="76" customFormat="1" x14ac:dyDescent="0.2">
      <c r="B180" s="312" t="s">
        <v>78</v>
      </c>
      <c r="C180" s="16" t="s">
        <v>79</v>
      </c>
      <c r="D180" s="6" t="s">
        <v>3360</v>
      </c>
      <c r="E180" s="6"/>
      <c r="F180" s="6" t="s">
        <v>3361</v>
      </c>
      <c r="G180" s="6"/>
      <c r="H180" s="17">
        <v>1310</v>
      </c>
      <c r="I180" s="39" t="s">
        <v>3362</v>
      </c>
      <c r="J180" s="7">
        <v>36797</v>
      </c>
      <c r="K180" s="7"/>
      <c r="L180" s="23" t="s">
        <v>3224</v>
      </c>
      <c r="M180" s="18" t="s">
        <v>3363</v>
      </c>
      <c r="N180" s="6" t="s">
        <v>110</v>
      </c>
      <c r="O180" s="6"/>
      <c r="P180" s="6"/>
      <c r="Q180" s="6"/>
      <c r="R180" s="6"/>
      <c r="S180" s="7">
        <v>36805</v>
      </c>
      <c r="T180" s="7">
        <v>36812</v>
      </c>
      <c r="U180" s="7"/>
      <c r="V180" s="6" t="s">
        <v>3364</v>
      </c>
      <c r="W180" s="70">
        <v>650</v>
      </c>
      <c r="X180" s="75"/>
      <c r="Y180" s="75"/>
      <c r="Z180" s="6" t="s">
        <v>3365</v>
      </c>
      <c r="AA180" s="70"/>
      <c r="AB180" s="70" t="s">
        <v>211</v>
      </c>
      <c r="AC180" s="70"/>
      <c r="AD180" s="205"/>
    </row>
    <row r="181" spans="2:30" s="76" customFormat="1" ht="12" thickBot="1" x14ac:dyDescent="0.25">
      <c r="B181" s="313"/>
      <c r="C181" s="19"/>
      <c r="D181" s="5"/>
      <c r="E181" s="5"/>
      <c r="F181" s="5"/>
      <c r="G181" s="5"/>
      <c r="H181" s="105"/>
      <c r="I181" s="21"/>
      <c r="J181" s="5"/>
      <c r="K181" s="5"/>
      <c r="L181" s="22"/>
      <c r="M181" s="5"/>
      <c r="N181" s="5"/>
      <c r="O181" s="5"/>
      <c r="P181" s="5"/>
      <c r="Q181" s="5"/>
      <c r="R181" s="5"/>
      <c r="S181" s="27" t="s">
        <v>647</v>
      </c>
      <c r="T181" s="5"/>
      <c r="U181" s="5"/>
      <c r="V181" s="5" t="s">
        <v>270</v>
      </c>
      <c r="W181" s="87"/>
      <c r="X181" s="90"/>
      <c r="Y181" s="90"/>
      <c r="Z181" s="5"/>
      <c r="AA181" s="87"/>
      <c r="AB181" s="87"/>
      <c r="AC181" s="87"/>
      <c r="AD181" s="205"/>
    </row>
    <row r="182" spans="2:30" s="76" customFormat="1" x14ac:dyDescent="0.2">
      <c r="B182" s="314"/>
      <c r="C182" s="11"/>
      <c r="D182" s="12"/>
      <c r="E182" s="12"/>
      <c r="F182" s="12"/>
      <c r="G182" s="12"/>
      <c r="H182" s="504"/>
      <c r="I182" s="14"/>
      <c r="J182" s="12"/>
      <c r="K182" s="12"/>
      <c r="L182" s="15"/>
      <c r="M182" s="12"/>
      <c r="N182" s="12"/>
      <c r="O182" s="12"/>
      <c r="P182" s="12"/>
      <c r="Q182" s="12"/>
      <c r="R182" s="12"/>
      <c r="S182" s="141"/>
      <c r="T182" s="12"/>
      <c r="U182" s="12"/>
      <c r="V182" s="12"/>
      <c r="W182" s="80"/>
      <c r="X182" s="82"/>
      <c r="Y182" s="82"/>
      <c r="Z182" s="80"/>
      <c r="AA182" s="80"/>
      <c r="AB182" s="80"/>
      <c r="AC182" s="80"/>
      <c r="AD182" s="205"/>
    </row>
    <row r="183" spans="2:30" s="76" customFormat="1" x14ac:dyDescent="0.2">
      <c r="B183" s="312" t="s">
        <v>78</v>
      </c>
      <c r="C183" s="16" t="s">
        <v>3165</v>
      </c>
      <c r="D183" s="6" t="s">
        <v>3366</v>
      </c>
      <c r="E183" s="6"/>
      <c r="F183" s="6">
        <v>119125</v>
      </c>
      <c r="G183" s="6"/>
      <c r="H183" s="17">
        <v>37238.5</v>
      </c>
      <c r="I183" s="39" t="s">
        <v>3367</v>
      </c>
      <c r="J183" s="7">
        <v>36809</v>
      </c>
      <c r="K183" s="7"/>
      <c r="L183" s="23">
        <f>+J183+45</f>
        <v>36854</v>
      </c>
      <c r="M183" s="18" t="s">
        <v>3298</v>
      </c>
      <c r="N183" s="6" t="s">
        <v>42</v>
      </c>
      <c r="O183" s="6"/>
      <c r="P183" s="6"/>
      <c r="Q183" s="6"/>
      <c r="R183" s="6"/>
      <c r="S183" s="142">
        <v>36843</v>
      </c>
      <c r="T183" s="7">
        <v>36857</v>
      </c>
      <c r="U183" s="7"/>
      <c r="V183" s="6" t="s">
        <v>3329</v>
      </c>
      <c r="W183" s="70">
        <v>666</v>
      </c>
      <c r="X183" s="75"/>
      <c r="Y183" s="75"/>
      <c r="Z183" s="70">
        <v>6667111485</v>
      </c>
      <c r="AA183" s="70"/>
      <c r="AB183" s="70" t="s">
        <v>211</v>
      </c>
      <c r="AC183" s="70"/>
      <c r="AD183" s="205"/>
    </row>
    <row r="184" spans="2:30" s="76" customFormat="1" ht="12" thickBot="1" x14ac:dyDescent="0.25">
      <c r="B184" s="313"/>
      <c r="C184" s="19"/>
      <c r="D184" s="5"/>
      <c r="E184" s="5"/>
      <c r="F184" s="5"/>
      <c r="G184" s="5"/>
      <c r="H184" s="105"/>
      <c r="I184" s="21"/>
      <c r="J184" s="5"/>
      <c r="K184" s="5"/>
      <c r="L184" s="22"/>
      <c r="M184" s="5"/>
      <c r="N184" s="5"/>
      <c r="O184" s="5"/>
      <c r="P184" s="5"/>
      <c r="Q184" s="5"/>
      <c r="R184" s="5"/>
      <c r="S184" s="132" t="s">
        <v>296</v>
      </c>
      <c r="T184" s="5"/>
      <c r="U184" s="5"/>
      <c r="V184" s="5"/>
      <c r="W184" s="87"/>
      <c r="X184" s="90"/>
      <c r="Y184" s="90"/>
      <c r="Z184" s="87"/>
      <c r="AA184" s="87"/>
      <c r="AB184" s="87"/>
      <c r="AC184" s="87"/>
      <c r="AD184" s="205"/>
    </row>
    <row r="185" spans="2:30" s="76" customFormat="1" x14ac:dyDescent="0.2">
      <c r="B185" s="314"/>
      <c r="C185" s="11"/>
      <c r="D185" s="12"/>
      <c r="E185" s="12"/>
      <c r="F185" s="12"/>
      <c r="G185" s="12"/>
      <c r="H185" s="504"/>
      <c r="I185" s="14"/>
      <c r="J185" s="12"/>
      <c r="K185" s="12"/>
      <c r="L185" s="15"/>
      <c r="M185" s="12"/>
      <c r="N185" s="12"/>
      <c r="O185" s="12"/>
      <c r="P185" s="12"/>
      <c r="Q185" s="12"/>
      <c r="R185" s="12"/>
      <c r="S185" s="141"/>
      <c r="T185" s="12"/>
      <c r="U185" s="12"/>
      <c r="V185" s="12"/>
      <c r="W185" s="80"/>
      <c r="X185" s="82"/>
      <c r="Y185" s="82"/>
      <c r="Z185" s="80"/>
      <c r="AA185" s="80" t="s">
        <v>559</v>
      </c>
      <c r="AB185" s="80"/>
      <c r="AC185" s="80"/>
      <c r="AD185" s="205"/>
    </row>
    <row r="186" spans="2:30" s="76" customFormat="1" x14ac:dyDescent="0.2">
      <c r="B186" s="312" t="s">
        <v>78</v>
      </c>
      <c r="C186" s="16" t="s">
        <v>79</v>
      </c>
      <c r="D186" s="6" t="s">
        <v>3368</v>
      </c>
      <c r="E186" s="6"/>
      <c r="F186" s="6" t="s">
        <v>3369</v>
      </c>
      <c r="G186" s="6"/>
      <c r="H186" s="17">
        <v>25489</v>
      </c>
      <c r="I186" s="39" t="s">
        <v>3234</v>
      </c>
      <c r="J186" s="7">
        <v>36784</v>
      </c>
      <c r="K186" s="7"/>
      <c r="L186" s="23"/>
      <c r="M186" s="18" t="s">
        <v>3298</v>
      </c>
      <c r="N186" s="6" t="s">
        <v>42</v>
      </c>
      <c r="O186" s="6"/>
      <c r="P186" s="6"/>
      <c r="Q186" s="6"/>
      <c r="R186" s="6"/>
      <c r="S186" s="142">
        <v>36843</v>
      </c>
      <c r="T186" s="7">
        <v>36857</v>
      </c>
      <c r="U186" s="7"/>
      <c r="V186" s="6" t="s">
        <v>3370</v>
      </c>
      <c r="W186" s="70">
        <v>667</v>
      </c>
      <c r="X186" s="75"/>
      <c r="Y186" s="75"/>
      <c r="Z186" s="70">
        <v>6667111581</v>
      </c>
      <c r="AA186" s="74">
        <v>36889</v>
      </c>
      <c r="AB186" s="74" t="s">
        <v>211</v>
      </c>
      <c r="AC186" s="70"/>
      <c r="AD186" s="205"/>
    </row>
    <row r="187" spans="2:30" s="76" customFormat="1" ht="12" thickBot="1" x14ac:dyDescent="0.25">
      <c r="B187" s="313"/>
      <c r="C187" s="19"/>
      <c r="D187" s="5"/>
      <c r="E187" s="5"/>
      <c r="F187" s="5"/>
      <c r="G187" s="5"/>
      <c r="H187" s="105"/>
      <c r="I187" s="21"/>
      <c r="J187" s="5"/>
      <c r="K187" s="5"/>
      <c r="L187" s="22"/>
      <c r="M187" s="5"/>
      <c r="N187" s="5"/>
      <c r="O187" s="5"/>
      <c r="P187" s="5"/>
      <c r="Q187" s="5"/>
      <c r="R187" s="5"/>
      <c r="S187" s="132" t="s">
        <v>296</v>
      </c>
      <c r="T187" s="5" t="s">
        <v>3371</v>
      </c>
      <c r="U187" s="5"/>
      <c r="V187" s="5"/>
      <c r="W187" s="87"/>
      <c r="X187" s="90"/>
      <c r="Y187" s="90"/>
      <c r="Z187" s="87"/>
      <c r="AA187" s="87"/>
      <c r="AB187" s="87"/>
      <c r="AC187" s="87"/>
      <c r="AD187" s="205"/>
    </row>
    <row r="188" spans="2:30" s="76" customFormat="1" x14ac:dyDescent="0.2">
      <c r="B188" s="314"/>
      <c r="C188" s="11"/>
      <c r="D188" s="12"/>
      <c r="E188" s="12"/>
      <c r="F188" s="12"/>
      <c r="G188" s="12"/>
      <c r="H188" s="504"/>
      <c r="I188" s="14"/>
      <c r="J188" s="12"/>
      <c r="K188" s="12"/>
      <c r="L188" s="15"/>
      <c r="M188" s="12"/>
      <c r="N188" s="12"/>
      <c r="O188" s="12"/>
      <c r="P188" s="12"/>
      <c r="Q188" s="12"/>
      <c r="R188" s="12"/>
      <c r="S188" s="141"/>
      <c r="T188" s="12"/>
      <c r="U188" s="12"/>
      <c r="V188" s="12"/>
      <c r="W188" s="80"/>
      <c r="X188" s="82"/>
      <c r="Y188" s="82"/>
      <c r="Z188" s="80"/>
      <c r="AA188" s="80" t="s">
        <v>559</v>
      </c>
      <c r="AB188" s="80"/>
      <c r="AC188" s="80"/>
      <c r="AD188" s="205"/>
    </row>
    <row r="189" spans="2:30" s="76" customFormat="1" x14ac:dyDescent="0.2">
      <c r="B189" s="312" t="s">
        <v>78</v>
      </c>
      <c r="C189" s="16" t="s">
        <v>79</v>
      </c>
      <c r="D189" s="6" t="s">
        <v>3372</v>
      </c>
      <c r="E189" s="6"/>
      <c r="F189" s="6" t="s">
        <v>3373</v>
      </c>
      <c r="G189" s="6"/>
      <c r="H189" s="17">
        <v>76890.2</v>
      </c>
      <c r="I189" s="39" t="s">
        <v>3374</v>
      </c>
      <c r="J189" s="7">
        <v>36839</v>
      </c>
      <c r="K189" s="7"/>
      <c r="L189" s="23">
        <v>36850</v>
      </c>
      <c r="M189" s="18" t="s">
        <v>3298</v>
      </c>
      <c r="N189" s="6" t="s">
        <v>42</v>
      </c>
      <c r="O189" s="6"/>
      <c r="P189" s="6"/>
      <c r="Q189" s="6"/>
      <c r="R189" s="6"/>
      <c r="S189" s="142">
        <v>36843</v>
      </c>
      <c r="T189" s="7">
        <v>36857</v>
      </c>
      <c r="U189" s="7"/>
      <c r="V189" s="6" t="s">
        <v>3375</v>
      </c>
      <c r="W189" s="70">
        <v>671</v>
      </c>
      <c r="X189" s="75"/>
      <c r="Y189" s="75"/>
      <c r="Z189" s="70">
        <v>6667111581</v>
      </c>
      <c r="AA189" s="74">
        <v>36889</v>
      </c>
      <c r="AB189" s="74" t="s">
        <v>211</v>
      </c>
      <c r="AC189" s="70"/>
      <c r="AD189" s="205"/>
    </row>
    <row r="190" spans="2:30" s="76" customFormat="1" ht="12" thickBot="1" x14ac:dyDescent="0.25">
      <c r="B190" s="313"/>
      <c r="C190" s="19"/>
      <c r="D190" s="5"/>
      <c r="E190" s="5"/>
      <c r="F190" s="5"/>
      <c r="G190" s="5"/>
      <c r="H190" s="105" t="s">
        <v>3376</v>
      </c>
      <c r="I190" s="21"/>
      <c r="J190" s="5"/>
      <c r="K190" s="5"/>
      <c r="L190" s="22"/>
      <c r="M190" s="5"/>
      <c r="N190" s="5"/>
      <c r="O190" s="5"/>
      <c r="P190" s="5"/>
      <c r="Q190" s="5"/>
      <c r="R190" s="5"/>
      <c r="S190" s="132" t="s">
        <v>296</v>
      </c>
      <c r="T190" s="5" t="s">
        <v>3371</v>
      </c>
      <c r="U190" s="5"/>
      <c r="V190" s="5"/>
      <c r="W190" s="87"/>
      <c r="X190" s="90"/>
      <c r="Y190" s="90"/>
      <c r="Z190" s="87"/>
      <c r="AA190" s="87"/>
      <c r="AB190" s="87"/>
      <c r="AC190" s="87"/>
      <c r="AD190" s="205"/>
    </row>
    <row r="191" spans="2:30" s="76" customFormat="1" x14ac:dyDescent="0.2">
      <c r="B191" s="314"/>
      <c r="C191" s="11"/>
      <c r="D191" s="12"/>
      <c r="E191" s="12"/>
      <c r="F191" s="12"/>
      <c r="G191" s="12"/>
      <c r="H191" s="504"/>
      <c r="I191" s="14"/>
      <c r="J191" s="12"/>
      <c r="K191" s="12"/>
      <c r="L191" s="15"/>
      <c r="M191" s="12"/>
      <c r="N191" s="12"/>
      <c r="O191" s="12"/>
      <c r="P191" s="12"/>
      <c r="Q191" s="12"/>
      <c r="R191" s="12"/>
      <c r="S191" s="141"/>
      <c r="T191" s="12"/>
      <c r="U191" s="12"/>
      <c r="V191" s="12"/>
      <c r="W191" s="80"/>
      <c r="X191" s="82"/>
      <c r="Y191" s="82"/>
      <c r="Z191" s="80"/>
      <c r="AA191" s="80" t="s">
        <v>559</v>
      </c>
      <c r="AB191" s="80"/>
      <c r="AC191" s="80"/>
      <c r="AD191" s="205"/>
    </row>
    <row r="192" spans="2:30" s="76" customFormat="1" x14ac:dyDescent="0.2">
      <c r="B192" s="312" t="s">
        <v>78</v>
      </c>
      <c r="C192" s="16" t="s">
        <v>79</v>
      </c>
      <c r="D192" s="6" t="s">
        <v>3377</v>
      </c>
      <c r="E192" s="6"/>
      <c r="F192" s="6" t="s">
        <v>3378</v>
      </c>
      <c r="G192" s="6"/>
      <c r="H192" s="17">
        <v>41535.4</v>
      </c>
      <c r="I192" s="39" t="s">
        <v>3379</v>
      </c>
      <c r="J192" s="7">
        <v>36839</v>
      </c>
      <c r="K192" s="7"/>
      <c r="L192" s="23">
        <v>36850</v>
      </c>
      <c r="M192" s="18" t="s">
        <v>3298</v>
      </c>
      <c r="N192" s="6" t="s">
        <v>42</v>
      </c>
      <c r="O192" s="6"/>
      <c r="P192" s="6"/>
      <c r="Q192" s="6"/>
      <c r="R192" s="6"/>
      <c r="S192" s="142">
        <v>36843</v>
      </c>
      <c r="T192" s="7">
        <v>36857</v>
      </c>
      <c r="U192" s="7"/>
      <c r="V192" s="6" t="s">
        <v>2442</v>
      </c>
      <c r="W192" s="70">
        <v>670</v>
      </c>
      <c r="X192" s="75"/>
      <c r="Y192" s="75"/>
      <c r="Z192" s="70">
        <v>6667111581</v>
      </c>
      <c r="AA192" s="74">
        <v>36889</v>
      </c>
      <c r="AB192" s="74" t="s">
        <v>211</v>
      </c>
      <c r="AC192" s="70"/>
      <c r="AD192" s="205"/>
    </row>
    <row r="193" spans="2:30" s="76" customFormat="1" ht="12" thickBot="1" x14ac:dyDescent="0.25">
      <c r="B193" s="313"/>
      <c r="C193" s="19"/>
      <c r="D193" s="5"/>
      <c r="E193" s="5"/>
      <c r="F193" s="5"/>
      <c r="G193" s="5"/>
      <c r="H193" s="105"/>
      <c r="I193" s="21"/>
      <c r="J193" s="5"/>
      <c r="K193" s="5"/>
      <c r="L193" s="22"/>
      <c r="M193" s="5"/>
      <c r="N193" s="5"/>
      <c r="O193" s="5"/>
      <c r="P193" s="5"/>
      <c r="Q193" s="5"/>
      <c r="R193" s="5"/>
      <c r="S193" s="132" t="s">
        <v>296</v>
      </c>
      <c r="T193" s="5" t="s">
        <v>3371</v>
      </c>
      <c r="U193" s="5"/>
      <c r="V193" s="5" t="s">
        <v>3380</v>
      </c>
      <c r="W193" s="87"/>
      <c r="X193" s="90"/>
      <c r="Y193" s="90"/>
      <c r="Z193" s="87"/>
      <c r="AA193" s="87"/>
      <c r="AB193" s="87"/>
      <c r="AC193" s="87"/>
      <c r="AD193" s="205"/>
    </row>
    <row r="194" spans="2:30" s="98" customFormat="1" x14ac:dyDescent="0.2">
      <c r="B194" s="315"/>
      <c r="C194" s="28"/>
      <c r="D194" s="30"/>
      <c r="E194" s="30"/>
      <c r="F194" s="30"/>
      <c r="G194" s="30"/>
      <c r="H194" s="217"/>
      <c r="I194" s="31"/>
      <c r="J194" s="30"/>
      <c r="K194" s="30"/>
      <c r="L194" s="32"/>
      <c r="M194" s="30"/>
      <c r="N194" s="30"/>
      <c r="O194" s="30"/>
      <c r="P194" s="30"/>
      <c r="Q194" s="30"/>
      <c r="R194" s="30"/>
      <c r="S194" s="126"/>
      <c r="T194" s="30"/>
      <c r="U194" s="30"/>
      <c r="V194" s="30"/>
      <c r="W194" s="99"/>
      <c r="X194" s="99"/>
      <c r="Y194" s="99"/>
      <c r="Z194" s="99"/>
      <c r="AA194" s="99"/>
      <c r="AB194" s="99"/>
      <c r="AC194" s="99"/>
      <c r="AD194" s="99"/>
    </row>
    <row r="195" spans="2:30" s="98" customFormat="1" ht="12" thickBot="1" x14ac:dyDescent="0.25">
      <c r="B195" s="315"/>
      <c r="C195" s="28"/>
      <c r="D195" s="30"/>
      <c r="E195" s="30"/>
      <c r="F195" s="30"/>
      <c r="G195" s="30"/>
      <c r="H195" s="217"/>
      <c r="I195" s="31"/>
      <c r="J195" s="30"/>
      <c r="K195" s="30"/>
      <c r="L195" s="32"/>
      <c r="M195" s="30"/>
      <c r="N195" s="30"/>
      <c r="O195" s="30"/>
      <c r="P195" s="30"/>
      <c r="Q195" s="30"/>
      <c r="R195" s="30"/>
      <c r="S195" s="126"/>
      <c r="T195" s="30"/>
      <c r="U195" s="30"/>
      <c r="V195" s="30"/>
      <c r="W195" s="99"/>
      <c r="X195" s="99"/>
      <c r="Y195" s="99"/>
      <c r="Z195" s="99"/>
      <c r="AA195" s="99"/>
      <c r="AB195" s="99"/>
      <c r="AC195" s="99"/>
      <c r="AD195" s="99"/>
    </row>
    <row r="196" spans="2:30" s="76" customFormat="1" x14ac:dyDescent="0.2">
      <c r="B196" s="314"/>
      <c r="C196" s="11"/>
      <c r="D196" s="12"/>
      <c r="E196" s="12"/>
      <c r="F196" s="12"/>
      <c r="G196" s="12"/>
      <c r="H196" s="504"/>
      <c r="I196" s="14"/>
      <c r="J196" s="12"/>
      <c r="K196" s="12"/>
      <c r="L196" s="15"/>
      <c r="M196" s="12"/>
      <c r="N196" s="12"/>
      <c r="O196" s="12"/>
      <c r="P196" s="12"/>
      <c r="Q196" s="12"/>
      <c r="R196" s="12"/>
      <c r="S196" s="141"/>
      <c r="T196" s="12"/>
      <c r="U196" s="12"/>
      <c r="V196" s="12"/>
      <c r="W196" s="80"/>
      <c r="X196" s="82"/>
      <c r="Y196" s="82"/>
      <c r="Z196" s="80"/>
      <c r="AA196" s="80"/>
      <c r="AB196" s="80"/>
      <c r="AC196" s="80"/>
      <c r="AD196" s="205"/>
    </row>
    <row r="197" spans="2:30" s="76" customFormat="1" x14ac:dyDescent="0.2">
      <c r="B197" s="312" t="s">
        <v>78</v>
      </c>
      <c r="C197" s="16" t="s">
        <v>79</v>
      </c>
      <c r="D197" s="6" t="s">
        <v>3377</v>
      </c>
      <c r="E197" s="6"/>
      <c r="F197" s="6" t="s">
        <v>3378</v>
      </c>
      <c r="G197" s="6"/>
      <c r="H197" s="17">
        <v>63315</v>
      </c>
      <c r="I197" s="39" t="s">
        <v>3379</v>
      </c>
      <c r="J197" s="7">
        <v>36839</v>
      </c>
      <c r="K197" s="7"/>
      <c r="L197" s="23">
        <v>36880</v>
      </c>
      <c r="M197" s="18" t="s">
        <v>3298</v>
      </c>
      <c r="N197" s="6" t="s">
        <v>42</v>
      </c>
      <c r="O197" s="6"/>
      <c r="P197" s="6"/>
      <c r="Q197" s="6"/>
      <c r="R197" s="6"/>
      <c r="S197" s="142">
        <v>36882</v>
      </c>
      <c r="T197" s="18">
        <v>36888</v>
      </c>
      <c r="U197" s="18"/>
      <c r="V197" s="6" t="s">
        <v>3381</v>
      </c>
      <c r="W197" s="70">
        <v>683</v>
      </c>
      <c r="X197" s="75"/>
      <c r="Y197" s="75"/>
      <c r="Z197" s="70">
        <v>6667111496</v>
      </c>
      <c r="AA197" s="70"/>
      <c r="AB197" s="70" t="s">
        <v>211</v>
      </c>
      <c r="AC197" s="70"/>
      <c r="AD197" s="205"/>
    </row>
    <row r="198" spans="2:30" s="76" customFormat="1" ht="12" thickBot="1" x14ac:dyDescent="0.25">
      <c r="B198" s="313"/>
      <c r="C198" s="19"/>
      <c r="D198" s="5"/>
      <c r="E198" s="5"/>
      <c r="F198" s="5"/>
      <c r="G198" s="5"/>
      <c r="H198" s="105" t="s">
        <v>3376</v>
      </c>
      <c r="I198" s="21"/>
      <c r="J198" s="5"/>
      <c r="K198" s="5"/>
      <c r="L198" s="22"/>
      <c r="M198" s="5"/>
      <c r="N198" s="5"/>
      <c r="O198" s="5"/>
      <c r="P198" s="5"/>
      <c r="Q198" s="5"/>
      <c r="R198" s="5"/>
      <c r="S198" s="132" t="s">
        <v>647</v>
      </c>
      <c r="T198" s="5" t="s">
        <v>3382</v>
      </c>
      <c r="U198" s="5"/>
      <c r="V198" s="5" t="s">
        <v>3383</v>
      </c>
      <c r="W198" s="87"/>
      <c r="X198" s="90"/>
      <c r="Y198" s="90"/>
      <c r="Z198" s="87"/>
      <c r="AA198" s="87"/>
      <c r="AB198" s="87"/>
      <c r="AC198" s="87"/>
      <c r="AD198" s="205"/>
    </row>
    <row r="199" spans="2:30" s="76" customFormat="1" ht="33.75" x14ac:dyDescent="0.2">
      <c r="B199" s="314"/>
      <c r="C199" s="11"/>
      <c r="D199" s="12"/>
      <c r="E199" s="12"/>
      <c r="F199" s="12"/>
      <c r="G199" s="12"/>
      <c r="H199" s="504"/>
      <c r="I199" s="14"/>
      <c r="J199" s="12"/>
      <c r="K199" s="12"/>
      <c r="L199" s="15"/>
      <c r="M199" s="12"/>
      <c r="N199" s="12"/>
      <c r="O199" s="12"/>
      <c r="P199" s="12"/>
      <c r="Q199" s="12"/>
      <c r="R199" s="12"/>
      <c r="S199" s="141"/>
      <c r="T199" s="12"/>
      <c r="U199" s="12"/>
      <c r="V199" s="12"/>
      <c r="W199" s="80"/>
      <c r="X199" s="82"/>
      <c r="Y199" s="82"/>
      <c r="Z199" s="80"/>
      <c r="AA199" s="505" t="s">
        <v>3384</v>
      </c>
      <c r="AB199" s="505" t="s">
        <v>3385</v>
      </c>
      <c r="AC199" s="80"/>
      <c r="AD199" s="205"/>
    </row>
    <row r="200" spans="2:30" s="76" customFormat="1" x14ac:dyDescent="0.2">
      <c r="B200" s="312" t="s">
        <v>78</v>
      </c>
      <c r="C200" s="16" t="s">
        <v>79</v>
      </c>
      <c r="D200" s="6" t="s">
        <v>3386</v>
      </c>
      <c r="E200" s="6"/>
      <c r="F200" s="6" t="s">
        <v>3387</v>
      </c>
      <c r="G200" s="6"/>
      <c r="H200" s="17">
        <v>137640</v>
      </c>
      <c r="I200" s="39" t="s">
        <v>3374</v>
      </c>
      <c r="J200" s="7">
        <v>36839</v>
      </c>
      <c r="K200" s="7"/>
      <c r="L200" s="23">
        <v>36911</v>
      </c>
      <c r="M200" s="18" t="s">
        <v>3298</v>
      </c>
      <c r="N200" s="6" t="s">
        <v>42</v>
      </c>
      <c r="O200" s="6"/>
      <c r="P200" s="6"/>
      <c r="Q200" s="6"/>
      <c r="R200" s="6"/>
      <c r="S200" s="142">
        <v>36882</v>
      </c>
      <c r="T200" s="18">
        <v>36888</v>
      </c>
      <c r="U200" s="18"/>
      <c r="V200" s="6" t="s">
        <v>3375</v>
      </c>
      <c r="W200" s="70">
        <v>682</v>
      </c>
      <c r="X200" s="75"/>
      <c r="Y200" s="75"/>
      <c r="Z200" s="70">
        <v>6667111496</v>
      </c>
      <c r="AA200" s="505"/>
      <c r="AB200" s="505" t="s">
        <v>3388</v>
      </c>
      <c r="AC200" s="70"/>
      <c r="AD200" s="205"/>
    </row>
    <row r="201" spans="2:30" s="76" customFormat="1" ht="12" thickBot="1" x14ac:dyDescent="0.25">
      <c r="B201" s="313"/>
      <c r="C201" s="19"/>
      <c r="D201" s="5"/>
      <c r="E201" s="5"/>
      <c r="F201" s="5"/>
      <c r="G201" s="5"/>
      <c r="H201" s="105" t="s">
        <v>3376</v>
      </c>
      <c r="I201" s="21"/>
      <c r="J201" s="5"/>
      <c r="K201" s="5"/>
      <c r="L201" s="22"/>
      <c r="M201" s="5"/>
      <c r="N201" s="5"/>
      <c r="O201" s="5"/>
      <c r="P201" s="5"/>
      <c r="Q201" s="5"/>
      <c r="R201" s="5"/>
      <c r="S201" s="132" t="s">
        <v>647</v>
      </c>
      <c r="T201" s="5" t="s">
        <v>3382</v>
      </c>
      <c r="U201" s="5"/>
      <c r="V201" s="5" t="s">
        <v>3389</v>
      </c>
      <c r="W201" s="87"/>
      <c r="X201" s="90"/>
      <c r="Y201" s="90"/>
      <c r="Z201" s="87"/>
      <c r="AA201" s="505"/>
      <c r="AB201" s="505" t="s">
        <v>3390</v>
      </c>
      <c r="AC201" s="87"/>
      <c r="AD201" s="205"/>
    </row>
    <row r="202" spans="2:30" s="76" customFormat="1" x14ac:dyDescent="0.2">
      <c r="B202" s="314"/>
      <c r="C202" s="11"/>
      <c r="D202" s="12"/>
      <c r="E202" s="12"/>
      <c r="F202" s="12"/>
      <c r="G202" s="12"/>
      <c r="H202" s="504"/>
      <c r="I202" s="14"/>
      <c r="J202" s="12"/>
      <c r="K202" s="12"/>
      <c r="L202" s="15"/>
      <c r="M202" s="12"/>
      <c r="N202" s="12"/>
      <c r="O202" s="12"/>
      <c r="P202" s="12"/>
      <c r="Q202" s="12"/>
      <c r="R202" s="12"/>
      <c r="S202" s="91">
        <v>36844</v>
      </c>
      <c r="T202" s="12"/>
      <c r="U202" s="12"/>
      <c r="V202" s="12"/>
      <c r="W202" s="80"/>
      <c r="X202" s="82"/>
      <c r="Y202" s="82"/>
      <c r="Z202" s="80"/>
      <c r="AA202" s="80"/>
      <c r="AB202" s="80"/>
      <c r="AC202" s="80"/>
      <c r="AD202" s="205"/>
    </row>
    <row r="203" spans="2:30" s="76" customFormat="1" x14ac:dyDescent="0.2">
      <c r="B203" s="312" t="s">
        <v>78</v>
      </c>
      <c r="C203" s="16" t="s">
        <v>79</v>
      </c>
      <c r="D203" s="6"/>
      <c r="E203" s="6"/>
      <c r="F203" s="6" t="s">
        <v>3369</v>
      </c>
      <c r="G203" s="6"/>
      <c r="H203" s="17">
        <v>3550</v>
      </c>
      <c r="I203" s="39" t="s">
        <v>3234</v>
      </c>
      <c r="J203" s="7">
        <v>36784</v>
      </c>
      <c r="K203" s="7"/>
      <c r="L203" s="23"/>
      <c r="M203" s="18" t="s">
        <v>280</v>
      </c>
      <c r="N203" s="6" t="s">
        <v>42</v>
      </c>
      <c r="O203" s="6"/>
      <c r="P203" s="6"/>
      <c r="Q203" s="6"/>
      <c r="R203" s="6"/>
      <c r="S203" s="142" t="s">
        <v>642</v>
      </c>
      <c r="T203" s="7">
        <v>36844</v>
      </c>
      <c r="U203" s="7"/>
      <c r="V203" s="6" t="s">
        <v>347</v>
      </c>
      <c r="W203" s="70" t="s">
        <v>3391</v>
      </c>
      <c r="X203" s="75"/>
      <c r="Y203" s="75"/>
      <c r="Z203" s="70"/>
      <c r="AA203" s="70"/>
      <c r="AB203" s="70"/>
      <c r="AC203" s="70"/>
      <c r="AD203" s="205"/>
    </row>
    <row r="204" spans="2:30" s="76" customFormat="1" ht="12" thickBot="1" x14ac:dyDescent="0.25">
      <c r="B204" s="313"/>
      <c r="C204" s="19"/>
      <c r="D204" s="5"/>
      <c r="E204" s="5"/>
      <c r="F204" s="5"/>
      <c r="G204" s="5"/>
      <c r="H204" s="105"/>
      <c r="I204" s="21"/>
      <c r="J204" s="5"/>
      <c r="K204" s="5"/>
      <c r="L204" s="22"/>
      <c r="M204" s="5"/>
      <c r="N204" s="5"/>
      <c r="O204" s="5"/>
      <c r="P204" s="5"/>
      <c r="Q204" s="5"/>
      <c r="R204" s="5"/>
      <c r="S204" s="169"/>
      <c r="T204" s="5"/>
      <c r="U204" s="5"/>
      <c r="V204" s="5" t="s">
        <v>2307</v>
      </c>
      <c r="W204" s="87"/>
      <c r="X204" s="90"/>
      <c r="Y204" s="90"/>
      <c r="Z204" s="87"/>
      <c r="AA204" s="87"/>
      <c r="AB204" s="87"/>
      <c r="AC204" s="87"/>
      <c r="AD204" s="205"/>
    </row>
    <row r="205" spans="2:30" s="76" customFormat="1" x14ac:dyDescent="0.2">
      <c r="B205" s="314"/>
      <c r="C205" s="11"/>
      <c r="D205" s="12"/>
      <c r="E205" s="12"/>
      <c r="F205" s="12"/>
      <c r="G205" s="12"/>
      <c r="H205" s="504"/>
      <c r="I205" s="14"/>
      <c r="J205" s="12"/>
      <c r="K205" s="12"/>
      <c r="L205" s="15"/>
      <c r="M205" s="12"/>
      <c r="N205" s="12"/>
      <c r="O205" s="12"/>
      <c r="P205" s="12"/>
      <c r="Q205" s="12"/>
      <c r="R205" s="12"/>
      <c r="S205" s="91"/>
      <c r="T205" s="12"/>
      <c r="U205" s="12"/>
      <c r="V205" s="12"/>
      <c r="W205" s="80"/>
      <c r="X205" s="82"/>
      <c r="Y205" s="82"/>
      <c r="Z205" s="80"/>
      <c r="AA205" s="80"/>
      <c r="AB205" s="80"/>
      <c r="AC205" s="80"/>
      <c r="AD205" s="205"/>
    </row>
    <row r="206" spans="2:30" s="76" customFormat="1" x14ac:dyDescent="0.2">
      <c r="B206" s="312" t="s">
        <v>78</v>
      </c>
      <c r="C206" s="16" t="s">
        <v>79</v>
      </c>
      <c r="D206" s="6"/>
      <c r="E206" s="6"/>
      <c r="F206" s="6" t="s">
        <v>3392</v>
      </c>
      <c r="G206" s="6"/>
      <c r="H206" s="17">
        <v>5380</v>
      </c>
      <c r="I206" s="39" t="s">
        <v>3374</v>
      </c>
      <c r="J206" s="7"/>
      <c r="K206" s="7"/>
      <c r="L206" s="23"/>
      <c r="M206" s="18" t="s">
        <v>280</v>
      </c>
      <c r="N206" s="6" t="s">
        <v>110</v>
      </c>
      <c r="O206" s="6"/>
      <c r="P206" s="6"/>
      <c r="Q206" s="6"/>
      <c r="R206" s="6"/>
      <c r="S206" s="142" t="s">
        <v>3393</v>
      </c>
      <c r="T206" s="7">
        <v>36889</v>
      </c>
      <c r="U206" s="7"/>
      <c r="V206" s="6" t="s">
        <v>3394</v>
      </c>
      <c r="W206" s="70" t="s">
        <v>3395</v>
      </c>
      <c r="X206" s="75"/>
      <c r="Y206" s="75"/>
      <c r="Z206" s="70"/>
      <c r="AA206" s="70"/>
      <c r="AB206" s="70" t="s">
        <v>211</v>
      </c>
      <c r="AC206" s="70"/>
      <c r="AD206" s="205"/>
    </row>
    <row r="207" spans="2:30" s="76" customFormat="1" ht="12" thickBot="1" x14ac:dyDescent="0.25">
      <c r="B207" s="313"/>
      <c r="C207" s="19"/>
      <c r="D207" s="5"/>
      <c r="E207" s="5"/>
      <c r="F207" s="5" t="s">
        <v>3396</v>
      </c>
      <c r="G207" s="5"/>
      <c r="H207" s="105"/>
      <c r="I207" s="21"/>
      <c r="J207" s="5"/>
      <c r="K207" s="5"/>
      <c r="L207" s="22"/>
      <c r="M207" s="5"/>
      <c r="N207" s="5"/>
      <c r="O207" s="5"/>
      <c r="P207" s="5"/>
      <c r="Q207" s="5"/>
      <c r="R207" s="5"/>
      <c r="S207" s="169"/>
      <c r="T207" s="5"/>
      <c r="U207" s="5"/>
      <c r="V207" s="139" t="s">
        <v>3397</v>
      </c>
      <c r="W207" s="87"/>
      <c r="X207" s="90"/>
      <c r="Y207" s="90"/>
      <c r="Z207" s="87"/>
      <c r="AA207" s="87"/>
      <c r="AB207" s="87"/>
      <c r="AC207" s="87"/>
      <c r="AD207" s="205"/>
    </row>
    <row r="208" spans="2:30" s="76" customFormat="1" x14ac:dyDescent="0.2">
      <c r="B208" s="314"/>
      <c r="C208" s="11"/>
      <c r="D208" s="12"/>
      <c r="E208" s="12"/>
      <c r="F208" s="12"/>
      <c r="G208" s="12"/>
      <c r="H208" s="504"/>
      <c r="I208" s="14"/>
      <c r="J208" s="12"/>
      <c r="K208" s="12"/>
      <c r="L208" s="15"/>
      <c r="M208" s="12"/>
      <c r="N208" s="12"/>
      <c r="O208" s="12"/>
      <c r="P208" s="12"/>
      <c r="Q208" s="12"/>
      <c r="R208" s="12"/>
      <c r="S208" s="91"/>
      <c r="T208" s="12"/>
      <c r="U208" s="12"/>
      <c r="V208" s="12"/>
      <c r="W208" s="80"/>
      <c r="X208" s="82"/>
      <c r="Y208" s="82"/>
      <c r="Z208" s="80"/>
      <c r="AA208" s="80"/>
      <c r="AB208" s="80"/>
      <c r="AC208" s="80"/>
      <c r="AD208" s="205"/>
    </row>
    <row r="209" spans="1:39" s="76" customFormat="1" x14ac:dyDescent="0.2">
      <c r="B209" s="312" t="s">
        <v>78</v>
      </c>
      <c r="C209" s="16" t="s">
        <v>79</v>
      </c>
      <c r="D209" s="6"/>
      <c r="E209" s="6"/>
      <c r="F209" s="6" t="s">
        <v>3398</v>
      </c>
      <c r="G209" s="6"/>
      <c r="H209" s="17">
        <v>2865</v>
      </c>
      <c r="I209" s="39" t="s">
        <v>3374</v>
      </c>
      <c r="J209" s="7">
        <v>36875</v>
      </c>
      <c r="K209" s="7"/>
      <c r="L209" s="23" t="s">
        <v>3399</v>
      </c>
      <c r="M209" s="18" t="s">
        <v>280</v>
      </c>
      <c r="N209" s="6" t="s">
        <v>110</v>
      </c>
      <c r="O209" s="6"/>
      <c r="P209" s="6"/>
      <c r="Q209" s="6"/>
      <c r="R209" s="6"/>
      <c r="S209" s="142"/>
      <c r="T209" s="7">
        <v>36889</v>
      </c>
      <c r="U209" s="7"/>
      <c r="V209" s="6" t="s">
        <v>3400</v>
      </c>
      <c r="W209" s="70" t="s">
        <v>3401</v>
      </c>
      <c r="X209" s="75"/>
      <c r="Y209" s="75"/>
      <c r="Z209" s="70"/>
      <c r="AA209" s="70"/>
      <c r="AB209" s="70" t="s">
        <v>211</v>
      </c>
      <c r="AC209" s="70"/>
      <c r="AD209" s="205"/>
    </row>
    <row r="210" spans="1:39" s="76" customFormat="1" ht="12" thickBot="1" x14ac:dyDescent="0.25">
      <c r="B210" s="313"/>
      <c r="C210" s="19"/>
      <c r="D210" s="5"/>
      <c r="E210" s="5"/>
      <c r="F210" s="5" t="s">
        <v>3402</v>
      </c>
      <c r="G210" s="5"/>
      <c r="H210" s="105"/>
      <c r="I210" s="21"/>
      <c r="J210" s="5"/>
      <c r="K210" s="5"/>
      <c r="L210" s="22"/>
      <c r="M210" s="5"/>
      <c r="N210" s="5"/>
      <c r="O210" s="5"/>
      <c r="P210" s="5"/>
      <c r="Q210" s="5"/>
      <c r="R210" s="5"/>
      <c r="S210" s="169"/>
      <c r="T210" s="5"/>
      <c r="U210" s="5"/>
      <c r="V210" s="139" t="s">
        <v>3403</v>
      </c>
      <c r="W210" s="87"/>
      <c r="X210" s="90"/>
      <c r="Y210" s="90"/>
      <c r="Z210" s="87"/>
      <c r="AA210" s="87"/>
      <c r="AB210" s="87"/>
      <c r="AC210" s="87"/>
      <c r="AD210" s="205"/>
    </row>
    <row r="211" spans="1:39" ht="12" thickBot="1" x14ac:dyDescent="0.25">
      <c r="H211" s="223"/>
      <c r="W211" s="38"/>
      <c r="X211" s="38"/>
      <c r="Y211" s="38"/>
      <c r="Z211" s="37"/>
      <c r="AC211" s="38"/>
    </row>
    <row r="212" spans="1:39" s="556" customFormat="1" ht="39.950000000000003" customHeight="1" thickBot="1" x14ac:dyDescent="0.4">
      <c r="B212" s="1611">
        <v>2001</v>
      </c>
      <c r="C212" s="1612"/>
      <c r="D212" s="1612"/>
      <c r="E212" s="1612"/>
      <c r="F212" s="1612"/>
      <c r="G212" s="1612"/>
      <c r="H212" s="1612"/>
      <c r="I212" s="1612"/>
      <c r="J212" s="1612"/>
      <c r="K212" s="1612"/>
      <c r="L212" s="1612"/>
      <c r="M212" s="1612"/>
      <c r="N212" s="1612"/>
      <c r="O212" s="1612"/>
      <c r="P212" s="1612"/>
      <c r="Q212" s="1612"/>
      <c r="R212" s="1612"/>
      <c r="S212" s="1612"/>
      <c r="T212" s="1612"/>
      <c r="U212" s="1612"/>
      <c r="V212" s="1612"/>
      <c r="W212" s="1612"/>
      <c r="X212" s="1612"/>
      <c r="Y212" s="1612"/>
      <c r="Z212" s="1612"/>
      <c r="AA212" s="1612"/>
      <c r="AB212" s="1612"/>
      <c r="AC212" s="1613"/>
      <c r="AD212" s="555"/>
    </row>
    <row r="213" spans="1:39" s="441" customFormat="1" ht="60" customHeight="1" thickBot="1" x14ac:dyDescent="0.25">
      <c r="A213" s="438"/>
      <c r="B213" s="451" t="s">
        <v>130</v>
      </c>
      <c r="C213" s="451" t="s">
        <v>4</v>
      </c>
      <c r="D213" s="451" t="s">
        <v>5</v>
      </c>
      <c r="E213" s="451" t="s">
        <v>6</v>
      </c>
      <c r="F213" s="451" t="s">
        <v>7</v>
      </c>
      <c r="G213" s="451" t="s">
        <v>8</v>
      </c>
      <c r="H213" s="453" t="s">
        <v>9</v>
      </c>
      <c r="I213" s="453" t="s">
        <v>10</v>
      </c>
      <c r="J213" s="451" t="s">
        <v>11</v>
      </c>
      <c r="K213" s="451" t="s">
        <v>12</v>
      </c>
      <c r="L213" s="451" t="s">
        <v>13</v>
      </c>
      <c r="M213" s="451" t="s">
        <v>14</v>
      </c>
      <c r="N213" s="451" t="s">
        <v>15</v>
      </c>
      <c r="O213" s="452" t="s">
        <v>16</v>
      </c>
      <c r="P213" s="454" t="s">
        <v>17</v>
      </c>
      <c r="Q213" s="451" t="s">
        <v>18</v>
      </c>
      <c r="R213" s="452" t="s">
        <v>19</v>
      </c>
      <c r="S213" s="451" t="s">
        <v>20</v>
      </c>
      <c r="T213" s="451" t="s">
        <v>21</v>
      </c>
      <c r="U213" s="452" t="s">
        <v>22</v>
      </c>
      <c r="V213" s="451" t="s">
        <v>131</v>
      </c>
      <c r="W213" s="451" t="s">
        <v>24</v>
      </c>
      <c r="X213" s="451" t="s">
        <v>132</v>
      </c>
      <c r="Y213" s="451" t="s">
        <v>26</v>
      </c>
      <c r="Z213" s="451" t="s">
        <v>27</v>
      </c>
      <c r="AA213" s="451" t="s">
        <v>28</v>
      </c>
      <c r="AB213" s="451" t="s">
        <v>29</v>
      </c>
      <c r="AC213" s="451" t="s">
        <v>30</v>
      </c>
      <c r="AD213" s="439"/>
      <c r="AE213" s="440"/>
      <c r="AF213" s="440"/>
      <c r="AG213" s="440"/>
      <c r="AH213" s="440"/>
      <c r="AI213" s="440"/>
      <c r="AJ213" s="440"/>
      <c r="AK213" s="440"/>
      <c r="AL213" s="440"/>
      <c r="AM213" s="440"/>
    </row>
    <row r="214" spans="1:39" s="76" customFormat="1" x14ac:dyDescent="0.2">
      <c r="B214" s="314"/>
      <c r="C214" s="11"/>
      <c r="D214" s="12"/>
      <c r="E214" s="12"/>
      <c r="F214" s="12"/>
      <c r="G214" s="12"/>
      <c r="H214" s="504"/>
      <c r="I214" s="14"/>
      <c r="J214" s="12"/>
      <c r="K214" s="12"/>
      <c r="L214" s="15"/>
      <c r="M214" s="12"/>
      <c r="N214" s="12"/>
      <c r="O214" s="12"/>
      <c r="P214" s="12"/>
      <c r="Q214" s="12"/>
      <c r="R214" s="12"/>
      <c r="S214" s="141"/>
      <c r="T214" s="12"/>
      <c r="U214" s="12"/>
      <c r="V214" s="12"/>
      <c r="W214" s="80"/>
      <c r="X214" s="82"/>
      <c r="Y214" s="82"/>
      <c r="Z214" s="80"/>
      <c r="AA214" s="80"/>
      <c r="AB214" s="80"/>
      <c r="AC214" s="80"/>
      <c r="AD214" s="205"/>
    </row>
    <row r="215" spans="1:39" s="76" customFormat="1" x14ac:dyDescent="0.2">
      <c r="B215" s="312" t="s">
        <v>78</v>
      </c>
      <c r="C215" s="16" t="s">
        <v>79</v>
      </c>
      <c r="D215" s="6" t="s">
        <v>3386</v>
      </c>
      <c r="E215" s="6"/>
      <c r="F215" s="6" t="s">
        <v>3387</v>
      </c>
      <c r="G215" s="6"/>
      <c r="H215" s="17">
        <v>51920</v>
      </c>
      <c r="I215" s="39" t="s">
        <v>3374</v>
      </c>
      <c r="J215" s="7">
        <v>36839</v>
      </c>
      <c r="K215" s="7"/>
      <c r="L215" s="23">
        <v>36911</v>
      </c>
      <c r="M215" s="18" t="s">
        <v>3298</v>
      </c>
      <c r="N215" s="6" t="s">
        <v>42</v>
      </c>
      <c r="O215" s="6"/>
      <c r="P215" s="6"/>
      <c r="Q215" s="6"/>
      <c r="R215" s="6"/>
      <c r="S215" s="202">
        <v>36908</v>
      </c>
      <c r="T215" s="7">
        <v>36940</v>
      </c>
      <c r="U215" s="7"/>
      <c r="V215" s="6" t="s">
        <v>3375</v>
      </c>
      <c r="W215" s="70">
        <v>694</v>
      </c>
      <c r="X215" s="75"/>
      <c r="Y215" s="75"/>
      <c r="Z215" s="70">
        <v>6666060192</v>
      </c>
      <c r="AA215" s="74">
        <v>36965</v>
      </c>
      <c r="AB215" s="74" t="s">
        <v>211</v>
      </c>
      <c r="AC215" s="70"/>
      <c r="AD215" s="207" t="str">
        <f>IF(T215&lt;=L215,"en término","atrasado")</f>
        <v>atrasado</v>
      </c>
    </row>
    <row r="216" spans="1:39" s="76" customFormat="1" ht="12" thickBot="1" x14ac:dyDescent="0.25">
      <c r="B216" s="313"/>
      <c r="C216" s="19"/>
      <c r="D216" s="5"/>
      <c r="E216" s="5"/>
      <c r="F216" s="5"/>
      <c r="G216" s="5"/>
      <c r="H216" s="105"/>
      <c r="I216" s="21"/>
      <c r="J216" s="5"/>
      <c r="K216" s="5"/>
      <c r="L216" s="22"/>
      <c r="M216" s="5"/>
      <c r="N216" s="5"/>
      <c r="O216" s="5"/>
      <c r="P216" s="5"/>
      <c r="Q216" s="5"/>
      <c r="R216" s="5"/>
      <c r="S216" s="27" t="s">
        <v>296</v>
      </c>
      <c r="T216" s="5" t="s">
        <v>3359</v>
      </c>
      <c r="U216" s="5"/>
      <c r="V216" s="183" t="s">
        <v>3404</v>
      </c>
      <c r="W216" s="87"/>
      <c r="X216" s="90"/>
      <c r="Y216" s="90"/>
      <c r="Z216" s="87"/>
      <c r="AA216" s="87"/>
      <c r="AB216" s="87">
        <v>43920</v>
      </c>
      <c r="AC216" s="77"/>
      <c r="AD216" s="205"/>
    </row>
    <row r="217" spans="1:39" s="76" customFormat="1" x14ac:dyDescent="0.2">
      <c r="B217" s="314"/>
      <c r="C217" s="11"/>
      <c r="D217" s="12"/>
      <c r="E217" s="12"/>
      <c r="F217" s="12"/>
      <c r="G217" s="12"/>
      <c r="H217" s="504"/>
      <c r="I217" s="14"/>
      <c r="J217" s="12"/>
      <c r="K217" s="12"/>
      <c r="L217" s="15"/>
      <c r="M217" s="12"/>
      <c r="N217" s="12"/>
      <c r="O217" s="12"/>
      <c r="P217" s="12"/>
      <c r="Q217" s="12"/>
      <c r="R217" s="12"/>
      <c r="S217" s="91"/>
      <c r="T217" s="12"/>
      <c r="U217" s="12"/>
      <c r="V217" s="12"/>
      <c r="W217" s="80"/>
      <c r="X217" s="82"/>
      <c r="Y217" s="82"/>
      <c r="Z217" s="80"/>
      <c r="AA217" s="80"/>
      <c r="AB217" s="80"/>
      <c r="AC217" s="80"/>
      <c r="AD217" s="205"/>
    </row>
    <row r="218" spans="1:39" s="76" customFormat="1" x14ac:dyDescent="0.2">
      <c r="B218" s="312" t="s">
        <v>3405</v>
      </c>
      <c r="C218" s="16" t="s">
        <v>3165</v>
      </c>
      <c r="D218" s="6"/>
      <c r="E218" s="6"/>
      <c r="F218" s="6">
        <v>120653</v>
      </c>
      <c r="G218" s="6"/>
      <c r="H218" s="17">
        <v>7230</v>
      </c>
      <c r="I218" s="39" t="s">
        <v>3184</v>
      </c>
      <c r="J218" s="7">
        <v>36915</v>
      </c>
      <c r="K218" s="7"/>
      <c r="L218" s="23">
        <v>36970</v>
      </c>
      <c r="M218" s="18" t="s">
        <v>280</v>
      </c>
      <c r="N218" s="6" t="s">
        <v>110</v>
      </c>
      <c r="O218" s="6"/>
      <c r="P218" s="6"/>
      <c r="Q218" s="6"/>
      <c r="R218" s="6"/>
      <c r="S218" s="142"/>
      <c r="T218" s="7">
        <v>36955</v>
      </c>
      <c r="U218" s="7"/>
      <c r="V218" s="6" t="s">
        <v>3329</v>
      </c>
      <c r="W218" s="70" t="s">
        <v>3406</v>
      </c>
      <c r="X218" s="75"/>
      <c r="Y218" s="75"/>
      <c r="Z218" s="70"/>
      <c r="AA218" s="70" t="s">
        <v>211</v>
      </c>
      <c r="AB218" s="70"/>
      <c r="AC218" s="70"/>
      <c r="AD218" s="205" t="str">
        <f>IF(T218&lt;=L218,"en término","atrasado")</f>
        <v>en término</v>
      </c>
    </row>
    <row r="219" spans="1:39" s="76" customFormat="1" ht="12" thickBot="1" x14ac:dyDescent="0.25">
      <c r="B219" s="313"/>
      <c r="C219" s="19"/>
      <c r="D219" s="5"/>
      <c r="E219" s="5"/>
      <c r="F219" s="5"/>
      <c r="G219" s="5"/>
      <c r="H219" s="105"/>
      <c r="I219" s="21"/>
      <c r="J219" s="5"/>
      <c r="K219" s="5"/>
      <c r="L219" s="22"/>
      <c r="M219" s="5"/>
      <c r="N219" s="5"/>
      <c r="O219" s="5"/>
      <c r="P219" s="5"/>
      <c r="Q219" s="5"/>
      <c r="R219" s="5"/>
      <c r="S219" s="169"/>
      <c r="T219" s="5"/>
      <c r="U219" s="5"/>
      <c r="V219" s="5" t="s">
        <v>3407</v>
      </c>
      <c r="W219" s="87"/>
      <c r="X219" s="90"/>
      <c r="Y219" s="90"/>
      <c r="Z219" s="87"/>
      <c r="AA219" s="87"/>
      <c r="AB219" s="87"/>
      <c r="AC219" s="87"/>
      <c r="AD219" s="205"/>
    </row>
    <row r="220" spans="1:39" s="76" customFormat="1" x14ac:dyDescent="0.2">
      <c r="B220" s="314"/>
      <c r="C220" s="11"/>
      <c r="D220" s="12"/>
      <c r="E220" s="12"/>
      <c r="F220" s="12"/>
      <c r="G220" s="12"/>
      <c r="H220" s="504"/>
      <c r="I220" s="14"/>
      <c r="J220" s="12"/>
      <c r="K220" s="12"/>
      <c r="L220" s="15"/>
      <c r="M220" s="12"/>
      <c r="N220" s="12"/>
      <c r="O220" s="12"/>
      <c r="P220" s="12"/>
      <c r="Q220" s="12"/>
      <c r="R220" s="12"/>
      <c r="S220" s="91"/>
      <c r="T220" s="12"/>
      <c r="U220" s="12"/>
      <c r="V220" s="12"/>
      <c r="W220" s="80"/>
      <c r="X220" s="82"/>
      <c r="Y220" s="82"/>
      <c r="Z220" s="80"/>
      <c r="AA220" s="80"/>
      <c r="AB220" s="80"/>
      <c r="AC220" s="80"/>
      <c r="AD220" s="205"/>
    </row>
    <row r="221" spans="1:39" s="76" customFormat="1" x14ac:dyDescent="0.2">
      <c r="B221" s="312" t="s">
        <v>78</v>
      </c>
      <c r="C221" s="16" t="s">
        <v>79</v>
      </c>
      <c r="D221" s="6"/>
      <c r="E221" s="6"/>
      <c r="F221" s="6" t="s">
        <v>3398</v>
      </c>
      <c r="G221" s="6"/>
      <c r="H221" s="17">
        <v>36500</v>
      </c>
      <c r="I221" s="39" t="s">
        <v>3374</v>
      </c>
      <c r="J221" s="7">
        <v>36875</v>
      </c>
      <c r="K221" s="7"/>
      <c r="L221" s="23" t="s">
        <v>3399</v>
      </c>
      <c r="M221" s="18" t="s">
        <v>280</v>
      </c>
      <c r="N221" s="6" t="s">
        <v>110</v>
      </c>
      <c r="O221" s="6"/>
      <c r="P221" s="6"/>
      <c r="Q221" s="6"/>
      <c r="R221" s="6"/>
      <c r="S221" s="142">
        <v>36965</v>
      </c>
      <c r="T221" s="7">
        <v>36962</v>
      </c>
      <c r="U221" s="7"/>
      <c r="V221" s="6" t="s">
        <v>3408</v>
      </c>
      <c r="W221" s="70" t="s">
        <v>3409</v>
      </c>
      <c r="X221" s="75"/>
      <c r="Y221" s="75"/>
      <c r="Z221" s="70"/>
      <c r="AA221" s="70" t="s">
        <v>211</v>
      </c>
      <c r="AB221" s="70" t="s">
        <v>211</v>
      </c>
      <c r="AC221" s="70"/>
      <c r="AD221" s="205" t="str">
        <f>IF(T221&lt;=L221,"en término","atrasado")</f>
        <v>en término</v>
      </c>
    </row>
    <row r="222" spans="1:39" s="76" customFormat="1" ht="12" thickBot="1" x14ac:dyDescent="0.25">
      <c r="B222" s="313"/>
      <c r="C222" s="19"/>
      <c r="D222" s="5"/>
      <c r="E222" s="5"/>
      <c r="F222" s="5" t="s">
        <v>3402</v>
      </c>
      <c r="G222" s="5"/>
      <c r="H222" s="105"/>
      <c r="I222" s="21"/>
      <c r="J222" s="5"/>
      <c r="K222" s="5"/>
      <c r="L222" s="22"/>
      <c r="M222" s="5"/>
      <c r="N222" s="5"/>
      <c r="O222" s="5"/>
      <c r="P222" s="5"/>
      <c r="Q222" s="5"/>
      <c r="R222" s="5"/>
      <c r="S222" s="169" t="s">
        <v>3410</v>
      </c>
      <c r="T222" s="5"/>
      <c r="U222" s="5"/>
      <c r="V222" s="5" t="s">
        <v>3411</v>
      </c>
      <c r="W222" s="87"/>
      <c r="X222" s="90"/>
      <c r="Y222" s="90"/>
      <c r="Z222" s="87"/>
      <c r="AA222" s="87"/>
      <c r="AB222" s="87"/>
      <c r="AC222" s="87"/>
      <c r="AD222" s="205"/>
    </row>
    <row r="223" spans="1:39" s="76" customFormat="1" x14ac:dyDescent="0.2">
      <c r="B223" s="314"/>
      <c r="C223" s="11"/>
      <c r="D223" s="12"/>
      <c r="E223" s="12"/>
      <c r="F223" s="12"/>
      <c r="G223" s="12"/>
      <c r="H223" s="504"/>
      <c r="I223" s="14"/>
      <c r="J223" s="12"/>
      <c r="K223" s="12"/>
      <c r="L223" s="15"/>
      <c r="M223" s="12"/>
      <c r="N223" s="12"/>
      <c r="O223" s="12"/>
      <c r="P223" s="12"/>
      <c r="Q223" s="12"/>
      <c r="R223" s="12"/>
      <c r="S223" s="141"/>
      <c r="T223" s="12"/>
      <c r="U223" s="12"/>
      <c r="V223" s="12"/>
      <c r="W223" s="80"/>
      <c r="X223" s="82"/>
      <c r="Y223" s="82"/>
      <c r="Z223" s="80"/>
      <c r="AA223" s="80"/>
      <c r="AB223" s="80"/>
      <c r="AC223" s="80"/>
      <c r="AD223" s="205"/>
    </row>
    <row r="224" spans="1:39" s="76" customFormat="1" x14ac:dyDescent="0.2">
      <c r="B224" s="312" t="s">
        <v>78</v>
      </c>
      <c r="C224" s="16" t="s">
        <v>3165</v>
      </c>
      <c r="D224" s="6" t="s">
        <v>3412</v>
      </c>
      <c r="E224" s="6"/>
      <c r="F224" s="6">
        <v>120650</v>
      </c>
      <c r="G224" s="6"/>
      <c r="H224" s="17">
        <v>19130</v>
      </c>
      <c r="I224" s="39" t="s">
        <v>3184</v>
      </c>
      <c r="J224" s="7">
        <v>36915</v>
      </c>
      <c r="K224" s="7"/>
      <c r="L224" s="23">
        <v>36994</v>
      </c>
      <c r="M224" s="18" t="s">
        <v>3298</v>
      </c>
      <c r="N224" s="6" t="s">
        <v>42</v>
      </c>
      <c r="O224" s="6"/>
      <c r="P224" s="6"/>
      <c r="Q224" s="6"/>
      <c r="R224" s="6"/>
      <c r="S224" s="23">
        <v>36985</v>
      </c>
      <c r="T224" s="23">
        <v>37000</v>
      </c>
      <c r="U224" s="23"/>
      <c r="V224" s="6" t="s">
        <v>3329</v>
      </c>
      <c r="W224" s="70">
        <v>708</v>
      </c>
      <c r="X224" s="75"/>
      <c r="Y224" s="75"/>
      <c r="Z224" s="70">
        <v>6512520593</v>
      </c>
      <c r="AA224" s="70" t="s">
        <v>211</v>
      </c>
      <c r="AB224" s="70" t="s">
        <v>211</v>
      </c>
      <c r="AC224" s="70"/>
      <c r="AD224" s="207" t="str">
        <f>IF(T224&lt;=L224,"en término","atrasado")</f>
        <v>atrasado</v>
      </c>
    </row>
    <row r="225" spans="2:30" s="76" customFormat="1" ht="12" thickBot="1" x14ac:dyDescent="0.25">
      <c r="B225" s="313"/>
      <c r="C225" s="19"/>
      <c r="D225" s="5"/>
      <c r="E225" s="5"/>
      <c r="F225" s="5"/>
      <c r="G225" s="5"/>
      <c r="H225" s="105"/>
      <c r="I225" s="21"/>
      <c r="J225" s="5"/>
      <c r="K225" s="5"/>
      <c r="L225" s="22"/>
      <c r="M225" s="5"/>
      <c r="N225" s="5"/>
      <c r="O225" s="5"/>
      <c r="P225" s="5"/>
      <c r="Q225" s="5"/>
      <c r="R225" s="5"/>
      <c r="S225" s="132"/>
      <c r="T225" s="22" t="s">
        <v>3413</v>
      </c>
      <c r="U225" s="22"/>
      <c r="V225" s="183"/>
      <c r="W225" s="87"/>
      <c r="X225" s="90"/>
      <c r="Y225" s="90"/>
      <c r="Z225" s="87"/>
      <c r="AA225" s="87"/>
      <c r="AB225" s="87"/>
      <c r="AC225" s="87"/>
      <c r="AD225" s="205"/>
    </row>
    <row r="226" spans="2:30" s="76" customFormat="1" x14ac:dyDescent="0.2">
      <c r="B226" s="314"/>
      <c r="C226" s="11"/>
      <c r="D226" s="12"/>
      <c r="E226" s="12"/>
      <c r="F226" s="12"/>
      <c r="G226" s="12"/>
      <c r="H226" s="504"/>
      <c r="I226" s="14"/>
      <c r="J226" s="12"/>
      <c r="K226" s="12"/>
      <c r="L226" s="15"/>
      <c r="M226" s="12"/>
      <c r="N226" s="12"/>
      <c r="O226" s="12"/>
      <c r="P226" s="12"/>
      <c r="Q226" s="12"/>
      <c r="R226" s="12"/>
      <c r="S226" s="91"/>
      <c r="T226" s="12"/>
      <c r="U226" s="12"/>
      <c r="V226" s="12"/>
      <c r="W226" s="80"/>
      <c r="X226" s="82"/>
      <c r="Y226" s="82"/>
      <c r="Z226" s="80"/>
      <c r="AA226" s="80"/>
      <c r="AB226" s="80"/>
      <c r="AC226" s="80"/>
      <c r="AD226" s="205"/>
    </row>
    <row r="227" spans="2:30" s="76" customFormat="1" x14ac:dyDescent="0.2">
      <c r="B227" s="312" t="s">
        <v>78</v>
      </c>
      <c r="C227" s="16" t="s">
        <v>79</v>
      </c>
      <c r="D227" s="6"/>
      <c r="E227" s="6"/>
      <c r="F227" s="6" t="s">
        <v>3392</v>
      </c>
      <c r="G227" s="6"/>
      <c r="H227" s="17">
        <v>14455.48</v>
      </c>
      <c r="I227" s="39" t="s">
        <v>3374</v>
      </c>
      <c r="J227" s="7"/>
      <c r="K227" s="7"/>
      <c r="L227" s="23"/>
      <c r="M227" s="18" t="s">
        <v>280</v>
      </c>
      <c r="N227" s="6" t="s">
        <v>110</v>
      </c>
      <c r="O227" s="6"/>
      <c r="P227" s="6"/>
      <c r="Q227" s="6"/>
      <c r="R227" s="6"/>
      <c r="S227" s="142"/>
      <c r="T227" s="7">
        <v>36920</v>
      </c>
      <c r="U227" s="7"/>
      <c r="V227" s="6" t="s">
        <v>3408</v>
      </c>
      <c r="W227" s="70" t="s">
        <v>3414</v>
      </c>
      <c r="X227" s="75"/>
      <c r="Y227" s="75"/>
      <c r="Z227" s="70"/>
      <c r="AA227" s="70" t="s">
        <v>211</v>
      </c>
      <c r="AB227" s="70"/>
      <c r="AC227" s="70"/>
      <c r="AD227" s="208"/>
    </row>
    <row r="228" spans="2:30" s="76" customFormat="1" ht="12" thickBot="1" x14ac:dyDescent="0.25">
      <c r="B228" s="313"/>
      <c r="C228" s="19"/>
      <c r="D228" s="5"/>
      <c r="E228" s="5"/>
      <c r="F228" s="5" t="s">
        <v>3396</v>
      </c>
      <c r="G228" s="5"/>
      <c r="H228" s="26"/>
      <c r="I228" s="21"/>
      <c r="J228" s="5"/>
      <c r="K228" s="5"/>
      <c r="L228" s="22"/>
      <c r="M228" s="5"/>
      <c r="N228" s="5"/>
      <c r="O228" s="5"/>
      <c r="P228" s="5"/>
      <c r="Q228" s="5"/>
      <c r="R228" s="5"/>
      <c r="S228" s="169"/>
      <c r="T228" s="5"/>
      <c r="U228" s="5"/>
      <c r="V228" s="5" t="s">
        <v>3415</v>
      </c>
      <c r="W228" s="87"/>
      <c r="X228" s="90"/>
      <c r="Y228" s="90"/>
      <c r="Z228" s="87"/>
      <c r="AA228" s="87"/>
      <c r="AB228" s="87"/>
      <c r="AC228" s="87"/>
      <c r="AD228" s="205"/>
    </row>
    <row r="229" spans="2:30" s="76" customFormat="1" x14ac:dyDescent="0.2">
      <c r="B229" s="314"/>
      <c r="C229" s="11"/>
      <c r="D229" s="12"/>
      <c r="E229" s="12"/>
      <c r="F229" s="12"/>
      <c r="G229" s="12"/>
      <c r="H229" s="504"/>
      <c r="I229" s="14"/>
      <c r="J229" s="12"/>
      <c r="K229" s="12"/>
      <c r="L229" s="15"/>
      <c r="M229" s="12"/>
      <c r="N229" s="12"/>
      <c r="O229" s="12"/>
      <c r="P229" s="12"/>
      <c r="Q229" s="12"/>
      <c r="R229" s="12"/>
      <c r="S229" s="91"/>
      <c r="T229" s="12"/>
      <c r="U229" s="12"/>
      <c r="V229" s="12"/>
      <c r="W229" s="80"/>
      <c r="X229" s="82"/>
      <c r="Y229" s="82"/>
      <c r="Z229" s="80"/>
      <c r="AA229" s="80"/>
      <c r="AB229" s="80"/>
      <c r="AC229" s="80"/>
      <c r="AD229" s="205"/>
    </row>
    <row r="230" spans="2:30" s="76" customFormat="1" x14ac:dyDescent="0.2">
      <c r="B230" s="312" t="s">
        <v>78</v>
      </c>
      <c r="C230" s="16" t="s">
        <v>3165</v>
      </c>
      <c r="D230" s="6"/>
      <c r="E230" s="6"/>
      <c r="F230" s="6">
        <v>121336</v>
      </c>
      <c r="G230" s="6"/>
      <c r="H230" s="17">
        <v>41442</v>
      </c>
      <c r="I230" s="39" t="s">
        <v>3184</v>
      </c>
      <c r="J230" s="7">
        <v>36962</v>
      </c>
      <c r="K230" s="7"/>
      <c r="L230" s="23">
        <v>37022</v>
      </c>
      <c r="M230" s="18" t="s">
        <v>280</v>
      </c>
      <c r="N230" s="6" t="s">
        <v>110</v>
      </c>
      <c r="O230" s="6"/>
      <c r="P230" s="6"/>
      <c r="Q230" s="6"/>
      <c r="R230" s="6"/>
      <c r="S230" s="142"/>
      <c r="T230" s="7">
        <v>37033</v>
      </c>
      <c r="U230" s="7"/>
      <c r="V230" s="6" t="s">
        <v>3416</v>
      </c>
      <c r="W230" s="70" t="s">
        <v>3417</v>
      </c>
      <c r="X230" s="75"/>
      <c r="Y230" s="75"/>
      <c r="Z230" s="70"/>
      <c r="AA230" s="70" t="s">
        <v>211</v>
      </c>
      <c r="AB230" s="70"/>
      <c r="AC230" s="70"/>
      <c r="AD230" s="208"/>
    </row>
    <row r="231" spans="2:30" s="76" customFormat="1" ht="12" thickBot="1" x14ac:dyDescent="0.25">
      <c r="B231" s="313"/>
      <c r="C231" s="19"/>
      <c r="D231" s="5"/>
      <c r="E231" s="5"/>
      <c r="F231" s="5"/>
      <c r="G231" s="5"/>
      <c r="H231" s="105"/>
      <c r="I231" s="21"/>
      <c r="J231" s="5"/>
      <c r="K231" s="5"/>
      <c r="L231" s="22"/>
      <c r="M231" s="5"/>
      <c r="N231" s="5"/>
      <c r="O231" s="5"/>
      <c r="P231" s="5"/>
      <c r="Q231" s="5"/>
      <c r="R231" s="5"/>
      <c r="S231" s="169"/>
      <c r="T231" s="5" t="s">
        <v>3418</v>
      </c>
      <c r="U231" s="5"/>
      <c r="V231" s="5"/>
      <c r="W231" s="87"/>
      <c r="X231" s="90"/>
      <c r="Y231" s="90"/>
      <c r="Z231" s="87"/>
      <c r="AA231" s="87"/>
      <c r="AB231" s="87"/>
      <c r="AC231" s="87"/>
      <c r="AD231" s="205"/>
    </row>
    <row r="232" spans="2:30" s="76" customFormat="1" x14ac:dyDescent="0.2">
      <c r="B232" s="314"/>
      <c r="C232" s="11"/>
      <c r="D232" s="12"/>
      <c r="E232" s="12"/>
      <c r="F232" s="12"/>
      <c r="G232" s="12"/>
      <c r="H232" s="504"/>
      <c r="I232" s="14"/>
      <c r="J232" s="12"/>
      <c r="K232" s="12"/>
      <c r="L232" s="15"/>
      <c r="M232" s="12"/>
      <c r="N232" s="12"/>
      <c r="O232" s="12"/>
      <c r="P232" s="12"/>
      <c r="Q232" s="12"/>
      <c r="R232" s="12"/>
      <c r="S232" s="141"/>
      <c r="T232" s="12"/>
      <c r="U232" s="12"/>
      <c r="V232" s="12"/>
      <c r="W232" s="80"/>
      <c r="X232" s="82"/>
      <c r="Y232" s="82"/>
      <c r="Z232" s="80"/>
      <c r="AA232" s="80"/>
      <c r="AB232" s="80"/>
      <c r="AC232" s="80"/>
      <c r="AD232" s="205"/>
    </row>
    <row r="233" spans="2:30" s="76" customFormat="1" x14ac:dyDescent="0.2">
      <c r="B233" s="312" t="s">
        <v>78</v>
      </c>
      <c r="C233" s="16" t="s">
        <v>79</v>
      </c>
      <c r="D233" s="6" t="s">
        <v>3419</v>
      </c>
      <c r="E233" s="6"/>
      <c r="F233" s="6" t="s">
        <v>3420</v>
      </c>
      <c r="G233" s="6"/>
      <c r="H233" s="17">
        <v>129965</v>
      </c>
      <c r="I233" s="39" t="s">
        <v>3374</v>
      </c>
      <c r="J233" s="7">
        <v>36998</v>
      </c>
      <c r="K233" s="7"/>
      <c r="L233" s="23">
        <v>37041</v>
      </c>
      <c r="M233" s="18" t="s">
        <v>3298</v>
      </c>
      <c r="N233" s="6" t="s">
        <v>42</v>
      </c>
      <c r="O233" s="6"/>
      <c r="P233" s="6"/>
      <c r="Q233" s="6"/>
      <c r="R233" s="6"/>
      <c r="S233" s="23">
        <v>37042</v>
      </c>
      <c r="T233" s="7">
        <v>37046</v>
      </c>
      <c r="U233" s="7"/>
      <c r="V233" s="6" t="s">
        <v>3421</v>
      </c>
      <c r="W233" s="70">
        <v>721</v>
      </c>
      <c r="X233" s="75"/>
      <c r="Y233" s="75"/>
      <c r="Z233" s="70">
        <v>6512520700</v>
      </c>
      <c r="AA233" s="74">
        <v>37082</v>
      </c>
      <c r="AB233" s="74" t="s">
        <v>211</v>
      </c>
      <c r="AC233" s="70"/>
      <c r="AD233" s="207" t="str">
        <f>IF(T233&lt;=L233,"en término","atrasado")</f>
        <v>atrasado</v>
      </c>
    </row>
    <row r="234" spans="2:30" s="76" customFormat="1" ht="12" thickBot="1" x14ac:dyDescent="0.25">
      <c r="B234" s="313"/>
      <c r="C234" s="19"/>
      <c r="D234" s="5"/>
      <c r="E234" s="5"/>
      <c r="F234" s="5"/>
      <c r="G234" s="5"/>
      <c r="H234" s="105" t="s">
        <v>429</v>
      </c>
      <c r="I234" s="21"/>
      <c r="J234" s="5"/>
      <c r="K234" s="5"/>
      <c r="L234" s="22"/>
      <c r="M234" s="5"/>
      <c r="N234" s="5"/>
      <c r="O234" s="5"/>
      <c r="P234" s="5"/>
      <c r="Q234" s="5"/>
      <c r="R234" s="5"/>
      <c r="S234" s="127" t="s">
        <v>730</v>
      </c>
      <c r="T234" s="5"/>
      <c r="U234" s="5"/>
      <c r="V234" s="5" t="s">
        <v>3422</v>
      </c>
      <c r="W234" s="87"/>
      <c r="X234" s="90"/>
      <c r="Y234" s="90"/>
      <c r="Z234" s="87"/>
      <c r="AA234" s="87"/>
      <c r="AB234" s="87"/>
      <c r="AC234" s="87"/>
      <c r="AD234" s="205"/>
    </row>
    <row r="235" spans="2:30" s="76" customFormat="1" x14ac:dyDescent="0.2">
      <c r="B235" s="314"/>
      <c r="C235" s="11"/>
      <c r="D235" s="12"/>
      <c r="E235" s="12"/>
      <c r="F235" s="12"/>
      <c r="G235" s="12"/>
      <c r="H235" s="504"/>
      <c r="I235" s="14"/>
      <c r="J235" s="12"/>
      <c r="K235" s="12"/>
      <c r="L235" s="209">
        <v>37076</v>
      </c>
      <c r="M235" s="12"/>
      <c r="N235" s="12"/>
      <c r="O235" s="12"/>
      <c r="P235" s="12"/>
      <c r="Q235" s="12"/>
      <c r="R235" s="12"/>
      <c r="S235" s="141"/>
      <c r="T235" s="12"/>
      <c r="U235" s="12"/>
      <c r="V235" s="12"/>
      <c r="W235" s="80"/>
      <c r="X235" s="82"/>
      <c r="Y235" s="82"/>
      <c r="Z235" s="80"/>
      <c r="AA235" s="80"/>
      <c r="AB235" s="80"/>
      <c r="AC235" s="80"/>
      <c r="AD235" s="205"/>
    </row>
    <row r="236" spans="2:30" s="76" customFormat="1" x14ac:dyDescent="0.2">
      <c r="B236" s="312" t="s">
        <v>78</v>
      </c>
      <c r="C236" s="16" t="s">
        <v>3165</v>
      </c>
      <c r="D236" s="6" t="s">
        <v>3423</v>
      </c>
      <c r="E236" s="6"/>
      <c r="F236" s="6">
        <v>122579</v>
      </c>
      <c r="G236" s="6"/>
      <c r="H236" s="17">
        <v>10452.61</v>
      </c>
      <c r="I236" s="39" t="s">
        <v>3184</v>
      </c>
      <c r="J236" s="7">
        <v>37043</v>
      </c>
      <c r="K236" s="7"/>
      <c r="L236" s="23">
        <v>37099</v>
      </c>
      <c r="M236" s="18" t="s">
        <v>3298</v>
      </c>
      <c r="N236" s="6" t="s">
        <v>42</v>
      </c>
      <c r="O236" s="6"/>
      <c r="P236" s="6"/>
      <c r="Q236" s="6"/>
      <c r="R236" s="6"/>
      <c r="S236" s="23">
        <v>37071</v>
      </c>
      <c r="T236" s="7">
        <v>37099</v>
      </c>
      <c r="U236" s="7"/>
      <c r="V236" s="6" t="s">
        <v>3424</v>
      </c>
      <c r="W236" s="70">
        <v>732</v>
      </c>
      <c r="X236" s="75"/>
      <c r="Y236" s="75"/>
      <c r="Z236" s="70">
        <v>6515210726</v>
      </c>
      <c r="AA236" s="70" t="s">
        <v>211</v>
      </c>
      <c r="AB236" s="70" t="s">
        <v>211</v>
      </c>
      <c r="AC236" s="70"/>
      <c r="AD236" s="205" t="str">
        <f>IF(T236&lt;=L236,"en término","atrasado")</f>
        <v>en término</v>
      </c>
    </row>
    <row r="237" spans="2:30" s="76" customFormat="1" ht="12" thickBot="1" x14ac:dyDescent="0.25">
      <c r="B237" s="313"/>
      <c r="C237" s="19"/>
      <c r="D237" s="5"/>
      <c r="E237" s="5"/>
      <c r="F237" s="5"/>
      <c r="G237" s="5"/>
      <c r="H237" s="105"/>
      <c r="I237" s="21"/>
      <c r="J237" s="5"/>
      <c r="K237" s="5"/>
      <c r="L237" s="127" t="s">
        <v>3425</v>
      </c>
      <c r="M237" s="5"/>
      <c r="N237" s="5"/>
      <c r="O237" s="5"/>
      <c r="P237" s="5"/>
      <c r="Q237" s="5"/>
      <c r="R237" s="5"/>
      <c r="S237" s="127" t="s">
        <v>309</v>
      </c>
      <c r="T237" s="5"/>
      <c r="U237" s="5"/>
      <c r="V237" s="183"/>
      <c r="W237" s="87"/>
      <c r="X237" s="90"/>
      <c r="Y237" s="90"/>
      <c r="Z237" s="87"/>
      <c r="AA237" s="87"/>
      <c r="AB237" s="87"/>
      <c r="AC237" s="87"/>
      <c r="AD237" s="205"/>
    </row>
    <row r="238" spans="2:30" s="76" customFormat="1" x14ac:dyDescent="0.2">
      <c r="B238" s="314"/>
      <c r="C238" s="11"/>
      <c r="D238" s="12"/>
      <c r="E238" s="12"/>
      <c r="F238" s="12"/>
      <c r="G238" s="12"/>
      <c r="H238" s="504"/>
      <c r="I238" s="14"/>
      <c r="J238" s="12"/>
      <c r="K238" s="12"/>
      <c r="L238" s="209">
        <v>37088</v>
      </c>
      <c r="M238" s="12"/>
      <c r="N238" s="12"/>
      <c r="O238" s="12"/>
      <c r="P238" s="12"/>
      <c r="Q238" s="12"/>
      <c r="R238" s="12"/>
      <c r="S238" s="141"/>
      <c r="T238" s="12"/>
      <c r="U238" s="12"/>
      <c r="V238" s="12"/>
      <c r="W238" s="80"/>
      <c r="X238" s="82"/>
      <c r="Y238" s="82"/>
      <c r="Z238" s="80"/>
      <c r="AA238" s="80"/>
      <c r="AB238" s="80"/>
      <c r="AC238" s="80"/>
      <c r="AD238" s="205"/>
    </row>
    <row r="239" spans="2:30" s="76" customFormat="1" x14ac:dyDescent="0.2">
      <c r="B239" s="312" t="s">
        <v>78</v>
      </c>
      <c r="C239" s="16" t="s">
        <v>3165</v>
      </c>
      <c r="D239" s="6" t="s">
        <v>3426</v>
      </c>
      <c r="E239" s="6"/>
      <c r="F239" s="6">
        <v>122758</v>
      </c>
      <c r="G239" s="6"/>
      <c r="H239" s="17">
        <v>22321.11</v>
      </c>
      <c r="I239" s="39" t="s">
        <v>3184</v>
      </c>
      <c r="J239" s="7">
        <v>37054</v>
      </c>
      <c r="K239" s="7"/>
      <c r="L239" s="23">
        <v>37099</v>
      </c>
      <c r="M239" s="18" t="s">
        <v>3298</v>
      </c>
      <c r="N239" s="6" t="s">
        <v>42</v>
      </c>
      <c r="O239" s="6"/>
      <c r="P239" s="6"/>
      <c r="Q239" s="6"/>
      <c r="R239" s="6"/>
      <c r="S239" s="23">
        <v>37083</v>
      </c>
      <c r="T239" s="7">
        <v>37099</v>
      </c>
      <c r="U239" s="7"/>
      <c r="V239" s="6" t="s">
        <v>3424</v>
      </c>
      <c r="W239" s="70">
        <v>733</v>
      </c>
      <c r="X239" s="75"/>
      <c r="Y239" s="75"/>
      <c r="Z239" s="70">
        <v>6515210726</v>
      </c>
      <c r="AA239" s="70" t="s">
        <v>211</v>
      </c>
      <c r="AB239" s="70" t="s">
        <v>211</v>
      </c>
      <c r="AC239" s="70"/>
      <c r="AD239" s="205" t="str">
        <f>IF(T239&lt;=L239,"en término","atrasado")</f>
        <v>en término</v>
      </c>
    </row>
    <row r="240" spans="2:30" s="76" customFormat="1" ht="12" thickBot="1" x14ac:dyDescent="0.25">
      <c r="B240" s="313"/>
      <c r="C240" s="19"/>
      <c r="D240" s="5"/>
      <c r="E240" s="5"/>
      <c r="F240" s="5"/>
      <c r="G240" s="5"/>
      <c r="H240" s="105"/>
      <c r="I240" s="21"/>
      <c r="J240" s="5"/>
      <c r="K240" s="5"/>
      <c r="L240" s="22" t="s">
        <v>3425</v>
      </c>
      <c r="M240" s="5"/>
      <c r="N240" s="5"/>
      <c r="O240" s="5"/>
      <c r="P240" s="5"/>
      <c r="Q240" s="5"/>
      <c r="R240" s="5"/>
      <c r="S240" s="127" t="s">
        <v>309</v>
      </c>
      <c r="T240" s="5"/>
      <c r="U240" s="5"/>
      <c r="V240" s="183"/>
      <c r="W240" s="87"/>
      <c r="X240" s="90"/>
      <c r="Y240" s="90"/>
      <c r="Z240" s="87"/>
      <c r="AA240" s="87"/>
      <c r="AB240" s="87"/>
      <c r="AC240" s="87"/>
      <c r="AD240" s="205"/>
    </row>
    <row r="241" spans="2:30" s="76" customFormat="1" x14ac:dyDescent="0.2">
      <c r="B241" s="314"/>
      <c r="C241" s="11"/>
      <c r="D241" s="12"/>
      <c r="E241" s="12"/>
      <c r="F241" s="12"/>
      <c r="G241" s="12"/>
      <c r="H241" s="504"/>
      <c r="I241" s="14"/>
      <c r="J241" s="12"/>
      <c r="K241" s="12"/>
      <c r="L241" s="209">
        <v>37090</v>
      </c>
      <c r="M241" s="12"/>
      <c r="N241" s="12"/>
      <c r="O241" s="12"/>
      <c r="P241" s="12"/>
      <c r="Q241" s="12"/>
      <c r="R241" s="12"/>
      <c r="S241" s="141"/>
      <c r="T241" s="12"/>
      <c r="U241" s="12"/>
      <c r="V241" s="12"/>
      <c r="W241" s="80"/>
      <c r="X241" s="82"/>
      <c r="Y241" s="82"/>
      <c r="Z241" s="80"/>
      <c r="AA241" s="80"/>
      <c r="AB241" s="80"/>
      <c r="AC241" s="80"/>
      <c r="AD241" s="205"/>
    </row>
    <row r="242" spans="2:30" s="76" customFormat="1" x14ac:dyDescent="0.2">
      <c r="B242" s="312" t="s">
        <v>78</v>
      </c>
      <c r="C242" s="16" t="s">
        <v>3165</v>
      </c>
      <c r="D242" s="6" t="s">
        <v>3427</v>
      </c>
      <c r="E242" s="6"/>
      <c r="F242" s="6">
        <v>122802</v>
      </c>
      <c r="G242" s="6"/>
      <c r="H242" s="17">
        <v>34101.26</v>
      </c>
      <c r="I242" s="39" t="s">
        <v>3184</v>
      </c>
      <c r="J242" s="7">
        <v>37055</v>
      </c>
      <c r="K242" s="7"/>
      <c r="L242" s="23">
        <v>37099</v>
      </c>
      <c r="M242" s="18" t="s">
        <v>3298</v>
      </c>
      <c r="N242" s="6" t="s">
        <v>42</v>
      </c>
      <c r="O242" s="6"/>
      <c r="P242" s="6"/>
      <c r="Q242" s="6"/>
      <c r="R242" s="6"/>
      <c r="S242" s="23">
        <v>37085</v>
      </c>
      <c r="T242" s="7">
        <v>37099</v>
      </c>
      <c r="U242" s="7"/>
      <c r="V242" s="6" t="s">
        <v>3424</v>
      </c>
      <c r="W242" s="70">
        <v>734</v>
      </c>
      <c r="X242" s="75"/>
      <c r="Y242" s="75"/>
      <c r="Z242" s="70">
        <v>6515210726</v>
      </c>
      <c r="AA242" s="70" t="s">
        <v>211</v>
      </c>
      <c r="AB242" s="70" t="s">
        <v>211</v>
      </c>
      <c r="AC242" s="70"/>
      <c r="AD242" s="205" t="str">
        <f>IF(T242&lt;=L242,"en término","atrasado")</f>
        <v>en término</v>
      </c>
    </row>
    <row r="243" spans="2:30" s="76" customFormat="1" ht="12" thickBot="1" x14ac:dyDescent="0.25">
      <c r="B243" s="313"/>
      <c r="C243" s="19"/>
      <c r="D243" s="5"/>
      <c r="E243" s="5"/>
      <c r="F243" s="5"/>
      <c r="G243" s="5"/>
      <c r="H243" s="26" t="s">
        <v>3428</v>
      </c>
      <c r="I243" s="21"/>
      <c r="J243" s="5"/>
      <c r="K243" s="5"/>
      <c r="L243" s="22" t="s">
        <v>3425</v>
      </c>
      <c r="M243" s="5"/>
      <c r="N243" s="5"/>
      <c r="O243" s="5"/>
      <c r="P243" s="5"/>
      <c r="Q243" s="5"/>
      <c r="R243" s="5"/>
      <c r="S243" s="127" t="s">
        <v>309</v>
      </c>
      <c r="T243" s="5"/>
      <c r="U243" s="5"/>
      <c r="V243" s="183"/>
      <c r="W243" s="87"/>
      <c r="X243" s="90"/>
      <c r="Y243" s="90"/>
      <c r="Z243" s="87"/>
      <c r="AA243" s="87"/>
      <c r="AB243" s="87"/>
      <c r="AC243" s="87"/>
      <c r="AD243" s="205"/>
    </row>
    <row r="244" spans="2:30" s="76" customFormat="1" x14ac:dyDescent="0.2">
      <c r="B244" s="314"/>
      <c r="C244" s="11"/>
      <c r="D244" s="12"/>
      <c r="E244" s="12"/>
      <c r="F244" s="12"/>
      <c r="G244" s="12"/>
      <c r="H244" s="504"/>
      <c r="I244" s="14"/>
      <c r="J244" s="12"/>
      <c r="K244" s="12"/>
      <c r="L244" s="209"/>
      <c r="M244" s="12"/>
      <c r="N244" s="12"/>
      <c r="O244" s="12"/>
      <c r="P244" s="12"/>
      <c r="Q244" s="12"/>
      <c r="R244" s="12"/>
      <c r="S244" s="141"/>
      <c r="T244" s="12"/>
      <c r="U244" s="12"/>
      <c r="V244" s="12"/>
      <c r="W244" s="80"/>
      <c r="X244" s="82"/>
      <c r="Y244" s="82"/>
      <c r="Z244" s="80"/>
      <c r="AA244" s="80"/>
      <c r="AB244" s="80"/>
      <c r="AC244" s="80"/>
      <c r="AD244" s="205"/>
    </row>
    <row r="245" spans="2:30" s="76" customFormat="1" x14ac:dyDescent="0.2">
      <c r="B245" s="312" t="s">
        <v>78</v>
      </c>
      <c r="C245" s="16" t="s">
        <v>3165</v>
      </c>
      <c r="D245" s="6" t="s">
        <v>3429</v>
      </c>
      <c r="E245" s="6"/>
      <c r="F245" s="6">
        <v>122944</v>
      </c>
      <c r="G245" s="6"/>
      <c r="H245" s="17">
        <v>9169.5</v>
      </c>
      <c r="I245" s="39" t="s">
        <v>3184</v>
      </c>
      <c r="J245" s="7">
        <v>37068</v>
      </c>
      <c r="K245" s="7"/>
      <c r="L245" s="23">
        <v>37099</v>
      </c>
      <c r="M245" s="18" t="s">
        <v>3298</v>
      </c>
      <c r="N245" s="6" t="s">
        <v>42</v>
      </c>
      <c r="O245" s="6"/>
      <c r="P245" s="6"/>
      <c r="Q245" s="6"/>
      <c r="R245" s="6"/>
      <c r="S245" s="23">
        <v>37085</v>
      </c>
      <c r="T245" s="7">
        <v>37099</v>
      </c>
      <c r="U245" s="7"/>
      <c r="V245" s="6" t="s">
        <v>3424</v>
      </c>
      <c r="W245" s="70">
        <v>735</v>
      </c>
      <c r="X245" s="75"/>
      <c r="Y245" s="75"/>
      <c r="Z245" s="70">
        <v>6515210726</v>
      </c>
      <c r="AA245" s="70" t="s">
        <v>211</v>
      </c>
      <c r="AB245" s="70" t="s">
        <v>211</v>
      </c>
      <c r="AC245" s="70"/>
      <c r="AD245" s="205" t="str">
        <f>IF(T245&lt;=L245,"en término","atrasado")</f>
        <v>en término</v>
      </c>
    </row>
    <row r="246" spans="2:30" s="76" customFormat="1" ht="12" thickBot="1" x14ac:dyDescent="0.25">
      <c r="B246" s="313"/>
      <c r="C246" s="19"/>
      <c r="D246" s="5"/>
      <c r="E246" s="5"/>
      <c r="F246" s="5"/>
      <c r="G246" s="5"/>
      <c r="H246" s="105"/>
      <c r="I246" s="21"/>
      <c r="J246" s="5"/>
      <c r="K246" s="5"/>
      <c r="L246" s="22"/>
      <c r="M246" s="5"/>
      <c r="N246" s="5"/>
      <c r="O246" s="5"/>
      <c r="P246" s="5"/>
      <c r="Q246" s="5"/>
      <c r="R246" s="5"/>
      <c r="S246" s="127" t="s">
        <v>309</v>
      </c>
      <c r="T246" s="5"/>
      <c r="U246" s="5"/>
      <c r="V246" s="183"/>
      <c r="W246" s="87"/>
      <c r="X246" s="90"/>
      <c r="Y246" s="90"/>
      <c r="Z246" s="87"/>
      <c r="AA246" s="87"/>
      <c r="AB246" s="87"/>
      <c r="AC246" s="87"/>
      <c r="AD246" s="205"/>
    </row>
    <row r="247" spans="2:30" s="76" customFormat="1" x14ac:dyDescent="0.2">
      <c r="B247" s="314"/>
      <c r="C247" s="11"/>
      <c r="D247" s="12"/>
      <c r="E247" s="12"/>
      <c r="F247" s="12"/>
      <c r="G247" s="12"/>
      <c r="H247" s="504"/>
      <c r="I247" s="14"/>
      <c r="J247" s="12"/>
      <c r="K247" s="12"/>
      <c r="L247" s="15"/>
      <c r="M247" s="12"/>
      <c r="N247" s="12"/>
      <c r="O247" s="12"/>
      <c r="P247" s="12"/>
      <c r="Q247" s="12"/>
      <c r="R247" s="12"/>
      <c r="S247" s="141"/>
      <c r="T247" s="12"/>
      <c r="U247" s="12"/>
      <c r="V247" s="12" t="s">
        <v>3430</v>
      </c>
      <c r="W247" s="80"/>
      <c r="X247" s="82"/>
      <c r="Y247" s="82"/>
      <c r="Z247" s="80"/>
      <c r="AA247" s="80"/>
      <c r="AB247" s="80"/>
      <c r="AC247" s="80"/>
      <c r="AD247" s="205"/>
    </row>
    <row r="248" spans="2:30" s="76" customFormat="1" x14ac:dyDescent="0.2">
      <c r="B248" s="312" t="s">
        <v>78</v>
      </c>
      <c r="C248" s="16" t="s">
        <v>3165</v>
      </c>
      <c r="D248" s="6" t="s">
        <v>3427</v>
      </c>
      <c r="E248" s="6"/>
      <c r="F248" s="6">
        <v>122806</v>
      </c>
      <c r="G248" s="6"/>
      <c r="H248" s="17">
        <v>22030.65</v>
      </c>
      <c r="I248" s="39" t="s">
        <v>3184</v>
      </c>
      <c r="J248" s="7">
        <v>37055</v>
      </c>
      <c r="K248" s="7"/>
      <c r="L248" s="23">
        <v>37090</v>
      </c>
      <c r="M248" s="18" t="s">
        <v>280</v>
      </c>
      <c r="N248" s="6" t="s">
        <v>110</v>
      </c>
      <c r="O248" s="6"/>
      <c r="P248" s="6"/>
      <c r="Q248" s="6"/>
      <c r="R248" s="6"/>
      <c r="S248" s="23">
        <v>37104</v>
      </c>
      <c r="T248" s="7">
        <v>37085</v>
      </c>
      <c r="U248" s="7"/>
      <c r="V248" s="6" t="s">
        <v>3424</v>
      </c>
      <c r="W248" s="70" t="s">
        <v>3431</v>
      </c>
      <c r="X248" s="75"/>
      <c r="Y248" s="75"/>
      <c r="Z248" s="70"/>
      <c r="AA248" s="70" t="s">
        <v>318</v>
      </c>
      <c r="AB248" s="70"/>
      <c r="AC248" s="70"/>
      <c r="AD248" s="205" t="str">
        <f>IF(T248&lt;=L248,"en término","atrasado")</f>
        <v>en término</v>
      </c>
    </row>
    <row r="249" spans="2:30" s="76" customFormat="1" ht="12" thickBot="1" x14ac:dyDescent="0.25">
      <c r="B249" s="313"/>
      <c r="C249" s="19"/>
      <c r="D249" s="5"/>
      <c r="E249" s="5"/>
      <c r="F249" s="5"/>
      <c r="G249" s="5"/>
      <c r="H249" s="105"/>
      <c r="I249" s="21"/>
      <c r="J249" s="5"/>
      <c r="K249" s="5"/>
      <c r="L249" s="22"/>
      <c r="M249" s="5"/>
      <c r="N249" s="5"/>
      <c r="O249" s="5"/>
      <c r="P249" s="5"/>
      <c r="Q249" s="5"/>
      <c r="R249" s="5"/>
      <c r="S249" s="127"/>
      <c r="T249" s="5"/>
      <c r="U249" s="5"/>
      <c r="V249" s="183"/>
      <c r="W249" s="87"/>
      <c r="X249" s="90"/>
      <c r="Y249" s="90"/>
      <c r="Z249" s="87"/>
      <c r="AA249" s="87"/>
      <c r="AB249" s="87"/>
      <c r="AC249" s="87"/>
      <c r="AD249" s="205"/>
    </row>
    <row r="250" spans="2:30" s="76" customFormat="1" x14ac:dyDescent="0.2">
      <c r="B250" s="314"/>
      <c r="C250" s="11"/>
      <c r="D250" s="12"/>
      <c r="E250" s="12"/>
      <c r="F250" s="12"/>
      <c r="G250" s="12"/>
      <c r="H250" s="504"/>
      <c r="I250" s="14"/>
      <c r="J250" s="12"/>
      <c r="K250" s="12"/>
      <c r="L250" s="15"/>
      <c r="M250" s="12"/>
      <c r="N250" s="12"/>
      <c r="O250" s="12"/>
      <c r="P250" s="12"/>
      <c r="Q250" s="12"/>
      <c r="R250" s="12"/>
      <c r="S250" s="141"/>
      <c r="T250" s="12"/>
      <c r="U250" s="12"/>
      <c r="V250" s="12"/>
      <c r="W250" s="80"/>
      <c r="X250" s="82"/>
      <c r="Y250" s="82"/>
      <c r="Z250" s="80"/>
      <c r="AA250" s="80"/>
      <c r="AB250" s="80"/>
      <c r="AC250" s="80"/>
      <c r="AD250" s="205"/>
    </row>
    <row r="251" spans="2:30" s="76" customFormat="1" x14ac:dyDescent="0.2">
      <c r="B251" s="312" t="s">
        <v>78</v>
      </c>
      <c r="C251" s="16" t="s">
        <v>79</v>
      </c>
      <c r="D251" s="6" t="s">
        <v>3432</v>
      </c>
      <c r="E251" s="6"/>
      <c r="F251" s="6" t="s">
        <v>3433</v>
      </c>
      <c r="G251" s="6"/>
      <c r="H251" s="17">
        <v>2693</v>
      </c>
      <c r="I251" s="39" t="s">
        <v>3315</v>
      </c>
      <c r="J251" s="7">
        <v>37082</v>
      </c>
      <c r="K251" s="7"/>
      <c r="L251" s="23">
        <v>37124</v>
      </c>
      <c r="M251" s="18" t="s">
        <v>3298</v>
      </c>
      <c r="N251" s="6" t="s">
        <v>42</v>
      </c>
      <c r="O251" s="6"/>
      <c r="P251" s="6"/>
      <c r="Q251" s="6"/>
      <c r="R251" s="6"/>
      <c r="S251" s="23" t="s">
        <v>3434</v>
      </c>
      <c r="T251" s="7">
        <v>37140</v>
      </c>
      <c r="U251" s="7"/>
      <c r="V251" s="6" t="s">
        <v>3200</v>
      </c>
      <c r="W251" s="70">
        <v>749</v>
      </c>
      <c r="X251" s="75"/>
      <c r="Y251" s="75"/>
      <c r="Z251" s="70"/>
      <c r="AA251" s="70" t="s">
        <v>211</v>
      </c>
      <c r="AB251" s="70" t="s">
        <v>211</v>
      </c>
      <c r="AC251" s="70"/>
      <c r="AD251" s="207" t="str">
        <f>IF(T251&lt;=L251,"en término","atrasado")</f>
        <v>atrasado</v>
      </c>
    </row>
    <row r="252" spans="2:30" s="76" customFormat="1" ht="12" thickBot="1" x14ac:dyDescent="0.25">
      <c r="B252" s="313"/>
      <c r="C252" s="19"/>
      <c r="D252" s="5"/>
      <c r="E252" s="5"/>
      <c r="F252" s="5"/>
      <c r="G252" s="5"/>
      <c r="H252" s="105"/>
      <c r="I252" s="21"/>
      <c r="J252" s="5"/>
      <c r="K252" s="5"/>
      <c r="L252" s="22"/>
      <c r="M252" s="5"/>
      <c r="N252" s="5"/>
      <c r="O252" s="5"/>
      <c r="P252" s="5"/>
      <c r="Q252" s="5"/>
      <c r="R252" s="5"/>
      <c r="S252" s="127"/>
      <c r="T252" s="5"/>
      <c r="U252" s="5"/>
      <c r="V252" s="183"/>
      <c r="W252" s="87"/>
      <c r="X252" s="90"/>
      <c r="Y252" s="90"/>
      <c r="Z252" s="87"/>
      <c r="AA252" s="87"/>
      <c r="AB252" s="87"/>
      <c r="AC252" s="87"/>
      <c r="AD252" s="205"/>
    </row>
    <row r="253" spans="2:30" s="76" customFormat="1" x14ac:dyDescent="0.2">
      <c r="B253" s="314"/>
      <c r="C253" s="11"/>
      <c r="D253" s="12"/>
      <c r="E253" s="12"/>
      <c r="F253" s="12"/>
      <c r="G253" s="12"/>
      <c r="H253" s="504"/>
      <c r="I253" s="14"/>
      <c r="J253" s="12"/>
      <c r="K253" s="12"/>
      <c r="L253" s="15"/>
      <c r="M253" s="12"/>
      <c r="N253" s="12"/>
      <c r="O253" s="12"/>
      <c r="P253" s="12"/>
      <c r="Q253" s="12"/>
      <c r="R253" s="12"/>
      <c r="S253" s="134"/>
      <c r="T253" s="12"/>
      <c r="U253" s="12"/>
      <c r="V253" s="197"/>
      <c r="W253" s="80"/>
      <c r="X253" s="82"/>
      <c r="Y253" s="82"/>
      <c r="Z253" s="80"/>
      <c r="AA253" s="80"/>
      <c r="AB253" s="80"/>
      <c r="AC253" s="80"/>
      <c r="AD253" s="205"/>
    </row>
    <row r="254" spans="2:30" s="76" customFormat="1" x14ac:dyDescent="0.2">
      <c r="B254" s="312" t="s">
        <v>78</v>
      </c>
      <c r="C254" s="16" t="s">
        <v>3165</v>
      </c>
      <c r="D254" s="6" t="s">
        <v>3435</v>
      </c>
      <c r="E254" s="6"/>
      <c r="F254" s="6">
        <v>123103</v>
      </c>
      <c r="G254" s="6"/>
      <c r="H254" s="385">
        <v>52129.97</v>
      </c>
      <c r="I254" s="39" t="s">
        <v>3184</v>
      </c>
      <c r="J254" s="7">
        <v>37082</v>
      </c>
      <c r="K254" s="7"/>
      <c r="L254" s="23">
        <v>37128</v>
      </c>
      <c r="M254" s="18" t="s">
        <v>3298</v>
      </c>
      <c r="N254" s="6" t="s">
        <v>42</v>
      </c>
      <c r="O254" s="6"/>
      <c r="P254" s="6"/>
      <c r="Q254" s="6"/>
      <c r="R254" s="6"/>
      <c r="S254" s="23" t="s">
        <v>3434</v>
      </c>
      <c r="T254" s="7">
        <v>37127</v>
      </c>
      <c r="U254" s="7"/>
      <c r="V254" s="6" t="s">
        <v>3200</v>
      </c>
      <c r="W254" s="70">
        <v>750</v>
      </c>
      <c r="X254" s="75"/>
      <c r="Y254" s="75"/>
      <c r="Z254" s="70"/>
      <c r="AA254" s="70" t="s">
        <v>211</v>
      </c>
      <c r="AB254" s="70" t="s">
        <v>211</v>
      </c>
      <c r="AC254" s="70"/>
      <c r="AD254" s="205" t="str">
        <f>IF(T254&lt;=L254,"en término","atrasado")</f>
        <v>en término</v>
      </c>
    </row>
    <row r="255" spans="2:30" s="76" customFormat="1" ht="12" thickBot="1" x14ac:dyDescent="0.25">
      <c r="B255" s="313"/>
      <c r="C255" s="19"/>
      <c r="D255" s="5"/>
      <c r="E255" s="5"/>
      <c r="F255" s="5"/>
      <c r="G255" s="5"/>
      <c r="H255" s="105"/>
      <c r="I255" s="21"/>
      <c r="J255" s="5"/>
      <c r="K255" s="5"/>
      <c r="L255" s="22"/>
      <c r="M255" s="5"/>
      <c r="N255" s="5"/>
      <c r="O255" s="5"/>
      <c r="P255" s="5"/>
      <c r="Q255" s="5"/>
      <c r="R255" s="5"/>
      <c r="S255" s="127"/>
      <c r="T255" s="5"/>
      <c r="U255" s="5"/>
      <c r="V255" s="183"/>
      <c r="W255" s="87"/>
      <c r="X255" s="90"/>
      <c r="Y255" s="90"/>
      <c r="Z255" s="87"/>
      <c r="AA255" s="87"/>
      <c r="AB255" s="87"/>
      <c r="AC255" s="87"/>
      <c r="AD255" s="205"/>
    </row>
    <row r="256" spans="2:30" s="76" customFormat="1" x14ac:dyDescent="0.2">
      <c r="B256" s="314"/>
      <c r="C256" s="11"/>
      <c r="D256" s="12"/>
      <c r="E256" s="12"/>
      <c r="F256" s="12"/>
      <c r="G256" s="12"/>
      <c r="H256" s="504"/>
      <c r="I256" s="14"/>
      <c r="J256" s="12"/>
      <c r="K256" s="12"/>
      <c r="L256" s="15"/>
      <c r="M256" s="12"/>
      <c r="N256" s="12"/>
      <c r="O256" s="12"/>
      <c r="P256" s="12"/>
      <c r="Q256" s="12"/>
      <c r="R256" s="12"/>
      <c r="S256" s="141"/>
      <c r="T256" s="12"/>
      <c r="U256" s="12"/>
      <c r="V256" s="12"/>
      <c r="W256" s="80"/>
      <c r="X256" s="82"/>
      <c r="Y256" s="82"/>
      <c r="Z256" s="80"/>
      <c r="AA256" s="80"/>
      <c r="AB256" s="80"/>
      <c r="AC256" s="80"/>
    </row>
    <row r="257" spans="2:31" s="76" customFormat="1" x14ac:dyDescent="0.2">
      <c r="B257" s="312" t="s">
        <v>78</v>
      </c>
      <c r="C257" s="16" t="s">
        <v>3165</v>
      </c>
      <c r="D257" s="6" t="s">
        <v>3436</v>
      </c>
      <c r="E257" s="6"/>
      <c r="F257" s="6">
        <v>123850</v>
      </c>
      <c r="G257" s="6"/>
      <c r="H257" s="17">
        <v>51270</v>
      </c>
      <c r="I257" s="39" t="s">
        <v>3184</v>
      </c>
      <c r="J257" s="7">
        <v>37131</v>
      </c>
      <c r="K257" s="7"/>
      <c r="L257" s="23">
        <v>37200</v>
      </c>
      <c r="M257" s="18" t="s">
        <v>280</v>
      </c>
      <c r="N257" s="6"/>
      <c r="O257" s="6"/>
      <c r="P257" s="6"/>
      <c r="Q257" s="6"/>
      <c r="R257" s="6"/>
      <c r="S257" s="23">
        <v>37196</v>
      </c>
      <c r="T257" s="23">
        <v>37197</v>
      </c>
      <c r="U257" s="23"/>
      <c r="V257" s="6" t="s">
        <v>347</v>
      </c>
      <c r="W257" s="70" t="s">
        <v>3437</v>
      </c>
      <c r="X257" s="75"/>
      <c r="Y257" s="75"/>
      <c r="Z257" s="70"/>
      <c r="AA257" s="70" t="s">
        <v>318</v>
      </c>
      <c r="AB257" s="70"/>
      <c r="AC257" s="70"/>
    </row>
    <row r="258" spans="2:31" s="76" customFormat="1" ht="12" thickBot="1" x14ac:dyDescent="0.25">
      <c r="B258" s="313"/>
      <c r="C258" s="19"/>
      <c r="D258" s="5"/>
      <c r="E258" s="5"/>
      <c r="F258" s="5"/>
      <c r="G258" s="5"/>
      <c r="H258" s="105"/>
      <c r="I258" s="21"/>
      <c r="J258" s="5"/>
      <c r="K258" s="5"/>
      <c r="L258" s="22"/>
      <c r="M258" s="5"/>
      <c r="N258" s="5"/>
      <c r="O258" s="5"/>
      <c r="P258" s="5"/>
      <c r="Q258" s="5"/>
      <c r="R258" s="5"/>
      <c r="S258" s="127"/>
      <c r="T258" s="5"/>
      <c r="U258" s="5"/>
      <c r="V258" s="183" t="s">
        <v>3438</v>
      </c>
      <c r="W258" s="87"/>
      <c r="X258" s="90"/>
      <c r="Y258" s="90"/>
      <c r="Z258" s="87"/>
      <c r="AA258" s="87"/>
      <c r="AB258" s="87"/>
      <c r="AC258" s="87"/>
    </row>
    <row r="259" spans="2:31" s="76" customFormat="1" x14ac:dyDescent="0.2">
      <c r="B259" s="314"/>
      <c r="C259" s="11"/>
      <c r="D259" s="12"/>
      <c r="E259" s="12"/>
      <c r="F259" s="12"/>
      <c r="G259" s="12"/>
      <c r="H259" s="504"/>
      <c r="I259" s="14"/>
      <c r="J259" s="12"/>
      <c r="K259" s="12"/>
      <c r="L259" s="15"/>
      <c r="M259" s="12"/>
      <c r="N259" s="12"/>
      <c r="O259" s="12"/>
      <c r="P259" s="12"/>
      <c r="Q259" s="12"/>
      <c r="R259" s="12"/>
      <c r="S259" s="141"/>
      <c r="T259" s="12"/>
      <c r="U259" s="12"/>
      <c r="V259" s="12"/>
      <c r="W259" s="80"/>
      <c r="X259" s="82"/>
      <c r="Y259" s="82"/>
      <c r="Z259" s="80"/>
      <c r="AA259" s="80" t="s">
        <v>559</v>
      </c>
      <c r="AB259" s="80" t="s">
        <v>3439</v>
      </c>
      <c r="AC259" s="12"/>
    </row>
    <row r="260" spans="2:31" s="76" customFormat="1" x14ac:dyDescent="0.2">
      <c r="B260" s="312" t="s">
        <v>78</v>
      </c>
      <c r="C260" s="16" t="s">
        <v>79</v>
      </c>
      <c r="D260" s="6" t="s">
        <v>3440</v>
      </c>
      <c r="E260" s="6"/>
      <c r="F260" s="6" t="s">
        <v>3441</v>
      </c>
      <c r="G260" s="6"/>
      <c r="H260" s="17">
        <v>158930</v>
      </c>
      <c r="I260" s="39" t="s">
        <v>3374</v>
      </c>
      <c r="J260" s="7">
        <v>37173</v>
      </c>
      <c r="K260" s="7"/>
      <c r="L260" s="23">
        <v>37240</v>
      </c>
      <c r="M260" s="18" t="s">
        <v>257</v>
      </c>
      <c r="N260" s="6" t="s">
        <v>42</v>
      </c>
      <c r="O260" s="6"/>
      <c r="P260" s="6"/>
      <c r="Q260" s="6"/>
      <c r="R260" s="6"/>
      <c r="S260" s="23">
        <v>37215</v>
      </c>
      <c r="T260" s="7">
        <v>37216</v>
      </c>
      <c r="U260" s="7"/>
      <c r="V260" s="6" t="s">
        <v>3442</v>
      </c>
      <c r="W260" s="70">
        <v>769</v>
      </c>
      <c r="X260" s="75"/>
      <c r="Y260" s="75"/>
      <c r="Z260" s="70">
        <v>6584205040</v>
      </c>
      <c r="AA260" s="74">
        <v>37252</v>
      </c>
      <c r="AB260" s="74" t="s">
        <v>3443</v>
      </c>
      <c r="AC260" s="6"/>
      <c r="AD260" s="205" t="str">
        <f>IF(T260&lt;=L260,"en término","atrasado")</f>
        <v>en término</v>
      </c>
    </row>
    <row r="261" spans="2:31" s="76" customFormat="1" ht="12" thickBot="1" x14ac:dyDescent="0.25">
      <c r="B261" s="313"/>
      <c r="C261" s="19"/>
      <c r="D261" s="5"/>
      <c r="E261" s="5"/>
      <c r="F261" s="5"/>
      <c r="G261" s="5"/>
      <c r="H261" s="105"/>
      <c r="I261" s="21"/>
      <c r="J261" s="5"/>
      <c r="K261" s="5"/>
      <c r="L261" s="22" t="s">
        <v>3444</v>
      </c>
      <c r="M261" s="5"/>
      <c r="N261" s="5"/>
      <c r="O261" s="5"/>
      <c r="P261" s="5"/>
      <c r="Q261" s="5"/>
      <c r="R261" s="5"/>
      <c r="S261" s="127" t="s">
        <v>3445</v>
      </c>
      <c r="T261" s="5"/>
      <c r="U261" s="5"/>
      <c r="V261" s="183" t="s">
        <v>3446</v>
      </c>
      <c r="W261" s="87"/>
      <c r="X261" s="90"/>
      <c r="Y261" s="90"/>
      <c r="Z261" s="87"/>
      <c r="AA261" s="87"/>
      <c r="AB261" s="70" t="s">
        <v>3447</v>
      </c>
      <c r="AC261" s="6"/>
      <c r="AE261" s="76" t="s">
        <v>3448</v>
      </c>
    </row>
    <row r="262" spans="2:31" s="76" customFormat="1" x14ac:dyDescent="0.2">
      <c r="B262" s="314"/>
      <c r="C262" s="11"/>
      <c r="D262" s="12"/>
      <c r="E262" s="12"/>
      <c r="F262" s="12"/>
      <c r="G262" s="12"/>
      <c r="H262" s="504"/>
      <c r="I262" s="14"/>
      <c r="J262" s="12"/>
      <c r="K262" s="12"/>
      <c r="L262" s="15"/>
      <c r="M262" s="12"/>
      <c r="N262" s="12" t="s">
        <v>710</v>
      </c>
      <c r="O262" s="12"/>
      <c r="P262" s="12"/>
      <c r="Q262" s="12"/>
      <c r="R262" s="12"/>
      <c r="S262" s="141"/>
      <c r="T262" s="12"/>
      <c r="U262" s="12"/>
      <c r="V262" s="12"/>
      <c r="W262" s="80"/>
      <c r="X262" s="82"/>
      <c r="Y262" s="82"/>
      <c r="Z262" s="80"/>
      <c r="AA262" s="80"/>
      <c r="AB262" s="80"/>
      <c r="AC262" s="80"/>
    </row>
    <row r="263" spans="2:31" s="76" customFormat="1" x14ac:dyDescent="0.2">
      <c r="B263" s="312" t="s">
        <v>78</v>
      </c>
      <c r="C263" s="16" t="s">
        <v>79</v>
      </c>
      <c r="D263" s="6"/>
      <c r="E263" s="6"/>
      <c r="F263" s="6" t="s">
        <v>3441</v>
      </c>
      <c r="G263" s="6"/>
      <c r="H263" s="17">
        <v>33948</v>
      </c>
      <c r="I263" s="39" t="s">
        <v>3374</v>
      </c>
      <c r="J263" s="7">
        <v>37173</v>
      </c>
      <c r="K263" s="7"/>
      <c r="L263" s="23">
        <v>37240</v>
      </c>
      <c r="M263" s="18" t="s">
        <v>280</v>
      </c>
      <c r="N263" s="6" t="s">
        <v>3449</v>
      </c>
      <c r="O263" s="6"/>
      <c r="P263" s="6"/>
      <c r="Q263" s="6"/>
      <c r="R263" s="6"/>
      <c r="S263" s="23">
        <v>37586</v>
      </c>
      <c r="T263" s="7">
        <v>37226</v>
      </c>
      <c r="U263" s="7"/>
      <c r="V263" s="6" t="s">
        <v>347</v>
      </c>
      <c r="W263" s="70"/>
      <c r="X263" s="75"/>
      <c r="Y263" s="75"/>
      <c r="Z263" s="70"/>
      <c r="AA263" s="70"/>
      <c r="AB263" s="70"/>
      <c r="AC263" s="70"/>
    </row>
    <row r="264" spans="2:31" s="76" customFormat="1" ht="12" thickBot="1" x14ac:dyDescent="0.25">
      <c r="B264" s="313"/>
      <c r="C264" s="19"/>
      <c r="D264" s="5"/>
      <c r="E264" s="5"/>
      <c r="F264" s="5"/>
      <c r="G264" s="5"/>
      <c r="H264" s="105"/>
      <c r="I264" s="21"/>
      <c r="J264" s="5"/>
      <c r="K264" s="5"/>
      <c r="L264" s="22" t="s">
        <v>3444</v>
      </c>
      <c r="M264" s="5"/>
      <c r="N264" s="5" t="s">
        <v>3450</v>
      </c>
      <c r="O264" s="5"/>
      <c r="P264" s="5"/>
      <c r="Q264" s="5"/>
      <c r="R264" s="5"/>
      <c r="S264" s="127" t="s">
        <v>3451</v>
      </c>
      <c r="T264" s="5"/>
      <c r="U264" s="5"/>
      <c r="V264" s="5" t="s">
        <v>3452</v>
      </c>
      <c r="W264" s="87"/>
      <c r="X264" s="90"/>
      <c r="Y264" s="90"/>
      <c r="Z264" s="87"/>
      <c r="AA264" s="87"/>
      <c r="AB264" s="87"/>
      <c r="AC264" s="87"/>
    </row>
    <row r="265" spans="2:31" x14ac:dyDescent="0.2">
      <c r="W265" s="38"/>
      <c r="X265" s="38"/>
      <c r="Y265" s="38"/>
      <c r="Z265" s="37"/>
      <c r="AC265" s="38"/>
    </row>
    <row r="266" spans="2:31" ht="12.75" x14ac:dyDescent="0.2">
      <c r="AA266" s="1">
        <v>2001</v>
      </c>
      <c r="AB266" s="1047"/>
    </row>
    <row r="267" spans="2:31" ht="12.75" x14ac:dyDescent="0.2">
      <c r="AA267" s="945" t="s">
        <v>813</v>
      </c>
      <c r="AB267" s="1048">
        <f>COUNTA(AD214:AD264)</f>
        <v>13</v>
      </c>
    </row>
    <row r="268" spans="2:31" ht="12.75" x14ac:dyDescent="0.2">
      <c r="AA268" s="945" t="s">
        <v>815</v>
      </c>
      <c r="AB268" s="1048">
        <f>COUNTIF(AD214:AD3019,"en término")</f>
        <v>95</v>
      </c>
    </row>
    <row r="269" spans="2:31" ht="12.75" x14ac:dyDescent="0.2">
      <c r="AA269" s="945" t="s">
        <v>817</v>
      </c>
      <c r="AB269" s="557">
        <f>+AB268/AB267</f>
        <v>7.3076923076923075</v>
      </c>
    </row>
    <row r="274" spans="1:39" ht="12" thickBot="1" x14ac:dyDescent="0.25"/>
    <row r="275" spans="1:39" s="556" customFormat="1" ht="39.950000000000003" customHeight="1" thickBot="1" x14ac:dyDescent="0.4">
      <c r="B275" s="1611">
        <v>2002</v>
      </c>
      <c r="C275" s="1612"/>
      <c r="D275" s="1612"/>
      <c r="E275" s="1612"/>
      <c r="F275" s="1612"/>
      <c r="G275" s="1612"/>
      <c r="H275" s="1612"/>
      <c r="I275" s="1612"/>
      <c r="J275" s="1612"/>
      <c r="K275" s="1612"/>
      <c r="L275" s="1612"/>
      <c r="M275" s="1612"/>
      <c r="N275" s="1612"/>
      <c r="O275" s="1612"/>
      <c r="P275" s="1612"/>
      <c r="Q275" s="1612"/>
      <c r="R275" s="1612"/>
      <c r="S275" s="1612"/>
      <c r="T275" s="1612"/>
      <c r="U275" s="1612"/>
      <c r="V275" s="1612"/>
      <c r="W275" s="1612"/>
      <c r="X275" s="1612"/>
      <c r="Y275" s="1612"/>
      <c r="Z275" s="1612"/>
      <c r="AA275" s="1612"/>
      <c r="AB275" s="1612"/>
      <c r="AC275" s="1613"/>
      <c r="AD275" s="555"/>
    </row>
    <row r="276" spans="1:39" s="441" customFormat="1" ht="60" customHeight="1" thickBot="1" x14ac:dyDescent="0.25">
      <c r="A276" s="438"/>
      <c r="B276" s="451" t="s">
        <v>130</v>
      </c>
      <c r="C276" s="451" t="s">
        <v>4</v>
      </c>
      <c r="D276" s="451" t="s">
        <v>5</v>
      </c>
      <c r="E276" s="451" t="s">
        <v>6</v>
      </c>
      <c r="F276" s="451" t="s">
        <v>7</v>
      </c>
      <c r="G276" s="451" t="s">
        <v>8</v>
      </c>
      <c r="H276" s="453" t="s">
        <v>9</v>
      </c>
      <c r="I276" s="453" t="s">
        <v>10</v>
      </c>
      <c r="J276" s="451" t="s">
        <v>11</v>
      </c>
      <c r="K276" s="451" t="s">
        <v>12</v>
      </c>
      <c r="L276" s="451" t="s">
        <v>13</v>
      </c>
      <c r="M276" s="451" t="s">
        <v>14</v>
      </c>
      <c r="N276" s="451" t="s">
        <v>15</v>
      </c>
      <c r="O276" s="452" t="s">
        <v>16</v>
      </c>
      <c r="P276" s="454" t="s">
        <v>17</v>
      </c>
      <c r="Q276" s="451" t="s">
        <v>18</v>
      </c>
      <c r="R276" s="452" t="s">
        <v>19</v>
      </c>
      <c r="S276" s="451" t="s">
        <v>20</v>
      </c>
      <c r="T276" s="451" t="s">
        <v>21</v>
      </c>
      <c r="U276" s="452" t="s">
        <v>22</v>
      </c>
      <c r="V276" s="451" t="s">
        <v>131</v>
      </c>
      <c r="W276" s="451" t="s">
        <v>24</v>
      </c>
      <c r="X276" s="451" t="s">
        <v>132</v>
      </c>
      <c r="Y276" s="451" t="s">
        <v>26</v>
      </c>
      <c r="Z276" s="451" t="s">
        <v>27</v>
      </c>
      <c r="AA276" s="451" t="s">
        <v>28</v>
      </c>
      <c r="AB276" s="451" t="s">
        <v>29</v>
      </c>
      <c r="AC276" s="451" t="s">
        <v>30</v>
      </c>
      <c r="AD276" s="439"/>
      <c r="AE276" s="440"/>
      <c r="AF276" s="440"/>
      <c r="AG276" s="440"/>
      <c r="AH276" s="440"/>
      <c r="AI276" s="440"/>
      <c r="AJ276" s="440"/>
      <c r="AK276" s="440"/>
      <c r="AL276" s="440"/>
      <c r="AM276" s="440"/>
    </row>
    <row r="277" spans="1:39" s="76" customFormat="1" x14ac:dyDescent="0.2">
      <c r="B277" s="314"/>
      <c r="C277" s="11"/>
      <c r="D277" s="12"/>
      <c r="E277" s="12"/>
      <c r="F277" s="12"/>
      <c r="G277" s="12"/>
      <c r="H277" s="504"/>
      <c r="I277" s="14" t="s">
        <v>3315</v>
      </c>
      <c r="J277" s="12"/>
      <c r="K277" s="12"/>
      <c r="L277" s="15"/>
      <c r="M277" s="12"/>
      <c r="N277" s="12"/>
      <c r="O277" s="12"/>
      <c r="P277" s="12"/>
      <c r="Q277" s="12"/>
      <c r="R277" s="12"/>
      <c r="S277" s="141"/>
      <c r="T277" s="12"/>
      <c r="U277" s="12"/>
      <c r="V277" s="12"/>
      <c r="W277" s="80"/>
      <c r="X277" s="82"/>
      <c r="Y277" s="82"/>
      <c r="Z277" s="80"/>
      <c r="AA277" s="80"/>
      <c r="AB277" s="80"/>
      <c r="AC277" s="79"/>
    </row>
    <row r="278" spans="1:39" s="76" customFormat="1" x14ac:dyDescent="0.2">
      <c r="B278" s="312" t="s">
        <v>78</v>
      </c>
      <c r="C278" s="16" t="s">
        <v>79</v>
      </c>
      <c r="D278" s="6" t="s">
        <v>3453</v>
      </c>
      <c r="E278" s="6"/>
      <c r="F278" s="6" t="s">
        <v>3454</v>
      </c>
      <c r="G278" s="6"/>
      <c r="H278" s="17">
        <v>6890.7</v>
      </c>
      <c r="I278" s="39" t="s">
        <v>3455</v>
      </c>
      <c r="J278" s="7">
        <v>37271</v>
      </c>
      <c r="K278" s="7"/>
      <c r="L278" s="23">
        <f>30+J278</f>
        <v>37301</v>
      </c>
      <c r="M278" s="18" t="s">
        <v>124</v>
      </c>
      <c r="N278" s="6" t="s">
        <v>42</v>
      </c>
      <c r="O278" s="6"/>
      <c r="P278" s="6"/>
      <c r="Q278" s="6"/>
      <c r="R278" s="6"/>
      <c r="S278" s="7">
        <v>37286</v>
      </c>
      <c r="T278" s="7">
        <v>37312</v>
      </c>
      <c r="U278" s="7"/>
      <c r="V278" s="6" t="s">
        <v>3340</v>
      </c>
      <c r="W278" s="70">
        <v>778</v>
      </c>
      <c r="X278" s="75"/>
      <c r="Y278" s="75"/>
      <c r="Z278" s="6">
        <v>6584171764</v>
      </c>
      <c r="AA278" s="74" t="s">
        <v>318</v>
      </c>
      <c r="AB278" s="74" t="s">
        <v>211</v>
      </c>
      <c r="AC278" s="70"/>
      <c r="AD278" s="205" t="str">
        <f>IF(T278&lt;=L278,"en término","atrasado")</f>
        <v>atrasado</v>
      </c>
    </row>
    <row r="279" spans="1:39" s="76" customFormat="1" ht="12" thickBot="1" x14ac:dyDescent="0.25">
      <c r="B279" s="313"/>
      <c r="C279" s="19"/>
      <c r="D279" s="5"/>
      <c r="E279" s="5"/>
      <c r="F279" s="5"/>
      <c r="G279" s="5"/>
      <c r="H279" s="105"/>
      <c r="I279" s="21" t="s">
        <v>3374</v>
      </c>
      <c r="J279" s="5"/>
      <c r="K279" s="5"/>
      <c r="L279" s="22"/>
      <c r="M279" s="5"/>
      <c r="N279" s="5"/>
      <c r="O279" s="5"/>
      <c r="P279" s="5"/>
      <c r="Q279" s="5"/>
      <c r="R279" s="5"/>
      <c r="S279" s="127"/>
      <c r="T279" s="5" t="s">
        <v>3359</v>
      </c>
      <c r="U279" s="5"/>
      <c r="V279" s="183"/>
      <c r="W279" s="87"/>
      <c r="X279" s="90"/>
      <c r="Y279" s="90"/>
      <c r="Z279" s="87"/>
      <c r="AA279" s="87"/>
      <c r="AB279" s="87">
        <v>6860.7</v>
      </c>
      <c r="AC279" s="87"/>
      <c r="AD279" s="205"/>
    </row>
    <row r="280" spans="1:39" s="76" customFormat="1" x14ac:dyDescent="0.2">
      <c r="B280" s="314"/>
      <c r="C280" s="11"/>
      <c r="D280" s="12"/>
      <c r="E280" s="12"/>
      <c r="F280" s="12"/>
      <c r="G280" s="12"/>
      <c r="H280" s="504"/>
      <c r="I280" s="14"/>
      <c r="J280" s="12"/>
      <c r="K280" s="12"/>
      <c r="L280" s="15"/>
      <c r="M280" s="12"/>
      <c r="N280" s="12"/>
      <c r="O280" s="12"/>
      <c r="P280" s="12"/>
      <c r="Q280" s="12"/>
      <c r="R280" s="12"/>
      <c r="S280" s="141"/>
      <c r="T280" s="12"/>
      <c r="U280" s="12"/>
      <c r="V280" s="12"/>
      <c r="W280" s="80"/>
      <c r="X280" s="82"/>
      <c r="Y280" s="82"/>
      <c r="Z280" s="80"/>
      <c r="AA280" s="80"/>
      <c r="AB280" s="80"/>
      <c r="AC280" s="79"/>
      <c r="AD280" s="205"/>
    </row>
    <row r="281" spans="1:39" s="76" customFormat="1" x14ac:dyDescent="0.2">
      <c r="B281" s="312" t="s">
        <v>78</v>
      </c>
      <c r="C281" s="16" t="s">
        <v>79</v>
      </c>
      <c r="D281" s="6" t="s">
        <v>3456</v>
      </c>
      <c r="E281" s="6"/>
      <c r="F281" s="6" t="s">
        <v>3457</v>
      </c>
      <c r="G281" s="6"/>
      <c r="H281" s="17">
        <v>285</v>
      </c>
      <c r="I281" s="39" t="s">
        <v>3458</v>
      </c>
      <c r="J281" s="7">
        <v>37350</v>
      </c>
      <c r="K281" s="7"/>
      <c r="L281" s="23">
        <v>37378</v>
      </c>
      <c r="M281" s="18" t="s">
        <v>124</v>
      </c>
      <c r="N281" s="6" t="s">
        <v>110</v>
      </c>
      <c r="O281" s="6"/>
      <c r="P281" s="6"/>
      <c r="Q281" s="6"/>
      <c r="R281" s="6"/>
      <c r="S281" s="23">
        <v>37351</v>
      </c>
      <c r="T281" s="23">
        <v>37357</v>
      </c>
      <c r="U281" s="23"/>
      <c r="V281" s="6" t="s">
        <v>3459</v>
      </c>
      <c r="W281" s="70">
        <v>786</v>
      </c>
      <c r="X281" s="75"/>
      <c r="Y281" s="75"/>
      <c r="Z281" s="6" t="s">
        <v>3460</v>
      </c>
      <c r="AA281" s="74" t="s">
        <v>318</v>
      </c>
      <c r="AB281" s="74" t="s">
        <v>211</v>
      </c>
      <c r="AC281" s="70"/>
      <c r="AD281" s="205" t="str">
        <f>IF(T281&lt;=L281,"en término","atrasado")</f>
        <v>en término</v>
      </c>
    </row>
    <row r="282" spans="1:39" s="76" customFormat="1" ht="12" thickBot="1" x14ac:dyDescent="0.25">
      <c r="B282" s="313"/>
      <c r="C282" s="19"/>
      <c r="D282" s="5"/>
      <c r="E282" s="5"/>
      <c r="F282" s="5"/>
      <c r="G282" s="5"/>
      <c r="H282" s="105"/>
      <c r="I282" s="21"/>
      <c r="J282" s="5"/>
      <c r="K282" s="5"/>
      <c r="L282" s="22"/>
      <c r="M282" s="5"/>
      <c r="N282" s="5"/>
      <c r="O282" s="5"/>
      <c r="P282" s="5"/>
      <c r="Q282" s="5"/>
      <c r="R282" s="5"/>
      <c r="S282" s="127"/>
      <c r="T282" s="5"/>
      <c r="U282" s="5"/>
      <c r="V282" s="183" t="s">
        <v>715</v>
      </c>
      <c r="W282" s="87"/>
      <c r="X282" s="90"/>
      <c r="Y282" s="90"/>
      <c r="Z282" s="6" t="s">
        <v>3461</v>
      </c>
      <c r="AA282" s="87"/>
      <c r="AB282" s="87">
        <v>413.27</v>
      </c>
      <c r="AC282" s="87"/>
    </row>
    <row r="283" spans="1:39" s="76" customFormat="1" x14ac:dyDescent="0.2">
      <c r="B283" s="314"/>
      <c r="C283" s="11"/>
      <c r="D283" s="12"/>
      <c r="E283" s="12"/>
      <c r="F283" s="12"/>
      <c r="G283" s="12"/>
      <c r="H283" s="504"/>
      <c r="I283" s="14"/>
      <c r="J283" s="12"/>
      <c r="K283" s="12"/>
      <c r="L283" s="15"/>
      <c r="M283" s="12"/>
      <c r="N283" s="12"/>
      <c r="O283" s="12"/>
      <c r="P283" s="12"/>
      <c r="Q283" s="12"/>
      <c r="R283" s="12"/>
      <c r="S283" s="141"/>
      <c r="T283" s="12"/>
      <c r="U283" s="12"/>
      <c r="V283" s="12"/>
      <c r="W283" s="80"/>
      <c r="X283" s="82"/>
      <c r="Y283" s="82"/>
      <c r="Z283" s="80"/>
      <c r="AA283" s="80"/>
      <c r="AB283" s="80"/>
      <c r="AC283" s="79"/>
    </row>
    <row r="284" spans="1:39" s="76" customFormat="1" x14ac:dyDescent="0.2">
      <c r="B284" s="312" t="s">
        <v>78</v>
      </c>
      <c r="C284" s="16" t="s">
        <v>79</v>
      </c>
      <c r="D284" s="6" t="s">
        <v>3462</v>
      </c>
      <c r="E284" s="6"/>
      <c r="F284" s="6" t="s">
        <v>3463</v>
      </c>
      <c r="G284" s="6"/>
      <c r="H284" s="17">
        <v>6720</v>
      </c>
      <c r="I284" s="39" t="s">
        <v>3165</v>
      </c>
      <c r="J284" s="7">
        <v>37333</v>
      </c>
      <c r="K284" s="7"/>
      <c r="L284" s="23">
        <v>37368</v>
      </c>
      <c r="M284" s="18" t="s">
        <v>124</v>
      </c>
      <c r="N284" s="6" t="s">
        <v>42</v>
      </c>
      <c r="O284" s="6"/>
      <c r="P284" s="6"/>
      <c r="Q284" s="6"/>
      <c r="R284" s="6"/>
      <c r="S284" s="23">
        <v>37335</v>
      </c>
      <c r="T284" s="23">
        <v>37366</v>
      </c>
      <c r="U284" s="23"/>
      <c r="V284" s="6" t="s">
        <v>378</v>
      </c>
      <c r="W284" s="70">
        <v>780</v>
      </c>
      <c r="X284" s="75"/>
      <c r="Y284" s="75"/>
      <c r="Z284" s="6">
        <v>6558378842</v>
      </c>
      <c r="AA284" s="74" t="s">
        <v>318</v>
      </c>
      <c r="AB284" s="74" t="s">
        <v>211</v>
      </c>
      <c r="AC284" s="70"/>
      <c r="AD284" s="205" t="str">
        <f>IF(T284&lt;=L284,"en término","atrasado")</f>
        <v>en término</v>
      </c>
    </row>
    <row r="285" spans="1:39" s="76" customFormat="1" ht="12" thickBot="1" x14ac:dyDescent="0.25">
      <c r="B285" s="313"/>
      <c r="C285" s="19"/>
      <c r="D285" s="5"/>
      <c r="E285" s="5"/>
      <c r="F285" s="5"/>
      <c r="G285" s="5"/>
      <c r="H285" s="105"/>
      <c r="I285" s="21" t="s">
        <v>3464</v>
      </c>
      <c r="J285" s="5"/>
      <c r="K285" s="5"/>
      <c r="L285" s="221"/>
      <c r="M285" s="5"/>
      <c r="N285" s="5"/>
      <c r="O285" s="5"/>
      <c r="P285" s="5"/>
      <c r="Q285" s="5"/>
      <c r="R285" s="5"/>
      <c r="S285" s="127" t="s">
        <v>647</v>
      </c>
      <c r="T285" s="5"/>
      <c r="U285" s="5"/>
      <c r="V285" s="183" t="s">
        <v>3465</v>
      </c>
      <c r="W285" s="87"/>
      <c r="X285" s="90"/>
      <c r="Y285" s="90"/>
      <c r="Z285" s="87"/>
      <c r="AA285" s="87"/>
      <c r="AB285" s="87">
        <v>6720</v>
      </c>
      <c r="AC285" s="87"/>
      <c r="AD285" s="205"/>
    </row>
    <row r="286" spans="1:39" s="76" customFormat="1" x14ac:dyDescent="0.2">
      <c r="B286" s="314"/>
      <c r="C286" s="11"/>
      <c r="D286" s="12"/>
      <c r="E286" s="12"/>
      <c r="F286" s="12"/>
      <c r="G286" s="12"/>
      <c r="H286" s="504"/>
      <c r="I286" s="14"/>
      <c r="J286" s="12"/>
      <c r="K286" s="12"/>
      <c r="L286" s="15"/>
      <c r="M286" s="12"/>
      <c r="N286" s="12"/>
      <c r="O286" s="12"/>
      <c r="P286" s="12"/>
      <c r="Q286" s="12"/>
      <c r="R286" s="12"/>
      <c r="S286" s="141"/>
      <c r="T286" s="12"/>
      <c r="U286" s="12"/>
      <c r="V286" s="12"/>
      <c r="W286" s="80"/>
      <c r="X286" s="82"/>
      <c r="Y286" s="82"/>
      <c r="Z286" s="80"/>
      <c r="AA286" s="80"/>
      <c r="AB286" s="80"/>
      <c r="AC286" s="80"/>
      <c r="AD286" s="205"/>
    </row>
    <row r="287" spans="1:39" s="76" customFormat="1" x14ac:dyDescent="0.2">
      <c r="B287" s="312" t="s">
        <v>78</v>
      </c>
      <c r="C287" s="16" t="s">
        <v>79</v>
      </c>
      <c r="D287" s="6" t="s">
        <v>3466</v>
      </c>
      <c r="E287" s="6"/>
      <c r="F287" s="6" t="s">
        <v>3467</v>
      </c>
      <c r="G287" s="6"/>
      <c r="H287" s="17">
        <v>640</v>
      </c>
      <c r="I287" s="39" t="s">
        <v>3458</v>
      </c>
      <c r="J287" s="7">
        <v>37391</v>
      </c>
      <c r="K287" s="7"/>
      <c r="L287" s="23">
        <v>37412</v>
      </c>
      <c r="M287" s="18" t="s">
        <v>83</v>
      </c>
      <c r="N287" s="6" t="s">
        <v>1675</v>
      </c>
      <c r="O287" s="6"/>
      <c r="P287" s="6"/>
      <c r="Q287" s="6"/>
      <c r="R287" s="6"/>
      <c r="S287" s="23"/>
      <c r="T287" s="23">
        <v>37400</v>
      </c>
      <c r="U287" s="23"/>
      <c r="V287" s="6" t="s">
        <v>3468</v>
      </c>
      <c r="W287" s="70" t="s">
        <v>3469</v>
      </c>
      <c r="X287" s="75"/>
      <c r="Y287" s="75"/>
      <c r="Z287" s="6" t="s">
        <v>3470</v>
      </c>
      <c r="AA287" s="74" t="s">
        <v>318</v>
      </c>
      <c r="AB287" s="74" t="s">
        <v>77</v>
      </c>
      <c r="AC287" s="222"/>
      <c r="AD287" s="205" t="str">
        <f>IF(T287&lt;=L287,"en término","atrasado")</f>
        <v>en término</v>
      </c>
    </row>
    <row r="288" spans="1:39" s="76" customFormat="1" ht="12" thickBot="1" x14ac:dyDescent="0.25">
      <c r="B288" s="313"/>
      <c r="C288" s="19"/>
      <c r="D288" s="5"/>
      <c r="E288" s="5"/>
      <c r="F288" s="5"/>
      <c r="G288" s="5"/>
      <c r="H288" s="105"/>
      <c r="I288" s="21"/>
      <c r="J288" s="5"/>
      <c r="K288" s="5"/>
      <c r="L288" s="127"/>
      <c r="M288" s="5"/>
      <c r="N288" s="5"/>
      <c r="O288" s="5"/>
      <c r="P288" s="5"/>
      <c r="Q288" s="5"/>
      <c r="R288" s="5"/>
      <c r="S288" s="127"/>
      <c r="T288" s="5"/>
      <c r="U288" s="5"/>
      <c r="V288" s="183" t="s">
        <v>3471</v>
      </c>
      <c r="W288" s="87"/>
      <c r="X288" s="90"/>
      <c r="Y288" s="90"/>
      <c r="Z288" s="87"/>
      <c r="AA288" s="87"/>
      <c r="AB288" s="87"/>
      <c r="AC288" s="87"/>
    </row>
    <row r="289" spans="2:30" s="76" customFormat="1" x14ac:dyDescent="0.2">
      <c r="B289" s="314"/>
      <c r="C289" s="11"/>
      <c r="D289" s="12"/>
      <c r="E289" s="12"/>
      <c r="F289" s="12"/>
      <c r="G289" s="12"/>
      <c r="H289" s="504"/>
      <c r="I289" s="14"/>
      <c r="J289" s="12"/>
      <c r="K289" s="12"/>
      <c r="L289" s="15"/>
      <c r="M289" s="12"/>
      <c r="N289" s="12"/>
      <c r="O289" s="12"/>
      <c r="P289" s="12"/>
      <c r="Q289" s="12"/>
      <c r="R289" s="12"/>
      <c r="S289" s="141"/>
      <c r="T289" s="12"/>
      <c r="U289" s="12"/>
      <c r="V289" s="12"/>
      <c r="W289" s="80"/>
      <c r="X289" s="82"/>
      <c r="Y289" s="82"/>
      <c r="Z289" s="80"/>
      <c r="AA289" s="80"/>
      <c r="AB289" s="80"/>
      <c r="AC289" s="80"/>
    </row>
    <row r="290" spans="2:30" s="76" customFormat="1" x14ac:dyDescent="0.2">
      <c r="B290" s="312" t="s">
        <v>78</v>
      </c>
      <c r="C290" s="16" t="s">
        <v>79</v>
      </c>
      <c r="D290" s="6" t="s">
        <v>3466</v>
      </c>
      <c r="E290" s="6"/>
      <c r="F290" s="6" t="s">
        <v>3472</v>
      </c>
      <c r="G290" s="6"/>
      <c r="H290" s="17">
        <v>1667</v>
      </c>
      <c r="I290" s="39" t="s">
        <v>3458</v>
      </c>
      <c r="J290" s="7">
        <v>37391</v>
      </c>
      <c r="K290" s="7"/>
      <c r="L290" s="23">
        <f>30+J290</f>
        <v>37421</v>
      </c>
      <c r="M290" s="18" t="s">
        <v>124</v>
      </c>
      <c r="N290" s="6" t="s">
        <v>1675</v>
      </c>
      <c r="O290" s="6"/>
      <c r="P290" s="6"/>
      <c r="Q290" s="6"/>
      <c r="R290" s="6"/>
      <c r="S290" s="23">
        <v>37412</v>
      </c>
      <c r="T290" s="23">
        <v>37417</v>
      </c>
      <c r="U290" s="23"/>
      <c r="V290" s="6" t="s">
        <v>3473</v>
      </c>
      <c r="W290" s="70">
        <v>802</v>
      </c>
      <c r="X290" s="75"/>
      <c r="Y290" s="75"/>
      <c r="Z290" s="6" t="s">
        <v>3470</v>
      </c>
      <c r="AA290" s="74" t="s">
        <v>318</v>
      </c>
      <c r="AB290" s="74" t="s">
        <v>211</v>
      </c>
      <c r="AC290" s="70"/>
      <c r="AD290" s="205" t="str">
        <f>IF(T290&lt;=L290,"en término","atrasado")</f>
        <v>en término</v>
      </c>
    </row>
    <row r="291" spans="2:30" s="76" customFormat="1" ht="12" thickBot="1" x14ac:dyDescent="0.25">
      <c r="B291" s="313"/>
      <c r="C291" s="19"/>
      <c r="D291" s="5"/>
      <c r="E291" s="5"/>
      <c r="F291" s="5"/>
      <c r="G291" s="5"/>
      <c r="H291" s="105" t="s">
        <v>3474</v>
      </c>
      <c r="I291" s="21"/>
      <c r="J291" s="5"/>
      <c r="K291" s="5"/>
      <c r="L291" s="127"/>
      <c r="M291" s="5"/>
      <c r="N291" s="5"/>
      <c r="O291" s="5"/>
      <c r="P291" s="5"/>
      <c r="Q291" s="5"/>
      <c r="R291" s="5"/>
      <c r="S291" s="127"/>
      <c r="T291" s="5"/>
      <c r="U291" s="5"/>
      <c r="V291" s="183" t="s">
        <v>3475</v>
      </c>
      <c r="W291" s="87"/>
      <c r="X291" s="90"/>
      <c r="Y291" s="90"/>
      <c r="Z291" s="87"/>
      <c r="AA291" s="87"/>
      <c r="AB291" s="87">
        <v>1867</v>
      </c>
      <c r="AC291" s="87"/>
    </row>
    <row r="292" spans="2:30" s="76" customFormat="1" x14ac:dyDescent="0.2">
      <c r="B292" s="314"/>
      <c r="C292" s="11"/>
      <c r="D292" s="12"/>
      <c r="E292" s="12"/>
      <c r="F292" s="12"/>
      <c r="G292" s="12"/>
      <c r="H292" s="504"/>
      <c r="I292" s="14"/>
      <c r="J292" s="12"/>
      <c r="K292" s="12"/>
      <c r="L292" s="15"/>
      <c r="M292" s="12"/>
      <c r="N292" s="12"/>
      <c r="O292" s="12"/>
      <c r="P292" s="12"/>
      <c r="Q292" s="12"/>
      <c r="R292" s="12"/>
      <c r="S292" s="141"/>
      <c r="T292" s="12"/>
      <c r="U292" s="12"/>
      <c r="V292" s="12"/>
      <c r="W292" s="80"/>
      <c r="X292" s="82"/>
      <c r="Y292" s="82"/>
      <c r="Z292" s="80"/>
      <c r="AA292" s="80"/>
      <c r="AB292" s="80"/>
      <c r="AC292" s="80"/>
    </row>
    <row r="293" spans="2:30" s="76" customFormat="1" x14ac:dyDescent="0.2">
      <c r="B293" s="312" t="s">
        <v>78</v>
      </c>
      <c r="C293" s="16" t="s">
        <v>79</v>
      </c>
      <c r="D293" s="6" t="s">
        <v>3476</v>
      </c>
      <c r="E293" s="6"/>
      <c r="F293" s="6" t="s">
        <v>3477</v>
      </c>
      <c r="G293" s="6"/>
      <c r="H293" s="17">
        <v>40364.6</v>
      </c>
      <c r="I293" s="39" t="s">
        <v>3458</v>
      </c>
      <c r="J293" s="7">
        <v>37351</v>
      </c>
      <c r="K293" s="7"/>
      <c r="L293" s="23">
        <f>30+J293</f>
        <v>37381</v>
      </c>
      <c r="M293" s="18" t="s">
        <v>124</v>
      </c>
      <c r="N293" s="6" t="s">
        <v>42</v>
      </c>
      <c r="O293" s="6"/>
      <c r="P293" s="6"/>
      <c r="Q293" s="6"/>
      <c r="R293" s="6"/>
      <c r="S293" s="23">
        <v>37398</v>
      </c>
      <c r="T293" s="23">
        <v>37414</v>
      </c>
      <c r="U293" s="23"/>
      <c r="V293" s="6" t="s">
        <v>3478</v>
      </c>
      <c r="W293" s="70">
        <v>796</v>
      </c>
      <c r="X293" s="75"/>
      <c r="Y293" s="75"/>
      <c r="Z293" s="6">
        <v>6558379085</v>
      </c>
      <c r="AA293" s="74" t="s">
        <v>318</v>
      </c>
      <c r="AB293" s="74" t="s">
        <v>211</v>
      </c>
      <c r="AC293" s="70"/>
      <c r="AD293" s="205" t="str">
        <f>IF(T293&lt;=L293,"en término","atrasado")</f>
        <v>atrasado</v>
      </c>
    </row>
    <row r="294" spans="2:30" s="76" customFormat="1" ht="12" thickBot="1" x14ac:dyDescent="0.25">
      <c r="B294" s="313"/>
      <c r="C294" s="19"/>
      <c r="D294" s="5"/>
      <c r="E294" s="5"/>
      <c r="F294" s="5"/>
      <c r="G294" s="5"/>
      <c r="H294" s="105"/>
      <c r="I294" s="21"/>
      <c r="J294" s="5"/>
      <c r="K294" s="5"/>
      <c r="L294" s="127">
        <f>45+J293</f>
        <v>37396</v>
      </c>
      <c r="M294" s="5"/>
      <c r="N294" s="5"/>
      <c r="O294" s="5"/>
      <c r="P294" s="5"/>
      <c r="Q294" s="5"/>
      <c r="R294" s="5"/>
      <c r="S294" s="127"/>
      <c r="T294" s="87" t="s">
        <v>3479</v>
      </c>
      <c r="U294" s="87"/>
      <c r="V294" s="22" t="s">
        <v>3480</v>
      </c>
      <c r="W294" s="87"/>
      <c r="X294" s="90"/>
      <c r="Y294" s="90"/>
      <c r="Z294" s="87"/>
      <c r="AA294" s="87"/>
      <c r="AB294" s="87" t="s">
        <v>3481</v>
      </c>
      <c r="AC294" s="225"/>
      <c r="AD294" s="205"/>
    </row>
    <row r="295" spans="2:30" s="76" customFormat="1" x14ac:dyDescent="0.2">
      <c r="B295" s="314"/>
      <c r="C295" s="11"/>
      <c r="D295" s="12"/>
      <c r="E295" s="12"/>
      <c r="F295" s="12"/>
      <c r="G295" s="12"/>
      <c r="H295" s="504"/>
      <c r="I295" s="14"/>
      <c r="J295" s="12"/>
      <c r="K295" s="12"/>
      <c r="L295" s="15"/>
      <c r="M295" s="12"/>
      <c r="N295" s="12"/>
      <c r="O295" s="12"/>
      <c r="P295" s="12"/>
      <c r="Q295" s="12"/>
      <c r="R295" s="12"/>
      <c r="S295" s="141"/>
      <c r="T295" s="15" t="s">
        <v>3482</v>
      </c>
      <c r="U295" s="15"/>
      <c r="V295" s="12"/>
      <c r="W295" s="80"/>
      <c r="X295" s="82"/>
      <c r="Y295" s="82"/>
      <c r="Z295" s="80"/>
      <c r="AA295" s="80"/>
      <c r="AB295" s="80"/>
      <c r="AC295" s="80"/>
      <c r="AD295" s="205"/>
    </row>
    <row r="296" spans="2:30" s="76" customFormat="1" x14ac:dyDescent="0.2">
      <c r="B296" s="312" t="s">
        <v>78</v>
      </c>
      <c r="C296" s="16" t="s">
        <v>79</v>
      </c>
      <c r="D296" s="6" t="s">
        <v>3483</v>
      </c>
      <c r="E296" s="6"/>
      <c r="F296" s="6" t="s">
        <v>3484</v>
      </c>
      <c r="G296" s="6"/>
      <c r="H296" s="17">
        <v>24700</v>
      </c>
      <c r="I296" s="39" t="s">
        <v>3458</v>
      </c>
      <c r="J296" s="7">
        <v>37439</v>
      </c>
      <c r="K296" s="7"/>
      <c r="L296" s="23" t="s">
        <v>470</v>
      </c>
      <c r="M296" s="18" t="s">
        <v>3485</v>
      </c>
      <c r="N296" s="6" t="s">
        <v>42</v>
      </c>
      <c r="O296" s="6"/>
      <c r="P296" s="6"/>
      <c r="Q296" s="6"/>
      <c r="R296" s="6"/>
      <c r="S296" s="23">
        <v>37457</v>
      </c>
      <c r="T296" s="23">
        <v>37480</v>
      </c>
      <c r="U296" s="23"/>
      <c r="V296" s="6" t="s">
        <v>3486</v>
      </c>
      <c r="W296" s="70">
        <v>812</v>
      </c>
      <c r="X296" s="75"/>
      <c r="Y296" s="75"/>
      <c r="Z296" s="6">
        <v>6554881266</v>
      </c>
      <c r="AA296" s="74" t="s">
        <v>195</v>
      </c>
      <c r="AB296" s="74" t="s">
        <v>47</v>
      </c>
      <c r="AC296" s="70"/>
      <c r="AD296" s="205" t="str">
        <f>IF(T296&lt;=L296,"en término","atrasado")</f>
        <v>en término</v>
      </c>
    </row>
    <row r="297" spans="2:30" s="76" customFormat="1" ht="12" thickBot="1" x14ac:dyDescent="0.25">
      <c r="B297" s="313"/>
      <c r="C297" s="19" t="s">
        <v>3275</v>
      </c>
      <c r="D297" s="5"/>
      <c r="E297" s="5"/>
      <c r="F297" s="5"/>
      <c r="G297" s="5"/>
      <c r="H297" s="105"/>
      <c r="I297" s="21"/>
      <c r="J297" s="5"/>
      <c r="K297" s="5"/>
      <c r="L297" s="127"/>
      <c r="M297" s="5"/>
      <c r="N297" s="5"/>
      <c r="O297" s="5"/>
      <c r="P297" s="5"/>
      <c r="Q297" s="5"/>
      <c r="R297" s="5"/>
      <c r="S297" s="127"/>
      <c r="T297" s="22" t="s">
        <v>3487</v>
      </c>
      <c r="U297" s="22"/>
      <c r="V297" s="183"/>
      <c r="W297" s="87"/>
      <c r="X297" s="90"/>
      <c r="Y297" s="90"/>
      <c r="Z297" s="87"/>
      <c r="AA297" s="87"/>
      <c r="AB297" s="87">
        <v>24700</v>
      </c>
      <c r="AC297" s="87"/>
    </row>
    <row r="298" spans="2:30" s="76" customFormat="1" x14ac:dyDescent="0.2">
      <c r="B298" s="314"/>
      <c r="C298" s="11"/>
      <c r="D298" s="12"/>
      <c r="E298" s="12"/>
      <c r="F298" s="12"/>
      <c r="G298" s="12"/>
      <c r="H298" s="504"/>
      <c r="I298" s="14"/>
      <c r="J298" s="12"/>
      <c r="K298" s="12"/>
      <c r="L298" s="15"/>
      <c r="M298" s="12"/>
      <c r="N298" s="12"/>
      <c r="O298" s="12"/>
      <c r="P298" s="12"/>
      <c r="Q298" s="12"/>
      <c r="R298" s="12"/>
      <c r="S298" s="141"/>
      <c r="T298" s="15"/>
      <c r="U298" s="15"/>
      <c r="V298" s="12"/>
      <c r="W298" s="80"/>
      <c r="X298" s="82"/>
      <c r="Y298" s="82"/>
      <c r="Z298" s="80"/>
      <c r="AA298" s="80"/>
      <c r="AB298" s="80"/>
      <c r="AC298" s="80"/>
    </row>
    <row r="299" spans="2:30" s="76" customFormat="1" x14ac:dyDescent="0.2">
      <c r="B299" s="312" t="s">
        <v>78</v>
      </c>
      <c r="C299" s="16" t="s">
        <v>3165</v>
      </c>
      <c r="D299" s="6" t="s">
        <v>3488</v>
      </c>
      <c r="E299" s="6"/>
      <c r="F299" s="6">
        <v>126919</v>
      </c>
      <c r="G299" s="6"/>
      <c r="H299" s="17">
        <v>48400.15</v>
      </c>
      <c r="I299" s="39" t="s">
        <v>3458</v>
      </c>
      <c r="J299" s="7">
        <v>37419</v>
      </c>
      <c r="K299" s="7"/>
      <c r="L299" s="23">
        <v>37458</v>
      </c>
      <c r="M299" s="18" t="s">
        <v>124</v>
      </c>
      <c r="N299" s="6" t="s">
        <v>42</v>
      </c>
      <c r="O299" s="6"/>
      <c r="P299" s="6"/>
      <c r="Q299" s="6"/>
      <c r="R299" s="6"/>
      <c r="S299" s="23">
        <v>37457</v>
      </c>
      <c r="T299" s="23">
        <v>37476</v>
      </c>
      <c r="U299" s="23"/>
      <c r="V299" s="220" t="s">
        <v>3489</v>
      </c>
      <c r="W299" s="70">
        <v>807</v>
      </c>
      <c r="X299" s="75"/>
      <c r="Y299" s="75"/>
      <c r="Z299" s="6">
        <v>6554881200</v>
      </c>
      <c r="AA299" s="74" t="s">
        <v>195</v>
      </c>
      <c r="AB299" s="74" t="s">
        <v>47</v>
      </c>
      <c r="AC299" s="70"/>
      <c r="AD299" s="205" t="str">
        <f>IF(T299&lt;=L299,"en término","atrasado")</f>
        <v>atrasado</v>
      </c>
    </row>
    <row r="300" spans="2:30" s="76" customFormat="1" ht="12" thickBot="1" x14ac:dyDescent="0.25">
      <c r="B300" s="313"/>
      <c r="C300" s="19"/>
      <c r="D300" s="5"/>
      <c r="E300" s="5"/>
      <c r="F300" s="5"/>
      <c r="G300" s="5"/>
      <c r="H300" s="105"/>
      <c r="I300" s="21"/>
      <c r="J300" s="5"/>
      <c r="K300" s="5"/>
      <c r="L300" s="127"/>
      <c r="M300" s="5"/>
      <c r="N300" s="5"/>
      <c r="O300" s="5"/>
      <c r="P300" s="5"/>
      <c r="Q300" s="5"/>
      <c r="R300" s="5"/>
      <c r="S300" s="127"/>
      <c r="T300" s="22" t="s">
        <v>3490</v>
      </c>
      <c r="U300" s="22"/>
      <c r="V300" s="183" t="s">
        <v>3491</v>
      </c>
      <c r="W300" s="87"/>
      <c r="X300" s="90"/>
      <c r="Y300" s="90"/>
      <c r="Z300" s="87"/>
      <c r="AA300" s="87"/>
      <c r="AB300" s="87">
        <v>48400.15</v>
      </c>
      <c r="AC300" s="87"/>
      <c r="AD300" s="205"/>
    </row>
    <row r="301" spans="2:30" s="76" customFormat="1" x14ac:dyDescent="0.2">
      <c r="B301" s="314"/>
      <c r="C301" s="11"/>
      <c r="D301" s="12"/>
      <c r="E301" s="12"/>
      <c r="F301" s="12"/>
      <c r="G301" s="12"/>
      <c r="H301" s="504"/>
      <c r="I301" s="14"/>
      <c r="J301" s="12"/>
      <c r="K301" s="12"/>
      <c r="L301" s="15"/>
      <c r="M301" s="12"/>
      <c r="N301" s="12"/>
      <c r="O301" s="12"/>
      <c r="P301" s="12"/>
      <c r="Q301" s="12"/>
      <c r="R301" s="12"/>
      <c r="S301" s="141"/>
      <c r="T301" s="15" t="s">
        <v>3492</v>
      </c>
      <c r="U301" s="15"/>
      <c r="V301" s="12"/>
      <c r="W301" s="80"/>
      <c r="X301" s="82"/>
      <c r="Y301" s="82"/>
      <c r="Z301" s="80"/>
      <c r="AA301" s="80"/>
      <c r="AB301" s="80" t="s">
        <v>3493</v>
      </c>
      <c r="AC301" s="80"/>
      <c r="AD301" s="205"/>
    </row>
    <row r="302" spans="2:30" s="76" customFormat="1" x14ac:dyDescent="0.2">
      <c r="B302" s="312" t="s">
        <v>78</v>
      </c>
      <c r="C302" s="16" t="s">
        <v>79</v>
      </c>
      <c r="D302" s="6" t="s">
        <v>3494</v>
      </c>
      <c r="E302" s="6"/>
      <c r="F302" s="6" t="s">
        <v>3495</v>
      </c>
      <c r="G302" s="6"/>
      <c r="H302" s="17">
        <v>93332.5</v>
      </c>
      <c r="I302" s="39" t="s">
        <v>3458</v>
      </c>
      <c r="J302" s="7">
        <v>37481</v>
      </c>
      <c r="K302" s="7"/>
      <c r="L302" s="23">
        <v>37522</v>
      </c>
      <c r="M302" s="18" t="s">
        <v>3485</v>
      </c>
      <c r="N302" s="6" t="s">
        <v>42</v>
      </c>
      <c r="O302" s="6"/>
      <c r="P302" s="6"/>
      <c r="Q302" s="6"/>
      <c r="R302" s="6"/>
      <c r="S302" s="23">
        <v>37491</v>
      </c>
      <c r="T302" s="23">
        <v>37508</v>
      </c>
      <c r="U302" s="23"/>
      <c r="V302" s="6" t="s">
        <v>3496</v>
      </c>
      <c r="W302" s="70">
        <v>816</v>
      </c>
      <c r="X302" s="75"/>
      <c r="Y302" s="75"/>
      <c r="Z302" s="6">
        <v>6554881395</v>
      </c>
      <c r="AA302" s="74" t="s">
        <v>195</v>
      </c>
      <c r="AB302" s="74" t="s">
        <v>3497</v>
      </c>
      <c r="AC302" s="70"/>
      <c r="AD302" s="205" t="str">
        <f>IF(T302&lt;=L302,"en término","atrasado")</f>
        <v>en término</v>
      </c>
    </row>
    <row r="303" spans="2:30" s="76" customFormat="1" ht="12" thickBot="1" x14ac:dyDescent="0.25">
      <c r="B303" s="313"/>
      <c r="C303" s="19" t="s">
        <v>3275</v>
      </c>
      <c r="D303" s="5"/>
      <c r="E303" s="5"/>
      <c r="F303" s="5"/>
      <c r="G303" s="5"/>
      <c r="H303" s="105"/>
      <c r="I303" s="21"/>
      <c r="J303" s="5"/>
      <c r="K303" s="5"/>
      <c r="L303" s="127"/>
      <c r="M303" s="5"/>
      <c r="N303" s="5"/>
      <c r="O303" s="5"/>
      <c r="P303" s="5"/>
      <c r="Q303" s="5"/>
      <c r="R303" s="5"/>
      <c r="S303" s="127"/>
      <c r="T303" s="22"/>
      <c r="U303" s="22"/>
      <c r="V303" s="183" t="s">
        <v>3498</v>
      </c>
      <c r="W303" s="87">
        <v>821</v>
      </c>
      <c r="X303" s="90"/>
      <c r="Y303" s="90"/>
      <c r="Z303" s="87"/>
      <c r="AA303" s="87"/>
      <c r="AB303" s="87" t="s">
        <v>3499</v>
      </c>
      <c r="AC303" s="77"/>
      <c r="AD303" s="205"/>
    </row>
    <row r="304" spans="2:30" s="76" customFormat="1" x14ac:dyDescent="0.2">
      <c r="B304" s="314"/>
      <c r="C304" s="11"/>
      <c r="D304" s="12"/>
      <c r="E304" s="12"/>
      <c r="F304" s="12"/>
      <c r="G304" s="12"/>
      <c r="H304" s="504"/>
      <c r="I304" s="14"/>
      <c r="J304" s="12"/>
      <c r="K304" s="12"/>
      <c r="L304" s="15"/>
      <c r="M304" s="12"/>
      <c r="N304" s="12"/>
      <c r="O304" s="12"/>
      <c r="P304" s="12"/>
      <c r="Q304" s="12"/>
      <c r="R304" s="12"/>
      <c r="S304" s="141"/>
      <c r="T304" s="12"/>
      <c r="U304" s="12"/>
      <c r="V304" s="12"/>
      <c r="W304" s="80"/>
      <c r="X304" s="82"/>
      <c r="Y304" s="82"/>
      <c r="Z304" s="80"/>
      <c r="AA304" s="80"/>
      <c r="AB304" s="80"/>
      <c r="AC304" s="80"/>
      <c r="AD304" s="205"/>
    </row>
    <row r="305" spans="2:30" s="76" customFormat="1" x14ac:dyDescent="0.2">
      <c r="B305" s="312" t="s">
        <v>78</v>
      </c>
      <c r="C305" s="16" t="s">
        <v>3165</v>
      </c>
      <c r="D305" s="6" t="s">
        <v>3500</v>
      </c>
      <c r="E305" s="6"/>
      <c r="F305" s="6">
        <v>127186</v>
      </c>
      <c r="G305" s="6"/>
      <c r="H305" s="17">
        <v>53849.45</v>
      </c>
      <c r="I305" s="39" t="s">
        <v>3458</v>
      </c>
      <c r="J305" s="7">
        <v>37435</v>
      </c>
      <c r="K305" s="7"/>
      <c r="L305" s="23">
        <v>37503</v>
      </c>
      <c r="M305" s="18" t="s">
        <v>124</v>
      </c>
      <c r="N305" s="6" t="s">
        <v>42</v>
      </c>
      <c r="O305" s="6"/>
      <c r="P305" s="6"/>
      <c r="Q305" s="6"/>
      <c r="R305" s="6"/>
      <c r="S305" s="23">
        <v>37491</v>
      </c>
      <c r="T305" s="23">
        <v>37504</v>
      </c>
      <c r="U305" s="23"/>
      <c r="V305" s="6" t="s">
        <v>3501</v>
      </c>
      <c r="W305" s="70">
        <v>817</v>
      </c>
      <c r="X305" s="75"/>
      <c r="Y305" s="75"/>
      <c r="Z305" s="6">
        <v>6554881384</v>
      </c>
      <c r="AA305" s="74" t="s">
        <v>195</v>
      </c>
      <c r="AB305" s="74"/>
      <c r="AC305" s="70"/>
      <c r="AD305" s="205" t="str">
        <f>IF(T305&lt;=L305,"en término","atrasado")</f>
        <v>atrasado</v>
      </c>
    </row>
    <row r="306" spans="2:30" s="76" customFormat="1" ht="12" thickBot="1" x14ac:dyDescent="0.25">
      <c r="B306" s="313"/>
      <c r="C306" s="19"/>
      <c r="D306" s="5"/>
      <c r="E306" s="5"/>
      <c r="F306" s="5"/>
      <c r="G306" s="5"/>
      <c r="H306" s="105"/>
      <c r="I306" s="21"/>
      <c r="J306" s="5"/>
      <c r="K306" s="5"/>
      <c r="L306" s="127"/>
      <c r="M306" s="5"/>
      <c r="N306" s="5"/>
      <c r="O306" s="5"/>
      <c r="P306" s="5"/>
      <c r="Q306" s="5"/>
      <c r="R306" s="5"/>
      <c r="S306" s="127"/>
      <c r="T306" s="5"/>
      <c r="U306" s="5"/>
      <c r="V306" s="224" t="s">
        <v>3502</v>
      </c>
      <c r="W306" s="87"/>
      <c r="X306" s="90"/>
      <c r="Y306" s="90"/>
      <c r="Z306" s="87"/>
      <c r="AA306" s="87"/>
      <c r="AB306" s="87"/>
      <c r="AC306" s="87"/>
      <c r="AD306" s="205"/>
    </row>
    <row r="307" spans="2:30" s="76" customFormat="1" x14ac:dyDescent="0.2">
      <c r="B307" s="314"/>
      <c r="C307" s="11"/>
      <c r="D307" s="12"/>
      <c r="E307" s="12"/>
      <c r="F307" s="12"/>
      <c r="G307" s="12"/>
      <c r="H307" s="504"/>
      <c r="I307" s="14"/>
      <c r="J307" s="12"/>
      <c r="K307" s="12"/>
      <c r="L307" s="15"/>
      <c r="M307" s="12"/>
      <c r="N307" s="12"/>
      <c r="O307" s="12"/>
      <c r="P307" s="12"/>
      <c r="Q307" s="12"/>
      <c r="R307" s="12"/>
      <c r="S307" s="141"/>
      <c r="T307" s="12" t="s">
        <v>3503</v>
      </c>
      <c r="U307" s="12"/>
      <c r="V307" s="12"/>
      <c r="W307" s="80"/>
      <c r="X307" s="82"/>
      <c r="Y307" s="82"/>
      <c r="Z307" s="80"/>
      <c r="AA307" s="80"/>
      <c r="AB307" s="80"/>
      <c r="AC307" s="80"/>
      <c r="AD307" s="205"/>
    </row>
    <row r="308" spans="2:30" s="76" customFormat="1" x14ac:dyDescent="0.2">
      <c r="B308" s="312" t="s">
        <v>78</v>
      </c>
      <c r="C308" s="16" t="s">
        <v>3165</v>
      </c>
      <c r="D308" s="6" t="s">
        <v>3504</v>
      </c>
      <c r="E308" s="6"/>
      <c r="F308" s="6">
        <v>127670</v>
      </c>
      <c r="G308" s="6"/>
      <c r="H308" s="17">
        <v>61784.85</v>
      </c>
      <c r="I308" s="39" t="s">
        <v>3458</v>
      </c>
      <c r="J308" s="7">
        <v>37470</v>
      </c>
      <c r="K308" s="7"/>
      <c r="L308" s="23">
        <v>37535</v>
      </c>
      <c r="M308" s="18" t="s">
        <v>124</v>
      </c>
      <c r="N308" s="6" t="s">
        <v>42</v>
      </c>
      <c r="O308" s="6"/>
      <c r="P308" s="6"/>
      <c r="Q308" s="6"/>
      <c r="R308" s="6"/>
      <c r="S308" s="23">
        <v>37526</v>
      </c>
      <c r="T308" s="23">
        <v>37548</v>
      </c>
      <c r="U308" s="23"/>
      <c r="V308" s="6" t="s">
        <v>3505</v>
      </c>
      <c r="W308" s="6">
        <v>827</v>
      </c>
      <c r="X308" s="75"/>
      <c r="Y308" s="75"/>
      <c r="Z308" s="6">
        <v>6553188611</v>
      </c>
      <c r="AA308" s="74" t="s">
        <v>195</v>
      </c>
      <c r="AB308" s="74" t="s">
        <v>47</v>
      </c>
      <c r="AC308" s="70"/>
      <c r="AD308" s="205" t="str">
        <f>IF(T308&lt;=L308,"en término","atrasado")</f>
        <v>atrasado</v>
      </c>
    </row>
    <row r="309" spans="2:30" s="76" customFormat="1" ht="12" thickBot="1" x14ac:dyDescent="0.25">
      <c r="B309" s="313"/>
      <c r="C309" s="19"/>
      <c r="D309" s="5"/>
      <c r="E309" s="5"/>
      <c r="F309" s="5"/>
      <c r="G309" s="5"/>
      <c r="H309" s="105"/>
      <c r="I309" s="21"/>
      <c r="J309" s="5"/>
      <c r="K309" s="5"/>
      <c r="L309" s="127"/>
      <c r="M309" s="5"/>
      <c r="N309" s="5"/>
      <c r="O309" s="5"/>
      <c r="P309" s="5"/>
      <c r="Q309" s="5"/>
      <c r="R309" s="5"/>
      <c r="S309" s="127"/>
      <c r="T309" s="5"/>
      <c r="U309" s="5"/>
      <c r="V309" s="224" t="s">
        <v>3502</v>
      </c>
      <c r="W309" s="5"/>
      <c r="X309" s="90"/>
      <c r="Y309" s="90"/>
      <c r="Z309" s="87"/>
      <c r="AA309" s="87"/>
      <c r="AB309" s="87"/>
      <c r="AC309" s="87"/>
      <c r="AD309" s="205"/>
    </row>
    <row r="310" spans="2:30" s="76" customFormat="1" x14ac:dyDescent="0.2">
      <c r="B310" s="314"/>
      <c r="C310" s="11"/>
      <c r="D310" s="12"/>
      <c r="E310" s="12"/>
      <c r="F310" s="12"/>
      <c r="G310" s="12"/>
      <c r="H310" s="504"/>
      <c r="I310" s="14"/>
      <c r="J310" s="12"/>
      <c r="K310" s="12"/>
      <c r="L310" s="15"/>
      <c r="M310" s="12"/>
      <c r="N310" s="12"/>
      <c r="O310" s="12"/>
      <c r="P310" s="12"/>
      <c r="Q310" s="12"/>
      <c r="R310" s="12"/>
      <c r="S310" s="141"/>
      <c r="T310" s="12" t="s">
        <v>3503</v>
      </c>
      <c r="U310" s="12"/>
      <c r="V310" s="12"/>
      <c r="W310" s="12"/>
      <c r="X310" s="82"/>
      <c r="Y310" s="82"/>
      <c r="Z310" s="80"/>
      <c r="AA310" s="80"/>
      <c r="AB310" s="80"/>
      <c r="AC310" s="80"/>
      <c r="AD310" s="205"/>
    </row>
    <row r="311" spans="2:30" s="76" customFormat="1" x14ac:dyDescent="0.2">
      <c r="B311" s="312" t="s">
        <v>78</v>
      </c>
      <c r="C311" s="16" t="s">
        <v>3165</v>
      </c>
      <c r="D311" s="6" t="s">
        <v>3506</v>
      </c>
      <c r="E311" s="6"/>
      <c r="F311" s="6">
        <v>127739</v>
      </c>
      <c r="G311" s="6"/>
      <c r="H311" s="17">
        <v>21367</v>
      </c>
      <c r="I311" s="39" t="s">
        <v>3458</v>
      </c>
      <c r="J311" s="7">
        <v>37477</v>
      </c>
      <c r="K311" s="7"/>
      <c r="L311" s="23">
        <v>37535</v>
      </c>
      <c r="M311" s="18" t="s">
        <v>124</v>
      </c>
      <c r="N311" s="6" t="s">
        <v>42</v>
      </c>
      <c r="O311" s="6"/>
      <c r="P311" s="6"/>
      <c r="Q311" s="6"/>
      <c r="R311" s="6"/>
      <c r="S311" s="23">
        <v>37526</v>
      </c>
      <c r="T311" s="23">
        <v>37548</v>
      </c>
      <c r="U311" s="23"/>
      <c r="V311" s="6" t="s">
        <v>3507</v>
      </c>
      <c r="W311" s="6">
        <v>828</v>
      </c>
      <c r="X311" s="75"/>
      <c r="Y311" s="75"/>
      <c r="Z311" s="6">
        <v>6553188611</v>
      </c>
      <c r="AA311" s="74" t="s">
        <v>195</v>
      </c>
      <c r="AB311" s="74" t="s">
        <v>47</v>
      </c>
      <c r="AC311" s="70"/>
      <c r="AD311" s="205" t="str">
        <f>IF(T311&lt;=L311,"en término","atrasado")</f>
        <v>atrasado</v>
      </c>
    </row>
    <row r="312" spans="2:30" s="76" customFormat="1" ht="12" thickBot="1" x14ac:dyDescent="0.25">
      <c r="B312" s="313"/>
      <c r="C312" s="19"/>
      <c r="D312" s="5"/>
      <c r="E312" s="5"/>
      <c r="F312" s="5"/>
      <c r="G312" s="5"/>
      <c r="H312" s="105"/>
      <c r="I312" s="21"/>
      <c r="J312" s="5"/>
      <c r="K312" s="5"/>
      <c r="L312" s="127"/>
      <c r="M312" s="5"/>
      <c r="N312" s="5"/>
      <c r="O312" s="5"/>
      <c r="P312" s="5"/>
      <c r="Q312" s="5"/>
      <c r="R312" s="5"/>
      <c r="S312" s="127"/>
      <c r="T312" s="5"/>
      <c r="U312" s="5"/>
      <c r="V312" s="224" t="s">
        <v>3502</v>
      </c>
      <c r="W312" s="87"/>
      <c r="X312" s="90"/>
      <c r="Y312" s="90"/>
      <c r="Z312" s="87"/>
      <c r="AA312" s="87"/>
      <c r="AB312" s="87"/>
      <c r="AC312" s="87"/>
      <c r="AD312" s="205"/>
    </row>
    <row r="313" spans="2:30" s="76" customFormat="1" x14ac:dyDescent="0.2">
      <c r="B313" s="314"/>
      <c r="C313" s="11"/>
      <c r="D313" s="12"/>
      <c r="E313" s="12"/>
      <c r="F313" s="12"/>
      <c r="G313" s="12"/>
      <c r="H313" s="504"/>
      <c r="I313" s="14"/>
      <c r="J313" s="12"/>
      <c r="K313" s="12"/>
      <c r="L313" s="15"/>
      <c r="M313" s="12"/>
      <c r="N313" s="12"/>
      <c r="O313" s="12"/>
      <c r="P313" s="12"/>
      <c r="Q313" s="12"/>
      <c r="R313" s="12"/>
      <c r="S313" s="141"/>
      <c r="T313" s="12" t="s">
        <v>3508</v>
      </c>
      <c r="U313" s="12"/>
      <c r="V313" s="12"/>
      <c r="W313" s="80"/>
      <c r="X313" s="82"/>
      <c r="Y313" s="82"/>
      <c r="Z313" s="80"/>
      <c r="AA313" s="80"/>
      <c r="AB313" s="80" t="s">
        <v>3509</v>
      </c>
      <c r="AC313" s="80"/>
      <c r="AD313" s="205"/>
    </row>
    <row r="314" spans="2:30" s="76" customFormat="1" x14ac:dyDescent="0.2">
      <c r="B314" s="312" t="s">
        <v>78</v>
      </c>
      <c r="C314" s="16" t="s">
        <v>79</v>
      </c>
      <c r="D314" s="6" t="s">
        <v>3510</v>
      </c>
      <c r="E314" s="6"/>
      <c r="F314" s="6" t="s">
        <v>3511</v>
      </c>
      <c r="G314" s="6"/>
      <c r="H314" s="17">
        <v>78100</v>
      </c>
      <c r="I314" s="39" t="s">
        <v>3458</v>
      </c>
      <c r="J314" s="7">
        <v>37575</v>
      </c>
      <c r="K314" s="7"/>
      <c r="L314" s="23">
        <v>37648</v>
      </c>
      <c r="M314" s="18" t="s">
        <v>124</v>
      </c>
      <c r="N314" s="6" t="s">
        <v>42</v>
      </c>
      <c r="O314" s="6"/>
      <c r="P314" s="6"/>
      <c r="Q314" s="6"/>
      <c r="R314" s="6"/>
      <c r="S314" s="23">
        <v>37967</v>
      </c>
      <c r="T314" s="23">
        <v>37620</v>
      </c>
      <c r="U314" s="23"/>
      <c r="V314" s="40" t="s">
        <v>3512</v>
      </c>
      <c r="W314" s="70">
        <v>846</v>
      </c>
      <c r="X314" s="75"/>
      <c r="Y314" s="75"/>
      <c r="Z314" s="6">
        <v>6554881340</v>
      </c>
      <c r="AA314" s="74" t="s">
        <v>195</v>
      </c>
      <c r="AB314" s="74" t="s">
        <v>3513</v>
      </c>
      <c r="AC314" s="70"/>
      <c r="AD314" s="205" t="str">
        <f>IF(T314&lt;=L314,"en término","atrasado")</f>
        <v>en término</v>
      </c>
    </row>
    <row r="315" spans="2:30" s="76" customFormat="1" ht="12" thickBot="1" x14ac:dyDescent="0.25">
      <c r="B315" s="313"/>
      <c r="C315" s="19"/>
      <c r="D315" s="5"/>
      <c r="E315" s="5"/>
      <c r="F315" s="5"/>
      <c r="G315" s="5"/>
      <c r="H315" s="105"/>
      <c r="I315" s="21"/>
      <c r="J315" s="27"/>
      <c r="K315" s="27"/>
      <c r="L315" s="127"/>
      <c r="M315" s="5"/>
      <c r="N315" s="5"/>
      <c r="O315" s="5"/>
      <c r="P315" s="5"/>
      <c r="Q315" s="5"/>
      <c r="R315" s="5"/>
      <c r="S315" s="127"/>
      <c r="T315" s="5" t="s">
        <v>3514</v>
      </c>
      <c r="U315" s="5"/>
      <c r="V315" s="224"/>
      <c r="W315" s="87"/>
      <c r="X315" s="90"/>
      <c r="Y315" s="90"/>
      <c r="Z315" s="87"/>
      <c r="AA315" s="87"/>
      <c r="AB315" s="87"/>
      <c r="AC315" s="87"/>
      <c r="AD315" s="205"/>
    </row>
    <row r="316" spans="2:30" s="76" customFormat="1" x14ac:dyDescent="0.2">
      <c r="B316" s="314"/>
      <c r="C316" s="11"/>
      <c r="D316" s="12"/>
      <c r="E316" s="12"/>
      <c r="F316" s="12"/>
      <c r="G316" s="12"/>
      <c r="H316" s="504"/>
      <c r="I316" s="14"/>
      <c r="J316" s="12"/>
      <c r="K316" s="12"/>
      <c r="L316" s="15"/>
      <c r="M316" s="12"/>
      <c r="N316" s="12"/>
      <c r="O316" s="12"/>
      <c r="P316" s="12"/>
      <c r="Q316" s="12"/>
      <c r="R316" s="12"/>
      <c r="S316" s="141"/>
      <c r="T316" s="12" t="s">
        <v>3508</v>
      </c>
      <c r="U316" s="12"/>
      <c r="V316" s="227" t="s">
        <v>3515</v>
      </c>
      <c r="W316" s="80"/>
      <c r="X316" s="82"/>
      <c r="Y316" s="82"/>
      <c r="Z316" s="80"/>
      <c r="AA316" s="80"/>
      <c r="AB316" s="80"/>
      <c r="AC316" s="80"/>
      <c r="AD316" s="205"/>
    </row>
    <row r="317" spans="2:30" s="76" customFormat="1" x14ac:dyDescent="0.2">
      <c r="B317" s="312" t="s">
        <v>78</v>
      </c>
      <c r="C317" s="16" t="s">
        <v>79</v>
      </c>
      <c r="D317" s="6" t="s">
        <v>3516</v>
      </c>
      <c r="E317" s="6"/>
      <c r="F317" s="6" t="s">
        <v>3517</v>
      </c>
      <c r="G317" s="6"/>
      <c r="H317" s="17">
        <v>2370</v>
      </c>
      <c r="I317" s="39" t="s">
        <v>3458</v>
      </c>
      <c r="J317" s="7">
        <v>37601</v>
      </c>
      <c r="K317" s="7"/>
      <c r="L317" s="23">
        <v>37648</v>
      </c>
      <c r="M317" s="18" t="s">
        <v>124</v>
      </c>
      <c r="N317" s="6" t="s">
        <v>42</v>
      </c>
      <c r="O317" s="6"/>
      <c r="P317" s="6"/>
      <c r="Q317" s="6"/>
      <c r="R317" s="6"/>
      <c r="S317" s="23">
        <v>37596</v>
      </c>
      <c r="T317" s="23">
        <v>37620</v>
      </c>
      <c r="U317" s="23"/>
      <c r="V317" s="40" t="s">
        <v>3518</v>
      </c>
      <c r="W317" s="70">
        <v>847</v>
      </c>
      <c r="X317" s="75"/>
      <c r="Y317" s="75"/>
      <c r="Z317" s="6">
        <v>6554881340</v>
      </c>
      <c r="AA317" s="74" t="s">
        <v>195</v>
      </c>
      <c r="AB317" s="74" t="s">
        <v>211</v>
      </c>
      <c r="AC317" s="70"/>
      <c r="AD317" s="205" t="str">
        <f>IF(T317&lt;=L317,"en término","atrasado")</f>
        <v>en término</v>
      </c>
    </row>
    <row r="318" spans="2:30" s="76" customFormat="1" ht="12" thickBot="1" x14ac:dyDescent="0.25">
      <c r="B318" s="313"/>
      <c r="C318" s="19"/>
      <c r="D318" s="5"/>
      <c r="E318" s="5"/>
      <c r="F318" s="5"/>
      <c r="G318" s="5"/>
      <c r="H318" s="105"/>
      <c r="I318" s="21"/>
      <c r="J318" s="27"/>
      <c r="K318" s="27"/>
      <c r="L318" s="127"/>
      <c r="M318" s="5"/>
      <c r="N318" s="5"/>
      <c r="O318" s="5"/>
      <c r="P318" s="5"/>
      <c r="Q318" s="5"/>
      <c r="R318" s="5"/>
      <c r="S318" s="127"/>
      <c r="T318" s="5" t="s">
        <v>3514</v>
      </c>
      <c r="U318" s="5"/>
      <c r="V318" s="224" t="s">
        <v>3519</v>
      </c>
      <c r="W318" s="87"/>
      <c r="X318" s="90"/>
      <c r="Y318" s="90"/>
      <c r="Z318" s="87"/>
      <c r="AA318" s="87"/>
      <c r="AB318" s="87"/>
      <c r="AC318" s="87"/>
    </row>
    <row r="320" spans="2:30" ht="12.75" x14ac:dyDescent="0.2">
      <c r="AA320" s="1">
        <v>2002</v>
      </c>
      <c r="AB320" s="1047"/>
    </row>
    <row r="321" spans="1:39" ht="12.75" x14ac:dyDescent="0.2">
      <c r="AA321" s="945" t="s">
        <v>813</v>
      </c>
      <c r="AB321" s="1048">
        <f>COUNTA(AD277:AD317)</f>
        <v>14</v>
      </c>
    </row>
    <row r="322" spans="1:39" ht="12.75" x14ac:dyDescent="0.2">
      <c r="AA322" s="945" t="s">
        <v>815</v>
      </c>
      <c r="AB322" s="1048">
        <f>COUNTIF(AD277:AD317,"en término")</f>
        <v>8</v>
      </c>
    </row>
    <row r="323" spans="1:39" ht="12.75" x14ac:dyDescent="0.2">
      <c r="AA323" s="945" t="s">
        <v>817</v>
      </c>
      <c r="AB323" s="557">
        <f>+AB322/AB321</f>
        <v>0.5714285714285714</v>
      </c>
    </row>
    <row r="324" spans="1:39" ht="12" thickBot="1" x14ac:dyDescent="0.25"/>
    <row r="325" spans="1:39" s="556" customFormat="1" ht="39.950000000000003" customHeight="1" thickBot="1" x14ac:dyDescent="0.4">
      <c r="B325" s="1611">
        <v>2003</v>
      </c>
      <c r="C325" s="1612"/>
      <c r="D325" s="1612"/>
      <c r="E325" s="1612"/>
      <c r="F325" s="1612"/>
      <c r="G325" s="1612"/>
      <c r="H325" s="1612"/>
      <c r="I325" s="1612"/>
      <c r="J325" s="1612"/>
      <c r="K325" s="1612"/>
      <c r="L325" s="1612"/>
      <c r="M325" s="1612"/>
      <c r="N325" s="1612"/>
      <c r="O325" s="1612"/>
      <c r="P325" s="1612"/>
      <c r="Q325" s="1612"/>
      <c r="R325" s="1612"/>
      <c r="S325" s="1612"/>
      <c r="T325" s="1612"/>
      <c r="U325" s="1612"/>
      <c r="V325" s="1612"/>
      <c r="W325" s="1612"/>
      <c r="X325" s="1612"/>
      <c r="Y325" s="1612"/>
      <c r="Z325" s="1612"/>
      <c r="AA325" s="1612"/>
      <c r="AB325" s="1612"/>
      <c r="AC325" s="1613"/>
      <c r="AD325" s="555"/>
    </row>
    <row r="326" spans="1:39" s="441" customFormat="1" ht="60" customHeight="1" thickBot="1" x14ac:dyDescent="0.25">
      <c r="A326" s="438"/>
      <c r="B326" s="451" t="s">
        <v>130</v>
      </c>
      <c r="C326" s="451" t="s">
        <v>4</v>
      </c>
      <c r="D326" s="451" t="s">
        <v>5</v>
      </c>
      <c r="E326" s="451" t="s">
        <v>6</v>
      </c>
      <c r="F326" s="451" t="s">
        <v>7</v>
      </c>
      <c r="G326" s="451" t="s">
        <v>8</v>
      </c>
      <c r="H326" s="453" t="s">
        <v>9</v>
      </c>
      <c r="I326" s="453" t="s">
        <v>10</v>
      </c>
      <c r="J326" s="451" t="s">
        <v>11</v>
      </c>
      <c r="K326" s="451" t="s">
        <v>12</v>
      </c>
      <c r="L326" s="451" t="s">
        <v>13</v>
      </c>
      <c r="M326" s="451" t="s">
        <v>14</v>
      </c>
      <c r="N326" s="451" t="s">
        <v>15</v>
      </c>
      <c r="O326" s="452" t="s">
        <v>16</v>
      </c>
      <c r="P326" s="454" t="s">
        <v>17</v>
      </c>
      <c r="Q326" s="451" t="s">
        <v>18</v>
      </c>
      <c r="R326" s="452" t="s">
        <v>19</v>
      </c>
      <c r="S326" s="451" t="s">
        <v>20</v>
      </c>
      <c r="T326" s="451" t="s">
        <v>21</v>
      </c>
      <c r="U326" s="452" t="s">
        <v>22</v>
      </c>
      <c r="V326" s="451" t="s">
        <v>131</v>
      </c>
      <c r="W326" s="451" t="s">
        <v>24</v>
      </c>
      <c r="X326" s="451" t="s">
        <v>132</v>
      </c>
      <c r="Y326" s="451" t="s">
        <v>26</v>
      </c>
      <c r="Z326" s="451" t="s">
        <v>27</v>
      </c>
      <c r="AA326" s="451" t="s">
        <v>28</v>
      </c>
      <c r="AB326" s="451" t="s">
        <v>29</v>
      </c>
      <c r="AC326" s="451" t="s">
        <v>30</v>
      </c>
      <c r="AD326" s="439"/>
      <c r="AE326" s="440"/>
      <c r="AF326" s="440"/>
      <c r="AG326" s="440"/>
      <c r="AH326" s="440"/>
      <c r="AI326" s="440"/>
      <c r="AJ326" s="440"/>
      <c r="AK326" s="440"/>
      <c r="AL326" s="440"/>
      <c r="AM326" s="440"/>
    </row>
    <row r="327" spans="1:39" s="76" customFormat="1" x14ac:dyDescent="0.2">
      <c r="B327" s="314"/>
      <c r="C327" s="11"/>
      <c r="D327" s="12"/>
      <c r="E327" s="12"/>
      <c r="F327" s="12"/>
      <c r="G327" s="12"/>
      <c r="H327" s="504"/>
      <c r="I327" s="14"/>
      <c r="J327" s="12"/>
      <c r="K327" s="12"/>
      <c r="L327" s="15"/>
      <c r="M327" s="12"/>
      <c r="N327" s="12"/>
      <c r="O327" s="12"/>
      <c r="P327" s="12"/>
      <c r="Q327" s="12"/>
      <c r="R327" s="12"/>
      <c r="S327" s="141"/>
      <c r="T327" s="12"/>
      <c r="U327" s="12"/>
      <c r="V327" s="244"/>
      <c r="W327" s="80"/>
      <c r="X327" s="82"/>
      <c r="Y327" s="82"/>
      <c r="Z327" s="80"/>
      <c r="AA327" s="80"/>
      <c r="AB327" s="80"/>
      <c r="AC327" s="80"/>
    </row>
    <row r="328" spans="1:39" s="76" customFormat="1" x14ac:dyDescent="0.2">
      <c r="B328" s="312" t="s">
        <v>78</v>
      </c>
      <c r="C328" s="16" t="s">
        <v>3165</v>
      </c>
      <c r="D328" s="6" t="s">
        <v>3520</v>
      </c>
      <c r="E328" s="6"/>
      <c r="F328" s="6">
        <v>130527</v>
      </c>
      <c r="G328" s="6"/>
      <c r="H328" s="17">
        <v>20632.5</v>
      </c>
      <c r="I328" s="39"/>
      <c r="J328" s="7">
        <v>37701</v>
      </c>
      <c r="K328" s="7"/>
      <c r="L328" s="23">
        <v>37744</v>
      </c>
      <c r="M328" s="18" t="s">
        <v>280</v>
      </c>
      <c r="N328" s="6" t="s">
        <v>42</v>
      </c>
      <c r="O328" s="6"/>
      <c r="P328" s="6"/>
      <c r="Q328" s="6"/>
      <c r="R328" s="6"/>
      <c r="S328" s="23">
        <v>37725</v>
      </c>
      <c r="T328" s="23">
        <v>37734</v>
      </c>
      <c r="U328" s="23"/>
      <c r="V328" s="40" t="s">
        <v>2239</v>
      </c>
      <c r="W328" s="70" t="s">
        <v>3521</v>
      </c>
      <c r="X328" s="75"/>
      <c r="Y328" s="75"/>
      <c r="Z328" s="70"/>
      <c r="AA328" s="74"/>
      <c r="AB328" s="74"/>
      <c r="AC328" s="70"/>
      <c r="AD328" s="205" t="str">
        <f>IF(T328&lt;=L328,"en término","atrasado")</f>
        <v>en término</v>
      </c>
    </row>
    <row r="329" spans="1:39" s="76" customFormat="1" ht="12" thickBot="1" x14ac:dyDescent="0.25">
      <c r="B329" s="313"/>
      <c r="C329" s="19"/>
      <c r="D329" s="5"/>
      <c r="E329" s="5"/>
      <c r="F329" s="5"/>
      <c r="G329" s="5"/>
      <c r="H329" s="105"/>
      <c r="I329" s="21"/>
      <c r="J329" s="5"/>
      <c r="K329" s="5"/>
      <c r="L329" s="127"/>
      <c r="M329" s="5"/>
      <c r="N329" s="5"/>
      <c r="O329" s="5"/>
      <c r="P329" s="5"/>
      <c r="Q329" s="5"/>
      <c r="R329" s="5"/>
      <c r="S329" s="127"/>
      <c r="T329" s="22"/>
      <c r="U329" s="22"/>
      <c r="V329" s="224" t="s">
        <v>3430</v>
      </c>
      <c r="W329" s="87"/>
      <c r="X329" s="90"/>
      <c r="Y329" s="90"/>
      <c r="Z329" s="87"/>
      <c r="AA329" s="87"/>
      <c r="AB329" s="87"/>
      <c r="AC329" s="87"/>
      <c r="AD329" s="205"/>
    </row>
    <row r="330" spans="1:39" s="76" customFormat="1" x14ac:dyDescent="0.2">
      <c r="B330" s="314"/>
      <c r="C330" s="11"/>
      <c r="D330" s="12"/>
      <c r="E330" s="12"/>
      <c r="F330" s="12"/>
      <c r="G330" s="12"/>
      <c r="H330" s="504"/>
      <c r="I330" s="14"/>
      <c r="J330" s="12"/>
      <c r="K330" s="12"/>
      <c r="L330" s="15"/>
      <c r="M330" s="12"/>
      <c r="N330" s="12"/>
      <c r="O330" s="12"/>
      <c r="P330" s="12"/>
      <c r="Q330" s="12"/>
      <c r="R330" s="12"/>
      <c r="S330" s="141"/>
      <c r="T330" s="251" t="s">
        <v>3522</v>
      </c>
      <c r="U330" s="251"/>
      <c r="V330" s="244" t="s">
        <v>500</v>
      </c>
      <c r="W330" s="80"/>
      <c r="X330" s="82"/>
      <c r="Y330" s="82"/>
      <c r="Z330" s="80"/>
      <c r="AA330" s="80"/>
      <c r="AB330" s="80"/>
      <c r="AC330" s="80"/>
      <c r="AD330" s="205"/>
    </row>
    <row r="331" spans="1:39" s="76" customFormat="1" x14ac:dyDescent="0.2">
      <c r="B331" s="312" t="s">
        <v>78</v>
      </c>
      <c r="C331" s="16" t="s">
        <v>79</v>
      </c>
      <c r="D331" s="6" t="s">
        <v>3523</v>
      </c>
      <c r="E331" s="6"/>
      <c r="F331" s="6" t="s">
        <v>3524</v>
      </c>
      <c r="G331" s="6"/>
      <c r="H331" s="17">
        <v>39657.199999999997</v>
      </c>
      <c r="I331" s="39"/>
      <c r="J331" s="7">
        <v>37715</v>
      </c>
      <c r="K331" s="7"/>
      <c r="L331" s="23">
        <v>37767</v>
      </c>
      <c r="M331" s="18" t="s">
        <v>124</v>
      </c>
      <c r="N331" s="6" t="s">
        <v>42</v>
      </c>
      <c r="O331" s="6"/>
      <c r="P331" s="6"/>
      <c r="Q331" s="6"/>
      <c r="R331" s="6"/>
      <c r="S331" s="23">
        <v>37736</v>
      </c>
      <c r="T331" s="23">
        <v>37750</v>
      </c>
      <c r="U331" s="23"/>
      <c r="V331" s="40" t="s">
        <v>53</v>
      </c>
      <c r="W331" s="70">
        <v>874</v>
      </c>
      <c r="X331" s="75"/>
      <c r="Y331" s="75"/>
      <c r="Z331" s="6">
        <v>9051564152</v>
      </c>
      <c r="AA331" s="74"/>
      <c r="AB331" s="74" t="s">
        <v>47</v>
      </c>
      <c r="AC331" s="70"/>
      <c r="AD331" s="205" t="str">
        <f>IF(T331&lt;=L331,"en término","atrasado")</f>
        <v>en término</v>
      </c>
    </row>
    <row r="332" spans="1:39" s="76" customFormat="1" ht="12" thickBot="1" x14ac:dyDescent="0.25">
      <c r="B332" s="313"/>
      <c r="C332" s="19"/>
      <c r="D332" s="5"/>
      <c r="E332" s="5"/>
      <c r="F332" s="5"/>
      <c r="G332" s="5"/>
      <c r="H332" s="105"/>
      <c r="I332" s="21"/>
      <c r="J332" s="5"/>
      <c r="K332" s="5"/>
      <c r="L332" s="127"/>
      <c r="M332" s="5"/>
      <c r="N332" s="5"/>
      <c r="O332" s="5"/>
      <c r="P332" s="5"/>
      <c r="Q332" s="5"/>
      <c r="R332" s="5"/>
      <c r="S332" s="127"/>
      <c r="T332" s="127" t="s">
        <v>3525</v>
      </c>
      <c r="U332" s="127"/>
      <c r="V332" s="224"/>
      <c r="W332" s="87"/>
      <c r="X332" s="90"/>
      <c r="Y332" s="90"/>
      <c r="Z332" s="87"/>
      <c r="AA332" s="87"/>
      <c r="AB332" s="87"/>
      <c r="AC332" s="87"/>
      <c r="AD332" s="205"/>
    </row>
    <row r="333" spans="1:39" s="76" customFormat="1" x14ac:dyDescent="0.2">
      <c r="B333" s="314"/>
      <c r="C333" s="11"/>
      <c r="D333" s="12"/>
      <c r="E333" s="12"/>
      <c r="F333" s="12"/>
      <c r="G333" s="12"/>
      <c r="H333" s="504"/>
      <c r="I333" s="14"/>
      <c r="J333" s="12"/>
      <c r="K333" s="12"/>
      <c r="L333" s="15"/>
      <c r="M333" s="12"/>
      <c r="N333" s="12"/>
      <c r="O333" s="12"/>
      <c r="P333" s="12"/>
      <c r="Q333" s="12"/>
      <c r="R333" s="12"/>
      <c r="S333" s="141"/>
      <c r="T333" s="12"/>
      <c r="U333" s="12"/>
      <c r="V333" s="244" t="s">
        <v>347</v>
      </c>
      <c r="W333" s="80"/>
      <c r="X333" s="82"/>
      <c r="Y333" s="82"/>
      <c r="Z333" s="80"/>
      <c r="AA333" s="80"/>
      <c r="AB333" s="80"/>
      <c r="AC333" s="80"/>
      <c r="AD333" s="205"/>
    </row>
    <row r="334" spans="1:39" s="76" customFormat="1" x14ac:dyDescent="0.2">
      <c r="B334" s="312" t="s">
        <v>78</v>
      </c>
      <c r="C334" s="16" t="s">
        <v>79</v>
      </c>
      <c r="D334" s="6" t="s">
        <v>3526</v>
      </c>
      <c r="E334" s="6"/>
      <c r="F334" s="6" t="s">
        <v>3527</v>
      </c>
      <c r="G334" s="6"/>
      <c r="H334" s="17">
        <v>2340</v>
      </c>
      <c r="I334" s="39"/>
      <c r="J334" s="7">
        <v>37748</v>
      </c>
      <c r="K334" s="7"/>
      <c r="L334" s="23" t="s">
        <v>3528</v>
      </c>
      <c r="M334" s="18" t="s">
        <v>280</v>
      </c>
      <c r="N334" s="6"/>
      <c r="O334" s="6"/>
      <c r="P334" s="6"/>
      <c r="Q334" s="6"/>
      <c r="R334" s="6"/>
      <c r="S334" s="23">
        <v>37748</v>
      </c>
      <c r="T334" s="23">
        <v>37750</v>
      </c>
      <c r="U334" s="23"/>
      <c r="V334" s="40" t="s">
        <v>3529</v>
      </c>
      <c r="W334" s="6" t="s">
        <v>3530</v>
      </c>
      <c r="X334" s="75"/>
      <c r="Y334" s="75"/>
      <c r="Z334" s="70"/>
      <c r="AA334" s="74"/>
      <c r="AB334" s="74"/>
      <c r="AC334" s="70"/>
      <c r="AD334" s="205" t="str">
        <f>IF(T334&lt;=L334,"en término","atrasado")</f>
        <v>en término</v>
      </c>
    </row>
    <row r="335" spans="1:39" s="76" customFormat="1" ht="12.75" customHeight="1" thickBot="1" x14ac:dyDescent="0.25">
      <c r="B335" s="313"/>
      <c r="C335" s="19"/>
      <c r="D335" s="5"/>
      <c r="E335" s="5"/>
      <c r="F335" s="5"/>
      <c r="G335" s="5"/>
      <c r="H335" s="105"/>
      <c r="I335" s="21"/>
      <c r="J335" s="5"/>
      <c r="K335" s="5"/>
      <c r="L335" s="127">
        <v>37750</v>
      </c>
      <c r="M335" s="5"/>
      <c r="N335" s="5"/>
      <c r="O335" s="5"/>
      <c r="P335" s="5"/>
      <c r="Q335" s="5"/>
      <c r="R335" s="5"/>
      <c r="S335" s="127"/>
      <c r="T335" s="22"/>
      <c r="U335" s="22"/>
      <c r="V335" s="224" t="s">
        <v>3531</v>
      </c>
      <c r="W335" s="87"/>
      <c r="X335" s="90"/>
      <c r="Y335" s="90"/>
      <c r="Z335" s="87"/>
      <c r="AA335" s="87"/>
      <c r="AB335" s="87"/>
      <c r="AC335" s="87"/>
    </row>
    <row r="336" spans="1:39" s="76" customFormat="1" x14ac:dyDescent="0.2">
      <c r="B336" s="314"/>
      <c r="C336" s="11"/>
      <c r="D336" s="12"/>
      <c r="E336" s="12"/>
      <c r="F336" s="12"/>
      <c r="G336" s="12"/>
      <c r="H336" s="504"/>
      <c r="I336" s="14"/>
      <c r="J336" s="12"/>
      <c r="K336" s="12"/>
      <c r="L336" s="15"/>
      <c r="M336" s="12"/>
      <c r="N336" s="12"/>
      <c r="O336" s="12"/>
      <c r="P336" s="12"/>
      <c r="Q336" s="12"/>
      <c r="R336" s="12"/>
      <c r="S336" s="141"/>
      <c r="T336" s="15" t="s">
        <v>3532</v>
      </c>
      <c r="U336" s="15"/>
      <c r="V336" s="244" t="s">
        <v>500</v>
      </c>
      <c r="W336" s="80"/>
      <c r="X336" s="82"/>
      <c r="Y336" s="82"/>
      <c r="Z336" s="12">
        <v>9051564034</v>
      </c>
      <c r="AA336" s="80"/>
      <c r="AB336" s="80"/>
      <c r="AC336" s="80"/>
    </row>
    <row r="337" spans="2:30" s="76" customFormat="1" x14ac:dyDescent="0.2">
      <c r="B337" s="312" t="s">
        <v>78</v>
      </c>
      <c r="C337" s="16" t="s">
        <v>79</v>
      </c>
      <c r="D337" s="6" t="s">
        <v>3533</v>
      </c>
      <c r="E337" s="6"/>
      <c r="F337" s="6" t="s">
        <v>3534</v>
      </c>
      <c r="G337" s="6"/>
      <c r="H337" s="17">
        <v>39740</v>
      </c>
      <c r="I337" s="39" t="s">
        <v>83</v>
      </c>
      <c r="J337" s="7">
        <v>37753</v>
      </c>
      <c r="K337" s="7"/>
      <c r="L337" s="23">
        <v>37802</v>
      </c>
      <c r="M337" s="18" t="s">
        <v>124</v>
      </c>
      <c r="N337" s="6" t="s">
        <v>42</v>
      </c>
      <c r="O337" s="6"/>
      <c r="P337" s="6"/>
      <c r="Q337" s="6"/>
      <c r="R337" s="6"/>
      <c r="S337" s="23">
        <v>37785</v>
      </c>
      <c r="T337" s="23">
        <v>37793</v>
      </c>
      <c r="U337" s="23"/>
      <c r="V337" s="40" t="s">
        <v>3535</v>
      </c>
      <c r="W337" s="70">
        <v>893</v>
      </c>
      <c r="X337" s="75"/>
      <c r="Y337" s="75"/>
      <c r="Z337" s="6">
        <v>9025335955</v>
      </c>
      <c r="AA337" s="74"/>
      <c r="AB337" s="74" t="s">
        <v>47</v>
      </c>
      <c r="AC337" s="70"/>
      <c r="AD337" s="205" t="str">
        <f>IF(T337&lt;=L337,"en término","atrasado")</f>
        <v>en término</v>
      </c>
    </row>
    <row r="338" spans="2:30" s="76" customFormat="1" ht="12" thickBot="1" x14ac:dyDescent="0.25">
      <c r="B338" s="313"/>
      <c r="C338" s="19"/>
      <c r="D338" s="5"/>
      <c r="E338" s="5"/>
      <c r="F338" s="5"/>
      <c r="G338" s="5"/>
      <c r="H338" s="105"/>
      <c r="I338" s="21"/>
      <c r="J338" s="5"/>
      <c r="K338" s="5"/>
      <c r="L338" s="127"/>
      <c r="M338" s="5"/>
      <c r="N338" s="5"/>
      <c r="O338" s="5"/>
      <c r="P338" s="5"/>
      <c r="Q338" s="5"/>
      <c r="R338" s="5"/>
      <c r="S338" s="127"/>
      <c r="T338" s="22" t="s">
        <v>3536</v>
      </c>
      <c r="U338" s="22"/>
      <c r="V338" s="224"/>
      <c r="W338" s="87"/>
      <c r="X338" s="90"/>
      <c r="Y338" s="90"/>
      <c r="Z338" s="87"/>
      <c r="AA338" s="87"/>
      <c r="AB338" s="87"/>
      <c r="AC338" s="87"/>
    </row>
    <row r="339" spans="2:30" s="76" customFormat="1" x14ac:dyDescent="0.2">
      <c r="B339" s="314"/>
      <c r="C339" s="11"/>
      <c r="D339" s="12"/>
      <c r="E339" s="12"/>
      <c r="F339" s="12"/>
      <c r="G339" s="12"/>
      <c r="H339" s="504"/>
      <c r="I339" s="14"/>
      <c r="J339" s="12"/>
      <c r="K339" s="12"/>
      <c r="L339" s="15"/>
      <c r="M339" s="12"/>
      <c r="N339" s="12"/>
      <c r="O339" s="12"/>
      <c r="P339" s="12"/>
      <c r="Q339" s="12"/>
      <c r="R339" s="12"/>
      <c r="S339" s="141"/>
      <c r="T339" s="12" t="s">
        <v>3537</v>
      </c>
      <c r="U339" s="12"/>
      <c r="V339" s="244" t="s">
        <v>3538</v>
      </c>
      <c r="W339" s="80"/>
      <c r="X339" s="82"/>
      <c r="Y339" s="82"/>
      <c r="Z339" s="80"/>
      <c r="AA339" s="80"/>
      <c r="AB339" s="80"/>
      <c r="AC339" s="80"/>
    </row>
    <row r="340" spans="2:30" s="76" customFormat="1" x14ac:dyDescent="0.2">
      <c r="B340" s="312" t="s">
        <v>78</v>
      </c>
      <c r="C340" s="16" t="s">
        <v>3165</v>
      </c>
      <c r="D340" s="6" t="s">
        <v>3539</v>
      </c>
      <c r="E340" s="6"/>
      <c r="F340" s="6">
        <v>132483</v>
      </c>
      <c r="G340" s="6"/>
      <c r="H340" s="17">
        <v>18574</v>
      </c>
      <c r="I340" s="39" t="s">
        <v>83</v>
      </c>
      <c r="J340" s="7">
        <v>37770</v>
      </c>
      <c r="K340" s="7"/>
      <c r="L340" s="23">
        <v>37815</v>
      </c>
      <c r="M340" s="18" t="s">
        <v>124</v>
      </c>
      <c r="N340" s="6" t="s">
        <v>42</v>
      </c>
      <c r="O340" s="6"/>
      <c r="P340" s="6"/>
      <c r="Q340" s="6"/>
      <c r="R340" s="6"/>
      <c r="S340" s="23">
        <v>37810</v>
      </c>
      <c r="T340" s="23">
        <v>37824</v>
      </c>
      <c r="U340" s="23"/>
      <c r="V340" s="40" t="s">
        <v>3540</v>
      </c>
      <c r="W340" s="70">
        <v>904</v>
      </c>
      <c r="X340" s="75"/>
      <c r="Y340" s="75"/>
      <c r="Z340" s="6">
        <v>9025376920</v>
      </c>
      <c r="AA340" s="74"/>
      <c r="AB340" s="74" t="s">
        <v>47</v>
      </c>
      <c r="AC340" s="70"/>
      <c r="AD340" s="205" t="str">
        <f>IF(T340&lt;=L340,"en término","atrasado")</f>
        <v>atrasado</v>
      </c>
    </row>
    <row r="341" spans="2:30" s="76" customFormat="1" ht="12" thickBot="1" x14ac:dyDescent="0.25">
      <c r="B341" s="313"/>
      <c r="C341" s="19"/>
      <c r="D341" s="5"/>
      <c r="E341" s="5"/>
      <c r="F341" s="5"/>
      <c r="G341" s="5"/>
      <c r="H341" s="105"/>
      <c r="I341" s="21"/>
      <c r="J341" s="5"/>
      <c r="K341" s="5"/>
      <c r="L341" s="127"/>
      <c r="M341" s="5"/>
      <c r="N341" s="5"/>
      <c r="O341" s="5"/>
      <c r="P341" s="5"/>
      <c r="Q341" s="5"/>
      <c r="R341" s="5"/>
      <c r="S341" s="127"/>
      <c r="T341" s="5" t="s">
        <v>3541</v>
      </c>
      <c r="U341" s="5"/>
      <c r="V341" s="224"/>
      <c r="W341" s="87"/>
      <c r="X341" s="90"/>
      <c r="Y341" s="90"/>
      <c r="Z341" s="87"/>
      <c r="AA341" s="87"/>
      <c r="AB341" s="87"/>
      <c r="AC341" s="87"/>
    </row>
    <row r="342" spans="2:30" s="76" customFormat="1" x14ac:dyDescent="0.2">
      <c r="B342" s="314"/>
      <c r="C342" s="11"/>
      <c r="D342" s="12"/>
      <c r="E342" s="12"/>
      <c r="F342" s="12"/>
      <c r="G342" s="12"/>
      <c r="H342" s="504"/>
      <c r="I342" s="14"/>
      <c r="J342" s="12"/>
      <c r="K342" s="12"/>
      <c r="L342" s="15"/>
      <c r="M342" s="12"/>
      <c r="N342" s="12"/>
      <c r="O342" s="12"/>
      <c r="P342" s="12"/>
      <c r="Q342" s="12"/>
      <c r="R342" s="12"/>
      <c r="S342" s="141"/>
      <c r="T342" s="15"/>
      <c r="U342" s="15"/>
      <c r="V342" s="244" t="s">
        <v>3538</v>
      </c>
      <c r="W342" s="80"/>
      <c r="X342" s="82"/>
      <c r="Y342" s="82"/>
      <c r="Z342" s="80"/>
      <c r="AA342" s="80"/>
      <c r="AB342" s="80"/>
      <c r="AC342" s="80"/>
    </row>
    <row r="343" spans="2:30" s="76" customFormat="1" x14ac:dyDescent="0.2">
      <c r="B343" s="312" t="s">
        <v>78</v>
      </c>
      <c r="C343" s="16" t="s">
        <v>3165</v>
      </c>
      <c r="D343" s="6" t="s">
        <v>3539</v>
      </c>
      <c r="E343" s="6"/>
      <c r="F343" s="6">
        <v>132505</v>
      </c>
      <c r="G343" s="6"/>
      <c r="H343" s="17">
        <v>7180</v>
      </c>
      <c r="I343" s="39" t="s">
        <v>83</v>
      </c>
      <c r="J343" s="7">
        <v>37770</v>
      </c>
      <c r="K343" s="7"/>
      <c r="L343" s="23">
        <v>37799</v>
      </c>
      <c r="M343" s="18" t="s">
        <v>280</v>
      </c>
      <c r="N343" s="6" t="s">
        <v>42</v>
      </c>
      <c r="O343" s="6"/>
      <c r="P343" s="6"/>
      <c r="Q343" s="6"/>
      <c r="R343" s="6"/>
      <c r="S343" s="23">
        <v>37833</v>
      </c>
      <c r="T343" s="23">
        <v>37834</v>
      </c>
      <c r="U343" s="23"/>
      <c r="V343" s="40" t="s">
        <v>3540</v>
      </c>
      <c r="W343" s="70" t="s">
        <v>3542</v>
      </c>
      <c r="X343" s="75"/>
      <c r="Y343" s="75"/>
      <c r="Z343" s="70"/>
      <c r="AA343" s="74"/>
      <c r="AB343" s="74"/>
      <c r="AC343" s="70"/>
      <c r="AD343" s="205" t="str">
        <f>IF(T343&lt;=L343,"en término","atrasado")</f>
        <v>atrasado</v>
      </c>
    </row>
    <row r="344" spans="2:30" s="76" customFormat="1" ht="12" thickBot="1" x14ac:dyDescent="0.25">
      <c r="B344" s="313"/>
      <c r="C344" s="19"/>
      <c r="D344" s="5"/>
      <c r="E344" s="5"/>
      <c r="F344" s="5"/>
      <c r="G344" s="5"/>
      <c r="H344" s="105"/>
      <c r="I344" s="21"/>
      <c r="J344" s="5"/>
      <c r="K344" s="5"/>
      <c r="L344" s="127"/>
      <c r="M344" s="5"/>
      <c r="N344" s="5"/>
      <c r="O344" s="5"/>
      <c r="P344" s="5"/>
      <c r="Q344" s="5"/>
      <c r="R344" s="5"/>
      <c r="S344" s="127"/>
      <c r="T344" s="22"/>
      <c r="U344" s="22"/>
      <c r="V344" s="224" t="s">
        <v>347</v>
      </c>
      <c r="W344" s="87"/>
      <c r="X344" s="90"/>
      <c r="Y344" s="90"/>
      <c r="Z344" s="87"/>
      <c r="AA344" s="87"/>
      <c r="AB344" s="87"/>
      <c r="AC344" s="87"/>
    </row>
    <row r="345" spans="2:30" s="76" customFormat="1" x14ac:dyDescent="0.2">
      <c r="B345" s="314"/>
      <c r="C345" s="11"/>
      <c r="D345" s="12"/>
      <c r="E345" s="12"/>
      <c r="F345" s="12"/>
      <c r="G345" s="12"/>
      <c r="H345" s="504"/>
      <c r="I345" s="14"/>
      <c r="J345" s="12"/>
      <c r="K345" s="12"/>
      <c r="L345" s="15"/>
      <c r="M345" s="12"/>
      <c r="N345" s="12"/>
      <c r="O345" s="12"/>
      <c r="P345" s="12"/>
      <c r="Q345" s="12"/>
      <c r="R345" s="12"/>
      <c r="S345" s="141"/>
      <c r="T345" s="15"/>
      <c r="U345" s="15"/>
      <c r="V345" s="244" t="s">
        <v>500</v>
      </c>
      <c r="W345" s="80"/>
      <c r="X345" s="82"/>
      <c r="Y345" s="82"/>
      <c r="Z345" s="12"/>
      <c r="AA345" s="80"/>
      <c r="AB345" s="80" t="s">
        <v>3543</v>
      </c>
      <c r="AC345" s="14"/>
    </row>
    <row r="346" spans="2:30" s="76" customFormat="1" x14ac:dyDescent="0.2">
      <c r="B346" s="312" t="s">
        <v>78</v>
      </c>
      <c r="C346" s="16" t="s">
        <v>79</v>
      </c>
      <c r="D346" s="6" t="s">
        <v>3544</v>
      </c>
      <c r="E346" s="6"/>
      <c r="F346" s="6" t="s">
        <v>3545</v>
      </c>
      <c r="G346" s="6"/>
      <c r="H346" s="17">
        <v>57785</v>
      </c>
      <c r="I346" s="39" t="s">
        <v>83</v>
      </c>
      <c r="J346" s="7">
        <v>37784</v>
      </c>
      <c r="K346" s="7"/>
      <c r="L346" s="23">
        <v>37837</v>
      </c>
      <c r="M346" s="18" t="s">
        <v>124</v>
      </c>
      <c r="N346" s="6" t="s">
        <v>42</v>
      </c>
      <c r="O346" s="6"/>
      <c r="P346" s="6"/>
      <c r="Q346" s="6"/>
      <c r="R346" s="6"/>
      <c r="S346" s="23">
        <v>37827</v>
      </c>
      <c r="T346" s="23">
        <v>37839</v>
      </c>
      <c r="U346" s="23"/>
      <c r="V346" s="40" t="s">
        <v>3535</v>
      </c>
      <c r="W346" s="70">
        <v>909</v>
      </c>
      <c r="X346" s="75"/>
      <c r="Y346" s="75"/>
      <c r="Z346" s="6">
        <v>9025376872</v>
      </c>
      <c r="AA346" s="74"/>
      <c r="AB346" s="74" t="s">
        <v>3546</v>
      </c>
      <c r="AC346" s="6"/>
      <c r="AD346" s="205" t="str">
        <f>IF(T346&lt;=L346,"en término","atrasado")</f>
        <v>atrasado</v>
      </c>
    </row>
    <row r="347" spans="2:30" s="76" customFormat="1" ht="12" thickBot="1" x14ac:dyDescent="0.25">
      <c r="B347" s="313"/>
      <c r="C347" s="19"/>
      <c r="D347" s="5"/>
      <c r="E347" s="5"/>
      <c r="F347" s="5"/>
      <c r="G347" s="5"/>
      <c r="H347" s="105"/>
      <c r="I347" s="21"/>
      <c r="J347" s="5"/>
      <c r="K347" s="5"/>
      <c r="L347" s="127"/>
      <c r="M347" s="5"/>
      <c r="N347" s="5"/>
      <c r="O347" s="5"/>
      <c r="P347" s="5"/>
      <c r="Q347" s="5"/>
      <c r="R347" s="5"/>
      <c r="S347" s="127"/>
      <c r="T347" s="27" t="s">
        <v>3547</v>
      </c>
      <c r="U347" s="27"/>
      <c r="V347" s="224" t="s">
        <v>3548</v>
      </c>
      <c r="W347" s="87"/>
      <c r="X347" s="90"/>
      <c r="Y347" s="90"/>
      <c r="Z347" s="87"/>
      <c r="AA347" s="87"/>
      <c r="AB347" s="87"/>
      <c r="AC347" s="87"/>
      <c r="AD347" s="205"/>
    </row>
    <row r="348" spans="2:30" s="76" customFormat="1" x14ac:dyDescent="0.2">
      <c r="B348" s="314"/>
      <c r="C348" s="11"/>
      <c r="D348" s="12"/>
      <c r="E348" s="12"/>
      <c r="F348" s="12"/>
      <c r="G348" s="12"/>
      <c r="H348" s="504"/>
      <c r="I348" s="14"/>
      <c r="J348" s="12"/>
      <c r="K348" s="12"/>
      <c r="L348" s="15"/>
      <c r="M348" s="12"/>
      <c r="N348" s="12"/>
      <c r="O348" s="12"/>
      <c r="P348" s="12"/>
      <c r="Q348" s="12"/>
      <c r="R348" s="12"/>
      <c r="S348" s="141"/>
      <c r="T348" s="15"/>
      <c r="U348" s="15"/>
      <c r="V348" s="244" t="s">
        <v>3538</v>
      </c>
      <c r="W348" s="80"/>
      <c r="X348" s="82"/>
      <c r="Y348" s="82"/>
      <c r="Z348" s="12" t="s">
        <v>3549</v>
      </c>
      <c r="AA348" s="80"/>
      <c r="AB348" s="80"/>
      <c r="AC348" s="80"/>
      <c r="AD348" s="205"/>
    </row>
    <row r="349" spans="2:30" s="76" customFormat="1" x14ac:dyDescent="0.2">
      <c r="B349" s="312" t="s">
        <v>78</v>
      </c>
      <c r="C349" s="16" t="s">
        <v>79</v>
      </c>
      <c r="D349" s="6" t="s">
        <v>3550</v>
      </c>
      <c r="E349" s="6"/>
      <c r="F349" s="6" t="s">
        <v>3551</v>
      </c>
      <c r="G349" s="6"/>
      <c r="H349" s="17">
        <v>2400</v>
      </c>
      <c r="I349" s="39" t="s">
        <v>83</v>
      </c>
      <c r="J349" s="7">
        <v>37881</v>
      </c>
      <c r="K349" s="7"/>
      <c r="L349" s="23" t="s">
        <v>3528</v>
      </c>
      <c r="M349" s="18" t="s">
        <v>280</v>
      </c>
      <c r="N349" s="6" t="s">
        <v>1675</v>
      </c>
      <c r="O349" s="6"/>
      <c r="P349" s="6"/>
      <c r="Q349" s="6"/>
      <c r="R349" s="6"/>
      <c r="S349" s="23"/>
      <c r="T349" s="23">
        <v>37887</v>
      </c>
      <c r="U349" s="23"/>
      <c r="V349" s="40" t="s">
        <v>3552</v>
      </c>
      <c r="W349" s="6" t="s">
        <v>3553</v>
      </c>
      <c r="X349" s="75"/>
      <c r="Y349" s="75"/>
      <c r="Z349" s="6">
        <v>9055027063</v>
      </c>
      <c r="AA349" s="74"/>
      <c r="AB349" s="74"/>
      <c r="AC349" s="70"/>
      <c r="AD349" s="205" t="str">
        <f>IF(T349&lt;=L349,"en término","atrasado")</f>
        <v>en término</v>
      </c>
    </row>
    <row r="350" spans="2:30" s="76" customFormat="1" ht="12" thickBot="1" x14ac:dyDescent="0.25">
      <c r="B350" s="313"/>
      <c r="C350" s="19"/>
      <c r="D350" s="5"/>
      <c r="E350" s="5"/>
      <c r="F350" s="5"/>
      <c r="G350" s="5"/>
      <c r="H350" s="105"/>
      <c r="I350" s="21"/>
      <c r="J350" s="5"/>
      <c r="K350" s="5"/>
      <c r="L350" s="127"/>
      <c r="M350" s="5"/>
      <c r="N350" s="5"/>
      <c r="O350" s="5"/>
      <c r="P350" s="5"/>
      <c r="Q350" s="5"/>
      <c r="R350" s="5"/>
      <c r="S350" s="127"/>
      <c r="T350" s="22"/>
      <c r="U350" s="22"/>
      <c r="V350" s="224" t="s">
        <v>347</v>
      </c>
      <c r="W350" s="87"/>
      <c r="X350" s="90"/>
      <c r="Y350" s="90"/>
      <c r="Z350" s="5" t="s">
        <v>3554</v>
      </c>
      <c r="AA350" s="87"/>
      <c r="AB350" s="87"/>
      <c r="AC350" s="87"/>
      <c r="AD350" s="205"/>
    </row>
    <row r="351" spans="2:30" s="9" customFormat="1" x14ac:dyDescent="0.2">
      <c r="B351" s="312"/>
      <c r="C351" s="16"/>
      <c r="D351" s="7"/>
      <c r="E351" s="7"/>
      <c r="F351" s="6"/>
      <c r="G351" s="6"/>
      <c r="H351" s="17"/>
      <c r="I351" s="17"/>
      <c r="J351" s="7"/>
      <c r="K351" s="7"/>
      <c r="L351" s="23"/>
      <c r="M351" s="6"/>
      <c r="N351" s="6"/>
      <c r="O351" s="6"/>
      <c r="P351" s="6"/>
      <c r="Q351" s="6"/>
      <c r="R351" s="6"/>
      <c r="S351" s="6"/>
      <c r="T351" s="6"/>
      <c r="U351" s="6"/>
      <c r="V351" s="138" t="s">
        <v>3430</v>
      </c>
      <c r="W351" s="6"/>
      <c r="X351" s="59"/>
      <c r="Y351" s="59"/>
      <c r="Z351" s="6"/>
      <c r="AA351" s="6"/>
      <c r="AB351" s="6"/>
      <c r="AC351" s="6"/>
      <c r="AD351" s="205"/>
    </row>
    <row r="352" spans="2:30" s="9" customFormat="1" x14ac:dyDescent="0.2">
      <c r="B352" s="312" t="s">
        <v>78</v>
      </c>
      <c r="C352" s="16" t="s">
        <v>3555</v>
      </c>
      <c r="D352" s="7"/>
      <c r="E352" s="7"/>
      <c r="F352" s="6" t="s">
        <v>3556</v>
      </c>
      <c r="G352" s="6"/>
      <c r="H352" s="17">
        <v>492.42</v>
      </c>
      <c r="I352" s="39" t="s">
        <v>3485</v>
      </c>
      <c r="J352" s="7">
        <v>37911</v>
      </c>
      <c r="K352" s="7"/>
      <c r="L352" s="23" t="s">
        <v>3320</v>
      </c>
      <c r="M352" s="18" t="s">
        <v>3557</v>
      </c>
      <c r="N352" s="6" t="s">
        <v>1675</v>
      </c>
      <c r="O352" s="6"/>
      <c r="P352" s="6"/>
      <c r="Q352" s="6"/>
      <c r="R352" s="6"/>
      <c r="S352" s="23"/>
      <c r="T352" s="23">
        <v>37921</v>
      </c>
      <c r="U352" s="23"/>
      <c r="V352" s="6" t="s">
        <v>3558</v>
      </c>
      <c r="W352" s="6" t="s">
        <v>3559</v>
      </c>
      <c r="X352" s="59"/>
      <c r="Y352" s="59"/>
      <c r="Z352" s="6">
        <v>9055026960</v>
      </c>
      <c r="AA352" s="6"/>
      <c r="AB352" s="6"/>
      <c r="AC352" s="6"/>
      <c r="AD352" s="205" t="str">
        <f>IF(T352&lt;=L352,"en término","atrasado")</f>
        <v>en término</v>
      </c>
    </row>
    <row r="353" spans="2:30" s="9" customFormat="1" ht="12" thickBot="1" x14ac:dyDescent="0.25">
      <c r="B353" s="313"/>
      <c r="C353" s="19"/>
      <c r="D353" s="5"/>
      <c r="E353" s="5"/>
      <c r="F353" s="5"/>
      <c r="G353" s="5"/>
      <c r="H353" s="105"/>
      <c r="I353" s="21" t="s">
        <v>83</v>
      </c>
      <c r="J353" s="5"/>
      <c r="K353" s="5"/>
      <c r="L353" s="27"/>
      <c r="M353" s="5"/>
      <c r="N353" s="5"/>
      <c r="O353" s="5"/>
      <c r="P353" s="5"/>
      <c r="Q353" s="5"/>
      <c r="R353" s="5"/>
      <c r="S353" s="27"/>
      <c r="T353" s="19"/>
      <c r="U353" s="19"/>
      <c r="V353" s="224"/>
      <c r="W353" s="5"/>
      <c r="X353" s="61"/>
      <c r="Y353" s="61"/>
      <c r="Z353" s="5"/>
      <c r="AA353" s="5"/>
      <c r="AB353" s="5"/>
      <c r="AC353" s="5"/>
      <c r="AD353" s="205"/>
    </row>
    <row r="354" spans="2:30" s="9" customFormat="1" x14ac:dyDescent="0.2">
      <c r="B354" s="312"/>
      <c r="C354" s="16"/>
      <c r="D354" s="7"/>
      <c r="E354" s="7"/>
      <c r="F354" s="6"/>
      <c r="G354" s="6"/>
      <c r="H354" s="17"/>
      <c r="I354" s="17"/>
      <c r="J354" s="7"/>
      <c r="K354" s="7"/>
      <c r="L354" s="23"/>
      <c r="M354" s="6"/>
      <c r="N354" s="6"/>
      <c r="O354" s="6"/>
      <c r="P354" s="6"/>
      <c r="Q354" s="6"/>
      <c r="R354" s="6"/>
      <c r="S354" s="6"/>
      <c r="T354" s="6"/>
      <c r="U354" s="6"/>
      <c r="V354" s="138" t="s">
        <v>3430</v>
      </c>
      <c r="W354" s="6"/>
      <c r="X354" s="59"/>
      <c r="Y354" s="59"/>
      <c r="Z354" s="6"/>
      <c r="AA354" s="6"/>
      <c r="AB354" s="6"/>
      <c r="AC354" s="6"/>
      <c r="AD354" s="205"/>
    </row>
    <row r="355" spans="2:30" s="9" customFormat="1" x14ac:dyDescent="0.2">
      <c r="B355" s="312" t="s">
        <v>78</v>
      </c>
      <c r="C355" s="16" t="s">
        <v>3555</v>
      </c>
      <c r="D355" s="7" t="s">
        <v>3560</v>
      </c>
      <c r="E355" s="7"/>
      <c r="F355" s="6" t="s">
        <v>3561</v>
      </c>
      <c r="G355" s="6"/>
      <c r="H355" s="17">
        <v>11430</v>
      </c>
      <c r="I355" s="39" t="s">
        <v>3485</v>
      </c>
      <c r="J355" s="7">
        <v>37908</v>
      </c>
      <c r="K355" s="7"/>
      <c r="L355" s="23" t="s">
        <v>3320</v>
      </c>
      <c r="M355" s="18" t="s">
        <v>3557</v>
      </c>
      <c r="N355" s="6" t="s">
        <v>1675</v>
      </c>
      <c r="O355" s="6"/>
      <c r="P355" s="6"/>
      <c r="Q355" s="6"/>
      <c r="R355" s="6"/>
      <c r="S355" s="23" t="s">
        <v>3562</v>
      </c>
      <c r="T355" s="23">
        <v>37924</v>
      </c>
      <c r="U355" s="23"/>
      <c r="V355" s="6" t="s">
        <v>597</v>
      </c>
      <c r="W355" s="6" t="s">
        <v>3563</v>
      </c>
      <c r="X355" s="59"/>
      <c r="Y355" s="59"/>
      <c r="Z355" s="6" t="s">
        <v>3564</v>
      </c>
      <c r="AA355" s="6"/>
      <c r="AB355" s="6"/>
      <c r="AC355" s="6"/>
      <c r="AD355" s="205" t="str">
        <f>IF(T355&lt;=L355,"en término","atrasado")</f>
        <v>en término</v>
      </c>
    </row>
    <row r="356" spans="2:30" s="9" customFormat="1" ht="12" thickBot="1" x14ac:dyDescent="0.25">
      <c r="B356" s="313"/>
      <c r="C356" s="19"/>
      <c r="D356" s="5"/>
      <c r="E356" s="5"/>
      <c r="F356" s="5"/>
      <c r="G356" s="5"/>
      <c r="H356" s="105"/>
      <c r="I356" s="21" t="s">
        <v>83</v>
      </c>
      <c r="J356" s="5"/>
      <c r="K356" s="5"/>
      <c r="L356" s="27"/>
      <c r="M356" s="5"/>
      <c r="N356" s="5"/>
      <c r="O356" s="5"/>
      <c r="P356" s="5"/>
      <c r="Q356" s="5"/>
      <c r="R356" s="5"/>
      <c r="S356" s="27"/>
      <c r="T356" s="19"/>
      <c r="U356" s="19"/>
      <c r="V356" s="224" t="s">
        <v>3565</v>
      </c>
      <c r="W356" s="5"/>
      <c r="X356" s="61"/>
      <c r="Y356" s="61"/>
      <c r="Z356" s="5"/>
      <c r="AA356" s="5"/>
      <c r="AB356" s="5"/>
      <c r="AC356" s="5"/>
    </row>
    <row r="357" spans="2:30" s="9" customFormat="1" x14ac:dyDescent="0.2">
      <c r="B357" s="312"/>
      <c r="C357" s="16"/>
      <c r="D357" s="7"/>
      <c r="E357" s="7"/>
      <c r="F357" s="6"/>
      <c r="G357" s="6"/>
      <c r="H357" s="17"/>
      <c r="I357" s="17"/>
      <c r="J357" s="7"/>
      <c r="K357" s="7"/>
      <c r="L357" s="23"/>
      <c r="M357" s="6"/>
      <c r="N357" s="6"/>
      <c r="O357" s="6"/>
      <c r="P357" s="6"/>
      <c r="Q357" s="6"/>
      <c r="R357" s="6"/>
      <c r="S357" s="6"/>
      <c r="T357" s="6" t="s">
        <v>3566</v>
      </c>
      <c r="U357" s="6"/>
      <c r="V357" s="138" t="s">
        <v>3567</v>
      </c>
      <c r="W357" s="6"/>
      <c r="X357" s="59"/>
      <c r="Y357" s="59"/>
      <c r="Z357" s="6"/>
      <c r="AA357" s="6"/>
      <c r="AB357" s="6"/>
      <c r="AC357" s="6"/>
    </row>
    <row r="358" spans="2:30" s="9" customFormat="1" x14ac:dyDescent="0.2">
      <c r="B358" s="312" t="s">
        <v>78</v>
      </c>
      <c r="C358" s="16" t="s">
        <v>3555</v>
      </c>
      <c r="D358" s="7" t="s">
        <v>3560</v>
      </c>
      <c r="E358" s="7"/>
      <c r="F358" s="6" t="s">
        <v>3561</v>
      </c>
      <c r="G358" s="6"/>
      <c r="H358" s="17">
        <v>5060</v>
      </c>
      <c r="I358" s="39" t="s">
        <v>3485</v>
      </c>
      <c r="J358" s="7">
        <v>37908</v>
      </c>
      <c r="K358" s="7"/>
      <c r="L358" s="23" t="s">
        <v>3320</v>
      </c>
      <c r="M358" s="18" t="s">
        <v>3557</v>
      </c>
      <c r="N358" s="6" t="s">
        <v>1675</v>
      </c>
      <c r="O358" s="6"/>
      <c r="P358" s="6"/>
      <c r="Q358" s="6"/>
      <c r="R358" s="6"/>
      <c r="S358" s="23">
        <v>37922</v>
      </c>
      <c r="T358" s="23">
        <v>37928</v>
      </c>
      <c r="U358" s="23"/>
      <c r="V358" s="6" t="s">
        <v>597</v>
      </c>
      <c r="W358" s="6">
        <v>934</v>
      </c>
      <c r="X358" s="59"/>
      <c r="Y358" s="59"/>
      <c r="Z358" s="6" t="s">
        <v>3568</v>
      </c>
      <c r="AA358" s="6"/>
      <c r="AB358" s="6" t="s">
        <v>47</v>
      </c>
      <c r="AC358" s="507"/>
      <c r="AD358" s="205" t="str">
        <f>IF(T358&lt;=L358,"en término","atrasado")</f>
        <v>en término</v>
      </c>
    </row>
    <row r="359" spans="2:30" s="9" customFormat="1" ht="12" thickBot="1" x14ac:dyDescent="0.25">
      <c r="B359" s="313"/>
      <c r="C359" s="19"/>
      <c r="D359" s="5"/>
      <c r="E359" s="5"/>
      <c r="F359" s="5"/>
      <c r="G359" s="5"/>
      <c r="H359" s="105"/>
      <c r="I359" s="21" t="s">
        <v>83</v>
      </c>
      <c r="J359" s="5"/>
      <c r="K359" s="5"/>
      <c r="L359" s="27"/>
      <c r="M359" s="5"/>
      <c r="N359" s="5"/>
      <c r="O359" s="5"/>
      <c r="P359" s="5"/>
      <c r="Q359" s="5"/>
      <c r="R359" s="5"/>
      <c r="S359" s="27"/>
      <c r="T359" s="19"/>
      <c r="U359" s="19"/>
      <c r="V359" s="224"/>
      <c r="W359" s="5"/>
      <c r="X359" s="61"/>
      <c r="Y359" s="61"/>
      <c r="Z359" s="5"/>
      <c r="AA359" s="5"/>
      <c r="AB359" s="5"/>
      <c r="AC359" s="5"/>
    </row>
    <row r="360" spans="2:30" s="9" customFormat="1" x14ac:dyDescent="0.2">
      <c r="B360" s="312"/>
      <c r="C360" s="16"/>
      <c r="D360" s="7"/>
      <c r="E360" s="7"/>
      <c r="F360" s="6"/>
      <c r="G360" s="6"/>
      <c r="H360" s="17"/>
      <c r="I360" s="17"/>
      <c r="J360" s="7"/>
      <c r="K360" s="7"/>
      <c r="L360" s="23"/>
      <c r="M360" s="6"/>
      <c r="N360" s="6"/>
      <c r="O360" s="6"/>
      <c r="P360" s="6"/>
      <c r="Q360" s="6"/>
      <c r="R360" s="6"/>
      <c r="S360" s="6"/>
      <c r="T360" s="6"/>
      <c r="U360" s="6"/>
      <c r="V360" s="138"/>
      <c r="W360" s="6"/>
      <c r="X360" s="59"/>
      <c r="Y360" s="59"/>
      <c r="Z360" s="6" t="s">
        <v>1708</v>
      </c>
      <c r="AA360" s="6"/>
      <c r="AB360" s="6"/>
      <c r="AC360" s="6"/>
    </row>
    <row r="361" spans="2:30" s="9" customFormat="1" x14ac:dyDescent="0.2">
      <c r="B361" s="312" t="s">
        <v>78</v>
      </c>
      <c r="C361" s="16" t="s">
        <v>3555</v>
      </c>
      <c r="D361" s="7" t="s">
        <v>3569</v>
      </c>
      <c r="E361" s="7"/>
      <c r="F361" s="6" t="s">
        <v>3570</v>
      </c>
      <c r="G361" s="6"/>
      <c r="H361" s="17">
        <v>199</v>
      </c>
      <c r="I361" s="39" t="s">
        <v>83</v>
      </c>
      <c r="J361" s="7">
        <v>37935</v>
      </c>
      <c r="K361" s="7"/>
      <c r="L361" s="23" t="s">
        <v>3320</v>
      </c>
      <c r="M361" s="18" t="s">
        <v>3557</v>
      </c>
      <c r="N361" s="6" t="s">
        <v>110</v>
      </c>
      <c r="O361" s="6"/>
      <c r="P361" s="6"/>
      <c r="Q361" s="6"/>
      <c r="R361" s="6"/>
      <c r="S361" s="23">
        <v>37935</v>
      </c>
      <c r="T361" s="23">
        <v>37937</v>
      </c>
      <c r="U361" s="23"/>
      <c r="V361" s="6" t="s">
        <v>3571</v>
      </c>
      <c r="W361" s="6">
        <v>939</v>
      </c>
      <c r="X361" s="59"/>
      <c r="Y361" s="59"/>
      <c r="Z361" s="6" t="s">
        <v>3572</v>
      </c>
      <c r="AA361" s="6"/>
      <c r="AB361" s="6" t="s">
        <v>47</v>
      </c>
      <c r="AC361" s="507"/>
      <c r="AD361" s="205" t="str">
        <f>IF(T361&lt;=L361,"en término","atrasado")</f>
        <v>en término</v>
      </c>
    </row>
    <row r="362" spans="2:30" s="9" customFormat="1" ht="12" thickBot="1" x14ac:dyDescent="0.25">
      <c r="B362" s="313"/>
      <c r="C362" s="19"/>
      <c r="D362" s="5"/>
      <c r="E362" s="5"/>
      <c r="F362" s="5"/>
      <c r="G362" s="5"/>
      <c r="H362" s="105"/>
      <c r="I362" s="21"/>
      <c r="J362" s="5"/>
      <c r="K362" s="5"/>
      <c r="L362" s="27"/>
      <c r="M362" s="5"/>
      <c r="N362" s="5"/>
      <c r="O362" s="5"/>
      <c r="P362" s="5"/>
      <c r="Q362" s="5"/>
      <c r="R362" s="5"/>
      <c r="S362" s="27"/>
      <c r="T362" s="19"/>
      <c r="U362" s="19"/>
      <c r="V362" s="224"/>
      <c r="W362" s="5"/>
      <c r="X362" s="61"/>
      <c r="Y362" s="61"/>
      <c r="Z362" s="5"/>
      <c r="AA362" s="5"/>
      <c r="AB362" s="5"/>
      <c r="AC362" s="5"/>
    </row>
    <row r="363" spans="2:30" s="9" customFormat="1" x14ac:dyDescent="0.2">
      <c r="B363" s="312"/>
      <c r="C363" s="16"/>
      <c r="D363" s="7"/>
      <c r="E363" s="7"/>
      <c r="F363" s="6"/>
      <c r="G363" s="6"/>
      <c r="H363" s="17"/>
      <c r="I363" s="17"/>
      <c r="J363" s="7"/>
      <c r="K363" s="7"/>
      <c r="L363" s="23"/>
      <c r="M363" s="6"/>
      <c r="N363" s="6"/>
      <c r="O363" s="6"/>
      <c r="P363" s="6"/>
      <c r="Q363" s="6"/>
      <c r="R363" s="6"/>
      <c r="S363" s="6"/>
      <c r="T363" s="6"/>
      <c r="U363" s="6"/>
      <c r="V363" s="138" t="s">
        <v>3567</v>
      </c>
      <c r="W363" s="6"/>
      <c r="X363" s="59"/>
      <c r="Y363" s="59"/>
      <c r="Z363" s="6" t="s">
        <v>3573</v>
      </c>
      <c r="AA363" s="6"/>
      <c r="AB363" s="6"/>
      <c r="AC363" s="6"/>
    </row>
    <row r="364" spans="2:30" s="9" customFormat="1" x14ac:dyDescent="0.2">
      <c r="B364" s="312" t="s">
        <v>78</v>
      </c>
      <c r="C364" s="16" t="s">
        <v>3555</v>
      </c>
      <c r="D364" s="7" t="s">
        <v>3574</v>
      </c>
      <c r="E364" s="7"/>
      <c r="F364" s="6" t="s">
        <v>3575</v>
      </c>
      <c r="G364" s="6"/>
      <c r="H364" s="17">
        <v>32600</v>
      </c>
      <c r="I364" s="39" t="s">
        <v>83</v>
      </c>
      <c r="J364" s="7">
        <v>37908</v>
      </c>
      <c r="K364" s="7"/>
      <c r="L364" s="23">
        <v>37940</v>
      </c>
      <c r="M364" s="18" t="s">
        <v>3557</v>
      </c>
      <c r="N364" s="6" t="s">
        <v>42</v>
      </c>
      <c r="O364" s="6"/>
      <c r="P364" s="6"/>
      <c r="Q364" s="6"/>
      <c r="R364" s="6"/>
      <c r="S364" s="23">
        <v>37929</v>
      </c>
      <c r="T364" s="23">
        <v>37938</v>
      </c>
      <c r="U364" s="23"/>
      <c r="V364" s="6" t="s">
        <v>597</v>
      </c>
      <c r="W364" s="6">
        <v>937</v>
      </c>
      <c r="X364" s="59"/>
      <c r="Y364" s="59"/>
      <c r="Z364" s="6" t="s">
        <v>3576</v>
      </c>
      <c r="AA364" s="6"/>
      <c r="AB364" s="6" t="s">
        <v>47</v>
      </c>
      <c r="AC364" s="507"/>
      <c r="AD364" s="205" t="str">
        <f>IF(T364&lt;=L364,"en término","atrasado")</f>
        <v>en término</v>
      </c>
    </row>
    <row r="365" spans="2:30" s="9" customFormat="1" ht="12" thickBot="1" x14ac:dyDescent="0.25">
      <c r="B365" s="313"/>
      <c r="C365" s="19"/>
      <c r="D365" s="5"/>
      <c r="E365" s="5"/>
      <c r="F365" s="5"/>
      <c r="G365" s="5"/>
      <c r="H365" s="105"/>
      <c r="I365" s="21"/>
      <c r="J365" s="5"/>
      <c r="K365" s="5"/>
      <c r="L365" s="27"/>
      <c r="M365" s="5"/>
      <c r="N365" s="5"/>
      <c r="O365" s="5"/>
      <c r="P365" s="5"/>
      <c r="Q365" s="5"/>
      <c r="R365" s="5"/>
      <c r="S365" s="27"/>
      <c r="T365" s="5" t="s">
        <v>3577</v>
      </c>
      <c r="U365" s="5"/>
      <c r="V365" s="224"/>
      <c r="W365" s="5"/>
      <c r="X365" s="61"/>
      <c r="Y365" s="61"/>
      <c r="Z365" s="5"/>
      <c r="AA365" s="5"/>
      <c r="AB365" s="5"/>
      <c r="AC365" s="5"/>
    </row>
    <row r="366" spans="2:30" s="9" customFormat="1" x14ac:dyDescent="0.2">
      <c r="B366" s="312"/>
      <c r="C366" s="16"/>
      <c r="D366" s="7"/>
      <c r="E366" s="7"/>
      <c r="F366" s="6"/>
      <c r="G366" s="6"/>
      <c r="H366" s="17"/>
      <c r="I366" s="17"/>
      <c r="J366" s="7"/>
      <c r="K366" s="7"/>
      <c r="L366" s="23"/>
      <c r="M366" s="6"/>
      <c r="N366" s="6"/>
      <c r="O366" s="6"/>
      <c r="P366" s="6"/>
      <c r="Q366" s="6"/>
      <c r="R366" s="6"/>
      <c r="S366" s="6"/>
      <c r="T366" s="6"/>
      <c r="U366" s="6"/>
      <c r="V366" s="138"/>
      <c r="W366" s="6"/>
      <c r="X366" s="59"/>
      <c r="Y366" s="285"/>
      <c r="Z366" s="6"/>
      <c r="AA366" s="6"/>
      <c r="AB366" s="6"/>
      <c r="AC366" s="6"/>
    </row>
    <row r="367" spans="2:30" s="9" customFormat="1" x14ac:dyDescent="0.2">
      <c r="B367" s="312" t="s">
        <v>78</v>
      </c>
      <c r="C367" s="16" t="s">
        <v>79</v>
      </c>
      <c r="D367" s="7" t="s">
        <v>3578</v>
      </c>
      <c r="E367" s="7"/>
      <c r="F367" s="6" t="s">
        <v>3579</v>
      </c>
      <c r="G367" s="6"/>
      <c r="H367" s="17">
        <v>2770</v>
      </c>
      <c r="I367" s="39" t="s">
        <v>83</v>
      </c>
      <c r="J367" s="7">
        <v>37970</v>
      </c>
      <c r="K367" s="7"/>
      <c r="L367" s="23" t="s">
        <v>3580</v>
      </c>
      <c r="M367" s="18" t="s">
        <v>280</v>
      </c>
      <c r="N367" s="6" t="s">
        <v>110</v>
      </c>
      <c r="O367" s="6"/>
      <c r="P367" s="6"/>
      <c r="Q367" s="6"/>
      <c r="R367" s="6"/>
      <c r="S367" s="23">
        <v>37978</v>
      </c>
      <c r="T367" s="23">
        <v>37979</v>
      </c>
      <c r="U367" s="23"/>
      <c r="V367" s="6" t="s">
        <v>3581</v>
      </c>
      <c r="W367" s="6" t="s">
        <v>3582</v>
      </c>
      <c r="X367" s="59"/>
      <c r="Y367" s="286"/>
      <c r="Z367" s="6"/>
      <c r="AA367" s="6"/>
      <c r="AB367" s="6"/>
      <c r="AC367" s="6"/>
    </row>
    <row r="368" spans="2:30" s="9" customFormat="1" ht="12" thickBot="1" x14ac:dyDescent="0.25">
      <c r="B368" s="313"/>
      <c r="C368" s="19"/>
      <c r="D368" s="5"/>
      <c r="E368" s="5"/>
      <c r="F368" s="5"/>
      <c r="G368" s="5"/>
      <c r="H368" s="105"/>
      <c r="I368" s="21"/>
      <c r="J368" s="5"/>
      <c r="K368" s="5"/>
      <c r="L368" s="27"/>
      <c r="M368" s="5"/>
      <c r="N368" s="5"/>
      <c r="O368" s="5"/>
      <c r="P368" s="5"/>
      <c r="Q368" s="5"/>
      <c r="R368" s="5"/>
      <c r="S368" s="27"/>
      <c r="T368" s="19"/>
      <c r="U368" s="19"/>
      <c r="V368" s="224"/>
      <c r="W368" s="5"/>
      <c r="X368" s="61"/>
      <c r="Y368" s="287"/>
      <c r="Z368" s="5"/>
      <c r="AA368" s="5"/>
      <c r="AB368" s="5"/>
      <c r="AC368" s="5"/>
    </row>
    <row r="370" spans="1:39" ht="12.75" x14ac:dyDescent="0.2">
      <c r="AA370" s="1">
        <v>2003</v>
      </c>
      <c r="AB370" s="1047"/>
    </row>
    <row r="371" spans="1:39" ht="12.75" x14ac:dyDescent="0.2">
      <c r="AA371" s="945" t="s">
        <v>813</v>
      </c>
      <c r="AB371" s="1048">
        <f>COUNTA(AD328:AD364)</f>
        <v>13</v>
      </c>
    </row>
    <row r="372" spans="1:39" ht="12.75" x14ac:dyDescent="0.2">
      <c r="AA372" s="945" t="s">
        <v>815</v>
      </c>
      <c r="AB372" s="1048">
        <f>COUNTIF(AD328:AD364,"en término")</f>
        <v>10</v>
      </c>
    </row>
    <row r="373" spans="1:39" ht="12.75" x14ac:dyDescent="0.2">
      <c r="AA373" s="945" t="s">
        <v>817</v>
      </c>
      <c r="AB373" s="557">
        <f>+AB372/AB371</f>
        <v>0.76923076923076927</v>
      </c>
    </row>
    <row r="374" spans="1:39" ht="13.5" thickBot="1" x14ac:dyDescent="0.25">
      <c r="AA374" s="1047"/>
      <c r="AB374" s="1047"/>
    </row>
    <row r="375" spans="1:39" s="556" customFormat="1" ht="39.950000000000003" customHeight="1" thickBot="1" x14ac:dyDescent="0.4">
      <c r="B375" s="1611">
        <v>2004</v>
      </c>
      <c r="C375" s="1612"/>
      <c r="D375" s="1612"/>
      <c r="E375" s="1612"/>
      <c r="F375" s="1612"/>
      <c r="G375" s="1612"/>
      <c r="H375" s="1612"/>
      <c r="I375" s="1612"/>
      <c r="J375" s="1612"/>
      <c r="K375" s="1612"/>
      <c r="L375" s="1612"/>
      <c r="M375" s="1612"/>
      <c r="N375" s="1612"/>
      <c r="O375" s="1612"/>
      <c r="P375" s="1612"/>
      <c r="Q375" s="1612"/>
      <c r="R375" s="1612"/>
      <c r="S375" s="1612"/>
      <c r="T375" s="1612"/>
      <c r="U375" s="1612"/>
      <c r="V375" s="1612"/>
      <c r="W375" s="1612"/>
      <c r="X375" s="1612"/>
      <c r="Y375" s="1612"/>
      <c r="Z375" s="1612"/>
      <c r="AA375" s="1612"/>
      <c r="AB375" s="1612"/>
      <c r="AC375" s="1613"/>
      <c r="AD375" s="555"/>
    </row>
    <row r="376" spans="1:39" s="441" customFormat="1" ht="60" customHeight="1" thickBot="1" x14ac:dyDescent="0.25">
      <c r="A376" s="438"/>
      <c r="B376" s="451" t="s">
        <v>130</v>
      </c>
      <c r="C376" s="451" t="s">
        <v>4</v>
      </c>
      <c r="D376" s="451" t="s">
        <v>5</v>
      </c>
      <c r="E376" s="451" t="s">
        <v>6</v>
      </c>
      <c r="F376" s="451" t="s">
        <v>7</v>
      </c>
      <c r="G376" s="451" t="s">
        <v>8</v>
      </c>
      <c r="H376" s="453" t="s">
        <v>9</v>
      </c>
      <c r="I376" s="453" t="s">
        <v>10</v>
      </c>
      <c r="J376" s="451" t="s">
        <v>11</v>
      </c>
      <c r="K376" s="451" t="s">
        <v>12</v>
      </c>
      <c r="L376" s="451" t="s">
        <v>13</v>
      </c>
      <c r="M376" s="451" t="s">
        <v>14</v>
      </c>
      <c r="N376" s="451" t="s">
        <v>15</v>
      </c>
      <c r="O376" s="452" t="s">
        <v>16</v>
      </c>
      <c r="P376" s="454" t="s">
        <v>17</v>
      </c>
      <c r="Q376" s="451" t="s">
        <v>18</v>
      </c>
      <c r="R376" s="452" t="s">
        <v>19</v>
      </c>
      <c r="S376" s="451" t="s">
        <v>20</v>
      </c>
      <c r="T376" s="451" t="s">
        <v>21</v>
      </c>
      <c r="U376" s="452" t="s">
        <v>22</v>
      </c>
      <c r="V376" s="451" t="s">
        <v>131</v>
      </c>
      <c r="W376" s="451" t="s">
        <v>24</v>
      </c>
      <c r="X376" s="451" t="s">
        <v>132</v>
      </c>
      <c r="Y376" s="451" t="s">
        <v>26</v>
      </c>
      <c r="Z376" s="451" t="s">
        <v>27</v>
      </c>
      <c r="AA376" s="451" t="s">
        <v>28</v>
      </c>
      <c r="AB376" s="451" t="s">
        <v>29</v>
      </c>
      <c r="AC376" s="451" t="s">
        <v>30</v>
      </c>
      <c r="AD376" s="439"/>
      <c r="AE376" s="440"/>
      <c r="AF376" s="440"/>
      <c r="AG376" s="440"/>
      <c r="AH376" s="440"/>
      <c r="AI376" s="440"/>
      <c r="AJ376" s="440"/>
      <c r="AK376" s="440"/>
      <c r="AL376" s="440"/>
      <c r="AM376" s="440"/>
    </row>
    <row r="377" spans="1:39" s="9" customFormat="1" x14ac:dyDescent="0.2">
      <c r="B377" s="312"/>
      <c r="C377" s="16"/>
      <c r="D377" s="7"/>
      <c r="E377" s="7"/>
      <c r="F377" s="6"/>
      <c r="G377" s="6"/>
      <c r="H377" s="17"/>
      <c r="I377" s="17"/>
      <c r="J377" s="7"/>
      <c r="K377" s="7"/>
      <c r="L377" s="23"/>
      <c r="M377" s="6"/>
      <c r="N377" s="6"/>
      <c r="O377" s="6"/>
      <c r="P377" s="6"/>
      <c r="Q377" s="6"/>
      <c r="R377" s="6"/>
      <c r="S377" s="6" t="s">
        <v>3583</v>
      </c>
      <c r="T377" s="6"/>
      <c r="U377" s="6"/>
      <c r="V377" s="6" t="s">
        <v>53</v>
      </c>
      <c r="W377" s="6"/>
      <c r="X377" s="59"/>
      <c r="Y377" s="198"/>
      <c r="Z377" s="6"/>
      <c r="AA377" s="6"/>
      <c r="AB377" s="6"/>
      <c r="AC377" s="6"/>
    </row>
    <row r="378" spans="1:39" s="9" customFormat="1" ht="33.75" x14ac:dyDescent="0.2">
      <c r="B378" s="312" t="s">
        <v>78</v>
      </c>
      <c r="C378" s="16" t="s">
        <v>79</v>
      </c>
      <c r="D378" s="7" t="s">
        <v>3584</v>
      </c>
      <c r="E378" s="7"/>
      <c r="F378" s="6" t="s">
        <v>3585</v>
      </c>
      <c r="G378" s="6" t="s">
        <v>1535</v>
      </c>
      <c r="H378" s="17">
        <v>21820</v>
      </c>
      <c r="I378" s="39" t="s">
        <v>83</v>
      </c>
      <c r="J378" s="7">
        <v>37966</v>
      </c>
      <c r="K378" s="7"/>
      <c r="L378" s="23">
        <v>38006</v>
      </c>
      <c r="M378" s="18" t="s">
        <v>124</v>
      </c>
      <c r="N378" s="6" t="s">
        <v>42</v>
      </c>
      <c r="O378" s="7">
        <v>38002</v>
      </c>
      <c r="P378" s="7"/>
      <c r="Q378" s="7"/>
      <c r="R378" s="7"/>
      <c r="S378" s="23">
        <v>38018</v>
      </c>
      <c r="T378" s="23">
        <f>+S378+30</f>
        <v>38048</v>
      </c>
      <c r="U378" s="23"/>
      <c r="V378" s="508" t="s">
        <v>3586</v>
      </c>
      <c r="W378" s="6">
        <v>952</v>
      </c>
      <c r="X378" s="59"/>
      <c r="Y378" s="286"/>
      <c r="Z378" s="6">
        <v>6642683165</v>
      </c>
      <c r="AA378" s="6"/>
      <c r="AB378" s="6" t="s">
        <v>47</v>
      </c>
      <c r="AC378" s="507"/>
      <c r="AD378" s="205" t="str">
        <f>IF(S378&lt;=L378,"en término","atrasado")</f>
        <v>atrasado</v>
      </c>
    </row>
    <row r="379" spans="1:39" s="9" customFormat="1" ht="12" thickBot="1" x14ac:dyDescent="0.25">
      <c r="B379" s="313"/>
      <c r="C379" s="19"/>
      <c r="D379" s="5"/>
      <c r="E379" s="5"/>
      <c r="F379" s="5"/>
      <c r="G379" s="5"/>
      <c r="H379" s="105"/>
      <c r="I379" s="21"/>
      <c r="J379" s="5"/>
      <c r="K379" s="5"/>
      <c r="L379" s="27"/>
      <c r="M379" s="5"/>
      <c r="N379" s="5"/>
      <c r="O379" s="5"/>
      <c r="P379" s="5"/>
      <c r="Q379" s="5"/>
      <c r="R379" s="5"/>
      <c r="S379" s="27"/>
      <c r="T379" s="19"/>
      <c r="U379" s="19"/>
      <c r="V379" s="509"/>
      <c r="W379" s="5"/>
      <c r="X379" s="61"/>
      <c r="Y379" s="287"/>
      <c r="Z379" s="510" t="s">
        <v>3587</v>
      </c>
      <c r="AA379" s="5"/>
      <c r="AB379" s="5"/>
      <c r="AC379" s="5"/>
    </row>
    <row r="380" spans="1:39" s="9" customFormat="1" x14ac:dyDescent="0.2">
      <c r="B380" s="314"/>
      <c r="C380" s="16"/>
      <c r="D380" s="7"/>
      <c r="E380" s="7"/>
      <c r="F380" s="6"/>
      <c r="G380" s="6"/>
      <c r="H380" s="13"/>
      <c r="I380" s="13"/>
      <c r="J380" s="91"/>
      <c r="K380" s="91"/>
      <c r="L380" s="134"/>
      <c r="M380" s="12"/>
      <c r="N380" s="12"/>
      <c r="O380" s="12"/>
      <c r="P380" s="12"/>
      <c r="Q380" s="12"/>
      <c r="R380" s="12"/>
      <c r="S380" s="12"/>
      <c r="T380" s="12"/>
      <c r="U380" s="12"/>
      <c r="V380" s="244"/>
      <c r="W380" s="12"/>
      <c r="X380" s="57"/>
      <c r="Y380" s="57"/>
      <c r="Z380" s="12"/>
      <c r="AA380" s="12"/>
      <c r="AB380" s="12"/>
      <c r="AC380" s="12"/>
    </row>
    <row r="381" spans="1:39" s="9" customFormat="1" x14ac:dyDescent="0.2">
      <c r="B381" s="312" t="s">
        <v>78</v>
      </c>
      <c r="C381" s="16" t="s">
        <v>79</v>
      </c>
      <c r="D381" s="7" t="s">
        <v>3588</v>
      </c>
      <c r="E381" s="7"/>
      <c r="F381" s="6" t="s">
        <v>3589</v>
      </c>
      <c r="G381" s="6" t="s">
        <v>1535</v>
      </c>
      <c r="H381" s="17">
        <v>715</v>
      </c>
      <c r="I381" s="39" t="s">
        <v>83</v>
      </c>
      <c r="J381" s="7">
        <v>38057</v>
      </c>
      <c r="K381" s="7"/>
      <c r="L381" s="23">
        <f>+J381+8</f>
        <v>38065</v>
      </c>
      <c r="M381" s="18" t="s">
        <v>124</v>
      </c>
      <c r="N381" s="6" t="s">
        <v>110</v>
      </c>
      <c r="O381" s="7">
        <v>38062</v>
      </c>
      <c r="P381" s="7"/>
      <c r="Q381" s="7"/>
      <c r="R381" s="7"/>
      <c r="S381" s="23">
        <v>38065</v>
      </c>
      <c r="T381" s="23">
        <v>38068</v>
      </c>
      <c r="U381" s="23"/>
      <c r="V381" s="6" t="s">
        <v>3590</v>
      </c>
      <c r="W381" s="6">
        <v>960</v>
      </c>
      <c r="X381" s="59"/>
      <c r="Y381" s="59"/>
      <c r="Z381" s="6" t="s">
        <v>3591</v>
      </c>
      <c r="AA381" s="6"/>
      <c r="AB381" s="6" t="s">
        <v>47</v>
      </c>
      <c r="AC381" s="507"/>
      <c r="AD381" s="205" t="str">
        <f>IF(S381&lt;=L381,"en término","atrasado")</f>
        <v>en término</v>
      </c>
    </row>
    <row r="382" spans="1:39" s="9" customFormat="1" ht="12" thickBot="1" x14ac:dyDescent="0.25">
      <c r="B382" s="313"/>
      <c r="C382" s="19"/>
      <c r="D382" s="5"/>
      <c r="E382" s="5"/>
      <c r="F382" s="5"/>
      <c r="G382" s="5"/>
      <c r="H382" s="105"/>
      <c r="I382" s="21"/>
      <c r="J382" s="5"/>
      <c r="K382" s="5"/>
      <c r="L382" s="127"/>
      <c r="M382" s="5"/>
      <c r="N382" s="5"/>
      <c r="O382" s="5"/>
      <c r="P382" s="5"/>
      <c r="Q382" s="5"/>
      <c r="R382" s="5"/>
      <c r="S382" s="27"/>
      <c r="T382" s="19" t="s">
        <v>3592</v>
      </c>
      <c r="U382" s="19"/>
      <c r="V382" s="224"/>
      <c r="W382" s="5"/>
      <c r="X382" s="61"/>
      <c r="Y382" s="61"/>
      <c r="Z382" s="5"/>
      <c r="AA382" s="5"/>
      <c r="AB382" s="5"/>
      <c r="AC382" s="5"/>
    </row>
    <row r="383" spans="1:39" s="9" customFormat="1" x14ac:dyDescent="0.2">
      <c r="B383" s="314"/>
      <c r="C383" s="11"/>
      <c r="D383" s="91"/>
      <c r="E383" s="91"/>
      <c r="F383" s="12"/>
      <c r="G383" s="12"/>
      <c r="H383" s="13"/>
      <c r="I383" s="13"/>
      <c r="J383" s="91"/>
      <c r="K383" s="91"/>
      <c r="L383" s="134"/>
      <c r="M383" s="12"/>
      <c r="N383" s="12"/>
      <c r="O383" s="12"/>
      <c r="P383" s="12"/>
      <c r="Q383" s="12"/>
      <c r="R383" s="12"/>
      <c r="S383" s="12"/>
      <c r="T383" s="12"/>
      <c r="U383" s="12"/>
      <c r="V383" s="244" t="s">
        <v>3593</v>
      </c>
      <c r="W383" s="12"/>
      <c r="X383" s="57"/>
      <c r="Y383" s="57"/>
      <c r="Z383" s="12"/>
      <c r="AA383" s="12"/>
      <c r="AB383" s="12"/>
      <c r="AC383" s="12"/>
    </row>
    <row r="384" spans="1:39" s="9" customFormat="1" x14ac:dyDescent="0.2">
      <c r="B384" s="312" t="s">
        <v>78</v>
      </c>
      <c r="C384" s="16" t="s">
        <v>3165</v>
      </c>
      <c r="D384" s="7" t="s">
        <v>3594</v>
      </c>
      <c r="E384" s="7"/>
      <c r="F384" s="6">
        <v>141750</v>
      </c>
      <c r="G384" s="6" t="s">
        <v>1535</v>
      </c>
      <c r="H384" s="17">
        <v>28311</v>
      </c>
      <c r="I384" s="39" t="s">
        <v>3557</v>
      </c>
      <c r="J384" s="7">
        <v>38094</v>
      </c>
      <c r="K384" s="7"/>
      <c r="L384" s="23">
        <v>38139</v>
      </c>
      <c r="M384" s="18" t="s">
        <v>3557</v>
      </c>
      <c r="N384" s="6" t="s">
        <v>110</v>
      </c>
      <c r="O384" s="7">
        <v>38135</v>
      </c>
      <c r="P384" s="7"/>
      <c r="Q384" s="7"/>
      <c r="R384" s="7"/>
      <c r="S384" s="23">
        <v>38147</v>
      </c>
      <c r="T384" s="23"/>
      <c r="U384" s="23"/>
      <c r="V384" s="6" t="s">
        <v>2239</v>
      </c>
      <c r="W384" s="6" t="s">
        <v>3595</v>
      </c>
      <c r="X384" s="59"/>
      <c r="Y384" s="59"/>
      <c r="Z384" s="6"/>
      <c r="AA384" s="6"/>
      <c r="AB384" s="6"/>
      <c r="AC384" s="511"/>
      <c r="AD384" s="205"/>
    </row>
    <row r="385" spans="1:39" s="9" customFormat="1" ht="12" thickBot="1" x14ac:dyDescent="0.25">
      <c r="B385" s="313"/>
      <c r="C385" s="19"/>
      <c r="D385" s="5"/>
      <c r="E385" s="5"/>
      <c r="F385" s="5"/>
      <c r="G385" s="5"/>
      <c r="H385" s="105"/>
      <c r="I385" s="21"/>
      <c r="J385" s="5"/>
      <c r="K385" s="5"/>
      <c r="L385" s="127"/>
      <c r="M385" s="5"/>
      <c r="N385" s="5"/>
      <c r="O385" s="5"/>
      <c r="P385" s="5"/>
      <c r="Q385" s="5"/>
      <c r="R385" s="5"/>
      <c r="S385" s="5" t="s">
        <v>3596</v>
      </c>
      <c r="T385" s="5"/>
      <c r="U385" s="5"/>
      <c r="V385" s="224" t="s">
        <v>3430</v>
      </c>
      <c r="W385" s="5"/>
      <c r="X385" s="61"/>
      <c r="Y385" s="61"/>
      <c r="Z385" s="5"/>
      <c r="AA385" s="5"/>
      <c r="AB385" s="5"/>
      <c r="AC385" s="5"/>
    </row>
    <row r="386" spans="1:39" s="9" customFormat="1" ht="33.75" x14ac:dyDescent="0.2">
      <c r="B386" s="314"/>
      <c r="C386" s="11"/>
      <c r="D386" s="91"/>
      <c r="E386" s="91"/>
      <c r="F386" s="12"/>
      <c r="G386" s="12"/>
      <c r="H386" s="13"/>
      <c r="I386" s="13"/>
      <c r="J386" s="91"/>
      <c r="K386" s="91"/>
      <c r="L386" s="134"/>
      <c r="M386" s="12"/>
      <c r="N386" s="12"/>
      <c r="O386" s="12"/>
      <c r="P386" s="12"/>
      <c r="Q386" s="12"/>
      <c r="R386" s="12"/>
      <c r="S386" s="12"/>
      <c r="T386" s="12"/>
      <c r="U386" s="12"/>
      <c r="V386" s="244"/>
      <c r="W386" s="12"/>
      <c r="X386" s="57"/>
      <c r="Y386" s="57"/>
      <c r="Z386" s="512" t="s">
        <v>3597</v>
      </c>
      <c r="AA386" s="12"/>
      <c r="AB386" s="12"/>
      <c r="AC386" s="12"/>
    </row>
    <row r="387" spans="1:39" s="9" customFormat="1" ht="11.25" customHeight="1" x14ac:dyDescent="0.2">
      <c r="B387" s="312" t="s">
        <v>78</v>
      </c>
      <c r="C387" s="16" t="s">
        <v>79</v>
      </c>
      <c r="D387" s="7" t="s">
        <v>3598</v>
      </c>
      <c r="E387" s="7"/>
      <c r="F387" s="6" t="s">
        <v>3599</v>
      </c>
      <c r="G387" s="6" t="s">
        <v>1535</v>
      </c>
      <c r="H387" s="17">
        <v>3266</v>
      </c>
      <c r="I387" s="39" t="s">
        <v>3557</v>
      </c>
      <c r="J387" s="7">
        <v>38127</v>
      </c>
      <c r="K387" s="7"/>
      <c r="L387" s="23">
        <f>+J387+30</f>
        <v>38157</v>
      </c>
      <c r="M387" s="18" t="s">
        <v>3557</v>
      </c>
      <c r="N387" s="6" t="s">
        <v>42</v>
      </c>
      <c r="O387" s="7">
        <v>38156</v>
      </c>
      <c r="P387" s="7"/>
      <c r="Q387" s="7"/>
      <c r="R387" s="7"/>
      <c r="S387" s="23">
        <v>38162</v>
      </c>
      <c r="T387" s="23">
        <f>+S387+30</f>
        <v>38192</v>
      </c>
      <c r="U387" s="23"/>
      <c r="V387" s="6" t="s">
        <v>53</v>
      </c>
      <c r="W387" s="6">
        <v>1003</v>
      </c>
      <c r="X387" s="59"/>
      <c r="Y387" s="59"/>
      <c r="Z387" s="1045"/>
      <c r="AA387" s="6"/>
      <c r="AB387" s="6" t="s">
        <v>47</v>
      </c>
      <c r="AC387" s="507"/>
      <c r="AD387" s="205" t="str">
        <f>IF(S387&lt;=L387,"en término","atrasado")</f>
        <v>atrasado</v>
      </c>
    </row>
    <row r="388" spans="1:39" s="9" customFormat="1" ht="12" customHeight="1" thickBot="1" x14ac:dyDescent="0.25">
      <c r="B388" s="313"/>
      <c r="C388" s="19"/>
      <c r="D388" s="5"/>
      <c r="E388" s="5"/>
      <c r="F388" s="5"/>
      <c r="G388" s="5"/>
      <c r="H388" s="105"/>
      <c r="I388" s="21"/>
      <c r="J388" s="5"/>
      <c r="K388" s="5"/>
      <c r="L388" s="127"/>
      <c r="M388" s="5"/>
      <c r="N388" s="5"/>
      <c r="O388" s="5"/>
      <c r="P388" s="5"/>
      <c r="Q388" s="5"/>
      <c r="R388" s="5"/>
      <c r="S388" s="27"/>
      <c r="T388" s="19"/>
      <c r="U388" s="19"/>
      <c r="V388" s="224"/>
      <c r="W388" s="5"/>
      <c r="X388" s="61"/>
      <c r="Y388" s="61"/>
      <c r="Z388" s="1046"/>
      <c r="AA388" s="5"/>
      <c r="AB388" s="5"/>
      <c r="AC388" s="5"/>
    </row>
    <row r="390" spans="1:39" ht="12.75" x14ac:dyDescent="0.2">
      <c r="AA390" s="1">
        <v>2004</v>
      </c>
      <c r="AB390" s="1047"/>
    </row>
    <row r="391" spans="1:39" ht="12.75" x14ac:dyDescent="0.2">
      <c r="AA391" s="945" t="s">
        <v>813</v>
      </c>
      <c r="AB391" s="1048">
        <f>COUNTA(AD378:AD387)</f>
        <v>3</v>
      </c>
    </row>
    <row r="392" spans="1:39" ht="12.75" x14ac:dyDescent="0.2">
      <c r="AA392" s="945" t="s">
        <v>815</v>
      </c>
      <c r="AB392" s="1048">
        <f>COUNTIF(AD378:AD387,"en término")</f>
        <v>1</v>
      </c>
    </row>
    <row r="393" spans="1:39" ht="12.75" x14ac:dyDescent="0.2">
      <c r="AA393" s="945" t="s">
        <v>817</v>
      </c>
      <c r="AB393" s="557">
        <f>+AB392/AB391</f>
        <v>0.33333333333333331</v>
      </c>
    </row>
    <row r="395" spans="1:39" ht="12" thickBot="1" x14ac:dyDescent="0.25"/>
    <row r="396" spans="1:39" s="556" customFormat="1" ht="39.950000000000003" customHeight="1" thickBot="1" x14ac:dyDescent="0.4">
      <c r="B396" s="1611">
        <v>2005</v>
      </c>
      <c r="C396" s="1612"/>
      <c r="D396" s="1612"/>
      <c r="E396" s="1612"/>
      <c r="F396" s="1612"/>
      <c r="G396" s="1612"/>
      <c r="H396" s="1612"/>
      <c r="I396" s="1612"/>
      <c r="J396" s="1612"/>
      <c r="K396" s="1612"/>
      <c r="L396" s="1612"/>
      <c r="M396" s="1612"/>
      <c r="N396" s="1612"/>
      <c r="O396" s="1612"/>
      <c r="P396" s="1612"/>
      <c r="Q396" s="1612"/>
      <c r="R396" s="1612"/>
      <c r="S396" s="1612"/>
      <c r="T396" s="1612"/>
      <c r="U396" s="1612"/>
      <c r="V396" s="1612"/>
      <c r="W396" s="1612"/>
      <c r="X396" s="1612"/>
      <c r="Y396" s="1612"/>
      <c r="Z396" s="1612"/>
      <c r="AA396" s="1612"/>
      <c r="AB396" s="1612"/>
      <c r="AC396" s="1613"/>
      <c r="AD396" s="555"/>
    </row>
    <row r="397" spans="1:39" s="441" customFormat="1" ht="60" customHeight="1" thickBot="1" x14ac:dyDescent="0.25">
      <c r="A397" s="438"/>
      <c r="B397" s="451" t="s">
        <v>130</v>
      </c>
      <c r="C397" s="451" t="s">
        <v>4</v>
      </c>
      <c r="D397" s="451" t="s">
        <v>5</v>
      </c>
      <c r="E397" s="451" t="s">
        <v>6</v>
      </c>
      <c r="F397" s="451" t="s">
        <v>7</v>
      </c>
      <c r="G397" s="451" t="s">
        <v>8</v>
      </c>
      <c r="H397" s="453" t="s">
        <v>9</v>
      </c>
      <c r="I397" s="453" t="s">
        <v>10</v>
      </c>
      <c r="J397" s="451" t="s">
        <v>11</v>
      </c>
      <c r="K397" s="451" t="s">
        <v>12</v>
      </c>
      <c r="L397" s="451" t="s">
        <v>13</v>
      </c>
      <c r="M397" s="451" t="s">
        <v>14</v>
      </c>
      <c r="N397" s="451" t="s">
        <v>15</v>
      </c>
      <c r="O397" s="452" t="s">
        <v>16</v>
      </c>
      <c r="P397" s="454" t="s">
        <v>17</v>
      </c>
      <c r="Q397" s="451" t="s">
        <v>18</v>
      </c>
      <c r="R397" s="452" t="s">
        <v>19</v>
      </c>
      <c r="S397" s="451" t="s">
        <v>20</v>
      </c>
      <c r="T397" s="451" t="s">
        <v>21</v>
      </c>
      <c r="U397" s="452" t="s">
        <v>22</v>
      </c>
      <c r="V397" s="451" t="s">
        <v>131</v>
      </c>
      <c r="W397" s="451" t="s">
        <v>24</v>
      </c>
      <c r="X397" s="451" t="s">
        <v>132</v>
      </c>
      <c r="Y397" s="451" t="s">
        <v>26</v>
      </c>
      <c r="Z397" s="451" t="s">
        <v>27</v>
      </c>
      <c r="AA397" s="451" t="s">
        <v>28</v>
      </c>
      <c r="AB397" s="451" t="s">
        <v>29</v>
      </c>
      <c r="AC397" s="451" t="s">
        <v>30</v>
      </c>
      <c r="AD397" s="439"/>
      <c r="AE397" s="440"/>
      <c r="AF397" s="440"/>
      <c r="AG397" s="440"/>
      <c r="AH397" s="440"/>
      <c r="AI397" s="440"/>
      <c r="AJ397" s="440"/>
      <c r="AK397" s="440"/>
      <c r="AL397" s="440"/>
      <c r="AM397" s="440"/>
    </row>
    <row r="398" spans="1:39" s="9" customFormat="1" x14ac:dyDescent="0.2">
      <c r="A398" s="328"/>
      <c r="B398" s="16"/>
      <c r="C398" s="16"/>
      <c r="D398" s="7"/>
      <c r="E398" s="7"/>
      <c r="F398" s="6"/>
      <c r="G398" s="6"/>
      <c r="H398" s="17"/>
      <c r="I398" s="17"/>
      <c r="J398" s="7"/>
      <c r="K398" s="7"/>
      <c r="L398" s="23"/>
      <c r="M398" s="6"/>
      <c r="N398" s="6"/>
      <c r="O398" s="7"/>
      <c r="P398" s="7"/>
      <c r="Q398" s="7"/>
      <c r="R398" s="7"/>
      <c r="S398" s="7" t="s">
        <v>3600</v>
      </c>
      <c r="T398" s="7"/>
      <c r="U398" s="7"/>
      <c r="V398" s="220"/>
      <c r="W398" s="47"/>
      <c r="X398" s="59"/>
      <c r="Y398" s="177"/>
      <c r="Z398" s="6"/>
      <c r="AA398" s="6"/>
      <c r="AB398" s="6"/>
      <c r="AC398" s="6"/>
      <c r="AD398" s="330"/>
    </row>
    <row r="399" spans="1:39" s="9" customFormat="1" x14ac:dyDescent="0.2">
      <c r="A399" s="328"/>
      <c r="B399" s="16" t="s">
        <v>78</v>
      </c>
      <c r="C399" s="16" t="s">
        <v>79</v>
      </c>
      <c r="D399" s="7" t="s">
        <v>3601</v>
      </c>
      <c r="E399" s="7"/>
      <c r="F399" s="6" t="s">
        <v>3602</v>
      </c>
      <c r="G399" s="6" t="s">
        <v>39</v>
      </c>
      <c r="H399" s="17">
        <v>23118.400000000001</v>
      </c>
      <c r="I399" s="39" t="s">
        <v>3458</v>
      </c>
      <c r="J399" s="18">
        <v>38506</v>
      </c>
      <c r="K399" s="331">
        <v>60</v>
      </c>
      <c r="L399" s="348">
        <f>+J399+K399</f>
        <v>38566</v>
      </c>
      <c r="M399" s="18" t="s">
        <v>124</v>
      </c>
      <c r="N399" s="6" t="s">
        <v>42</v>
      </c>
      <c r="O399" s="18">
        <v>38527</v>
      </c>
      <c r="P399" s="331">
        <f>IF(S399="","",+S399-L399)</f>
        <v>-27</v>
      </c>
      <c r="Q399" s="331"/>
      <c r="R399" s="331"/>
      <c r="S399" s="349">
        <v>38539</v>
      </c>
      <c r="T399" s="349">
        <v>38570</v>
      </c>
      <c r="U399" s="331">
        <f>IF(T399="","",+T399-J399)</f>
        <v>64</v>
      </c>
      <c r="V399" s="6" t="s">
        <v>53</v>
      </c>
      <c r="W399" s="341" t="s">
        <v>3603</v>
      </c>
      <c r="X399" s="59"/>
      <c r="Y399" s="177"/>
      <c r="Z399" s="6">
        <v>6505563632</v>
      </c>
      <c r="AA399" s="6" t="s">
        <v>47</v>
      </c>
      <c r="AB399" s="6" t="s">
        <v>47</v>
      </c>
      <c r="AC399" s="18"/>
      <c r="AD399" s="205" t="str">
        <f>IF(S399&lt;=L399,"en término","atrasado")</f>
        <v>en término</v>
      </c>
    </row>
    <row r="400" spans="1:39" s="9" customFormat="1" ht="12" thickBot="1" x14ac:dyDescent="0.25">
      <c r="A400" s="328"/>
      <c r="B400" s="19"/>
      <c r="C400" s="19"/>
      <c r="D400" s="5"/>
      <c r="E400" s="5"/>
      <c r="F400" s="5"/>
      <c r="G400" s="5"/>
      <c r="H400" s="105"/>
      <c r="I400" s="21"/>
      <c r="J400" s="27"/>
      <c r="K400" s="27"/>
      <c r="L400" s="27"/>
      <c r="M400" s="5"/>
      <c r="N400" s="5"/>
      <c r="O400" s="5"/>
      <c r="P400" s="5"/>
      <c r="Q400" s="5"/>
      <c r="R400" s="5"/>
      <c r="S400" s="5"/>
      <c r="T400" s="5"/>
      <c r="U400" s="5"/>
      <c r="V400" s="224" t="s">
        <v>3604</v>
      </c>
      <c r="W400" s="36"/>
      <c r="X400" s="61"/>
      <c r="Y400" s="182"/>
      <c r="Z400" s="5"/>
      <c r="AA400" s="27">
        <v>38559</v>
      </c>
      <c r="AB400" s="27"/>
      <c r="AC400" s="5"/>
      <c r="AD400" s="330"/>
    </row>
    <row r="401" spans="1:39" s="28" customFormat="1" x14ac:dyDescent="0.2">
      <c r="D401" s="30"/>
      <c r="E401" s="30"/>
      <c r="F401" s="30"/>
      <c r="G401" s="30"/>
      <c r="H401" s="217"/>
      <c r="I401" s="31"/>
      <c r="J401" s="48"/>
      <c r="K401" s="48"/>
      <c r="L401" s="48"/>
      <c r="M401" s="30"/>
      <c r="N401" s="30"/>
      <c r="O401" s="30"/>
      <c r="P401" s="30"/>
      <c r="Q401" s="30"/>
      <c r="R401" s="30"/>
      <c r="S401" s="30"/>
      <c r="T401" s="30"/>
      <c r="U401" s="30"/>
      <c r="V401" s="226"/>
      <c r="W401" s="30"/>
      <c r="X401" s="30"/>
      <c r="Y401" s="30"/>
      <c r="Z401" s="30"/>
      <c r="AA401" s="48"/>
      <c r="AB401" s="48"/>
      <c r="AC401" s="30"/>
    </row>
    <row r="402" spans="1:39" s="28" customFormat="1" x14ac:dyDescent="0.2">
      <c r="D402" s="30"/>
      <c r="E402" s="30"/>
      <c r="F402" s="30"/>
      <c r="G402" s="30"/>
      <c r="H402" s="217"/>
      <c r="I402" s="31"/>
      <c r="J402" s="48"/>
      <c r="K402" s="48"/>
      <c r="L402" s="48"/>
      <c r="M402" s="30"/>
      <c r="N402" s="30"/>
      <c r="O402" s="30"/>
      <c r="P402" s="30"/>
      <c r="Q402" s="30"/>
      <c r="R402" s="30"/>
      <c r="S402" s="30"/>
      <c r="T402" s="30"/>
      <c r="U402" s="30"/>
      <c r="V402" s="226"/>
      <c r="W402" s="30"/>
      <c r="X402" s="30"/>
      <c r="Y402" s="30"/>
      <c r="Z402" s="30"/>
      <c r="AA402" s="48"/>
      <c r="AB402" s="48"/>
      <c r="AC402" s="30"/>
    </row>
    <row r="403" spans="1:39" s="28" customFormat="1" ht="12.75" x14ac:dyDescent="0.2">
      <c r="D403" s="30"/>
      <c r="E403" s="30"/>
      <c r="F403" s="30"/>
      <c r="G403" s="30"/>
      <c r="H403" s="217"/>
      <c r="I403" s="31"/>
      <c r="J403" s="48"/>
      <c r="K403" s="48"/>
      <c r="L403" s="48"/>
      <c r="M403" s="30"/>
      <c r="N403" s="30"/>
      <c r="O403" s="30"/>
      <c r="P403" s="30"/>
      <c r="Q403" s="30"/>
      <c r="R403" s="30"/>
      <c r="S403" s="30"/>
      <c r="T403" s="30"/>
      <c r="U403" s="30"/>
      <c r="V403" s="226"/>
      <c r="W403" s="30"/>
      <c r="X403" s="30"/>
      <c r="Y403" s="30"/>
      <c r="Z403" s="30"/>
      <c r="AA403" s="1">
        <v>2005</v>
      </c>
      <c r="AB403" s="1047"/>
      <c r="AC403" s="3"/>
    </row>
    <row r="404" spans="1:39" s="28" customFormat="1" ht="12.75" x14ac:dyDescent="0.2">
      <c r="D404" s="30"/>
      <c r="E404" s="30"/>
      <c r="F404" s="30"/>
      <c r="G404" s="30"/>
      <c r="H404" s="217"/>
      <c r="I404" s="31"/>
      <c r="J404" s="48"/>
      <c r="K404" s="48"/>
      <c r="L404" s="48"/>
      <c r="M404" s="30"/>
      <c r="N404" s="30"/>
      <c r="O404" s="30"/>
      <c r="P404" s="30"/>
      <c r="Q404" s="30"/>
      <c r="R404" s="30"/>
      <c r="S404" s="30"/>
      <c r="T404" s="30"/>
      <c r="U404" s="30"/>
      <c r="V404" s="226"/>
      <c r="W404" s="30"/>
      <c r="X404" s="30"/>
      <c r="Y404" s="30"/>
      <c r="Z404" s="30"/>
      <c r="AA404" s="945" t="s">
        <v>813</v>
      </c>
      <c r="AB404" s="1048">
        <f>COUNTA(AD398:AD400)</f>
        <v>1</v>
      </c>
    </row>
    <row r="405" spans="1:39" s="28" customFormat="1" ht="12.75" x14ac:dyDescent="0.2">
      <c r="D405" s="30"/>
      <c r="E405" s="30"/>
      <c r="F405" s="30"/>
      <c r="G405" s="30"/>
      <c r="H405" s="217"/>
      <c r="I405" s="31"/>
      <c r="J405" s="48"/>
      <c r="K405" s="48"/>
      <c r="L405" s="48"/>
      <c r="M405" s="30"/>
      <c r="N405" s="30"/>
      <c r="O405" s="30"/>
      <c r="P405" s="30"/>
      <c r="Q405" s="30"/>
      <c r="R405" s="30"/>
      <c r="S405" s="30"/>
      <c r="T405" s="30"/>
      <c r="U405" s="30"/>
      <c r="V405" s="226"/>
      <c r="W405" s="30"/>
      <c r="X405" s="30"/>
      <c r="Y405" s="30"/>
      <c r="Z405" s="30"/>
      <c r="AA405" s="945" t="s">
        <v>815</v>
      </c>
      <c r="AB405" s="1048">
        <f>COUNTIF(AD398:AD400,"en término")</f>
        <v>1</v>
      </c>
    </row>
    <row r="406" spans="1:39" s="28" customFormat="1" ht="12.75" x14ac:dyDescent="0.2">
      <c r="D406" s="30"/>
      <c r="E406" s="30"/>
      <c r="F406" s="30"/>
      <c r="G406" s="30"/>
      <c r="H406" s="217"/>
      <c r="I406" s="31"/>
      <c r="J406" s="48"/>
      <c r="K406" s="48"/>
      <c r="L406" s="48"/>
      <c r="M406" s="30"/>
      <c r="N406" s="30"/>
      <c r="O406" s="30"/>
      <c r="P406" s="30"/>
      <c r="Q406" s="30"/>
      <c r="R406" s="30"/>
      <c r="S406" s="30"/>
      <c r="T406" s="30"/>
      <c r="U406" s="30"/>
      <c r="V406" s="226"/>
      <c r="W406" s="30"/>
      <c r="X406" s="30"/>
      <c r="Y406" s="30"/>
      <c r="Z406" s="30"/>
      <c r="AA406" s="945" t="s">
        <v>817</v>
      </c>
      <c r="AB406" s="557">
        <f>+AB405/AB404</f>
        <v>1</v>
      </c>
    </row>
    <row r="407" spans="1:39" s="28" customFormat="1" x14ac:dyDescent="0.2">
      <c r="D407" s="30"/>
      <c r="E407" s="30"/>
      <c r="F407" s="30"/>
      <c r="G407" s="30"/>
      <c r="H407" s="217"/>
      <c r="I407" s="31"/>
      <c r="J407" s="48"/>
      <c r="K407" s="48"/>
      <c r="L407" s="48"/>
      <c r="M407" s="30"/>
      <c r="N407" s="30"/>
      <c r="O407" s="30"/>
      <c r="P407" s="30"/>
      <c r="Q407" s="30"/>
      <c r="R407" s="30"/>
      <c r="S407" s="30"/>
      <c r="T407" s="30"/>
      <c r="U407" s="30"/>
      <c r="V407" s="226"/>
      <c r="W407" s="30"/>
      <c r="X407" s="30"/>
      <c r="Y407" s="30"/>
      <c r="Z407" s="30"/>
      <c r="AA407" s="48"/>
      <c r="AB407" s="48"/>
      <c r="AC407" s="30"/>
    </row>
    <row r="408" spans="1:39" s="28" customFormat="1" ht="12" thickBot="1" x14ac:dyDescent="0.25">
      <c r="B408" s="49"/>
      <c r="C408" s="49"/>
      <c r="D408" s="50"/>
      <c r="E408" s="50"/>
      <c r="F408" s="50"/>
      <c r="G408" s="50"/>
      <c r="H408" s="242"/>
      <c r="I408" s="52"/>
      <c r="J408" s="54"/>
      <c r="K408" s="54"/>
      <c r="L408" s="54"/>
      <c r="M408" s="50"/>
      <c r="N408" s="50"/>
      <c r="O408" s="50"/>
      <c r="P408" s="50"/>
      <c r="Q408" s="50"/>
      <c r="R408" s="50"/>
      <c r="S408" s="50"/>
      <c r="T408" s="50"/>
      <c r="U408" s="50"/>
      <c r="V408" s="254"/>
      <c r="W408" s="50"/>
      <c r="X408" s="50"/>
      <c r="Y408" s="50"/>
      <c r="Z408" s="50"/>
      <c r="AA408" s="54"/>
      <c r="AB408" s="54"/>
      <c r="AC408" s="50"/>
    </row>
    <row r="409" spans="1:39" s="556" customFormat="1" ht="39.950000000000003" customHeight="1" thickBot="1" x14ac:dyDescent="0.4">
      <c r="B409" s="1611">
        <v>2006</v>
      </c>
      <c r="C409" s="1612"/>
      <c r="D409" s="1612"/>
      <c r="E409" s="1612"/>
      <c r="F409" s="1612"/>
      <c r="G409" s="1612"/>
      <c r="H409" s="1612"/>
      <c r="I409" s="1612"/>
      <c r="J409" s="1612"/>
      <c r="K409" s="1612"/>
      <c r="L409" s="1612"/>
      <c r="M409" s="1612"/>
      <c r="N409" s="1612"/>
      <c r="O409" s="1612"/>
      <c r="P409" s="1612"/>
      <c r="Q409" s="1612"/>
      <c r="R409" s="1612"/>
      <c r="S409" s="1612"/>
      <c r="T409" s="1612"/>
      <c r="U409" s="1612"/>
      <c r="V409" s="1612"/>
      <c r="W409" s="1612"/>
      <c r="X409" s="1612"/>
      <c r="Y409" s="1612"/>
      <c r="Z409" s="1612"/>
      <c r="AA409" s="1612"/>
      <c r="AB409" s="1612"/>
      <c r="AC409" s="1613"/>
      <c r="AD409" s="555"/>
    </row>
    <row r="410" spans="1:39" s="441" customFormat="1" ht="60" customHeight="1" thickBot="1" x14ac:dyDescent="0.25">
      <c r="A410" s="438"/>
      <c r="B410" s="451" t="s">
        <v>130</v>
      </c>
      <c r="C410" s="451" t="s">
        <v>4</v>
      </c>
      <c r="D410" s="451" t="s">
        <v>5</v>
      </c>
      <c r="E410" s="451" t="s">
        <v>6</v>
      </c>
      <c r="F410" s="451" t="s">
        <v>7</v>
      </c>
      <c r="G410" s="451" t="s">
        <v>8</v>
      </c>
      <c r="H410" s="453" t="s">
        <v>9</v>
      </c>
      <c r="I410" s="453" t="s">
        <v>10</v>
      </c>
      <c r="J410" s="451" t="s">
        <v>11</v>
      </c>
      <c r="K410" s="451" t="s">
        <v>12</v>
      </c>
      <c r="L410" s="451" t="s">
        <v>13</v>
      </c>
      <c r="M410" s="451" t="s">
        <v>14</v>
      </c>
      <c r="N410" s="451" t="s">
        <v>15</v>
      </c>
      <c r="O410" s="452" t="s">
        <v>16</v>
      </c>
      <c r="P410" s="454" t="s">
        <v>17</v>
      </c>
      <c r="Q410" s="451" t="s">
        <v>18</v>
      </c>
      <c r="R410" s="452" t="s">
        <v>19</v>
      </c>
      <c r="S410" s="451" t="s">
        <v>20</v>
      </c>
      <c r="T410" s="451" t="s">
        <v>21</v>
      </c>
      <c r="U410" s="452" t="s">
        <v>22</v>
      </c>
      <c r="V410" s="451" t="s">
        <v>131</v>
      </c>
      <c r="W410" s="451" t="s">
        <v>24</v>
      </c>
      <c r="X410" s="451" t="s">
        <v>132</v>
      </c>
      <c r="Y410" s="451" t="s">
        <v>26</v>
      </c>
      <c r="Z410" s="451" t="s">
        <v>27</v>
      </c>
      <c r="AA410" s="451" t="s">
        <v>28</v>
      </c>
      <c r="AB410" s="451" t="s">
        <v>29</v>
      </c>
      <c r="AC410" s="451" t="s">
        <v>30</v>
      </c>
      <c r="AD410" s="439"/>
      <c r="AE410" s="440"/>
      <c r="AF410" s="440"/>
      <c r="AG410" s="440"/>
      <c r="AH410" s="440"/>
      <c r="AI410" s="440"/>
      <c r="AJ410" s="440"/>
      <c r="AK410" s="440"/>
      <c r="AL410" s="440"/>
      <c r="AM410" s="440"/>
    </row>
    <row r="411" spans="1:39" s="9" customFormat="1" x14ac:dyDescent="0.2">
      <c r="A411" s="328"/>
      <c r="B411" s="16"/>
      <c r="C411" s="16"/>
      <c r="D411" s="7"/>
      <c r="E411" s="7"/>
      <c r="F411" s="6"/>
      <c r="G411" s="6"/>
      <c r="H411" s="17"/>
      <c r="I411" s="17"/>
      <c r="J411" s="7"/>
      <c r="K411" s="7"/>
      <c r="L411" s="348"/>
      <c r="M411" s="6"/>
      <c r="N411" s="6"/>
      <c r="O411" s="18"/>
      <c r="P411" s="7"/>
      <c r="Q411" s="7"/>
      <c r="R411" s="7"/>
      <c r="S411" s="7"/>
      <c r="T411" s="18"/>
      <c r="U411" s="7"/>
      <c r="V411" s="138" t="s">
        <v>3538</v>
      </c>
      <c r="W411" s="47"/>
      <c r="X411" s="59"/>
      <c r="Y411" s="177"/>
      <c r="Z411" s="6"/>
      <c r="AA411" s="6"/>
      <c r="AB411" s="6"/>
      <c r="AC411" s="6"/>
      <c r="AD411" s="28"/>
    </row>
    <row r="412" spans="1:39" s="9" customFormat="1" x14ac:dyDescent="0.2">
      <c r="A412" s="328"/>
      <c r="B412" s="16" t="s">
        <v>78</v>
      </c>
      <c r="C412" s="16" t="s">
        <v>3165</v>
      </c>
      <c r="D412" s="7" t="s">
        <v>3605</v>
      </c>
      <c r="E412" s="7"/>
      <c r="F412" s="6">
        <v>527618</v>
      </c>
      <c r="G412" s="6" t="s">
        <v>1535</v>
      </c>
      <c r="H412" s="17">
        <v>54581.2</v>
      </c>
      <c r="I412" s="39" t="s">
        <v>3606</v>
      </c>
      <c r="J412" s="18">
        <v>38789</v>
      </c>
      <c r="K412" s="331">
        <v>38</v>
      </c>
      <c r="L412" s="348">
        <f>+J412+K412</f>
        <v>38827</v>
      </c>
      <c r="M412" s="18" t="s">
        <v>280</v>
      </c>
      <c r="N412" s="6" t="s">
        <v>1675</v>
      </c>
      <c r="O412" s="18">
        <v>38828</v>
      </c>
      <c r="P412" s="331">
        <f>IF(S412="","",+S412-L412)</f>
        <v>7</v>
      </c>
      <c r="Q412" s="331"/>
      <c r="R412" s="331"/>
      <c r="S412" s="349">
        <v>38834</v>
      </c>
      <c r="T412" s="18">
        <v>38842</v>
      </c>
      <c r="U412" s="331">
        <f>IF(T412="","",+T412-J412)</f>
        <v>53</v>
      </c>
      <c r="V412" s="6" t="s">
        <v>3607</v>
      </c>
      <c r="W412" s="47" t="s">
        <v>3608</v>
      </c>
      <c r="X412" s="59"/>
      <c r="Y412" s="177"/>
      <c r="Z412" s="6"/>
      <c r="AA412" s="7" t="s">
        <v>47</v>
      </c>
      <c r="AB412" s="7" t="s">
        <v>47</v>
      </c>
      <c r="AC412" s="7"/>
      <c r="AD412" s="28"/>
    </row>
    <row r="413" spans="1:39" s="9" customFormat="1" ht="12" thickBot="1" x14ac:dyDescent="0.25">
      <c r="A413" s="328"/>
      <c r="B413" s="19"/>
      <c r="C413" s="19"/>
      <c r="D413" s="5"/>
      <c r="E413" s="5"/>
      <c r="F413" s="5"/>
      <c r="G413" s="5"/>
      <c r="H413" s="105"/>
      <c r="I413" s="21" t="s">
        <v>3557</v>
      </c>
      <c r="J413" s="27"/>
      <c r="K413" s="27"/>
      <c r="L413" s="187"/>
      <c r="M413" s="5"/>
      <c r="N413" s="5"/>
      <c r="O413" s="187"/>
      <c r="P413" s="5"/>
      <c r="Q413" s="5"/>
      <c r="R413" s="5"/>
      <c r="S413" s="5"/>
      <c r="T413" s="187"/>
      <c r="U413" s="5"/>
      <c r="V413" s="224" t="s">
        <v>1102</v>
      </c>
      <c r="W413" s="36"/>
      <c r="X413" s="61"/>
      <c r="Y413" s="182"/>
      <c r="Z413" s="5"/>
      <c r="AA413" s="27"/>
      <c r="AB413" s="27"/>
      <c r="AC413" s="357"/>
      <c r="AD413" s="28"/>
    </row>
    <row r="414" spans="1:39" s="9" customFormat="1" x14ac:dyDescent="0.2">
      <c r="A414" s="328"/>
      <c r="B414" s="16"/>
      <c r="C414" s="16"/>
      <c r="D414" s="7"/>
      <c r="E414" s="7"/>
      <c r="F414" s="6"/>
      <c r="G414" s="6"/>
      <c r="H414" s="17"/>
      <c r="I414" s="17"/>
      <c r="J414" s="7"/>
      <c r="K414" s="7"/>
      <c r="L414" s="348"/>
      <c r="M414" s="6"/>
      <c r="N414" s="6"/>
      <c r="O414" s="18"/>
      <c r="P414" s="7"/>
      <c r="Q414" s="7"/>
      <c r="R414" s="7"/>
      <c r="S414" s="7"/>
      <c r="T414" s="18"/>
      <c r="U414" s="7"/>
      <c r="V414" s="138" t="s">
        <v>3538</v>
      </c>
      <c r="W414" s="47"/>
      <c r="X414" s="59"/>
      <c r="Y414" s="177"/>
      <c r="Z414" s="6"/>
      <c r="AA414" s="6"/>
      <c r="AB414" s="6"/>
      <c r="AC414" s="56"/>
      <c r="AD414" s="28"/>
    </row>
    <row r="415" spans="1:39" s="9" customFormat="1" x14ac:dyDescent="0.2">
      <c r="A415" s="328"/>
      <c r="B415" s="16" t="s">
        <v>78</v>
      </c>
      <c r="C415" s="16" t="s">
        <v>79</v>
      </c>
      <c r="D415" s="7" t="s">
        <v>3609</v>
      </c>
      <c r="E415" s="7"/>
      <c r="F415" s="6" t="s">
        <v>3610</v>
      </c>
      <c r="G415" s="6" t="s">
        <v>1535</v>
      </c>
      <c r="H415" s="17">
        <v>5160</v>
      </c>
      <c r="I415" s="39" t="s">
        <v>3606</v>
      </c>
      <c r="J415" s="18">
        <v>38813</v>
      </c>
      <c r="K415" s="331">
        <v>45</v>
      </c>
      <c r="L415" s="348">
        <f>+J415+K415</f>
        <v>38858</v>
      </c>
      <c r="M415" s="18" t="s">
        <v>124</v>
      </c>
      <c r="N415" s="6" t="s">
        <v>1675</v>
      </c>
      <c r="O415" s="18">
        <v>38845</v>
      </c>
      <c r="P415" s="331">
        <f>IF(S415="","",+S415-L415)</f>
        <v>-6</v>
      </c>
      <c r="Q415" s="331"/>
      <c r="R415" s="331"/>
      <c r="S415" s="349">
        <v>38852</v>
      </c>
      <c r="T415" s="18">
        <v>38859</v>
      </c>
      <c r="U415" s="331">
        <f>IF(T415="","",+T415-J415)</f>
        <v>46</v>
      </c>
      <c r="V415" s="6" t="s">
        <v>3611</v>
      </c>
      <c r="W415" s="47" t="s">
        <v>3612</v>
      </c>
      <c r="X415" s="59"/>
      <c r="Y415" s="177"/>
      <c r="Z415" s="6"/>
      <c r="AA415" s="7" t="s">
        <v>47</v>
      </c>
      <c r="AB415" s="7" t="s">
        <v>47</v>
      </c>
      <c r="AC415" s="7"/>
      <c r="AD415" s="28"/>
    </row>
    <row r="416" spans="1:39" s="9" customFormat="1" ht="12" thickBot="1" x14ac:dyDescent="0.25">
      <c r="A416" s="328"/>
      <c r="B416" s="19"/>
      <c r="C416" s="19"/>
      <c r="D416" s="5"/>
      <c r="E416" s="5"/>
      <c r="F416" s="5"/>
      <c r="G416" s="5"/>
      <c r="H416" s="105"/>
      <c r="I416" s="21" t="s">
        <v>3557</v>
      </c>
      <c r="J416" s="27"/>
      <c r="K416" s="27"/>
      <c r="L416" s="187"/>
      <c r="M416" s="5"/>
      <c r="N416" s="5"/>
      <c r="O416" s="187"/>
      <c r="P416" s="5"/>
      <c r="Q416" s="5"/>
      <c r="R416" s="5"/>
      <c r="S416" s="5"/>
      <c r="T416" s="187"/>
      <c r="U416" s="5"/>
      <c r="V416" s="224" t="s">
        <v>1102</v>
      </c>
      <c r="W416" s="36"/>
      <c r="X416" s="61"/>
      <c r="Y416" s="182"/>
      <c r="Z416" s="5"/>
      <c r="AA416" s="27"/>
      <c r="AB416" s="27">
        <v>38853</v>
      </c>
      <c r="AC416" s="27"/>
      <c r="AD416" s="28"/>
    </row>
    <row r="417" spans="1:30" s="9" customFormat="1" x14ac:dyDescent="0.2">
      <c r="A417" s="328"/>
      <c r="B417" s="16"/>
      <c r="C417" s="16"/>
      <c r="D417" s="7"/>
      <c r="E417" s="7"/>
      <c r="F417" s="6"/>
      <c r="G417" s="6"/>
      <c r="H417" s="17"/>
      <c r="I417" s="17"/>
      <c r="J417" s="7"/>
      <c r="K417" s="7"/>
      <c r="L417" s="348"/>
      <c r="M417" s="6"/>
      <c r="N417" s="6"/>
      <c r="O417" s="18"/>
      <c r="P417" s="7"/>
      <c r="Q417" s="7"/>
      <c r="R417" s="7"/>
      <c r="S417" s="7" t="s">
        <v>3613</v>
      </c>
      <c r="T417" s="18"/>
      <c r="U417" s="7"/>
      <c r="V417" s="138"/>
      <c r="W417" s="47"/>
      <c r="X417" s="59"/>
      <c r="Y417" s="177"/>
      <c r="Z417" s="6"/>
      <c r="AA417" s="6"/>
      <c r="AB417" s="6"/>
      <c r="AC417" s="338"/>
      <c r="AD417" s="330"/>
    </row>
    <row r="418" spans="1:30" s="9" customFormat="1" x14ac:dyDescent="0.2">
      <c r="A418" s="328"/>
      <c r="B418" s="16" t="s">
        <v>78</v>
      </c>
      <c r="C418" s="16" t="s">
        <v>79</v>
      </c>
      <c r="D418" s="7" t="s">
        <v>3609</v>
      </c>
      <c r="E418" s="7"/>
      <c r="F418" s="6" t="s">
        <v>3614</v>
      </c>
      <c r="G418" s="6" t="s">
        <v>1535</v>
      </c>
      <c r="H418" s="17">
        <v>16043</v>
      </c>
      <c r="I418" s="39" t="s">
        <v>3606</v>
      </c>
      <c r="J418" s="18">
        <v>38813</v>
      </c>
      <c r="K418" s="331">
        <v>45</v>
      </c>
      <c r="L418" s="348">
        <f>+J418+K418</f>
        <v>38858</v>
      </c>
      <c r="M418" s="18" t="s">
        <v>124</v>
      </c>
      <c r="N418" s="6" t="s">
        <v>42</v>
      </c>
      <c r="O418" s="18">
        <v>38849</v>
      </c>
      <c r="P418" s="331">
        <f>IF(S418="","",+S418-L418)</f>
        <v>-2</v>
      </c>
      <c r="Q418" s="331"/>
      <c r="R418" s="331"/>
      <c r="S418" s="349">
        <v>38856</v>
      </c>
      <c r="T418" s="18">
        <f>+S418+30</f>
        <v>38886</v>
      </c>
      <c r="U418" s="331">
        <f>IF(T418="","",+T418-J418)</f>
        <v>73</v>
      </c>
      <c r="V418" s="6" t="s">
        <v>53</v>
      </c>
      <c r="W418" s="47">
        <v>117</v>
      </c>
      <c r="X418" s="59"/>
      <c r="Y418" s="177"/>
      <c r="Z418" s="6">
        <v>6505731702</v>
      </c>
      <c r="AA418" s="7" t="s">
        <v>47</v>
      </c>
      <c r="AB418" s="7" t="s">
        <v>47</v>
      </c>
      <c r="AC418" s="7"/>
      <c r="AD418" s="205" t="str">
        <f>IF(S418&lt;=L418,"en término","atrasado")</f>
        <v>en término</v>
      </c>
    </row>
    <row r="419" spans="1:30" s="9" customFormat="1" ht="12" thickBot="1" x14ac:dyDescent="0.25">
      <c r="A419" s="328"/>
      <c r="B419" s="19"/>
      <c r="C419" s="19"/>
      <c r="D419" s="5"/>
      <c r="E419" s="5"/>
      <c r="F419" s="5"/>
      <c r="G419" s="5"/>
      <c r="H419" s="105"/>
      <c r="I419" s="21" t="s">
        <v>3557</v>
      </c>
      <c r="J419" s="27"/>
      <c r="K419" s="27"/>
      <c r="L419" s="187"/>
      <c r="M419" s="5"/>
      <c r="N419" s="5"/>
      <c r="O419" s="187"/>
      <c r="P419" s="5"/>
      <c r="Q419" s="5"/>
      <c r="R419" s="5"/>
      <c r="S419" s="187"/>
      <c r="T419" s="187"/>
      <c r="U419" s="5"/>
      <c r="V419" s="224"/>
      <c r="W419" s="36"/>
      <c r="X419" s="61"/>
      <c r="Y419" s="182"/>
      <c r="Z419" s="5"/>
      <c r="AA419" s="27"/>
      <c r="AB419" s="27">
        <v>38945</v>
      </c>
      <c r="AC419" s="27"/>
      <c r="AD419" s="330"/>
    </row>
    <row r="420" spans="1:30" s="9" customFormat="1" x14ac:dyDescent="0.2">
      <c r="A420" s="328"/>
      <c r="B420" s="16"/>
      <c r="C420" s="16"/>
      <c r="D420" s="7"/>
      <c r="E420" s="7"/>
      <c r="F420" s="6"/>
      <c r="G420" s="6"/>
      <c r="H420" s="17"/>
      <c r="I420" s="17"/>
      <c r="J420" s="7"/>
      <c r="K420" s="7"/>
      <c r="L420" s="348"/>
      <c r="M420" s="6"/>
      <c r="N420" s="6"/>
      <c r="O420" s="18"/>
      <c r="P420" s="7"/>
      <c r="Q420" s="7"/>
      <c r="R420" s="7"/>
      <c r="S420" s="7" t="s">
        <v>3615</v>
      </c>
      <c r="T420" s="18"/>
      <c r="U420" s="7"/>
      <c r="V420" s="220" t="s">
        <v>3538</v>
      </c>
      <c r="W420" s="47"/>
      <c r="X420" s="59"/>
      <c r="Y420" s="177"/>
      <c r="Z420" s="6"/>
      <c r="AA420" s="6"/>
      <c r="AB420" s="6"/>
      <c r="AC420" s="6"/>
      <c r="AD420" s="330"/>
    </row>
    <row r="421" spans="1:30" s="9" customFormat="1" x14ac:dyDescent="0.2">
      <c r="A421" s="328"/>
      <c r="B421" s="16" t="s">
        <v>78</v>
      </c>
      <c r="C421" s="16" t="s">
        <v>3165</v>
      </c>
      <c r="D421" s="7" t="s">
        <v>3605</v>
      </c>
      <c r="E421" s="7"/>
      <c r="F421" s="6">
        <v>527616</v>
      </c>
      <c r="G421" s="6" t="s">
        <v>1535</v>
      </c>
      <c r="H421" s="17">
        <v>233702.2</v>
      </c>
      <c r="I421" s="39" t="s">
        <v>3606</v>
      </c>
      <c r="J421" s="18">
        <v>38790</v>
      </c>
      <c r="K421" s="331">
        <v>98</v>
      </c>
      <c r="L421" s="348">
        <f>+J421+K421</f>
        <v>38888</v>
      </c>
      <c r="M421" s="18" t="s">
        <v>124</v>
      </c>
      <c r="N421" s="6" t="s">
        <v>42</v>
      </c>
      <c r="O421" s="18">
        <v>38877</v>
      </c>
      <c r="P421" s="331">
        <f>IF(S421="","",+S421-L421)</f>
        <v>-2</v>
      </c>
      <c r="Q421" s="331"/>
      <c r="R421" s="331"/>
      <c r="S421" s="349">
        <v>38886</v>
      </c>
      <c r="T421" s="18">
        <f>+S421+25</f>
        <v>38911</v>
      </c>
      <c r="U421" s="331">
        <f>IF(T421="","",+T421-J421)</f>
        <v>121</v>
      </c>
      <c r="V421" s="6" t="s">
        <v>53</v>
      </c>
      <c r="W421" s="47">
        <v>122</v>
      </c>
      <c r="X421" s="59"/>
      <c r="Y421" s="177"/>
      <c r="Z421" s="6">
        <v>6631322143</v>
      </c>
      <c r="AA421" s="7" t="s">
        <v>47</v>
      </c>
      <c r="AB421" s="7" t="s">
        <v>47</v>
      </c>
      <c r="AC421" s="7"/>
      <c r="AD421" s="205" t="str">
        <f>IF(S421&lt;=L421,"en término","atrasado")</f>
        <v>en término</v>
      </c>
    </row>
    <row r="422" spans="1:30" s="9" customFormat="1" ht="12" thickBot="1" x14ac:dyDescent="0.25">
      <c r="A422" s="328"/>
      <c r="B422" s="19"/>
      <c r="C422" s="19"/>
      <c r="D422" s="5"/>
      <c r="E422" s="5"/>
      <c r="F422" s="5"/>
      <c r="G422" s="5"/>
      <c r="H422" s="105"/>
      <c r="I422" s="21" t="s">
        <v>3557</v>
      </c>
      <c r="J422" s="27"/>
      <c r="K422" s="27"/>
      <c r="L422" s="187"/>
      <c r="M422" s="5"/>
      <c r="N422" s="5"/>
      <c r="O422" s="187"/>
      <c r="P422" s="5"/>
      <c r="Q422" s="5"/>
      <c r="R422" s="5"/>
      <c r="S422" s="187"/>
      <c r="T422" s="187"/>
      <c r="U422" s="5"/>
      <c r="V422" s="224"/>
      <c r="W422" s="36"/>
      <c r="X422" s="61"/>
      <c r="Y422" s="182"/>
      <c r="Z422" s="5"/>
      <c r="AA422" s="27">
        <v>38924</v>
      </c>
      <c r="AB422" s="27">
        <v>38946</v>
      </c>
      <c r="AC422" s="27"/>
      <c r="AD422" s="330"/>
    </row>
    <row r="423" spans="1:30" s="9" customFormat="1" x14ac:dyDescent="0.2">
      <c r="A423" s="328"/>
      <c r="B423" s="16"/>
      <c r="C423" s="16"/>
      <c r="D423" s="7"/>
      <c r="E423" s="7"/>
      <c r="F423" s="6"/>
      <c r="G423" s="6"/>
      <c r="H423" s="17"/>
      <c r="I423" s="17"/>
      <c r="J423" s="7"/>
      <c r="K423" s="7"/>
      <c r="L423" s="348"/>
      <c r="M423" s="6"/>
      <c r="N423" s="6"/>
      <c r="O423" s="18"/>
      <c r="P423" s="7"/>
      <c r="Q423" s="7"/>
      <c r="R423" s="7"/>
      <c r="S423" s="7" t="s">
        <v>3616</v>
      </c>
      <c r="T423" s="18"/>
      <c r="U423" s="7"/>
      <c r="V423" s="220"/>
      <c r="W423" s="47"/>
      <c r="X423" s="59"/>
      <c r="Y423" s="177"/>
      <c r="Z423" s="6"/>
      <c r="AA423" s="6"/>
      <c r="AB423" s="6"/>
      <c r="AC423" s="1043"/>
      <c r="AD423" s="330"/>
    </row>
    <row r="424" spans="1:30" s="9" customFormat="1" x14ac:dyDescent="0.2">
      <c r="A424" s="328"/>
      <c r="B424" s="16" t="s">
        <v>78</v>
      </c>
      <c r="C424" s="16" t="s">
        <v>79</v>
      </c>
      <c r="D424" s="7" t="s">
        <v>3617</v>
      </c>
      <c r="E424" s="7"/>
      <c r="F424" s="6" t="s">
        <v>3618</v>
      </c>
      <c r="G424" s="6" t="s">
        <v>1535</v>
      </c>
      <c r="H424" s="17">
        <v>6286</v>
      </c>
      <c r="I424" s="39" t="s">
        <v>3606</v>
      </c>
      <c r="J424" s="18">
        <v>38854</v>
      </c>
      <c r="K424" s="331">
        <v>30</v>
      </c>
      <c r="L424" s="348">
        <f>+J424+K424</f>
        <v>38884</v>
      </c>
      <c r="M424" s="18" t="s">
        <v>124</v>
      </c>
      <c r="N424" s="6" t="s">
        <v>42</v>
      </c>
      <c r="O424" s="18">
        <v>38881</v>
      </c>
      <c r="P424" s="331">
        <f>IF(S424="","",+S424-L424)</f>
        <v>15</v>
      </c>
      <c r="Q424" s="331"/>
      <c r="R424" s="331"/>
      <c r="S424" s="349">
        <v>38899</v>
      </c>
      <c r="T424" s="18">
        <f>+S424+25</f>
        <v>38924</v>
      </c>
      <c r="U424" s="331">
        <f>IF(T424="","",+T424-J424)</f>
        <v>70</v>
      </c>
      <c r="V424" s="6" t="s">
        <v>53</v>
      </c>
      <c r="W424" s="47">
        <v>124</v>
      </c>
      <c r="X424" s="59"/>
      <c r="Y424" s="177"/>
      <c r="Z424" s="6">
        <v>6631322154</v>
      </c>
      <c r="AA424" s="7" t="s">
        <v>47</v>
      </c>
      <c r="AB424" s="7" t="s">
        <v>1575</v>
      </c>
      <c r="AC424" s="1056" t="s">
        <v>3619</v>
      </c>
      <c r="AD424" s="205" t="str">
        <f>IF(S424&lt;=L424,"en término","atrasado")</f>
        <v>atrasado</v>
      </c>
    </row>
    <row r="425" spans="1:30" s="9" customFormat="1" ht="12" thickBot="1" x14ac:dyDescent="0.25">
      <c r="A425" s="328"/>
      <c r="B425" s="19"/>
      <c r="C425" s="19"/>
      <c r="D425" s="5"/>
      <c r="E425" s="5"/>
      <c r="F425" s="5"/>
      <c r="G425" s="5"/>
      <c r="H425" s="105"/>
      <c r="I425" s="21" t="s">
        <v>3557</v>
      </c>
      <c r="J425" s="27"/>
      <c r="K425" s="27"/>
      <c r="L425" s="187"/>
      <c r="M425" s="5"/>
      <c r="N425" s="5"/>
      <c r="O425" s="187"/>
      <c r="P425" s="5"/>
      <c r="Q425" s="5"/>
      <c r="R425" s="5"/>
      <c r="S425" s="27"/>
      <c r="T425" s="187"/>
      <c r="U425" s="5"/>
      <c r="V425" s="224"/>
      <c r="W425" s="36"/>
      <c r="X425" s="61"/>
      <c r="Y425" s="182"/>
      <c r="Z425" s="5"/>
      <c r="AA425" s="27"/>
      <c r="AB425" s="27">
        <v>38945</v>
      </c>
      <c r="AC425" s="1057"/>
      <c r="AD425" s="330"/>
    </row>
    <row r="426" spans="1:30" s="9" customFormat="1" x14ac:dyDescent="0.2">
      <c r="A426" s="328"/>
      <c r="B426" s="11"/>
      <c r="C426" s="11"/>
      <c r="D426" s="91"/>
      <c r="E426" s="91"/>
      <c r="F426" s="12"/>
      <c r="G426" s="12"/>
      <c r="H426" s="13"/>
      <c r="I426" s="13"/>
      <c r="J426" s="91"/>
      <c r="K426" s="91"/>
      <c r="L426" s="403"/>
      <c r="M426" s="12"/>
      <c r="N426" s="12"/>
      <c r="O426" s="189"/>
      <c r="P426" s="91"/>
      <c r="Q426" s="91"/>
      <c r="R426" s="91"/>
      <c r="S426" s="91" t="s">
        <v>3620</v>
      </c>
      <c r="T426" s="189"/>
      <c r="U426" s="91"/>
      <c r="V426" s="244"/>
      <c r="W426" s="34"/>
      <c r="X426" s="57"/>
      <c r="Y426" s="200"/>
      <c r="Z426" s="12"/>
      <c r="AA426" s="12"/>
      <c r="AB426" s="12"/>
      <c r="AC426" s="1028"/>
      <c r="AD426" s="330"/>
    </row>
    <row r="427" spans="1:30" s="9" customFormat="1" x14ac:dyDescent="0.2">
      <c r="A427" s="328"/>
      <c r="B427" s="16" t="s">
        <v>78</v>
      </c>
      <c r="C427" s="16" t="s">
        <v>79</v>
      </c>
      <c r="D427" s="7" t="s">
        <v>3621</v>
      </c>
      <c r="E427" s="7"/>
      <c r="F427" s="6" t="s">
        <v>3622</v>
      </c>
      <c r="G427" s="6" t="s">
        <v>1535</v>
      </c>
      <c r="H427" s="17">
        <v>1803</v>
      </c>
      <c r="I427" s="39" t="s">
        <v>83</v>
      </c>
      <c r="J427" s="18">
        <v>38985</v>
      </c>
      <c r="K427" s="331">
        <v>35</v>
      </c>
      <c r="L427" s="348">
        <f>+J427+K427</f>
        <v>39020</v>
      </c>
      <c r="M427" s="18" t="s">
        <v>124</v>
      </c>
      <c r="N427" s="6" t="s">
        <v>110</v>
      </c>
      <c r="O427" s="18">
        <v>38996</v>
      </c>
      <c r="P427" s="331">
        <f>IF(S427="","",+S427-L427)</f>
        <v>-16</v>
      </c>
      <c r="Q427" s="331"/>
      <c r="R427" s="331"/>
      <c r="S427" s="349">
        <v>39004</v>
      </c>
      <c r="T427" s="18">
        <v>39007</v>
      </c>
      <c r="U427" s="331">
        <f>IF(T427="","",+T427-J427)</f>
        <v>22</v>
      </c>
      <c r="V427" s="6" t="s">
        <v>53</v>
      </c>
      <c r="W427" s="47">
        <v>165</v>
      </c>
      <c r="X427" s="59"/>
      <c r="Y427" s="177"/>
      <c r="Z427" s="6" t="s">
        <v>3623</v>
      </c>
      <c r="AA427" s="7" t="s">
        <v>47</v>
      </c>
      <c r="AB427" s="7" t="s">
        <v>47</v>
      </c>
      <c r="AC427" s="538"/>
      <c r="AD427" s="205" t="str">
        <f>IF(S427&lt;=L427,"en término","atrasado")</f>
        <v>en término</v>
      </c>
    </row>
    <row r="428" spans="1:30" s="9" customFormat="1" ht="12" thickBot="1" x14ac:dyDescent="0.25">
      <c r="A428" s="328"/>
      <c r="B428" s="19"/>
      <c r="C428" s="19"/>
      <c r="D428" s="5"/>
      <c r="E428" s="5"/>
      <c r="F428" s="5"/>
      <c r="G428" s="5"/>
      <c r="H428" s="105"/>
      <c r="I428" s="21" t="s">
        <v>3557</v>
      </c>
      <c r="J428" s="27"/>
      <c r="K428" s="27"/>
      <c r="L428" s="187"/>
      <c r="M428" s="5"/>
      <c r="N428" s="5"/>
      <c r="O428" s="187"/>
      <c r="P428" s="5"/>
      <c r="Q428" s="5"/>
      <c r="R428" s="5"/>
      <c r="S428" s="27"/>
      <c r="T428" s="187"/>
      <c r="U428" s="5"/>
      <c r="V428" s="224"/>
      <c r="W428" s="36"/>
      <c r="X428" s="61"/>
      <c r="Y428" s="182"/>
      <c r="Z428" s="5" t="s">
        <v>3624</v>
      </c>
      <c r="AA428" s="27">
        <v>39010</v>
      </c>
      <c r="AB428" s="27">
        <v>39029</v>
      </c>
      <c r="AC428" s="539"/>
      <c r="AD428" s="330"/>
    </row>
    <row r="429" spans="1:30" s="9" customFormat="1" x14ac:dyDescent="0.2">
      <c r="A429" s="328"/>
      <c r="B429" s="11"/>
      <c r="C429" s="11"/>
      <c r="D429" s="91"/>
      <c r="E429" s="91"/>
      <c r="F429" s="12"/>
      <c r="G429" s="12"/>
      <c r="H429" s="13"/>
      <c r="I429" s="13"/>
      <c r="J429" s="91"/>
      <c r="K429" s="91"/>
      <c r="L429" s="403"/>
      <c r="M429" s="12"/>
      <c r="N429" s="12"/>
      <c r="O429" s="189"/>
      <c r="P429" s="91"/>
      <c r="Q429" s="91"/>
      <c r="R429" s="91"/>
      <c r="S429" s="91"/>
      <c r="T429" s="189"/>
      <c r="U429" s="91"/>
      <c r="V429" s="244" t="s">
        <v>3538</v>
      </c>
      <c r="W429" s="34"/>
      <c r="X429" s="57"/>
      <c r="Y429" s="200"/>
      <c r="Z429" s="12"/>
      <c r="AA429" s="12"/>
      <c r="AB429" s="12"/>
      <c r="AC429" s="1028"/>
      <c r="AD429" s="330"/>
    </row>
    <row r="430" spans="1:30" s="9" customFormat="1" x14ac:dyDescent="0.2">
      <c r="A430" s="328"/>
      <c r="B430" s="16" t="s">
        <v>78</v>
      </c>
      <c r="C430" s="16" t="s">
        <v>79</v>
      </c>
      <c r="D430" s="7" t="s">
        <v>3621</v>
      </c>
      <c r="E430" s="7"/>
      <c r="F430" s="6" t="s">
        <v>3625</v>
      </c>
      <c r="G430" s="6" t="s">
        <v>1535</v>
      </c>
      <c r="H430" s="17">
        <v>16176</v>
      </c>
      <c r="I430" s="39" t="s">
        <v>3606</v>
      </c>
      <c r="J430" s="18">
        <v>38985</v>
      </c>
      <c r="K430" s="331">
        <v>35</v>
      </c>
      <c r="L430" s="348">
        <f>+J430+K430</f>
        <v>39020</v>
      </c>
      <c r="M430" s="18" t="s">
        <v>280</v>
      </c>
      <c r="N430" s="6" t="s">
        <v>110</v>
      </c>
      <c r="O430" s="18">
        <v>39017</v>
      </c>
      <c r="P430" s="331">
        <f>IF(S430="","",+S430-L430)</f>
        <v>3</v>
      </c>
      <c r="Q430" s="331"/>
      <c r="R430" s="331"/>
      <c r="S430" s="349">
        <v>39023</v>
      </c>
      <c r="T430" s="18">
        <v>39036</v>
      </c>
      <c r="U430" s="331">
        <f>IF(T430="","",+T430-J430)</f>
        <v>51</v>
      </c>
      <c r="V430" s="6" t="s">
        <v>3626</v>
      </c>
      <c r="W430" s="47" t="s">
        <v>3627</v>
      </c>
      <c r="X430" s="59"/>
      <c r="Y430" s="177"/>
      <c r="Z430" s="6" t="s">
        <v>974</v>
      </c>
      <c r="AA430" s="7" t="s">
        <v>47</v>
      </c>
      <c r="AB430" s="7" t="s">
        <v>47</v>
      </c>
      <c r="AC430" s="538"/>
      <c r="AD430" s="330"/>
    </row>
    <row r="431" spans="1:30" s="9" customFormat="1" ht="12" thickBot="1" x14ac:dyDescent="0.25">
      <c r="A431" s="328"/>
      <c r="B431" s="19"/>
      <c r="C431" s="19"/>
      <c r="D431" s="5"/>
      <c r="E431" s="5"/>
      <c r="F431" s="5"/>
      <c r="G431" s="5"/>
      <c r="H431" s="105"/>
      <c r="I431" s="21" t="s">
        <v>3557</v>
      </c>
      <c r="J431" s="27"/>
      <c r="K431" s="27"/>
      <c r="L431" s="187"/>
      <c r="M431" s="5"/>
      <c r="N431" s="5"/>
      <c r="O431" s="187"/>
      <c r="P431" s="5"/>
      <c r="Q431" s="5"/>
      <c r="R431" s="5"/>
      <c r="S431" s="27" t="s">
        <v>3628</v>
      </c>
      <c r="T431" s="187"/>
      <c r="U431" s="5"/>
      <c r="V431" s="224" t="s">
        <v>1102</v>
      </c>
      <c r="W431" s="36"/>
      <c r="X431" s="61"/>
      <c r="Y431" s="182"/>
      <c r="Z431" s="5" t="s">
        <v>3629</v>
      </c>
      <c r="AA431" s="27"/>
      <c r="AB431" s="27">
        <v>39069</v>
      </c>
      <c r="AC431" s="539"/>
      <c r="AD431" s="330"/>
    </row>
    <row r="432" spans="1:30" s="9" customFormat="1" x14ac:dyDescent="0.2">
      <c r="A432" s="328"/>
      <c r="B432" s="11"/>
      <c r="C432" s="11"/>
      <c r="D432" s="91"/>
      <c r="E432" s="91"/>
      <c r="F432" s="12"/>
      <c r="G432" s="12"/>
      <c r="H432" s="13"/>
      <c r="I432" s="13"/>
      <c r="J432" s="91"/>
      <c r="K432" s="91"/>
      <c r="L432" s="403"/>
      <c r="M432" s="12"/>
      <c r="N432" s="12"/>
      <c r="O432" s="189"/>
      <c r="P432" s="91"/>
      <c r="Q432" s="91"/>
      <c r="R432" s="91"/>
      <c r="S432" s="91"/>
      <c r="T432" s="189"/>
      <c r="U432" s="91"/>
      <c r="V432" s="244" t="s">
        <v>3538</v>
      </c>
      <c r="W432" s="34"/>
      <c r="X432" s="57"/>
      <c r="Y432" s="200"/>
      <c r="Z432" s="12"/>
      <c r="AA432" s="12"/>
      <c r="AB432" s="12"/>
      <c r="AC432" s="1028"/>
      <c r="AD432" s="330"/>
    </row>
    <row r="433" spans="1:39" s="9" customFormat="1" x14ac:dyDescent="0.2">
      <c r="A433" s="328"/>
      <c r="B433" s="16" t="s">
        <v>78</v>
      </c>
      <c r="C433" s="16" t="s">
        <v>3165</v>
      </c>
      <c r="D433" s="7" t="s">
        <v>3630</v>
      </c>
      <c r="E433" s="7"/>
      <c r="F433" s="340">
        <v>532170</v>
      </c>
      <c r="G433" s="6" t="s">
        <v>1535</v>
      </c>
      <c r="H433" s="17">
        <v>29594.9</v>
      </c>
      <c r="I433" s="39" t="s">
        <v>3606</v>
      </c>
      <c r="J433" s="18">
        <v>38982</v>
      </c>
      <c r="K433" s="331">
        <v>46</v>
      </c>
      <c r="L433" s="348">
        <f>+J433+K433</f>
        <v>39028</v>
      </c>
      <c r="M433" s="18" t="s">
        <v>280</v>
      </c>
      <c r="N433" s="6" t="s">
        <v>42</v>
      </c>
      <c r="O433" s="18">
        <v>39020</v>
      </c>
      <c r="P433" s="331">
        <f>IF(S433="","",+S433-L433)</f>
        <v>3</v>
      </c>
      <c r="Q433" s="331"/>
      <c r="R433" s="331"/>
      <c r="S433" s="349">
        <v>39031</v>
      </c>
      <c r="T433" s="18">
        <v>39048</v>
      </c>
      <c r="U433" s="331">
        <f>IF(T433="","",+T433-J433)</f>
        <v>66</v>
      </c>
      <c r="V433" s="6" t="s">
        <v>3631</v>
      </c>
      <c r="W433" s="47" t="s">
        <v>3632</v>
      </c>
      <c r="X433" s="59"/>
      <c r="Y433" s="177"/>
      <c r="Z433" s="6"/>
      <c r="AA433" s="7" t="s">
        <v>47</v>
      </c>
      <c r="AB433" s="7" t="s">
        <v>47</v>
      </c>
      <c r="AC433" s="538"/>
      <c r="AD433" s="330"/>
    </row>
    <row r="434" spans="1:39" s="9" customFormat="1" ht="12" thickBot="1" x14ac:dyDescent="0.25">
      <c r="A434" s="328"/>
      <c r="B434" s="19"/>
      <c r="C434" s="19"/>
      <c r="D434" s="5"/>
      <c r="E434" s="5"/>
      <c r="F434" s="5"/>
      <c r="G434" s="5"/>
      <c r="H434" s="105"/>
      <c r="I434" s="21" t="s">
        <v>3557</v>
      </c>
      <c r="J434" s="27"/>
      <c r="K434" s="27"/>
      <c r="L434" s="187"/>
      <c r="M434" s="5"/>
      <c r="N434" s="5"/>
      <c r="O434" s="187"/>
      <c r="P434" s="5"/>
      <c r="Q434" s="5"/>
      <c r="R434" s="5"/>
      <c r="S434" s="27" t="s">
        <v>3633</v>
      </c>
      <c r="T434" s="187"/>
      <c r="U434" s="5"/>
      <c r="V434" s="224" t="s">
        <v>1102</v>
      </c>
      <c r="W434" s="36"/>
      <c r="X434" s="61"/>
      <c r="Y434" s="182"/>
      <c r="Z434" s="5"/>
      <c r="AA434" s="27"/>
      <c r="AB434" s="27"/>
      <c r="AC434" s="539"/>
      <c r="AD434" s="330"/>
    </row>
    <row r="435" spans="1:39" s="9" customFormat="1" x14ac:dyDescent="0.2">
      <c r="A435" s="328"/>
      <c r="B435" s="11"/>
      <c r="C435" s="11"/>
      <c r="D435" s="91"/>
      <c r="E435" s="91"/>
      <c r="F435" s="12"/>
      <c r="G435" s="12"/>
      <c r="H435" s="13"/>
      <c r="I435" s="13"/>
      <c r="J435" s="91"/>
      <c r="K435" s="91"/>
      <c r="L435" s="403"/>
      <c r="M435" s="12"/>
      <c r="N435" s="12"/>
      <c r="O435" s="189"/>
      <c r="P435" s="91"/>
      <c r="Q435" s="91"/>
      <c r="R435" s="91"/>
      <c r="S435" s="91" t="s">
        <v>3634</v>
      </c>
      <c r="T435" s="189"/>
      <c r="U435" s="91"/>
      <c r="V435" s="244" t="s">
        <v>3538</v>
      </c>
      <c r="W435" s="34"/>
      <c r="X435" s="57"/>
      <c r="Y435" s="200"/>
      <c r="Z435" s="12"/>
      <c r="AA435" s="12"/>
      <c r="AB435" s="12"/>
      <c r="AC435" s="1648" t="s">
        <v>3635</v>
      </c>
      <c r="AD435" s="28"/>
    </row>
    <row r="436" spans="1:39" s="9" customFormat="1" x14ac:dyDescent="0.2">
      <c r="A436" s="328"/>
      <c r="B436" s="16" t="s">
        <v>78</v>
      </c>
      <c r="C436" s="16" t="s">
        <v>3165</v>
      </c>
      <c r="D436" s="7" t="s">
        <v>3630</v>
      </c>
      <c r="E436" s="7"/>
      <c r="F436" s="340">
        <v>532197</v>
      </c>
      <c r="G436" s="6" t="s">
        <v>1535</v>
      </c>
      <c r="H436" s="17">
        <v>63995</v>
      </c>
      <c r="I436" s="39" t="s">
        <v>3606</v>
      </c>
      <c r="J436" s="18">
        <v>38982</v>
      </c>
      <c r="K436" s="331">
        <v>76</v>
      </c>
      <c r="L436" s="348">
        <f>+J436+K436</f>
        <v>39058</v>
      </c>
      <c r="M436" s="18" t="s">
        <v>124</v>
      </c>
      <c r="N436" s="6" t="s">
        <v>42</v>
      </c>
      <c r="O436" s="18">
        <v>39051</v>
      </c>
      <c r="P436" s="331">
        <f>IF(S436="","",+S436-L436)</f>
        <v>5</v>
      </c>
      <c r="Q436" s="331"/>
      <c r="R436" s="331"/>
      <c r="S436" s="349">
        <v>39063</v>
      </c>
      <c r="T436" s="18">
        <v>39091</v>
      </c>
      <c r="U436" s="331">
        <f>IF(T436="","",+T436-J436)</f>
        <v>109</v>
      </c>
      <c r="V436" s="6" t="s">
        <v>53</v>
      </c>
      <c r="W436" s="47">
        <v>177</v>
      </c>
      <c r="X436" s="59"/>
      <c r="Y436" s="177"/>
      <c r="Z436" s="6"/>
      <c r="AA436" s="7" t="s">
        <v>211</v>
      </c>
      <c r="AB436" s="7" t="s">
        <v>47</v>
      </c>
      <c r="AC436" s="1649"/>
      <c r="AD436" s="205" t="str">
        <f>IF(S436&lt;=L436,"en término","atrasado")</f>
        <v>atrasado</v>
      </c>
    </row>
    <row r="437" spans="1:39" s="9" customFormat="1" x14ac:dyDescent="0.2">
      <c r="A437" s="328"/>
      <c r="B437" s="16"/>
      <c r="C437" s="16"/>
      <c r="D437" s="7"/>
      <c r="E437" s="7"/>
      <c r="F437" s="340"/>
      <c r="G437" s="6"/>
      <c r="H437" s="17"/>
      <c r="I437" s="39" t="s">
        <v>3557</v>
      </c>
      <c r="J437" s="18"/>
      <c r="K437" s="331"/>
      <c r="L437" s="348"/>
      <c r="M437" s="18"/>
      <c r="N437" s="6"/>
      <c r="O437" s="18"/>
      <c r="P437" s="331"/>
      <c r="Q437" s="331"/>
      <c r="R437" s="331"/>
      <c r="S437" s="349"/>
      <c r="T437" s="18"/>
      <c r="U437" s="331"/>
      <c r="V437" s="6"/>
      <c r="W437" s="47"/>
      <c r="X437" s="59"/>
      <c r="Y437" s="177"/>
      <c r="Z437" s="6">
        <v>6619840194</v>
      </c>
      <c r="AA437" s="7">
        <v>39084</v>
      </c>
      <c r="AB437" s="7">
        <v>39077</v>
      </c>
      <c r="AC437" s="1649"/>
      <c r="AD437" s="28"/>
    </row>
    <row r="438" spans="1:39" s="9" customFormat="1" ht="10.5" customHeight="1" thickBot="1" x14ac:dyDescent="0.25">
      <c r="A438" s="328"/>
      <c r="B438" s="400" t="s">
        <v>3636</v>
      </c>
      <c r="C438" s="19"/>
      <c r="D438" s="5"/>
      <c r="E438" s="5"/>
      <c r="F438" s="5"/>
      <c r="G438" s="5"/>
      <c r="H438" s="105"/>
      <c r="I438" s="21"/>
      <c r="J438" s="27"/>
      <c r="K438" s="27"/>
      <c r="L438" s="187"/>
      <c r="M438" s="5"/>
      <c r="N438" s="5"/>
      <c r="O438" s="187"/>
      <c r="P438" s="5"/>
      <c r="Q438" s="5"/>
      <c r="R438" s="5"/>
      <c r="S438" s="27"/>
      <c r="T438" s="187"/>
      <c r="U438" s="5"/>
      <c r="V438" s="224"/>
      <c r="W438" s="36"/>
      <c r="X438" s="61"/>
      <c r="Y438" s="182"/>
      <c r="Z438" s="5"/>
      <c r="AA438" s="27" t="s">
        <v>3637</v>
      </c>
      <c r="AB438" s="27"/>
      <c r="AC438" s="1650"/>
      <c r="AD438" s="28"/>
    </row>
    <row r="441" spans="1:39" ht="12.75" x14ac:dyDescent="0.2">
      <c r="AA441" s="1">
        <v>2006</v>
      </c>
      <c r="AB441" s="1047"/>
    </row>
    <row r="442" spans="1:39" ht="12.75" x14ac:dyDescent="0.2">
      <c r="AA442" s="945" t="s">
        <v>813</v>
      </c>
      <c r="AB442" s="1048">
        <f>COUNTA(AD411:AD436)</f>
        <v>5</v>
      </c>
    </row>
    <row r="443" spans="1:39" ht="12.75" x14ac:dyDescent="0.2">
      <c r="AA443" s="945" t="s">
        <v>815</v>
      </c>
      <c r="AB443" s="1048">
        <f>COUNTIF(AD411:AD439,"en término")</f>
        <v>3</v>
      </c>
    </row>
    <row r="444" spans="1:39" ht="12.75" x14ac:dyDescent="0.2">
      <c r="AA444" s="945" t="s">
        <v>817</v>
      </c>
      <c r="AB444" s="557">
        <f>+AB443/AB442</f>
        <v>0.6</v>
      </c>
    </row>
    <row r="445" spans="1:39" x14ac:dyDescent="0.2">
      <c r="AC445" s="310"/>
    </row>
    <row r="446" spans="1:39" ht="12" thickBot="1" x14ac:dyDescent="0.25">
      <c r="AC446" s="310"/>
    </row>
    <row r="447" spans="1:39" s="556" customFormat="1" ht="39.950000000000003" customHeight="1" thickBot="1" x14ac:dyDescent="0.4">
      <c r="B447" s="1611">
        <v>2007</v>
      </c>
      <c r="C447" s="1612"/>
      <c r="D447" s="1612"/>
      <c r="E447" s="1612"/>
      <c r="F447" s="1612"/>
      <c r="G447" s="1612"/>
      <c r="H447" s="1612"/>
      <c r="I447" s="1612"/>
      <c r="J447" s="1612"/>
      <c r="K447" s="1612"/>
      <c r="L447" s="1612"/>
      <c r="M447" s="1612"/>
      <c r="N447" s="1612"/>
      <c r="O447" s="1612"/>
      <c r="P447" s="1612"/>
      <c r="Q447" s="1612"/>
      <c r="R447" s="1612"/>
      <c r="S447" s="1612"/>
      <c r="T447" s="1612"/>
      <c r="U447" s="1612"/>
      <c r="V447" s="1612"/>
      <c r="W447" s="1612"/>
      <c r="X447" s="1612"/>
      <c r="Y447" s="1612"/>
      <c r="Z447" s="1612"/>
      <c r="AA447" s="1612"/>
      <c r="AB447" s="1612"/>
      <c r="AC447" s="1613"/>
      <c r="AD447" s="555"/>
    </row>
    <row r="448" spans="1:39" s="441" customFormat="1" ht="60" customHeight="1" thickBot="1" x14ac:dyDescent="0.25">
      <c r="A448" s="438"/>
      <c r="B448" s="451" t="s">
        <v>130</v>
      </c>
      <c r="C448" s="451" t="s">
        <v>4</v>
      </c>
      <c r="D448" s="451" t="s">
        <v>5</v>
      </c>
      <c r="E448" s="451" t="s">
        <v>6</v>
      </c>
      <c r="F448" s="451" t="s">
        <v>7</v>
      </c>
      <c r="G448" s="451" t="s">
        <v>8</v>
      </c>
      <c r="H448" s="453" t="s">
        <v>9</v>
      </c>
      <c r="I448" s="453" t="s">
        <v>10</v>
      </c>
      <c r="J448" s="451" t="s">
        <v>11</v>
      </c>
      <c r="K448" s="451" t="s">
        <v>12</v>
      </c>
      <c r="L448" s="451" t="s">
        <v>13</v>
      </c>
      <c r="M448" s="451" t="s">
        <v>14</v>
      </c>
      <c r="N448" s="451" t="s">
        <v>15</v>
      </c>
      <c r="O448" s="452" t="s">
        <v>16</v>
      </c>
      <c r="P448" s="454" t="s">
        <v>17</v>
      </c>
      <c r="Q448" s="451" t="s">
        <v>18</v>
      </c>
      <c r="R448" s="452" t="s">
        <v>19</v>
      </c>
      <c r="S448" s="451" t="s">
        <v>20</v>
      </c>
      <c r="T448" s="451" t="s">
        <v>21</v>
      </c>
      <c r="U448" s="452" t="s">
        <v>22</v>
      </c>
      <c r="V448" s="451" t="s">
        <v>131</v>
      </c>
      <c r="W448" s="451" t="s">
        <v>24</v>
      </c>
      <c r="X448" s="451" t="s">
        <v>132</v>
      </c>
      <c r="Y448" s="451" t="s">
        <v>26</v>
      </c>
      <c r="Z448" s="451" t="s">
        <v>27</v>
      </c>
      <c r="AA448" s="451" t="s">
        <v>28</v>
      </c>
      <c r="AB448" s="451" t="s">
        <v>29</v>
      </c>
      <c r="AC448" s="451" t="s">
        <v>30</v>
      </c>
      <c r="AD448" s="439"/>
      <c r="AE448" s="440"/>
      <c r="AF448" s="440"/>
      <c r="AG448" s="440"/>
      <c r="AH448" s="440"/>
      <c r="AI448" s="440"/>
      <c r="AJ448" s="440"/>
      <c r="AK448" s="440"/>
      <c r="AL448" s="440"/>
      <c r="AM448" s="440"/>
    </row>
    <row r="449" spans="1:39" s="9" customFormat="1" ht="54.95" customHeight="1" thickBot="1" x14ac:dyDescent="0.25">
      <c r="A449" s="328"/>
      <c r="B449" s="455" t="s">
        <v>78</v>
      </c>
      <c r="C449" s="455" t="s">
        <v>79</v>
      </c>
      <c r="D449" s="456" t="s">
        <v>3638</v>
      </c>
      <c r="E449" s="456"/>
      <c r="F449" s="457" t="s">
        <v>3639</v>
      </c>
      <c r="G449" s="457" t="s">
        <v>1535</v>
      </c>
      <c r="H449" s="458">
        <v>906</v>
      </c>
      <c r="I449" s="459" t="s">
        <v>83</v>
      </c>
      <c r="J449" s="460">
        <v>39162</v>
      </c>
      <c r="K449" s="461">
        <v>30</v>
      </c>
      <c r="L449" s="462">
        <f>+J449+K449</f>
        <v>39192</v>
      </c>
      <c r="M449" s="460" t="s">
        <v>124</v>
      </c>
      <c r="N449" s="457" t="s">
        <v>110</v>
      </c>
      <c r="O449" s="460">
        <v>39182</v>
      </c>
      <c r="P449" s="461">
        <f>IF(S449="","",+S449-L449)</f>
        <v>3</v>
      </c>
      <c r="Q449" s="461"/>
      <c r="R449" s="461"/>
      <c r="S449" s="471">
        <v>39195</v>
      </c>
      <c r="T449" s="460">
        <v>39198</v>
      </c>
      <c r="U449" s="461">
        <f>IF(T449="","",+T449-J449)</f>
        <v>36</v>
      </c>
      <c r="V449" s="457" t="s">
        <v>2087</v>
      </c>
      <c r="W449" s="472">
        <v>210</v>
      </c>
      <c r="X449" s="467"/>
      <c r="Y449" s="467"/>
      <c r="Z449" s="457">
        <v>6631322891</v>
      </c>
      <c r="AA449" s="456" t="s">
        <v>3640</v>
      </c>
      <c r="AB449" s="456" t="s">
        <v>3641</v>
      </c>
      <c r="AC449" s="456"/>
      <c r="AD449" s="205" t="str">
        <f>IF(S449&lt;=L449,"en término","atrasado")</f>
        <v>atrasado</v>
      </c>
    </row>
    <row r="450" spans="1:39" s="9" customFormat="1" ht="54.95" customHeight="1" thickBot="1" x14ac:dyDescent="0.25">
      <c r="A450" s="328"/>
      <c r="B450" s="455" t="s">
        <v>78</v>
      </c>
      <c r="C450" s="455" t="s">
        <v>79</v>
      </c>
      <c r="D450" s="456" t="s">
        <v>3638</v>
      </c>
      <c r="E450" s="456"/>
      <c r="F450" s="457" t="s">
        <v>3642</v>
      </c>
      <c r="G450" s="457" t="s">
        <v>1535</v>
      </c>
      <c r="H450" s="458">
        <v>1102</v>
      </c>
      <c r="I450" s="459" t="s">
        <v>83</v>
      </c>
      <c r="J450" s="460">
        <v>39163</v>
      </c>
      <c r="K450" s="461">
        <v>35</v>
      </c>
      <c r="L450" s="462">
        <f>+J450+K450</f>
        <v>39198</v>
      </c>
      <c r="M450" s="460" t="s">
        <v>124</v>
      </c>
      <c r="N450" s="457" t="s">
        <v>110</v>
      </c>
      <c r="O450" s="460">
        <v>39197</v>
      </c>
      <c r="P450" s="461">
        <f>IF(S450="","",+S450-L450)</f>
        <v>4</v>
      </c>
      <c r="Q450" s="461"/>
      <c r="R450" s="461"/>
      <c r="S450" s="471">
        <v>39202</v>
      </c>
      <c r="T450" s="460">
        <v>39206</v>
      </c>
      <c r="U450" s="461">
        <f>IF(T450="","",+T450-J450)</f>
        <v>43</v>
      </c>
      <c r="V450" s="457" t="s">
        <v>3643</v>
      </c>
      <c r="W450" s="472" t="s">
        <v>3644</v>
      </c>
      <c r="X450" s="467"/>
      <c r="Y450" s="467"/>
      <c r="Z450" s="457" t="s">
        <v>1676</v>
      </c>
      <c r="AA450" s="456" t="s">
        <v>3645</v>
      </c>
      <c r="AB450" s="456" t="s">
        <v>3641</v>
      </c>
      <c r="AC450" s="456"/>
      <c r="AD450" s="330"/>
    </row>
    <row r="451" spans="1:39" s="9" customFormat="1" ht="54.95" customHeight="1" thickBot="1" x14ac:dyDescent="0.25">
      <c r="A451" s="328"/>
      <c r="B451" s="455" t="s">
        <v>78</v>
      </c>
      <c r="C451" s="455" t="s">
        <v>79</v>
      </c>
      <c r="D451" s="456" t="s">
        <v>3638</v>
      </c>
      <c r="E451" s="456"/>
      <c r="F451" s="457" t="s">
        <v>3642</v>
      </c>
      <c r="G451" s="457" t="s">
        <v>1535</v>
      </c>
      <c r="H451" s="458">
        <v>3661.2</v>
      </c>
      <c r="I451" s="459" t="s">
        <v>83</v>
      </c>
      <c r="J451" s="460">
        <v>39163</v>
      </c>
      <c r="K451" s="461">
        <v>112</v>
      </c>
      <c r="L451" s="462">
        <f>+J451+K451</f>
        <v>39275</v>
      </c>
      <c r="M451" s="460" t="s">
        <v>124</v>
      </c>
      <c r="N451" s="457" t="s">
        <v>110</v>
      </c>
      <c r="O451" s="460">
        <v>39276</v>
      </c>
      <c r="P451" s="461">
        <f>IF(S451="","",+S451-L451)</f>
        <v>6</v>
      </c>
      <c r="Q451" s="461"/>
      <c r="R451" s="461"/>
      <c r="S451" s="471">
        <v>39281</v>
      </c>
      <c r="T451" s="460">
        <v>39285</v>
      </c>
      <c r="U451" s="461">
        <f>IF(T451="","",+T451-J451)</f>
        <v>122</v>
      </c>
      <c r="V451" s="457" t="s">
        <v>3646</v>
      </c>
      <c r="W451" s="472" t="s">
        <v>3647</v>
      </c>
      <c r="X451" s="467"/>
      <c r="Y451" s="467"/>
      <c r="Z451" s="457" t="s">
        <v>1676</v>
      </c>
      <c r="AA451" s="456" t="s">
        <v>47</v>
      </c>
      <c r="AB451" s="456" t="s">
        <v>3648</v>
      </c>
      <c r="AC451" s="456"/>
      <c r="AD451" s="330"/>
    </row>
    <row r="453" spans="1:39" ht="12.75" x14ac:dyDescent="0.2">
      <c r="AA453" s="1047"/>
      <c r="AB453" s="1047"/>
    </row>
    <row r="454" spans="1:39" ht="12.75" x14ac:dyDescent="0.2">
      <c r="AA454" s="1">
        <v>2007</v>
      </c>
      <c r="AB454" s="1047"/>
    </row>
    <row r="455" spans="1:39" ht="12.75" x14ac:dyDescent="0.2">
      <c r="AA455" s="945" t="s">
        <v>813</v>
      </c>
      <c r="AB455" s="1048">
        <f>COUNTA(AD449:AD449)</f>
        <v>1</v>
      </c>
    </row>
    <row r="456" spans="1:39" ht="12.75" x14ac:dyDescent="0.2">
      <c r="AA456" s="945" t="s">
        <v>815</v>
      </c>
      <c r="AB456" s="1048">
        <f>COUNTIF(AD447:AD449,"en término")</f>
        <v>0</v>
      </c>
    </row>
    <row r="457" spans="1:39" ht="12.75" x14ac:dyDescent="0.2">
      <c r="AA457" s="945" t="s">
        <v>817</v>
      </c>
      <c r="AB457" s="557">
        <f>+AB456/AB455</f>
        <v>0</v>
      </c>
    </row>
    <row r="459" spans="1:39" ht="12" thickBot="1" x14ac:dyDescent="0.25"/>
    <row r="460" spans="1:39" s="556" customFormat="1" ht="39.950000000000003" customHeight="1" thickBot="1" x14ac:dyDescent="0.4">
      <c r="B460" s="1611">
        <v>2008</v>
      </c>
      <c r="C460" s="1612"/>
      <c r="D460" s="1612"/>
      <c r="E460" s="1612"/>
      <c r="F460" s="1612"/>
      <c r="G460" s="1612"/>
      <c r="H460" s="1612"/>
      <c r="I460" s="1612"/>
      <c r="J460" s="1612"/>
      <c r="K460" s="1612"/>
      <c r="L460" s="1612"/>
      <c r="M460" s="1612"/>
      <c r="N460" s="1612"/>
      <c r="O460" s="1612"/>
      <c r="P460" s="1612"/>
      <c r="Q460" s="1612"/>
      <c r="R460" s="1612"/>
      <c r="S460" s="1612"/>
      <c r="T460" s="1612"/>
      <c r="U460" s="1612"/>
      <c r="V460" s="1612"/>
      <c r="W460" s="1612"/>
      <c r="X460" s="1612"/>
      <c r="Y460" s="1612"/>
      <c r="Z460" s="1612"/>
      <c r="AA460" s="1612"/>
      <c r="AB460" s="1612"/>
      <c r="AC460" s="1613"/>
      <c r="AD460" s="555"/>
    </row>
    <row r="461" spans="1:39" s="441" customFormat="1" ht="60" customHeight="1" thickBot="1" x14ac:dyDescent="0.25">
      <c r="A461" s="438"/>
      <c r="B461" s="451" t="s">
        <v>130</v>
      </c>
      <c r="C461" s="451" t="s">
        <v>4</v>
      </c>
      <c r="D461" s="451" t="s">
        <v>5</v>
      </c>
      <c r="E461" s="451" t="s">
        <v>6</v>
      </c>
      <c r="F461" s="451" t="s">
        <v>7</v>
      </c>
      <c r="G461" s="451" t="s">
        <v>8</v>
      </c>
      <c r="H461" s="453" t="s">
        <v>9</v>
      </c>
      <c r="I461" s="453" t="s">
        <v>10</v>
      </c>
      <c r="J461" s="451" t="s">
        <v>11</v>
      </c>
      <c r="K461" s="451" t="s">
        <v>12</v>
      </c>
      <c r="L461" s="451" t="s">
        <v>13</v>
      </c>
      <c r="M461" s="451" t="s">
        <v>14</v>
      </c>
      <c r="N461" s="451" t="s">
        <v>15</v>
      </c>
      <c r="O461" s="452" t="s">
        <v>16</v>
      </c>
      <c r="P461" s="454" t="s">
        <v>17</v>
      </c>
      <c r="Q461" s="451" t="s">
        <v>18</v>
      </c>
      <c r="R461" s="452" t="s">
        <v>19</v>
      </c>
      <c r="S461" s="451" t="s">
        <v>20</v>
      </c>
      <c r="T461" s="451" t="s">
        <v>21</v>
      </c>
      <c r="U461" s="452" t="s">
        <v>22</v>
      </c>
      <c r="V461" s="451" t="s">
        <v>131</v>
      </c>
      <c r="W461" s="451" t="s">
        <v>24</v>
      </c>
      <c r="X461" s="451" t="s">
        <v>132</v>
      </c>
      <c r="Y461" s="451" t="s">
        <v>26</v>
      </c>
      <c r="Z461" s="451" t="s">
        <v>27</v>
      </c>
      <c r="AA461" s="451" t="s">
        <v>28</v>
      </c>
      <c r="AB461" s="451" t="s">
        <v>29</v>
      </c>
      <c r="AC461" s="451" t="s">
        <v>30</v>
      </c>
      <c r="AD461" s="439"/>
      <c r="AE461" s="440"/>
      <c r="AF461" s="440"/>
      <c r="AG461" s="440"/>
      <c r="AH461" s="440"/>
      <c r="AI461" s="440"/>
      <c r="AJ461" s="440"/>
      <c r="AK461" s="440"/>
      <c r="AL461" s="440"/>
      <c r="AM461" s="440"/>
    </row>
    <row r="462" spans="1:39" s="587" customFormat="1" ht="54.95" customHeight="1" thickBot="1" x14ac:dyDescent="0.25">
      <c r="A462" s="584"/>
      <c r="B462" s="585" t="s">
        <v>78</v>
      </c>
      <c r="C462" s="455" t="s">
        <v>3649</v>
      </c>
      <c r="D462" s="456" t="s">
        <v>3650</v>
      </c>
      <c r="E462" s="456"/>
      <c r="F462" s="457" t="s">
        <v>3651</v>
      </c>
      <c r="G462" s="457" t="s">
        <v>1535</v>
      </c>
      <c r="H462" s="458">
        <v>9350</v>
      </c>
      <c r="I462" s="611" t="s">
        <v>3557</v>
      </c>
      <c r="J462" s="460">
        <v>39567</v>
      </c>
      <c r="K462" s="461">
        <v>30</v>
      </c>
      <c r="L462" s="462">
        <f t="shared" ref="L462:L467" si="0">+J462+K462</f>
        <v>39597</v>
      </c>
      <c r="M462" s="611" t="s">
        <v>124</v>
      </c>
      <c r="N462" s="468" t="s">
        <v>110</v>
      </c>
      <c r="O462" s="460">
        <v>39578</v>
      </c>
      <c r="P462" s="461">
        <f t="shared" ref="P462:P467" si="1">IF(S462="","",+S462-L462)</f>
        <v>-7</v>
      </c>
      <c r="Q462" s="461"/>
      <c r="R462" s="460"/>
      <c r="S462" s="471">
        <v>39590</v>
      </c>
      <c r="T462" s="471">
        <f>+S462+15</f>
        <v>39605</v>
      </c>
      <c r="U462" s="461"/>
      <c r="V462" s="468" t="s">
        <v>3652</v>
      </c>
      <c r="W462" s="457">
        <v>317</v>
      </c>
      <c r="X462" s="592"/>
      <c r="Y462" s="467"/>
      <c r="Z462" s="457">
        <v>6510425773</v>
      </c>
      <c r="AA462" s="456" t="s">
        <v>3653</v>
      </c>
      <c r="AB462" s="460" t="s">
        <v>3654</v>
      </c>
      <c r="AC462" s="470" t="s">
        <v>3655</v>
      </c>
      <c r="AD462" s="645" t="str">
        <f t="shared" ref="AD462:AD467" si="2">IF(P462="","",IF(P462&lt;=0,"en término","atrasado"))</f>
        <v>en término</v>
      </c>
      <c r="AE462" s="412"/>
    </row>
    <row r="463" spans="1:39" s="587" customFormat="1" ht="54.95" customHeight="1" thickBot="1" x14ac:dyDescent="0.25">
      <c r="A463" s="584"/>
      <c r="B463" s="585" t="s">
        <v>78</v>
      </c>
      <c r="C463" s="455" t="s">
        <v>3165</v>
      </c>
      <c r="D463" s="456" t="s">
        <v>3656</v>
      </c>
      <c r="E463" s="456"/>
      <c r="F463" s="457">
        <v>547765</v>
      </c>
      <c r="G463" s="457" t="s">
        <v>1535</v>
      </c>
      <c r="H463" s="458">
        <v>190609.7</v>
      </c>
      <c r="I463" s="611" t="s">
        <v>3657</v>
      </c>
      <c r="J463" s="460">
        <v>39562</v>
      </c>
      <c r="K463" s="461">
        <v>64</v>
      </c>
      <c r="L463" s="462">
        <f t="shared" si="0"/>
        <v>39626</v>
      </c>
      <c r="M463" s="611" t="s">
        <v>124</v>
      </c>
      <c r="N463" s="468" t="s">
        <v>1750</v>
      </c>
      <c r="O463" s="460">
        <v>39623</v>
      </c>
      <c r="P463" s="461">
        <v>0</v>
      </c>
      <c r="Q463" s="461" t="s">
        <v>3658</v>
      </c>
      <c r="R463" s="460">
        <v>39625</v>
      </c>
      <c r="S463" s="471">
        <v>39641</v>
      </c>
      <c r="T463" s="471">
        <f>+S463+20</f>
        <v>39661</v>
      </c>
      <c r="U463" s="461">
        <f t="shared" ref="U463:U468" si="3">IF(T463="","",+T463-J463)</f>
        <v>99</v>
      </c>
      <c r="V463" s="468" t="s">
        <v>3659</v>
      </c>
      <c r="W463" s="457">
        <v>332</v>
      </c>
      <c r="X463" s="592"/>
      <c r="Y463" s="467"/>
      <c r="Z463" s="457">
        <v>6510425751</v>
      </c>
      <c r="AA463" s="456" t="s">
        <v>47</v>
      </c>
      <c r="AB463" s="460" t="s">
        <v>3660</v>
      </c>
      <c r="AC463" s="470" t="s">
        <v>3661</v>
      </c>
      <c r="AD463" s="645" t="str">
        <f t="shared" si="2"/>
        <v>en término</v>
      </c>
      <c r="AE463" s="412"/>
    </row>
    <row r="464" spans="1:39" s="587" customFormat="1" ht="54.95" customHeight="1" thickBot="1" x14ac:dyDescent="0.25">
      <c r="A464" s="584"/>
      <c r="B464" s="585" t="s">
        <v>78</v>
      </c>
      <c r="C464" s="455" t="s">
        <v>3649</v>
      </c>
      <c r="D464" s="456" t="s">
        <v>3650</v>
      </c>
      <c r="E464" s="456"/>
      <c r="F464" s="457" t="s">
        <v>3651</v>
      </c>
      <c r="G464" s="457" t="s">
        <v>1535</v>
      </c>
      <c r="H464" s="458">
        <f>2820+170</f>
        <v>2990</v>
      </c>
      <c r="I464" s="611" t="s">
        <v>3557</v>
      </c>
      <c r="J464" s="460">
        <v>39567</v>
      </c>
      <c r="K464" s="461">
        <v>30</v>
      </c>
      <c r="L464" s="462">
        <f t="shared" si="0"/>
        <v>39597</v>
      </c>
      <c r="M464" s="611" t="s">
        <v>124</v>
      </c>
      <c r="N464" s="468" t="s">
        <v>656</v>
      </c>
      <c r="O464" s="460">
        <v>39626</v>
      </c>
      <c r="P464" s="461">
        <f t="shared" si="1"/>
        <v>40</v>
      </c>
      <c r="Q464" s="461"/>
      <c r="R464" s="460">
        <v>39633</v>
      </c>
      <c r="S464" s="471">
        <v>39637</v>
      </c>
      <c r="T464" s="471">
        <f>+S464+15</f>
        <v>39652</v>
      </c>
      <c r="U464" s="461">
        <f t="shared" si="3"/>
        <v>85</v>
      </c>
      <c r="V464" s="468" t="s">
        <v>3662</v>
      </c>
      <c r="W464" s="457">
        <v>333</v>
      </c>
      <c r="X464" s="592"/>
      <c r="Y464" s="467"/>
      <c r="Z464" s="468" t="s">
        <v>3663</v>
      </c>
      <c r="AA464" s="456" t="s">
        <v>47</v>
      </c>
      <c r="AB464" s="460" t="s">
        <v>3664</v>
      </c>
      <c r="AC464" s="470" t="s">
        <v>3665</v>
      </c>
      <c r="AD464" s="645" t="str">
        <f t="shared" si="2"/>
        <v>atrasado</v>
      </c>
    </row>
    <row r="465" spans="1:39" s="587" customFormat="1" ht="54.95" customHeight="1" thickBot="1" x14ac:dyDescent="0.25">
      <c r="A465" s="584"/>
      <c r="B465" s="1042" t="s">
        <v>78</v>
      </c>
      <c r="C465" s="1043" t="s">
        <v>3649</v>
      </c>
      <c r="D465" s="1044" t="s">
        <v>3666</v>
      </c>
      <c r="E465" s="1044"/>
      <c r="F465" s="1028" t="s">
        <v>3667</v>
      </c>
      <c r="G465" s="1028" t="s">
        <v>1535</v>
      </c>
      <c r="H465" s="1029">
        <v>9900</v>
      </c>
      <c r="I465" s="640" t="s">
        <v>3557</v>
      </c>
      <c r="J465" s="1032">
        <v>39598</v>
      </c>
      <c r="K465" s="1041">
        <v>35</v>
      </c>
      <c r="L465" s="641">
        <f t="shared" si="0"/>
        <v>39633</v>
      </c>
      <c r="M465" s="640" t="s">
        <v>124</v>
      </c>
      <c r="N465" s="446" t="s">
        <v>656</v>
      </c>
      <c r="O465" s="1032">
        <v>39626</v>
      </c>
      <c r="P465" s="1041">
        <f t="shared" si="1"/>
        <v>4</v>
      </c>
      <c r="Q465" s="1041"/>
      <c r="R465" s="1032">
        <v>39633</v>
      </c>
      <c r="S465" s="642">
        <v>39637</v>
      </c>
      <c r="T465" s="642">
        <f>+S465+15</f>
        <v>39652</v>
      </c>
      <c r="U465" s="1041">
        <f t="shared" si="3"/>
        <v>54</v>
      </c>
      <c r="V465" s="446" t="s">
        <v>3668</v>
      </c>
      <c r="W465" s="1028">
        <v>333</v>
      </c>
      <c r="X465" s="1037"/>
      <c r="Y465" s="643"/>
      <c r="Z465" s="446" t="s">
        <v>3663</v>
      </c>
      <c r="AA465" s="1044" t="s">
        <v>47</v>
      </c>
      <c r="AB465" s="460" t="s">
        <v>3664</v>
      </c>
      <c r="AC465" s="644" t="s">
        <v>3665</v>
      </c>
      <c r="AD465" s="645" t="str">
        <f t="shared" si="2"/>
        <v>atrasado</v>
      </c>
    </row>
    <row r="466" spans="1:39" s="587" customFormat="1" ht="54.95" customHeight="1" thickBot="1" x14ac:dyDescent="0.25">
      <c r="A466" s="584"/>
      <c r="B466" s="585" t="s">
        <v>78</v>
      </c>
      <c r="C466" s="455" t="s">
        <v>79</v>
      </c>
      <c r="D466" s="456" t="s">
        <v>3669</v>
      </c>
      <c r="E466" s="456"/>
      <c r="F466" s="457" t="s">
        <v>3670</v>
      </c>
      <c r="G466" s="457" t="s">
        <v>1535</v>
      </c>
      <c r="H466" s="458">
        <v>7882</v>
      </c>
      <c r="I466" s="611" t="s">
        <v>3557</v>
      </c>
      <c r="J466" s="460">
        <v>39693</v>
      </c>
      <c r="K466" s="461">
        <v>45</v>
      </c>
      <c r="L466" s="462">
        <f t="shared" si="0"/>
        <v>39738</v>
      </c>
      <c r="M466" s="611" t="s">
        <v>124</v>
      </c>
      <c r="N466" s="468" t="s">
        <v>656</v>
      </c>
      <c r="O466" s="460">
        <v>39703</v>
      </c>
      <c r="P466" s="461">
        <f t="shared" si="1"/>
        <v>-27</v>
      </c>
      <c r="Q466" s="461"/>
      <c r="R466" s="460">
        <v>39710</v>
      </c>
      <c r="S466" s="471">
        <v>39711</v>
      </c>
      <c r="T466" s="471">
        <v>39713</v>
      </c>
      <c r="U466" s="461">
        <f t="shared" si="3"/>
        <v>20</v>
      </c>
      <c r="V466" s="468" t="s">
        <v>3671</v>
      </c>
      <c r="W466" s="457">
        <v>352</v>
      </c>
      <c r="X466" s="592"/>
      <c r="Y466" s="467"/>
      <c r="Z466" s="468" t="s">
        <v>3672</v>
      </c>
      <c r="AA466" s="456"/>
      <c r="AB466" s="460" t="s">
        <v>3673</v>
      </c>
      <c r="AC466" s="470"/>
      <c r="AD466" s="645" t="str">
        <f t="shared" si="2"/>
        <v>en término</v>
      </c>
      <c r="AE466" s="412"/>
    </row>
    <row r="467" spans="1:39" s="587" customFormat="1" ht="54.95" customHeight="1" thickBot="1" x14ac:dyDescent="0.25">
      <c r="A467" s="584"/>
      <c r="B467" s="455" t="s">
        <v>78</v>
      </c>
      <c r="C467" s="455" t="s">
        <v>79</v>
      </c>
      <c r="D467" s="456" t="s">
        <v>3674</v>
      </c>
      <c r="E467" s="456"/>
      <c r="F467" s="457" t="s">
        <v>3675</v>
      </c>
      <c r="G467" s="457" t="s">
        <v>1535</v>
      </c>
      <c r="H467" s="458">
        <v>10284</v>
      </c>
      <c r="I467" s="611" t="s">
        <v>3557</v>
      </c>
      <c r="J467" s="460">
        <v>39723</v>
      </c>
      <c r="K467" s="461">
        <v>46</v>
      </c>
      <c r="L467" s="462">
        <f t="shared" si="0"/>
        <v>39769</v>
      </c>
      <c r="M467" s="611" t="s">
        <v>124</v>
      </c>
      <c r="N467" s="468" t="s">
        <v>656</v>
      </c>
      <c r="O467" s="460">
        <v>39756</v>
      </c>
      <c r="P467" s="461">
        <f t="shared" si="1"/>
        <v>-5</v>
      </c>
      <c r="Q467" s="461"/>
      <c r="R467" s="460"/>
      <c r="S467" s="471">
        <v>39764</v>
      </c>
      <c r="T467" s="471">
        <f>+S467+5</f>
        <v>39769</v>
      </c>
      <c r="U467" s="461">
        <f t="shared" si="3"/>
        <v>46</v>
      </c>
      <c r="V467" s="468" t="s">
        <v>3676</v>
      </c>
      <c r="W467" s="457">
        <v>365</v>
      </c>
      <c r="X467" s="592"/>
      <c r="Y467" s="467"/>
      <c r="Z467" s="468" t="s">
        <v>3677</v>
      </c>
      <c r="AA467" s="456" t="s">
        <v>2844</v>
      </c>
      <c r="AB467" s="460" t="s">
        <v>3678</v>
      </c>
      <c r="AC467" s="470"/>
      <c r="AD467" s="645" t="str">
        <f t="shared" si="2"/>
        <v>en término</v>
      </c>
      <c r="AE467" s="412"/>
    </row>
    <row r="468" spans="1:39" s="587" customFormat="1" ht="54.95" customHeight="1" x14ac:dyDescent="0.2">
      <c r="A468" s="584"/>
      <c r="B468" s="1043" t="s">
        <v>78</v>
      </c>
      <c r="C468" s="1043" t="s">
        <v>79</v>
      </c>
      <c r="D468" s="1044" t="s">
        <v>3679</v>
      </c>
      <c r="E468" s="1044"/>
      <c r="F468" s="1028" t="s">
        <v>3680</v>
      </c>
      <c r="G468" s="1028" t="s">
        <v>1535</v>
      </c>
      <c r="H468" s="1029">
        <v>12910</v>
      </c>
      <c r="I468" s="640" t="s">
        <v>3557</v>
      </c>
      <c r="J468" s="1032">
        <v>39766</v>
      </c>
      <c r="K468" s="1041">
        <v>45</v>
      </c>
      <c r="L468" s="641">
        <f>+J468+K468</f>
        <v>39811</v>
      </c>
      <c r="M468" s="640" t="s">
        <v>124</v>
      </c>
      <c r="N468" s="446" t="s">
        <v>110</v>
      </c>
      <c r="O468" s="1032">
        <v>39792</v>
      </c>
      <c r="P468" s="1041">
        <f>IF(S468="","",+S468-L468)</f>
        <v>-10</v>
      </c>
      <c r="Q468" s="1041"/>
      <c r="R468" s="1032"/>
      <c r="S468" s="642">
        <v>39801</v>
      </c>
      <c r="T468" s="642">
        <f>+S468+15</f>
        <v>39816</v>
      </c>
      <c r="U468" s="1041">
        <f t="shared" si="3"/>
        <v>50</v>
      </c>
      <c r="V468" s="446" t="s">
        <v>3681</v>
      </c>
      <c r="W468" s="1028">
        <v>371</v>
      </c>
      <c r="X468" s="1037"/>
      <c r="Y468" s="643"/>
      <c r="Z468" s="446" t="s">
        <v>1676</v>
      </c>
      <c r="AA468" s="1044" t="s">
        <v>3682</v>
      </c>
      <c r="AB468" s="1032" t="s">
        <v>3683</v>
      </c>
      <c r="AC468" s="644"/>
      <c r="AD468" s="645" t="str">
        <f>IF(P468="","",IF(P468&lt;=0,"en término","atrasado"))</f>
        <v>en término</v>
      </c>
      <c r="AE468" s="645"/>
    </row>
    <row r="470" spans="1:39" ht="12.75" x14ac:dyDescent="0.2">
      <c r="AA470" s="1">
        <v>2008</v>
      </c>
      <c r="AB470" s="1047"/>
    </row>
    <row r="471" spans="1:39" ht="12.75" x14ac:dyDescent="0.2">
      <c r="AA471" s="945" t="s">
        <v>813</v>
      </c>
      <c r="AB471" s="1048">
        <f>COUNTA(AD462:AD468)</f>
        <v>7</v>
      </c>
    </row>
    <row r="472" spans="1:39" ht="12.75" x14ac:dyDescent="0.2">
      <c r="AA472" s="945" t="s">
        <v>815</v>
      </c>
      <c r="AB472" s="1048">
        <f>COUNTIF(AD460:AD468,"en término")</f>
        <v>5</v>
      </c>
    </row>
    <row r="473" spans="1:39" ht="12.75" x14ac:dyDescent="0.2">
      <c r="AA473" s="945" t="s">
        <v>817</v>
      </c>
      <c r="AB473" s="557">
        <f>+AB472/AB471</f>
        <v>0.7142857142857143</v>
      </c>
    </row>
    <row r="474" spans="1:39" ht="12.75" x14ac:dyDescent="0.2">
      <c r="AA474" s="945"/>
      <c r="AB474" s="557"/>
    </row>
    <row r="475" spans="1:39" ht="12" thickBot="1" x14ac:dyDescent="0.25"/>
    <row r="476" spans="1:39" s="556" customFormat="1" ht="39.950000000000003" customHeight="1" thickBot="1" x14ac:dyDescent="0.4">
      <c r="B476" s="1611">
        <v>2009</v>
      </c>
      <c r="C476" s="1612"/>
      <c r="D476" s="1612"/>
      <c r="E476" s="1612"/>
      <c r="F476" s="1612"/>
      <c r="G476" s="1612"/>
      <c r="H476" s="1612"/>
      <c r="I476" s="1612"/>
      <c r="J476" s="1612"/>
      <c r="K476" s="1612"/>
      <c r="L476" s="1612"/>
      <c r="M476" s="1612"/>
      <c r="N476" s="1612"/>
      <c r="O476" s="1612"/>
      <c r="P476" s="1612"/>
      <c r="Q476" s="1612"/>
      <c r="R476" s="1612"/>
      <c r="S476" s="1612"/>
      <c r="T476" s="1612"/>
      <c r="U476" s="1612"/>
      <c r="V476" s="1612"/>
      <c r="W476" s="1612"/>
      <c r="X476" s="1612"/>
      <c r="Y476" s="1612"/>
      <c r="Z476" s="1612"/>
      <c r="AA476" s="1612"/>
      <c r="AB476" s="1612"/>
      <c r="AC476" s="1613"/>
      <c r="AD476" s="555"/>
    </row>
    <row r="477" spans="1:39" s="441" customFormat="1" ht="60" customHeight="1" thickBot="1" x14ac:dyDescent="0.25">
      <c r="A477" s="438"/>
      <c r="B477" s="451" t="s">
        <v>130</v>
      </c>
      <c r="C477" s="451" t="s">
        <v>4</v>
      </c>
      <c r="D477" s="451" t="s">
        <v>5</v>
      </c>
      <c r="E477" s="451" t="s">
        <v>6</v>
      </c>
      <c r="F477" s="451" t="s">
        <v>7</v>
      </c>
      <c r="G477" s="451" t="s">
        <v>8</v>
      </c>
      <c r="H477" s="453" t="s">
        <v>9</v>
      </c>
      <c r="I477" s="453" t="s">
        <v>10</v>
      </c>
      <c r="J477" s="451" t="s">
        <v>11</v>
      </c>
      <c r="K477" s="451" t="s">
        <v>12</v>
      </c>
      <c r="L477" s="451" t="s">
        <v>13</v>
      </c>
      <c r="M477" s="451" t="s">
        <v>14</v>
      </c>
      <c r="N477" s="451" t="s">
        <v>15</v>
      </c>
      <c r="O477" s="452" t="s">
        <v>16</v>
      </c>
      <c r="P477" s="454" t="s">
        <v>17</v>
      </c>
      <c r="Q477" s="451" t="s">
        <v>18</v>
      </c>
      <c r="R477" s="452" t="s">
        <v>19</v>
      </c>
      <c r="S477" s="451" t="s">
        <v>20</v>
      </c>
      <c r="T477" s="451" t="s">
        <v>21</v>
      </c>
      <c r="U477" s="452" t="s">
        <v>22</v>
      </c>
      <c r="V477" s="451" t="s">
        <v>131</v>
      </c>
      <c r="W477" s="451" t="s">
        <v>24</v>
      </c>
      <c r="X477" s="451" t="s">
        <v>132</v>
      </c>
      <c r="Y477" s="451" t="s">
        <v>26</v>
      </c>
      <c r="Z477" s="451" t="s">
        <v>27</v>
      </c>
      <c r="AA477" s="451" t="s">
        <v>28</v>
      </c>
      <c r="AB477" s="451" t="s">
        <v>29</v>
      </c>
      <c r="AC477" s="451" t="s">
        <v>30</v>
      </c>
      <c r="AD477" s="439"/>
      <c r="AE477" s="440"/>
      <c r="AF477" s="440"/>
      <c r="AG477" s="440"/>
      <c r="AH477" s="440"/>
      <c r="AI477" s="440"/>
      <c r="AJ477" s="440"/>
      <c r="AK477" s="440"/>
      <c r="AL477" s="440"/>
      <c r="AM477" s="440"/>
    </row>
    <row r="478" spans="1:39" s="587" customFormat="1" ht="54.95" customHeight="1" thickBot="1" x14ac:dyDescent="0.25">
      <c r="A478" s="584"/>
      <c r="B478" s="455" t="s">
        <v>78</v>
      </c>
      <c r="C478" s="455" t="s">
        <v>3165</v>
      </c>
      <c r="D478" s="456" t="s">
        <v>3684</v>
      </c>
      <c r="E478" s="456"/>
      <c r="F478" s="457">
        <v>555025</v>
      </c>
      <c r="G478" s="457" t="s">
        <v>1535</v>
      </c>
      <c r="H478" s="458">
        <v>279264.09999999998</v>
      </c>
      <c r="I478" s="611" t="s">
        <v>3557</v>
      </c>
      <c r="J478" s="460">
        <v>39794</v>
      </c>
      <c r="K478" s="461">
        <v>90</v>
      </c>
      <c r="L478" s="462">
        <f>+J478+K478</f>
        <v>39884</v>
      </c>
      <c r="M478" s="611" t="s">
        <v>124</v>
      </c>
      <c r="N478" s="468" t="s">
        <v>42</v>
      </c>
      <c r="O478" s="460">
        <v>39888</v>
      </c>
      <c r="P478" s="461">
        <v>0</v>
      </c>
      <c r="Q478" s="461" t="s">
        <v>3685</v>
      </c>
      <c r="R478" s="460">
        <v>39897</v>
      </c>
      <c r="S478" s="471">
        <v>39898</v>
      </c>
      <c r="T478" s="471">
        <v>39914</v>
      </c>
      <c r="U478" s="461">
        <f>IF(T478="","",+T478-J478)</f>
        <v>120</v>
      </c>
      <c r="V478" s="468" t="s">
        <v>3686</v>
      </c>
      <c r="W478" s="457">
        <v>380</v>
      </c>
      <c r="X478" s="592"/>
      <c r="Y478" s="467"/>
      <c r="Z478" s="468">
        <v>6510425471</v>
      </c>
      <c r="AA478" s="456"/>
      <c r="AB478" s="460" t="s">
        <v>3687</v>
      </c>
      <c r="AC478" s="470" t="s">
        <v>3688</v>
      </c>
      <c r="AD478" s="645" t="str">
        <f>IF(P478="","",IF(P478&lt;=0,"en término","atrasado"))</f>
        <v>en término</v>
      </c>
    </row>
    <row r="479" spans="1:39" s="587" customFormat="1" ht="54.95" customHeight="1" thickBot="1" x14ac:dyDescent="0.25">
      <c r="A479" s="584"/>
      <c r="B479" s="1043" t="s">
        <v>78</v>
      </c>
      <c r="C479" s="1043" t="s">
        <v>3165</v>
      </c>
      <c r="D479" s="1044" t="s">
        <v>3689</v>
      </c>
      <c r="E479" s="1044"/>
      <c r="F479" s="1028">
        <v>559237</v>
      </c>
      <c r="G479" s="1028" t="s">
        <v>1535</v>
      </c>
      <c r="H479" s="1029">
        <v>214590.7</v>
      </c>
      <c r="I479" s="640" t="s">
        <v>3557</v>
      </c>
      <c r="J479" s="1032">
        <v>39961</v>
      </c>
      <c r="K479" s="1041">
        <v>60</v>
      </c>
      <c r="L479" s="641">
        <f>+J479+K479</f>
        <v>40021</v>
      </c>
      <c r="M479" s="640" t="s">
        <v>124</v>
      </c>
      <c r="N479" s="446" t="s">
        <v>1750</v>
      </c>
      <c r="O479" s="1032">
        <v>40008</v>
      </c>
      <c r="P479" s="1041">
        <f>IF(S479="","",+S479-L479)</f>
        <v>0</v>
      </c>
      <c r="Q479" s="1041" t="s">
        <v>3690</v>
      </c>
      <c r="R479" s="1032">
        <v>40011</v>
      </c>
      <c r="S479" s="642">
        <v>40021</v>
      </c>
      <c r="T479" s="642">
        <v>40040</v>
      </c>
      <c r="U479" s="1041">
        <f>IF(T479="","",+T479-J479)</f>
        <v>79</v>
      </c>
      <c r="V479" s="446" t="s">
        <v>2183</v>
      </c>
      <c r="W479" s="1028">
        <v>403</v>
      </c>
      <c r="X479" s="643"/>
      <c r="Y479" s="643"/>
      <c r="Z479" s="1028">
        <v>9003876464</v>
      </c>
      <c r="AA479" s="1044" t="s">
        <v>47</v>
      </c>
      <c r="AB479" s="1032" t="s">
        <v>3691</v>
      </c>
      <c r="AC479" s="644" t="s">
        <v>3692</v>
      </c>
      <c r="AD479" s="645" t="str">
        <f>IF(P479="","",IF(P479&lt;=0,"en término","atrasado"))</f>
        <v>en término</v>
      </c>
    </row>
    <row r="480" spans="1:39" s="587" customFormat="1" ht="54.95" customHeight="1" thickBot="1" x14ac:dyDescent="0.25">
      <c r="A480" s="584"/>
      <c r="B480" s="1043" t="s">
        <v>78</v>
      </c>
      <c r="C480" s="1043" t="s">
        <v>3165</v>
      </c>
      <c r="D480" s="1044" t="s">
        <v>3693</v>
      </c>
      <c r="E480" s="1044"/>
      <c r="F480" s="1028">
        <v>559529</v>
      </c>
      <c r="G480" s="1028" t="s">
        <v>1535</v>
      </c>
      <c r="H480" s="1029">
        <v>213933.3</v>
      </c>
      <c r="I480" s="640" t="s">
        <v>3557</v>
      </c>
      <c r="J480" s="1032">
        <v>39974</v>
      </c>
      <c r="K480" s="1041">
        <v>55</v>
      </c>
      <c r="L480" s="641">
        <f>+J480+K480</f>
        <v>40029</v>
      </c>
      <c r="M480" s="640" t="s">
        <v>124</v>
      </c>
      <c r="N480" s="446" t="s">
        <v>1750</v>
      </c>
      <c r="O480" s="1032">
        <v>40008</v>
      </c>
      <c r="P480" s="1041">
        <f>IF(S480="","",+S480-L480)</f>
        <v>-8</v>
      </c>
      <c r="Q480" s="1041" t="s">
        <v>3690</v>
      </c>
      <c r="R480" s="1032">
        <v>40011</v>
      </c>
      <c r="S480" s="642">
        <v>40021</v>
      </c>
      <c r="T480" s="642">
        <f>+S480+20</f>
        <v>40041</v>
      </c>
      <c r="U480" s="1041">
        <f>IF(T480="","",+T480-J480)</f>
        <v>67</v>
      </c>
      <c r="V480" s="446" t="s">
        <v>3694</v>
      </c>
      <c r="W480" s="1028">
        <v>404</v>
      </c>
      <c r="X480" s="643"/>
      <c r="Y480" s="643"/>
      <c r="Z480" s="1028">
        <v>9003876464</v>
      </c>
      <c r="AA480" s="1044" t="s">
        <v>47</v>
      </c>
      <c r="AB480" s="1032" t="s">
        <v>3695</v>
      </c>
      <c r="AC480" s="644" t="s">
        <v>3692</v>
      </c>
      <c r="AD480" s="645" t="str">
        <f>IF(P480="","",IF(P480&lt;=0,"en término","atrasado"))</f>
        <v>en término</v>
      </c>
    </row>
    <row r="481" spans="1:39" s="587" customFormat="1" ht="54.95" customHeight="1" thickBot="1" x14ac:dyDescent="0.25">
      <c r="A481" s="584"/>
      <c r="B481" s="455" t="s">
        <v>78</v>
      </c>
      <c r="C481" s="455" t="s">
        <v>3165</v>
      </c>
      <c r="D481" s="456" t="s">
        <v>3696</v>
      </c>
      <c r="E481" s="456"/>
      <c r="F481" s="457">
        <v>560104</v>
      </c>
      <c r="G481" s="457" t="s">
        <v>1535</v>
      </c>
      <c r="H481" s="458">
        <v>90428.6</v>
      </c>
      <c r="I481" s="611" t="s">
        <v>3557</v>
      </c>
      <c r="J481" s="460">
        <v>39995</v>
      </c>
      <c r="K481" s="461">
        <v>63</v>
      </c>
      <c r="L481" s="462">
        <f>+J481+K481</f>
        <v>40058</v>
      </c>
      <c r="M481" s="611" t="s">
        <v>124</v>
      </c>
      <c r="N481" s="468" t="s">
        <v>1750</v>
      </c>
      <c r="O481" s="460">
        <v>40053</v>
      </c>
      <c r="P481" s="461">
        <f>IF(S481="","",+S481-L481)</f>
        <v>-2</v>
      </c>
      <c r="Q481" s="461" t="s">
        <v>171</v>
      </c>
      <c r="R481" s="460"/>
      <c r="S481" s="471">
        <v>40056</v>
      </c>
      <c r="T481" s="471">
        <v>40086</v>
      </c>
      <c r="U481" s="461">
        <f>IF(T481="","",+T481-J481)</f>
        <v>91</v>
      </c>
      <c r="V481" s="468" t="s">
        <v>53</v>
      </c>
      <c r="W481" s="457">
        <v>413</v>
      </c>
      <c r="X481" s="467"/>
      <c r="Y481" s="467"/>
      <c r="Z481" s="457">
        <v>9003876560</v>
      </c>
      <c r="AA481" s="456" t="s">
        <v>3697</v>
      </c>
      <c r="AB481" s="460" t="s">
        <v>2102</v>
      </c>
      <c r="AC481" s="470" t="s">
        <v>3698</v>
      </c>
      <c r="AD481" s="645" t="str">
        <f>IF(P481="","",IF(P481&lt;=0,"en término","atrasado"))</f>
        <v>en término</v>
      </c>
    </row>
    <row r="483" spans="1:39" ht="12.75" x14ac:dyDescent="0.2">
      <c r="AA483" s="1">
        <v>2009</v>
      </c>
      <c r="AB483" s="1047"/>
    </row>
    <row r="484" spans="1:39" ht="12.75" x14ac:dyDescent="0.2">
      <c r="AA484" s="945" t="s">
        <v>813</v>
      </c>
      <c r="AB484" s="1048">
        <f>COUNTA(AD477:AD482)</f>
        <v>4</v>
      </c>
    </row>
    <row r="485" spans="1:39" ht="12.75" x14ac:dyDescent="0.2">
      <c r="AA485" s="945" t="s">
        <v>815</v>
      </c>
      <c r="AB485" s="1048">
        <f>COUNTIF(AD477:AD482,"en término")</f>
        <v>4</v>
      </c>
    </row>
    <row r="486" spans="1:39" ht="12.75" x14ac:dyDescent="0.2">
      <c r="AA486" s="945" t="s">
        <v>817</v>
      </c>
      <c r="AB486" s="557">
        <f>+AB485/AB484</f>
        <v>1</v>
      </c>
    </row>
    <row r="489" spans="1:39" ht="12" thickBot="1" x14ac:dyDescent="0.25"/>
    <row r="490" spans="1:39" s="556" customFormat="1" ht="39.950000000000003" customHeight="1" thickBot="1" x14ac:dyDescent="0.4">
      <c r="B490" s="1611">
        <v>2010</v>
      </c>
      <c r="C490" s="1612"/>
      <c r="D490" s="1612"/>
      <c r="E490" s="1612"/>
      <c r="F490" s="1612"/>
      <c r="G490" s="1612"/>
      <c r="H490" s="1612"/>
      <c r="I490" s="1612"/>
      <c r="J490" s="1612"/>
      <c r="K490" s="1612"/>
      <c r="L490" s="1612"/>
      <c r="M490" s="1612"/>
      <c r="N490" s="1612"/>
      <c r="O490" s="1612"/>
      <c r="P490" s="1612"/>
      <c r="Q490" s="1612"/>
      <c r="R490" s="1612"/>
      <c r="S490" s="1612"/>
      <c r="T490" s="1612"/>
      <c r="U490" s="1612"/>
      <c r="V490" s="1612"/>
      <c r="W490" s="1612"/>
      <c r="X490" s="1612"/>
      <c r="Y490" s="1612"/>
      <c r="Z490" s="1612"/>
      <c r="AA490" s="1612"/>
      <c r="AB490" s="1612"/>
      <c r="AC490" s="1613"/>
      <c r="AD490" s="555"/>
    </row>
    <row r="491" spans="1:39" s="441" customFormat="1" ht="60" customHeight="1" thickBot="1" x14ac:dyDescent="0.25">
      <c r="A491" s="438"/>
      <c r="B491" s="451" t="s">
        <v>130</v>
      </c>
      <c r="C491" s="451" t="s">
        <v>4</v>
      </c>
      <c r="D491" s="451" t="s">
        <v>5</v>
      </c>
      <c r="E491" s="451" t="s">
        <v>6</v>
      </c>
      <c r="F491" s="451" t="s">
        <v>7</v>
      </c>
      <c r="G491" s="451" t="s">
        <v>8</v>
      </c>
      <c r="H491" s="453" t="s">
        <v>9</v>
      </c>
      <c r="I491" s="453" t="s">
        <v>10</v>
      </c>
      <c r="J491" s="451" t="s">
        <v>11</v>
      </c>
      <c r="K491" s="451" t="s">
        <v>12</v>
      </c>
      <c r="L491" s="451" t="s">
        <v>13</v>
      </c>
      <c r="M491" s="451" t="s">
        <v>14</v>
      </c>
      <c r="N491" s="451" t="s">
        <v>15</v>
      </c>
      <c r="O491" s="452" t="s">
        <v>16</v>
      </c>
      <c r="P491" s="454" t="s">
        <v>17</v>
      </c>
      <c r="Q491" s="451" t="s">
        <v>18</v>
      </c>
      <c r="R491" s="452" t="s">
        <v>19</v>
      </c>
      <c r="S491" s="451" t="s">
        <v>20</v>
      </c>
      <c r="T491" s="451" t="s">
        <v>21</v>
      </c>
      <c r="U491" s="452" t="s">
        <v>22</v>
      </c>
      <c r="V491" s="451" t="s">
        <v>131</v>
      </c>
      <c r="W491" s="451" t="s">
        <v>24</v>
      </c>
      <c r="X491" s="451" t="s">
        <v>132</v>
      </c>
      <c r="Y491" s="451" t="s">
        <v>26</v>
      </c>
      <c r="Z491" s="451" t="s">
        <v>27</v>
      </c>
      <c r="AA491" s="451" t="s">
        <v>28</v>
      </c>
      <c r="AB491" s="451" t="s">
        <v>29</v>
      </c>
      <c r="AC491" s="451" t="s">
        <v>30</v>
      </c>
      <c r="AD491" s="439"/>
      <c r="AE491" s="440"/>
      <c r="AF491" s="440"/>
      <c r="AG491" s="440"/>
      <c r="AH491" s="440"/>
      <c r="AI491" s="440"/>
      <c r="AJ491" s="440"/>
      <c r="AK491" s="440"/>
      <c r="AL491" s="440"/>
      <c r="AM491" s="440"/>
    </row>
    <row r="492" spans="1:39" s="587" customFormat="1" ht="54.95" customHeight="1" thickBot="1" x14ac:dyDescent="0.25">
      <c r="A492" s="584"/>
      <c r="B492" s="1043" t="s">
        <v>78</v>
      </c>
      <c r="C492" s="1043" t="s">
        <v>79</v>
      </c>
      <c r="D492" s="1044" t="s">
        <v>3699</v>
      </c>
      <c r="E492" s="1044"/>
      <c r="F492" s="1028" t="s">
        <v>3700</v>
      </c>
      <c r="G492" s="1028" t="s">
        <v>39</v>
      </c>
      <c r="H492" s="1029">
        <v>4290</v>
      </c>
      <c r="I492" s="640" t="s">
        <v>83</v>
      </c>
      <c r="J492" s="1032">
        <v>40217</v>
      </c>
      <c r="K492" s="1041">
        <v>30</v>
      </c>
      <c r="L492" s="641">
        <f t="shared" ref="L492:L498" si="4">+J492+K492</f>
        <v>40247</v>
      </c>
      <c r="M492" s="640" t="s">
        <v>124</v>
      </c>
      <c r="N492" s="446" t="s">
        <v>110</v>
      </c>
      <c r="O492" s="1032">
        <v>40242</v>
      </c>
      <c r="P492" s="1041">
        <f t="shared" ref="P492:P498" si="5">IF(S492="","",+S492-L492)</f>
        <v>-1</v>
      </c>
      <c r="Q492" s="1041"/>
      <c r="R492" s="1032"/>
      <c r="S492" s="642">
        <v>40246</v>
      </c>
      <c r="T492" s="642">
        <v>40249</v>
      </c>
      <c r="U492" s="1041">
        <f t="shared" ref="U492:U498" si="6">IF(T492="","",+T492-J492)</f>
        <v>32</v>
      </c>
      <c r="V492" s="446" t="s">
        <v>53</v>
      </c>
      <c r="W492" s="659" t="s">
        <v>2582</v>
      </c>
      <c r="X492" s="643"/>
      <c r="Y492" s="643"/>
      <c r="Z492" s="446" t="s">
        <v>1676</v>
      </c>
      <c r="AA492" s="1044" t="s">
        <v>47</v>
      </c>
      <c r="AB492" s="1032" t="s">
        <v>3701</v>
      </c>
      <c r="AC492" s="644"/>
      <c r="AD492" s="645" t="str">
        <f t="shared" ref="AD492:AD498" si="7">IF(P492="","",IF(P492&lt;=0,"en término","atrasado"))</f>
        <v>en término</v>
      </c>
    </row>
    <row r="493" spans="1:39" s="587" customFormat="1" ht="54.95" customHeight="1" thickBot="1" x14ac:dyDescent="0.25">
      <c r="A493" s="584"/>
      <c r="B493" s="1043" t="s">
        <v>78</v>
      </c>
      <c r="C493" s="1043" t="s">
        <v>3165</v>
      </c>
      <c r="D493" s="1044" t="s">
        <v>3702</v>
      </c>
      <c r="E493" s="1044"/>
      <c r="F493" s="1028">
        <v>566860</v>
      </c>
      <c r="G493" s="457" t="s">
        <v>3703</v>
      </c>
      <c r="H493" s="1029">
        <v>136086.20000000001</v>
      </c>
      <c r="I493" s="640" t="s">
        <v>83</v>
      </c>
      <c r="J493" s="1032">
        <v>40220</v>
      </c>
      <c r="K493" s="1041">
        <v>60</v>
      </c>
      <c r="L493" s="641">
        <f t="shared" si="4"/>
        <v>40280</v>
      </c>
      <c r="M493" s="640" t="s">
        <v>124</v>
      </c>
      <c r="N493" s="446" t="s">
        <v>110</v>
      </c>
      <c r="O493" s="1032">
        <v>40277</v>
      </c>
      <c r="P493" s="1041">
        <f t="shared" si="5"/>
        <v>0</v>
      </c>
      <c r="Q493" s="1041"/>
      <c r="R493" s="460">
        <v>40280</v>
      </c>
      <c r="S493" s="471">
        <v>40280</v>
      </c>
      <c r="T493" s="642">
        <f>+S493+5</f>
        <v>40285</v>
      </c>
      <c r="U493" s="1041">
        <f t="shared" si="6"/>
        <v>65</v>
      </c>
      <c r="V493" s="446" t="s">
        <v>3704</v>
      </c>
      <c r="W493" s="659" t="s">
        <v>2436</v>
      </c>
      <c r="X493" s="643"/>
      <c r="Y493" s="643"/>
      <c r="Z493" s="468" t="s">
        <v>1676</v>
      </c>
      <c r="AA493" s="1044"/>
      <c r="AB493" s="1032" t="s">
        <v>3705</v>
      </c>
      <c r="AC493" s="644"/>
      <c r="AD493" s="645" t="str">
        <f t="shared" si="7"/>
        <v>en término</v>
      </c>
    </row>
    <row r="494" spans="1:39" s="587" customFormat="1" ht="54.95" customHeight="1" thickBot="1" x14ac:dyDescent="0.25">
      <c r="A494" s="584"/>
      <c r="B494" s="455" t="s">
        <v>78</v>
      </c>
      <c r="C494" s="455" t="s">
        <v>3165</v>
      </c>
      <c r="D494" s="456" t="s">
        <v>3702</v>
      </c>
      <c r="E494" s="456"/>
      <c r="F494" s="457">
        <v>566859</v>
      </c>
      <c r="G494" s="457" t="s">
        <v>3703</v>
      </c>
      <c r="H494" s="458">
        <v>222516.7</v>
      </c>
      <c r="I494" s="611" t="s">
        <v>83</v>
      </c>
      <c r="J494" s="460">
        <v>40220</v>
      </c>
      <c r="K494" s="461">
        <v>60</v>
      </c>
      <c r="L494" s="462">
        <f t="shared" si="4"/>
        <v>40280</v>
      </c>
      <c r="M494" s="611" t="s">
        <v>124</v>
      </c>
      <c r="N494" s="468" t="s">
        <v>110</v>
      </c>
      <c r="O494" s="460">
        <v>40277</v>
      </c>
      <c r="P494" s="461">
        <f t="shared" si="5"/>
        <v>0</v>
      </c>
      <c r="Q494" s="461"/>
      <c r="R494" s="460">
        <v>40280</v>
      </c>
      <c r="S494" s="471">
        <v>40280</v>
      </c>
      <c r="T494" s="471">
        <f>+S494+5</f>
        <v>40285</v>
      </c>
      <c r="U494" s="461">
        <f t="shared" si="6"/>
        <v>65</v>
      </c>
      <c r="V494" s="468" t="s">
        <v>3704</v>
      </c>
      <c r="W494" s="493" t="s">
        <v>2447</v>
      </c>
      <c r="X494" s="467"/>
      <c r="Y494" s="467"/>
      <c r="Z494" s="468" t="s">
        <v>1676</v>
      </c>
      <c r="AA494" s="456"/>
      <c r="AB494" s="460" t="s">
        <v>3706</v>
      </c>
      <c r="AC494" s="470"/>
      <c r="AD494" s="645" t="str">
        <f t="shared" si="7"/>
        <v>en término</v>
      </c>
    </row>
    <row r="495" spans="1:39" s="587" customFormat="1" ht="54.95" customHeight="1" thickBot="1" x14ac:dyDescent="0.25">
      <c r="A495" s="584"/>
      <c r="B495" s="455" t="s">
        <v>78</v>
      </c>
      <c r="C495" s="455" t="s">
        <v>3165</v>
      </c>
      <c r="D495" s="456" t="s">
        <v>3707</v>
      </c>
      <c r="E495" s="456"/>
      <c r="F495" s="457">
        <v>567402</v>
      </c>
      <c r="G495" s="457" t="s">
        <v>3703</v>
      </c>
      <c r="H495" s="458">
        <v>9835</v>
      </c>
      <c r="I495" s="611" t="s">
        <v>83</v>
      </c>
      <c r="J495" s="460">
        <v>40241</v>
      </c>
      <c r="K495" s="461">
        <v>43</v>
      </c>
      <c r="L495" s="462">
        <f t="shared" si="4"/>
        <v>40284</v>
      </c>
      <c r="M495" s="611" t="s">
        <v>124</v>
      </c>
      <c r="N495" s="468" t="s">
        <v>110</v>
      </c>
      <c r="O495" s="460">
        <v>40281</v>
      </c>
      <c r="P495" s="461">
        <f t="shared" si="5"/>
        <v>3</v>
      </c>
      <c r="Q495" s="461"/>
      <c r="R495" s="460">
        <v>40287</v>
      </c>
      <c r="S495" s="471">
        <v>40287</v>
      </c>
      <c r="T495" s="471">
        <f>+S495+5</f>
        <v>40292</v>
      </c>
      <c r="U495" s="461">
        <f t="shared" si="6"/>
        <v>51</v>
      </c>
      <c r="V495" s="468" t="s">
        <v>3704</v>
      </c>
      <c r="W495" s="493" t="s">
        <v>2434</v>
      </c>
      <c r="X495" s="467"/>
      <c r="Y495" s="467"/>
      <c r="Z495" s="468" t="s">
        <v>1676</v>
      </c>
      <c r="AA495" s="456"/>
      <c r="AB495" s="460" t="s">
        <v>2211</v>
      </c>
      <c r="AC495" s="470"/>
      <c r="AD495" s="645" t="str">
        <f t="shared" si="7"/>
        <v>atrasado</v>
      </c>
    </row>
    <row r="496" spans="1:39" s="587" customFormat="1" ht="54.95" customHeight="1" thickBot="1" x14ac:dyDescent="0.25">
      <c r="A496" s="584"/>
      <c r="B496" s="455" t="s">
        <v>78</v>
      </c>
      <c r="C496" s="455" t="s">
        <v>3165</v>
      </c>
      <c r="D496" s="456" t="s">
        <v>3708</v>
      </c>
      <c r="E496" s="456"/>
      <c r="F496" s="457">
        <v>570305</v>
      </c>
      <c r="G496" s="457" t="s">
        <v>39</v>
      </c>
      <c r="H496" s="458">
        <v>232742.2</v>
      </c>
      <c r="I496" s="611" t="s">
        <v>83</v>
      </c>
      <c r="J496" s="460">
        <v>40350</v>
      </c>
      <c r="K496" s="461">
        <v>20</v>
      </c>
      <c r="L496" s="462">
        <f t="shared" si="4"/>
        <v>40370</v>
      </c>
      <c r="M496" s="611" t="s">
        <v>124</v>
      </c>
      <c r="N496" s="468" t="s">
        <v>110</v>
      </c>
      <c r="O496" s="460">
        <v>40358</v>
      </c>
      <c r="P496" s="461">
        <f t="shared" si="5"/>
        <v>-3</v>
      </c>
      <c r="Q496" s="461"/>
      <c r="R496" s="460">
        <v>40366</v>
      </c>
      <c r="S496" s="471">
        <v>40367</v>
      </c>
      <c r="T496" s="471">
        <f>+S496+20</f>
        <v>40387</v>
      </c>
      <c r="U496" s="461">
        <f t="shared" si="6"/>
        <v>37</v>
      </c>
      <c r="V496" s="468" t="s">
        <v>3709</v>
      </c>
      <c r="W496" s="493" t="s">
        <v>2807</v>
      </c>
      <c r="X496" s="467"/>
      <c r="Y496" s="467"/>
      <c r="Z496" s="468">
        <v>2192839062</v>
      </c>
      <c r="AA496" s="456" t="s">
        <v>2238</v>
      </c>
      <c r="AB496" s="460" t="s">
        <v>2802</v>
      </c>
      <c r="AC496" s="470" t="s">
        <v>3710</v>
      </c>
      <c r="AD496" s="645" t="str">
        <f t="shared" si="7"/>
        <v>en término</v>
      </c>
    </row>
    <row r="497" spans="1:30" s="587" customFormat="1" ht="54.95" customHeight="1" thickBot="1" x14ac:dyDescent="0.25">
      <c r="A497" s="584"/>
      <c r="B497" s="455" t="s">
        <v>78</v>
      </c>
      <c r="C497" s="455" t="s">
        <v>3165</v>
      </c>
      <c r="D497" s="456" t="s">
        <v>3708</v>
      </c>
      <c r="E497" s="456"/>
      <c r="F497" s="457">
        <v>570305</v>
      </c>
      <c r="G497" s="457" t="s">
        <v>39</v>
      </c>
      <c r="H497" s="458">
        <v>232742.2</v>
      </c>
      <c r="I497" s="611" t="s">
        <v>83</v>
      </c>
      <c r="J497" s="460">
        <v>40350</v>
      </c>
      <c r="K497" s="461">
        <v>70</v>
      </c>
      <c r="L497" s="462">
        <f t="shared" si="4"/>
        <v>40420</v>
      </c>
      <c r="M497" s="611" t="s">
        <v>124</v>
      </c>
      <c r="N497" s="468" t="s">
        <v>110</v>
      </c>
      <c r="O497" s="460">
        <v>40400</v>
      </c>
      <c r="P497" s="461">
        <f t="shared" si="5"/>
        <v>-18</v>
      </c>
      <c r="Q497" s="461"/>
      <c r="R497" s="460"/>
      <c r="S497" s="471">
        <v>40402</v>
      </c>
      <c r="T497" s="471">
        <f>+S497+20</f>
        <v>40422</v>
      </c>
      <c r="U497" s="461">
        <f t="shared" si="6"/>
        <v>72</v>
      </c>
      <c r="V497" s="468" t="s">
        <v>3709</v>
      </c>
      <c r="W497" s="493" t="s">
        <v>3711</v>
      </c>
      <c r="X497" s="467"/>
      <c r="Y497" s="467"/>
      <c r="Z497" s="468">
        <v>2192839040</v>
      </c>
      <c r="AA497" s="456" t="s">
        <v>2238</v>
      </c>
      <c r="AB497" s="460" t="s">
        <v>3712</v>
      </c>
      <c r="AC497" s="470" t="s">
        <v>3713</v>
      </c>
      <c r="AD497" s="645" t="str">
        <f t="shared" si="7"/>
        <v>en término</v>
      </c>
    </row>
    <row r="498" spans="1:30" s="587" customFormat="1" ht="54.95" customHeight="1" thickBot="1" x14ac:dyDescent="0.25">
      <c r="A498" s="584"/>
      <c r="B498" s="1043" t="s">
        <v>78</v>
      </c>
      <c r="C498" s="1043" t="s">
        <v>3165</v>
      </c>
      <c r="D498" s="1044" t="s">
        <v>3708</v>
      </c>
      <c r="E498" s="1044"/>
      <c r="F498" s="1028">
        <v>570305</v>
      </c>
      <c r="G498" s="1028" t="s">
        <v>39</v>
      </c>
      <c r="H498" s="1029">
        <v>232742.2</v>
      </c>
      <c r="I498" s="640" t="s">
        <v>83</v>
      </c>
      <c r="J498" s="1032">
        <v>40350</v>
      </c>
      <c r="K498" s="1041">
        <v>100</v>
      </c>
      <c r="L498" s="641">
        <f t="shared" si="4"/>
        <v>40450</v>
      </c>
      <c r="M498" s="640" t="s">
        <v>124</v>
      </c>
      <c r="N498" s="446" t="s">
        <v>110</v>
      </c>
      <c r="O498" s="1032">
        <v>40408</v>
      </c>
      <c r="P498" s="1041">
        <f t="shared" si="5"/>
        <v>-35</v>
      </c>
      <c r="Q498" s="1041"/>
      <c r="R498" s="1032"/>
      <c r="S498" s="642">
        <v>40415</v>
      </c>
      <c r="T498" s="642">
        <f>+S498+20</f>
        <v>40435</v>
      </c>
      <c r="U498" s="1041">
        <f t="shared" si="6"/>
        <v>85</v>
      </c>
      <c r="V498" s="446" t="s">
        <v>3709</v>
      </c>
      <c r="W498" s="659" t="s">
        <v>2650</v>
      </c>
      <c r="X498" s="643"/>
      <c r="Y498" s="643"/>
      <c r="Z498" s="446">
        <v>2192838970</v>
      </c>
      <c r="AA498" s="1044" t="s">
        <v>2238</v>
      </c>
      <c r="AB498" s="1032" t="s">
        <v>3714</v>
      </c>
      <c r="AC498" s="644" t="s">
        <v>3715</v>
      </c>
      <c r="AD498" s="645" t="str">
        <f t="shared" si="7"/>
        <v>en término</v>
      </c>
    </row>
    <row r="499" spans="1:30" s="587" customFormat="1" ht="54.95" customHeight="1" thickBot="1" x14ac:dyDescent="0.25">
      <c r="A499" s="584"/>
      <c r="B499" s="1043" t="s">
        <v>78</v>
      </c>
      <c r="C499" s="1043" t="s">
        <v>3165</v>
      </c>
      <c r="D499" s="1044" t="s">
        <v>3716</v>
      </c>
      <c r="E499" s="1044"/>
      <c r="F499" s="1028">
        <v>571190</v>
      </c>
      <c r="G499" s="1028" t="s">
        <v>39</v>
      </c>
      <c r="H499" s="1029">
        <v>14299.2</v>
      </c>
      <c r="I499" s="640" t="s">
        <v>83</v>
      </c>
      <c r="J499" s="1032">
        <v>40380</v>
      </c>
      <c r="K499" s="1041">
        <v>61</v>
      </c>
      <c r="L499" s="641">
        <f>+J499+K499</f>
        <v>40441</v>
      </c>
      <c r="M499" s="640" t="s">
        <v>124</v>
      </c>
      <c r="N499" s="446" t="s">
        <v>110</v>
      </c>
      <c r="O499" s="1032">
        <v>40424</v>
      </c>
      <c r="P499" s="1041">
        <f t="shared" ref="P499:P508" si="8">IF(S499="","",+S499-L499)</f>
        <v>-5</v>
      </c>
      <c r="Q499" s="1041"/>
      <c r="R499" s="1032"/>
      <c r="S499" s="642">
        <v>40436</v>
      </c>
      <c r="T499" s="642">
        <f>+S499+20</f>
        <v>40456</v>
      </c>
      <c r="U499" s="1041">
        <f t="shared" ref="U499:U508" si="9">IF(T499="","",+T499-J499)</f>
        <v>76</v>
      </c>
      <c r="V499" s="446" t="s">
        <v>3709</v>
      </c>
      <c r="W499" s="659" t="s">
        <v>2655</v>
      </c>
      <c r="X499" s="643"/>
      <c r="Y499" s="643"/>
      <c r="Z499" s="446">
        <v>2192839014</v>
      </c>
      <c r="AA499" s="1044" t="s">
        <v>3717</v>
      </c>
      <c r="AB499" s="1032" t="s">
        <v>3718</v>
      </c>
      <c r="AC499" s="644"/>
      <c r="AD499" s="645" t="str">
        <f t="shared" ref="AD499:AD508" si="10">IF(P499="","",IF(P499&lt;=0,"en término","atrasado"))</f>
        <v>en término</v>
      </c>
    </row>
    <row r="500" spans="1:30" s="587" customFormat="1" ht="54.95" customHeight="1" thickBot="1" x14ac:dyDescent="0.25">
      <c r="A500" s="584"/>
      <c r="B500" s="455" t="s">
        <v>78</v>
      </c>
      <c r="C500" s="455" t="s">
        <v>79</v>
      </c>
      <c r="D500" s="456" t="s">
        <v>3719</v>
      </c>
      <c r="E500" s="456"/>
      <c r="F500" s="457" t="s">
        <v>3720</v>
      </c>
      <c r="G500" s="457" t="s">
        <v>39</v>
      </c>
      <c r="H500" s="458">
        <v>4080</v>
      </c>
      <c r="I500" s="611" t="s">
        <v>83</v>
      </c>
      <c r="J500" s="460">
        <v>40400</v>
      </c>
      <c r="K500" s="461">
        <v>45</v>
      </c>
      <c r="L500" s="462">
        <f>+J500+K500</f>
        <v>40445</v>
      </c>
      <c r="M500" s="611" t="s">
        <v>124</v>
      </c>
      <c r="N500" s="468" t="s">
        <v>110</v>
      </c>
      <c r="O500" s="460">
        <v>40435</v>
      </c>
      <c r="P500" s="461">
        <f t="shared" si="8"/>
        <v>7</v>
      </c>
      <c r="Q500" s="461"/>
      <c r="R500" s="460"/>
      <c r="S500" s="471">
        <v>40452</v>
      </c>
      <c r="T500" s="471">
        <f>+S500+5</f>
        <v>40457</v>
      </c>
      <c r="U500" s="461">
        <f t="shared" si="9"/>
        <v>57</v>
      </c>
      <c r="V500" s="468" t="s">
        <v>2183</v>
      </c>
      <c r="W500" s="493" t="s">
        <v>2660</v>
      </c>
      <c r="X500" s="467"/>
      <c r="Y500" s="467"/>
      <c r="Z500" s="468">
        <v>2192839003</v>
      </c>
      <c r="AA500" s="456" t="s">
        <v>47</v>
      </c>
      <c r="AB500" s="460" t="s">
        <v>3020</v>
      </c>
      <c r="AC500" s="470"/>
      <c r="AD500" s="645" t="str">
        <f t="shared" si="10"/>
        <v>atrasado</v>
      </c>
    </row>
    <row r="501" spans="1:30" s="587" customFormat="1" ht="54.95" customHeight="1" thickBot="1" x14ac:dyDescent="0.25">
      <c r="A501" s="584"/>
      <c r="B501" s="455" t="s">
        <v>78</v>
      </c>
      <c r="C501" s="455" t="s">
        <v>3165</v>
      </c>
      <c r="D501" s="456" t="s">
        <v>3721</v>
      </c>
      <c r="E501" s="456"/>
      <c r="F501" s="457">
        <v>571875</v>
      </c>
      <c r="G501" s="457" t="s">
        <v>39</v>
      </c>
      <c r="H501" s="458">
        <v>163654.1</v>
      </c>
      <c r="I501" s="611" t="s">
        <v>83</v>
      </c>
      <c r="J501" s="460">
        <v>40400</v>
      </c>
      <c r="K501" s="461">
        <v>60</v>
      </c>
      <c r="L501" s="462">
        <v>40492</v>
      </c>
      <c r="M501" s="611" t="s">
        <v>124</v>
      </c>
      <c r="N501" s="468" t="s">
        <v>656</v>
      </c>
      <c r="O501" s="460">
        <v>40459</v>
      </c>
      <c r="P501" s="461">
        <f t="shared" si="8"/>
        <v>-15</v>
      </c>
      <c r="Q501" s="461"/>
      <c r="R501" s="460">
        <v>40473</v>
      </c>
      <c r="S501" s="471">
        <v>40477</v>
      </c>
      <c r="T501" s="471">
        <f>+S501+10</f>
        <v>40487</v>
      </c>
      <c r="U501" s="461">
        <f t="shared" si="9"/>
        <v>87</v>
      </c>
      <c r="V501" s="468" t="s">
        <v>3722</v>
      </c>
      <c r="W501" s="493" t="s">
        <v>2684</v>
      </c>
      <c r="X501" s="467"/>
      <c r="Y501" s="467"/>
      <c r="Z501" s="468">
        <v>3109968363</v>
      </c>
      <c r="AA501" s="456" t="s">
        <v>47</v>
      </c>
      <c r="AB501" s="460" t="s">
        <v>3723</v>
      </c>
      <c r="AC501" s="470" t="s">
        <v>3724</v>
      </c>
      <c r="AD501" s="645" t="str">
        <f t="shared" si="10"/>
        <v>en término</v>
      </c>
    </row>
    <row r="502" spans="1:30" s="587" customFormat="1" ht="54.95" customHeight="1" thickBot="1" x14ac:dyDescent="0.25">
      <c r="A502" s="584"/>
      <c r="B502" s="455" t="s">
        <v>78</v>
      </c>
      <c r="C502" s="455" t="s">
        <v>3165</v>
      </c>
      <c r="D502" s="456" t="s">
        <v>3725</v>
      </c>
      <c r="E502" s="456"/>
      <c r="F502" s="457">
        <v>572204</v>
      </c>
      <c r="G502" s="457" t="s">
        <v>39</v>
      </c>
      <c r="H502" s="458">
        <v>97472.27</v>
      </c>
      <c r="I502" s="611" t="s">
        <v>83</v>
      </c>
      <c r="J502" s="460">
        <v>40413</v>
      </c>
      <c r="K502" s="461">
        <v>60</v>
      </c>
      <c r="L502" s="462">
        <v>40476</v>
      </c>
      <c r="M502" s="611" t="s">
        <v>124</v>
      </c>
      <c r="N502" s="468" t="s">
        <v>656</v>
      </c>
      <c r="O502" s="460">
        <v>40473</v>
      </c>
      <c r="P502" s="461">
        <f t="shared" si="8"/>
        <v>11</v>
      </c>
      <c r="Q502" s="461"/>
      <c r="R502" s="460"/>
      <c r="S502" s="471">
        <v>40487</v>
      </c>
      <c r="T502" s="471">
        <f>+S502+10</f>
        <v>40497</v>
      </c>
      <c r="U502" s="461">
        <f t="shared" si="9"/>
        <v>84</v>
      </c>
      <c r="V502" s="468" t="s">
        <v>3726</v>
      </c>
      <c r="W502" s="493" t="s">
        <v>3727</v>
      </c>
      <c r="X502" s="467"/>
      <c r="Y502" s="467"/>
      <c r="Z502" s="446" t="s">
        <v>3728</v>
      </c>
      <c r="AA502" s="456" t="s">
        <v>47</v>
      </c>
      <c r="AB502" s="460" t="s">
        <v>3729</v>
      </c>
      <c r="AC502" s="470"/>
      <c r="AD502" s="645" t="str">
        <f t="shared" si="10"/>
        <v>atrasado</v>
      </c>
    </row>
    <row r="503" spans="1:30" s="587" customFormat="1" ht="54.95" customHeight="1" thickBot="1" x14ac:dyDescent="0.25">
      <c r="A503" s="584"/>
      <c r="B503" s="1043" t="s">
        <v>78</v>
      </c>
      <c r="C503" s="1043" t="s">
        <v>3165</v>
      </c>
      <c r="D503" s="1044" t="s">
        <v>3730</v>
      </c>
      <c r="E503" s="1044"/>
      <c r="F503" s="1028">
        <v>572325</v>
      </c>
      <c r="G503" s="1028" t="s">
        <v>39</v>
      </c>
      <c r="H503" s="1029">
        <v>12755.3</v>
      </c>
      <c r="I503" s="640" t="s">
        <v>83</v>
      </c>
      <c r="J503" s="1032">
        <v>40423</v>
      </c>
      <c r="K503" s="1041">
        <f>+L503-J503</f>
        <v>60</v>
      </c>
      <c r="L503" s="641">
        <v>40483</v>
      </c>
      <c r="M503" s="640" t="s">
        <v>124</v>
      </c>
      <c r="N503" s="446" t="s">
        <v>1750</v>
      </c>
      <c r="O503" s="1032">
        <v>40473</v>
      </c>
      <c r="P503" s="1041">
        <f t="shared" si="8"/>
        <v>16</v>
      </c>
      <c r="Q503" s="1041" t="s">
        <v>3731</v>
      </c>
      <c r="R503" s="1032">
        <v>40490</v>
      </c>
      <c r="S503" s="642">
        <v>40499</v>
      </c>
      <c r="T503" s="642">
        <f>+S503+30</f>
        <v>40529</v>
      </c>
      <c r="U503" s="1041">
        <f t="shared" si="9"/>
        <v>106</v>
      </c>
      <c r="V503" s="446" t="s">
        <v>3732</v>
      </c>
      <c r="W503" s="659" t="s">
        <v>3733</v>
      </c>
      <c r="X503" s="643"/>
      <c r="Y503" s="643"/>
      <c r="Z503" s="446">
        <v>3109968503</v>
      </c>
      <c r="AA503" s="1044" t="s">
        <v>47</v>
      </c>
      <c r="AB503" s="1032" t="s">
        <v>3734</v>
      </c>
      <c r="AC503" s="644"/>
      <c r="AD503" s="645" t="str">
        <f t="shared" si="10"/>
        <v>atrasado</v>
      </c>
    </row>
    <row r="504" spans="1:30" s="587" customFormat="1" ht="54.95" customHeight="1" thickBot="1" x14ac:dyDescent="0.25">
      <c r="A504" s="584"/>
      <c r="B504" s="455" t="s">
        <v>78</v>
      </c>
      <c r="C504" s="455" t="s">
        <v>3165</v>
      </c>
      <c r="D504" s="456" t="s">
        <v>3735</v>
      </c>
      <c r="E504" s="456"/>
      <c r="F504" s="457">
        <v>572491</v>
      </c>
      <c r="G504" s="457" t="s">
        <v>39</v>
      </c>
      <c r="H504" s="458">
        <v>50980</v>
      </c>
      <c r="I504" s="611" t="s">
        <v>83</v>
      </c>
      <c r="J504" s="460">
        <v>40421</v>
      </c>
      <c r="K504" s="461">
        <v>63</v>
      </c>
      <c r="L504" s="462">
        <v>40491</v>
      </c>
      <c r="M504" s="611" t="s">
        <v>124</v>
      </c>
      <c r="N504" s="468" t="s">
        <v>656</v>
      </c>
      <c r="O504" s="460">
        <v>40486</v>
      </c>
      <c r="P504" s="461">
        <f t="shared" si="8"/>
        <v>8</v>
      </c>
      <c r="Q504" s="461"/>
      <c r="R504" s="1032">
        <v>40499</v>
      </c>
      <c r="S504" s="642">
        <v>40499</v>
      </c>
      <c r="T504" s="471">
        <f>+S504+10</f>
        <v>40509</v>
      </c>
      <c r="U504" s="461">
        <f t="shared" si="9"/>
        <v>88</v>
      </c>
      <c r="V504" s="468" t="s">
        <v>3732</v>
      </c>
      <c r="W504" s="493">
        <v>104</v>
      </c>
      <c r="X504" s="467"/>
      <c r="Y504" s="467"/>
      <c r="Z504" s="446" t="s">
        <v>3728</v>
      </c>
      <c r="AA504" s="456" t="s">
        <v>47</v>
      </c>
      <c r="AB504" s="460" t="s">
        <v>2851</v>
      </c>
      <c r="AC504" s="470" t="s">
        <v>3736</v>
      </c>
      <c r="AD504" s="645" t="str">
        <f t="shared" si="10"/>
        <v>atrasado</v>
      </c>
    </row>
    <row r="505" spans="1:30" s="587" customFormat="1" ht="54.95" customHeight="1" thickBot="1" x14ac:dyDescent="0.25">
      <c r="A505" s="584"/>
      <c r="B505" s="1043" t="s">
        <v>78</v>
      </c>
      <c r="C505" s="1043" t="s">
        <v>3165</v>
      </c>
      <c r="D505" s="1044" t="s">
        <v>3721</v>
      </c>
      <c r="E505" s="1044"/>
      <c r="F505" s="1028">
        <v>571875</v>
      </c>
      <c r="G505" s="1028" t="s">
        <v>39</v>
      </c>
      <c r="H505" s="1029">
        <v>163654.1</v>
      </c>
      <c r="I505" s="640" t="s">
        <v>83</v>
      </c>
      <c r="J505" s="1032">
        <v>40400</v>
      </c>
      <c r="K505" s="1041">
        <v>90</v>
      </c>
      <c r="L505" s="641">
        <v>40493</v>
      </c>
      <c r="M505" s="640" t="s">
        <v>124</v>
      </c>
      <c r="N505" s="446" t="s">
        <v>656</v>
      </c>
      <c r="O505" s="1032">
        <v>40486</v>
      </c>
      <c r="P505" s="1041">
        <f>IF(S505="","",+S505-L505)</f>
        <v>6</v>
      </c>
      <c r="Q505" s="1041"/>
      <c r="R505" s="1032">
        <v>40499</v>
      </c>
      <c r="S505" s="642">
        <v>40499</v>
      </c>
      <c r="T505" s="642">
        <f>+S505+10</f>
        <v>40509</v>
      </c>
      <c r="U505" s="1041">
        <f>IF(T505="","",+T505-J505)</f>
        <v>109</v>
      </c>
      <c r="V505" s="446" t="s">
        <v>3737</v>
      </c>
      <c r="W505" s="659">
        <v>105</v>
      </c>
      <c r="X505" s="643"/>
      <c r="Y505" s="643"/>
      <c r="Z505" s="446" t="s">
        <v>3728</v>
      </c>
      <c r="AA505" s="1044" t="s">
        <v>1575</v>
      </c>
      <c r="AB505" s="460" t="s">
        <v>2851</v>
      </c>
      <c r="AC505" s="644" t="s">
        <v>3738</v>
      </c>
      <c r="AD505" s="645" t="str">
        <f>IF(P505="","",IF(P505&lt;=0,"en término","atrasado"))</f>
        <v>atrasado</v>
      </c>
    </row>
    <row r="506" spans="1:30" s="587" customFormat="1" ht="54.95" customHeight="1" thickBot="1" x14ac:dyDescent="0.25">
      <c r="A506" s="584"/>
      <c r="B506" s="1043" t="s">
        <v>78</v>
      </c>
      <c r="C506" s="1043" t="s">
        <v>3165</v>
      </c>
      <c r="D506" s="1044" t="s">
        <v>3725</v>
      </c>
      <c r="E506" s="1044"/>
      <c r="F506" s="1028">
        <v>572204</v>
      </c>
      <c r="G506" s="1028" t="s">
        <v>39</v>
      </c>
      <c r="H506" s="1029">
        <v>32871.1</v>
      </c>
      <c r="I506" s="640" t="s">
        <v>83</v>
      </c>
      <c r="J506" s="1032">
        <v>40413</v>
      </c>
      <c r="K506" s="1041">
        <v>90</v>
      </c>
      <c r="L506" s="641">
        <v>40504</v>
      </c>
      <c r="M506" s="640" t="s">
        <v>124</v>
      </c>
      <c r="N506" s="446" t="s">
        <v>656</v>
      </c>
      <c r="O506" s="1032">
        <v>40498</v>
      </c>
      <c r="P506" s="1041">
        <f t="shared" si="8"/>
        <v>25</v>
      </c>
      <c r="Q506" s="1041"/>
      <c r="R506" s="1032"/>
      <c r="S506" s="642">
        <v>40529</v>
      </c>
      <c r="T506" s="642">
        <f>+S506+30</f>
        <v>40559</v>
      </c>
      <c r="U506" s="1041">
        <f t="shared" si="9"/>
        <v>146</v>
      </c>
      <c r="V506" s="446" t="s">
        <v>3739</v>
      </c>
      <c r="W506" s="659">
        <v>108</v>
      </c>
      <c r="X506" s="643"/>
      <c r="Y506" s="643"/>
      <c r="Z506" s="446">
        <v>3109968503</v>
      </c>
      <c r="AA506" s="1044" t="s">
        <v>47</v>
      </c>
      <c r="AB506" s="1032" t="s">
        <v>3734</v>
      </c>
      <c r="AC506" s="644" t="s">
        <v>2390</v>
      </c>
      <c r="AD506" s="645" t="str">
        <f t="shared" si="10"/>
        <v>atrasado</v>
      </c>
    </row>
    <row r="507" spans="1:30" s="587" customFormat="1" ht="54.95" customHeight="1" thickBot="1" x14ac:dyDescent="0.25">
      <c r="A507" s="584"/>
      <c r="B507" s="455" t="s">
        <v>78</v>
      </c>
      <c r="C507" s="455" t="s">
        <v>3165</v>
      </c>
      <c r="D507" s="456" t="s">
        <v>3740</v>
      </c>
      <c r="E507" s="456"/>
      <c r="F507" s="457">
        <v>572751</v>
      </c>
      <c r="G507" s="457" t="s">
        <v>39</v>
      </c>
      <c r="H507" s="458">
        <v>128871.1</v>
      </c>
      <c r="I507" s="611" t="s">
        <v>83</v>
      </c>
      <c r="J507" s="460">
        <v>40427</v>
      </c>
      <c r="K507" s="461">
        <f>+L507-J507</f>
        <v>63</v>
      </c>
      <c r="L507" s="462">
        <v>40490</v>
      </c>
      <c r="M507" s="611" t="s">
        <v>124</v>
      </c>
      <c r="N507" s="468" t="s">
        <v>656</v>
      </c>
      <c r="O507" s="460">
        <v>40498</v>
      </c>
      <c r="P507" s="461">
        <f t="shared" si="8"/>
        <v>39</v>
      </c>
      <c r="Q507" s="461"/>
      <c r="R507" s="460"/>
      <c r="S507" s="471">
        <v>40529</v>
      </c>
      <c r="T507" s="471">
        <f>+S507+30</f>
        <v>40559</v>
      </c>
      <c r="U507" s="461">
        <f t="shared" si="9"/>
        <v>132</v>
      </c>
      <c r="V507" s="468" t="s">
        <v>3722</v>
      </c>
      <c r="W507" s="493">
        <v>109</v>
      </c>
      <c r="X507" s="467"/>
      <c r="Y507" s="467"/>
      <c r="Z507" s="446">
        <v>3109968503</v>
      </c>
      <c r="AA507" s="456" t="s">
        <v>47</v>
      </c>
      <c r="AB507" s="460" t="s">
        <v>3734</v>
      </c>
      <c r="AC507" s="470" t="s">
        <v>3741</v>
      </c>
      <c r="AD507" s="645" t="str">
        <f t="shared" si="10"/>
        <v>atrasado</v>
      </c>
    </row>
    <row r="508" spans="1:30" s="587" customFormat="1" ht="54.95" customHeight="1" thickBot="1" x14ac:dyDescent="0.25">
      <c r="A508" s="584"/>
      <c r="B508" s="1043" t="s">
        <v>78</v>
      </c>
      <c r="C508" s="1043" t="s">
        <v>3165</v>
      </c>
      <c r="D508" s="1044" t="s">
        <v>3740</v>
      </c>
      <c r="E508" s="1044"/>
      <c r="F508" s="1028">
        <v>572751</v>
      </c>
      <c r="G508" s="1028" t="s">
        <v>39</v>
      </c>
      <c r="H508" s="1029">
        <v>87749</v>
      </c>
      <c r="I508" s="640" t="s">
        <v>83</v>
      </c>
      <c r="J508" s="1032">
        <v>40427</v>
      </c>
      <c r="K508" s="1041">
        <f>+L508-J508</f>
        <v>91</v>
      </c>
      <c r="L508" s="641">
        <v>40518</v>
      </c>
      <c r="M508" s="640" t="s">
        <v>124</v>
      </c>
      <c r="N508" s="446" t="s">
        <v>656</v>
      </c>
      <c r="O508" s="1032">
        <v>40512</v>
      </c>
      <c r="P508" s="1041">
        <f t="shared" si="8"/>
        <v>11</v>
      </c>
      <c r="Q508" s="1041"/>
      <c r="R508" s="1032"/>
      <c r="S508" s="642">
        <v>40529</v>
      </c>
      <c r="T508" s="642">
        <f>+S508+30</f>
        <v>40559</v>
      </c>
      <c r="U508" s="1041">
        <f t="shared" si="9"/>
        <v>132</v>
      </c>
      <c r="V508" s="446" t="s">
        <v>3742</v>
      </c>
      <c r="W508" s="659">
        <v>119</v>
      </c>
      <c r="X508" s="643"/>
      <c r="Y508" s="643"/>
      <c r="Z508" s="446">
        <v>3109968503</v>
      </c>
      <c r="AA508" s="1044" t="s">
        <v>47</v>
      </c>
      <c r="AB508" s="1032" t="s">
        <v>1810</v>
      </c>
      <c r="AC508" s="644" t="s">
        <v>3743</v>
      </c>
      <c r="AD508" s="645" t="str">
        <f t="shared" si="10"/>
        <v>atrasado</v>
      </c>
    </row>
    <row r="509" spans="1:30" s="587" customFormat="1" ht="54.95" customHeight="1" x14ac:dyDescent="0.2">
      <c r="A509" s="584"/>
      <c r="B509" s="1043" t="s">
        <v>78</v>
      </c>
      <c r="C509" s="1043" t="s">
        <v>79</v>
      </c>
      <c r="D509" s="1044" t="s">
        <v>3744</v>
      </c>
      <c r="E509" s="1044"/>
      <c r="F509" s="1028" t="s">
        <v>3745</v>
      </c>
      <c r="G509" s="1028" t="s">
        <v>39</v>
      </c>
      <c r="H509" s="1029">
        <v>9840</v>
      </c>
      <c r="I509" s="640" t="s">
        <v>83</v>
      </c>
      <c r="J509" s="1032">
        <v>40507</v>
      </c>
      <c r="K509" s="1041">
        <f>+L509-J509</f>
        <v>25</v>
      </c>
      <c r="L509" s="641">
        <v>40532</v>
      </c>
      <c r="M509" s="640" t="s">
        <v>124</v>
      </c>
      <c r="N509" s="446" t="s">
        <v>656</v>
      </c>
      <c r="O509" s="1032">
        <v>40540</v>
      </c>
      <c r="P509" s="1041">
        <f>IF(S509="","",+S509-L509)</f>
        <v>17</v>
      </c>
      <c r="Q509" s="1041"/>
      <c r="R509" s="1032"/>
      <c r="S509" s="642">
        <v>40549</v>
      </c>
      <c r="T509" s="642">
        <f>+S509+2</f>
        <v>40551</v>
      </c>
      <c r="U509" s="1041">
        <f>IF(T509="","",+T509-J509)</f>
        <v>44</v>
      </c>
      <c r="V509" s="446" t="s">
        <v>2183</v>
      </c>
      <c r="W509" s="659">
        <v>121</v>
      </c>
      <c r="X509" s="643"/>
      <c r="Y509" s="643"/>
      <c r="Z509" s="446" t="s">
        <v>1676</v>
      </c>
      <c r="AA509" s="1044" t="s">
        <v>47</v>
      </c>
      <c r="AB509" s="1032" t="s">
        <v>3746</v>
      </c>
      <c r="AC509" s="644"/>
      <c r="AD509" s="645" t="str">
        <f>IF(P509="","",IF(P509&lt;=0,"en término","atrasado"))</f>
        <v>atrasado</v>
      </c>
    </row>
    <row r="512" spans="1:30" ht="12.75" x14ac:dyDescent="0.2">
      <c r="AA512" s="1">
        <v>2010</v>
      </c>
      <c r="AB512" s="1047"/>
    </row>
    <row r="513" spans="1:41" ht="12.75" x14ac:dyDescent="0.2">
      <c r="AA513" s="945" t="s">
        <v>813</v>
      </c>
      <c r="AB513" s="1048">
        <f>COUNTA(AD489:AD511)</f>
        <v>18</v>
      </c>
    </row>
    <row r="514" spans="1:41" ht="12.75" x14ac:dyDescent="0.2">
      <c r="AA514" s="945" t="s">
        <v>815</v>
      </c>
      <c r="AB514" s="1048">
        <f>COUNTIF(AD489:AD511,"en término")</f>
        <v>8</v>
      </c>
    </row>
    <row r="515" spans="1:41" ht="12.75" x14ac:dyDescent="0.2">
      <c r="AA515" s="945" t="s">
        <v>817</v>
      </c>
      <c r="AB515" s="557">
        <f>+AB514/AB513</f>
        <v>0.44444444444444442</v>
      </c>
    </row>
    <row r="517" spans="1:41" ht="12" thickBot="1" x14ac:dyDescent="0.25"/>
    <row r="518" spans="1:41" s="556" customFormat="1" ht="39.950000000000003" customHeight="1" thickBot="1" x14ac:dyDescent="0.4">
      <c r="B518" s="1611">
        <v>2011</v>
      </c>
      <c r="C518" s="1612"/>
      <c r="D518" s="1612"/>
      <c r="E518" s="1612"/>
      <c r="F518" s="1612"/>
      <c r="G518" s="1612"/>
      <c r="H518" s="1612"/>
      <c r="I518" s="1612"/>
      <c r="J518" s="1612"/>
      <c r="K518" s="1612"/>
      <c r="L518" s="1612"/>
      <c r="M518" s="1612"/>
      <c r="N518" s="1612"/>
      <c r="O518" s="1612"/>
      <c r="P518" s="1612"/>
      <c r="Q518" s="1612"/>
      <c r="R518" s="1612"/>
      <c r="S518" s="1612"/>
      <c r="T518" s="1612"/>
      <c r="U518" s="1612"/>
      <c r="V518" s="1612"/>
      <c r="W518" s="1612"/>
      <c r="X518" s="1612"/>
      <c r="Y518" s="1612"/>
      <c r="Z518" s="1612"/>
      <c r="AA518" s="1612"/>
      <c r="AB518" s="1612"/>
      <c r="AC518" s="1613"/>
      <c r="AD518" s="555"/>
    </row>
    <row r="519" spans="1:41" s="441" customFormat="1" ht="60" customHeight="1" thickBot="1" x14ac:dyDescent="0.25">
      <c r="A519" s="438"/>
      <c r="B519" s="451" t="s">
        <v>130</v>
      </c>
      <c r="C519" s="451" t="s">
        <v>4</v>
      </c>
      <c r="D519" s="451" t="s">
        <v>5</v>
      </c>
      <c r="E519" s="451" t="s">
        <v>6</v>
      </c>
      <c r="F519" s="451" t="s">
        <v>7</v>
      </c>
      <c r="G519" s="451" t="s">
        <v>8</v>
      </c>
      <c r="H519" s="453" t="s">
        <v>9</v>
      </c>
      <c r="I519" s="453" t="s">
        <v>10</v>
      </c>
      <c r="J519" s="451" t="s">
        <v>11</v>
      </c>
      <c r="K519" s="451" t="s">
        <v>12</v>
      </c>
      <c r="L519" s="451" t="s">
        <v>13</v>
      </c>
      <c r="M519" s="451" t="s">
        <v>14</v>
      </c>
      <c r="N519" s="451" t="s">
        <v>15</v>
      </c>
      <c r="O519" s="452" t="s">
        <v>16</v>
      </c>
      <c r="P519" s="454" t="s">
        <v>17</v>
      </c>
      <c r="Q519" s="451" t="s">
        <v>18</v>
      </c>
      <c r="R519" s="452" t="s">
        <v>19</v>
      </c>
      <c r="S519" s="451" t="s">
        <v>20</v>
      </c>
      <c r="T519" s="451" t="s">
        <v>21</v>
      </c>
      <c r="U519" s="452" t="s">
        <v>22</v>
      </c>
      <c r="V519" s="451" t="s">
        <v>131</v>
      </c>
      <c r="W519" s="451" t="s">
        <v>24</v>
      </c>
      <c r="X519" s="451" t="s">
        <v>132</v>
      </c>
      <c r="Y519" s="451" t="s">
        <v>26</v>
      </c>
      <c r="Z519" s="451" t="s">
        <v>27</v>
      </c>
      <c r="AA519" s="451" t="s">
        <v>28</v>
      </c>
      <c r="AB519" s="451" t="s">
        <v>29</v>
      </c>
      <c r="AC519" s="451" t="s">
        <v>30</v>
      </c>
      <c r="AD519" s="439"/>
      <c r="AE519" s="440"/>
      <c r="AF519" s="440"/>
      <c r="AG519" s="440"/>
      <c r="AH519" s="440"/>
      <c r="AI519" s="440"/>
      <c r="AJ519" s="440"/>
      <c r="AK519" s="440"/>
      <c r="AL519" s="440"/>
      <c r="AM519" s="440"/>
    </row>
    <row r="520" spans="1:41" s="413" customFormat="1" ht="54.95" customHeight="1" thickBot="1" x14ac:dyDescent="0.25">
      <c r="A520" s="411"/>
      <c r="B520" s="744" t="s">
        <v>78</v>
      </c>
      <c r="C520" s="744" t="s">
        <v>3165</v>
      </c>
      <c r="D520" s="539" t="s">
        <v>3747</v>
      </c>
      <c r="E520" s="539"/>
      <c r="F520" s="1038">
        <v>576464</v>
      </c>
      <c r="G520" s="1038" t="s">
        <v>39</v>
      </c>
      <c r="H520" s="1030">
        <v>31724.37</v>
      </c>
      <c r="I520" s="760" t="s">
        <v>83</v>
      </c>
      <c r="J520" s="745">
        <v>40547</v>
      </c>
      <c r="K520" s="746">
        <f t="shared" ref="K520:K528" si="11">+L520-J520</f>
        <v>150</v>
      </c>
      <c r="L520" s="747">
        <v>40697</v>
      </c>
      <c r="M520" s="760" t="s">
        <v>124</v>
      </c>
      <c r="N520" s="532" t="s">
        <v>656</v>
      </c>
      <c r="O520" s="745">
        <v>40690</v>
      </c>
      <c r="P520" s="1041">
        <f t="shared" ref="P520:P528" si="12">IF(S520="","",+S520-L520)</f>
        <v>-27</v>
      </c>
      <c r="Q520" s="591" t="s">
        <v>2465</v>
      </c>
      <c r="R520" s="460">
        <v>40668</v>
      </c>
      <c r="S520" s="471">
        <v>40670</v>
      </c>
      <c r="T520" s="464">
        <v>40686</v>
      </c>
      <c r="U520" s="746">
        <f t="shared" ref="U520:U528" si="13">IF(T520="","",+T520-J520)</f>
        <v>139</v>
      </c>
      <c r="V520" s="532" t="s">
        <v>3748</v>
      </c>
      <c r="W520" s="749">
        <v>53</v>
      </c>
      <c r="X520" s="750"/>
      <c r="Y520" s="750"/>
      <c r="Z520" s="532"/>
      <c r="AA520" s="539"/>
      <c r="AB520" s="745" t="s">
        <v>47</v>
      </c>
      <c r="AC520" s="761" t="s">
        <v>3749</v>
      </c>
      <c r="AD520" s="645" t="str">
        <f t="shared" ref="AD520:AD533" si="14">IF(P520="","",IF(P520&lt;=0,"en término","atrasado"))</f>
        <v>en término</v>
      </c>
      <c r="AE520" s="646"/>
      <c r="AF520" s="410"/>
      <c r="AG520" s="410"/>
      <c r="AH520" s="410"/>
      <c r="AI520" s="410"/>
      <c r="AJ520" s="410"/>
      <c r="AK520" s="410"/>
      <c r="AL520" s="410"/>
      <c r="AM520" s="410"/>
      <c r="AN520" s="410"/>
      <c r="AO520" s="410"/>
    </row>
    <row r="521" spans="1:41" s="413" customFormat="1" ht="54.95" customHeight="1" thickBot="1" x14ac:dyDescent="0.25">
      <c r="A521" s="411"/>
      <c r="B521" s="1043" t="s">
        <v>78</v>
      </c>
      <c r="C521" s="1043" t="s">
        <v>3165</v>
      </c>
      <c r="D521" s="1044" t="s">
        <v>3747</v>
      </c>
      <c r="E521" s="1044"/>
      <c r="F521" s="1028">
        <v>576524</v>
      </c>
      <c r="G521" s="1028" t="s">
        <v>39</v>
      </c>
      <c r="H521" s="1029">
        <v>63030.2</v>
      </c>
      <c r="I521" s="640" t="s">
        <v>83</v>
      </c>
      <c r="J521" s="1032">
        <v>40547</v>
      </c>
      <c r="K521" s="1041">
        <f t="shared" si="11"/>
        <v>150</v>
      </c>
      <c r="L521" s="641">
        <v>40697</v>
      </c>
      <c r="M521" s="640" t="s">
        <v>124</v>
      </c>
      <c r="N521" s="446" t="s">
        <v>656</v>
      </c>
      <c r="O521" s="1032">
        <v>40690</v>
      </c>
      <c r="P521" s="1041">
        <f t="shared" si="12"/>
        <v>-27</v>
      </c>
      <c r="Q521" s="591" t="s">
        <v>2465</v>
      </c>
      <c r="R521" s="460">
        <v>40668</v>
      </c>
      <c r="S521" s="471">
        <v>40670</v>
      </c>
      <c r="T521" s="464">
        <v>40686</v>
      </c>
      <c r="U521" s="1041">
        <f t="shared" si="13"/>
        <v>139</v>
      </c>
      <c r="V521" s="446" t="s">
        <v>3750</v>
      </c>
      <c r="W521" s="659">
        <v>54</v>
      </c>
      <c r="X521" s="643"/>
      <c r="Y521" s="643"/>
      <c r="Z521" s="446"/>
      <c r="AA521" s="1044"/>
      <c r="AB521" s="745" t="s">
        <v>47</v>
      </c>
      <c r="AC521" s="644" t="s">
        <v>3749</v>
      </c>
      <c r="AD521" s="645" t="str">
        <f t="shared" si="14"/>
        <v>en término</v>
      </c>
      <c r="AE521" s="646"/>
      <c r="AF521" s="410"/>
      <c r="AG521" s="410"/>
      <c r="AH521" s="410"/>
      <c r="AI521" s="410"/>
      <c r="AJ521" s="410"/>
      <c r="AK521" s="410"/>
      <c r="AL521" s="410"/>
      <c r="AM521" s="410"/>
      <c r="AN521" s="410"/>
      <c r="AO521" s="410"/>
    </row>
    <row r="522" spans="1:41" s="413" customFormat="1" ht="54.95" customHeight="1" thickBot="1" x14ac:dyDescent="0.25">
      <c r="A522" s="411"/>
      <c r="B522" s="1043" t="s">
        <v>78</v>
      </c>
      <c r="C522" s="1043" t="s">
        <v>3165</v>
      </c>
      <c r="D522" s="1044" t="s">
        <v>3747</v>
      </c>
      <c r="E522" s="1044"/>
      <c r="F522" s="1028">
        <v>576524</v>
      </c>
      <c r="G522" s="1028" t="s">
        <v>39</v>
      </c>
      <c r="H522" s="1029">
        <v>227657.9</v>
      </c>
      <c r="I522" s="640" t="s">
        <v>83</v>
      </c>
      <c r="J522" s="1032">
        <v>40547</v>
      </c>
      <c r="K522" s="1041">
        <f>+L522-J522</f>
        <v>150</v>
      </c>
      <c r="L522" s="641">
        <v>40697</v>
      </c>
      <c r="M522" s="640" t="s">
        <v>124</v>
      </c>
      <c r="N522" s="446" t="s">
        <v>656</v>
      </c>
      <c r="O522" s="1032">
        <v>40690</v>
      </c>
      <c r="P522" s="1041">
        <f>IF(S522="","",+S522-L522)</f>
        <v>-89</v>
      </c>
      <c r="Q522" s="1041"/>
      <c r="R522" s="1032">
        <v>40697</v>
      </c>
      <c r="S522" s="642">
        <v>40608</v>
      </c>
      <c r="T522" s="642">
        <v>40712</v>
      </c>
      <c r="U522" s="1041">
        <f>IF(T522="","",+T522-J522)</f>
        <v>165</v>
      </c>
      <c r="V522" s="446" t="s">
        <v>3750</v>
      </c>
      <c r="W522" s="659"/>
      <c r="X522" s="643"/>
      <c r="Y522" s="643"/>
      <c r="Z522" s="446"/>
      <c r="AA522" s="1044"/>
      <c r="AB522" s="745" t="s">
        <v>47</v>
      </c>
      <c r="AC522" s="644" t="s">
        <v>3751</v>
      </c>
      <c r="AD522" s="645" t="str">
        <f>IF(P522="","",IF(P522&lt;=0,"en término","atrasado"))</f>
        <v>en término</v>
      </c>
      <c r="AE522" s="646"/>
      <c r="AF522" s="410"/>
      <c r="AG522" s="410"/>
      <c r="AH522" s="410"/>
      <c r="AI522" s="410"/>
      <c r="AJ522" s="410"/>
      <c r="AK522" s="410"/>
      <c r="AL522" s="410"/>
      <c r="AM522" s="410"/>
      <c r="AN522" s="410"/>
      <c r="AO522" s="410"/>
    </row>
    <row r="523" spans="1:41" s="638" customFormat="1" ht="54.95" customHeight="1" thickBot="1" x14ac:dyDescent="0.25">
      <c r="A523" s="411"/>
      <c r="B523" s="455" t="s">
        <v>78</v>
      </c>
      <c r="C523" s="455" t="s">
        <v>3165</v>
      </c>
      <c r="D523" s="456" t="s">
        <v>3747</v>
      </c>
      <c r="E523" s="456"/>
      <c r="F523" s="457">
        <v>576464</v>
      </c>
      <c r="G523" s="457" t="s">
        <v>39</v>
      </c>
      <c r="H523" s="458">
        <v>166272.63</v>
      </c>
      <c r="I523" s="611" t="s">
        <v>83</v>
      </c>
      <c r="J523" s="460">
        <v>40547</v>
      </c>
      <c r="K523" s="461">
        <f>+L523-J523</f>
        <v>150</v>
      </c>
      <c r="L523" s="462">
        <v>40697</v>
      </c>
      <c r="M523" s="611" t="s">
        <v>124</v>
      </c>
      <c r="N523" s="468" t="s">
        <v>656</v>
      </c>
      <c r="O523" s="460">
        <v>40690</v>
      </c>
      <c r="P523" s="461">
        <f>IF(S523="","",+S523-L523)</f>
        <v>0</v>
      </c>
      <c r="Q523" s="461"/>
      <c r="R523" s="460">
        <v>40694</v>
      </c>
      <c r="S523" s="471">
        <v>40697</v>
      </c>
      <c r="T523" s="471">
        <v>40712</v>
      </c>
      <c r="U523" s="461">
        <f>IF(T523="","",+T523-J523)</f>
        <v>165</v>
      </c>
      <c r="V523" s="468" t="s">
        <v>3748</v>
      </c>
      <c r="W523" s="493">
        <v>62</v>
      </c>
      <c r="X523" s="467"/>
      <c r="Y523" s="467"/>
      <c r="Z523" s="468"/>
      <c r="AA523" s="456"/>
      <c r="AB523" s="745" t="s">
        <v>47</v>
      </c>
      <c r="AC523" s="470" t="s">
        <v>3749</v>
      </c>
      <c r="AD523" s="444" t="str">
        <f>IF(P523="","",IF(P523&lt;=0,"en término","atrasado"))</f>
        <v>en término</v>
      </c>
      <c r="AE523" s="646"/>
      <c r="AF523" s="726"/>
      <c r="AG523" s="726"/>
      <c r="AH523" s="726"/>
      <c r="AI523" s="726"/>
      <c r="AJ523" s="726"/>
      <c r="AK523" s="726"/>
      <c r="AL523" s="726"/>
      <c r="AM523" s="726"/>
      <c r="AN523" s="726"/>
      <c r="AO523" s="726"/>
    </row>
    <row r="524" spans="1:41" s="413" customFormat="1" ht="54.95" customHeight="1" thickBot="1" x14ac:dyDescent="0.25">
      <c r="A524" s="411"/>
      <c r="B524" s="455" t="s">
        <v>78</v>
      </c>
      <c r="C524" s="455" t="s">
        <v>3165</v>
      </c>
      <c r="D524" s="456" t="s">
        <v>3752</v>
      </c>
      <c r="E524" s="456"/>
      <c r="F524" s="457">
        <v>577329</v>
      </c>
      <c r="G524" s="457" t="s">
        <v>39</v>
      </c>
      <c r="H524" s="458">
        <v>15629.91</v>
      </c>
      <c r="I524" s="611" t="s">
        <v>83</v>
      </c>
      <c r="J524" s="460">
        <v>40581</v>
      </c>
      <c r="K524" s="461">
        <f t="shared" si="11"/>
        <v>182</v>
      </c>
      <c r="L524" s="462">
        <v>40763</v>
      </c>
      <c r="M524" s="611" t="s">
        <v>124</v>
      </c>
      <c r="N524" s="468" t="s">
        <v>42</v>
      </c>
      <c r="O524" s="460">
        <v>40701</v>
      </c>
      <c r="P524" s="461">
        <f t="shared" si="12"/>
        <v>-93</v>
      </c>
      <c r="Q524" s="591" t="s">
        <v>2465</v>
      </c>
      <c r="R524" s="460">
        <v>40668</v>
      </c>
      <c r="S524" s="471">
        <v>40670</v>
      </c>
      <c r="T524" s="464">
        <v>40686</v>
      </c>
      <c r="U524" s="461">
        <f t="shared" si="13"/>
        <v>105</v>
      </c>
      <c r="V524" s="468" t="s">
        <v>3753</v>
      </c>
      <c r="W524" s="493">
        <v>56</v>
      </c>
      <c r="X524" s="467"/>
      <c r="Y524" s="467"/>
      <c r="Z524" s="468"/>
      <c r="AA524" s="456"/>
      <c r="AB524" s="745" t="s">
        <v>47</v>
      </c>
      <c r="AC524" s="470" t="s">
        <v>3754</v>
      </c>
      <c r="AD524" s="645" t="str">
        <f t="shared" si="14"/>
        <v>en término</v>
      </c>
      <c r="AE524" s="646"/>
      <c r="AF524" s="410"/>
      <c r="AG524" s="410"/>
      <c r="AH524" s="410"/>
      <c r="AI524" s="410"/>
      <c r="AJ524" s="410"/>
      <c r="AK524" s="410"/>
      <c r="AL524" s="410"/>
      <c r="AM524" s="410"/>
      <c r="AN524" s="410"/>
      <c r="AO524" s="410"/>
    </row>
    <row r="525" spans="1:41" s="413" customFormat="1" ht="54.95" customHeight="1" thickBot="1" x14ac:dyDescent="0.25">
      <c r="A525" s="411"/>
      <c r="B525" s="455" t="s">
        <v>78</v>
      </c>
      <c r="C525" s="455" t="s">
        <v>3165</v>
      </c>
      <c r="D525" s="456" t="s">
        <v>3752</v>
      </c>
      <c r="E525" s="456"/>
      <c r="F525" s="457">
        <v>577308</v>
      </c>
      <c r="G525" s="457" t="s">
        <v>39</v>
      </c>
      <c r="H525" s="458">
        <v>13522.79</v>
      </c>
      <c r="I525" s="611" t="s">
        <v>83</v>
      </c>
      <c r="J525" s="460">
        <v>40581</v>
      </c>
      <c r="K525" s="461">
        <f t="shared" si="11"/>
        <v>182</v>
      </c>
      <c r="L525" s="462">
        <v>40763</v>
      </c>
      <c r="M525" s="611" t="s">
        <v>124</v>
      </c>
      <c r="N525" s="468" t="s">
        <v>42</v>
      </c>
      <c r="O525" s="460">
        <v>40701</v>
      </c>
      <c r="P525" s="461">
        <f t="shared" si="12"/>
        <v>-93</v>
      </c>
      <c r="Q525" s="591" t="s">
        <v>2465</v>
      </c>
      <c r="R525" s="460">
        <v>40668</v>
      </c>
      <c r="S525" s="471">
        <v>40670</v>
      </c>
      <c r="T525" s="464">
        <v>40686</v>
      </c>
      <c r="U525" s="461">
        <f t="shared" si="13"/>
        <v>105</v>
      </c>
      <c r="V525" s="468" t="s">
        <v>3755</v>
      </c>
      <c r="W525" s="493">
        <v>55</v>
      </c>
      <c r="X525" s="467"/>
      <c r="Y525" s="467"/>
      <c r="Z525" s="468"/>
      <c r="AA525" s="456"/>
      <c r="AB525" s="745" t="s">
        <v>47</v>
      </c>
      <c r="AC525" s="470" t="s">
        <v>3754</v>
      </c>
      <c r="AD525" s="645" t="str">
        <f t="shared" si="14"/>
        <v>en término</v>
      </c>
      <c r="AE525" s="646"/>
      <c r="AF525" s="410"/>
      <c r="AG525" s="410"/>
      <c r="AH525" s="410"/>
      <c r="AI525" s="410"/>
      <c r="AJ525" s="410"/>
      <c r="AK525" s="410"/>
      <c r="AL525" s="410"/>
      <c r="AM525" s="410"/>
      <c r="AN525" s="410"/>
      <c r="AO525" s="410"/>
    </row>
    <row r="526" spans="1:41" s="413" customFormat="1" ht="54.95" customHeight="1" thickBot="1" x14ac:dyDescent="0.25">
      <c r="A526" s="411"/>
      <c r="B526" s="455" t="s">
        <v>78</v>
      </c>
      <c r="C526" s="455" t="s">
        <v>3165</v>
      </c>
      <c r="D526" s="456" t="s">
        <v>3752</v>
      </c>
      <c r="E526" s="456"/>
      <c r="F526" s="457">
        <v>577308</v>
      </c>
      <c r="G526" s="457" t="s">
        <v>39</v>
      </c>
      <c r="H526" s="458">
        <v>358074</v>
      </c>
      <c r="I526" s="611" t="s">
        <v>83</v>
      </c>
      <c r="J526" s="460">
        <v>40581</v>
      </c>
      <c r="K526" s="461">
        <f t="shared" si="11"/>
        <v>182</v>
      </c>
      <c r="L526" s="462">
        <v>40763</v>
      </c>
      <c r="M526" s="611" t="s">
        <v>124</v>
      </c>
      <c r="N526" s="468" t="s">
        <v>42</v>
      </c>
      <c r="O526" s="460">
        <v>40701</v>
      </c>
      <c r="P526" s="461">
        <f t="shared" si="12"/>
        <v>-40</v>
      </c>
      <c r="Q526" s="461" t="s">
        <v>3756</v>
      </c>
      <c r="R526" s="460">
        <v>40717</v>
      </c>
      <c r="S526" s="471">
        <v>40723</v>
      </c>
      <c r="T526" s="471">
        <v>40753</v>
      </c>
      <c r="U526" s="461">
        <f t="shared" si="13"/>
        <v>172</v>
      </c>
      <c r="V526" s="468" t="s">
        <v>3755</v>
      </c>
      <c r="W526" s="493">
        <v>72</v>
      </c>
      <c r="X526" s="467"/>
      <c r="Y526" s="467"/>
      <c r="Z526" s="468">
        <v>1486232241</v>
      </c>
      <c r="AA526" s="456"/>
      <c r="AB526" s="745" t="s">
        <v>47</v>
      </c>
      <c r="AC526" s="470" t="s">
        <v>3754</v>
      </c>
      <c r="AD526" s="444" t="str">
        <f t="shared" si="14"/>
        <v>en término</v>
      </c>
      <c r="AE526" s="646"/>
      <c r="AF526" s="410"/>
      <c r="AG526" s="410"/>
      <c r="AH526" s="410"/>
      <c r="AI526" s="410"/>
      <c r="AJ526" s="410"/>
      <c r="AK526" s="410"/>
      <c r="AL526" s="410"/>
      <c r="AM526" s="410"/>
      <c r="AN526" s="410"/>
      <c r="AO526" s="410"/>
    </row>
    <row r="527" spans="1:41" ht="54.95" customHeight="1" thickBot="1" x14ac:dyDescent="0.25">
      <c r="B527" s="455" t="s">
        <v>78</v>
      </c>
      <c r="C527" s="455" t="s">
        <v>3165</v>
      </c>
      <c r="D527" s="456" t="s">
        <v>3752</v>
      </c>
      <c r="E527" s="456"/>
      <c r="F527" s="457">
        <v>577329</v>
      </c>
      <c r="G527" s="457" t="s">
        <v>39</v>
      </c>
      <c r="H527" s="458">
        <v>342043</v>
      </c>
      <c r="I527" s="611" t="s">
        <v>83</v>
      </c>
      <c r="J527" s="460">
        <v>40581</v>
      </c>
      <c r="K527" s="461">
        <f t="shared" si="11"/>
        <v>182</v>
      </c>
      <c r="L527" s="462">
        <v>40763</v>
      </c>
      <c r="M527" s="611" t="s">
        <v>124</v>
      </c>
      <c r="N527" s="468" t="s">
        <v>42</v>
      </c>
      <c r="O527" s="460">
        <v>40701</v>
      </c>
      <c r="P527" s="461">
        <f t="shared" si="12"/>
        <v>-40</v>
      </c>
      <c r="Q527" s="461" t="s">
        <v>3756</v>
      </c>
      <c r="R527" s="460">
        <v>40717</v>
      </c>
      <c r="S527" s="471">
        <v>40723</v>
      </c>
      <c r="T527" s="471">
        <v>40753</v>
      </c>
      <c r="U527" s="461">
        <f t="shared" si="13"/>
        <v>172</v>
      </c>
      <c r="V527" s="468" t="s">
        <v>3753</v>
      </c>
      <c r="W527" s="493">
        <v>73</v>
      </c>
      <c r="X527" s="467"/>
      <c r="Y527" s="467"/>
      <c r="Z527" s="468">
        <v>1486232241</v>
      </c>
      <c r="AA527" s="456"/>
      <c r="AB527" s="745" t="s">
        <v>47</v>
      </c>
      <c r="AC527" s="470" t="s">
        <v>3754</v>
      </c>
      <c r="AD527" s="444" t="str">
        <f t="shared" si="14"/>
        <v>en término</v>
      </c>
      <c r="AE527" s="646"/>
      <c r="AF527" s="646"/>
      <c r="AG527" s="646"/>
    </row>
    <row r="528" spans="1:41" ht="54.95" customHeight="1" thickBot="1" x14ac:dyDescent="0.25">
      <c r="B528" s="455" t="s">
        <v>78</v>
      </c>
      <c r="C528" s="455" t="s">
        <v>3165</v>
      </c>
      <c r="D528" s="456" t="s">
        <v>3752</v>
      </c>
      <c r="E528" s="456"/>
      <c r="F528" s="457">
        <v>577329</v>
      </c>
      <c r="G528" s="457" t="s">
        <v>39</v>
      </c>
      <c r="H528" s="458">
        <v>60778.78</v>
      </c>
      <c r="I528" s="611" t="s">
        <v>83</v>
      </c>
      <c r="J528" s="460">
        <v>40581</v>
      </c>
      <c r="K528" s="461">
        <f t="shared" si="11"/>
        <v>182</v>
      </c>
      <c r="L528" s="462">
        <v>40763</v>
      </c>
      <c r="M528" s="611" t="s">
        <v>124</v>
      </c>
      <c r="N528" s="468" t="s">
        <v>42</v>
      </c>
      <c r="O528" s="460">
        <v>40729</v>
      </c>
      <c r="P528" s="461">
        <f t="shared" si="12"/>
        <v>-26</v>
      </c>
      <c r="Q528" s="461" t="s">
        <v>3757</v>
      </c>
      <c r="R528" s="460">
        <v>40729</v>
      </c>
      <c r="S528" s="471">
        <v>40737</v>
      </c>
      <c r="T528" s="471">
        <v>40780</v>
      </c>
      <c r="U528" s="461">
        <f t="shared" si="13"/>
        <v>199</v>
      </c>
      <c r="V528" s="468" t="s">
        <v>3758</v>
      </c>
      <c r="W528" s="493">
        <v>80</v>
      </c>
      <c r="X528" s="467"/>
      <c r="Y528" s="467"/>
      <c r="Z528" s="468"/>
      <c r="AA528" s="456"/>
      <c r="AB528" s="745" t="s">
        <v>47</v>
      </c>
      <c r="AC528" s="470" t="s">
        <v>3754</v>
      </c>
      <c r="AD528" s="444" t="str">
        <f t="shared" si="14"/>
        <v>en término</v>
      </c>
      <c r="AE528" s="646"/>
      <c r="AF528" s="646"/>
      <c r="AG528" s="646"/>
    </row>
    <row r="529" spans="1:31" ht="54.95" customHeight="1" thickBot="1" x14ac:dyDescent="0.25">
      <c r="B529" s="455" t="s">
        <v>78</v>
      </c>
      <c r="C529" s="455" t="s">
        <v>3165</v>
      </c>
      <c r="D529" s="456" t="s">
        <v>3752</v>
      </c>
      <c r="E529" s="456"/>
      <c r="F529" s="457">
        <v>577308</v>
      </c>
      <c r="G529" s="457" t="s">
        <v>39</v>
      </c>
      <c r="H529" s="458">
        <v>82616.17</v>
      </c>
      <c r="I529" s="611" t="s">
        <v>83</v>
      </c>
      <c r="J529" s="460">
        <v>40581</v>
      </c>
      <c r="K529" s="461">
        <f t="shared" ref="K529:K536" si="15">+L529-J529</f>
        <v>182</v>
      </c>
      <c r="L529" s="462">
        <v>40763</v>
      </c>
      <c r="M529" s="611" t="s">
        <v>124</v>
      </c>
      <c r="N529" s="468" t="s">
        <v>42</v>
      </c>
      <c r="O529" s="460">
        <v>40729</v>
      </c>
      <c r="P529" s="461">
        <f t="shared" ref="P529:P536" si="16">IF(S529="","",+S529-L529)</f>
        <v>-26</v>
      </c>
      <c r="Q529" s="461" t="s">
        <v>3757</v>
      </c>
      <c r="R529" s="460">
        <v>40729</v>
      </c>
      <c r="S529" s="471">
        <v>40737</v>
      </c>
      <c r="T529" s="471">
        <v>40780</v>
      </c>
      <c r="U529" s="461">
        <f t="shared" ref="U529:U536" si="17">IF(T529="","",+T529-J529)</f>
        <v>199</v>
      </c>
      <c r="V529" s="468" t="s">
        <v>3759</v>
      </c>
      <c r="W529" s="493">
        <v>79</v>
      </c>
      <c r="X529" s="467"/>
      <c r="Y529" s="467"/>
      <c r="Z529" s="468"/>
      <c r="AA529" s="456"/>
      <c r="AB529" s="745" t="s">
        <v>47</v>
      </c>
      <c r="AC529" s="470" t="s">
        <v>3754</v>
      </c>
      <c r="AD529" s="444" t="str">
        <f t="shared" si="14"/>
        <v>en término</v>
      </c>
      <c r="AE529" s="646"/>
    </row>
    <row r="530" spans="1:31" ht="54.95" customHeight="1" thickBot="1" x14ac:dyDescent="0.25">
      <c r="B530" s="1043" t="s">
        <v>78</v>
      </c>
      <c r="C530" s="1043" t="s">
        <v>3165</v>
      </c>
      <c r="D530" s="1044" t="s">
        <v>3752</v>
      </c>
      <c r="E530" s="1044" t="s">
        <v>77</v>
      </c>
      <c r="F530" s="1028">
        <v>577308</v>
      </c>
      <c r="G530" s="1028" t="s">
        <v>39</v>
      </c>
      <c r="H530" s="1029">
        <v>65753.67</v>
      </c>
      <c r="I530" s="640" t="s">
        <v>83</v>
      </c>
      <c r="J530" s="1032">
        <v>40581</v>
      </c>
      <c r="K530" s="1041">
        <f t="shared" si="15"/>
        <v>182</v>
      </c>
      <c r="L530" s="641">
        <v>40763</v>
      </c>
      <c r="M530" s="640" t="s">
        <v>124</v>
      </c>
      <c r="N530" s="446" t="s">
        <v>42</v>
      </c>
      <c r="O530" s="1032">
        <v>40757</v>
      </c>
      <c r="P530" s="1041">
        <f t="shared" si="16"/>
        <v>-25</v>
      </c>
      <c r="Q530" s="1041"/>
      <c r="R530" s="460">
        <v>40738</v>
      </c>
      <c r="S530" s="642">
        <v>40738</v>
      </c>
      <c r="T530" s="642"/>
      <c r="U530" s="1041" t="str">
        <f t="shared" si="17"/>
        <v/>
      </c>
      <c r="V530" s="446" t="s">
        <v>3760</v>
      </c>
      <c r="W530" s="659">
        <v>95</v>
      </c>
      <c r="X530" s="643"/>
      <c r="Y530" s="643"/>
      <c r="Z530" s="446"/>
      <c r="AA530" s="1044"/>
      <c r="AB530" s="745" t="s">
        <v>47</v>
      </c>
      <c r="AC530" s="644" t="s">
        <v>3754</v>
      </c>
      <c r="AD530" s="444" t="str">
        <f t="shared" si="14"/>
        <v>en término</v>
      </c>
      <c r="AE530" s="646"/>
    </row>
    <row r="531" spans="1:31" ht="54.95" customHeight="1" thickBot="1" x14ac:dyDescent="0.25">
      <c r="B531" s="455" t="s">
        <v>78</v>
      </c>
      <c r="C531" s="455" t="s">
        <v>3165</v>
      </c>
      <c r="D531" s="456" t="s">
        <v>3752</v>
      </c>
      <c r="E531" s="456"/>
      <c r="F531" s="457">
        <v>577329</v>
      </c>
      <c r="G531" s="457" t="s">
        <v>39</v>
      </c>
      <c r="H531" s="458">
        <v>34470.68</v>
      </c>
      <c r="I531" s="611" t="s">
        <v>83</v>
      </c>
      <c r="J531" s="460">
        <v>40581</v>
      </c>
      <c r="K531" s="461">
        <f t="shared" si="15"/>
        <v>182</v>
      </c>
      <c r="L531" s="462">
        <v>40763</v>
      </c>
      <c r="M531" s="611" t="s">
        <v>124</v>
      </c>
      <c r="N531" s="468" t="s">
        <v>42</v>
      </c>
      <c r="O531" s="460">
        <v>40757</v>
      </c>
      <c r="P531" s="461">
        <f t="shared" si="16"/>
        <v>-25</v>
      </c>
      <c r="Q531" s="461"/>
      <c r="R531" s="460">
        <v>40738</v>
      </c>
      <c r="S531" s="471">
        <v>40738</v>
      </c>
      <c r="T531" s="471"/>
      <c r="U531" s="461" t="str">
        <f t="shared" si="17"/>
        <v/>
      </c>
      <c r="V531" s="468" t="s">
        <v>3761</v>
      </c>
      <c r="W531" s="493">
        <v>96</v>
      </c>
      <c r="X531" s="467"/>
      <c r="Y531" s="467"/>
      <c r="Z531" s="468"/>
      <c r="AA531" s="456"/>
      <c r="AB531" s="745" t="s">
        <v>47</v>
      </c>
      <c r="AC531" s="470" t="s">
        <v>3754</v>
      </c>
      <c r="AD531" s="444" t="str">
        <f t="shared" si="14"/>
        <v>en término</v>
      </c>
      <c r="AE531" s="646"/>
    </row>
    <row r="532" spans="1:31" s="587" customFormat="1" ht="54.95" customHeight="1" thickBot="1" x14ac:dyDescent="0.25">
      <c r="A532" s="649"/>
      <c r="B532" s="1043" t="s">
        <v>78</v>
      </c>
      <c r="C532" s="1043" t="s">
        <v>3165</v>
      </c>
      <c r="D532" s="456" t="s">
        <v>3762</v>
      </c>
      <c r="E532" s="456"/>
      <c r="F532" s="457">
        <v>580254</v>
      </c>
      <c r="G532" s="457" t="s">
        <v>3763</v>
      </c>
      <c r="H532" s="458">
        <v>26510</v>
      </c>
      <c r="I532" s="611" t="s">
        <v>83</v>
      </c>
      <c r="J532" s="460">
        <v>40679</v>
      </c>
      <c r="K532" s="461">
        <f>+L532-J532</f>
        <v>92</v>
      </c>
      <c r="L532" s="462">
        <v>40771</v>
      </c>
      <c r="M532" s="611" t="s">
        <v>124</v>
      </c>
      <c r="N532" s="468" t="s">
        <v>110</v>
      </c>
      <c r="O532" s="460">
        <v>40757</v>
      </c>
      <c r="P532" s="461">
        <f>IF(S532="","",+S532-L532)</f>
        <v>-14</v>
      </c>
      <c r="Q532" s="461"/>
      <c r="R532" s="460">
        <v>40757</v>
      </c>
      <c r="S532" s="471">
        <v>40757</v>
      </c>
      <c r="T532" s="471">
        <v>40816</v>
      </c>
      <c r="U532" s="461">
        <f>IF(T532="","",+T532-J532)</f>
        <v>137</v>
      </c>
      <c r="V532" s="468" t="s">
        <v>944</v>
      </c>
      <c r="W532" s="493">
        <v>97</v>
      </c>
      <c r="X532" s="592"/>
      <c r="Y532" s="592"/>
      <c r="Z532" s="468" t="s">
        <v>3764</v>
      </c>
      <c r="AA532" s="456" t="s">
        <v>47</v>
      </c>
      <c r="AB532" s="460" t="s">
        <v>47</v>
      </c>
      <c r="AC532" s="470" t="s">
        <v>3765</v>
      </c>
      <c r="AD532" s="645" t="str">
        <f>IF(P532="","",IF(P532&lt;=0,"en término","atrasado"))</f>
        <v>en término</v>
      </c>
    </row>
    <row r="533" spans="1:31" ht="54.95" customHeight="1" thickBot="1" x14ac:dyDescent="0.25">
      <c r="B533" s="455" t="s">
        <v>78</v>
      </c>
      <c r="C533" s="455" t="s">
        <v>3165</v>
      </c>
      <c r="D533" s="456" t="s">
        <v>3766</v>
      </c>
      <c r="E533" s="456"/>
      <c r="F533" s="457">
        <v>580809</v>
      </c>
      <c r="G533" s="457" t="s">
        <v>3763</v>
      </c>
      <c r="H533" s="458">
        <v>340625</v>
      </c>
      <c r="I533" s="611" t="s">
        <v>83</v>
      </c>
      <c r="J533" s="460">
        <v>40697</v>
      </c>
      <c r="K533" s="461">
        <f t="shared" si="15"/>
        <v>89</v>
      </c>
      <c r="L533" s="462">
        <v>40786</v>
      </c>
      <c r="M533" s="611" t="s">
        <v>124</v>
      </c>
      <c r="N533" s="468" t="s">
        <v>110</v>
      </c>
      <c r="O533" s="460">
        <v>40779</v>
      </c>
      <c r="P533" s="461">
        <f t="shared" si="16"/>
        <v>-1</v>
      </c>
      <c r="Q533" s="461"/>
      <c r="R533" s="460">
        <v>40784</v>
      </c>
      <c r="S533" s="471">
        <v>40785</v>
      </c>
      <c r="T533" s="471">
        <v>40810</v>
      </c>
      <c r="U533" s="461">
        <f t="shared" si="17"/>
        <v>113</v>
      </c>
      <c r="V533" s="468" t="s">
        <v>3767</v>
      </c>
      <c r="W533" s="493">
        <v>111</v>
      </c>
      <c r="X533" s="467"/>
      <c r="Y533" s="467"/>
      <c r="Z533" s="468" t="s">
        <v>3768</v>
      </c>
      <c r="AA533" s="456" t="s">
        <v>47</v>
      </c>
      <c r="AB533" s="460" t="s">
        <v>3769</v>
      </c>
      <c r="AC533" s="470" t="s">
        <v>3770</v>
      </c>
      <c r="AD533" s="444" t="str">
        <f t="shared" si="14"/>
        <v>en término</v>
      </c>
      <c r="AE533" s="646"/>
    </row>
    <row r="534" spans="1:31" s="587" customFormat="1" ht="54.95" customHeight="1" thickBot="1" x14ac:dyDescent="0.25">
      <c r="A534" s="649"/>
      <c r="B534" s="455" t="s">
        <v>78</v>
      </c>
      <c r="C534" s="455" t="s">
        <v>3165</v>
      </c>
      <c r="D534" s="456" t="s">
        <v>3771</v>
      </c>
      <c r="E534" s="456"/>
      <c r="F534" s="457">
        <v>583156</v>
      </c>
      <c r="G534" s="457" t="s">
        <v>3763</v>
      </c>
      <c r="H534" s="458">
        <v>12210</v>
      </c>
      <c r="I534" s="611" t="s">
        <v>83</v>
      </c>
      <c r="J534" s="460">
        <v>40840</v>
      </c>
      <c r="K534" s="461">
        <f>+L534-J534</f>
        <v>28</v>
      </c>
      <c r="L534" s="462">
        <v>40868</v>
      </c>
      <c r="M534" s="611" t="s">
        <v>124</v>
      </c>
      <c r="N534" s="468" t="s">
        <v>42</v>
      </c>
      <c r="O534" s="460">
        <v>40858</v>
      </c>
      <c r="P534" s="461">
        <f>IF(S534="","",+S534-L534)</f>
        <v>21</v>
      </c>
      <c r="Q534" s="461"/>
      <c r="R534" s="460">
        <v>40884</v>
      </c>
      <c r="S534" s="471">
        <v>40889</v>
      </c>
      <c r="T534" s="462">
        <v>40915</v>
      </c>
      <c r="U534" s="461"/>
      <c r="V534" s="468" t="s">
        <v>3772</v>
      </c>
      <c r="W534" s="493">
        <v>131</v>
      </c>
      <c r="X534" s="592"/>
      <c r="Y534" s="592"/>
      <c r="Z534" s="468" t="s">
        <v>3764</v>
      </c>
      <c r="AA534" s="456"/>
      <c r="AB534" s="460" t="s">
        <v>3773</v>
      </c>
      <c r="AC534" s="470"/>
      <c r="AD534" s="645" t="str">
        <f>IF(P534="","",IF(P534&lt;=0,"en término","atrasado"))</f>
        <v>atrasado</v>
      </c>
    </row>
    <row r="535" spans="1:31" s="587" customFormat="1" ht="54.95" customHeight="1" thickBot="1" x14ac:dyDescent="0.25">
      <c r="A535" s="649"/>
      <c r="B535" s="1043" t="s">
        <v>78</v>
      </c>
      <c r="C535" s="455" t="s">
        <v>79</v>
      </c>
      <c r="D535" s="456" t="s">
        <v>3774</v>
      </c>
      <c r="E535" s="456"/>
      <c r="F535" s="457" t="s">
        <v>3775</v>
      </c>
      <c r="G535" s="457" t="s">
        <v>3763</v>
      </c>
      <c r="H535" s="458">
        <v>7130</v>
      </c>
      <c r="I535" s="611" t="s">
        <v>83</v>
      </c>
      <c r="J535" s="460">
        <v>40786</v>
      </c>
      <c r="K535" s="461">
        <f t="shared" si="15"/>
        <v>40</v>
      </c>
      <c r="L535" s="462">
        <v>40826</v>
      </c>
      <c r="M535" s="611" t="s">
        <v>124</v>
      </c>
      <c r="N535" s="468" t="s">
        <v>110</v>
      </c>
      <c r="O535" s="460">
        <v>40869</v>
      </c>
      <c r="P535" s="461">
        <f t="shared" si="16"/>
        <v>57</v>
      </c>
      <c r="Q535" s="461"/>
      <c r="R535" s="460"/>
      <c r="S535" s="471">
        <v>40883</v>
      </c>
      <c r="T535" s="471">
        <f>+S535+10</f>
        <v>40893</v>
      </c>
      <c r="U535" s="461">
        <f t="shared" si="17"/>
        <v>107</v>
      </c>
      <c r="V535" s="468" t="s">
        <v>73</v>
      </c>
      <c r="W535" s="493">
        <v>134</v>
      </c>
      <c r="X535" s="592"/>
      <c r="Y535" s="592"/>
      <c r="Z535" s="468" t="s">
        <v>3764</v>
      </c>
      <c r="AA535" s="456"/>
      <c r="AB535" s="460" t="s">
        <v>47</v>
      </c>
      <c r="AC535" s="470"/>
      <c r="AD535" s="645" t="str">
        <f>IF(P535="","",IF(P535&lt;=0,"en término","atrasado"))</f>
        <v>atrasado</v>
      </c>
    </row>
    <row r="536" spans="1:31" s="587" customFormat="1" ht="54.95" customHeight="1" thickBot="1" x14ac:dyDescent="0.25">
      <c r="A536" s="649"/>
      <c r="B536" s="455" t="s">
        <v>78</v>
      </c>
      <c r="C536" s="455" t="s">
        <v>79</v>
      </c>
      <c r="D536" s="456" t="s">
        <v>3776</v>
      </c>
      <c r="E536" s="456"/>
      <c r="F536" s="457" t="s">
        <v>3777</v>
      </c>
      <c r="G536" s="457" t="s">
        <v>3763</v>
      </c>
      <c r="H536" s="458">
        <v>5540.9</v>
      </c>
      <c r="I536" s="611" t="s">
        <v>83</v>
      </c>
      <c r="J536" s="460">
        <v>40798</v>
      </c>
      <c r="K536" s="461">
        <f t="shared" si="15"/>
        <v>77</v>
      </c>
      <c r="L536" s="462">
        <v>40875</v>
      </c>
      <c r="M536" s="611" t="s">
        <v>124</v>
      </c>
      <c r="N536" s="468" t="s">
        <v>110</v>
      </c>
      <c r="O536" s="460">
        <v>40869</v>
      </c>
      <c r="P536" s="461">
        <f t="shared" si="16"/>
        <v>8</v>
      </c>
      <c r="Q536" s="461"/>
      <c r="R536" s="460"/>
      <c r="S536" s="471">
        <v>40883</v>
      </c>
      <c r="T536" s="471">
        <f>+S536+10</f>
        <v>40893</v>
      </c>
      <c r="U536" s="461">
        <f t="shared" si="17"/>
        <v>95</v>
      </c>
      <c r="V536" s="468" t="s">
        <v>53</v>
      </c>
      <c r="W536" s="493">
        <v>135</v>
      </c>
      <c r="X536" s="592"/>
      <c r="Y536" s="592"/>
      <c r="Z536" s="468" t="s">
        <v>3764</v>
      </c>
      <c r="AA536" s="456"/>
      <c r="AB536" s="460" t="s">
        <v>47</v>
      </c>
      <c r="AC536" s="470"/>
      <c r="AD536" s="645" t="str">
        <f>IF(P536="","",IF(P536&lt;=0,"en término","atrasado"))</f>
        <v>atrasado</v>
      </c>
    </row>
    <row r="540" spans="1:31" ht="12.75" x14ac:dyDescent="0.2">
      <c r="AA540" s="1">
        <v>2011</v>
      </c>
      <c r="AB540" s="1047"/>
    </row>
    <row r="541" spans="1:31" ht="12.75" x14ac:dyDescent="0.2">
      <c r="AA541" s="945" t="s">
        <v>813</v>
      </c>
      <c r="AB541" s="1048">
        <f>COUNTA(AD520:AD539)</f>
        <v>17</v>
      </c>
    </row>
    <row r="542" spans="1:31" ht="12.75" x14ac:dyDescent="0.2">
      <c r="AA542" s="945" t="s">
        <v>815</v>
      </c>
      <c r="AB542" s="1048">
        <f>COUNTIF(AD520:AD539,"en término")</f>
        <v>14</v>
      </c>
    </row>
    <row r="543" spans="1:31" ht="12.75" x14ac:dyDescent="0.2">
      <c r="AA543" s="945" t="s">
        <v>817</v>
      </c>
      <c r="AB543" s="557">
        <f>+AB542/AB541</f>
        <v>0.82352941176470584</v>
      </c>
    </row>
    <row r="546" spans="1:39" ht="12" thickBot="1" x14ac:dyDescent="0.25"/>
    <row r="547" spans="1:39" s="556" customFormat="1" ht="39.950000000000003" customHeight="1" thickBot="1" x14ac:dyDescent="0.4">
      <c r="B547" s="1611">
        <v>2012</v>
      </c>
      <c r="C547" s="1612"/>
      <c r="D547" s="1612"/>
      <c r="E547" s="1612"/>
      <c r="F547" s="1612"/>
      <c r="G547" s="1612"/>
      <c r="H547" s="1612"/>
      <c r="I547" s="1612"/>
      <c r="J547" s="1612"/>
      <c r="K547" s="1612"/>
      <c r="L547" s="1612"/>
      <c r="M547" s="1612"/>
      <c r="N547" s="1612"/>
      <c r="O547" s="1612"/>
      <c r="P547" s="1612"/>
      <c r="Q547" s="1612"/>
      <c r="R547" s="1612"/>
      <c r="S547" s="1612"/>
      <c r="T547" s="1612"/>
      <c r="U547" s="1612"/>
      <c r="V547" s="1612"/>
      <c r="W547" s="1612"/>
      <c r="X547" s="1612"/>
      <c r="Y547" s="1612"/>
      <c r="Z547" s="1612"/>
      <c r="AA547" s="1612"/>
      <c r="AB547" s="1612"/>
      <c r="AC547" s="1613"/>
      <c r="AD547" s="555"/>
    </row>
    <row r="548" spans="1:39" s="441" customFormat="1" ht="60" customHeight="1" thickBot="1" x14ac:dyDescent="0.25">
      <c r="A548" s="438"/>
      <c r="B548" s="451" t="s">
        <v>130</v>
      </c>
      <c r="C548" s="451" t="s">
        <v>4</v>
      </c>
      <c r="D548" s="451" t="s">
        <v>5</v>
      </c>
      <c r="E548" s="451" t="s">
        <v>6</v>
      </c>
      <c r="F548" s="451" t="s">
        <v>7</v>
      </c>
      <c r="G548" s="451" t="s">
        <v>8</v>
      </c>
      <c r="H548" s="453" t="s">
        <v>9</v>
      </c>
      <c r="I548" s="453" t="s">
        <v>10</v>
      </c>
      <c r="J548" s="451" t="s">
        <v>11</v>
      </c>
      <c r="K548" s="451" t="s">
        <v>12</v>
      </c>
      <c r="L548" s="451" t="s">
        <v>13</v>
      </c>
      <c r="M548" s="451" t="s">
        <v>14</v>
      </c>
      <c r="N548" s="451" t="s">
        <v>15</v>
      </c>
      <c r="O548" s="452" t="s">
        <v>16</v>
      </c>
      <c r="P548" s="454" t="s">
        <v>17</v>
      </c>
      <c r="Q548" s="451" t="s">
        <v>18</v>
      </c>
      <c r="R548" s="452" t="s">
        <v>19</v>
      </c>
      <c r="S548" s="451" t="s">
        <v>20</v>
      </c>
      <c r="T548" s="451" t="s">
        <v>21</v>
      </c>
      <c r="U548" s="452" t="s">
        <v>22</v>
      </c>
      <c r="V548" s="451" t="s">
        <v>131</v>
      </c>
      <c r="W548" s="451" t="s">
        <v>24</v>
      </c>
      <c r="X548" s="451" t="s">
        <v>132</v>
      </c>
      <c r="Y548" s="451" t="s">
        <v>26</v>
      </c>
      <c r="Z548" s="451" t="s">
        <v>27</v>
      </c>
      <c r="AA548" s="451" t="s">
        <v>28</v>
      </c>
      <c r="AB548" s="451" t="s">
        <v>29</v>
      </c>
      <c r="AC548" s="451" t="s">
        <v>30</v>
      </c>
      <c r="AD548" s="439"/>
      <c r="AE548" s="440"/>
      <c r="AF548" s="440"/>
      <c r="AG548" s="440"/>
      <c r="AH548" s="440"/>
      <c r="AI548" s="440"/>
      <c r="AJ548" s="440"/>
      <c r="AK548" s="440"/>
      <c r="AL548" s="440"/>
      <c r="AM548" s="440"/>
    </row>
    <row r="549" spans="1:39" s="587" customFormat="1" ht="54.95" customHeight="1" thickBot="1" x14ac:dyDescent="0.25">
      <c r="A549" s="649"/>
      <c r="B549" s="455" t="s">
        <v>78</v>
      </c>
      <c r="C549" s="455" t="s">
        <v>79</v>
      </c>
      <c r="D549" s="456" t="s">
        <v>3778</v>
      </c>
      <c r="E549" s="456"/>
      <c r="F549" s="457" t="s">
        <v>3779</v>
      </c>
      <c r="G549" s="457" t="s">
        <v>3763</v>
      </c>
      <c r="H549" s="458">
        <v>3153.2</v>
      </c>
      <c r="I549" s="611" t="s">
        <v>83</v>
      </c>
      <c r="J549" s="460">
        <v>40954</v>
      </c>
      <c r="K549" s="461">
        <v>60</v>
      </c>
      <c r="L549" s="462">
        <f>+J549+K549</f>
        <v>41014</v>
      </c>
      <c r="M549" s="611" t="s">
        <v>124</v>
      </c>
      <c r="N549" s="468" t="s">
        <v>110</v>
      </c>
      <c r="O549" s="460">
        <v>41003</v>
      </c>
      <c r="P549" s="461">
        <f t="shared" ref="P549:P556" si="18">IF(S549="","",+S549-L549)</f>
        <v>4</v>
      </c>
      <c r="Q549" s="461"/>
      <c r="R549" s="460"/>
      <c r="S549" s="471">
        <v>41018</v>
      </c>
      <c r="T549" s="462">
        <v>41022</v>
      </c>
      <c r="U549" s="461">
        <f t="shared" ref="U549:U556" si="19">IF(T549="","",+T549-J549)</f>
        <v>68</v>
      </c>
      <c r="V549" s="468" t="s">
        <v>53</v>
      </c>
      <c r="W549" s="493">
        <v>45</v>
      </c>
      <c r="X549" s="592"/>
      <c r="Y549" s="592"/>
      <c r="Z549" s="468"/>
      <c r="AA549" s="456"/>
      <c r="AB549" s="460" t="s">
        <v>3780</v>
      </c>
      <c r="AC549" s="470"/>
      <c r="AD549" s="645" t="str">
        <f t="shared" ref="AD549:AD556" si="20">IF(P549="","",IF(P549&lt;=0,"en término","atrasado"))</f>
        <v>atrasado</v>
      </c>
    </row>
    <row r="550" spans="1:39" s="587" customFormat="1" ht="54.95" customHeight="1" thickBot="1" x14ac:dyDescent="0.25">
      <c r="A550" s="649"/>
      <c r="B550" s="455" t="s">
        <v>78</v>
      </c>
      <c r="C550" s="455" t="s">
        <v>3165</v>
      </c>
      <c r="D550" s="456" t="s">
        <v>3781</v>
      </c>
      <c r="E550" s="456"/>
      <c r="F550" s="1028">
        <v>585503</v>
      </c>
      <c r="G550" s="457" t="s">
        <v>3763</v>
      </c>
      <c r="H550" s="458">
        <v>288658.3</v>
      </c>
      <c r="I550" s="611" t="s">
        <v>83</v>
      </c>
      <c r="J550" s="460">
        <v>40919</v>
      </c>
      <c r="K550" s="461">
        <f t="shared" ref="K550:K555" si="21">+L550-J550</f>
        <v>69</v>
      </c>
      <c r="L550" s="462">
        <v>40988</v>
      </c>
      <c r="M550" s="611" t="s">
        <v>124</v>
      </c>
      <c r="N550" s="468" t="s">
        <v>42</v>
      </c>
      <c r="O550" s="460">
        <v>41022</v>
      </c>
      <c r="P550" s="461">
        <f t="shared" si="18"/>
        <v>56</v>
      </c>
      <c r="Q550" s="461" t="s">
        <v>3782</v>
      </c>
      <c r="R550" s="460"/>
      <c r="S550" s="471">
        <v>41044</v>
      </c>
      <c r="T550" s="462">
        <f t="shared" ref="T550:T555" si="22">+S550+20</f>
        <v>41064</v>
      </c>
      <c r="U550" s="461">
        <f t="shared" si="19"/>
        <v>145</v>
      </c>
      <c r="V550" s="468" t="s">
        <v>3783</v>
      </c>
      <c r="W550" s="493">
        <v>52</v>
      </c>
      <c r="X550" s="592"/>
      <c r="Y550" s="592"/>
      <c r="Z550" s="468"/>
      <c r="AA550" s="456" t="s">
        <v>47</v>
      </c>
      <c r="AB550" s="460" t="s">
        <v>3784</v>
      </c>
      <c r="AC550" s="470" t="s">
        <v>3785</v>
      </c>
      <c r="AD550" s="645" t="str">
        <f t="shared" si="20"/>
        <v>atrasado</v>
      </c>
    </row>
    <row r="551" spans="1:39" s="587" customFormat="1" ht="54.95" customHeight="1" thickBot="1" x14ac:dyDescent="0.25">
      <c r="A551" s="649"/>
      <c r="B551" s="455" t="s">
        <v>78</v>
      </c>
      <c r="C551" s="455" t="s">
        <v>3165</v>
      </c>
      <c r="D551" s="456" t="s">
        <v>3786</v>
      </c>
      <c r="E551" s="456"/>
      <c r="F551" s="1028">
        <v>587841</v>
      </c>
      <c r="G551" s="457" t="s">
        <v>3763</v>
      </c>
      <c r="H551" s="458">
        <v>896090</v>
      </c>
      <c r="I551" s="611" t="s">
        <v>83</v>
      </c>
      <c r="J551" s="460">
        <v>40990</v>
      </c>
      <c r="K551" s="461">
        <f t="shared" si="21"/>
        <v>8</v>
      </c>
      <c r="L551" s="462">
        <v>40998</v>
      </c>
      <c r="M551" s="611" t="s">
        <v>124</v>
      </c>
      <c r="N551" s="468" t="s">
        <v>42</v>
      </c>
      <c r="O551" s="460">
        <v>41022</v>
      </c>
      <c r="P551" s="461">
        <f t="shared" si="18"/>
        <v>46</v>
      </c>
      <c r="Q551" s="461" t="s">
        <v>3782</v>
      </c>
      <c r="R551" s="460"/>
      <c r="S551" s="471">
        <v>41044</v>
      </c>
      <c r="T551" s="462">
        <f t="shared" si="22"/>
        <v>41064</v>
      </c>
      <c r="U551" s="461">
        <f t="shared" si="19"/>
        <v>74</v>
      </c>
      <c r="V551" s="468" t="s">
        <v>3783</v>
      </c>
      <c r="W551" s="493">
        <v>53</v>
      </c>
      <c r="X551" s="592"/>
      <c r="Y551" s="592"/>
      <c r="Z551" s="468"/>
      <c r="AA551" s="456" t="s">
        <v>1575</v>
      </c>
      <c r="AB551" s="460" t="s">
        <v>3787</v>
      </c>
      <c r="AC551" s="470" t="s">
        <v>3785</v>
      </c>
      <c r="AD551" s="645" t="str">
        <f t="shared" si="20"/>
        <v>atrasado</v>
      </c>
    </row>
    <row r="552" spans="1:39" s="587" customFormat="1" ht="54.95" customHeight="1" thickBot="1" x14ac:dyDescent="0.25">
      <c r="A552" s="649"/>
      <c r="B552" s="455" t="s">
        <v>78</v>
      </c>
      <c r="C552" s="455" t="s">
        <v>3165</v>
      </c>
      <c r="D552" s="456" t="s">
        <v>3781</v>
      </c>
      <c r="E552" s="456"/>
      <c r="F552" s="457">
        <v>585503</v>
      </c>
      <c r="G552" s="457" t="s">
        <v>3763</v>
      </c>
      <c r="H552" s="458">
        <v>147405.4</v>
      </c>
      <c r="I552" s="611" t="s">
        <v>83</v>
      </c>
      <c r="J552" s="460">
        <v>40919</v>
      </c>
      <c r="K552" s="461">
        <f t="shared" si="21"/>
        <v>100</v>
      </c>
      <c r="L552" s="462">
        <v>41019</v>
      </c>
      <c r="M552" s="611" t="s">
        <v>124</v>
      </c>
      <c r="N552" s="468" t="s">
        <v>42</v>
      </c>
      <c r="O552" s="460">
        <v>41033</v>
      </c>
      <c r="P552" s="461">
        <f t="shared" si="18"/>
        <v>32</v>
      </c>
      <c r="Q552" s="461" t="s">
        <v>3788</v>
      </c>
      <c r="R552" s="460">
        <v>41045</v>
      </c>
      <c r="S552" s="471">
        <v>41051</v>
      </c>
      <c r="T552" s="462">
        <f t="shared" si="22"/>
        <v>41071</v>
      </c>
      <c r="U552" s="461">
        <f t="shared" si="19"/>
        <v>152</v>
      </c>
      <c r="V552" s="468" t="s">
        <v>3789</v>
      </c>
      <c r="W552" s="493">
        <v>55</v>
      </c>
      <c r="X552" s="592"/>
      <c r="Y552" s="592"/>
      <c r="Z552" s="468"/>
      <c r="AA552" s="456" t="s">
        <v>47</v>
      </c>
      <c r="AB552" s="460" t="s">
        <v>2995</v>
      </c>
      <c r="AC552" s="470" t="s">
        <v>3790</v>
      </c>
      <c r="AD552" s="645" t="str">
        <f t="shared" si="20"/>
        <v>atrasado</v>
      </c>
    </row>
    <row r="553" spans="1:39" s="587" customFormat="1" ht="54.95" customHeight="1" thickBot="1" x14ac:dyDescent="0.25">
      <c r="A553" s="649"/>
      <c r="B553" s="455" t="s">
        <v>78</v>
      </c>
      <c r="C553" s="455" t="s">
        <v>3165</v>
      </c>
      <c r="D553" s="456" t="s">
        <v>3786</v>
      </c>
      <c r="E553" s="456"/>
      <c r="F553" s="446">
        <v>587841</v>
      </c>
      <c r="G553" s="457" t="s">
        <v>3763</v>
      </c>
      <c r="H553" s="458">
        <v>549054.9</v>
      </c>
      <c r="I553" s="611" t="s">
        <v>83</v>
      </c>
      <c r="J553" s="460">
        <v>40990</v>
      </c>
      <c r="K553" s="461">
        <f t="shared" si="21"/>
        <v>39</v>
      </c>
      <c r="L553" s="462">
        <v>41029</v>
      </c>
      <c r="M553" s="611" t="s">
        <v>124</v>
      </c>
      <c r="N553" s="468" t="s">
        <v>42</v>
      </c>
      <c r="O553" s="460">
        <v>41033</v>
      </c>
      <c r="P553" s="461">
        <f t="shared" si="18"/>
        <v>35</v>
      </c>
      <c r="Q553" s="461"/>
      <c r="R553" s="460"/>
      <c r="S553" s="471">
        <v>41064</v>
      </c>
      <c r="T553" s="462">
        <f t="shared" si="22"/>
        <v>41084</v>
      </c>
      <c r="U553" s="461">
        <f t="shared" si="19"/>
        <v>94</v>
      </c>
      <c r="V553" s="468" t="s">
        <v>3789</v>
      </c>
      <c r="W553" s="493">
        <v>56</v>
      </c>
      <c r="X553" s="592"/>
      <c r="Y553" s="592"/>
      <c r="Z553" s="468"/>
      <c r="AA553" s="456"/>
      <c r="AB553" s="460" t="s">
        <v>3791</v>
      </c>
      <c r="AC553" s="470" t="s">
        <v>3792</v>
      </c>
      <c r="AD553" s="645" t="str">
        <f t="shared" si="20"/>
        <v>atrasado</v>
      </c>
    </row>
    <row r="554" spans="1:39" s="587" customFormat="1" ht="54.95" customHeight="1" thickBot="1" x14ac:dyDescent="0.25">
      <c r="A554" s="649"/>
      <c r="B554" s="455" t="s">
        <v>78</v>
      </c>
      <c r="C554" s="455" t="s">
        <v>3165</v>
      </c>
      <c r="D554" s="456" t="s">
        <v>3781</v>
      </c>
      <c r="E554" s="456"/>
      <c r="F554" s="1028">
        <v>585503</v>
      </c>
      <c r="G554" s="457" t="s">
        <v>3763</v>
      </c>
      <c r="H554" s="458">
        <v>33824.5</v>
      </c>
      <c r="I554" s="611" t="s">
        <v>83</v>
      </c>
      <c r="J554" s="460">
        <v>40919</v>
      </c>
      <c r="K554" s="461">
        <f t="shared" si="21"/>
        <v>132</v>
      </c>
      <c r="L554" s="462">
        <v>41051</v>
      </c>
      <c r="M554" s="611" t="s">
        <v>124</v>
      </c>
      <c r="N554" s="468" t="s">
        <v>42</v>
      </c>
      <c r="O554" s="460">
        <v>41053</v>
      </c>
      <c r="P554" s="461">
        <f t="shared" si="18"/>
        <v>26</v>
      </c>
      <c r="Q554" s="461" t="s">
        <v>3793</v>
      </c>
      <c r="R554" s="460">
        <v>41072</v>
      </c>
      <c r="S554" s="471">
        <v>41077</v>
      </c>
      <c r="T554" s="462">
        <f t="shared" si="22"/>
        <v>41097</v>
      </c>
      <c r="U554" s="461">
        <f t="shared" si="19"/>
        <v>178</v>
      </c>
      <c r="V554" s="468" t="s">
        <v>3794</v>
      </c>
      <c r="W554" s="493">
        <v>64</v>
      </c>
      <c r="X554" s="592"/>
      <c r="Y554" s="592"/>
      <c r="Z554" s="468"/>
      <c r="AA554" s="456" t="s">
        <v>1575</v>
      </c>
      <c r="AB554" s="460" t="s">
        <v>2065</v>
      </c>
      <c r="AC554" s="470" t="s">
        <v>3795</v>
      </c>
      <c r="AD554" s="645" t="str">
        <f t="shared" si="20"/>
        <v>atrasado</v>
      </c>
    </row>
    <row r="555" spans="1:39" s="587" customFormat="1" ht="54.95" customHeight="1" thickBot="1" x14ac:dyDescent="0.25">
      <c r="A555" s="649"/>
      <c r="B555" s="455" t="s">
        <v>78</v>
      </c>
      <c r="C555" s="455" t="s">
        <v>3165</v>
      </c>
      <c r="D555" s="456" t="s">
        <v>3786</v>
      </c>
      <c r="E555" s="456"/>
      <c r="F555" s="457">
        <v>587841</v>
      </c>
      <c r="G555" s="457" t="s">
        <v>3763</v>
      </c>
      <c r="H555" s="458">
        <v>330371.3</v>
      </c>
      <c r="I555" s="611" t="s">
        <v>83</v>
      </c>
      <c r="J555" s="460">
        <v>40990</v>
      </c>
      <c r="K555" s="461">
        <f t="shared" si="21"/>
        <v>46</v>
      </c>
      <c r="L555" s="462">
        <v>41036</v>
      </c>
      <c r="M555" s="611" t="s">
        <v>124</v>
      </c>
      <c r="N555" s="468" t="s">
        <v>42</v>
      </c>
      <c r="O555" s="460">
        <v>41053</v>
      </c>
      <c r="P555" s="461">
        <f>IF(S555="","",+S555-L555)</f>
        <v>41</v>
      </c>
      <c r="Q555" s="461" t="s">
        <v>3793</v>
      </c>
      <c r="R555" s="460">
        <v>41072</v>
      </c>
      <c r="S555" s="471">
        <v>41077</v>
      </c>
      <c r="T555" s="462">
        <f t="shared" si="22"/>
        <v>41097</v>
      </c>
      <c r="U555" s="461">
        <f>IF(T555="","",+T555-J555)</f>
        <v>107</v>
      </c>
      <c r="V555" s="468" t="s">
        <v>3794</v>
      </c>
      <c r="W555" s="493">
        <v>65</v>
      </c>
      <c r="X555" s="592"/>
      <c r="Y555" s="592"/>
      <c r="Z555" s="468"/>
      <c r="AA555" s="456"/>
      <c r="AB555" s="460" t="s">
        <v>1927</v>
      </c>
      <c r="AC555" s="470" t="s">
        <v>3796</v>
      </c>
      <c r="AD555" s="645" t="str">
        <f>IF(P555="","",IF(P555&lt;=0,"en término","atrasado"))</f>
        <v>atrasado</v>
      </c>
    </row>
    <row r="556" spans="1:39" s="587" customFormat="1" ht="54.95" customHeight="1" thickBot="1" x14ac:dyDescent="0.25">
      <c r="A556" s="649"/>
      <c r="B556" s="455" t="s">
        <v>78</v>
      </c>
      <c r="C556" s="455" t="s">
        <v>79</v>
      </c>
      <c r="D556" s="456" t="s">
        <v>3797</v>
      </c>
      <c r="E556" s="456"/>
      <c r="F556" s="457" t="s">
        <v>3798</v>
      </c>
      <c r="G556" s="457" t="s">
        <v>3763</v>
      </c>
      <c r="H556" s="458">
        <v>11061</v>
      </c>
      <c r="I556" s="611" t="s">
        <v>83</v>
      </c>
      <c r="J556" s="460">
        <v>40982</v>
      </c>
      <c r="K556" s="461">
        <v>90</v>
      </c>
      <c r="L556" s="462">
        <f>+J556+K556</f>
        <v>41072</v>
      </c>
      <c r="M556" s="611" t="s">
        <v>124</v>
      </c>
      <c r="N556" s="468" t="s">
        <v>110</v>
      </c>
      <c r="O556" s="460">
        <v>41068</v>
      </c>
      <c r="P556" s="461">
        <f t="shared" si="18"/>
        <v>13</v>
      </c>
      <c r="Q556" s="461"/>
      <c r="R556" s="460">
        <v>41082</v>
      </c>
      <c r="S556" s="471">
        <v>41085</v>
      </c>
      <c r="T556" s="462">
        <f>+S556+5</f>
        <v>41090</v>
      </c>
      <c r="U556" s="461">
        <f t="shared" si="19"/>
        <v>108</v>
      </c>
      <c r="V556" s="468" t="s">
        <v>53</v>
      </c>
      <c r="W556" s="493">
        <v>75</v>
      </c>
      <c r="X556" s="592"/>
      <c r="Y556" s="592"/>
      <c r="Z556" s="468"/>
      <c r="AA556" s="456"/>
      <c r="AB556" s="460" t="s">
        <v>3791</v>
      </c>
      <c r="AC556" s="470"/>
      <c r="AD556" s="645" t="str">
        <f t="shared" si="20"/>
        <v>atrasado</v>
      </c>
    </row>
    <row r="557" spans="1:39" s="587" customFormat="1" ht="54.95" customHeight="1" thickBot="1" x14ac:dyDescent="0.25">
      <c r="A557" s="649"/>
      <c r="B557" s="455" t="s">
        <v>78</v>
      </c>
      <c r="C557" s="455" t="s">
        <v>3165</v>
      </c>
      <c r="D557" s="456" t="s">
        <v>3786</v>
      </c>
      <c r="E557" s="456"/>
      <c r="F557" s="457">
        <v>587841</v>
      </c>
      <c r="G557" s="457" t="s">
        <v>3763</v>
      </c>
      <c r="H557" s="458">
        <v>333527.7</v>
      </c>
      <c r="I557" s="611" t="s">
        <v>83</v>
      </c>
      <c r="J557" s="460">
        <v>40990</v>
      </c>
      <c r="K557" s="461">
        <f t="shared" ref="K557:K562" si="23">+L557-J557</f>
        <v>46</v>
      </c>
      <c r="L557" s="462">
        <v>41036</v>
      </c>
      <c r="M557" s="611" t="s">
        <v>124</v>
      </c>
      <c r="N557" s="468" t="s">
        <v>42</v>
      </c>
      <c r="O557" s="460">
        <v>41079</v>
      </c>
      <c r="P557" s="461">
        <f>IF(S557="","",+S557-L557)</f>
        <v>55</v>
      </c>
      <c r="Q557" s="591" t="s">
        <v>3799</v>
      </c>
      <c r="R557" s="460">
        <v>41086</v>
      </c>
      <c r="S557" s="471">
        <v>41091</v>
      </c>
      <c r="T557" s="462">
        <f>+S557+20</f>
        <v>41111</v>
      </c>
      <c r="U557" s="461">
        <f t="shared" ref="U557:U562" si="24">IF(T557="","",+T557-J557)</f>
        <v>121</v>
      </c>
      <c r="V557" s="468" t="s">
        <v>3800</v>
      </c>
      <c r="W557" s="493">
        <v>76</v>
      </c>
      <c r="X557" s="592"/>
      <c r="Y557" s="592"/>
      <c r="Z557" s="468"/>
      <c r="AA557" s="456"/>
      <c r="AB557" s="460" t="s">
        <v>1927</v>
      </c>
      <c r="AC557" s="470" t="s">
        <v>3792</v>
      </c>
      <c r="AD557" s="645" t="str">
        <f t="shared" ref="AD557:AD562" si="25">IF(P557="","",IF(P557&lt;=0,"en término","atrasado"))</f>
        <v>atrasado</v>
      </c>
    </row>
    <row r="558" spans="1:39" s="587" customFormat="1" ht="54.95" customHeight="1" thickBot="1" x14ac:dyDescent="0.25">
      <c r="A558" s="649"/>
      <c r="B558" s="455" t="s">
        <v>78</v>
      </c>
      <c r="C558" s="455" t="s">
        <v>3165</v>
      </c>
      <c r="D558" s="456" t="s">
        <v>3801</v>
      </c>
      <c r="E558" s="456"/>
      <c r="F558" s="472">
        <v>589425</v>
      </c>
      <c r="G558" s="457" t="s">
        <v>3763</v>
      </c>
      <c r="H558" s="458">
        <v>186533.3</v>
      </c>
      <c r="I558" s="611" t="s">
        <v>83</v>
      </c>
      <c r="J558" s="460">
        <v>41059</v>
      </c>
      <c r="K558" s="461">
        <f t="shared" si="23"/>
        <v>90</v>
      </c>
      <c r="L558" s="462">
        <v>41149</v>
      </c>
      <c r="M558" s="611" t="s">
        <v>124</v>
      </c>
      <c r="N558" s="468" t="s">
        <v>42</v>
      </c>
      <c r="O558" s="460">
        <v>41138</v>
      </c>
      <c r="P558" s="461">
        <f>IF(S558="","",+S558-L558)</f>
        <v>17</v>
      </c>
      <c r="Q558" s="461"/>
      <c r="R558" s="460">
        <v>41157</v>
      </c>
      <c r="S558" s="471">
        <v>41166</v>
      </c>
      <c r="T558" s="462">
        <f>+S558+30</f>
        <v>41196</v>
      </c>
      <c r="U558" s="461">
        <f t="shared" si="24"/>
        <v>137</v>
      </c>
      <c r="V558" s="468" t="s">
        <v>3802</v>
      </c>
      <c r="W558" s="493" t="s">
        <v>2861</v>
      </c>
      <c r="X558" s="592"/>
      <c r="Y558" s="592"/>
      <c r="Z558" s="468"/>
      <c r="AA558" s="456"/>
      <c r="AB558" s="460" t="s">
        <v>3803</v>
      </c>
      <c r="AC558" s="470" t="s">
        <v>3804</v>
      </c>
      <c r="AD558" s="645" t="str">
        <f t="shared" si="25"/>
        <v>atrasado</v>
      </c>
    </row>
    <row r="559" spans="1:39" s="587" customFormat="1" ht="54.95" customHeight="1" thickBot="1" x14ac:dyDescent="0.25">
      <c r="A559" s="649"/>
      <c r="B559" s="455" t="s">
        <v>78</v>
      </c>
      <c r="C559" s="455" t="s">
        <v>3165</v>
      </c>
      <c r="D559" s="456" t="s">
        <v>3805</v>
      </c>
      <c r="E559" s="456"/>
      <c r="F559" s="841">
        <v>590201</v>
      </c>
      <c r="G559" s="457" t="s">
        <v>3763</v>
      </c>
      <c r="H559" s="458">
        <v>43730</v>
      </c>
      <c r="I559" s="611" t="s">
        <v>83</v>
      </c>
      <c r="J559" s="460">
        <v>41075</v>
      </c>
      <c r="K559" s="461">
        <f t="shared" si="23"/>
        <v>75</v>
      </c>
      <c r="L559" s="462">
        <v>41150</v>
      </c>
      <c r="M559" s="611" t="s">
        <v>124</v>
      </c>
      <c r="N559" s="468" t="s">
        <v>42</v>
      </c>
      <c r="O559" s="460">
        <v>41142</v>
      </c>
      <c r="P559" s="461">
        <f>IF(S559="","",+S559-L559)</f>
        <v>23</v>
      </c>
      <c r="Q559" s="461"/>
      <c r="R559" s="460">
        <v>41166</v>
      </c>
      <c r="S559" s="471">
        <v>41173</v>
      </c>
      <c r="T559" s="462">
        <f>+S559+30</f>
        <v>41203</v>
      </c>
      <c r="U559" s="461">
        <f t="shared" si="24"/>
        <v>128</v>
      </c>
      <c r="V559" s="468" t="s">
        <v>3806</v>
      </c>
      <c r="W559" s="493" t="s">
        <v>3727</v>
      </c>
      <c r="X559" s="592"/>
      <c r="Y559" s="592"/>
      <c r="Z559" s="468"/>
      <c r="AA559" s="456"/>
      <c r="AB559" s="460" t="s">
        <v>3807</v>
      </c>
      <c r="AC559" s="470" t="s">
        <v>3792</v>
      </c>
      <c r="AD559" s="645" t="str">
        <f t="shared" si="25"/>
        <v>atrasado</v>
      </c>
    </row>
    <row r="560" spans="1:39" s="587" customFormat="1" ht="54.95" customHeight="1" thickBot="1" x14ac:dyDescent="0.25">
      <c r="A560" s="649"/>
      <c r="B560" s="455" t="s">
        <v>78</v>
      </c>
      <c r="C560" s="455" t="s">
        <v>3165</v>
      </c>
      <c r="D560" s="456" t="s">
        <v>3808</v>
      </c>
      <c r="E560" s="456"/>
      <c r="F560" s="841">
        <v>590467</v>
      </c>
      <c r="G560" s="457" t="s">
        <v>3763</v>
      </c>
      <c r="H560" s="458">
        <v>24500</v>
      </c>
      <c r="I560" s="611" t="s">
        <v>83</v>
      </c>
      <c r="J560" s="460">
        <v>41086</v>
      </c>
      <c r="K560" s="461">
        <f t="shared" si="23"/>
        <v>75</v>
      </c>
      <c r="L560" s="462">
        <v>41161</v>
      </c>
      <c r="M560" s="611" t="s">
        <v>124</v>
      </c>
      <c r="N560" s="468" t="s">
        <v>110</v>
      </c>
      <c r="O560" s="460">
        <v>41156</v>
      </c>
      <c r="P560" s="461">
        <f>IF(S560="","",+S560-L560)</f>
        <v>5</v>
      </c>
      <c r="Q560" s="461"/>
      <c r="R560" s="460"/>
      <c r="S560" s="471">
        <v>41166</v>
      </c>
      <c r="T560" s="462">
        <f>+S560+20</f>
        <v>41186</v>
      </c>
      <c r="U560" s="461">
        <f t="shared" si="24"/>
        <v>100</v>
      </c>
      <c r="V560" s="468" t="s">
        <v>3806</v>
      </c>
      <c r="W560" s="493">
        <v>103</v>
      </c>
      <c r="X560" s="592"/>
      <c r="Y560" s="592"/>
      <c r="Z560" s="468"/>
      <c r="AA560" s="456"/>
      <c r="AB560" s="460" t="s">
        <v>3664</v>
      </c>
      <c r="AC560" s="470" t="s">
        <v>3792</v>
      </c>
      <c r="AD560" s="645" t="str">
        <f t="shared" si="25"/>
        <v>atrasado</v>
      </c>
    </row>
    <row r="561" spans="1:39" s="587" customFormat="1" ht="54.95" customHeight="1" thickBot="1" x14ac:dyDescent="0.25">
      <c r="A561" s="649"/>
      <c r="B561" s="455" t="s">
        <v>78</v>
      </c>
      <c r="C561" s="455" t="s">
        <v>3165</v>
      </c>
      <c r="D561" s="456" t="s">
        <v>3801</v>
      </c>
      <c r="E561" s="456"/>
      <c r="F561" s="532">
        <v>589425</v>
      </c>
      <c r="G561" s="457" t="s">
        <v>3763</v>
      </c>
      <c r="H561" s="1029">
        <v>257963</v>
      </c>
      <c r="I561" s="611" t="s">
        <v>83</v>
      </c>
      <c r="J561" s="460">
        <v>41059</v>
      </c>
      <c r="K561" s="461">
        <f t="shared" si="23"/>
        <v>121</v>
      </c>
      <c r="L561" s="462">
        <v>41180</v>
      </c>
      <c r="M561" s="611" t="s">
        <v>124</v>
      </c>
      <c r="N561" s="468" t="s">
        <v>42</v>
      </c>
      <c r="O561" s="460">
        <v>41173</v>
      </c>
      <c r="P561" s="461">
        <f>IF(R561="","",+R561-L561)</f>
        <v>4</v>
      </c>
      <c r="Q561" s="461"/>
      <c r="R561" s="460">
        <v>41184</v>
      </c>
      <c r="S561" s="471">
        <v>41197</v>
      </c>
      <c r="T561" s="462">
        <f>+S561+20</f>
        <v>41217</v>
      </c>
      <c r="U561" s="461">
        <f t="shared" si="24"/>
        <v>158</v>
      </c>
      <c r="V561" s="468" t="s">
        <v>3809</v>
      </c>
      <c r="W561" s="493">
        <v>110</v>
      </c>
      <c r="X561" s="592"/>
      <c r="Y561" s="592"/>
      <c r="Z561" s="468"/>
      <c r="AA561" s="456"/>
      <c r="AB561" s="460" t="s">
        <v>3810</v>
      </c>
      <c r="AC561" s="470" t="s">
        <v>3792</v>
      </c>
      <c r="AD561" s="645" t="str">
        <f t="shared" si="25"/>
        <v>atrasado</v>
      </c>
      <c r="AE561" s="645"/>
    </row>
    <row r="562" spans="1:39" s="587" customFormat="1" ht="54.95" customHeight="1" thickBot="1" x14ac:dyDescent="0.25">
      <c r="A562" s="649"/>
      <c r="B562" s="455" t="s">
        <v>78</v>
      </c>
      <c r="C562" s="455" t="s">
        <v>3165</v>
      </c>
      <c r="D562" s="456" t="s">
        <v>3811</v>
      </c>
      <c r="E562" s="456"/>
      <c r="F562" s="841">
        <v>594956</v>
      </c>
      <c r="G562" s="457" t="s">
        <v>3763</v>
      </c>
      <c r="H562" s="458">
        <v>3850</v>
      </c>
      <c r="I562" s="611" t="s">
        <v>83</v>
      </c>
      <c r="J562" s="460">
        <v>41214</v>
      </c>
      <c r="K562" s="461">
        <f t="shared" si="23"/>
        <v>33</v>
      </c>
      <c r="L562" s="462">
        <v>41247</v>
      </c>
      <c r="M562" s="611" t="s">
        <v>124</v>
      </c>
      <c r="N562" s="468" t="s">
        <v>42</v>
      </c>
      <c r="O562" s="460">
        <v>41246</v>
      </c>
      <c r="P562" s="461">
        <f>IF(S562="","",+S562-L562)</f>
        <v>14</v>
      </c>
      <c r="Q562" s="461"/>
      <c r="R562" s="460">
        <v>41249</v>
      </c>
      <c r="S562" s="471">
        <v>41261</v>
      </c>
      <c r="T562" s="462">
        <f>+S562+20</f>
        <v>41281</v>
      </c>
      <c r="U562" s="461">
        <f t="shared" si="24"/>
        <v>67</v>
      </c>
      <c r="V562" s="468" t="s">
        <v>3812</v>
      </c>
      <c r="W562" s="493">
        <v>128</v>
      </c>
      <c r="X562" s="592"/>
      <c r="Y562" s="592"/>
      <c r="Z562" s="468" t="s">
        <v>3205</v>
      </c>
      <c r="AA562" s="456"/>
      <c r="AB562" s="460" t="s">
        <v>2533</v>
      </c>
      <c r="AC562" s="470" t="s">
        <v>3792</v>
      </c>
      <c r="AD562" s="645" t="str">
        <f t="shared" si="25"/>
        <v>atrasado</v>
      </c>
    </row>
    <row r="563" spans="1:39" s="587" customFormat="1" ht="54.95" customHeight="1" thickBot="1" x14ac:dyDescent="0.25">
      <c r="A563" s="649"/>
      <c r="B563" s="455" t="s">
        <v>78</v>
      </c>
      <c r="C563" s="455" t="s">
        <v>3649</v>
      </c>
      <c r="D563" s="456" t="s">
        <v>3813</v>
      </c>
      <c r="E563" s="456"/>
      <c r="F563" s="841" t="s">
        <v>3814</v>
      </c>
      <c r="G563" s="457" t="s">
        <v>3763</v>
      </c>
      <c r="H563" s="458">
        <v>700</v>
      </c>
      <c r="I563" s="611" t="s">
        <v>83</v>
      </c>
      <c r="J563" s="460">
        <v>41257</v>
      </c>
      <c r="K563" s="461">
        <f>+L563-J563</f>
        <v>20</v>
      </c>
      <c r="L563" s="462">
        <v>41277</v>
      </c>
      <c r="M563" s="611" t="s">
        <v>124</v>
      </c>
      <c r="N563" s="468" t="s">
        <v>465</v>
      </c>
      <c r="O563" s="460">
        <v>41271</v>
      </c>
      <c r="P563" s="461">
        <f>IF(S563="","",+S563-L563)</f>
        <v>0</v>
      </c>
      <c r="Q563" s="461"/>
      <c r="R563" s="460"/>
      <c r="S563" s="471">
        <v>41277</v>
      </c>
      <c r="T563" s="462">
        <f>+S563+10</f>
        <v>41287</v>
      </c>
      <c r="U563" s="461">
        <f>IF(T563="","",+T563-J563)</f>
        <v>30</v>
      </c>
      <c r="V563" s="468" t="s">
        <v>53</v>
      </c>
      <c r="W563" s="493">
        <v>145</v>
      </c>
      <c r="X563" s="592"/>
      <c r="Y563" s="592"/>
      <c r="Z563" s="468" t="s">
        <v>3815</v>
      </c>
      <c r="AA563" s="456"/>
      <c r="AB563" s="460" t="s">
        <v>2573</v>
      </c>
      <c r="AC563" s="470"/>
      <c r="AD563" s="645" t="str">
        <f>IF(P563="","",IF(P563&lt;=0,"en término","atrasado"))</f>
        <v>en término</v>
      </c>
    </row>
    <row r="566" spans="1:39" ht="12.75" x14ac:dyDescent="0.2">
      <c r="AA566" s="1">
        <v>2012</v>
      </c>
      <c r="AB566" s="1047"/>
    </row>
    <row r="567" spans="1:39" ht="12.75" x14ac:dyDescent="0.2">
      <c r="AA567" s="945" t="s">
        <v>813</v>
      </c>
      <c r="AB567" s="1048">
        <f>COUNTA(AD548:AD565)</f>
        <v>15</v>
      </c>
    </row>
    <row r="568" spans="1:39" ht="12.75" x14ac:dyDescent="0.2">
      <c r="AA568" s="945" t="s">
        <v>815</v>
      </c>
      <c r="AB568" s="1048">
        <f>COUNTIF(AD548:AD565,"en término")</f>
        <v>1</v>
      </c>
    </row>
    <row r="569" spans="1:39" ht="12.75" x14ac:dyDescent="0.2">
      <c r="F569" s="353"/>
      <c r="H569" s="223"/>
      <c r="AA569" s="945" t="s">
        <v>817</v>
      </c>
      <c r="AB569" s="557">
        <f>+AB568/AB567</f>
        <v>6.6666666666666666E-2</v>
      </c>
    </row>
    <row r="570" spans="1:39" x14ac:dyDescent="0.2">
      <c r="H570" s="223"/>
    </row>
    <row r="571" spans="1:39" ht="12" thickBot="1" x14ac:dyDescent="0.25"/>
    <row r="572" spans="1:39" s="556" customFormat="1" ht="39.950000000000003" customHeight="1" thickBot="1" x14ac:dyDescent="0.4">
      <c r="B572" s="1611">
        <v>2013</v>
      </c>
      <c r="C572" s="1612"/>
      <c r="D572" s="1612"/>
      <c r="E572" s="1612"/>
      <c r="F572" s="1612"/>
      <c r="G572" s="1612"/>
      <c r="H572" s="1612"/>
      <c r="I572" s="1612"/>
      <c r="J572" s="1612"/>
      <c r="K572" s="1612"/>
      <c r="L572" s="1612"/>
      <c r="M572" s="1612"/>
      <c r="N572" s="1612"/>
      <c r="O572" s="1612"/>
      <c r="P572" s="1612"/>
      <c r="Q572" s="1612"/>
      <c r="R572" s="1612"/>
      <c r="S572" s="1612"/>
      <c r="T572" s="1612"/>
      <c r="U572" s="1612"/>
      <c r="V572" s="1612"/>
      <c r="W572" s="1612"/>
      <c r="X572" s="1612"/>
      <c r="Y572" s="1612"/>
      <c r="Z572" s="1612"/>
      <c r="AA572" s="1612"/>
      <c r="AB572" s="1612"/>
      <c r="AC572" s="1613"/>
      <c r="AD572" s="555"/>
    </row>
    <row r="573" spans="1:39" s="441" customFormat="1" ht="60" customHeight="1" thickBot="1" x14ac:dyDescent="0.25">
      <c r="A573" s="438"/>
      <c r="B573" s="451" t="s">
        <v>130</v>
      </c>
      <c r="C573" s="451" t="s">
        <v>4</v>
      </c>
      <c r="D573" s="451" t="s">
        <v>5</v>
      </c>
      <c r="E573" s="451" t="s">
        <v>6</v>
      </c>
      <c r="F573" s="451" t="s">
        <v>7</v>
      </c>
      <c r="G573" s="451" t="s">
        <v>8</v>
      </c>
      <c r="H573" s="453" t="s">
        <v>9</v>
      </c>
      <c r="I573" s="453" t="s">
        <v>10</v>
      </c>
      <c r="J573" s="451" t="s">
        <v>11</v>
      </c>
      <c r="K573" s="451" t="s">
        <v>12</v>
      </c>
      <c r="L573" s="451" t="s">
        <v>13</v>
      </c>
      <c r="M573" s="451" t="s">
        <v>14</v>
      </c>
      <c r="N573" s="451" t="s">
        <v>15</v>
      </c>
      <c r="O573" s="452" t="s">
        <v>16</v>
      </c>
      <c r="P573" s="454" t="s">
        <v>17</v>
      </c>
      <c r="Q573" s="451" t="s">
        <v>18</v>
      </c>
      <c r="R573" s="452" t="s">
        <v>19</v>
      </c>
      <c r="S573" s="451" t="s">
        <v>20</v>
      </c>
      <c r="T573" s="451" t="s">
        <v>21</v>
      </c>
      <c r="U573" s="452" t="s">
        <v>22</v>
      </c>
      <c r="V573" s="451" t="s">
        <v>131</v>
      </c>
      <c r="W573" s="451" t="s">
        <v>24</v>
      </c>
      <c r="X573" s="451" t="s">
        <v>132</v>
      </c>
      <c r="Y573" s="451" t="s">
        <v>26</v>
      </c>
      <c r="Z573" s="451" t="s">
        <v>27</v>
      </c>
      <c r="AA573" s="451" t="s">
        <v>28</v>
      </c>
      <c r="AB573" s="451" t="s">
        <v>29</v>
      </c>
      <c r="AC573" s="451" t="s">
        <v>30</v>
      </c>
      <c r="AD573" s="439"/>
      <c r="AE573" s="440"/>
      <c r="AF573" s="440"/>
      <c r="AG573" s="440"/>
      <c r="AH573" s="440"/>
      <c r="AI573" s="440"/>
      <c r="AJ573" s="440"/>
      <c r="AK573" s="440"/>
      <c r="AL573" s="440"/>
      <c r="AM573" s="440"/>
    </row>
    <row r="574" spans="1:39" s="587" customFormat="1" ht="54.95" customHeight="1" thickBot="1" x14ac:dyDescent="0.25">
      <c r="A574" s="649"/>
      <c r="B574" s="455" t="s">
        <v>78</v>
      </c>
      <c r="C574" s="455" t="s">
        <v>3165</v>
      </c>
      <c r="D574" s="456" t="s">
        <v>3816</v>
      </c>
      <c r="E574" s="456"/>
      <c r="F574" s="842">
        <v>596770</v>
      </c>
      <c r="G574" s="457" t="s">
        <v>3763</v>
      </c>
      <c r="H574" s="458">
        <v>1399947.94</v>
      </c>
      <c r="I574" s="611" t="s">
        <v>83</v>
      </c>
      <c r="J574" s="460">
        <v>41282</v>
      </c>
      <c r="K574" s="461">
        <f>+L574-J574</f>
        <v>117</v>
      </c>
      <c r="L574" s="462">
        <v>41399</v>
      </c>
      <c r="M574" s="611" t="s">
        <v>124</v>
      </c>
      <c r="N574" s="468" t="s">
        <v>42</v>
      </c>
      <c r="O574" s="460">
        <v>41360</v>
      </c>
      <c r="P574" s="461">
        <f t="shared" ref="P574:P579" si="26">IF(S574="","",+S574-L574)</f>
        <v>-16</v>
      </c>
      <c r="Q574" s="461"/>
      <c r="R574" s="460">
        <v>41376</v>
      </c>
      <c r="S574" s="471">
        <v>41383</v>
      </c>
      <c r="T574" s="462">
        <f>+S574+30</f>
        <v>41413</v>
      </c>
      <c r="U574" s="461">
        <f t="shared" ref="U574:U579" si="27">IF(T574="","",+T574-J574)</f>
        <v>131</v>
      </c>
      <c r="V574" s="468" t="s">
        <v>3817</v>
      </c>
      <c r="W574" s="493" t="s">
        <v>2237</v>
      </c>
      <c r="X574" s="592"/>
      <c r="Y574" s="592"/>
      <c r="Z574" s="468"/>
      <c r="AA574" s="456"/>
      <c r="AB574" s="460" t="s">
        <v>2754</v>
      </c>
      <c r="AC574" s="470"/>
      <c r="AD574" s="645" t="str">
        <f t="shared" ref="AD574:AD579" si="28">IF(P574="","",IF(P574&lt;=0,"en término","atrasado"))</f>
        <v>en término</v>
      </c>
    </row>
    <row r="575" spans="1:39" s="587" customFormat="1" ht="54.95" customHeight="1" thickBot="1" x14ac:dyDescent="0.25">
      <c r="A575" s="649"/>
      <c r="B575" s="455" t="s">
        <v>78</v>
      </c>
      <c r="C575" s="455" t="s">
        <v>3165</v>
      </c>
      <c r="D575" s="456" t="s">
        <v>3816</v>
      </c>
      <c r="E575" s="456"/>
      <c r="F575" s="842">
        <v>596770</v>
      </c>
      <c r="G575" s="457" t="s">
        <v>3763</v>
      </c>
      <c r="H575" s="458">
        <v>812095.14</v>
      </c>
      <c r="I575" s="611" t="s">
        <v>83</v>
      </c>
      <c r="J575" s="460">
        <v>41282</v>
      </c>
      <c r="K575" s="461">
        <f>+L575-J575</f>
        <v>117</v>
      </c>
      <c r="L575" s="462">
        <v>41399</v>
      </c>
      <c r="M575" s="611" t="s">
        <v>124</v>
      </c>
      <c r="N575" s="468" t="s">
        <v>42</v>
      </c>
      <c r="O575" s="460">
        <v>41394</v>
      </c>
      <c r="P575" s="461">
        <f t="shared" si="26"/>
        <v>11</v>
      </c>
      <c r="Q575" s="461"/>
      <c r="R575" s="460">
        <v>41396</v>
      </c>
      <c r="S575" s="471">
        <v>41410</v>
      </c>
      <c r="T575" s="462">
        <f>+S575+30</f>
        <v>41440</v>
      </c>
      <c r="U575" s="461">
        <f t="shared" si="27"/>
        <v>158</v>
      </c>
      <c r="V575" s="468" t="s">
        <v>3818</v>
      </c>
      <c r="W575" s="493" t="s">
        <v>2263</v>
      </c>
      <c r="X575" s="592"/>
      <c r="Y575" s="592"/>
      <c r="Z575" s="468"/>
      <c r="AA575" s="456"/>
      <c r="AB575" s="460" t="s">
        <v>3819</v>
      </c>
      <c r="AC575" s="470"/>
      <c r="AD575" s="645" t="str">
        <f t="shared" si="28"/>
        <v>atrasado</v>
      </c>
    </row>
    <row r="576" spans="1:39" s="587" customFormat="1" ht="54.95" customHeight="1" thickBot="1" x14ac:dyDescent="0.25">
      <c r="A576" s="649"/>
      <c r="B576" s="455" t="s">
        <v>78</v>
      </c>
      <c r="C576" s="455" t="s">
        <v>3165</v>
      </c>
      <c r="D576" s="456" t="s">
        <v>3820</v>
      </c>
      <c r="E576" s="456"/>
      <c r="F576" s="842">
        <v>598214</v>
      </c>
      <c r="G576" s="457" t="s">
        <v>3763</v>
      </c>
      <c r="H576" s="458">
        <v>25350</v>
      </c>
      <c r="I576" s="611" t="s">
        <v>83</v>
      </c>
      <c r="J576" s="460">
        <v>41326</v>
      </c>
      <c r="K576" s="461">
        <f>+L576-J576</f>
        <v>75</v>
      </c>
      <c r="L576" s="462">
        <v>41401</v>
      </c>
      <c r="M576" s="611" t="s">
        <v>124</v>
      </c>
      <c r="N576" s="468" t="s">
        <v>42</v>
      </c>
      <c r="O576" s="460">
        <v>41394</v>
      </c>
      <c r="P576" s="461">
        <f t="shared" si="26"/>
        <v>9</v>
      </c>
      <c r="Q576" s="461"/>
      <c r="R576" s="460">
        <v>41396</v>
      </c>
      <c r="S576" s="471">
        <v>41410</v>
      </c>
      <c r="T576" s="462">
        <f>+S576+30</f>
        <v>41440</v>
      </c>
      <c r="U576" s="461">
        <f t="shared" si="27"/>
        <v>114</v>
      </c>
      <c r="V576" s="468" t="s">
        <v>3821</v>
      </c>
      <c r="W576" s="493" t="s">
        <v>2270</v>
      </c>
      <c r="X576" s="592"/>
      <c r="Y576" s="592"/>
      <c r="Z576" s="468"/>
      <c r="AA576" s="456"/>
      <c r="AB576" s="460" t="s">
        <v>3819</v>
      </c>
      <c r="AC576" s="470"/>
      <c r="AD576" s="645" t="str">
        <f t="shared" si="28"/>
        <v>atrasado</v>
      </c>
    </row>
    <row r="577" spans="1:33" s="587" customFormat="1" ht="54.95" customHeight="1" thickBot="1" x14ac:dyDescent="0.25">
      <c r="A577" s="649"/>
      <c r="B577" s="455" t="s">
        <v>78</v>
      </c>
      <c r="C577" s="455" t="s">
        <v>3165</v>
      </c>
      <c r="D577" s="456" t="s">
        <v>3816</v>
      </c>
      <c r="E577" s="456"/>
      <c r="F577" s="842">
        <v>596770</v>
      </c>
      <c r="G577" s="457" t="s">
        <v>3763</v>
      </c>
      <c r="H577" s="458">
        <v>253596.66</v>
      </c>
      <c r="I577" s="611" t="s">
        <v>83</v>
      </c>
      <c r="J577" s="460">
        <v>41282</v>
      </c>
      <c r="K577" s="461">
        <f>+L577-J577</f>
        <v>132</v>
      </c>
      <c r="L577" s="462">
        <v>41414</v>
      </c>
      <c r="M577" s="611" t="s">
        <v>124</v>
      </c>
      <c r="N577" s="468" t="s">
        <v>42</v>
      </c>
      <c r="O577" s="460">
        <v>41414</v>
      </c>
      <c r="P577" s="461">
        <f t="shared" si="26"/>
        <v>16</v>
      </c>
      <c r="Q577" s="461" t="s">
        <v>3822</v>
      </c>
      <c r="R577" s="460">
        <v>41416</v>
      </c>
      <c r="S577" s="471">
        <v>41430</v>
      </c>
      <c r="T577" s="462">
        <f>+S577+30</f>
        <v>41460</v>
      </c>
      <c r="U577" s="461">
        <f t="shared" si="27"/>
        <v>178</v>
      </c>
      <c r="V577" s="468" t="s">
        <v>3823</v>
      </c>
      <c r="W577" s="493" t="s">
        <v>2291</v>
      </c>
      <c r="X577" s="592"/>
      <c r="Y577" s="592"/>
      <c r="Z577" s="468"/>
      <c r="AA577" s="456"/>
      <c r="AB577" s="460" t="s">
        <v>3824</v>
      </c>
      <c r="AC577" s="470"/>
      <c r="AD577" s="645" t="str">
        <f t="shared" si="28"/>
        <v>atrasado</v>
      </c>
    </row>
    <row r="578" spans="1:33" s="587" customFormat="1" ht="54.95" customHeight="1" thickBot="1" x14ac:dyDescent="0.25">
      <c r="A578" s="649"/>
      <c r="B578" s="455" t="s">
        <v>78</v>
      </c>
      <c r="C578" s="455" t="s">
        <v>3165</v>
      </c>
      <c r="D578" s="456" t="s">
        <v>3825</v>
      </c>
      <c r="E578" s="456"/>
      <c r="F578" s="842">
        <v>598085</v>
      </c>
      <c r="G578" s="457" t="s">
        <v>3763</v>
      </c>
      <c r="H578" s="458">
        <v>640388</v>
      </c>
      <c r="I578" s="611" t="s">
        <v>83</v>
      </c>
      <c r="J578" s="460">
        <v>41326</v>
      </c>
      <c r="K578" s="461">
        <f>+L578-J578</f>
        <v>123</v>
      </c>
      <c r="L578" s="462">
        <v>41449</v>
      </c>
      <c r="M578" s="611" t="s">
        <v>124</v>
      </c>
      <c r="N578" s="468" t="s">
        <v>42</v>
      </c>
      <c r="O578" s="460">
        <v>41436</v>
      </c>
      <c r="P578" s="461">
        <f t="shared" si="26"/>
        <v>-2</v>
      </c>
      <c r="Q578" s="461"/>
      <c r="R578" s="460">
        <v>41439</v>
      </c>
      <c r="S578" s="471">
        <v>41447</v>
      </c>
      <c r="T578" s="462">
        <f>+S578+20</f>
        <v>41467</v>
      </c>
      <c r="U578" s="461">
        <f t="shared" si="27"/>
        <v>141</v>
      </c>
      <c r="V578" s="468" t="s">
        <v>3826</v>
      </c>
      <c r="W578" s="493" t="s">
        <v>2624</v>
      </c>
      <c r="X578" s="592"/>
      <c r="Y578" s="592"/>
      <c r="Z578" s="468"/>
      <c r="AA578" s="456"/>
      <c r="AB578" s="460" t="s">
        <v>3827</v>
      </c>
      <c r="AC578" s="470"/>
      <c r="AD578" s="645" t="str">
        <f t="shared" si="28"/>
        <v>en término</v>
      </c>
    </row>
    <row r="579" spans="1:33" s="587" customFormat="1" ht="54.95" customHeight="1" thickBot="1" x14ac:dyDescent="0.25">
      <c r="A579" s="649"/>
      <c r="B579" s="455" t="s">
        <v>78</v>
      </c>
      <c r="C579" s="455" t="s">
        <v>79</v>
      </c>
      <c r="D579" s="456" t="s">
        <v>3828</v>
      </c>
      <c r="E579" s="456"/>
      <c r="F579" s="844" t="s">
        <v>3829</v>
      </c>
      <c r="G579" s="457" t="s">
        <v>3763</v>
      </c>
      <c r="H579" s="458">
        <v>18680</v>
      </c>
      <c r="I579" s="611" t="s">
        <v>83</v>
      </c>
      <c r="J579" s="460">
        <v>41401</v>
      </c>
      <c r="K579" s="461">
        <v>90</v>
      </c>
      <c r="L579" s="462">
        <f>+J579+K579</f>
        <v>41491</v>
      </c>
      <c r="M579" s="611" t="s">
        <v>124</v>
      </c>
      <c r="N579" s="468" t="s">
        <v>110</v>
      </c>
      <c r="O579" s="460">
        <v>41485</v>
      </c>
      <c r="P579" s="461">
        <f t="shared" si="26"/>
        <v>3</v>
      </c>
      <c r="Q579" s="461"/>
      <c r="R579" s="460">
        <v>41494</v>
      </c>
      <c r="S579" s="471">
        <v>41494</v>
      </c>
      <c r="T579" s="462">
        <v>41499</v>
      </c>
      <c r="U579" s="461">
        <f t="shared" si="27"/>
        <v>98</v>
      </c>
      <c r="V579" s="468" t="s">
        <v>752</v>
      </c>
      <c r="W579" s="493" t="s">
        <v>2650</v>
      </c>
      <c r="X579" s="592"/>
      <c r="Y579" s="592"/>
      <c r="Z579" s="468"/>
      <c r="AA579" s="456"/>
      <c r="AB579" s="460" t="s">
        <v>3830</v>
      </c>
      <c r="AC579" s="470"/>
      <c r="AD579" s="645" t="str">
        <f t="shared" si="28"/>
        <v>atrasado</v>
      </c>
    </row>
    <row r="580" spans="1:33" s="587" customFormat="1" ht="54.95" customHeight="1" thickBot="1" x14ac:dyDescent="0.25">
      <c r="A580" s="649"/>
      <c r="B580" s="455" t="s">
        <v>78</v>
      </c>
      <c r="C580" s="455" t="s">
        <v>3165</v>
      </c>
      <c r="D580" s="456" t="s">
        <v>3825</v>
      </c>
      <c r="E580" s="456"/>
      <c r="F580" s="842">
        <v>598085</v>
      </c>
      <c r="G580" s="457" t="s">
        <v>3763</v>
      </c>
      <c r="H580" s="458">
        <v>13740</v>
      </c>
      <c r="I580" s="611" t="s">
        <v>83</v>
      </c>
      <c r="J580" s="460">
        <v>41326</v>
      </c>
      <c r="K580" s="461">
        <f>+L580-J580</f>
        <v>166</v>
      </c>
      <c r="L580" s="462">
        <v>41492</v>
      </c>
      <c r="M580" s="611" t="s">
        <v>124</v>
      </c>
      <c r="N580" s="468" t="s">
        <v>110</v>
      </c>
      <c r="O580" s="460">
        <v>41485</v>
      </c>
      <c r="P580" s="461">
        <f>IF(S580="","",+S580-L580)</f>
        <v>0</v>
      </c>
      <c r="Q580" s="461"/>
      <c r="R580" s="460"/>
      <c r="S580" s="471">
        <v>41492</v>
      </c>
      <c r="T580" s="462">
        <f>+S580+30</f>
        <v>41522</v>
      </c>
      <c r="U580" s="461">
        <f>IF(T580="","",+T580-J580)</f>
        <v>196</v>
      </c>
      <c r="V580" s="468" t="s">
        <v>3831</v>
      </c>
      <c r="W580" s="493" t="s">
        <v>2325</v>
      </c>
      <c r="X580" s="592"/>
      <c r="Y580" s="592"/>
      <c r="Z580" s="468"/>
      <c r="AA580" s="456"/>
      <c r="AB580" s="460" t="s">
        <v>3832</v>
      </c>
      <c r="AC580" s="470"/>
      <c r="AD580" s="645" t="str">
        <f>IF(P580="","",IF(P580&lt;=0,"en término","atrasado"))</f>
        <v>en término</v>
      </c>
    </row>
    <row r="581" spans="1:33" s="587" customFormat="1" ht="54.95" customHeight="1" thickBot="1" x14ac:dyDescent="0.25">
      <c r="A581" s="649"/>
      <c r="B581" s="455" t="s">
        <v>78</v>
      </c>
      <c r="C581" s="455" t="s">
        <v>3165</v>
      </c>
      <c r="D581" s="456" t="s">
        <v>3833</v>
      </c>
      <c r="E581" s="456"/>
      <c r="F581" s="842">
        <v>599853</v>
      </c>
      <c r="G581" s="457" t="s">
        <v>3763</v>
      </c>
      <c r="H581" s="458">
        <v>168995.6</v>
      </c>
      <c r="I581" s="611" t="s">
        <v>83</v>
      </c>
      <c r="J581" s="460">
        <v>41372</v>
      </c>
      <c r="K581" s="461">
        <f>+L581-J581</f>
        <v>120</v>
      </c>
      <c r="L581" s="462">
        <v>41492</v>
      </c>
      <c r="M581" s="611" t="s">
        <v>124</v>
      </c>
      <c r="N581" s="468" t="s">
        <v>42</v>
      </c>
      <c r="O581" s="460">
        <v>41485</v>
      </c>
      <c r="P581" s="461">
        <f>IF(S581="","",+S581-L581)</f>
        <v>0</v>
      </c>
      <c r="Q581" s="461"/>
      <c r="R581" s="460"/>
      <c r="S581" s="471">
        <v>41492</v>
      </c>
      <c r="T581" s="462">
        <f>+S581+30</f>
        <v>41522</v>
      </c>
      <c r="U581" s="461">
        <f>IF(T581="","",+T581-J581)</f>
        <v>150</v>
      </c>
      <c r="V581" s="468" t="s">
        <v>2183</v>
      </c>
      <c r="W581" s="493" t="s">
        <v>2331</v>
      </c>
      <c r="X581" s="592"/>
      <c r="Y581" s="592"/>
      <c r="Z581" s="468"/>
      <c r="AA581" s="456"/>
      <c r="AB581" s="460" t="s">
        <v>3832</v>
      </c>
      <c r="AC581" s="470"/>
      <c r="AD581" s="645" t="str">
        <f>IF(P581="","",IF(P581&lt;=0,"en término","atrasado"))</f>
        <v>en término</v>
      </c>
    </row>
    <row r="582" spans="1:33" s="587" customFormat="1" ht="54.95" customHeight="1" thickBot="1" x14ac:dyDescent="0.25">
      <c r="A582" s="649"/>
      <c r="B582" s="455" t="s">
        <v>78</v>
      </c>
      <c r="C582" s="455" t="s">
        <v>3165</v>
      </c>
      <c r="D582" s="456" t="s">
        <v>3834</v>
      </c>
      <c r="E582" s="456"/>
      <c r="F582" s="842">
        <v>605815</v>
      </c>
      <c r="G582" s="457" t="s">
        <v>3763</v>
      </c>
      <c r="H582" s="458">
        <v>5896</v>
      </c>
      <c r="I582" s="611" t="s">
        <v>83</v>
      </c>
      <c r="J582" s="460">
        <v>41542</v>
      </c>
      <c r="K582" s="461">
        <f>+L582-J582</f>
        <v>47</v>
      </c>
      <c r="L582" s="462">
        <v>41589</v>
      </c>
      <c r="M582" s="611" t="s">
        <v>124</v>
      </c>
      <c r="N582" s="468" t="s">
        <v>42</v>
      </c>
      <c r="O582" s="460">
        <v>41586</v>
      </c>
      <c r="P582" s="461">
        <f>IF(S582="","",+S582-L582)</f>
        <v>18</v>
      </c>
      <c r="Q582" s="591" t="s">
        <v>3835</v>
      </c>
      <c r="R582" s="460">
        <v>41591</v>
      </c>
      <c r="S582" s="836">
        <v>41607</v>
      </c>
      <c r="T582" s="462">
        <f>+S582+20</f>
        <v>41627</v>
      </c>
      <c r="U582" s="461">
        <f>IF(T582="","",+T582-J582)</f>
        <v>85</v>
      </c>
      <c r="V582" s="468" t="s">
        <v>53</v>
      </c>
      <c r="W582" s="493">
        <v>106</v>
      </c>
      <c r="X582" s="592"/>
      <c r="Y582" s="592"/>
      <c r="Z582" s="468"/>
      <c r="AA582" s="456"/>
      <c r="AB582" s="589" t="s">
        <v>2711</v>
      </c>
      <c r="AC582" s="470"/>
      <c r="AD582" s="645" t="str">
        <f>IF(P582="","",IF(P582&lt;=0,"en término","atrasado"))</f>
        <v>atrasado</v>
      </c>
      <c r="AF582" s="656"/>
      <c r="AG582" s="656"/>
    </row>
    <row r="583" spans="1:33" s="587" customFormat="1" ht="54.95" customHeight="1" thickBot="1" x14ac:dyDescent="0.25">
      <c r="A583" s="649"/>
      <c r="B583" s="455" t="s">
        <v>78</v>
      </c>
      <c r="C583" s="455" t="s">
        <v>79</v>
      </c>
      <c r="D583" s="456" t="s">
        <v>3836</v>
      </c>
      <c r="E583" s="456"/>
      <c r="F583" s="842" t="s">
        <v>3837</v>
      </c>
      <c r="G583" s="457" t="s">
        <v>3763</v>
      </c>
      <c r="H583" s="458">
        <v>10077.200000000001</v>
      </c>
      <c r="I583" s="611" t="s">
        <v>83</v>
      </c>
      <c r="J583" s="460">
        <v>41555</v>
      </c>
      <c r="K583" s="461">
        <f>+L583-J583</f>
        <v>43</v>
      </c>
      <c r="L583" s="462">
        <v>41598</v>
      </c>
      <c r="M583" s="611" t="s">
        <v>124</v>
      </c>
      <c r="N583" s="468" t="s">
        <v>42</v>
      </c>
      <c r="O583" s="460">
        <v>41586</v>
      </c>
      <c r="P583" s="461">
        <f>IF(S583="","",+S583-L583)</f>
        <v>-8</v>
      </c>
      <c r="Q583" s="461"/>
      <c r="R583" s="460"/>
      <c r="S583" s="836">
        <v>41590</v>
      </c>
      <c r="T583" s="462"/>
      <c r="U583" s="461" t="str">
        <f>IF(T583="","",+T583-J583)</f>
        <v/>
      </c>
      <c r="V583" s="468" t="s">
        <v>53</v>
      </c>
      <c r="W583" s="493">
        <v>107</v>
      </c>
      <c r="X583" s="592"/>
      <c r="Y583" s="592"/>
      <c r="Z583" s="468" t="s">
        <v>1676</v>
      </c>
      <c r="AA583" s="456"/>
      <c r="AB583" s="589" t="s">
        <v>3838</v>
      </c>
      <c r="AC583" s="470"/>
      <c r="AD583" s="645" t="str">
        <f>IF(P583="","",IF(P583&lt;=0,"en término","atrasado"))</f>
        <v>en término</v>
      </c>
      <c r="AF583" s="656"/>
      <c r="AG583" s="656"/>
    </row>
    <row r="586" spans="1:33" ht="12.75" x14ac:dyDescent="0.2">
      <c r="AA586" s="1">
        <v>2013</v>
      </c>
      <c r="AB586" s="1047"/>
    </row>
    <row r="587" spans="1:33" ht="12.75" x14ac:dyDescent="0.2">
      <c r="AA587" s="945" t="s">
        <v>813</v>
      </c>
      <c r="AB587" s="1048">
        <f>COUNTA(AD573:AD585)</f>
        <v>10</v>
      </c>
    </row>
    <row r="588" spans="1:33" ht="12.75" x14ac:dyDescent="0.2">
      <c r="AA588" s="945" t="s">
        <v>815</v>
      </c>
      <c r="AB588" s="1048">
        <f>COUNTIF(AD574:AD584,"en término")</f>
        <v>5</v>
      </c>
    </row>
    <row r="589" spans="1:33" ht="12.75" x14ac:dyDescent="0.2">
      <c r="AA589" s="945" t="s">
        <v>817</v>
      </c>
      <c r="AB589" s="557">
        <f>+AB588/AB587</f>
        <v>0.5</v>
      </c>
    </row>
    <row r="592" spans="1:33" ht="12" thickBot="1" x14ac:dyDescent="0.25"/>
    <row r="593" spans="1:39" s="556" customFormat="1" ht="39.950000000000003" customHeight="1" thickBot="1" x14ac:dyDescent="0.4">
      <c r="B593" s="1611">
        <v>2014</v>
      </c>
      <c r="C593" s="1612"/>
      <c r="D593" s="1612"/>
      <c r="E593" s="1612"/>
      <c r="F593" s="1612"/>
      <c r="G593" s="1612"/>
      <c r="H593" s="1612"/>
      <c r="I593" s="1612"/>
      <c r="J593" s="1612"/>
      <c r="K593" s="1612"/>
      <c r="L593" s="1612"/>
      <c r="M593" s="1612"/>
      <c r="N593" s="1612"/>
      <c r="O593" s="1612"/>
      <c r="P593" s="1612"/>
      <c r="Q593" s="1612"/>
      <c r="R593" s="1612"/>
      <c r="S593" s="1612"/>
      <c r="T593" s="1612"/>
      <c r="U593" s="1612"/>
      <c r="V593" s="1612"/>
      <c r="W593" s="1612"/>
      <c r="X593" s="1612"/>
      <c r="Y593" s="1612"/>
      <c r="Z593" s="1612"/>
      <c r="AA593" s="1612"/>
      <c r="AB593" s="1612"/>
      <c r="AC593" s="1613"/>
      <c r="AD593" s="555"/>
    </row>
    <row r="594" spans="1:39" s="441" customFormat="1" ht="60" customHeight="1" thickBot="1" x14ac:dyDescent="0.25">
      <c r="A594" s="438"/>
      <c r="B594" s="451" t="s">
        <v>130</v>
      </c>
      <c r="C594" s="451" t="s">
        <v>4</v>
      </c>
      <c r="D594" s="451" t="s">
        <v>5</v>
      </c>
      <c r="E594" s="451" t="s">
        <v>6</v>
      </c>
      <c r="F594" s="451" t="s">
        <v>7</v>
      </c>
      <c r="G594" s="451" t="s">
        <v>8</v>
      </c>
      <c r="H594" s="453" t="s">
        <v>9</v>
      </c>
      <c r="I594" s="453" t="s">
        <v>10</v>
      </c>
      <c r="J594" s="451" t="s">
        <v>11</v>
      </c>
      <c r="K594" s="451" t="s">
        <v>12</v>
      </c>
      <c r="L594" s="451" t="s">
        <v>13</v>
      </c>
      <c r="M594" s="451" t="s">
        <v>14</v>
      </c>
      <c r="N594" s="451" t="s">
        <v>15</v>
      </c>
      <c r="O594" s="452" t="s">
        <v>16</v>
      </c>
      <c r="P594" s="454" t="s">
        <v>17</v>
      </c>
      <c r="Q594" s="451" t="s">
        <v>18</v>
      </c>
      <c r="R594" s="452" t="s">
        <v>19</v>
      </c>
      <c r="S594" s="451" t="s">
        <v>20</v>
      </c>
      <c r="T594" s="451" t="s">
        <v>21</v>
      </c>
      <c r="U594" s="452" t="s">
        <v>22</v>
      </c>
      <c r="V594" s="451" t="s">
        <v>131</v>
      </c>
      <c r="W594" s="451" t="s">
        <v>24</v>
      </c>
      <c r="X594" s="451" t="s">
        <v>132</v>
      </c>
      <c r="Y594" s="451" t="s">
        <v>26</v>
      </c>
      <c r="Z594" s="451" t="s">
        <v>27</v>
      </c>
      <c r="AA594" s="451" t="s">
        <v>28</v>
      </c>
      <c r="AB594" s="451" t="s">
        <v>29</v>
      </c>
      <c r="AC594" s="451" t="s">
        <v>30</v>
      </c>
      <c r="AD594" s="439"/>
      <c r="AE594" s="440"/>
      <c r="AF594" s="440"/>
      <c r="AG594" s="440"/>
      <c r="AH594" s="440"/>
      <c r="AI594" s="440"/>
      <c r="AJ594" s="440"/>
      <c r="AK594" s="440"/>
      <c r="AL594" s="440"/>
      <c r="AM594" s="440"/>
    </row>
    <row r="595" spans="1:39" s="587" customFormat="1" ht="54.95" customHeight="1" thickBot="1" x14ac:dyDescent="0.25">
      <c r="A595" s="649"/>
      <c r="B595" s="887" t="s">
        <v>78</v>
      </c>
      <c r="C595" s="887" t="s">
        <v>3165</v>
      </c>
      <c r="D595" s="888" t="s">
        <v>3839</v>
      </c>
      <c r="E595" s="888"/>
      <c r="F595" s="908">
        <v>609441</v>
      </c>
      <c r="G595" s="889" t="s">
        <v>3763</v>
      </c>
      <c r="H595" s="890">
        <v>209499.63</v>
      </c>
      <c r="I595" s="891" t="s">
        <v>83</v>
      </c>
      <c r="J595" s="892">
        <v>41641</v>
      </c>
      <c r="K595" s="893">
        <f t="shared" ref="K595:K600" si="29">+L595-J595</f>
        <v>67</v>
      </c>
      <c r="L595" s="894">
        <v>41708</v>
      </c>
      <c r="M595" s="891" t="s">
        <v>124</v>
      </c>
      <c r="N595" s="895" t="s">
        <v>42</v>
      </c>
      <c r="O595" s="892">
        <v>41674</v>
      </c>
      <c r="P595" s="893">
        <f t="shared" ref="P595:P600" si="30">IF(S595="","",+S595-L595)</f>
        <v>-20</v>
      </c>
      <c r="Q595" s="901" t="s">
        <v>3840</v>
      </c>
      <c r="R595" s="892">
        <v>41681</v>
      </c>
      <c r="S595" s="904">
        <v>41688</v>
      </c>
      <c r="T595" s="894">
        <v>41711</v>
      </c>
      <c r="U595" s="893">
        <f t="shared" ref="U595:U600" si="31">IF(T595="","",+T595-J595)</f>
        <v>70</v>
      </c>
      <c r="V595" s="895" t="s">
        <v>3841</v>
      </c>
      <c r="W595" s="897" t="s">
        <v>100</v>
      </c>
      <c r="X595" s="905"/>
      <c r="Y595" s="905"/>
      <c r="Z595" s="895" t="s">
        <v>1676</v>
      </c>
      <c r="AA595" s="888"/>
      <c r="AB595" s="909" t="s">
        <v>47</v>
      </c>
      <c r="AC595" s="899"/>
      <c r="AD595" s="645" t="str">
        <f t="shared" ref="AD595:AD600" si="32">IF(P595="","",IF(P595&lt;=0,"en término","atrasado"))</f>
        <v>en término</v>
      </c>
      <c r="AF595" s="656"/>
      <c r="AG595" s="656"/>
    </row>
    <row r="596" spans="1:39" s="587" customFormat="1" ht="54.95" customHeight="1" thickBot="1" x14ac:dyDescent="0.25">
      <c r="A596" s="649"/>
      <c r="B596" s="887" t="s">
        <v>78</v>
      </c>
      <c r="C596" s="887" t="s">
        <v>3165</v>
      </c>
      <c r="D596" s="888" t="s">
        <v>3842</v>
      </c>
      <c r="E596" s="888"/>
      <c r="F596" s="908">
        <v>610290</v>
      </c>
      <c r="G596" s="889" t="s">
        <v>3763</v>
      </c>
      <c r="H596" s="890">
        <v>986545.34</v>
      </c>
      <c r="I596" s="891" t="s">
        <v>83</v>
      </c>
      <c r="J596" s="892">
        <v>41680</v>
      </c>
      <c r="K596" s="893">
        <f t="shared" si="29"/>
        <v>57</v>
      </c>
      <c r="L596" s="894">
        <v>41737</v>
      </c>
      <c r="M596" s="891" t="s">
        <v>124</v>
      </c>
      <c r="N596" s="895" t="s">
        <v>42</v>
      </c>
      <c r="O596" s="892">
        <v>41711</v>
      </c>
      <c r="P596" s="893">
        <f t="shared" si="30"/>
        <v>-19</v>
      </c>
      <c r="Q596" s="893" t="s">
        <v>3843</v>
      </c>
      <c r="R596" s="892">
        <v>41717</v>
      </c>
      <c r="S596" s="904">
        <v>41718</v>
      </c>
      <c r="T596" s="894">
        <v>41741</v>
      </c>
      <c r="U596" s="893">
        <f t="shared" si="31"/>
        <v>61</v>
      </c>
      <c r="V596" s="895" t="s">
        <v>3844</v>
      </c>
      <c r="W596" s="897" t="s">
        <v>2224</v>
      </c>
      <c r="X596" s="905"/>
      <c r="Y596" s="905"/>
      <c r="Z596" s="895" t="s">
        <v>1676</v>
      </c>
      <c r="AA596" s="888"/>
      <c r="AB596" s="909" t="s">
        <v>3845</v>
      </c>
      <c r="AC596" s="899"/>
      <c r="AD596" s="645" t="str">
        <f t="shared" si="32"/>
        <v>en término</v>
      </c>
      <c r="AF596" s="656" t="s">
        <v>3846</v>
      </c>
      <c r="AG596" s="656"/>
    </row>
    <row r="597" spans="1:39" s="587" customFormat="1" ht="54.95" customHeight="1" thickBot="1" x14ac:dyDescent="0.25">
      <c r="A597" s="649"/>
      <c r="B597" s="887" t="s">
        <v>78</v>
      </c>
      <c r="C597" s="887" t="s">
        <v>3165</v>
      </c>
      <c r="D597" s="888" t="s">
        <v>3839</v>
      </c>
      <c r="E597" s="888"/>
      <c r="F597" s="908">
        <v>609441</v>
      </c>
      <c r="G597" s="889" t="s">
        <v>3763</v>
      </c>
      <c r="H597" s="890">
        <v>333096.25</v>
      </c>
      <c r="I597" s="891" t="s">
        <v>83</v>
      </c>
      <c r="J597" s="892">
        <v>41641</v>
      </c>
      <c r="K597" s="893">
        <f t="shared" si="29"/>
        <v>123</v>
      </c>
      <c r="L597" s="894">
        <v>41764</v>
      </c>
      <c r="M597" s="891" t="s">
        <v>124</v>
      </c>
      <c r="N597" s="895" t="s">
        <v>42</v>
      </c>
      <c r="O597" s="892">
        <v>41774</v>
      </c>
      <c r="P597" s="893">
        <f t="shared" si="30"/>
        <v>18</v>
      </c>
      <c r="Q597" s="893" t="s">
        <v>3847</v>
      </c>
      <c r="R597" s="892">
        <v>41780</v>
      </c>
      <c r="S597" s="904">
        <v>41782</v>
      </c>
      <c r="T597" s="894">
        <v>41803</v>
      </c>
      <c r="U597" s="893">
        <f t="shared" si="31"/>
        <v>162</v>
      </c>
      <c r="V597" s="895" t="s">
        <v>3848</v>
      </c>
      <c r="W597" s="897" t="s">
        <v>45</v>
      </c>
      <c r="X597" s="905"/>
      <c r="Y597" s="905"/>
      <c r="Z597" s="895" t="s">
        <v>1676</v>
      </c>
      <c r="AA597" s="888"/>
      <c r="AB597" s="909" t="s">
        <v>3849</v>
      </c>
      <c r="AC597" s="899"/>
      <c r="AD597" s="645" t="str">
        <f t="shared" si="32"/>
        <v>atrasado</v>
      </c>
      <c r="AE597" s="468"/>
      <c r="AF597" s="468"/>
      <c r="AG597" s="656"/>
    </row>
    <row r="598" spans="1:39" s="587" customFormat="1" ht="54.95" customHeight="1" thickBot="1" x14ac:dyDescent="0.25">
      <c r="A598" s="649"/>
      <c r="B598" s="887" t="s">
        <v>78</v>
      </c>
      <c r="C598" s="887" t="s">
        <v>3165</v>
      </c>
      <c r="D598" s="888" t="s">
        <v>3850</v>
      </c>
      <c r="E598" s="888"/>
      <c r="F598" s="908">
        <v>610276</v>
      </c>
      <c r="G598" s="889" t="s">
        <v>3763</v>
      </c>
      <c r="H598" s="890">
        <v>531484.9</v>
      </c>
      <c r="I598" s="891" t="s">
        <v>83</v>
      </c>
      <c r="J598" s="892">
        <v>41680</v>
      </c>
      <c r="K598" s="893">
        <f t="shared" si="29"/>
        <v>84</v>
      </c>
      <c r="L598" s="894">
        <v>41764</v>
      </c>
      <c r="M598" s="891" t="s">
        <v>124</v>
      </c>
      <c r="N598" s="895" t="s">
        <v>42</v>
      </c>
      <c r="O598" s="892">
        <v>41774</v>
      </c>
      <c r="P598" s="893">
        <f t="shared" si="30"/>
        <v>18</v>
      </c>
      <c r="Q598" s="893" t="s">
        <v>3847</v>
      </c>
      <c r="R598" s="892">
        <v>41780</v>
      </c>
      <c r="S598" s="904">
        <v>41782</v>
      </c>
      <c r="T598" s="894">
        <v>41803</v>
      </c>
      <c r="U598" s="893">
        <f t="shared" si="31"/>
        <v>123</v>
      </c>
      <c r="V598" s="895" t="s">
        <v>2183</v>
      </c>
      <c r="W598" s="897" t="s">
        <v>2251</v>
      </c>
      <c r="X598" s="905"/>
      <c r="Y598" s="905"/>
      <c r="Z598" s="895" t="s">
        <v>1676</v>
      </c>
      <c r="AA598" s="888"/>
      <c r="AB598" s="909" t="s">
        <v>3849</v>
      </c>
      <c r="AC598" s="899"/>
      <c r="AD598" s="645" t="str">
        <f t="shared" si="32"/>
        <v>atrasado</v>
      </c>
      <c r="AE598" s="468"/>
      <c r="AF598" s="468"/>
      <c r="AG598" s="656"/>
    </row>
    <row r="599" spans="1:39" s="587" customFormat="1" ht="54.95" customHeight="1" thickBot="1" x14ac:dyDescent="0.25">
      <c r="A599" s="649"/>
      <c r="B599" s="887" t="s">
        <v>78</v>
      </c>
      <c r="C599" s="887" t="s">
        <v>3165</v>
      </c>
      <c r="D599" s="888" t="s">
        <v>3842</v>
      </c>
      <c r="E599" s="888"/>
      <c r="F599" s="908">
        <v>610290</v>
      </c>
      <c r="G599" s="889" t="s">
        <v>3763</v>
      </c>
      <c r="H599" s="890">
        <v>557651.72</v>
      </c>
      <c r="I599" s="891" t="s">
        <v>83</v>
      </c>
      <c r="J599" s="892">
        <v>41680</v>
      </c>
      <c r="K599" s="893">
        <f t="shared" si="29"/>
        <v>95</v>
      </c>
      <c r="L599" s="894">
        <v>41775</v>
      </c>
      <c r="M599" s="891" t="s">
        <v>124</v>
      </c>
      <c r="N599" s="895" t="s">
        <v>42</v>
      </c>
      <c r="O599" s="892">
        <v>41774</v>
      </c>
      <c r="P599" s="893">
        <f t="shared" si="30"/>
        <v>7</v>
      </c>
      <c r="Q599" s="893" t="s">
        <v>3847</v>
      </c>
      <c r="R599" s="892">
        <v>41780</v>
      </c>
      <c r="S599" s="904">
        <v>41782</v>
      </c>
      <c r="T599" s="894">
        <v>41803</v>
      </c>
      <c r="U599" s="893">
        <f t="shared" si="31"/>
        <v>123</v>
      </c>
      <c r="V599" s="895" t="s">
        <v>3851</v>
      </c>
      <c r="W599" s="897" t="s">
        <v>2441</v>
      </c>
      <c r="X599" s="905"/>
      <c r="Y599" s="905"/>
      <c r="Z599" s="895"/>
      <c r="AA599" s="888"/>
      <c r="AB599" s="909" t="s">
        <v>3849</v>
      </c>
      <c r="AC599" s="899"/>
      <c r="AD599" s="645" t="str">
        <f t="shared" si="32"/>
        <v>atrasado</v>
      </c>
      <c r="AE599" s="468"/>
      <c r="AF599" s="468"/>
      <c r="AG599" s="656"/>
    </row>
    <row r="600" spans="1:39" s="587" customFormat="1" ht="54.95" customHeight="1" thickBot="1" x14ac:dyDescent="0.25">
      <c r="A600" s="649"/>
      <c r="B600" s="887" t="s">
        <v>78</v>
      </c>
      <c r="C600" s="887" t="s">
        <v>3165</v>
      </c>
      <c r="D600" s="888" t="s">
        <v>3852</v>
      </c>
      <c r="E600" s="888"/>
      <c r="F600" s="908">
        <v>610935</v>
      </c>
      <c r="G600" s="889" t="s">
        <v>3763</v>
      </c>
      <c r="H600" s="890">
        <v>2590.12</v>
      </c>
      <c r="I600" s="891" t="s">
        <v>83</v>
      </c>
      <c r="J600" s="892">
        <v>41701</v>
      </c>
      <c r="K600" s="893">
        <f t="shared" si="29"/>
        <v>98</v>
      </c>
      <c r="L600" s="894">
        <v>41799</v>
      </c>
      <c r="M600" s="891" t="s">
        <v>124</v>
      </c>
      <c r="N600" s="895" t="s">
        <v>42</v>
      </c>
      <c r="O600" s="892">
        <v>41774</v>
      </c>
      <c r="P600" s="893">
        <f t="shared" si="30"/>
        <v>-17</v>
      </c>
      <c r="Q600" s="893" t="s">
        <v>3847</v>
      </c>
      <c r="R600" s="892">
        <v>41780</v>
      </c>
      <c r="S600" s="904">
        <v>41782</v>
      </c>
      <c r="T600" s="894">
        <v>41803</v>
      </c>
      <c r="U600" s="893">
        <f t="shared" si="31"/>
        <v>102</v>
      </c>
      <c r="V600" s="895" t="s">
        <v>2183</v>
      </c>
      <c r="W600" s="897" t="s">
        <v>57</v>
      </c>
      <c r="X600" s="905"/>
      <c r="Y600" s="905"/>
      <c r="Z600" s="895"/>
      <c r="AA600" s="888"/>
      <c r="AB600" s="909" t="s">
        <v>3853</v>
      </c>
      <c r="AC600" s="899"/>
      <c r="AD600" s="645" t="str">
        <f t="shared" si="32"/>
        <v>en término</v>
      </c>
      <c r="AE600" s="468"/>
      <c r="AF600" s="468"/>
      <c r="AG600" s="656"/>
    </row>
    <row r="601" spans="1:39" s="587" customFormat="1" ht="54.95" customHeight="1" thickBot="1" x14ac:dyDescent="0.25">
      <c r="A601" s="649"/>
      <c r="B601" s="887" t="s">
        <v>78</v>
      </c>
      <c r="C601" s="887" t="s">
        <v>79</v>
      </c>
      <c r="D601" s="888" t="s">
        <v>3854</v>
      </c>
      <c r="E601" s="888"/>
      <c r="F601" s="908" t="s">
        <v>3855</v>
      </c>
      <c r="G601" s="889" t="s">
        <v>3763</v>
      </c>
      <c r="H601" s="890">
        <v>14073.6</v>
      </c>
      <c r="I601" s="891" t="s">
        <v>83</v>
      </c>
      <c r="J601" s="892">
        <v>41745</v>
      </c>
      <c r="K601" s="893">
        <v>90</v>
      </c>
      <c r="L601" s="894">
        <f>+J601+K601</f>
        <v>41835</v>
      </c>
      <c r="M601" s="891" t="s">
        <v>124</v>
      </c>
      <c r="N601" s="895" t="s">
        <v>110</v>
      </c>
      <c r="O601" s="892">
        <v>41830</v>
      </c>
      <c r="P601" s="893">
        <f t="shared" ref="P601:P606" si="33">IF(S601="","",+S601-L601)</f>
        <v>7</v>
      </c>
      <c r="Q601" s="893"/>
      <c r="R601" s="892"/>
      <c r="S601" s="904">
        <v>41842</v>
      </c>
      <c r="T601" s="894">
        <v>41844</v>
      </c>
      <c r="U601" s="893">
        <f t="shared" ref="U601:U606" si="34">IF(T601="","",+T601-J601)</f>
        <v>99</v>
      </c>
      <c r="V601" s="895" t="s">
        <v>2183</v>
      </c>
      <c r="W601" s="897" t="s">
        <v>2796</v>
      </c>
      <c r="X601" s="905"/>
      <c r="Y601" s="905"/>
      <c r="Z601" s="895" t="s">
        <v>1676</v>
      </c>
      <c r="AA601" s="888"/>
      <c r="AB601" s="909" t="s">
        <v>3830</v>
      </c>
      <c r="AC601" s="899"/>
      <c r="AD601" s="645" t="str">
        <f t="shared" ref="AD601:AD606" si="35">IF(P601="","",IF(P601&lt;=0,"en término","atrasado"))</f>
        <v>atrasado</v>
      </c>
      <c r="AE601" s="468"/>
      <c r="AF601" s="468" t="s">
        <v>2949</v>
      </c>
      <c r="AG601" s="656"/>
    </row>
    <row r="602" spans="1:39" s="587" customFormat="1" ht="54.95" customHeight="1" thickBot="1" x14ac:dyDescent="0.25">
      <c r="A602" s="649"/>
      <c r="B602" s="887" t="s">
        <v>78</v>
      </c>
      <c r="C602" s="887" t="s">
        <v>3165</v>
      </c>
      <c r="D602" s="888" t="s">
        <v>3856</v>
      </c>
      <c r="E602" s="888"/>
      <c r="F602" s="908">
        <v>612453</v>
      </c>
      <c r="G602" s="889" t="s">
        <v>3763</v>
      </c>
      <c r="H602" s="890">
        <v>35111.46</v>
      </c>
      <c r="I602" s="891" t="s">
        <v>83</v>
      </c>
      <c r="J602" s="892">
        <v>41765</v>
      </c>
      <c r="K602" s="893">
        <f>+L602-J602</f>
        <v>90</v>
      </c>
      <c r="L602" s="894">
        <v>41855</v>
      </c>
      <c r="M602" s="891" t="s">
        <v>124</v>
      </c>
      <c r="N602" s="895" t="s">
        <v>42</v>
      </c>
      <c r="O602" s="892">
        <v>41838</v>
      </c>
      <c r="P602" s="893">
        <f t="shared" si="33"/>
        <v>2</v>
      </c>
      <c r="Q602" s="893"/>
      <c r="R602" s="892">
        <v>41856</v>
      </c>
      <c r="S602" s="904">
        <v>41857</v>
      </c>
      <c r="T602" s="894">
        <f>+S602+20</f>
        <v>41877</v>
      </c>
      <c r="U602" s="893">
        <f t="shared" si="34"/>
        <v>112</v>
      </c>
      <c r="V602" s="895" t="s">
        <v>53</v>
      </c>
      <c r="W602" s="897" t="s">
        <v>2293</v>
      </c>
      <c r="X602" s="905"/>
      <c r="Y602" s="905"/>
      <c r="Z602" s="895"/>
      <c r="AA602" s="888"/>
      <c r="AB602" s="909" t="s">
        <v>3857</v>
      </c>
      <c r="AC602" s="899"/>
      <c r="AD602" s="645" t="str">
        <f t="shared" si="35"/>
        <v>atrasado</v>
      </c>
      <c r="AE602" s="468"/>
      <c r="AF602" s="468" t="s">
        <v>2949</v>
      </c>
      <c r="AG602" s="656"/>
    </row>
    <row r="603" spans="1:39" s="587" customFormat="1" ht="54.95" customHeight="1" thickBot="1" x14ac:dyDescent="0.25">
      <c r="A603" s="649"/>
      <c r="B603" s="887" t="s">
        <v>78</v>
      </c>
      <c r="C603" s="887" t="s">
        <v>3165</v>
      </c>
      <c r="D603" s="888" t="s">
        <v>3842</v>
      </c>
      <c r="E603" s="888"/>
      <c r="F603" s="908">
        <v>610290</v>
      </c>
      <c r="G603" s="889" t="s">
        <v>3763</v>
      </c>
      <c r="H603" s="890">
        <v>20619.099999999999</v>
      </c>
      <c r="I603" s="891" t="s">
        <v>83</v>
      </c>
      <c r="J603" s="892">
        <v>41680</v>
      </c>
      <c r="K603" s="893">
        <f>+L603-J603</f>
        <v>95</v>
      </c>
      <c r="L603" s="894">
        <v>41775</v>
      </c>
      <c r="M603" s="891" t="s">
        <v>124</v>
      </c>
      <c r="N603" s="895" t="s">
        <v>42</v>
      </c>
      <c r="O603" s="892">
        <v>41838</v>
      </c>
      <c r="P603" s="893">
        <f t="shared" si="33"/>
        <v>82</v>
      </c>
      <c r="Q603" s="893"/>
      <c r="R603" s="892">
        <v>41856</v>
      </c>
      <c r="S603" s="904">
        <v>41857</v>
      </c>
      <c r="T603" s="894">
        <f>+S603+20</f>
        <v>41877</v>
      </c>
      <c r="U603" s="893">
        <f t="shared" si="34"/>
        <v>197</v>
      </c>
      <c r="V603" s="895" t="s">
        <v>3858</v>
      </c>
      <c r="W603" s="897" t="s">
        <v>2286</v>
      </c>
      <c r="X603" s="905"/>
      <c r="Y603" s="905"/>
      <c r="Z603" s="895"/>
      <c r="AA603" s="888"/>
      <c r="AB603" s="909" t="s">
        <v>3859</v>
      </c>
      <c r="AC603" s="899"/>
      <c r="AD603" s="645" t="str">
        <f t="shared" si="35"/>
        <v>atrasado</v>
      </c>
      <c r="AE603" s="468"/>
      <c r="AF603" s="468" t="s">
        <v>2949</v>
      </c>
      <c r="AG603" s="656"/>
    </row>
    <row r="604" spans="1:39" s="587" customFormat="1" ht="54.95" customHeight="1" thickBot="1" x14ac:dyDescent="0.25">
      <c r="A604" s="649"/>
      <c r="B604" s="887" t="s">
        <v>78</v>
      </c>
      <c r="C604" s="887" t="s">
        <v>3165</v>
      </c>
      <c r="D604" s="888" t="s">
        <v>3860</v>
      </c>
      <c r="E604" s="888"/>
      <c r="F604" s="908">
        <v>612456</v>
      </c>
      <c r="G604" s="889" t="s">
        <v>3763</v>
      </c>
      <c r="H604" s="890">
        <v>66090</v>
      </c>
      <c r="I604" s="891" t="s">
        <v>83</v>
      </c>
      <c r="J604" s="892">
        <v>41765</v>
      </c>
      <c r="K604" s="893">
        <f>+L604-J604</f>
        <v>92</v>
      </c>
      <c r="L604" s="894">
        <v>41857</v>
      </c>
      <c r="M604" s="891" t="s">
        <v>124</v>
      </c>
      <c r="N604" s="895" t="s">
        <v>42</v>
      </c>
      <c r="O604" s="892">
        <v>41838</v>
      </c>
      <c r="P604" s="893">
        <f t="shared" si="33"/>
        <v>0</v>
      </c>
      <c r="Q604" s="893"/>
      <c r="R604" s="892">
        <v>41856</v>
      </c>
      <c r="S604" s="904">
        <v>41857</v>
      </c>
      <c r="T604" s="894">
        <f>+S604+20</f>
        <v>41877</v>
      </c>
      <c r="U604" s="893">
        <f t="shared" si="34"/>
        <v>112</v>
      </c>
      <c r="V604" s="895" t="s">
        <v>53</v>
      </c>
      <c r="W604" s="897" t="s">
        <v>2289</v>
      </c>
      <c r="X604" s="905"/>
      <c r="Y604" s="905"/>
      <c r="Z604" s="895"/>
      <c r="AA604" s="888"/>
      <c r="AB604" s="909" t="s">
        <v>3859</v>
      </c>
      <c r="AC604" s="899"/>
      <c r="AD604" s="645" t="str">
        <f t="shared" si="35"/>
        <v>en término</v>
      </c>
      <c r="AE604" s="468"/>
      <c r="AF604" s="468" t="s">
        <v>2949</v>
      </c>
      <c r="AG604" s="656"/>
    </row>
    <row r="605" spans="1:39" s="587" customFormat="1" ht="54.95" customHeight="1" thickBot="1" x14ac:dyDescent="0.25">
      <c r="A605" s="649"/>
      <c r="B605" s="887" t="s">
        <v>78</v>
      </c>
      <c r="C605" s="887" t="s">
        <v>79</v>
      </c>
      <c r="D605" s="888" t="s">
        <v>3861</v>
      </c>
      <c r="E605" s="888"/>
      <c r="F605" s="908" t="s">
        <v>3862</v>
      </c>
      <c r="G605" s="889" t="s">
        <v>3763</v>
      </c>
      <c r="H605" s="890">
        <v>12585</v>
      </c>
      <c r="I605" s="891" t="s">
        <v>83</v>
      </c>
      <c r="J605" s="892">
        <v>41785</v>
      </c>
      <c r="K605" s="893">
        <v>60</v>
      </c>
      <c r="L605" s="894">
        <f>+J605+K605</f>
        <v>41845</v>
      </c>
      <c r="M605" s="891" t="s">
        <v>124</v>
      </c>
      <c r="N605" s="895" t="s">
        <v>110</v>
      </c>
      <c r="O605" s="892">
        <v>41845</v>
      </c>
      <c r="P605" s="893">
        <f t="shared" si="33"/>
        <v>7</v>
      </c>
      <c r="Q605" s="893"/>
      <c r="R605" s="892">
        <v>41855</v>
      </c>
      <c r="S605" s="904">
        <v>41852</v>
      </c>
      <c r="T605" s="894">
        <f>+S605+5</f>
        <v>41857</v>
      </c>
      <c r="U605" s="893">
        <f t="shared" si="34"/>
        <v>72</v>
      </c>
      <c r="V605" s="895" t="s">
        <v>119</v>
      </c>
      <c r="W605" s="897" t="s">
        <v>2302</v>
      </c>
      <c r="X605" s="905"/>
      <c r="Y605" s="905"/>
      <c r="Z605" s="895" t="s">
        <v>1676</v>
      </c>
      <c r="AA605" s="888"/>
      <c r="AB605" s="909" t="s">
        <v>2659</v>
      </c>
      <c r="AC605" s="899"/>
      <c r="AD605" s="645" t="str">
        <f t="shared" si="35"/>
        <v>atrasado</v>
      </c>
      <c r="AE605" s="468"/>
      <c r="AF605" s="468" t="s">
        <v>2957</v>
      </c>
      <c r="AG605" s="656"/>
    </row>
    <row r="606" spans="1:39" s="587" customFormat="1" ht="54.95" customHeight="1" thickBot="1" x14ac:dyDescent="0.25">
      <c r="A606" s="649"/>
      <c r="B606" s="887" t="s">
        <v>78</v>
      </c>
      <c r="C606" s="887" t="s">
        <v>3165</v>
      </c>
      <c r="D606" s="888" t="s">
        <v>3863</v>
      </c>
      <c r="E606" s="888"/>
      <c r="F606" s="908">
        <v>615971</v>
      </c>
      <c r="G606" s="889" t="s">
        <v>3763</v>
      </c>
      <c r="H606" s="890">
        <v>6611</v>
      </c>
      <c r="I606" s="891" t="s">
        <v>83</v>
      </c>
      <c r="J606" s="892">
        <v>41865</v>
      </c>
      <c r="K606" s="893">
        <f>+L606-J606</f>
        <v>90</v>
      </c>
      <c r="L606" s="894">
        <v>41955</v>
      </c>
      <c r="M606" s="891" t="s">
        <v>124</v>
      </c>
      <c r="N606" s="895" t="s">
        <v>42</v>
      </c>
      <c r="O606" s="892">
        <v>41947</v>
      </c>
      <c r="P606" s="893">
        <f t="shared" si="33"/>
        <v>25</v>
      </c>
      <c r="Q606" s="893"/>
      <c r="R606" s="892">
        <v>41969</v>
      </c>
      <c r="S606" s="904">
        <v>41980</v>
      </c>
      <c r="T606" s="894">
        <f>+S606+30</f>
        <v>42010</v>
      </c>
      <c r="U606" s="893">
        <f t="shared" si="34"/>
        <v>145</v>
      </c>
      <c r="V606" s="895" t="s">
        <v>53</v>
      </c>
      <c r="W606" s="897" t="s">
        <v>2827</v>
      </c>
      <c r="X606" s="905"/>
      <c r="Y606" s="905"/>
      <c r="Z606" s="895" t="s">
        <v>1676</v>
      </c>
      <c r="AA606" s="888"/>
      <c r="AB606" s="909" t="s">
        <v>3864</v>
      </c>
      <c r="AC606" s="899"/>
      <c r="AD606" s="645" t="str">
        <f t="shared" si="35"/>
        <v>atrasado</v>
      </c>
      <c r="AE606" s="468"/>
      <c r="AF606" s="468" t="s">
        <v>3074</v>
      </c>
      <c r="AG606" s="656"/>
    </row>
    <row r="608" spans="1:39" ht="12.75" x14ac:dyDescent="0.2">
      <c r="AA608" s="1">
        <v>2014</v>
      </c>
      <c r="AB608" s="1047"/>
    </row>
    <row r="609" spans="1:39" ht="12.75" x14ac:dyDescent="0.2">
      <c r="H609" s="223"/>
      <c r="AA609" s="945" t="s">
        <v>813</v>
      </c>
      <c r="AB609" s="1048">
        <f>COUNTA(AD595:AD607)</f>
        <v>12</v>
      </c>
    </row>
    <row r="610" spans="1:39" ht="12.75" x14ac:dyDescent="0.2">
      <c r="AA610" s="945" t="s">
        <v>815</v>
      </c>
      <c r="AB610" s="1048">
        <f>COUNTIF(AD595:AD606,"en término")</f>
        <v>4</v>
      </c>
    </row>
    <row r="611" spans="1:39" ht="12.75" x14ac:dyDescent="0.2">
      <c r="G611" s="353"/>
      <c r="H611" s="223"/>
      <c r="AA611" s="945" t="s">
        <v>817</v>
      </c>
      <c r="AB611" s="557">
        <f>+AB610/AB609</f>
        <v>0.33333333333333331</v>
      </c>
    </row>
    <row r="612" spans="1:39" ht="15" x14ac:dyDescent="0.2">
      <c r="G612" s="353"/>
      <c r="H612" s="912"/>
    </row>
    <row r="613" spans="1:39" ht="15.75" thickBot="1" x14ac:dyDescent="0.25">
      <c r="H613" s="912"/>
    </row>
    <row r="614" spans="1:39" s="556" customFormat="1" ht="39.950000000000003" customHeight="1" thickBot="1" x14ac:dyDescent="0.4">
      <c r="B614" s="1611">
        <v>2015</v>
      </c>
      <c r="C614" s="1612"/>
      <c r="D614" s="1612"/>
      <c r="E614" s="1612"/>
      <c r="F614" s="1612"/>
      <c r="G614" s="1612"/>
      <c r="H614" s="1612"/>
      <c r="I614" s="1612"/>
      <c r="J614" s="1612"/>
      <c r="K614" s="1612"/>
      <c r="L614" s="1612"/>
      <c r="M614" s="1612"/>
      <c r="N614" s="1612"/>
      <c r="O614" s="1612"/>
      <c r="P614" s="1612"/>
      <c r="Q614" s="1612"/>
      <c r="R614" s="1612"/>
      <c r="S614" s="1612"/>
      <c r="T614" s="1612"/>
      <c r="U614" s="1612"/>
      <c r="V614" s="1612"/>
      <c r="W614" s="1612"/>
      <c r="X614" s="1612"/>
      <c r="Y614" s="1612"/>
      <c r="Z614" s="1612"/>
      <c r="AA614" s="1612"/>
      <c r="AB614" s="1612"/>
      <c r="AC614" s="1613"/>
      <c r="AD614" s="555"/>
    </row>
    <row r="615" spans="1:39" s="441" customFormat="1" ht="60" customHeight="1" thickBot="1" x14ac:dyDescent="0.25">
      <c r="A615" s="438"/>
      <c r="B615" s="451" t="s">
        <v>130</v>
      </c>
      <c r="C615" s="451" t="s">
        <v>4</v>
      </c>
      <c r="D615" s="451" t="s">
        <v>5</v>
      </c>
      <c r="E615" s="451" t="s">
        <v>6</v>
      </c>
      <c r="F615" s="451" t="s">
        <v>7</v>
      </c>
      <c r="G615" s="451" t="s">
        <v>8</v>
      </c>
      <c r="H615" s="453" t="s">
        <v>9</v>
      </c>
      <c r="I615" s="453" t="s">
        <v>10</v>
      </c>
      <c r="J615" s="451" t="s">
        <v>11</v>
      </c>
      <c r="K615" s="451" t="s">
        <v>12</v>
      </c>
      <c r="L615" s="451" t="s">
        <v>13</v>
      </c>
      <c r="M615" s="451" t="s">
        <v>14</v>
      </c>
      <c r="N615" s="451" t="s">
        <v>15</v>
      </c>
      <c r="O615" s="452" t="s">
        <v>16</v>
      </c>
      <c r="P615" s="454" t="s">
        <v>17</v>
      </c>
      <c r="Q615" s="451" t="s">
        <v>18</v>
      </c>
      <c r="R615" s="452" t="s">
        <v>19</v>
      </c>
      <c r="S615" s="451" t="s">
        <v>20</v>
      </c>
      <c r="T615" s="451" t="s">
        <v>21</v>
      </c>
      <c r="U615" s="452" t="s">
        <v>22</v>
      </c>
      <c r="V615" s="451" t="s">
        <v>131</v>
      </c>
      <c r="W615" s="451" t="s">
        <v>24</v>
      </c>
      <c r="X615" s="451" t="s">
        <v>132</v>
      </c>
      <c r="Y615" s="451" t="s">
        <v>26</v>
      </c>
      <c r="Z615" s="451" t="s">
        <v>27</v>
      </c>
      <c r="AA615" s="451" t="s">
        <v>28</v>
      </c>
      <c r="AB615" s="451" t="s">
        <v>29</v>
      </c>
      <c r="AC615" s="451" t="s">
        <v>30</v>
      </c>
      <c r="AD615" s="439"/>
      <c r="AE615" s="440"/>
      <c r="AF615" s="440"/>
      <c r="AG615" s="440"/>
      <c r="AH615" s="440"/>
      <c r="AI615" s="440"/>
      <c r="AJ615" s="440"/>
      <c r="AK615" s="440"/>
      <c r="AL615" s="440"/>
      <c r="AM615" s="440"/>
    </row>
    <row r="616" spans="1:39" s="587" customFormat="1" ht="54.95" customHeight="1" thickBot="1" x14ac:dyDescent="0.25">
      <c r="A616" s="649"/>
      <c r="B616" s="887" t="s">
        <v>78</v>
      </c>
      <c r="C616" s="887" t="s">
        <v>3165</v>
      </c>
      <c r="D616" s="888" t="s">
        <v>3865</v>
      </c>
      <c r="E616" s="888"/>
      <c r="F616" s="908">
        <v>619830</v>
      </c>
      <c r="G616" s="889" t="s">
        <v>3763</v>
      </c>
      <c r="H616" s="890">
        <v>872341.32</v>
      </c>
      <c r="I616" s="891" t="s">
        <v>83</v>
      </c>
      <c r="J616" s="892">
        <v>41997</v>
      </c>
      <c r="K616" s="893">
        <f>+L616-J616</f>
        <v>97</v>
      </c>
      <c r="L616" s="894">
        <v>42094</v>
      </c>
      <c r="M616" s="891" t="s">
        <v>124</v>
      </c>
      <c r="N616" s="895" t="s">
        <v>42</v>
      </c>
      <c r="O616" s="892">
        <v>42115</v>
      </c>
      <c r="P616" s="893">
        <f t="shared" ref="P616:P621" si="36">IF(S616="","",+S616-L616)</f>
        <v>24</v>
      </c>
      <c r="Q616" s="893"/>
      <c r="R616" s="892">
        <v>42121</v>
      </c>
      <c r="S616" s="904">
        <v>42118</v>
      </c>
      <c r="T616" s="894">
        <v>42147</v>
      </c>
      <c r="U616" s="893">
        <f t="shared" ref="U616:U621" si="37">IF(T616="","",+T616-J616)</f>
        <v>150</v>
      </c>
      <c r="V616" s="895" t="s">
        <v>53</v>
      </c>
      <c r="W616" s="897" t="s">
        <v>2203</v>
      </c>
      <c r="X616" s="905"/>
      <c r="Y616" s="905"/>
      <c r="Z616" s="895" t="s">
        <v>2978</v>
      </c>
      <c r="AA616" s="888"/>
      <c r="AB616" s="909" t="s">
        <v>2204</v>
      </c>
      <c r="AC616" s="899"/>
      <c r="AD616" s="645" t="str">
        <f t="shared" ref="AD616:AD621" si="38">IF(P616="","",IF(P616&lt;=0,"en término","atrasado"))</f>
        <v>atrasado</v>
      </c>
      <c r="AE616" s="468" t="s">
        <v>3866</v>
      </c>
      <c r="AF616" s="468" t="s">
        <v>2929</v>
      </c>
      <c r="AG616" s="656"/>
    </row>
    <row r="617" spans="1:39" s="587" customFormat="1" ht="54.95" customHeight="1" thickBot="1" x14ac:dyDescent="0.25">
      <c r="A617" s="649"/>
      <c r="B617" s="887" t="s">
        <v>78</v>
      </c>
      <c r="C617" s="887" t="s">
        <v>108</v>
      </c>
      <c r="D617" s="888" t="s">
        <v>3867</v>
      </c>
      <c r="E617" s="888"/>
      <c r="F617" s="908">
        <v>63000009989</v>
      </c>
      <c r="G617" s="889" t="s">
        <v>3763</v>
      </c>
      <c r="H617" s="890">
        <v>153400</v>
      </c>
      <c r="I617" s="891" t="s">
        <v>83</v>
      </c>
      <c r="J617" s="892">
        <v>41988</v>
      </c>
      <c r="K617" s="893">
        <f>+L617-J617</f>
        <v>136</v>
      </c>
      <c r="L617" s="894">
        <v>42124</v>
      </c>
      <c r="M617" s="891" t="s">
        <v>124</v>
      </c>
      <c r="N617" s="895" t="s">
        <v>110</v>
      </c>
      <c r="O617" s="892">
        <v>42114</v>
      </c>
      <c r="P617" s="893">
        <f t="shared" si="36"/>
        <v>16</v>
      </c>
      <c r="Q617" s="893"/>
      <c r="R617" s="892">
        <v>42142</v>
      </c>
      <c r="S617" s="904">
        <v>42140</v>
      </c>
      <c r="T617" s="894">
        <v>42144</v>
      </c>
      <c r="U617" s="893">
        <f t="shared" si="37"/>
        <v>156</v>
      </c>
      <c r="V617" s="895" t="s">
        <v>2116</v>
      </c>
      <c r="W617" s="897" t="s">
        <v>2582</v>
      </c>
      <c r="X617" s="905"/>
      <c r="Y617" s="905"/>
      <c r="Z617" s="895" t="s">
        <v>3868</v>
      </c>
      <c r="AA617" s="888"/>
      <c r="AB617" s="909" t="s">
        <v>3869</v>
      </c>
      <c r="AC617" s="899"/>
      <c r="AD617" s="645" t="str">
        <f t="shared" si="38"/>
        <v>atrasado</v>
      </c>
      <c r="AE617" s="468" t="s">
        <v>3870</v>
      </c>
      <c r="AF617" s="468" t="s">
        <v>2937</v>
      </c>
      <c r="AG617" s="656"/>
    </row>
    <row r="618" spans="1:39" s="587" customFormat="1" ht="54.95" customHeight="1" thickBot="1" x14ac:dyDescent="0.25">
      <c r="A618" s="649"/>
      <c r="B618" s="887" t="s">
        <v>78</v>
      </c>
      <c r="C618" s="887" t="s">
        <v>79</v>
      </c>
      <c r="D618" s="888" t="s">
        <v>3871</v>
      </c>
      <c r="E618" s="888"/>
      <c r="F618" s="908" t="s">
        <v>3872</v>
      </c>
      <c r="G618" s="889" t="s">
        <v>3763</v>
      </c>
      <c r="H618" s="890">
        <v>8600</v>
      </c>
      <c r="I618" s="891" t="s">
        <v>83</v>
      </c>
      <c r="J618" s="892">
        <v>42009</v>
      </c>
      <c r="K618" s="893">
        <v>130</v>
      </c>
      <c r="L618" s="894">
        <f>+J618+K618</f>
        <v>42139</v>
      </c>
      <c r="M618" s="891" t="s">
        <v>124</v>
      </c>
      <c r="N618" s="895" t="s">
        <v>110</v>
      </c>
      <c r="O618" s="892">
        <v>42132</v>
      </c>
      <c r="P618" s="893">
        <f t="shared" si="36"/>
        <v>6</v>
      </c>
      <c r="Q618" s="893"/>
      <c r="R618" s="892"/>
      <c r="S618" s="904">
        <v>42145</v>
      </c>
      <c r="T618" s="894">
        <v>42150</v>
      </c>
      <c r="U618" s="893">
        <f t="shared" si="37"/>
        <v>141</v>
      </c>
      <c r="V618" s="895" t="s">
        <v>752</v>
      </c>
      <c r="W618" s="897" t="s">
        <v>2213</v>
      </c>
      <c r="X618" s="905"/>
      <c r="Y618" s="905"/>
      <c r="Z618" s="895">
        <v>2410373431</v>
      </c>
      <c r="AA618" s="888"/>
      <c r="AB618" s="909" t="s">
        <v>3873</v>
      </c>
      <c r="AC618" s="899"/>
      <c r="AD618" s="645" t="str">
        <f t="shared" si="38"/>
        <v>atrasado</v>
      </c>
      <c r="AE618" s="468" t="s">
        <v>3874</v>
      </c>
      <c r="AF618" s="468" t="s">
        <v>2937</v>
      </c>
      <c r="AG618" s="656"/>
    </row>
    <row r="619" spans="1:39" s="587" customFormat="1" ht="54.95" customHeight="1" thickBot="1" x14ac:dyDescent="0.25">
      <c r="A619" s="649"/>
      <c r="B619" s="887" t="s">
        <v>78</v>
      </c>
      <c r="C619" s="887" t="s">
        <v>3165</v>
      </c>
      <c r="D619" s="888" t="s">
        <v>3875</v>
      </c>
      <c r="E619" s="888"/>
      <c r="F619" s="908">
        <v>620399</v>
      </c>
      <c r="G619" s="889" t="s">
        <v>3763</v>
      </c>
      <c r="H619" s="890">
        <v>1552027.2</v>
      </c>
      <c r="I619" s="891" t="s">
        <v>83</v>
      </c>
      <c r="J619" s="892">
        <v>42030</v>
      </c>
      <c r="K619" s="893">
        <f>+L619-J619</f>
        <v>130</v>
      </c>
      <c r="L619" s="894">
        <v>42160</v>
      </c>
      <c r="M619" s="891" t="s">
        <v>124</v>
      </c>
      <c r="N619" s="895" t="s">
        <v>42</v>
      </c>
      <c r="O619" s="892">
        <v>42172</v>
      </c>
      <c r="P619" s="893">
        <f t="shared" si="36"/>
        <v>20</v>
      </c>
      <c r="Q619" s="893" t="s">
        <v>3876</v>
      </c>
      <c r="R619" s="892">
        <v>42177</v>
      </c>
      <c r="S619" s="904">
        <v>42180</v>
      </c>
      <c r="T619" s="894">
        <v>42203</v>
      </c>
      <c r="U619" s="893">
        <f t="shared" si="37"/>
        <v>173</v>
      </c>
      <c r="V619" s="895" t="s">
        <v>53</v>
      </c>
      <c r="W619" s="897" t="s">
        <v>2215</v>
      </c>
      <c r="X619" s="905"/>
      <c r="Y619" s="905"/>
      <c r="Z619" s="895">
        <v>6347108272</v>
      </c>
      <c r="AA619" s="888"/>
      <c r="AB619" s="909" t="s">
        <v>1957</v>
      </c>
      <c r="AC619" s="899" t="s">
        <v>3877</v>
      </c>
      <c r="AD619" s="645" t="str">
        <f t="shared" si="38"/>
        <v>atrasado</v>
      </c>
      <c r="AE619" s="468"/>
      <c r="AF619" s="468"/>
      <c r="AG619" s="656"/>
    </row>
    <row r="620" spans="1:39" s="587" customFormat="1" ht="54.95" customHeight="1" thickBot="1" x14ac:dyDescent="0.25">
      <c r="A620" s="649"/>
      <c r="B620" s="887" t="s">
        <v>78</v>
      </c>
      <c r="C620" s="887" t="s">
        <v>3165</v>
      </c>
      <c r="D620" s="888" t="s">
        <v>3875</v>
      </c>
      <c r="E620" s="888"/>
      <c r="F620" s="908">
        <v>620399</v>
      </c>
      <c r="G620" s="889" t="s">
        <v>3763</v>
      </c>
      <c r="H620" s="890">
        <v>46994.400000000001</v>
      </c>
      <c r="I620" s="891" t="s">
        <v>83</v>
      </c>
      <c r="J620" s="892">
        <v>42030</v>
      </c>
      <c r="K620" s="893">
        <f>+L620-J620</f>
        <v>214</v>
      </c>
      <c r="L620" s="894">
        <v>42244</v>
      </c>
      <c r="M620" s="891" t="s">
        <v>124</v>
      </c>
      <c r="N620" s="895" t="s">
        <v>42</v>
      </c>
      <c r="O620" s="892">
        <v>42241</v>
      </c>
      <c r="P620" s="893">
        <f t="shared" si="36"/>
        <v>27</v>
      </c>
      <c r="Q620" s="893"/>
      <c r="R620" s="892">
        <v>42257</v>
      </c>
      <c r="S620" s="904">
        <v>42271</v>
      </c>
      <c r="T620" s="894">
        <f>+S620+30</f>
        <v>42301</v>
      </c>
      <c r="U620" s="893">
        <f t="shared" si="37"/>
        <v>271</v>
      </c>
      <c r="V620" s="895" t="s">
        <v>3878</v>
      </c>
      <c r="W620" s="897" t="s">
        <v>2235</v>
      </c>
      <c r="X620" s="905"/>
      <c r="Y620" s="905"/>
      <c r="Z620" s="895">
        <v>1922586540</v>
      </c>
      <c r="AA620" s="888"/>
      <c r="AB620" s="909" t="s">
        <v>1776</v>
      </c>
      <c r="AC620" s="899"/>
      <c r="AD620" s="645" t="str">
        <f t="shared" si="38"/>
        <v>atrasado</v>
      </c>
      <c r="AE620" s="468" t="s">
        <v>3879</v>
      </c>
      <c r="AF620" s="468" t="s">
        <v>3056</v>
      </c>
      <c r="AG620" s="656"/>
    </row>
    <row r="621" spans="1:39" s="587" customFormat="1" ht="54.95" customHeight="1" thickBot="1" x14ac:dyDescent="0.25">
      <c r="A621" s="649"/>
      <c r="B621" s="887" t="s">
        <v>78</v>
      </c>
      <c r="C621" s="887" t="s">
        <v>79</v>
      </c>
      <c r="D621" s="888" t="s">
        <v>3880</v>
      </c>
      <c r="E621" s="888"/>
      <c r="F621" s="908" t="s">
        <v>3881</v>
      </c>
      <c r="G621" s="889" t="s">
        <v>3763</v>
      </c>
      <c r="H621" s="890">
        <v>22730</v>
      </c>
      <c r="I621" s="891" t="s">
        <v>83</v>
      </c>
      <c r="J621" s="892">
        <v>42234</v>
      </c>
      <c r="K621" s="893">
        <v>90</v>
      </c>
      <c r="L621" s="894">
        <f>+J621+K621</f>
        <v>42324</v>
      </c>
      <c r="M621" s="891" t="s">
        <v>124</v>
      </c>
      <c r="N621" s="895" t="s">
        <v>110</v>
      </c>
      <c r="O621" s="892">
        <v>42317</v>
      </c>
      <c r="P621" s="893">
        <f t="shared" si="36"/>
        <v>14</v>
      </c>
      <c r="Q621" s="893"/>
      <c r="R621" s="892">
        <v>42333</v>
      </c>
      <c r="S621" s="904">
        <v>42338</v>
      </c>
      <c r="T621" s="894">
        <v>42343</v>
      </c>
      <c r="U621" s="893">
        <f t="shared" si="37"/>
        <v>109</v>
      </c>
      <c r="V621" s="895" t="s">
        <v>3882</v>
      </c>
      <c r="W621" s="897" t="s">
        <v>2267</v>
      </c>
      <c r="X621" s="905"/>
      <c r="Y621" s="905"/>
      <c r="Z621" s="895">
        <v>2661036055</v>
      </c>
      <c r="AA621" s="888"/>
      <c r="AB621" s="909" t="s">
        <v>3883</v>
      </c>
      <c r="AC621" s="899" t="s">
        <v>3884</v>
      </c>
      <c r="AD621" s="645" t="str">
        <f t="shared" si="38"/>
        <v>atrasado</v>
      </c>
      <c r="AE621" s="468" t="s">
        <v>3885</v>
      </c>
      <c r="AF621" s="468" t="s">
        <v>3082</v>
      </c>
      <c r="AG621" s="656"/>
    </row>
    <row r="622" spans="1:39" s="587" customFormat="1" ht="54.95" customHeight="1" thickBot="1" x14ac:dyDescent="0.25">
      <c r="A622" s="649"/>
      <c r="B622" s="887" t="s">
        <v>78</v>
      </c>
      <c r="C622" s="887" t="s">
        <v>3886</v>
      </c>
      <c r="D622" s="888" t="s">
        <v>3887</v>
      </c>
      <c r="E622" s="888"/>
      <c r="F622" s="908">
        <v>30002007</v>
      </c>
      <c r="G622" s="889" t="s">
        <v>3763</v>
      </c>
      <c r="H622" s="890">
        <v>119889.1</v>
      </c>
      <c r="I622" s="891" t="s">
        <v>83</v>
      </c>
      <c r="J622" s="892">
        <v>42331</v>
      </c>
      <c r="K622" s="893">
        <f>+L622-J622</f>
        <v>141</v>
      </c>
      <c r="L622" s="894">
        <v>42472</v>
      </c>
      <c r="M622" s="891" t="s">
        <v>124</v>
      </c>
      <c r="N622" s="895" t="s">
        <v>42</v>
      </c>
      <c r="O622" s="892">
        <v>42317</v>
      </c>
      <c r="P622" s="893">
        <f>IF(S622="","",+S622-L622)</f>
        <v>-108</v>
      </c>
      <c r="Q622" s="893"/>
      <c r="R622" s="892">
        <v>42355</v>
      </c>
      <c r="S622" s="904">
        <v>42364</v>
      </c>
      <c r="T622" s="894">
        <f>+S622+30</f>
        <v>42394</v>
      </c>
      <c r="U622" s="893">
        <f>IF(T622="","",+T622-J622)</f>
        <v>63</v>
      </c>
      <c r="V622" s="895" t="s">
        <v>3888</v>
      </c>
      <c r="W622" s="897" t="s">
        <v>2263</v>
      </c>
      <c r="X622" s="905"/>
      <c r="Y622" s="905"/>
      <c r="Z622" s="895"/>
      <c r="AA622" s="888"/>
      <c r="AB622" s="909" t="s">
        <v>3889</v>
      </c>
      <c r="AC622" s="899" t="s">
        <v>3890</v>
      </c>
      <c r="AD622" s="645" t="str">
        <f>IF(P622="","",IF(P622&lt;=0,"en término","atrasado"))</f>
        <v>en término</v>
      </c>
      <c r="AE622" s="468" t="s">
        <v>3891</v>
      </c>
      <c r="AF622" s="468" t="s">
        <v>3082</v>
      </c>
      <c r="AG622" s="656"/>
    </row>
    <row r="623" spans="1:39" s="413" customFormat="1" ht="54.95" customHeight="1" thickBot="1" x14ac:dyDescent="0.25">
      <c r="A623" s="638"/>
      <c r="B623" s="931" t="s">
        <v>78</v>
      </c>
      <c r="C623" s="931" t="s">
        <v>3892</v>
      </c>
      <c r="D623" s="932" t="s">
        <v>3893</v>
      </c>
      <c r="E623" s="932"/>
      <c r="F623" s="933">
        <v>366</v>
      </c>
      <c r="G623" s="934" t="s">
        <v>3763</v>
      </c>
      <c r="H623" s="935">
        <v>61352</v>
      </c>
      <c r="I623" s="936" t="s">
        <v>83</v>
      </c>
      <c r="J623" s="937">
        <v>42215</v>
      </c>
      <c r="K623" s="938">
        <v>60</v>
      </c>
      <c r="L623" s="939">
        <f>+J623+K623</f>
        <v>42275</v>
      </c>
      <c r="M623" s="936" t="s">
        <v>124</v>
      </c>
      <c r="N623" s="940" t="s">
        <v>42</v>
      </c>
      <c r="O623" s="937">
        <v>42335</v>
      </c>
      <c r="P623" s="938" t="str">
        <f>IF(S623="","",+S623-L623)</f>
        <v/>
      </c>
      <c r="Q623" s="938"/>
      <c r="R623" s="937"/>
      <c r="S623" s="941"/>
      <c r="T623" s="939"/>
      <c r="U623" s="938" t="str">
        <f>IF(T623="","",+T623-J623)</f>
        <v/>
      </c>
      <c r="V623" s="940" t="s">
        <v>3882</v>
      </c>
      <c r="W623" s="942"/>
      <c r="X623" s="934"/>
      <c r="Y623" s="934"/>
      <c r="Z623" s="940"/>
      <c r="AA623" s="932"/>
      <c r="AB623" s="943" t="s">
        <v>3894</v>
      </c>
      <c r="AC623" s="944" t="s">
        <v>3895</v>
      </c>
      <c r="AD623" s="646" t="str">
        <f>IF(P623="","",IF(P623&lt;=0,"en término","atrasado"))</f>
        <v/>
      </c>
      <c r="AE623" s="468"/>
      <c r="AF623" s="468"/>
      <c r="AG623" s="656"/>
    </row>
    <row r="626" spans="1:39" ht="12.75" x14ac:dyDescent="0.2">
      <c r="H626" s="636"/>
      <c r="AA626" s="1">
        <v>2015</v>
      </c>
      <c r="AB626" s="1047"/>
    </row>
    <row r="627" spans="1:39" ht="12.75" x14ac:dyDescent="0.2">
      <c r="H627" s="636"/>
      <c r="AA627" s="945" t="s">
        <v>813</v>
      </c>
      <c r="AB627" s="1048">
        <f>COUNTA(AD615:AD625)</f>
        <v>8</v>
      </c>
    </row>
    <row r="628" spans="1:39" ht="12.75" x14ac:dyDescent="0.2">
      <c r="AA628" s="945" t="s">
        <v>815</v>
      </c>
      <c r="AB628" s="1048">
        <f>COUNTIF(AD616:AD631,"en término")</f>
        <v>1</v>
      </c>
    </row>
    <row r="629" spans="1:39" ht="12.75" x14ac:dyDescent="0.2">
      <c r="AA629" s="945" t="s">
        <v>817</v>
      </c>
      <c r="AB629" s="557">
        <f>+AB628/AB627</f>
        <v>0.125</v>
      </c>
    </row>
    <row r="632" spans="1:39" ht="12" thickBot="1" x14ac:dyDescent="0.25"/>
    <row r="633" spans="1:39" s="556" customFormat="1" ht="39.950000000000003" customHeight="1" thickBot="1" x14ac:dyDescent="0.4">
      <c r="B633" s="1611">
        <v>2016</v>
      </c>
      <c r="C633" s="1612"/>
      <c r="D633" s="1612"/>
      <c r="E633" s="1612"/>
      <c r="F633" s="1612"/>
      <c r="G633" s="1612"/>
      <c r="H633" s="1612"/>
      <c r="I633" s="1612"/>
      <c r="J633" s="1612"/>
      <c r="K633" s="1612"/>
      <c r="L633" s="1612"/>
      <c r="M633" s="1612"/>
      <c r="N633" s="1612"/>
      <c r="O633" s="1612"/>
      <c r="P633" s="1612"/>
      <c r="Q633" s="1612"/>
      <c r="R633" s="1612"/>
      <c r="S633" s="1612"/>
      <c r="T633" s="1612"/>
      <c r="U633" s="1612"/>
      <c r="V633" s="1612"/>
      <c r="W633" s="1612"/>
      <c r="X633" s="1612"/>
      <c r="Y633" s="1612"/>
      <c r="Z633" s="1612"/>
      <c r="AA633" s="1612"/>
      <c r="AB633" s="1612"/>
      <c r="AC633" s="1613"/>
      <c r="AD633" s="555"/>
    </row>
    <row r="634" spans="1:39" s="441" customFormat="1" ht="60" customHeight="1" thickBot="1" x14ac:dyDescent="0.25">
      <c r="A634" s="438"/>
      <c r="B634" s="451" t="s">
        <v>130</v>
      </c>
      <c r="C634" s="451" t="s">
        <v>4</v>
      </c>
      <c r="D634" s="451" t="s">
        <v>5</v>
      </c>
      <c r="E634" s="451" t="s">
        <v>6</v>
      </c>
      <c r="F634" s="451" t="s">
        <v>7</v>
      </c>
      <c r="G634" s="451" t="s">
        <v>8</v>
      </c>
      <c r="H634" s="453" t="s">
        <v>9</v>
      </c>
      <c r="I634" s="453" t="s">
        <v>10</v>
      </c>
      <c r="J634" s="451" t="s">
        <v>11</v>
      </c>
      <c r="K634" s="451" t="s">
        <v>12</v>
      </c>
      <c r="L634" s="451" t="s">
        <v>13</v>
      </c>
      <c r="M634" s="451" t="s">
        <v>14</v>
      </c>
      <c r="N634" s="451" t="s">
        <v>15</v>
      </c>
      <c r="O634" s="452" t="s">
        <v>16</v>
      </c>
      <c r="P634" s="454" t="s">
        <v>17</v>
      </c>
      <c r="Q634" s="451" t="s">
        <v>18</v>
      </c>
      <c r="R634" s="452" t="s">
        <v>19</v>
      </c>
      <c r="S634" s="451" t="s">
        <v>20</v>
      </c>
      <c r="T634" s="451" t="s">
        <v>21</v>
      </c>
      <c r="U634" s="452" t="s">
        <v>22</v>
      </c>
      <c r="V634" s="451" t="s">
        <v>131</v>
      </c>
      <c r="W634" s="451" t="s">
        <v>24</v>
      </c>
      <c r="X634" s="451" t="s">
        <v>132</v>
      </c>
      <c r="Y634" s="451" t="s">
        <v>26</v>
      </c>
      <c r="Z634" s="451" t="s">
        <v>27</v>
      </c>
      <c r="AA634" s="451" t="s">
        <v>28</v>
      </c>
      <c r="AB634" s="451" t="s">
        <v>29</v>
      </c>
      <c r="AC634" s="451" t="s">
        <v>30</v>
      </c>
      <c r="AD634" s="439"/>
      <c r="AE634" s="440"/>
      <c r="AF634" s="440"/>
      <c r="AG634" s="440"/>
      <c r="AH634" s="440"/>
      <c r="AI634" s="440"/>
      <c r="AJ634" s="440"/>
      <c r="AK634" s="440"/>
      <c r="AL634" s="440"/>
      <c r="AM634" s="440"/>
    </row>
    <row r="635" spans="1:39" s="649" customFormat="1" ht="54.95" customHeight="1" thickBot="1" x14ac:dyDescent="0.25">
      <c r="B635" s="1022" t="s">
        <v>78</v>
      </c>
      <c r="C635" s="1022" t="s">
        <v>79</v>
      </c>
      <c r="D635" s="901" t="s">
        <v>3896</v>
      </c>
      <c r="E635" s="901"/>
      <c r="F635" s="913" t="s">
        <v>3897</v>
      </c>
      <c r="G635" s="889" t="s">
        <v>39</v>
      </c>
      <c r="H635" s="890">
        <v>97259</v>
      </c>
      <c r="I635" s="902"/>
      <c r="J635" s="892">
        <v>42403</v>
      </c>
      <c r="K635" s="893">
        <v>120</v>
      </c>
      <c r="L635" s="892">
        <f>+J635+K635</f>
        <v>42523</v>
      </c>
      <c r="M635" s="892" t="s">
        <v>83</v>
      </c>
      <c r="N635" s="889" t="s">
        <v>42</v>
      </c>
      <c r="O635" s="892">
        <v>42517</v>
      </c>
      <c r="P635" s="893">
        <f>IF(S635="","",+S635-L635)</f>
        <v>9</v>
      </c>
      <c r="Q635" s="901" t="s">
        <v>3898</v>
      </c>
      <c r="R635" s="903">
        <v>42524</v>
      </c>
      <c r="S635" s="904">
        <v>42532</v>
      </c>
      <c r="T635" s="894">
        <f>+S635+20</f>
        <v>42552</v>
      </c>
      <c r="U635" s="893">
        <f t="shared" ref="U635:U640" si="39">IF(T635="","",+T635-J635)</f>
        <v>149</v>
      </c>
      <c r="V635" s="901" t="s">
        <v>3899</v>
      </c>
      <c r="W635" s="897" t="s">
        <v>2199</v>
      </c>
      <c r="X635" s="905"/>
      <c r="Y635" s="905"/>
      <c r="Z635" s="895">
        <v>2074800766</v>
      </c>
      <c r="AA635" s="889" t="s">
        <v>47</v>
      </c>
      <c r="AB635" s="892" t="s">
        <v>3900</v>
      </c>
      <c r="AC635" s="476" t="s">
        <v>3901</v>
      </c>
      <c r="AD635" s="645" t="str">
        <f t="shared" ref="AD635:AD640" si="40">IF(P635="","",IF(P635&lt;=0,"en término","atrasado"))</f>
        <v>atrasado</v>
      </c>
      <c r="AE635" s="468"/>
      <c r="AF635" s="468"/>
      <c r="AG635" s="656"/>
    </row>
    <row r="636" spans="1:39" s="649" customFormat="1" ht="54.95" customHeight="1" thickBot="1" x14ac:dyDescent="0.25">
      <c r="B636" s="1022" t="s">
        <v>78</v>
      </c>
      <c r="C636" s="1022" t="s">
        <v>79</v>
      </c>
      <c r="D636" s="901" t="s">
        <v>3902</v>
      </c>
      <c r="E636" s="901"/>
      <c r="F636" s="913" t="s">
        <v>3903</v>
      </c>
      <c r="G636" s="889" t="s">
        <v>39</v>
      </c>
      <c r="H636" s="890">
        <v>8164</v>
      </c>
      <c r="I636" s="902"/>
      <c r="J636" s="892">
        <v>42452</v>
      </c>
      <c r="K636" s="893">
        <v>90</v>
      </c>
      <c r="L636" s="892">
        <f>+J636+K636</f>
        <v>42542</v>
      </c>
      <c r="M636" s="892" t="s">
        <v>83</v>
      </c>
      <c r="N636" s="889" t="s">
        <v>42</v>
      </c>
      <c r="O636" s="892">
        <v>42517</v>
      </c>
      <c r="P636" s="893">
        <f>IF(S636="","",+S636-L636)</f>
        <v>-10</v>
      </c>
      <c r="Q636" s="901" t="s">
        <v>3898</v>
      </c>
      <c r="R636" s="903">
        <v>42524</v>
      </c>
      <c r="S636" s="904">
        <v>42532</v>
      </c>
      <c r="T636" s="894">
        <f>+S636+20</f>
        <v>42552</v>
      </c>
      <c r="U636" s="893">
        <f t="shared" si="39"/>
        <v>100</v>
      </c>
      <c r="V636" s="901" t="s">
        <v>3904</v>
      </c>
      <c r="W636" s="897" t="s">
        <v>2199</v>
      </c>
      <c r="X636" s="905"/>
      <c r="Y636" s="905"/>
      <c r="Z636" s="895">
        <v>2074800766</v>
      </c>
      <c r="AA636" s="889" t="s">
        <v>47</v>
      </c>
      <c r="AB636" s="892" t="s">
        <v>2772</v>
      </c>
      <c r="AC636" s="476"/>
      <c r="AD636" s="645" t="str">
        <f t="shared" si="40"/>
        <v>en término</v>
      </c>
      <c r="AE636" s="468"/>
      <c r="AF636" s="468"/>
      <c r="AG636" s="656"/>
    </row>
    <row r="637" spans="1:39" s="649" customFormat="1" ht="54.95" customHeight="1" thickBot="1" x14ac:dyDescent="0.25">
      <c r="B637" s="1022" t="s">
        <v>78</v>
      </c>
      <c r="C637" s="1022" t="s">
        <v>108</v>
      </c>
      <c r="D637" s="901" t="s">
        <v>3905</v>
      </c>
      <c r="E637" s="901"/>
      <c r="F637" s="913">
        <v>63000012492</v>
      </c>
      <c r="G637" s="889" t="s">
        <v>39</v>
      </c>
      <c r="H637" s="890">
        <v>104770</v>
      </c>
      <c r="I637" s="902"/>
      <c r="J637" s="892">
        <v>42523</v>
      </c>
      <c r="K637" s="893">
        <f>+L637-J637</f>
        <v>90</v>
      </c>
      <c r="L637" s="892">
        <v>42613</v>
      </c>
      <c r="M637" s="892" t="s">
        <v>83</v>
      </c>
      <c r="N637" s="889" t="s">
        <v>110</v>
      </c>
      <c r="O637" s="892">
        <v>42598</v>
      </c>
      <c r="P637" s="893">
        <f>IF(S637="","",+S637-L637)</f>
        <v>-2</v>
      </c>
      <c r="Q637" s="901"/>
      <c r="R637" s="903"/>
      <c r="S637" s="904">
        <v>42611</v>
      </c>
      <c r="T637" s="894">
        <f>+S637+10</f>
        <v>42621</v>
      </c>
      <c r="U637" s="893">
        <f t="shared" si="39"/>
        <v>98</v>
      </c>
      <c r="V637" s="901" t="s">
        <v>3906</v>
      </c>
      <c r="W637" s="897" t="s">
        <v>2219</v>
      </c>
      <c r="X637" s="889"/>
      <c r="Y637" s="905"/>
      <c r="Z637" s="889">
        <v>1023136962</v>
      </c>
      <c r="AA637" s="889"/>
      <c r="AB637" s="892" t="s">
        <v>3907</v>
      </c>
      <c r="AC637" s="476" t="s">
        <v>3908</v>
      </c>
      <c r="AD637" s="645" t="str">
        <f t="shared" si="40"/>
        <v>en término</v>
      </c>
      <c r="AE637" s="468" t="s">
        <v>3909</v>
      </c>
      <c r="AF637" s="468" t="s">
        <v>3910</v>
      </c>
      <c r="AG637" s="656"/>
    </row>
    <row r="638" spans="1:39" s="649" customFormat="1" ht="54.95" customHeight="1" thickBot="1" x14ac:dyDescent="0.25">
      <c r="B638" s="1022" t="s">
        <v>78</v>
      </c>
      <c r="C638" s="1022" t="s">
        <v>79</v>
      </c>
      <c r="D638" s="901" t="s">
        <v>3911</v>
      </c>
      <c r="E638" s="901"/>
      <c r="F638" s="913" t="s">
        <v>3912</v>
      </c>
      <c r="G638" s="889" t="s">
        <v>39</v>
      </c>
      <c r="H638" s="890">
        <v>103386.4</v>
      </c>
      <c r="I638" s="902"/>
      <c r="J638" s="892">
        <v>42592</v>
      </c>
      <c r="K638" s="893">
        <v>75</v>
      </c>
      <c r="L638" s="892">
        <f>+J638+K638</f>
        <v>42667</v>
      </c>
      <c r="M638" s="892" t="s">
        <v>83</v>
      </c>
      <c r="N638" s="889" t="s">
        <v>42</v>
      </c>
      <c r="O638" s="892">
        <v>42650</v>
      </c>
      <c r="P638" s="893">
        <f>IF(R638="","",+R638-L638)</f>
        <v>-4</v>
      </c>
      <c r="Q638" s="901" t="s">
        <v>3913</v>
      </c>
      <c r="R638" s="903">
        <v>42663</v>
      </c>
      <c r="S638" s="904">
        <v>42674</v>
      </c>
      <c r="T638" s="894">
        <v>42696</v>
      </c>
      <c r="U638" s="893">
        <f t="shared" si="39"/>
        <v>104</v>
      </c>
      <c r="V638" s="901" t="s">
        <v>3914</v>
      </c>
      <c r="W638" s="897" t="s">
        <v>2224</v>
      </c>
      <c r="X638" s="889"/>
      <c r="Y638" s="905"/>
      <c r="Z638" s="889">
        <v>2536098051</v>
      </c>
      <c r="AA638" s="889"/>
      <c r="AB638" s="892" t="s">
        <v>2713</v>
      </c>
      <c r="AC638" s="476" t="s">
        <v>3915</v>
      </c>
      <c r="AD638" s="645" t="str">
        <f t="shared" si="40"/>
        <v>en término</v>
      </c>
      <c r="AE638" s="468"/>
      <c r="AF638" s="468"/>
      <c r="AG638" s="656"/>
    </row>
    <row r="639" spans="1:39" s="649" customFormat="1" ht="54.95" customHeight="1" thickBot="1" x14ac:dyDescent="0.25">
      <c r="B639" s="1022" t="s">
        <v>78</v>
      </c>
      <c r="C639" s="1022" t="s">
        <v>79</v>
      </c>
      <c r="D639" s="901" t="s">
        <v>104</v>
      </c>
      <c r="E639" s="901" t="s">
        <v>3916</v>
      </c>
      <c r="F639" s="913" t="s">
        <v>3917</v>
      </c>
      <c r="G639" s="889" t="s">
        <v>39</v>
      </c>
      <c r="H639" s="890">
        <v>4320</v>
      </c>
      <c r="I639" s="902"/>
      <c r="J639" s="892">
        <v>42662</v>
      </c>
      <c r="K639" s="893">
        <v>10</v>
      </c>
      <c r="L639" s="892">
        <f>+J639+K639</f>
        <v>42672</v>
      </c>
      <c r="M639" s="892" t="s">
        <v>83</v>
      </c>
      <c r="N639" s="889" t="s">
        <v>110</v>
      </c>
      <c r="O639" s="892">
        <v>42664</v>
      </c>
      <c r="P639" s="893">
        <f>IF(S639="","",+S639-L639)</f>
        <v>0</v>
      </c>
      <c r="Q639" s="901"/>
      <c r="R639" s="903">
        <v>42671</v>
      </c>
      <c r="S639" s="904">
        <v>42672</v>
      </c>
      <c r="T639" s="894">
        <f>+S639+3</f>
        <v>42675</v>
      </c>
      <c r="U639" s="893">
        <f t="shared" si="39"/>
        <v>13</v>
      </c>
      <c r="V639" s="901" t="s">
        <v>3918</v>
      </c>
      <c r="W639" s="897" t="s">
        <v>2443</v>
      </c>
      <c r="X639" s="889"/>
      <c r="Y639" s="905"/>
      <c r="Z639" s="889">
        <v>2536098051</v>
      </c>
      <c r="AA639" s="889" t="s">
        <v>3919</v>
      </c>
      <c r="AB639" s="892" t="s">
        <v>2713</v>
      </c>
      <c r="AC639" s="476" t="s">
        <v>3920</v>
      </c>
      <c r="AD639" s="645" t="str">
        <f t="shared" si="40"/>
        <v>en término</v>
      </c>
      <c r="AE639" s="468"/>
      <c r="AF639" s="468"/>
      <c r="AG639" s="656"/>
    </row>
    <row r="640" spans="1:39" s="649" customFormat="1" ht="54.95" customHeight="1" thickBot="1" x14ac:dyDescent="0.25">
      <c r="B640" s="1022" t="s">
        <v>78</v>
      </c>
      <c r="C640" s="1022" t="s">
        <v>79</v>
      </c>
      <c r="D640" s="901" t="s">
        <v>3921</v>
      </c>
      <c r="E640" s="901"/>
      <c r="F640" s="913" t="s">
        <v>3922</v>
      </c>
      <c r="G640" s="889" t="s">
        <v>39</v>
      </c>
      <c r="H640" s="890">
        <v>111321</v>
      </c>
      <c r="I640" s="902"/>
      <c r="J640" s="892">
        <v>42604</v>
      </c>
      <c r="K640" s="893">
        <v>75</v>
      </c>
      <c r="L640" s="892">
        <f>+J640+K640</f>
        <v>42679</v>
      </c>
      <c r="M640" s="892" t="s">
        <v>83</v>
      </c>
      <c r="N640" s="889" t="s">
        <v>42</v>
      </c>
      <c r="O640" s="892">
        <v>42664</v>
      </c>
      <c r="P640" s="893">
        <f>IF(R640="","",+R640-L640)</f>
        <v>-2</v>
      </c>
      <c r="Q640" s="901" t="s">
        <v>3923</v>
      </c>
      <c r="R640" s="903">
        <v>42677</v>
      </c>
      <c r="S640" s="904">
        <v>42686</v>
      </c>
      <c r="T640" s="894">
        <v>42709</v>
      </c>
      <c r="U640" s="893">
        <f t="shared" si="39"/>
        <v>105</v>
      </c>
      <c r="V640" s="901" t="s">
        <v>3924</v>
      </c>
      <c r="W640" s="897" t="s">
        <v>2758</v>
      </c>
      <c r="X640" s="889"/>
      <c r="Y640" s="905"/>
      <c r="Z640" s="889">
        <v>6694662660</v>
      </c>
      <c r="AA640" s="889"/>
      <c r="AB640" s="892" t="s">
        <v>3925</v>
      </c>
      <c r="AC640" s="476" t="s">
        <v>3926</v>
      </c>
      <c r="AD640" s="645" t="str">
        <f t="shared" si="40"/>
        <v>en término</v>
      </c>
      <c r="AE640" s="468" t="s">
        <v>3927</v>
      </c>
      <c r="AF640" s="468" t="s">
        <v>3074</v>
      </c>
      <c r="AG640" s="656"/>
    </row>
    <row r="641" spans="1:39" s="649" customFormat="1" ht="54.95" customHeight="1" thickBot="1" x14ac:dyDescent="0.25">
      <c r="B641" s="1022" t="s">
        <v>78</v>
      </c>
      <c r="C641" s="1022" t="s">
        <v>79</v>
      </c>
      <c r="D641" s="901" t="s">
        <v>104</v>
      </c>
      <c r="E641" s="901" t="s">
        <v>105</v>
      </c>
      <c r="F641" s="913" t="s">
        <v>3928</v>
      </c>
      <c r="G641" s="889" t="s">
        <v>39</v>
      </c>
      <c r="H641" s="890">
        <v>266490.5</v>
      </c>
      <c r="I641" s="902"/>
      <c r="J641" s="892">
        <v>42608</v>
      </c>
      <c r="K641" s="893">
        <v>60</v>
      </c>
      <c r="L641" s="892">
        <f>+J641+K641</f>
        <v>42668</v>
      </c>
      <c r="M641" s="892" t="s">
        <v>83</v>
      </c>
      <c r="N641" s="889" t="s">
        <v>42</v>
      </c>
      <c r="O641" s="892">
        <v>42664</v>
      </c>
      <c r="P641" s="893">
        <f>IF(R641="","",+R641-L641)</f>
        <v>9</v>
      </c>
      <c r="Q641" s="901" t="s">
        <v>3923</v>
      </c>
      <c r="R641" s="903">
        <v>42677</v>
      </c>
      <c r="S641" s="904">
        <v>42686</v>
      </c>
      <c r="T641" s="894">
        <v>42709</v>
      </c>
      <c r="U641" s="893">
        <f>IF(T641="","",+T641-J641)</f>
        <v>101</v>
      </c>
      <c r="V641" s="901" t="s">
        <v>3914</v>
      </c>
      <c r="W641" s="897" t="s">
        <v>2445</v>
      </c>
      <c r="X641" s="889"/>
      <c r="Y641" s="905"/>
      <c r="Z641" s="889">
        <v>6694662660</v>
      </c>
      <c r="AA641" s="889"/>
      <c r="AB641" s="892" t="s">
        <v>47</v>
      </c>
      <c r="AC641" s="476" t="s">
        <v>3929</v>
      </c>
      <c r="AD641" s="645" t="str">
        <f>IF(P641="","",IF(P641&lt;=0,"en término","atrasado"))</f>
        <v>atrasado</v>
      </c>
      <c r="AE641" s="468" t="s">
        <v>3927</v>
      </c>
      <c r="AF641" s="468" t="s">
        <v>3074</v>
      </c>
      <c r="AG641" s="656"/>
    </row>
    <row r="642" spans="1:39" s="649" customFormat="1" ht="54.95" customHeight="1" thickBot="1" x14ac:dyDescent="0.25">
      <c r="B642" s="1022" t="s">
        <v>78</v>
      </c>
      <c r="C642" s="1022" t="s">
        <v>79</v>
      </c>
      <c r="D642" s="901" t="s">
        <v>104</v>
      </c>
      <c r="E642" s="901" t="s">
        <v>105</v>
      </c>
      <c r="F642" s="913" t="s">
        <v>3930</v>
      </c>
      <c r="G642" s="889" t="s">
        <v>39</v>
      </c>
      <c r="H642" s="890">
        <v>85691</v>
      </c>
      <c r="I642" s="902"/>
      <c r="J642" s="892">
        <v>42636</v>
      </c>
      <c r="K642" s="893">
        <v>60</v>
      </c>
      <c r="L642" s="892">
        <f>+J642+K642</f>
        <v>42696</v>
      </c>
      <c r="M642" s="892" t="s">
        <v>83</v>
      </c>
      <c r="N642" s="889" t="s">
        <v>42</v>
      </c>
      <c r="O642" s="892">
        <v>42688</v>
      </c>
      <c r="P642" s="893">
        <f>IF(R642="","",+R642-L642)</f>
        <v>2</v>
      </c>
      <c r="Q642" s="901" t="s">
        <v>3931</v>
      </c>
      <c r="R642" s="903">
        <v>42698</v>
      </c>
      <c r="S642" s="904">
        <v>42708</v>
      </c>
      <c r="T642" s="894">
        <v>42734</v>
      </c>
      <c r="U642" s="893">
        <f>IF(T642="","",+T642-J642)</f>
        <v>98</v>
      </c>
      <c r="V642" s="901" t="s">
        <v>3932</v>
      </c>
      <c r="W642" s="897" t="s">
        <v>2436</v>
      </c>
      <c r="X642" s="889"/>
      <c r="Y642" s="905"/>
      <c r="Z642" s="889">
        <v>5693644320</v>
      </c>
      <c r="AA642" s="889"/>
      <c r="AB642" s="892" t="s">
        <v>2238</v>
      </c>
      <c r="AC642" s="476" t="s">
        <v>3933</v>
      </c>
      <c r="AD642" s="645" t="str">
        <f>IF(P642="","",IF(P642&lt;=0,"en término","atrasado"))</f>
        <v>atrasado</v>
      </c>
      <c r="AE642" s="468" t="s">
        <v>3934</v>
      </c>
      <c r="AF642" s="468" t="s">
        <v>3074</v>
      </c>
      <c r="AG642" s="656"/>
    </row>
    <row r="643" spans="1:39" s="649" customFormat="1" ht="54.95" customHeight="1" thickBot="1" x14ac:dyDescent="0.25">
      <c r="B643" s="1022" t="s">
        <v>78</v>
      </c>
      <c r="C643" s="1022" t="s">
        <v>108</v>
      </c>
      <c r="D643" s="901" t="s">
        <v>3935</v>
      </c>
      <c r="E643" s="901"/>
      <c r="F643" s="913">
        <v>63000012899</v>
      </c>
      <c r="G643" s="889" t="s">
        <v>39</v>
      </c>
      <c r="H643" s="890">
        <v>135950</v>
      </c>
      <c r="I643" s="902"/>
      <c r="J643" s="892">
        <v>42648</v>
      </c>
      <c r="K643" s="893">
        <f>+L643-J643</f>
        <v>73</v>
      </c>
      <c r="L643" s="892">
        <v>42721</v>
      </c>
      <c r="M643" s="892" t="s">
        <v>83</v>
      </c>
      <c r="N643" s="889" t="s">
        <v>110</v>
      </c>
      <c r="O643" s="892">
        <v>42709</v>
      </c>
      <c r="P643" s="893">
        <f>IF(S643="","",+S643-L643)</f>
        <v>21</v>
      </c>
      <c r="Q643" s="901"/>
      <c r="R643" s="903">
        <v>42740</v>
      </c>
      <c r="S643" s="904">
        <v>42742</v>
      </c>
      <c r="T643" s="894">
        <f>+S643+7</f>
        <v>42749</v>
      </c>
      <c r="U643" s="893">
        <f>IF(T643="","",+T643-J643)</f>
        <v>101</v>
      </c>
      <c r="V643" s="901" t="s">
        <v>3936</v>
      </c>
      <c r="W643" s="897" t="s">
        <v>2434</v>
      </c>
      <c r="X643" s="889"/>
      <c r="Y643" s="905"/>
      <c r="Z643" s="889">
        <v>6751148320</v>
      </c>
      <c r="AA643" s="889"/>
      <c r="AB643" s="892" t="s">
        <v>3937</v>
      </c>
      <c r="AC643" s="476" t="s">
        <v>3938</v>
      </c>
      <c r="AD643" s="645" t="str">
        <f>IF(P643="","",IF(P643&lt;=0,"en término","atrasado"))</f>
        <v>atrasado</v>
      </c>
      <c r="AE643" s="468" t="s">
        <v>3939</v>
      </c>
      <c r="AF643" s="468" t="s">
        <v>3082</v>
      </c>
      <c r="AG643" s="656"/>
    </row>
    <row r="645" spans="1:39" x14ac:dyDescent="0.2">
      <c r="H645" s="223"/>
    </row>
    <row r="649" spans="1:39" ht="12" thickBot="1" x14ac:dyDescent="0.25"/>
    <row r="650" spans="1:39" s="556" customFormat="1" ht="39.950000000000003" customHeight="1" thickBot="1" x14ac:dyDescent="0.4">
      <c r="B650" s="1611">
        <v>2017</v>
      </c>
      <c r="C650" s="1612"/>
      <c r="D650" s="1612"/>
      <c r="E650" s="1612"/>
      <c r="F650" s="1612"/>
      <c r="G650" s="1612"/>
      <c r="H650" s="1612"/>
      <c r="I650" s="1612"/>
      <c r="J650" s="1612"/>
      <c r="K650" s="1612"/>
      <c r="L650" s="1612"/>
      <c r="M650" s="1612"/>
      <c r="N650" s="1612"/>
      <c r="O650" s="1612"/>
      <c r="P650" s="1612"/>
      <c r="Q650" s="1612"/>
      <c r="R650" s="1612"/>
      <c r="S650" s="1612"/>
      <c r="T650" s="1612"/>
      <c r="U650" s="1612"/>
      <c r="V650" s="1612"/>
      <c r="W650" s="1612"/>
      <c r="X650" s="1612"/>
      <c r="Y650" s="1612"/>
      <c r="Z650" s="1612"/>
      <c r="AA650" s="1612"/>
      <c r="AB650" s="1612"/>
      <c r="AC650" s="1613"/>
      <c r="AD650" s="555"/>
    </row>
    <row r="651" spans="1:39" s="441" customFormat="1" ht="60" customHeight="1" thickBot="1" x14ac:dyDescent="0.25">
      <c r="A651" s="438"/>
      <c r="B651" s="451" t="s">
        <v>130</v>
      </c>
      <c r="C651" s="451" t="s">
        <v>4</v>
      </c>
      <c r="D651" s="451" t="s">
        <v>5</v>
      </c>
      <c r="E651" s="451" t="s">
        <v>6</v>
      </c>
      <c r="F651" s="451" t="s">
        <v>7</v>
      </c>
      <c r="G651" s="451" t="s">
        <v>8</v>
      </c>
      <c r="H651" s="453" t="s">
        <v>9</v>
      </c>
      <c r="I651" s="453" t="s">
        <v>10</v>
      </c>
      <c r="J651" s="451" t="s">
        <v>11</v>
      </c>
      <c r="K651" s="451" t="s">
        <v>12</v>
      </c>
      <c r="L651" s="451" t="s">
        <v>13</v>
      </c>
      <c r="M651" s="451" t="s">
        <v>14</v>
      </c>
      <c r="N651" s="451" t="s">
        <v>15</v>
      </c>
      <c r="O651" s="452" t="s">
        <v>16</v>
      </c>
      <c r="P651" s="454" t="s">
        <v>17</v>
      </c>
      <c r="Q651" s="451" t="s">
        <v>18</v>
      </c>
      <c r="R651" s="452" t="s">
        <v>19</v>
      </c>
      <c r="S651" s="451" t="s">
        <v>20</v>
      </c>
      <c r="T651" s="451" t="s">
        <v>21</v>
      </c>
      <c r="U651" s="452" t="s">
        <v>22</v>
      </c>
      <c r="V651" s="451" t="s">
        <v>131</v>
      </c>
      <c r="W651" s="451" t="s">
        <v>24</v>
      </c>
      <c r="X651" s="451" t="s">
        <v>132</v>
      </c>
      <c r="Y651" s="451" t="s">
        <v>26</v>
      </c>
      <c r="Z651" s="451" t="s">
        <v>27</v>
      </c>
      <c r="AA651" s="451" t="s">
        <v>28</v>
      </c>
      <c r="AB651" s="451" t="s">
        <v>29</v>
      </c>
      <c r="AC651" s="451" t="s">
        <v>30</v>
      </c>
      <c r="AD651" s="439"/>
      <c r="AE651" s="440"/>
      <c r="AF651" s="440"/>
      <c r="AG651" s="440"/>
      <c r="AH651" s="440"/>
      <c r="AI651" s="440"/>
      <c r="AJ651" s="440"/>
      <c r="AK651" s="440"/>
      <c r="AL651" s="440"/>
      <c r="AM651" s="440"/>
    </row>
    <row r="652" spans="1:39" s="649" customFormat="1" ht="54.95" customHeight="1" thickBot="1" x14ac:dyDescent="0.25">
      <c r="B652" s="1022" t="s">
        <v>78</v>
      </c>
      <c r="C652" s="1022" t="s">
        <v>108</v>
      </c>
      <c r="D652" s="901" t="s">
        <v>3935</v>
      </c>
      <c r="E652" s="901"/>
      <c r="F652" s="913">
        <v>63000012899</v>
      </c>
      <c r="G652" s="889" t="s">
        <v>39</v>
      </c>
      <c r="H652" s="890">
        <v>100800</v>
      </c>
      <c r="I652" s="902"/>
      <c r="J652" s="892">
        <v>42648</v>
      </c>
      <c r="K652" s="893">
        <f t="shared" ref="K652:K659" si="41">+L652-J652</f>
        <v>104</v>
      </c>
      <c r="L652" s="892">
        <v>42752</v>
      </c>
      <c r="M652" s="892" t="s">
        <v>83</v>
      </c>
      <c r="N652" s="889" t="s">
        <v>110</v>
      </c>
      <c r="O652" s="892">
        <v>42741</v>
      </c>
      <c r="P652" s="893">
        <f t="shared" ref="P652:P659" si="42">IF(S652="","",+S652-L652)</f>
        <v>46</v>
      </c>
      <c r="Q652" s="901" t="s">
        <v>3940</v>
      </c>
      <c r="R652" s="903">
        <v>42790</v>
      </c>
      <c r="S652" s="904">
        <v>42798</v>
      </c>
      <c r="T652" s="894">
        <v>42825</v>
      </c>
      <c r="U652" s="893">
        <f t="shared" ref="U652:U659" si="43">IF(T652="","",+T652-J652)</f>
        <v>177</v>
      </c>
      <c r="V652" s="901" t="s">
        <v>3941</v>
      </c>
      <c r="W652" s="897" t="s">
        <v>84</v>
      </c>
      <c r="X652" s="889"/>
      <c r="Y652" s="905"/>
      <c r="Z652" s="889">
        <v>8306745145</v>
      </c>
      <c r="AA652" s="889"/>
      <c r="AB652" s="892" t="s">
        <v>3942</v>
      </c>
      <c r="AC652" s="476"/>
      <c r="AD652" s="645" t="str">
        <f t="shared" ref="AD652:AD659" si="44">IF(P652="","",IF(P652&lt;=0,"en término","atrasado"))</f>
        <v>atrasado</v>
      </c>
      <c r="AE652" s="468"/>
      <c r="AF652" s="468"/>
      <c r="AG652" s="656"/>
    </row>
    <row r="653" spans="1:39" s="649" customFormat="1" ht="54.95" customHeight="1" thickBot="1" x14ac:dyDescent="0.25">
      <c r="B653" s="1022" t="s">
        <v>78</v>
      </c>
      <c r="C653" s="1022" t="s">
        <v>79</v>
      </c>
      <c r="D653" s="901" t="s">
        <v>104</v>
      </c>
      <c r="E653" s="901" t="s">
        <v>105</v>
      </c>
      <c r="F653" s="913" t="s">
        <v>3943</v>
      </c>
      <c r="G653" s="889" t="s">
        <v>39</v>
      </c>
      <c r="H653" s="890">
        <v>233988.5</v>
      </c>
      <c r="I653" s="902"/>
      <c r="J653" s="892">
        <v>42647</v>
      </c>
      <c r="K653" s="893">
        <f t="shared" si="41"/>
        <v>98</v>
      </c>
      <c r="L653" s="892">
        <v>42745</v>
      </c>
      <c r="M653" s="892" t="s">
        <v>83</v>
      </c>
      <c r="N653" s="889" t="s">
        <v>42</v>
      </c>
      <c r="O653" s="892">
        <v>42741</v>
      </c>
      <c r="P653" s="893">
        <f t="shared" si="42"/>
        <v>17</v>
      </c>
      <c r="Q653" s="901" t="s">
        <v>3944</v>
      </c>
      <c r="R653" s="903">
        <v>42754</v>
      </c>
      <c r="S653" s="904">
        <v>42762</v>
      </c>
      <c r="T653" s="894">
        <v>42790</v>
      </c>
      <c r="U653" s="893">
        <f t="shared" si="43"/>
        <v>143</v>
      </c>
      <c r="V653" s="901" t="s">
        <v>3932</v>
      </c>
      <c r="W653" s="897" t="s">
        <v>90</v>
      </c>
      <c r="X653" s="889"/>
      <c r="Y653" s="905"/>
      <c r="Z653" s="889">
        <v>2187038173</v>
      </c>
      <c r="AA653" s="889"/>
      <c r="AB653" s="1025"/>
      <c r="AC653" s="476" t="s">
        <v>3945</v>
      </c>
      <c r="AD653" s="645" t="str">
        <f t="shared" si="44"/>
        <v>atrasado</v>
      </c>
      <c r="AE653" s="468" t="s">
        <v>3946</v>
      </c>
      <c r="AF653" s="468" t="s">
        <v>2968</v>
      </c>
      <c r="AG653" s="656"/>
    </row>
    <row r="654" spans="1:39" s="649" customFormat="1" ht="54.95" customHeight="1" thickBot="1" x14ac:dyDescent="0.25">
      <c r="B654" s="1022" t="s">
        <v>78</v>
      </c>
      <c r="C654" s="1022" t="s">
        <v>79</v>
      </c>
      <c r="D654" s="901" t="s">
        <v>104</v>
      </c>
      <c r="E654" s="901" t="s">
        <v>105</v>
      </c>
      <c r="F654" s="913" t="s">
        <v>3947</v>
      </c>
      <c r="G654" s="889" t="s">
        <v>39</v>
      </c>
      <c r="H654" s="890">
        <v>170231.5</v>
      </c>
      <c r="I654" s="902"/>
      <c r="J654" s="892">
        <v>42761</v>
      </c>
      <c r="K654" s="893">
        <f t="shared" si="41"/>
        <v>53</v>
      </c>
      <c r="L654" s="892">
        <v>42814</v>
      </c>
      <c r="M654" s="892" t="s">
        <v>83</v>
      </c>
      <c r="N654" s="889" t="s">
        <v>42</v>
      </c>
      <c r="O654" s="892">
        <v>42809</v>
      </c>
      <c r="P654" s="893">
        <f t="shared" si="42"/>
        <v>19</v>
      </c>
      <c r="Q654" s="901" t="s">
        <v>3948</v>
      </c>
      <c r="R654" s="903">
        <v>42825</v>
      </c>
      <c r="S654" s="904">
        <v>42833</v>
      </c>
      <c r="T654" s="894">
        <v>42860</v>
      </c>
      <c r="U654" s="893">
        <f t="shared" si="43"/>
        <v>99</v>
      </c>
      <c r="V654" s="901" t="s">
        <v>3949</v>
      </c>
      <c r="W654" s="897" t="s">
        <v>100</v>
      </c>
      <c r="X654" s="889"/>
      <c r="Y654" s="905"/>
      <c r="Z654" s="889">
        <v>3099085883</v>
      </c>
      <c r="AA654" s="889"/>
      <c r="AB654" s="892" t="s">
        <v>3853</v>
      </c>
      <c r="AC654" s="476" t="s">
        <v>3950</v>
      </c>
      <c r="AD654" s="645" t="str">
        <f t="shared" si="44"/>
        <v>atrasado</v>
      </c>
      <c r="AE654" s="468" t="s">
        <v>3951</v>
      </c>
      <c r="AF654" s="468" t="s">
        <v>3846</v>
      </c>
      <c r="AG654" s="656"/>
    </row>
    <row r="655" spans="1:39" s="649" customFormat="1" ht="54.95" customHeight="1" thickBot="1" x14ac:dyDescent="0.25">
      <c r="B655" s="1022" t="s">
        <v>78</v>
      </c>
      <c r="C655" s="1022" t="s">
        <v>3886</v>
      </c>
      <c r="D655" s="901" t="s">
        <v>3952</v>
      </c>
      <c r="E655" s="901"/>
      <c r="F655" s="913">
        <v>30002541</v>
      </c>
      <c r="G655" s="889" t="s">
        <v>39</v>
      </c>
      <c r="H655" s="890">
        <v>94772</v>
      </c>
      <c r="I655" s="902"/>
      <c r="J655" s="892">
        <v>42740</v>
      </c>
      <c r="K655" s="893">
        <f t="shared" si="41"/>
        <v>105</v>
      </c>
      <c r="L655" s="892">
        <v>42845</v>
      </c>
      <c r="M655" s="892" t="s">
        <v>83</v>
      </c>
      <c r="N655" s="889" t="s">
        <v>42</v>
      </c>
      <c r="O655" s="892">
        <v>42850</v>
      </c>
      <c r="P655" s="893">
        <f t="shared" si="42"/>
        <v>59</v>
      </c>
      <c r="Q655" s="901" t="s">
        <v>3953</v>
      </c>
      <c r="R655" s="903">
        <v>42894</v>
      </c>
      <c r="S655" s="904">
        <v>42904</v>
      </c>
      <c r="T655" s="894">
        <f>+S655+25</f>
        <v>42929</v>
      </c>
      <c r="U655" s="893">
        <f t="shared" si="43"/>
        <v>189</v>
      </c>
      <c r="V655" s="901" t="s">
        <v>3954</v>
      </c>
      <c r="W655" s="897" t="s">
        <v>2208</v>
      </c>
      <c r="X655" s="889"/>
      <c r="Y655" s="905"/>
      <c r="Z655" s="895">
        <v>3420479635</v>
      </c>
      <c r="AA655" s="889"/>
      <c r="AB655" s="892" t="s">
        <v>3955</v>
      </c>
      <c r="AC655" s="847" t="s">
        <v>3142</v>
      </c>
      <c r="AD655" s="645" t="str">
        <f t="shared" si="44"/>
        <v>atrasado</v>
      </c>
      <c r="AE655" s="468" t="s">
        <v>3956</v>
      </c>
      <c r="AF655" s="468" t="s">
        <v>2943</v>
      </c>
      <c r="AG655" s="656"/>
    </row>
    <row r="656" spans="1:39" s="649" customFormat="1" ht="54.95" customHeight="1" thickBot="1" x14ac:dyDescent="0.25">
      <c r="B656" s="1022" t="s">
        <v>78</v>
      </c>
      <c r="C656" s="1022" t="s">
        <v>79</v>
      </c>
      <c r="D656" s="901" t="s">
        <v>104</v>
      </c>
      <c r="E656" s="901" t="s">
        <v>105</v>
      </c>
      <c r="F656" s="913" t="s">
        <v>3957</v>
      </c>
      <c r="G656" s="889" t="s">
        <v>39</v>
      </c>
      <c r="H656" s="890">
        <v>197813.7</v>
      </c>
      <c r="I656" s="902"/>
      <c r="J656" s="892">
        <v>42761</v>
      </c>
      <c r="K656" s="893">
        <f>+L656-J656</f>
        <v>84</v>
      </c>
      <c r="L656" s="892">
        <v>42845</v>
      </c>
      <c r="M656" s="892" t="s">
        <v>83</v>
      </c>
      <c r="N656" s="889" t="s">
        <v>42</v>
      </c>
      <c r="O656" s="892">
        <v>42850</v>
      </c>
      <c r="P656" s="893">
        <f>IF(S656="","",+S656-L656)</f>
        <v>23</v>
      </c>
      <c r="Q656" s="901"/>
      <c r="R656" s="903">
        <v>42860</v>
      </c>
      <c r="S656" s="904">
        <v>42868</v>
      </c>
      <c r="T656" s="894">
        <f>+S656+20</f>
        <v>42888</v>
      </c>
      <c r="U656" s="893">
        <f>IF(T656="","",+T656-J656)</f>
        <v>127</v>
      </c>
      <c r="V656" s="901" t="s">
        <v>3932</v>
      </c>
      <c r="W656" s="897" t="s">
        <v>2199</v>
      </c>
      <c r="X656" s="889"/>
      <c r="Y656" s="905"/>
      <c r="Z656" s="889">
        <v>1506452076</v>
      </c>
      <c r="AA656" s="889"/>
      <c r="AB656" s="892" t="s">
        <v>3958</v>
      </c>
      <c r="AC656" s="476" t="s">
        <v>3959</v>
      </c>
      <c r="AD656" s="645" t="str">
        <f>IF(P656="","",IF(P656&lt;=0,"en término","atrasado"))</f>
        <v>atrasado</v>
      </c>
      <c r="AE656" s="468" t="s">
        <v>3960</v>
      </c>
      <c r="AF656" s="468"/>
      <c r="AG656" s="656"/>
    </row>
    <row r="657" spans="2:33" s="649" customFormat="1" ht="54.95" customHeight="1" thickBot="1" x14ac:dyDescent="0.25">
      <c r="B657" s="1022" t="s">
        <v>78</v>
      </c>
      <c r="C657" s="1022" t="s">
        <v>79</v>
      </c>
      <c r="D657" s="901" t="s">
        <v>104</v>
      </c>
      <c r="E657" s="901" t="s">
        <v>105</v>
      </c>
      <c r="F657" s="913" t="s">
        <v>3961</v>
      </c>
      <c r="G657" s="889" t="s">
        <v>39</v>
      </c>
      <c r="H657" s="890">
        <v>86134.6</v>
      </c>
      <c r="I657" s="902"/>
      <c r="J657" s="892">
        <v>42761</v>
      </c>
      <c r="K657" s="893">
        <f>+L657-J657</f>
        <v>84</v>
      </c>
      <c r="L657" s="892">
        <v>42845</v>
      </c>
      <c r="M657" s="892" t="s">
        <v>83</v>
      </c>
      <c r="N657" s="889" t="s">
        <v>42</v>
      </c>
      <c r="O657" s="892">
        <v>42850</v>
      </c>
      <c r="P657" s="893">
        <f>IF(S657="","",+S657-L657)</f>
        <v>23</v>
      </c>
      <c r="Q657" s="901"/>
      <c r="R657" s="903">
        <v>42860</v>
      </c>
      <c r="S657" s="904">
        <v>42868</v>
      </c>
      <c r="T657" s="894">
        <f>+S657+20</f>
        <v>42888</v>
      </c>
      <c r="U657" s="893">
        <f>IF(T657="","",+T657-J657)</f>
        <v>127</v>
      </c>
      <c r="V657" s="901" t="s">
        <v>3932</v>
      </c>
      <c r="W657" s="897" t="s">
        <v>2582</v>
      </c>
      <c r="X657" s="889"/>
      <c r="Y657" s="905"/>
      <c r="Z657" s="889">
        <v>1506452076</v>
      </c>
      <c r="AA657" s="889"/>
      <c r="AB657" s="892" t="s">
        <v>47</v>
      </c>
      <c r="AC657" s="476" t="s">
        <v>3962</v>
      </c>
      <c r="AD657" s="645" t="str">
        <f>IF(P657="","",IF(P657&lt;=0,"en término","atrasado"))</f>
        <v>atrasado</v>
      </c>
      <c r="AE657" s="468" t="s">
        <v>3960</v>
      </c>
      <c r="AF657" s="468"/>
      <c r="AG657" s="656"/>
    </row>
    <row r="658" spans="2:33" s="649" customFormat="1" ht="54.95" customHeight="1" thickBot="1" x14ac:dyDescent="0.25">
      <c r="B658" s="1022" t="s">
        <v>78</v>
      </c>
      <c r="C658" s="1022" t="s">
        <v>3886</v>
      </c>
      <c r="D658" s="901" t="s">
        <v>3963</v>
      </c>
      <c r="E658" s="901"/>
      <c r="F658" s="913">
        <v>30002587</v>
      </c>
      <c r="G658" s="889" t="s">
        <v>39</v>
      </c>
      <c r="H658" s="890">
        <v>33828</v>
      </c>
      <c r="I658" s="902"/>
      <c r="J658" s="892">
        <v>42773</v>
      </c>
      <c r="K658" s="893">
        <f t="shared" si="41"/>
        <v>100</v>
      </c>
      <c r="L658" s="892">
        <v>42873</v>
      </c>
      <c r="M658" s="892" t="s">
        <v>83</v>
      </c>
      <c r="N658" s="889" t="s">
        <v>42</v>
      </c>
      <c r="O658" s="892">
        <v>42870</v>
      </c>
      <c r="P658" s="893">
        <f t="shared" si="42"/>
        <v>31</v>
      </c>
      <c r="Q658" s="901" t="s">
        <v>3953</v>
      </c>
      <c r="R658" s="903">
        <v>42894</v>
      </c>
      <c r="S658" s="904">
        <v>42904</v>
      </c>
      <c r="T658" s="894">
        <f>+S658+25</f>
        <v>42929</v>
      </c>
      <c r="U658" s="893">
        <f t="shared" si="43"/>
        <v>156</v>
      </c>
      <c r="V658" s="901" t="s">
        <v>53</v>
      </c>
      <c r="W658" s="897" t="s">
        <v>2215</v>
      </c>
      <c r="X658" s="889"/>
      <c r="Y658" s="905"/>
      <c r="Z658" s="895">
        <v>3420479635</v>
      </c>
      <c r="AA658" s="889"/>
      <c r="AB658" s="892" t="s">
        <v>3955</v>
      </c>
      <c r="AC658" s="476"/>
      <c r="AD658" s="645" t="str">
        <f t="shared" si="44"/>
        <v>atrasado</v>
      </c>
      <c r="AE658" s="468" t="s">
        <v>3956</v>
      </c>
      <c r="AF658" s="468" t="s">
        <v>2943</v>
      </c>
      <c r="AG658" s="656"/>
    </row>
    <row r="659" spans="2:33" s="649" customFormat="1" ht="54.95" customHeight="1" thickBot="1" x14ac:dyDescent="0.25">
      <c r="B659" s="1022" t="s">
        <v>78</v>
      </c>
      <c r="C659" s="1022" t="s">
        <v>3886</v>
      </c>
      <c r="D659" s="901" t="s">
        <v>3964</v>
      </c>
      <c r="E659" s="901"/>
      <c r="F659" s="913">
        <v>30002586</v>
      </c>
      <c r="G659" s="889" t="s">
        <v>39</v>
      </c>
      <c r="H659" s="890">
        <v>17061</v>
      </c>
      <c r="I659" s="902"/>
      <c r="J659" s="892">
        <v>42773</v>
      </c>
      <c r="K659" s="893">
        <f t="shared" si="41"/>
        <v>100</v>
      </c>
      <c r="L659" s="892">
        <v>42873</v>
      </c>
      <c r="M659" s="892" t="s">
        <v>83</v>
      </c>
      <c r="N659" s="889" t="s">
        <v>42</v>
      </c>
      <c r="O659" s="892">
        <v>42870</v>
      </c>
      <c r="P659" s="893">
        <f t="shared" si="42"/>
        <v>31</v>
      </c>
      <c r="Q659" s="901" t="s">
        <v>3953</v>
      </c>
      <c r="R659" s="903">
        <v>42894</v>
      </c>
      <c r="S659" s="904">
        <v>42904</v>
      </c>
      <c r="T659" s="894">
        <f>+S659+25</f>
        <v>42929</v>
      </c>
      <c r="U659" s="893">
        <f t="shared" si="43"/>
        <v>156</v>
      </c>
      <c r="V659" s="901" t="s">
        <v>53</v>
      </c>
      <c r="W659" s="897" t="s">
        <v>2213</v>
      </c>
      <c r="X659" s="889"/>
      <c r="Y659" s="905"/>
      <c r="Z659" s="895">
        <v>3420479635</v>
      </c>
      <c r="AA659" s="889"/>
      <c r="AB659" s="892" t="s">
        <v>3955</v>
      </c>
      <c r="AC659" s="476"/>
      <c r="AD659" s="645" t="str">
        <f t="shared" si="44"/>
        <v>atrasado</v>
      </c>
      <c r="AE659" s="468" t="s">
        <v>3956</v>
      </c>
      <c r="AF659" s="468" t="s">
        <v>2943</v>
      </c>
      <c r="AG659" s="656"/>
    </row>
    <row r="660" spans="2:33" s="649" customFormat="1" ht="54.95" customHeight="1" thickBot="1" x14ac:dyDescent="0.25">
      <c r="B660" s="1022" t="s">
        <v>78</v>
      </c>
      <c r="C660" s="1022" t="s">
        <v>79</v>
      </c>
      <c r="D660" s="901" t="s">
        <v>104</v>
      </c>
      <c r="E660" s="901" t="s">
        <v>105</v>
      </c>
      <c r="F660" s="913" t="s">
        <v>3965</v>
      </c>
      <c r="G660" s="889" t="s">
        <v>39</v>
      </c>
      <c r="H660" s="890">
        <v>229749.78</v>
      </c>
      <c r="I660" s="902"/>
      <c r="J660" s="892">
        <v>42842</v>
      </c>
      <c r="K660" s="893">
        <f>+L660-J660</f>
        <v>33</v>
      </c>
      <c r="L660" s="892">
        <v>42875</v>
      </c>
      <c r="M660" s="892" t="s">
        <v>83</v>
      </c>
      <c r="N660" s="889" t="s">
        <v>42</v>
      </c>
      <c r="O660" s="892">
        <v>42885</v>
      </c>
      <c r="P660" s="893">
        <f t="shared" ref="P660:P666" si="45">IF(S660="","",+S660-L660)</f>
        <v>42</v>
      </c>
      <c r="Q660" s="901" t="s">
        <v>3966</v>
      </c>
      <c r="R660" s="903">
        <v>42909</v>
      </c>
      <c r="S660" s="904">
        <v>42917</v>
      </c>
      <c r="T660" s="894">
        <v>42944</v>
      </c>
      <c r="U660" s="893">
        <f t="shared" ref="U660:U666" si="46">IF(T660="","",+T660-J660)</f>
        <v>102</v>
      </c>
      <c r="V660" s="901" t="s">
        <v>3932</v>
      </c>
      <c r="W660" s="897" t="s">
        <v>2445</v>
      </c>
      <c r="X660" s="889"/>
      <c r="Y660" s="905"/>
      <c r="Z660" s="889">
        <v>7252153893</v>
      </c>
      <c r="AA660" s="889"/>
      <c r="AB660" s="892" t="s">
        <v>1575</v>
      </c>
      <c r="AC660" s="476" t="s">
        <v>3967</v>
      </c>
      <c r="AD660" s="645" t="str">
        <f t="shared" ref="AD660:AD666" si="47">IF(P660="","",IF(P660&lt;=0,"en término","atrasado"))</f>
        <v>atrasado</v>
      </c>
      <c r="AE660" s="468" t="s">
        <v>3968</v>
      </c>
      <c r="AF660" s="468" t="s">
        <v>2943</v>
      </c>
      <c r="AG660" s="656"/>
    </row>
    <row r="661" spans="2:33" s="649" customFormat="1" ht="54.95" customHeight="1" thickBot="1" x14ac:dyDescent="0.25">
      <c r="B661" s="1022" t="s">
        <v>78</v>
      </c>
      <c r="C661" s="1022" t="s">
        <v>79</v>
      </c>
      <c r="D661" s="901" t="s">
        <v>3969</v>
      </c>
      <c r="E661" s="901"/>
      <c r="F661" s="913" t="s">
        <v>3970</v>
      </c>
      <c r="G661" s="889" t="s">
        <v>39</v>
      </c>
      <c r="H661" s="890">
        <v>2290.1999999999998</v>
      </c>
      <c r="I661" s="902"/>
      <c r="J661" s="892">
        <v>42859</v>
      </c>
      <c r="K661" s="893">
        <f>+L661-J661</f>
        <v>16</v>
      </c>
      <c r="L661" s="892">
        <v>42875</v>
      </c>
      <c r="M661" s="892" t="s">
        <v>83</v>
      </c>
      <c r="N661" s="889" t="s">
        <v>42</v>
      </c>
      <c r="O661" s="892">
        <v>42885</v>
      </c>
      <c r="P661" s="893">
        <f t="shared" si="45"/>
        <v>42</v>
      </c>
      <c r="Q661" s="901" t="s">
        <v>3966</v>
      </c>
      <c r="R661" s="903">
        <v>42909</v>
      </c>
      <c r="S661" s="904">
        <v>42917</v>
      </c>
      <c r="T661" s="894">
        <v>42944</v>
      </c>
      <c r="U661" s="893">
        <f t="shared" si="46"/>
        <v>85</v>
      </c>
      <c r="V661" s="901" t="s">
        <v>3971</v>
      </c>
      <c r="W661" s="897" t="s">
        <v>2445</v>
      </c>
      <c r="X661" s="889"/>
      <c r="Y661" s="905"/>
      <c r="Z661" s="889">
        <v>7252153893</v>
      </c>
      <c r="AA661" s="889"/>
      <c r="AB661" s="892" t="s">
        <v>47</v>
      </c>
      <c r="AC661" s="476" t="s">
        <v>3972</v>
      </c>
      <c r="AD661" s="645" t="str">
        <f t="shared" si="47"/>
        <v>atrasado</v>
      </c>
      <c r="AE661" s="468" t="s">
        <v>3968</v>
      </c>
      <c r="AF661" s="468" t="s">
        <v>2943</v>
      </c>
      <c r="AG661" s="656"/>
    </row>
    <row r="662" spans="2:33" s="649" customFormat="1" ht="54.95" customHeight="1" thickBot="1" x14ac:dyDescent="0.25">
      <c r="B662" s="1022" t="s">
        <v>78</v>
      </c>
      <c r="C662" s="1022" t="s">
        <v>79</v>
      </c>
      <c r="D662" s="901" t="s">
        <v>3973</v>
      </c>
      <c r="E662" s="901"/>
      <c r="F662" s="913" t="s">
        <v>3974</v>
      </c>
      <c r="G662" s="889" t="s">
        <v>39</v>
      </c>
      <c r="H662" s="890">
        <v>58460</v>
      </c>
      <c r="I662" s="902"/>
      <c r="J662" s="892">
        <v>42859</v>
      </c>
      <c r="K662" s="893">
        <v>65</v>
      </c>
      <c r="L662" s="892">
        <f t="shared" ref="L662:L667" si="48">+J662+K662</f>
        <v>42924</v>
      </c>
      <c r="M662" s="892" t="s">
        <v>83</v>
      </c>
      <c r="N662" s="889" t="s">
        <v>42</v>
      </c>
      <c r="O662" s="892">
        <v>42912</v>
      </c>
      <c r="P662" s="893">
        <f t="shared" si="45"/>
        <v>14</v>
      </c>
      <c r="Q662" s="901"/>
      <c r="R662" s="903">
        <v>42930</v>
      </c>
      <c r="S662" s="904">
        <v>42938</v>
      </c>
      <c r="T662" s="894">
        <f t="shared" ref="T662:T667" si="49">+S662+30</f>
        <v>42968</v>
      </c>
      <c r="U662" s="893">
        <f t="shared" si="46"/>
        <v>109</v>
      </c>
      <c r="V662" s="901" t="s">
        <v>2183</v>
      </c>
      <c r="W662" s="897" t="s">
        <v>2436</v>
      </c>
      <c r="X662" s="889"/>
      <c r="Y662" s="905"/>
      <c r="Z662" s="889">
        <v>5334395522</v>
      </c>
      <c r="AA662" s="889"/>
      <c r="AB662" s="909" t="s">
        <v>47</v>
      </c>
      <c r="AC662" s="476" t="s">
        <v>3975</v>
      </c>
      <c r="AD662" s="645" t="str">
        <f t="shared" si="47"/>
        <v>atrasado</v>
      </c>
      <c r="AE662" s="468" t="s">
        <v>3976</v>
      </c>
      <c r="AF662" s="468" t="s">
        <v>2949</v>
      </c>
      <c r="AG662" s="656"/>
    </row>
    <row r="663" spans="2:33" s="649" customFormat="1" ht="54.95" customHeight="1" thickBot="1" x14ac:dyDescent="0.25">
      <c r="B663" s="1022" t="s">
        <v>78</v>
      </c>
      <c r="C663" s="1022" t="s">
        <v>79</v>
      </c>
      <c r="D663" s="901" t="s">
        <v>3977</v>
      </c>
      <c r="E663" s="901"/>
      <c r="F663" s="913" t="s">
        <v>3978</v>
      </c>
      <c r="G663" s="889" t="s">
        <v>39</v>
      </c>
      <c r="H663" s="890">
        <v>108917.5</v>
      </c>
      <c r="I663" s="902"/>
      <c r="J663" s="892">
        <v>42921</v>
      </c>
      <c r="K663" s="893">
        <v>75</v>
      </c>
      <c r="L663" s="892">
        <f t="shared" si="48"/>
        <v>42996</v>
      </c>
      <c r="M663" s="892" t="s">
        <v>83</v>
      </c>
      <c r="N663" s="889" t="s">
        <v>42</v>
      </c>
      <c r="O663" s="892">
        <v>43003</v>
      </c>
      <c r="P663" s="893">
        <f t="shared" si="45"/>
        <v>26</v>
      </c>
      <c r="Q663" s="901"/>
      <c r="R663" s="903">
        <v>43014</v>
      </c>
      <c r="S663" s="904">
        <v>43022</v>
      </c>
      <c r="T663" s="894">
        <f t="shared" si="49"/>
        <v>43052</v>
      </c>
      <c r="U663" s="893">
        <f t="shared" si="46"/>
        <v>131</v>
      </c>
      <c r="V663" s="901" t="s">
        <v>3979</v>
      </c>
      <c r="W663" s="897" t="s">
        <v>2437</v>
      </c>
      <c r="X663" s="889"/>
      <c r="Y663" s="905"/>
      <c r="Z663" s="889">
        <v>1313639865</v>
      </c>
      <c r="AA663" s="889"/>
      <c r="AB663" s="892" t="s">
        <v>3980</v>
      </c>
      <c r="AC663" s="476" t="s">
        <v>3981</v>
      </c>
      <c r="AD663" s="645" t="str">
        <f t="shared" si="47"/>
        <v>atrasado</v>
      </c>
      <c r="AE663" s="468" t="s">
        <v>3982</v>
      </c>
      <c r="AF663" s="468"/>
      <c r="AG663" s="656"/>
    </row>
    <row r="664" spans="2:33" s="649" customFormat="1" ht="54.95" customHeight="1" thickBot="1" x14ac:dyDescent="0.25">
      <c r="B664" s="1022" t="s">
        <v>78</v>
      </c>
      <c r="C664" s="1022" t="s">
        <v>79</v>
      </c>
      <c r="D664" s="901" t="s">
        <v>3983</v>
      </c>
      <c r="E664" s="901"/>
      <c r="F664" s="913" t="s">
        <v>3984</v>
      </c>
      <c r="G664" s="889" t="s">
        <v>39</v>
      </c>
      <c r="H664" s="890">
        <v>62143.3</v>
      </c>
      <c r="I664" s="902"/>
      <c r="J664" s="892">
        <v>42944</v>
      </c>
      <c r="K664" s="893">
        <v>60</v>
      </c>
      <c r="L664" s="892">
        <f t="shared" si="48"/>
        <v>43004</v>
      </c>
      <c r="M664" s="892" t="s">
        <v>83</v>
      </c>
      <c r="N664" s="889" t="s">
        <v>42</v>
      </c>
      <c r="O664" s="892">
        <v>43003</v>
      </c>
      <c r="P664" s="893">
        <f t="shared" si="45"/>
        <v>18</v>
      </c>
      <c r="Q664" s="901"/>
      <c r="R664" s="903">
        <v>43014</v>
      </c>
      <c r="S664" s="904">
        <v>43022</v>
      </c>
      <c r="T664" s="894">
        <f t="shared" si="49"/>
        <v>43052</v>
      </c>
      <c r="U664" s="893">
        <f t="shared" si="46"/>
        <v>108</v>
      </c>
      <c r="V664" s="901" t="s">
        <v>3985</v>
      </c>
      <c r="W664" s="897" t="s">
        <v>2449</v>
      </c>
      <c r="X664" s="889"/>
      <c r="Y664" s="905"/>
      <c r="Z664" s="889">
        <v>1313639865</v>
      </c>
      <c r="AA664" s="889"/>
      <c r="AB664" s="892" t="s">
        <v>3980</v>
      </c>
      <c r="AC664" s="476" t="s">
        <v>3981</v>
      </c>
      <c r="AD664" s="645" t="str">
        <f t="shared" si="47"/>
        <v>atrasado</v>
      </c>
      <c r="AE664" s="468" t="s">
        <v>3982</v>
      </c>
      <c r="AF664" s="468"/>
      <c r="AG664" s="656"/>
    </row>
    <row r="665" spans="2:33" s="649" customFormat="1" ht="54.95" customHeight="1" thickBot="1" x14ac:dyDescent="0.25">
      <c r="B665" s="1022" t="s">
        <v>78</v>
      </c>
      <c r="C665" s="1022" t="s">
        <v>79</v>
      </c>
      <c r="D665" s="901" t="s">
        <v>3986</v>
      </c>
      <c r="E665" s="901"/>
      <c r="F665" s="913" t="s">
        <v>3987</v>
      </c>
      <c r="G665" s="889" t="s">
        <v>39</v>
      </c>
      <c r="H665" s="890">
        <v>147866.70000000001</v>
      </c>
      <c r="I665" s="902"/>
      <c r="J665" s="892">
        <v>42951</v>
      </c>
      <c r="K665" s="893">
        <v>75</v>
      </c>
      <c r="L665" s="892">
        <f t="shared" si="48"/>
        <v>43026</v>
      </c>
      <c r="M665" s="892" t="s">
        <v>83</v>
      </c>
      <c r="N665" s="889" t="s">
        <v>42</v>
      </c>
      <c r="O665" s="892">
        <v>43021</v>
      </c>
      <c r="P665" s="893">
        <f t="shared" si="45"/>
        <v>10</v>
      </c>
      <c r="Q665" s="901"/>
      <c r="R665" s="903">
        <v>43028</v>
      </c>
      <c r="S665" s="904">
        <v>43036</v>
      </c>
      <c r="T665" s="894">
        <f t="shared" si="49"/>
        <v>43066</v>
      </c>
      <c r="U665" s="893">
        <f t="shared" si="46"/>
        <v>115</v>
      </c>
      <c r="V665" s="901" t="s">
        <v>3985</v>
      </c>
      <c r="W665" s="897" t="s">
        <v>2232</v>
      </c>
      <c r="X665" s="889"/>
      <c r="Y665" s="905"/>
      <c r="Z665" s="889">
        <v>8991266174</v>
      </c>
      <c r="AA665" s="889"/>
      <c r="AB665" s="892" t="s">
        <v>3988</v>
      </c>
      <c r="AC665" s="476" t="s">
        <v>3981</v>
      </c>
      <c r="AD665" s="645" t="str">
        <f t="shared" si="47"/>
        <v>atrasado</v>
      </c>
      <c r="AE665" s="468" t="s">
        <v>3989</v>
      </c>
      <c r="AF665" s="468"/>
      <c r="AG665" s="656"/>
    </row>
    <row r="666" spans="2:33" s="649" customFormat="1" ht="54.95" customHeight="1" thickBot="1" x14ac:dyDescent="0.25">
      <c r="B666" s="1022" t="s">
        <v>78</v>
      </c>
      <c r="C666" s="1022" t="s">
        <v>79</v>
      </c>
      <c r="D666" s="901" t="s">
        <v>3990</v>
      </c>
      <c r="E666" s="901"/>
      <c r="F666" s="913" t="s">
        <v>3991</v>
      </c>
      <c r="G666" s="889" t="s">
        <v>39</v>
      </c>
      <c r="H666" s="890">
        <v>31030</v>
      </c>
      <c r="I666" s="902"/>
      <c r="J666" s="892">
        <v>42957</v>
      </c>
      <c r="K666" s="893">
        <v>70</v>
      </c>
      <c r="L666" s="892">
        <f t="shared" si="48"/>
        <v>43027</v>
      </c>
      <c r="M666" s="892" t="s">
        <v>83</v>
      </c>
      <c r="N666" s="889" t="s">
        <v>42</v>
      </c>
      <c r="O666" s="892">
        <v>43021</v>
      </c>
      <c r="P666" s="893">
        <f t="shared" si="45"/>
        <v>9</v>
      </c>
      <c r="Q666" s="901"/>
      <c r="R666" s="903">
        <v>43028</v>
      </c>
      <c r="S666" s="904">
        <v>43036</v>
      </c>
      <c r="T666" s="894">
        <f t="shared" si="49"/>
        <v>43066</v>
      </c>
      <c r="U666" s="893">
        <f t="shared" si="46"/>
        <v>109</v>
      </c>
      <c r="V666" s="901" t="s">
        <v>3992</v>
      </c>
      <c r="W666" s="897" t="s">
        <v>2237</v>
      </c>
      <c r="X666" s="889"/>
      <c r="Y666" s="905"/>
      <c r="Z666" s="889">
        <v>8991266174</v>
      </c>
      <c r="AA666" s="889"/>
      <c r="AB666" s="892" t="s">
        <v>3988</v>
      </c>
      <c r="AC666" s="476" t="s">
        <v>3981</v>
      </c>
      <c r="AD666" s="645" t="str">
        <f t="shared" si="47"/>
        <v>atrasado</v>
      </c>
      <c r="AE666" s="468" t="s">
        <v>3989</v>
      </c>
      <c r="AF666" s="468"/>
      <c r="AG666" s="656"/>
    </row>
    <row r="667" spans="2:33" s="649" customFormat="1" ht="54.95" customHeight="1" thickBot="1" x14ac:dyDescent="0.25">
      <c r="B667" s="1022" t="s">
        <v>78</v>
      </c>
      <c r="C667" s="1022" t="s">
        <v>79</v>
      </c>
      <c r="D667" s="901" t="s">
        <v>3993</v>
      </c>
      <c r="E667" s="901"/>
      <c r="F667" s="913" t="s">
        <v>3994</v>
      </c>
      <c r="G667" s="889" t="s">
        <v>39</v>
      </c>
      <c r="H667" s="890">
        <v>41130</v>
      </c>
      <c r="I667" s="902"/>
      <c r="J667" s="892">
        <v>42979</v>
      </c>
      <c r="K667" s="893">
        <v>90</v>
      </c>
      <c r="L667" s="892">
        <f t="shared" si="48"/>
        <v>43069</v>
      </c>
      <c r="M667" s="892" t="s">
        <v>83</v>
      </c>
      <c r="N667" s="889" t="s">
        <v>42</v>
      </c>
      <c r="O667" s="892">
        <v>43053</v>
      </c>
      <c r="P667" s="893">
        <f>IF(S667="","",+S667-L667)</f>
        <v>9</v>
      </c>
      <c r="Q667" s="901" t="s">
        <v>3995</v>
      </c>
      <c r="R667" s="903">
        <v>43063</v>
      </c>
      <c r="S667" s="904">
        <v>43078</v>
      </c>
      <c r="T667" s="894">
        <f t="shared" si="49"/>
        <v>43108</v>
      </c>
      <c r="U667" s="893">
        <f>IF(T667="","",+T667-J667)</f>
        <v>129</v>
      </c>
      <c r="V667" s="901" t="s">
        <v>3996</v>
      </c>
      <c r="W667" s="897" t="s">
        <v>2240</v>
      </c>
      <c r="X667" s="889"/>
      <c r="Y667" s="905"/>
      <c r="Z667" s="889">
        <v>7596585312</v>
      </c>
      <c r="AA667" s="889"/>
      <c r="AB667" s="892" t="s">
        <v>1811</v>
      </c>
      <c r="AC667" s="476" t="s">
        <v>3997</v>
      </c>
      <c r="AD667" s="645" t="str">
        <f>IF(P667="","",IF(P667&lt;=0,"en término","atrasado"))</f>
        <v>atrasado</v>
      </c>
      <c r="AE667" s="468" t="s">
        <v>3998</v>
      </c>
      <c r="AF667" s="468" t="s">
        <v>50</v>
      </c>
      <c r="AG667" s="656"/>
    </row>
    <row r="668" spans="2:33" s="649" customFormat="1" ht="54.95" customHeight="1" thickBot="1" x14ac:dyDescent="0.25">
      <c r="B668" s="1022" t="s">
        <v>78</v>
      </c>
      <c r="C668" s="1022" t="s">
        <v>79</v>
      </c>
      <c r="D668" s="901" t="s">
        <v>104</v>
      </c>
      <c r="E668" s="901" t="s">
        <v>105</v>
      </c>
      <c r="F668" s="913" t="s">
        <v>3999</v>
      </c>
      <c r="G668" s="889" t="s">
        <v>39</v>
      </c>
      <c r="H668" s="890">
        <v>149293.9</v>
      </c>
      <c r="I668" s="902"/>
      <c r="J668" s="892">
        <v>42979</v>
      </c>
      <c r="K668" s="893">
        <v>90</v>
      </c>
      <c r="L668" s="892">
        <v>43059</v>
      </c>
      <c r="M668" s="892" t="s">
        <v>83</v>
      </c>
      <c r="N668" s="889" t="s">
        <v>42</v>
      </c>
      <c r="O668" s="892">
        <v>43053</v>
      </c>
      <c r="P668" s="893">
        <f>IF(S668="","",+S668-L668)</f>
        <v>19</v>
      </c>
      <c r="Q668" s="901" t="s">
        <v>3995</v>
      </c>
      <c r="R668" s="903">
        <v>43063</v>
      </c>
      <c r="S668" s="904">
        <v>43078</v>
      </c>
      <c r="T668" s="894">
        <f>+S668+30</f>
        <v>43108</v>
      </c>
      <c r="U668" s="893">
        <f>IF(T668="","",+T668-J668)</f>
        <v>129</v>
      </c>
      <c r="V668" s="901" t="s">
        <v>106</v>
      </c>
      <c r="W668" s="897" t="s">
        <v>2227</v>
      </c>
      <c r="X668" s="889"/>
      <c r="Y668" s="905"/>
      <c r="Z668" s="889">
        <v>7596585312</v>
      </c>
      <c r="AA668" s="889"/>
      <c r="AB668" s="909" t="s">
        <v>4000</v>
      </c>
      <c r="AC668" s="476" t="s">
        <v>3997</v>
      </c>
      <c r="AD668" s="645" t="str">
        <f>IF(P668="","",IF(P668&lt;=0,"en término","atrasado"))</f>
        <v>atrasado</v>
      </c>
      <c r="AE668" s="468" t="s">
        <v>3998</v>
      </c>
      <c r="AF668" s="468" t="s">
        <v>50</v>
      </c>
      <c r="AG668" s="656"/>
    </row>
    <row r="670" spans="2:33" x14ac:dyDescent="0.2">
      <c r="H670" s="223"/>
    </row>
    <row r="673" spans="1:39" ht="12" thickBot="1" x14ac:dyDescent="0.25"/>
    <row r="674" spans="1:39" s="556" customFormat="1" ht="39.950000000000003" customHeight="1" thickBot="1" x14ac:dyDescent="0.4">
      <c r="B674" s="1611">
        <v>2018</v>
      </c>
      <c r="C674" s="1612"/>
      <c r="D674" s="1612"/>
      <c r="E674" s="1612"/>
      <c r="F674" s="1612"/>
      <c r="G674" s="1612"/>
      <c r="H674" s="1612"/>
      <c r="I674" s="1612"/>
      <c r="J674" s="1612"/>
      <c r="K674" s="1612"/>
      <c r="L674" s="1612"/>
      <c r="M674" s="1612"/>
      <c r="N674" s="1612"/>
      <c r="O674" s="1612"/>
      <c r="P674" s="1612"/>
      <c r="Q674" s="1612"/>
      <c r="R674" s="1612"/>
      <c r="S674" s="1612"/>
      <c r="T674" s="1612"/>
      <c r="U674" s="1612"/>
      <c r="V674" s="1612"/>
      <c r="W674" s="1612"/>
      <c r="X674" s="1612"/>
      <c r="Y674" s="1612"/>
      <c r="Z674" s="1612"/>
      <c r="AA674" s="1612"/>
      <c r="AB674" s="1612"/>
      <c r="AC674" s="1613"/>
      <c r="AD674" s="555"/>
    </row>
    <row r="675" spans="1:39" s="441" customFormat="1" ht="60" customHeight="1" thickBot="1" x14ac:dyDescent="0.25">
      <c r="A675" s="438"/>
      <c r="B675" s="451" t="s">
        <v>130</v>
      </c>
      <c r="C675" s="451" t="s">
        <v>4</v>
      </c>
      <c r="D675" s="451" t="s">
        <v>5</v>
      </c>
      <c r="E675" s="451" t="s">
        <v>6</v>
      </c>
      <c r="F675" s="451" t="s">
        <v>7</v>
      </c>
      <c r="G675" s="451" t="s">
        <v>8</v>
      </c>
      <c r="H675" s="453" t="s">
        <v>9</v>
      </c>
      <c r="I675" s="453" t="s">
        <v>10</v>
      </c>
      <c r="J675" s="451" t="s">
        <v>11</v>
      </c>
      <c r="K675" s="451" t="s">
        <v>12</v>
      </c>
      <c r="L675" s="451" t="s">
        <v>13</v>
      </c>
      <c r="M675" s="451" t="s">
        <v>14</v>
      </c>
      <c r="N675" s="451" t="s">
        <v>15</v>
      </c>
      <c r="O675" s="452" t="s">
        <v>16</v>
      </c>
      <c r="P675" s="454" t="s">
        <v>17</v>
      </c>
      <c r="Q675" s="451" t="s">
        <v>18</v>
      </c>
      <c r="R675" s="452" t="s">
        <v>19</v>
      </c>
      <c r="S675" s="451" t="s">
        <v>20</v>
      </c>
      <c r="T675" s="451" t="s">
        <v>21</v>
      </c>
      <c r="U675" s="452" t="s">
        <v>22</v>
      </c>
      <c r="V675" s="451" t="s">
        <v>131</v>
      </c>
      <c r="W675" s="451" t="s">
        <v>24</v>
      </c>
      <c r="X675" s="451" t="s">
        <v>132</v>
      </c>
      <c r="Y675" s="451" t="s">
        <v>26</v>
      </c>
      <c r="Z675" s="451" t="s">
        <v>27</v>
      </c>
      <c r="AA675" s="451" t="s">
        <v>28</v>
      </c>
      <c r="AB675" s="451" t="s">
        <v>29</v>
      </c>
      <c r="AC675" s="451" t="s">
        <v>30</v>
      </c>
      <c r="AD675" s="439"/>
      <c r="AE675" s="440"/>
      <c r="AF675" s="440"/>
      <c r="AG675" s="440"/>
      <c r="AH675" s="440"/>
      <c r="AI675" s="440"/>
      <c r="AJ675" s="440"/>
      <c r="AK675" s="440"/>
      <c r="AL675" s="440"/>
      <c r="AM675" s="440"/>
    </row>
    <row r="676" spans="1:39" s="649" customFormat="1" ht="54.95" customHeight="1" thickBot="1" x14ac:dyDescent="0.25">
      <c r="B676" s="1022" t="s">
        <v>78</v>
      </c>
      <c r="C676" s="1022" t="s">
        <v>79</v>
      </c>
      <c r="D676" s="901" t="s">
        <v>80</v>
      </c>
      <c r="E676" s="901" t="s">
        <v>81</v>
      </c>
      <c r="F676" s="913" t="s">
        <v>82</v>
      </c>
      <c r="G676" s="889" t="s">
        <v>39</v>
      </c>
      <c r="H676" s="890">
        <v>47618</v>
      </c>
      <c r="I676" s="902"/>
      <c r="J676" s="892">
        <v>43034</v>
      </c>
      <c r="K676" s="893">
        <v>90</v>
      </c>
      <c r="L676" s="892">
        <f>+J676+K676</f>
        <v>43124</v>
      </c>
      <c r="M676" s="892" t="s">
        <v>83</v>
      </c>
      <c r="N676" s="889" t="s">
        <v>42</v>
      </c>
      <c r="O676" s="892">
        <v>43105</v>
      </c>
      <c r="P676" s="893">
        <f>IF(S676="","",+S676-L676)</f>
        <v>-4</v>
      </c>
      <c r="Q676" s="901"/>
      <c r="R676" s="903">
        <v>43112</v>
      </c>
      <c r="S676" s="904">
        <v>43120</v>
      </c>
      <c r="T676" s="894">
        <f>+S676+30</f>
        <v>43150</v>
      </c>
      <c r="U676" s="893">
        <f>IF(T676="","",+T676-J676)</f>
        <v>116</v>
      </c>
      <c r="V676" s="901" t="s">
        <v>53</v>
      </c>
      <c r="W676" s="897" t="s">
        <v>84</v>
      </c>
      <c r="X676" s="889"/>
      <c r="Y676" s="905"/>
      <c r="Z676" s="889">
        <v>5141576554</v>
      </c>
      <c r="AA676" s="889"/>
      <c r="AB676" s="1025">
        <v>43194</v>
      </c>
      <c r="AC676" s="476" t="s">
        <v>85</v>
      </c>
      <c r="AD676" s="645" t="str">
        <f t="shared" ref="AD676:AD687" si="50">IF(P676="","",IF(P676&lt;=0,"en término","atrasado"))</f>
        <v>en término</v>
      </c>
      <c r="AE676" s="468" t="s">
        <v>86</v>
      </c>
      <c r="AF676" s="468" t="s">
        <v>87</v>
      </c>
      <c r="AG676" s="656"/>
    </row>
    <row r="677" spans="1:39" s="649" customFormat="1" ht="54.95" customHeight="1" thickBot="1" x14ac:dyDescent="0.25">
      <c r="B677" s="1022" t="s">
        <v>78</v>
      </c>
      <c r="C677" s="1022" t="s">
        <v>79</v>
      </c>
      <c r="D677" s="901" t="s">
        <v>88</v>
      </c>
      <c r="E677" s="901"/>
      <c r="F677" s="913" t="s">
        <v>89</v>
      </c>
      <c r="G677" s="889" t="s">
        <v>39</v>
      </c>
      <c r="H677" s="890">
        <v>40774</v>
      </c>
      <c r="I677" s="902"/>
      <c r="J677" s="892">
        <v>43034</v>
      </c>
      <c r="K677" s="893">
        <v>90</v>
      </c>
      <c r="L677" s="892">
        <f>+J677+K677</f>
        <v>43124</v>
      </c>
      <c r="M677" s="892" t="s">
        <v>83</v>
      </c>
      <c r="N677" s="889" t="s">
        <v>42</v>
      </c>
      <c r="O677" s="892">
        <v>43105</v>
      </c>
      <c r="P677" s="893">
        <f>IF(S677="","",+S677-L677)</f>
        <v>-4</v>
      </c>
      <c r="Q677" s="901"/>
      <c r="R677" s="903">
        <v>43112</v>
      </c>
      <c r="S677" s="904">
        <v>43120</v>
      </c>
      <c r="T677" s="894">
        <f>+S677+30</f>
        <v>43150</v>
      </c>
      <c r="U677" s="893">
        <f>IF(T677="","",+T677-J677)</f>
        <v>116</v>
      </c>
      <c r="V677" s="901" t="s">
        <v>53</v>
      </c>
      <c r="W677" s="897" t="s">
        <v>90</v>
      </c>
      <c r="X677" s="889"/>
      <c r="Y677" s="905"/>
      <c r="Z677" s="889">
        <v>5141576554</v>
      </c>
      <c r="AA677" s="889"/>
      <c r="AB677" s="1025">
        <v>43241</v>
      </c>
      <c r="AC677" s="476" t="s">
        <v>85</v>
      </c>
      <c r="AD677" s="645" t="str">
        <f t="shared" si="50"/>
        <v>en término</v>
      </c>
      <c r="AE677" s="468" t="s">
        <v>86</v>
      </c>
      <c r="AF677" s="468" t="s">
        <v>87</v>
      </c>
      <c r="AG677" s="656"/>
    </row>
    <row r="678" spans="1:39" s="649" customFormat="1" ht="54.95" customHeight="1" thickBot="1" x14ac:dyDescent="0.25">
      <c r="B678" s="1022" t="s">
        <v>78</v>
      </c>
      <c r="C678" s="1022" t="s">
        <v>79</v>
      </c>
      <c r="D678" s="901" t="s">
        <v>91</v>
      </c>
      <c r="E678" s="901"/>
      <c r="F678" s="913" t="s">
        <v>92</v>
      </c>
      <c r="G678" s="889" t="s">
        <v>39</v>
      </c>
      <c r="H678" s="890">
        <v>73359</v>
      </c>
      <c r="I678" s="902"/>
      <c r="J678" s="892">
        <v>43054</v>
      </c>
      <c r="K678" s="893">
        <v>90</v>
      </c>
      <c r="L678" s="892">
        <f>+J678+K678</f>
        <v>43144</v>
      </c>
      <c r="M678" s="892" t="s">
        <v>83</v>
      </c>
      <c r="N678" s="889" t="s">
        <v>42</v>
      </c>
      <c r="O678" s="892">
        <v>43116</v>
      </c>
      <c r="P678" s="893">
        <f>IF(S678="","",+S678-L678)</f>
        <v>-10</v>
      </c>
      <c r="Q678" s="901"/>
      <c r="R678" s="903">
        <v>43126</v>
      </c>
      <c r="S678" s="904">
        <v>43134</v>
      </c>
      <c r="T678" s="894">
        <f>+S678+30</f>
        <v>43164</v>
      </c>
      <c r="U678" s="893">
        <f>IF(T678="","",+T678-J678)</f>
        <v>110</v>
      </c>
      <c r="V678" s="901" t="s">
        <v>93</v>
      </c>
      <c r="W678" s="897" t="s">
        <v>94</v>
      </c>
      <c r="X678" s="889"/>
      <c r="Y678" s="905"/>
      <c r="Z678" s="895">
        <v>3151556100</v>
      </c>
      <c r="AA678" s="889"/>
      <c r="AB678" s="1025">
        <v>43194</v>
      </c>
      <c r="AC678" s="476" t="s">
        <v>95</v>
      </c>
      <c r="AD678" s="645" t="str">
        <f t="shared" si="50"/>
        <v>en término</v>
      </c>
      <c r="AE678" s="468" t="s">
        <v>96</v>
      </c>
      <c r="AF678" s="468" t="s">
        <v>87</v>
      </c>
      <c r="AG678" s="656"/>
    </row>
    <row r="679" spans="1:39" s="649" customFormat="1" ht="54.95" customHeight="1" thickBot="1" x14ac:dyDescent="0.25">
      <c r="B679" s="1022" t="s">
        <v>78</v>
      </c>
      <c r="C679" s="1022" t="s">
        <v>79</v>
      </c>
      <c r="D679" s="901" t="s">
        <v>97</v>
      </c>
      <c r="E679" s="901"/>
      <c r="F679" s="913" t="s">
        <v>98</v>
      </c>
      <c r="G679" s="889" t="s">
        <v>39</v>
      </c>
      <c r="H679" s="890">
        <v>85739</v>
      </c>
      <c r="I679" s="902"/>
      <c r="J679" s="892">
        <v>43087</v>
      </c>
      <c r="K679" s="893">
        <v>75</v>
      </c>
      <c r="L679" s="892">
        <f>+J679+K679</f>
        <v>43162</v>
      </c>
      <c r="M679" s="892" t="s">
        <v>83</v>
      </c>
      <c r="N679" s="889" t="s">
        <v>42</v>
      </c>
      <c r="O679" s="892">
        <v>43154</v>
      </c>
      <c r="P679" s="893">
        <f>IF(S679="","",+S679-L679)</f>
        <v>7</v>
      </c>
      <c r="Q679" s="901"/>
      <c r="R679" s="903">
        <v>43160</v>
      </c>
      <c r="S679" s="904">
        <v>43169</v>
      </c>
      <c r="T679" s="894">
        <f>+S679+30</f>
        <v>43199</v>
      </c>
      <c r="U679" s="893">
        <f>IF(T679="","",+T679-J679)</f>
        <v>112</v>
      </c>
      <c r="V679" s="901" t="s">
        <v>99</v>
      </c>
      <c r="W679" s="897" t="s">
        <v>100</v>
      </c>
      <c r="X679" s="889"/>
      <c r="Y679" s="905"/>
      <c r="Z679" s="889">
        <v>6724112986</v>
      </c>
      <c r="AA679" s="889"/>
      <c r="AB679" s="1025">
        <v>43241</v>
      </c>
      <c r="AC679" s="476" t="s">
        <v>101</v>
      </c>
      <c r="AD679" s="645" t="str">
        <f t="shared" si="50"/>
        <v>atrasado</v>
      </c>
      <c r="AE679" s="468" t="s">
        <v>102</v>
      </c>
      <c r="AF679" s="468" t="s">
        <v>103</v>
      </c>
      <c r="AG679" s="656"/>
    </row>
    <row r="680" spans="1:39" s="649" customFormat="1" ht="54.95" customHeight="1" thickBot="1" x14ac:dyDescent="0.25">
      <c r="B680" s="1022" t="s">
        <v>78</v>
      </c>
      <c r="C680" s="1022" t="s">
        <v>108</v>
      </c>
      <c r="D680" s="901" t="s">
        <v>109</v>
      </c>
      <c r="E680" s="901"/>
      <c r="F680" s="913">
        <v>63000015775</v>
      </c>
      <c r="G680" s="889" t="s">
        <v>39</v>
      </c>
      <c r="H680" s="890">
        <v>17750</v>
      </c>
      <c r="I680" s="902"/>
      <c r="J680" s="892">
        <v>43159</v>
      </c>
      <c r="K680" s="893">
        <f>+L680-J680</f>
        <v>68</v>
      </c>
      <c r="L680" s="892">
        <v>43227</v>
      </c>
      <c r="M680" s="892" t="s">
        <v>83</v>
      </c>
      <c r="N680" s="889" t="s">
        <v>110</v>
      </c>
      <c r="O680" s="892">
        <v>43210</v>
      </c>
      <c r="P680" s="893">
        <f t="shared" ref="P680:P687" si="51">IF(S680="","",+S680-L680)</f>
        <v>-10</v>
      </c>
      <c r="Q680" s="901" t="s">
        <v>6439</v>
      </c>
      <c r="R680" s="903">
        <v>43210</v>
      </c>
      <c r="S680" s="904">
        <v>43217</v>
      </c>
      <c r="T680" s="894">
        <v>43219</v>
      </c>
      <c r="U680" s="893">
        <f t="shared" ref="U680:U687" si="52">IF(T680="","",+T680-J680)</f>
        <v>60</v>
      </c>
      <c r="V680" s="901" t="s">
        <v>111</v>
      </c>
      <c r="W680" s="897" t="s">
        <v>2199</v>
      </c>
      <c r="X680" s="889"/>
      <c r="Y680" s="905"/>
      <c r="Z680" s="889">
        <v>2268608160</v>
      </c>
      <c r="AA680" s="889"/>
      <c r="AB680" s="1025" t="str">
        <f>IF(S680="","",IF($Z$1&lt;(S680+30),(S680+30),"VENCIDA"))</f>
        <v>VENCIDA</v>
      </c>
      <c r="AC680" s="476"/>
      <c r="AD680" s="645" t="str">
        <f t="shared" si="50"/>
        <v>en término</v>
      </c>
      <c r="AE680" s="468"/>
      <c r="AF680" s="468"/>
      <c r="AG680" s="656"/>
    </row>
    <row r="681" spans="1:39" s="649" customFormat="1" ht="54.95" customHeight="1" thickBot="1" x14ac:dyDescent="0.25">
      <c r="B681" s="1022" t="s">
        <v>78</v>
      </c>
      <c r="C681" s="1022" t="s">
        <v>79</v>
      </c>
      <c r="D681" s="901" t="s">
        <v>104</v>
      </c>
      <c r="E681" s="901" t="s">
        <v>105</v>
      </c>
      <c r="F681" s="913" t="s">
        <v>6525</v>
      </c>
      <c r="G681" s="889" t="s">
        <v>39</v>
      </c>
      <c r="H681" s="890">
        <v>394899.5</v>
      </c>
      <c r="I681" s="902"/>
      <c r="J681" s="892">
        <v>43147</v>
      </c>
      <c r="K681" s="893">
        <v>75</v>
      </c>
      <c r="L681" s="892">
        <f>+J681+K681</f>
        <v>43222</v>
      </c>
      <c r="M681" s="892" t="s">
        <v>83</v>
      </c>
      <c r="N681" s="889" t="s">
        <v>42</v>
      </c>
      <c r="O681" s="892">
        <v>43210</v>
      </c>
      <c r="P681" s="893">
        <f t="shared" si="51"/>
        <v>18</v>
      </c>
      <c r="Q681" s="901" t="s">
        <v>6526</v>
      </c>
      <c r="R681" s="903"/>
      <c r="S681" s="904">
        <v>43240</v>
      </c>
      <c r="T681" s="894">
        <f t="shared" ref="T681:T687" si="53">+S681+30</f>
        <v>43270</v>
      </c>
      <c r="U681" s="893">
        <f t="shared" si="52"/>
        <v>123</v>
      </c>
      <c r="V681" s="901" t="s">
        <v>106</v>
      </c>
      <c r="W681" s="897" t="s">
        <v>2219</v>
      </c>
      <c r="X681" s="889"/>
      <c r="Y681" s="905"/>
      <c r="Z681" s="889">
        <v>1759781365</v>
      </c>
      <c r="AA681" s="889"/>
      <c r="AB681" s="1025" t="s">
        <v>47</v>
      </c>
      <c r="AC681" s="476"/>
      <c r="AD681" s="645" t="str">
        <f>IF(P681="","",IF(P681&lt;=0,"en término","atrasado"))</f>
        <v>atrasado</v>
      </c>
      <c r="AE681" s="468"/>
      <c r="AF681" s="468"/>
      <c r="AG681" s="656"/>
    </row>
    <row r="682" spans="1:39" s="649" customFormat="1" ht="54.95" customHeight="1" thickBot="1" x14ac:dyDescent="0.25">
      <c r="B682" s="1022" t="s">
        <v>78</v>
      </c>
      <c r="C682" s="1022" t="s">
        <v>79</v>
      </c>
      <c r="D682" s="901" t="s">
        <v>6527</v>
      </c>
      <c r="E682" s="901"/>
      <c r="F682" s="913" t="s">
        <v>6528</v>
      </c>
      <c r="G682" s="889" t="s">
        <v>39</v>
      </c>
      <c r="H682" s="890">
        <v>54870</v>
      </c>
      <c r="I682" s="902"/>
      <c r="J682" s="892">
        <v>43129</v>
      </c>
      <c r="K682" s="893">
        <v>90</v>
      </c>
      <c r="L682" s="892">
        <f>+J682+K682</f>
        <v>43219</v>
      </c>
      <c r="M682" s="892" t="s">
        <v>83</v>
      </c>
      <c r="N682" s="889" t="s">
        <v>42</v>
      </c>
      <c r="O682" s="892">
        <v>43210</v>
      </c>
      <c r="P682" s="893">
        <f t="shared" si="51"/>
        <v>21</v>
      </c>
      <c r="Q682" s="901" t="s">
        <v>6526</v>
      </c>
      <c r="R682" s="903"/>
      <c r="S682" s="904">
        <v>43240</v>
      </c>
      <c r="T682" s="894">
        <f t="shared" si="53"/>
        <v>43270</v>
      </c>
      <c r="U682" s="893">
        <f t="shared" si="52"/>
        <v>141</v>
      </c>
      <c r="V682" s="901" t="s">
        <v>6449</v>
      </c>
      <c r="W682" s="897" t="s">
        <v>2208</v>
      </c>
      <c r="X682" s="889"/>
      <c r="Y682" s="905"/>
      <c r="Z682" s="889">
        <v>1759781365</v>
      </c>
      <c r="AA682" s="889"/>
      <c r="AB682" s="1025" t="s">
        <v>6516</v>
      </c>
      <c r="AC682" s="476"/>
      <c r="AD682" s="645" t="str">
        <f>IF(P682="","",IF(P682&lt;=0,"en término","atrasado"))</f>
        <v>atrasado</v>
      </c>
      <c r="AE682" s="468"/>
      <c r="AF682" s="468"/>
      <c r="AG682" s="656"/>
    </row>
    <row r="683" spans="1:39" s="649" customFormat="1" ht="54.95" customHeight="1" thickBot="1" x14ac:dyDescent="0.25">
      <c r="B683" s="1022" t="s">
        <v>78</v>
      </c>
      <c r="C683" s="1022" t="s">
        <v>79</v>
      </c>
      <c r="D683" s="901" t="s">
        <v>6529</v>
      </c>
      <c r="E683" s="901"/>
      <c r="F683" s="913" t="s">
        <v>6530</v>
      </c>
      <c r="G683" s="889" t="s">
        <v>39</v>
      </c>
      <c r="H683" s="890">
        <v>80845</v>
      </c>
      <c r="I683" s="902"/>
      <c r="J683" s="892">
        <v>43123</v>
      </c>
      <c r="K683" s="893">
        <v>90</v>
      </c>
      <c r="L683" s="892">
        <f>+J683+K683</f>
        <v>43213</v>
      </c>
      <c r="M683" s="892" t="s">
        <v>83</v>
      </c>
      <c r="N683" s="889" t="s">
        <v>42</v>
      </c>
      <c r="O683" s="892">
        <v>43210</v>
      </c>
      <c r="P683" s="893">
        <f t="shared" si="51"/>
        <v>27</v>
      </c>
      <c r="Q683" s="901" t="s">
        <v>6526</v>
      </c>
      <c r="R683" s="903"/>
      <c r="S683" s="904">
        <v>43240</v>
      </c>
      <c r="T683" s="894">
        <f t="shared" si="53"/>
        <v>43270</v>
      </c>
      <c r="U683" s="893">
        <f t="shared" si="52"/>
        <v>147</v>
      </c>
      <c r="V683" s="901" t="s">
        <v>6449</v>
      </c>
      <c r="W683" s="897" t="s">
        <v>2582</v>
      </c>
      <c r="X683" s="889"/>
      <c r="Y683" s="905"/>
      <c r="Z683" s="889">
        <v>1759781365</v>
      </c>
      <c r="AA683" s="889"/>
      <c r="AB683" s="1025" t="s">
        <v>6516</v>
      </c>
      <c r="AC683" s="476"/>
      <c r="AD683" s="645" t="str">
        <f>IF(P683="","",IF(P683&lt;=0,"en término","atrasado"))</f>
        <v>atrasado</v>
      </c>
      <c r="AE683" s="468"/>
      <c r="AF683" s="468"/>
      <c r="AG683" s="656"/>
    </row>
    <row r="684" spans="1:39" s="649" customFormat="1" ht="54.95" customHeight="1" thickBot="1" x14ac:dyDescent="0.25">
      <c r="B684" s="1022" t="s">
        <v>78</v>
      </c>
      <c r="C684" s="1022" t="s">
        <v>108</v>
      </c>
      <c r="D684" s="901" t="s">
        <v>112</v>
      </c>
      <c r="E684" s="901"/>
      <c r="F684" s="913">
        <v>63000015850</v>
      </c>
      <c r="G684" s="889" t="s">
        <v>39</v>
      </c>
      <c r="H684" s="890">
        <v>59500</v>
      </c>
      <c r="I684" s="902"/>
      <c r="J684" s="892">
        <v>43171</v>
      </c>
      <c r="K684" s="893">
        <f>+L684-J684</f>
        <v>133</v>
      </c>
      <c r="L684" s="892">
        <v>43304</v>
      </c>
      <c r="M684" s="892" t="s">
        <v>83</v>
      </c>
      <c r="N684" s="889" t="s">
        <v>110</v>
      </c>
      <c r="O684" s="892">
        <v>43294</v>
      </c>
      <c r="P684" s="893">
        <f>IF(S684="","",+S684-L684)</f>
        <v>0</v>
      </c>
      <c r="Q684" s="901" t="s">
        <v>6518</v>
      </c>
      <c r="R684" s="903"/>
      <c r="S684" s="904">
        <v>43304</v>
      </c>
      <c r="T684" s="894">
        <f>+S684+5</f>
        <v>43309</v>
      </c>
      <c r="U684" s="893">
        <f>IF(T684="","",+T684-J684)</f>
        <v>138</v>
      </c>
      <c r="V684" s="901" t="s">
        <v>113</v>
      </c>
      <c r="W684" s="897" t="s">
        <v>2447</v>
      </c>
      <c r="X684" s="889"/>
      <c r="Y684" s="905"/>
      <c r="Z684" s="889">
        <v>2762537503</v>
      </c>
      <c r="AA684" s="889"/>
      <c r="AB684" s="892" t="s">
        <v>6555</v>
      </c>
      <c r="AC684" s="476"/>
      <c r="AE684" s="645" t="str">
        <f>IF(P684="","",IF(P684&lt;=0,"en término","atrasado"))</f>
        <v>en término</v>
      </c>
      <c r="AF684" s="468"/>
      <c r="AG684" s="468"/>
      <c r="AH684" s="468"/>
    </row>
    <row r="685" spans="1:39" s="649" customFormat="1" ht="54.95" customHeight="1" thickBot="1" x14ac:dyDescent="0.25">
      <c r="B685" s="1022" t="s">
        <v>78</v>
      </c>
      <c r="C685" s="1022" t="s">
        <v>79</v>
      </c>
      <c r="D685" s="901" t="s">
        <v>104</v>
      </c>
      <c r="E685" s="901" t="s">
        <v>105</v>
      </c>
      <c r="F685" s="913" t="s">
        <v>107</v>
      </c>
      <c r="G685" s="889" t="s">
        <v>39</v>
      </c>
      <c r="H685" s="890">
        <v>146630.6</v>
      </c>
      <c r="I685" s="902"/>
      <c r="J685" s="892">
        <v>43146</v>
      </c>
      <c r="K685" s="893">
        <v>150</v>
      </c>
      <c r="L685" s="892">
        <f>+J685+K685</f>
        <v>43296</v>
      </c>
      <c r="M685" s="892" t="s">
        <v>83</v>
      </c>
      <c r="N685" s="889" t="s">
        <v>42</v>
      </c>
      <c r="O685" s="892">
        <v>43308</v>
      </c>
      <c r="P685" s="893">
        <f t="shared" si="51"/>
        <v>27</v>
      </c>
      <c r="Q685" s="901" t="s">
        <v>6514</v>
      </c>
      <c r="R685" s="903"/>
      <c r="S685" s="904">
        <v>43323</v>
      </c>
      <c r="T685" s="894">
        <f t="shared" si="53"/>
        <v>43353</v>
      </c>
      <c r="U685" s="893">
        <f t="shared" si="52"/>
        <v>207</v>
      </c>
      <c r="V685" s="901" t="s">
        <v>106</v>
      </c>
      <c r="W685" s="897" t="s">
        <v>2436</v>
      </c>
      <c r="X685" s="889"/>
      <c r="Y685" s="905"/>
      <c r="Z685" s="889">
        <v>2151841193</v>
      </c>
      <c r="AA685" s="889"/>
      <c r="AB685" s="1025" t="s">
        <v>6515</v>
      </c>
      <c r="AC685" s="476"/>
      <c r="AD685" s="645" t="str">
        <f t="shared" si="50"/>
        <v>atrasado</v>
      </c>
      <c r="AE685" s="468"/>
      <c r="AF685" s="468"/>
      <c r="AG685" s="656"/>
    </row>
    <row r="686" spans="1:39" s="649" customFormat="1" ht="54.95" customHeight="1" thickBot="1" x14ac:dyDescent="0.25">
      <c r="B686" s="1022" t="s">
        <v>78</v>
      </c>
      <c r="C686" s="1022" t="s">
        <v>79</v>
      </c>
      <c r="D686" s="901" t="s">
        <v>6442</v>
      </c>
      <c r="E686" s="901"/>
      <c r="F686" s="913" t="s">
        <v>6443</v>
      </c>
      <c r="G686" s="889" t="s">
        <v>39</v>
      </c>
      <c r="H686" s="890">
        <v>10742</v>
      </c>
      <c r="I686" s="902"/>
      <c r="J686" s="892">
        <v>43256</v>
      </c>
      <c r="K686" s="893">
        <f>+L686-J686</f>
        <v>48</v>
      </c>
      <c r="L686" s="892">
        <v>43304</v>
      </c>
      <c r="M686" s="892" t="s">
        <v>83</v>
      </c>
      <c r="N686" s="889" t="s">
        <v>42</v>
      </c>
      <c r="O686" s="892">
        <v>43308</v>
      </c>
      <c r="P686" s="893">
        <f t="shared" si="51"/>
        <v>19</v>
      </c>
      <c r="Q686" s="901" t="s">
        <v>6514</v>
      </c>
      <c r="R686" s="903"/>
      <c r="S686" s="904">
        <v>43323</v>
      </c>
      <c r="T686" s="894">
        <f t="shared" si="53"/>
        <v>43353</v>
      </c>
      <c r="U686" s="893">
        <f t="shared" si="52"/>
        <v>97</v>
      </c>
      <c r="V686" s="901" t="s">
        <v>6449</v>
      </c>
      <c r="W686" s="897" t="s">
        <v>2437</v>
      </c>
      <c r="X686" s="889"/>
      <c r="Y686" s="905"/>
      <c r="Z686" s="889">
        <v>2151841193</v>
      </c>
      <c r="AA686" s="889"/>
      <c r="AB686" s="1025" t="s">
        <v>6516</v>
      </c>
      <c r="AC686" s="476"/>
      <c r="AD686" s="645" t="str">
        <f t="shared" si="50"/>
        <v>atrasado</v>
      </c>
      <c r="AE686" s="468"/>
      <c r="AF686" s="468"/>
      <c r="AG686" s="656"/>
    </row>
    <row r="687" spans="1:39" s="649" customFormat="1" ht="54.95" customHeight="1" thickBot="1" x14ac:dyDescent="0.25">
      <c r="B687" s="1022" t="s">
        <v>78</v>
      </c>
      <c r="C687" s="1022" t="s">
        <v>79</v>
      </c>
      <c r="D687" s="901" t="s">
        <v>6517</v>
      </c>
      <c r="E687" s="901"/>
      <c r="F687" s="913" t="s">
        <v>6425</v>
      </c>
      <c r="G687" s="889" t="s">
        <v>39</v>
      </c>
      <c r="H687" s="890">
        <v>14870</v>
      </c>
      <c r="I687" s="902"/>
      <c r="J687" s="892">
        <v>43243</v>
      </c>
      <c r="K687" s="893">
        <f>+L687-J687</f>
        <v>61</v>
      </c>
      <c r="L687" s="892">
        <v>43304</v>
      </c>
      <c r="M687" s="892" t="s">
        <v>83</v>
      </c>
      <c r="N687" s="889" t="s">
        <v>42</v>
      </c>
      <c r="O687" s="892">
        <v>43308</v>
      </c>
      <c r="P687" s="893">
        <f t="shared" si="51"/>
        <v>19</v>
      </c>
      <c r="Q687" s="901" t="s">
        <v>6514</v>
      </c>
      <c r="R687" s="903"/>
      <c r="S687" s="904">
        <v>43323</v>
      </c>
      <c r="T687" s="894">
        <f t="shared" si="53"/>
        <v>43353</v>
      </c>
      <c r="U687" s="893">
        <f t="shared" si="52"/>
        <v>110</v>
      </c>
      <c r="V687" s="901" t="s">
        <v>6426</v>
      </c>
      <c r="W687" s="897" t="s">
        <v>2434</v>
      </c>
      <c r="X687" s="889"/>
      <c r="Y687" s="905"/>
      <c r="Z687" s="889">
        <v>2151841193</v>
      </c>
      <c r="AA687" s="889"/>
      <c r="AB687" s="1025" t="s">
        <v>6516</v>
      </c>
      <c r="AC687" s="476"/>
      <c r="AD687" s="645" t="str">
        <f t="shared" si="50"/>
        <v>atrasado</v>
      </c>
      <c r="AE687" s="468"/>
      <c r="AF687" s="468"/>
      <c r="AG687" s="656"/>
    </row>
    <row r="688" spans="1:39" s="649" customFormat="1" ht="54.95" customHeight="1" thickBot="1" x14ac:dyDescent="0.25">
      <c r="B688" s="1022" t="s">
        <v>78</v>
      </c>
      <c r="C688" s="1022" t="s">
        <v>79</v>
      </c>
      <c r="D688" s="901" t="s">
        <v>6445</v>
      </c>
      <c r="E688" s="901" t="s">
        <v>6510</v>
      </c>
      <c r="F688" s="913" t="s">
        <v>6446</v>
      </c>
      <c r="G688" s="889" t="s">
        <v>39</v>
      </c>
      <c r="H688" s="890">
        <v>195169.22</v>
      </c>
      <c r="I688" s="902"/>
      <c r="J688" s="892">
        <v>43269</v>
      </c>
      <c r="K688" s="893">
        <f>+L688-J688</f>
        <v>100</v>
      </c>
      <c r="L688" s="892">
        <v>43369</v>
      </c>
      <c r="M688" s="892" t="s">
        <v>83</v>
      </c>
      <c r="N688" s="889" t="s">
        <v>42</v>
      </c>
      <c r="O688" s="892">
        <v>43377</v>
      </c>
      <c r="P688" s="893">
        <f t="shared" ref="P688:P693" si="54">IF(S688="","",+S688-L688)</f>
        <v>31</v>
      </c>
      <c r="Q688" s="901"/>
      <c r="R688" s="903">
        <v>43382</v>
      </c>
      <c r="S688" s="904">
        <v>43400</v>
      </c>
      <c r="T688" s="894">
        <f>+S688+30</f>
        <v>43430</v>
      </c>
      <c r="U688" s="893">
        <f t="shared" ref="U688:U693" si="55">IF(T688="","",+T688-J688)</f>
        <v>161</v>
      </c>
      <c r="V688" s="901" t="s">
        <v>6449</v>
      </c>
      <c r="W688" s="897" t="s">
        <v>2237</v>
      </c>
      <c r="X688" s="889"/>
      <c r="Y688" s="905"/>
      <c r="Z688" s="889">
        <v>4224421655</v>
      </c>
      <c r="AA688" s="889"/>
      <c r="AB688" s="892" t="s">
        <v>2851</v>
      </c>
      <c r="AC688" s="476" t="s">
        <v>6534</v>
      </c>
      <c r="AD688" s="645" t="str">
        <f t="shared" ref="AD688:AD693" si="56">IF(P688="","",IF(P688&lt;=0,"en término","atrasado"))</f>
        <v>atrasado</v>
      </c>
      <c r="AE688" s="468" t="s">
        <v>6531</v>
      </c>
      <c r="AF688" s="501">
        <v>43384</v>
      </c>
      <c r="AG688" s="1646" t="s">
        <v>29</v>
      </c>
      <c r="AH688" s="1647"/>
      <c r="AI688" s="1647"/>
    </row>
    <row r="689" spans="1:39" s="649" customFormat="1" ht="54.95" customHeight="1" thickBot="1" x14ac:dyDescent="0.25">
      <c r="B689" s="1022" t="s">
        <v>78</v>
      </c>
      <c r="C689" s="1022" t="s">
        <v>79</v>
      </c>
      <c r="D689" s="901" t="s">
        <v>6513</v>
      </c>
      <c r="E689" s="901" t="s">
        <v>6510</v>
      </c>
      <c r="F689" s="913" t="s">
        <v>6448</v>
      </c>
      <c r="G689" s="889" t="s">
        <v>39</v>
      </c>
      <c r="H689" s="890">
        <v>294486.87</v>
      </c>
      <c r="I689" s="902"/>
      <c r="J689" s="892">
        <v>43273</v>
      </c>
      <c r="K689" s="893">
        <f>+L689-J689</f>
        <v>100</v>
      </c>
      <c r="L689" s="892">
        <v>43373</v>
      </c>
      <c r="M689" s="892" t="s">
        <v>83</v>
      </c>
      <c r="N689" s="889" t="s">
        <v>42</v>
      </c>
      <c r="O689" s="892">
        <v>43399</v>
      </c>
      <c r="P689" s="893">
        <f t="shared" si="54"/>
        <v>41</v>
      </c>
      <c r="Q689" s="901"/>
      <c r="R689" s="903">
        <v>43406</v>
      </c>
      <c r="S689" s="904">
        <v>43414</v>
      </c>
      <c r="T689" s="894">
        <f>+S689+30</f>
        <v>43444</v>
      </c>
      <c r="U689" s="893">
        <f t="shared" si="55"/>
        <v>171</v>
      </c>
      <c r="V689" s="901" t="s">
        <v>6449</v>
      </c>
      <c r="W689" s="897" t="s">
        <v>2227</v>
      </c>
      <c r="X689" s="889"/>
      <c r="Y689" s="905"/>
      <c r="Z689" s="889">
        <v>2409236351</v>
      </c>
      <c r="AA689" s="889"/>
      <c r="AB689" s="888">
        <v>43475</v>
      </c>
      <c r="AC689" s="476" t="s">
        <v>3981</v>
      </c>
      <c r="AD689" s="645" t="str">
        <f>IF(P689="","",IF(P689&lt;=0,"en término","atrasado"))</f>
        <v>atrasado</v>
      </c>
      <c r="AE689" s="468"/>
      <c r="AF689" s="468"/>
      <c r="AG689" s="1101">
        <f>+S689+60</f>
        <v>43474</v>
      </c>
      <c r="AH689" s="649">
        <f>IF(AB689="","",+AB689-AG689)</f>
        <v>1</v>
      </c>
      <c r="AI689" s="649" t="str">
        <f>IF(AH689="","",IF(AH689&lt;=0,"en término","atrasado"))</f>
        <v>atrasado</v>
      </c>
    </row>
    <row r="690" spans="1:39" s="649" customFormat="1" ht="54.95" customHeight="1" thickBot="1" x14ac:dyDescent="0.25">
      <c r="B690" s="1022" t="s">
        <v>78</v>
      </c>
      <c r="C690" s="1022" t="s">
        <v>79</v>
      </c>
      <c r="D690" s="901" t="s">
        <v>6512</v>
      </c>
      <c r="E690" s="901" t="s">
        <v>6510</v>
      </c>
      <c r="F690" s="913" t="s">
        <v>6450</v>
      </c>
      <c r="G690" s="889" t="s">
        <v>39</v>
      </c>
      <c r="H690" s="890">
        <v>20494</v>
      </c>
      <c r="I690" s="902"/>
      <c r="J690" s="892">
        <v>43333</v>
      </c>
      <c r="K690" s="893">
        <f>+L690-J690</f>
        <v>40</v>
      </c>
      <c r="L690" s="892">
        <v>43373</v>
      </c>
      <c r="M690" s="892" t="s">
        <v>83</v>
      </c>
      <c r="N690" s="889" t="s">
        <v>42</v>
      </c>
      <c r="O690" s="892">
        <v>43399</v>
      </c>
      <c r="P690" s="893">
        <f t="shared" si="54"/>
        <v>41</v>
      </c>
      <c r="Q690" s="901"/>
      <c r="R690" s="903">
        <v>43406</v>
      </c>
      <c r="S690" s="904">
        <v>43414</v>
      </c>
      <c r="T690" s="894">
        <f>+S690+30</f>
        <v>43444</v>
      </c>
      <c r="U690" s="893">
        <f t="shared" si="55"/>
        <v>111</v>
      </c>
      <c r="V690" s="901" t="s">
        <v>6449</v>
      </c>
      <c r="W690" s="897" t="s">
        <v>2247</v>
      </c>
      <c r="X690" s="889"/>
      <c r="Y690" s="905"/>
      <c r="Z690" s="889">
        <v>2409236351</v>
      </c>
      <c r="AA690" s="889"/>
      <c r="AB690" s="888">
        <v>43475</v>
      </c>
      <c r="AC690" s="476" t="s">
        <v>3981</v>
      </c>
      <c r="AD690" s="645" t="str">
        <f t="shared" si="56"/>
        <v>atrasado</v>
      </c>
      <c r="AE690" s="468"/>
      <c r="AF690" s="468"/>
      <c r="AG690" s="1101">
        <f>+S690+60</f>
        <v>43474</v>
      </c>
      <c r="AH690" s="649">
        <f>IF(AB690="","",+AB690-AG690)</f>
        <v>1</v>
      </c>
      <c r="AI690" s="649" t="str">
        <f>IF(AH690="","",IF(AH690&lt;=0,"en término","atrasado"))</f>
        <v>atrasado</v>
      </c>
    </row>
    <row r="691" spans="1:39" s="649" customFormat="1" ht="54.95" customHeight="1" thickBot="1" x14ac:dyDescent="0.25">
      <c r="B691" s="1022" t="s">
        <v>78</v>
      </c>
      <c r="C691" s="1022" t="s">
        <v>79</v>
      </c>
      <c r="D691" s="901" t="s">
        <v>6588</v>
      </c>
      <c r="E691" s="901" t="s">
        <v>6538</v>
      </c>
      <c r="F691" s="913" t="s">
        <v>6583</v>
      </c>
      <c r="G691" s="889" t="s">
        <v>39</v>
      </c>
      <c r="H691" s="890">
        <v>3560</v>
      </c>
      <c r="I691" s="902"/>
      <c r="J691" s="892">
        <v>43448</v>
      </c>
      <c r="K691" s="893">
        <v>15</v>
      </c>
      <c r="L691" s="892">
        <f>+J691+K691</f>
        <v>43463</v>
      </c>
      <c r="M691" s="892" t="s">
        <v>83</v>
      </c>
      <c r="N691" s="889" t="s">
        <v>465</v>
      </c>
      <c r="O691" s="892">
        <v>43454</v>
      </c>
      <c r="P691" s="893">
        <f t="shared" si="54"/>
        <v>4</v>
      </c>
      <c r="Q691" s="901" t="s">
        <v>465</v>
      </c>
      <c r="R691" s="903"/>
      <c r="S691" s="904">
        <v>43467</v>
      </c>
      <c r="T691" s="894">
        <f>+S691+5</f>
        <v>43472</v>
      </c>
      <c r="U691" s="893">
        <f t="shared" si="55"/>
        <v>24</v>
      </c>
      <c r="V691" s="901" t="s">
        <v>6581</v>
      </c>
      <c r="W691" s="897" t="s">
        <v>2257</v>
      </c>
      <c r="X691" s="889"/>
      <c r="Y691" s="905"/>
      <c r="Z691" s="889" t="s">
        <v>6594</v>
      </c>
      <c r="AA691" s="889"/>
      <c r="AB691" s="888">
        <v>43486</v>
      </c>
      <c r="AC691" s="476"/>
      <c r="AD691" s="645" t="str">
        <f t="shared" si="56"/>
        <v>atrasado</v>
      </c>
      <c r="AE691" s="468" t="s">
        <v>6603</v>
      </c>
      <c r="AF691" s="468" t="s">
        <v>2968</v>
      </c>
      <c r="AG691" s="1101">
        <f>+S691+60</f>
        <v>43527</v>
      </c>
      <c r="AH691" s="649">
        <f>IF(AB691="","",+AB691-AG691)</f>
        <v>-41</v>
      </c>
      <c r="AI691" s="649" t="str">
        <f>IF(AH691="","",IF(AH691&lt;=0,"en término","atrasado"))</f>
        <v>en término</v>
      </c>
    </row>
    <row r="692" spans="1:39" s="649" customFormat="1" ht="54.95" customHeight="1" thickBot="1" x14ac:dyDescent="0.25">
      <c r="B692" s="1022" t="s">
        <v>78</v>
      </c>
      <c r="C692" s="1022" t="s">
        <v>79</v>
      </c>
      <c r="D692" s="901" t="s">
        <v>6511</v>
      </c>
      <c r="E692" s="901">
        <v>63000016929</v>
      </c>
      <c r="F692" s="913" t="s">
        <v>6467</v>
      </c>
      <c r="G692" s="889" t="s">
        <v>39</v>
      </c>
      <c r="H692" s="890">
        <v>153448.5</v>
      </c>
      <c r="I692" s="902"/>
      <c r="J692" s="892">
        <v>43364</v>
      </c>
      <c r="K692" s="893">
        <f>+L692-J692</f>
        <v>91</v>
      </c>
      <c r="L692" s="892">
        <v>43455</v>
      </c>
      <c r="M692" s="892" t="s">
        <v>83</v>
      </c>
      <c r="N692" s="889" t="s">
        <v>42</v>
      </c>
      <c r="O692" s="892">
        <v>43454</v>
      </c>
      <c r="P692" s="893">
        <f t="shared" si="54"/>
        <v>24</v>
      </c>
      <c r="Q692" s="901" t="s">
        <v>6605</v>
      </c>
      <c r="R692" s="903">
        <v>43468</v>
      </c>
      <c r="S692" s="904">
        <v>43479</v>
      </c>
      <c r="T692" s="894">
        <v>43502</v>
      </c>
      <c r="U692" s="893">
        <f t="shared" si="55"/>
        <v>138</v>
      </c>
      <c r="V692" s="901" t="s">
        <v>6578</v>
      </c>
      <c r="W692" s="897" t="s">
        <v>57</v>
      </c>
      <c r="X692" s="889"/>
      <c r="Y692" s="905"/>
      <c r="Z692" s="892">
        <v>43483</v>
      </c>
      <c r="AA692" s="889"/>
      <c r="AB692" s="888">
        <v>43522</v>
      </c>
      <c r="AC692" s="476" t="s">
        <v>6559</v>
      </c>
      <c r="AD692" s="645" t="str">
        <f t="shared" si="56"/>
        <v>atrasado</v>
      </c>
      <c r="AE692" s="468" t="s">
        <v>6604</v>
      </c>
      <c r="AF692" s="468" t="s">
        <v>2968</v>
      </c>
      <c r="AG692" s="1101">
        <f>+S692+60</f>
        <v>43539</v>
      </c>
      <c r="AH692" s="649">
        <f>IF(AB692="","",+AB692-AG692)</f>
        <v>-17</v>
      </c>
      <c r="AI692" s="649" t="str">
        <f>IF(AH692="","",IF(AH692&lt;=0,"en término","atrasado"))</f>
        <v>en término</v>
      </c>
    </row>
    <row r="693" spans="1:39" s="649" customFormat="1" ht="54.95" customHeight="1" thickBot="1" x14ac:dyDescent="0.25">
      <c r="B693" s="1022" t="s">
        <v>78</v>
      </c>
      <c r="C693" s="1022" t="s">
        <v>79</v>
      </c>
      <c r="D693" s="901" t="s">
        <v>3896</v>
      </c>
      <c r="E693" s="901" t="s">
        <v>6538</v>
      </c>
      <c r="F693" s="913" t="s">
        <v>6539</v>
      </c>
      <c r="G693" s="889" t="s">
        <v>39</v>
      </c>
      <c r="H693" s="890">
        <v>15623.2</v>
      </c>
      <c r="I693" s="902"/>
      <c r="J693" s="892">
        <v>43402</v>
      </c>
      <c r="K693" s="893">
        <v>60</v>
      </c>
      <c r="L693" s="892">
        <f>+J693+K693</f>
        <v>43462</v>
      </c>
      <c r="M693" s="892" t="s">
        <v>83</v>
      </c>
      <c r="N693" s="889" t="s">
        <v>42</v>
      </c>
      <c r="O693" s="892">
        <v>43454</v>
      </c>
      <c r="P693" s="893">
        <f t="shared" si="54"/>
        <v>17</v>
      </c>
      <c r="Q693" s="901" t="s">
        <v>6605</v>
      </c>
      <c r="R693" s="903">
        <v>43468</v>
      </c>
      <c r="S693" s="904">
        <v>43479</v>
      </c>
      <c r="T693" s="894">
        <v>43502</v>
      </c>
      <c r="U693" s="893">
        <f t="shared" si="55"/>
        <v>100</v>
      </c>
      <c r="V693" s="901" t="s">
        <v>6579</v>
      </c>
      <c r="W693" s="897" t="s">
        <v>2792</v>
      </c>
      <c r="X693" s="889"/>
      <c r="Y693" s="905"/>
      <c r="Z693" s="892">
        <v>43483</v>
      </c>
      <c r="AA693" s="889"/>
      <c r="AB693" s="888">
        <v>43522</v>
      </c>
      <c r="AC693" s="476" t="s">
        <v>6559</v>
      </c>
      <c r="AD693" s="645" t="str">
        <f t="shared" si="56"/>
        <v>atrasado</v>
      </c>
      <c r="AE693" s="468" t="s">
        <v>6604</v>
      </c>
      <c r="AF693" s="468" t="s">
        <v>2968</v>
      </c>
      <c r="AG693" s="1101">
        <f>+S693+60</f>
        <v>43539</v>
      </c>
      <c r="AH693" s="649">
        <f>IF(AB693="","",+AB693-AG693)</f>
        <v>-17</v>
      </c>
      <c r="AI693" s="649" t="str">
        <f>IF(AH693="","",IF(AH693&lt;=0,"en término","atrasado"))</f>
        <v>en término</v>
      </c>
    </row>
    <row r="697" spans="1:39" ht="12" thickBot="1" x14ac:dyDescent="0.25"/>
    <row r="698" spans="1:39" s="556" customFormat="1" ht="39.950000000000003" customHeight="1" thickBot="1" x14ac:dyDescent="0.4">
      <c r="B698" s="1611">
        <v>2019</v>
      </c>
      <c r="C698" s="1612"/>
      <c r="D698" s="1612"/>
      <c r="E698" s="1612"/>
      <c r="F698" s="1612"/>
      <c r="G698" s="1612"/>
      <c r="H698" s="1612"/>
      <c r="I698" s="1612"/>
      <c r="J698" s="1612"/>
      <c r="K698" s="1612"/>
      <c r="L698" s="1612"/>
      <c r="M698" s="1612"/>
      <c r="N698" s="1612"/>
      <c r="O698" s="1612"/>
      <c r="P698" s="1612"/>
      <c r="Q698" s="1612"/>
      <c r="R698" s="1612"/>
      <c r="S698" s="1612"/>
      <c r="T698" s="1612"/>
      <c r="U698" s="1612"/>
      <c r="V698" s="1612"/>
      <c r="W698" s="1612"/>
      <c r="X698" s="1612"/>
      <c r="Y698" s="1612"/>
      <c r="Z698" s="1612"/>
      <c r="AA698" s="1612"/>
      <c r="AB698" s="1612"/>
      <c r="AC698" s="1613"/>
      <c r="AD698" s="555"/>
    </row>
    <row r="699" spans="1:39" s="441" customFormat="1" ht="60" customHeight="1" thickBot="1" x14ac:dyDescent="0.25">
      <c r="A699" s="438"/>
      <c r="B699" s="451" t="s">
        <v>130</v>
      </c>
      <c r="C699" s="451" t="s">
        <v>4</v>
      </c>
      <c r="D699" s="451" t="s">
        <v>5</v>
      </c>
      <c r="E699" s="451" t="s">
        <v>6</v>
      </c>
      <c r="F699" s="451" t="s">
        <v>7</v>
      </c>
      <c r="G699" s="451" t="s">
        <v>8</v>
      </c>
      <c r="H699" s="453" t="s">
        <v>9</v>
      </c>
      <c r="I699" s="453" t="s">
        <v>10</v>
      </c>
      <c r="J699" s="451" t="s">
        <v>11</v>
      </c>
      <c r="K699" s="451" t="s">
        <v>12</v>
      </c>
      <c r="L699" s="451" t="s">
        <v>13</v>
      </c>
      <c r="M699" s="451" t="s">
        <v>14</v>
      </c>
      <c r="N699" s="451" t="s">
        <v>15</v>
      </c>
      <c r="O699" s="452" t="s">
        <v>16</v>
      </c>
      <c r="P699" s="454" t="s">
        <v>17</v>
      </c>
      <c r="Q699" s="451" t="s">
        <v>18</v>
      </c>
      <c r="R699" s="452" t="s">
        <v>19</v>
      </c>
      <c r="S699" s="451" t="s">
        <v>20</v>
      </c>
      <c r="T699" s="451" t="s">
        <v>21</v>
      </c>
      <c r="U699" s="452" t="s">
        <v>22</v>
      </c>
      <c r="V699" s="451" t="s">
        <v>131</v>
      </c>
      <c r="W699" s="451" t="s">
        <v>24</v>
      </c>
      <c r="X699" s="451" t="s">
        <v>132</v>
      </c>
      <c r="Y699" s="451" t="s">
        <v>26</v>
      </c>
      <c r="Z699" s="451" t="s">
        <v>27</v>
      </c>
      <c r="AA699" s="451" t="s">
        <v>28</v>
      </c>
      <c r="AB699" s="451" t="s">
        <v>29</v>
      </c>
      <c r="AC699" s="451" t="s">
        <v>30</v>
      </c>
      <c r="AD699" s="439"/>
      <c r="AE699" s="440"/>
      <c r="AF699" s="440"/>
      <c r="AG699" s="440"/>
      <c r="AH699" s="440"/>
      <c r="AI699" s="440"/>
      <c r="AJ699" s="440"/>
      <c r="AK699" s="440"/>
      <c r="AL699" s="440"/>
      <c r="AM699" s="440"/>
    </row>
    <row r="700" spans="1:39" s="649" customFormat="1" ht="54.95" customHeight="1" thickBot="1" x14ac:dyDescent="0.25">
      <c r="B700" s="1022" t="s">
        <v>78</v>
      </c>
      <c r="C700" s="1022" t="s">
        <v>79</v>
      </c>
      <c r="D700" s="901" t="s">
        <v>6556</v>
      </c>
      <c r="E700" s="901" t="s">
        <v>6538</v>
      </c>
      <c r="F700" s="913" t="s">
        <v>6557</v>
      </c>
      <c r="G700" s="889" t="s">
        <v>39</v>
      </c>
      <c r="H700" s="890">
        <v>102326.3</v>
      </c>
      <c r="I700" s="902"/>
      <c r="J700" s="892">
        <v>43432</v>
      </c>
      <c r="K700" s="893">
        <v>60</v>
      </c>
      <c r="L700" s="892">
        <v>43518</v>
      </c>
      <c r="M700" s="892" t="s">
        <v>83</v>
      </c>
      <c r="N700" s="889" t="s">
        <v>42</v>
      </c>
      <c r="O700" s="892">
        <v>43487</v>
      </c>
      <c r="P700" s="893">
        <f t="shared" ref="P700:P710" si="57">IF(S700="","",+S700-L700)</f>
        <v>-6</v>
      </c>
      <c r="Q700" s="901" t="s">
        <v>6597</v>
      </c>
      <c r="R700" s="903">
        <v>43503</v>
      </c>
      <c r="S700" s="904">
        <v>43512</v>
      </c>
      <c r="T700" s="894">
        <f>+S700+20</f>
        <v>43532</v>
      </c>
      <c r="U700" s="893">
        <f t="shared" ref="U700:U710" si="58">IF(T700="","",+T700-J700)</f>
        <v>100</v>
      </c>
      <c r="V700" s="901" t="s">
        <v>6579</v>
      </c>
      <c r="W700" s="897" t="s">
        <v>90</v>
      </c>
      <c r="X700" s="889"/>
      <c r="Y700" s="905"/>
      <c r="Z700" s="889">
        <v>5847567165</v>
      </c>
      <c r="AA700" s="889"/>
      <c r="AB700" s="888">
        <v>43560</v>
      </c>
      <c r="AC700" s="476" t="s">
        <v>6602</v>
      </c>
      <c r="AD700" s="645" t="str">
        <f t="shared" ref="AD700:AD710" si="59">IF(P700="","",IF(P700&lt;=0,"en término","atrasado"))</f>
        <v>en término</v>
      </c>
      <c r="AE700" s="468" t="s">
        <v>6610</v>
      </c>
      <c r="AF700" s="468" t="s">
        <v>2981</v>
      </c>
      <c r="AG700" s="1101">
        <f>+S700+60</f>
        <v>43572</v>
      </c>
      <c r="AH700" s="649">
        <f>IF(AB700="","",+AB700-AG700)</f>
        <v>-12</v>
      </c>
      <c r="AI700" s="649" t="str">
        <f t="shared" ref="AI700:AI710" si="60">IF(AH700="","",IF(AH700&lt;=0,"en término","atrasado"))</f>
        <v>en término</v>
      </c>
    </row>
    <row r="701" spans="1:39" s="649" customFormat="1" ht="54.95" customHeight="1" thickBot="1" x14ac:dyDescent="0.25">
      <c r="B701" s="1022" t="s">
        <v>78</v>
      </c>
      <c r="C701" s="1022" t="s">
        <v>79</v>
      </c>
      <c r="D701" s="901" t="s">
        <v>6556</v>
      </c>
      <c r="E701" s="901" t="s">
        <v>6538</v>
      </c>
      <c r="F701" s="913" t="s">
        <v>6558</v>
      </c>
      <c r="G701" s="889" t="s">
        <v>39</v>
      </c>
      <c r="H701" s="890">
        <v>63797.5</v>
      </c>
      <c r="I701" s="902"/>
      <c r="J701" s="892">
        <v>43432</v>
      </c>
      <c r="K701" s="893">
        <v>60</v>
      </c>
      <c r="L701" s="892">
        <v>43544</v>
      </c>
      <c r="M701" s="892" t="s">
        <v>83</v>
      </c>
      <c r="N701" s="889" t="s">
        <v>42</v>
      </c>
      <c r="O701" s="892">
        <v>43544</v>
      </c>
      <c r="P701" s="893">
        <f t="shared" si="57"/>
        <v>19</v>
      </c>
      <c r="Q701" s="901" t="s">
        <v>6650</v>
      </c>
      <c r="R701" s="903"/>
      <c r="S701" s="904">
        <v>43563</v>
      </c>
      <c r="T701" s="894">
        <f>+S701+30</f>
        <v>43593</v>
      </c>
      <c r="U701" s="893">
        <f t="shared" si="58"/>
        <v>161</v>
      </c>
      <c r="V701" s="901" t="s">
        <v>6581</v>
      </c>
      <c r="W701" s="897" t="s">
        <v>2418</v>
      </c>
      <c r="X701" s="889"/>
      <c r="Y701" s="905"/>
      <c r="Z701" s="889" t="s">
        <v>6651</v>
      </c>
      <c r="AA701" s="889"/>
      <c r="AB701" s="888">
        <v>43605</v>
      </c>
      <c r="AC701" s="476" t="s">
        <v>3981</v>
      </c>
      <c r="AD701" s="645" t="str">
        <f t="shared" si="59"/>
        <v>atrasado</v>
      </c>
      <c r="AE701" s="468" t="s">
        <v>6636</v>
      </c>
      <c r="AF701" s="468" t="s">
        <v>3846</v>
      </c>
      <c r="AG701" s="1101">
        <f t="shared" ref="AG701:AG710" si="61">+S701+60</f>
        <v>43623</v>
      </c>
      <c r="AH701" s="649">
        <f t="shared" ref="AH701:AH710" si="62">IF(AB701="","",+AB701-AG701)</f>
        <v>-18</v>
      </c>
      <c r="AI701" s="649" t="str">
        <f t="shared" si="60"/>
        <v>en término</v>
      </c>
    </row>
    <row r="702" spans="1:39" s="649" customFormat="1" ht="54.95" customHeight="1" thickBot="1" x14ac:dyDescent="0.25">
      <c r="B702" s="1022" t="s">
        <v>78</v>
      </c>
      <c r="C702" s="1022" t="s">
        <v>79</v>
      </c>
      <c r="D702" s="901" t="s">
        <v>6556</v>
      </c>
      <c r="E702" s="901" t="s">
        <v>6538</v>
      </c>
      <c r="F702" s="913" t="s">
        <v>6637</v>
      </c>
      <c r="G702" s="889" t="s">
        <v>39</v>
      </c>
      <c r="H702" s="890">
        <v>2304</v>
      </c>
      <c r="I702" s="902"/>
      <c r="J702" s="892">
        <v>43556</v>
      </c>
      <c r="K702" s="893">
        <v>11</v>
      </c>
      <c r="L702" s="892">
        <f>+J702+K702</f>
        <v>43567</v>
      </c>
      <c r="M702" s="892" t="s">
        <v>83</v>
      </c>
      <c r="N702" s="889" t="s">
        <v>110</v>
      </c>
      <c r="O702" s="892">
        <v>43558</v>
      </c>
      <c r="P702" s="893">
        <f t="shared" si="57"/>
        <v>0</v>
      </c>
      <c r="Q702" s="901"/>
      <c r="R702" s="903"/>
      <c r="S702" s="904">
        <v>43567</v>
      </c>
      <c r="T702" s="894">
        <f>+S702+5</f>
        <v>43572</v>
      </c>
      <c r="U702" s="893">
        <f t="shared" si="58"/>
        <v>16</v>
      </c>
      <c r="V702" s="901" t="s">
        <v>6581</v>
      </c>
      <c r="W702" s="897" t="s">
        <v>2203</v>
      </c>
      <c r="X702" s="889"/>
      <c r="Y702" s="905"/>
      <c r="Z702" s="889" t="s">
        <v>1708</v>
      </c>
      <c r="AA702" s="889"/>
      <c r="AB702" s="888">
        <v>43605</v>
      </c>
      <c r="AC702" s="476" t="s">
        <v>6638</v>
      </c>
      <c r="AD702" s="645" t="str">
        <f t="shared" si="59"/>
        <v>en término</v>
      </c>
      <c r="AE702" s="468" t="s">
        <v>6653</v>
      </c>
      <c r="AF702" s="468" t="s">
        <v>176</v>
      </c>
      <c r="AG702" s="1101">
        <f t="shared" si="61"/>
        <v>43627</v>
      </c>
      <c r="AH702" s="649">
        <f t="shared" si="62"/>
        <v>-22</v>
      </c>
      <c r="AI702" s="649" t="str">
        <f t="shared" si="60"/>
        <v>en término</v>
      </c>
    </row>
    <row r="703" spans="1:39" s="649" customFormat="1" ht="54.95" customHeight="1" thickBot="1" x14ac:dyDescent="0.25">
      <c r="B703" s="1022" t="s">
        <v>78</v>
      </c>
      <c r="C703" s="1022" t="s">
        <v>6675</v>
      </c>
      <c r="D703" s="901" t="s">
        <v>6683</v>
      </c>
      <c r="E703" s="901" t="s">
        <v>81</v>
      </c>
      <c r="F703" s="913" t="s">
        <v>6739</v>
      </c>
      <c r="G703" s="889" t="s">
        <v>39</v>
      </c>
      <c r="H703" s="890">
        <v>23670.67</v>
      </c>
      <c r="I703" s="902"/>
      <c r="J703" s="892">
        <v>43678</v>
      </c>
      <c r="K703" s="893">
        <v>165</v>
      </c>
      <c r="L703" s="892">
        <f>+J703+K703</f>
        <v>43843</v>
      </c>
      <c r="M703" s="892" t="s">
        <v>83</v>
      </c>
      <c r="N703" s="889" t="s">
        <v>42</v>
      </c>
      <c r="O703" s="892">
        <v>43690</v>
      </c>
      <c r="P703" s="893">
        <f>IF(S703="","",+S703-L703)</f>
        <v>-121</v>
      </c>
      <c r="Q703" s="901" t="s">
        <v>6768</v>
      </c>
      <c r="R703" s="903">
        <v>43714</v>
      </c>
      <c r="S703" s="904">
        <v>43722</v>
      </c>
      <c r="T703" s="894">
        <f>+S703+20</f>
        <v>43742</v>
      </c>
      <c r="U703" s="893">
        <f>IF(T703="","",+T703-J703)</f>
        <v>64</v>
      </c>
      <c r="V703" s="901" t="s">
        <v>6632</v>
      </c>
      <c r="W703" s="1106" t="s">
        <v>6795</v>
      </c>
      <c r="X703" s="905"/>
      <c r="Y703" s="905"/>
      <c r="Z703" s="889" t="s">
        <v>6796</v>
      </c>
      <c r="AA703" s="889"/>
      <c r="AB703" s="892">
        <v>43732</v>
      </c>
      <c r="AC703" s="476"/>
      <c r="AD703" s="645" t="str">
        <f>IF(P703="","",IF(P703&lt;=0,"en término","atrasado"))</f>
        <v>en término</v>
      </c>
      <c r="AE703" s="468" t="s">
        <v>6908</v>
      </c>
      <c r="AF703" s="468" t="s">
        <v>3056</v>
      </c>
      <c r="AG703" s="1101">
        <f t="shared" si="61"/>
        <v>43782</v>
      </c>
      <c r="AH703" s="649">
        <f t="shared" si="62"/>
        <v>-50</v>
      </c>
      <c r="AI703" s="649" t="str">
        <f t="shared" si="60"/>
        <v>en término</v>
      </c>
    </row>
    <row r="704" spans="1:39" s="649" customFormat="1" ht="54.95" customHeight="1" thickBot="1" x14ac:dyDescent="0.25">
      <c r="B704" s="1022" t="s">
        <v>78</v>
      </c>
      <c r="C704" s="1022" t="s">
        <v>6675</v>
      </c>
      <c r="D704" s="901" t="s">
        <v>6690</v>
      </c>
      <c r="E704" s="901" t="s">
        <v>6538</v>
      </c>
      <c r="F704" s="913" t="s">
        <v>6740</v>
      </c>
      <c r="G704" s="889" t="s">
        <v>39</v>
      </c>
      <c r="H704" s="890">
        <v>111746.11</v>
      </c>
      <c r="I704" s="902"/>
      <c r="J704" s="892">
        <v>43672</v>
      </c>
      <c r="K704" s="893">
        <v>90</v>
      </c>
      <c r="L704" s="892">
        <f>+J704+K704</f>
        <v>43762</v>
      </c>
      <c r="M704" s="892" t="s">
        <v>83</v>
      </c>
      <c r="N704" s="889" t="s">
        <v>42</v>
      </c>
      <c r="O704" s="892">
        <v>43690</v>
      </c>
      <c r="P704" s="893">
        <f>IF(S704="","",+S704-L704)</f>
        <v>-40</v>
      </c>
      <c r="Q704" s="901" t="s">
        <v>6768</v>
      </c>
      <c r="R704" s="903">
        <v>43714</v>
      </c>
      <c r="S704" s="904">
        <v>43722</v>
      </c>
      <c r="T704" s="894">
        <f>+S704+20</f>
        <v>43742</v>
      </c>
      <c r="U704" s="893">
        <f>IF(T704="","",+T704-J704)</f>
        <v>70</v>
      </c>
      <c r="V704" s="901" t="s">
        <v>6581</v>
      </c>
      <c r="W704" s="1106" t="s">
        <v>6795</v>
      </c>
      <c r="X704" s="905"/>
      <c r="Y704" s="905"/>
      <c r="Z704" s="889" t="s">
        <v>6796</v>
      </c>
      <c r="AA704" s="889"/>
      <c r="AB704" s="892">
        <v>43732</v>
      </c>
      <c r="AC704" s="476"/>
      <c r="AD704" s="645" t="str">
        <f>IF(P704="","",IF(P704&lt;=0,"en término","atrasado"))</f>
        <v>en término</v>
      </c>
      <c r="AE704" s="468" t="s">
        <v>6908</v>
      </c>
      <c r="AF704" s="468" t="s">
        <v>3056</v>
      </c>
      <c r="AG704" s="1101">
        <f t="shared" si="61"/>
        <v>43782</v>
      </c>
      <c r="AH704" s="649">
        <f t="shared" si="62"/>
        <v>-50</v>
      </c>
      <c r="AI704" s="649" t="str">
        <f t="shared" si="60"/>
        <v>en término</v>
      </c>
    </row>
    <row r="705" spans="2:35" s="649" customFormat="1" ht="54.95" customHeight="1" thickBot="1" x14ac:dyDescent="0.25">
      <c r="B705" s="1022" t="s">
        <v>78</v>
      </c>
      <c r="C705" s="1022" t="s">
        <v>6675</v>
      </c>
      <c r="D705" s="901" t="s">
        <v>6727</v>
      </c>
      <c r="E705" s="901" t="s">
        <v>6538</v>
      </c>
      <c r="F705" s="913" t="s">
        <v>6741</v>
      </c>
      <c r="G705" s="889" t="s">
        <v>39</v>
      </c>
      <c r="H705" s="890">
        <v>3890.73</v>
      </c>
      <c r="I705" s="902"/>
      <c r="J705" s="892">
        <v>43672</v>
      </c>
      <c r="K705" s="893">
        <v>90</v>
      </c>
      <c r="L705" s="892">
        <f>+J705+K705</f>
        <v>43762</v>
      </c>
      <c r="M705" s="892" t="s">
        <v>83</v>
      </c>
      <c r="N705" s="889" t="s">
        <v>42</v>
      </c>
      <c r="O705" s="892">
        <v>43690</v>
      </c>
      <c r="P705" s="893">
        <f>IF(S705="","",+S705-L705)</f>
        <v>-40</v>
      </c>
      <c r="Q705" s="901" t="s">
        <v>6768</v>
      </c>
      <c r="R705" s="903">
        <v>43714</v>
      </c>
      <c r="S705" s="904">
        <v>43722</v>
      </c>
      <c r="T705" s="894">
        <f>+S705+20</f>
        <v>43742</v>
      </c>
      <c r="U705" s="893">
        <f>IF(T705="","",+T705-J705)</f>
        <v>70</v>
      </c>
      <c r="V705" s="901" t="s">
        <v>6581</v>
      </c>
      <c r="W705" s="1106" t="s">
        <v>6795</v>
      </c>
      <c r="X705" s="905"/>
      <c r="Y705" s="905"/>
      <c r="Z705" s="889" t="s">
        <v>6796</v>
      </c>
      <c r="AA705" s="889"/>
      <c r="AB705" s="892">
        <v>43732</v>
      </c>
      <c r="AC705" s="476"/>
      <c r="AD705" s="645" t="str">
        <f>IF(P705="","",IF(P705&lt;=0,"en término","atrasado"))</f>
        <v>en término</v>
      </c>
      <c r="AE705" s="468" t="s">
        <v>6908</v>
      </c>
      <c r="AF705" s="468" t="s">
        <v>3056</v>
      </c>
      <c r="AG705" s="1101">
        <f t="shared" si="61"/>
        <v>43782</v>
      </c>
      <c r="AH705" s="649">
        <f t="shared" si="62"/>
        <v>-50</v>
      </c>
      <c r="AI705" s="649" t="str">
        <f t="shared" si="60"/>
        <v>en término</v>
      </c>
    </row>
    <row r="706" spans="2:35" s="649" customFormat="1" ht="54.95" customHeight="1" thickBot="1" x14ac:dyDescent="0.25">
      <c r="B706" s="1022" t="s">
        <v>78</v>
      </c>
      <c r="C706" s="1022" t="s">
        <v>6675</v>
      </c>
      <c r="D706" s="901" t="s">
        <v>6808</v>
      </c>
      <c r="E706" s="901" t="s">
        <v>6538</v>
      </c>
      <c r="F706" s="1061" t="s">
        <v>6809</v>
      </c>
      <c r="G706" s="889" t="s">
        <v>39</v>
      </c>
      <c r="H706" s="890">
        <v>3918.21</v>
      </c>
      <c r="I706" s="902"/>
      <c r="J706" s="892">
        <v>43741</v>
      </c>
      <c r="K706" s="893">
        <f>+L706-J706</f>
        <v>10</v>
      </c>
      <c r="L706" s="892">
        <v>43751</v>
      </c>
      <c r="M706" s="892" t="s">
        <v>83</v>
      </c>
      <c r="N706" s="889" t="s">
        <v>110</v>
      </c>
      <c r="O706" s="892">
        <v>43749</v>
      </c>
      <c r="P706" s="893">
        <f>IF(S706="","",+S706-L706)</f>
        <v>3</v>
      </c>
      <c r="Q706" s="901"/>
      <c r="R706" s="903"/>
      <c r="S706" s="904">
        <v>43754</v>
      </c>
      <c r="T706" s="894">
        <f>+S706+5</f>
        <v>43759</v>
      </c>
      <c r="U706" s="893">
        <f>IF(T706="","",+T706-J706)</f>
        <v>18</v>
      </c>
      <c r="V706" s="901" t="s">
        <v>6813</v>
      </c>
      <c r="W706" s="1106" t="s">
        <v>6817</v>
      </c>
      <c r="X706" s="905"/>
      <c r="Y706" s="905"/>
      <c r="Z706" s="889" t="s">
        <v>6819</v>
      </c>
      <c r="AA706" s="889"/>
      <c r="AB706" s="892">
        <v>43718</v>
      </c>
      <c r="AC706" s="476"/>
      <c r="AD706" s="645" t="str">
        <f>IF(P706="","",IF(P706&lt;=0,"en término","atrasado"))</f>
        <v>atrasado</v>
      </c>
      <c r="AE706" s="468" t="s">
        <v>6669</v>
      </c>
      <c r="AF706" s="468" t="s">
        <v>187</v>
      </c>
      <c r="AG706" s="1101">
        <f t="shared" si="61"/>
        <v>43814</v>
      </c>
      <c r="AH706" s="649">
        <f t="shared" si="62"/>
        <v>-96</v>
      </c>
      <c r="AI706" s="649" t="str">
        <f t="shared" si="60"/>
        <v>en término</v>
      </c>
    </row>
    <row r="707" spans="2:35" s="649" customFormat="1" ht="54.95" customHeight="1" thickBot="1" x14ac:dyDescent="0.25">
      <c r="B707" s="1022" t="s">
        <v>78</v>
      </c>
      <c r="C707" s="1022" t="s">
        <v>6675</v>
      </c>
      <c r="D707" s="901" t="s">
        <v>6683</v>
      </c>
      <c r="E707" s="901" t="s">
        <v>81</v>
      </c>
      <c r="F707" s="913" t="s">
        <v>6810</v>
      </c>
      <c r="G707" s="889" t="s">
        <v>39</v>
      </c>
      <c r="H707" s="890">
        <v>369071.73</v>
      </c>
      <c r="I707" s="902"/>
      <c r="J707" s="892">
        <v>43524</v>
      </c>
      <c r="K707" s="893">
        <v>165</v>
      </c>
      <c r="L707" s="892">
        <f>+J707+K707</f>
        <v>43689</v>
      </c>
      <c r="M707" s="892" t="s">
        <v>83</v>
      </c>
      <c r="N707" s="889" t="s">
        <v>42</v>
      </c>
      <c r="O707" s="909">
        <v>43767</v>
      </c>
      <c r="P707" s="893">
        <f t="shared" si="57"/>
        <v>89</v>
      </c>
      <c r="Q707" s="901" t="s">
        <v>6820</v>
      </c>
      <c r="R707" s="903">
        <v>43775</v>
      </c>
      <c r="S707" s="904">
        <v>43778</v>
      </c>
      <c r="T707" s="894">
        <v>43799</v>
      </c>
      <c r="U707" s="893">
        <f t="shared" si="58"/>
        <v>275</v>
      </c>
      <c r="V707" s="901" t="s">
        <v>6738</v>
      </c>
      <c r="W707" s="1106" t="s">
        <v>6824</v>
      </c>
      <c r="X707" s="905"/>
      <c r="Y707" s="905"/>
      <c r="Z707" s="889" t="s">
        <v>6856</v>
      </c>
      <c r="AA707" s="889"/>
      <c r="AB707" s="892">
        <v>43789</v>
      </c>
      <c r="AC707" s="476" t="s">
        <v>6815</v>
      </c>
      <c r="AD707" s="645" t="str">
        <f t="shared" si="59"/>
        <v>atrasado</v>
      </c>
      <c r="AE707" s="468" t="s">
        <v>6855</v>
      </c>
      <c r="AF707" s="468" t="s">
        <v>4819</v>
      </c>
      <c r="AG707" s="1101">
        <f t="shared" si="61"/>
        <v>43838</v>
      </c>
      <c r="AH707" s="649">
        <f t="shared" si="62"/>
        <v>-49</v>
      </c>
      <c r="AI707" s="649" t="str">
        <f t="shared" si="60"/>
        <v>en término</v>
      </c>
    </row>
    <row r="708" spans="2:35" s="649" customFormat="1" ht="54.95" customHeight="1" thickBot="1" x14ac:dyDescent="0.25">
      <c r="B708" s="1022" t="s">
        <v>78</v>
      </c>
      <c r="C708" s="1022" t="s">
        <v>6675</v>
      </c>
      <c r="D708" s="901" t="s">
        <v>6791</v>
      </c>
      <c r="E708" s="901" t="s">
        <v>81</v>
      </c>
      <c r="F708" s="1061" t="s">
        <v>6811</v>
      </c>
      <c r="G708" s="889" t="s">
        <v>39</v>
      </c>
      <c r="H708" s="890">
        <v>1794.62</v>
      </c>
      <c r="I708" s="902"/>
      <c r="J708" s="892">
        <v>43683</v>
      </c>
      <c r="K708" s="893">
        <v>75</v>
      </c>
      <c r="L708" s="892">
        <f>+J708+K708</f>
        <v>43758</v>
      </c>
      <c r="M708" s="892" t="s">
        <v>83</v>
      </c>
      <c r="N708" s="889" t="s">
        <v>42</v>
      </c>
      <c r="O708" s="892">
        <v>43767</v>
      </c>
      <c r="P708" s="893">
        <f t="shared" si="57"/>
        <v>20</v>
      </c>
      <c r="Q708" s="901" t="s">
        <v>6820</v>
      </c>
      <c r="R708" s="903">
        <v>43775</v>
      </c>
      <c r="S708" s="904">
        <v>43778</v>
      </c>
      <c r="T708" s="894">
        <v>43799</v>
      </c>
      <c r="U708" s="893">
        <f t="shared" si="58"/>
        <v>116</v>
      </c>
      <c r="V708" s="901" t="s">
        <v>6581</v>
      </c>
      <c r="W708" s="1106" t="s">
        <v>6824</v>
      </c>
      <c r="X708" s="905"/>
      <c r="Y708" s="905"/>
      <c r="Z708" s="889" t="s">
        <v>6856</v>
      </c>
      <c r="AA708" s="889"/>
      <c r="AB708" s="892">
        <v>43789</v>
      </c>
      <c r="AC708" s="476" t="s">
        <v>6815</v>
      </c>
      <c r="AD708" s="645" t="str">
        <f t="shared" si="59"/>
        <v>atrasado</v>
      </c>
      <c r="AE708" s="468" t="s">
        <v>6855</v>
      </c>
      <c r="AF708" s="468" t="s">
        <v>4819</v>
      </c>
      <c r="AG708" s="1101">
        <f t="shared" si="61"/>
        <v>43838</v>
      </c>
      <c r="AH708" s="649">
        <f t="shared" si="62"/>
        <v>-49</v>
      </c>
      <c r="AI708" s="649" t="str">
        <f t="shared" si="60"/>
        <v>en término</v>
      </c>
    </row>
    <row r="709" spans="2:35" s="649" customFormat="1" ht="54.95" customHeight="1" thickBot="1" x14ac:dyDescent="0.25">
      <c r="B709" s="1022" t="s">
        <v>78</v>
      </c>
      <c r="C709" s="1022" t="s">
        <v>6675</v>
      </c>
      <c r="D709" s="901" t="s">
        <v>6792</v>
      </c>
      <c r="E709" s="901" t="s">
        <v>6538</v>
      </c>
      <c r="F709" s="1061" t="s">
        <v>6851</v>
      </c>
      <c r="G709" s="889" t="s">
        <v>39</v>
      </c>
      <c r="H709" s="890">
        <v>44589.64</v>
      </c>
      <c r="I709" s="902"/>
      <c r="J709" s="892">
        <v>43728</v>
      </c>
      <c r="K709" s="893">
        <v>75</v>
      </c>
      <c r="L709" s="892">
        <f>+J709+K709</f>
        <v>43803</v>
      </c>
      <c r="M709" s="892" t="s">
        <v>83</v>
      </c>
      <c r="N709" s="889" t="s">
        <v>42</v>
      </c>
      <c r="O709" s="892">
        <v>43798</v>
      </c>
      <c r="P709" s="893">
        <f t="shared" si="57"/>
        <v>17</v>
      </c>
      <c r="Q709" s="901" t="s">
        <v>6885</v>
      </c>
      <c r="R709" s="903">
        <v>43812</v>
      </c>
      <c r="S709" s="904">
        <v>43820</v>
      </c>
      <c r="T709" s="894">
        <v>43485</v>
      </c>
      <c r="U709" s="893">
        <f t="shared" si="58"/>
        <v>-243</v>
      </c>
      <c r="V709" s="901" t="s">
        <v>6878</v>
      </c>
      <c r="W709" s="1106" t="s">
        <v>6902</v>
      </c>
      <c r="X709" s="905"/>
      <c r="Y709" s="905"/>
      <c r="Z709" s="889" t="s">
        <v>6913</v>
      </c>
      <c r="AA709" s="889"/>
      <c r="AB709" s="892">
        <v>43840</v>
      </c>
      <c r="AC709" s="476" t="s">
        <v>6853</v>
      </c>
      <c r="AD709" s="645" t="str">
        <f t="shared" si="59"/>
        <v>atrasado</v>
      </c>
      <c r="AE709" s="468" t="s">
        <v>6912</v>
      </c>
      <c r="AF709" s="468" t="s">
        <v>187</v>
      </c>
      <c r="AG709" s="1101">
        <f t="shared" si="61"/>
        <v>43880</v>
      </c>
      <c r="AH709" s="649">
        <f t="shared" si="62"/>
        <v>-40</v>
      </c>
      <c r="AI709" s="649" t="str">
        <f t="shared" si="60"/>
        <v>en término</v>
      </c>
    </row>
    <row r="710" spans="2:35" s="649" customFormat="1" ht="54.95" customHeight="1" thickBot="1" x14ac:dyDescent="0.25">
      <c r="B710" s="1022" t="s">
        <v>78</v>
      </c>
      <c r="C710" s="1022" t="s">
        <v>6675</v>
      </c>
      <c r="D710" s="901" t="s">
        <v>6807</v>
      </c>
      <c r="E710" s="901" t="s">
        <v>81</v>
      </c>
      <c r="F710" s="1061" t="s">
        <v>6852</v>
      </c>
      <c r="G710" s="889" t="s">
        <v>39</v>
      </c>
      <c r="H710" s="890">
        <v>314.79000000000002</v>
      </c>
      <c r="I710" s="902"/>
      <c r="J710" s="892">
        <v>43728</v>
      </c>
      <c r="K710" s="893">
        <v>75</v>
      </c>
      <c r="L710" s="892">
        <f>+J710+K710</f>
        <v>43803</v>
      </c>
      <c r="M710" s="892" t="s">
        <v>83</v>
      </c>
      <c r="N710" s="889" t="s">
        <v>42</v>
      </c>
      <c r="O710" s="892">
        <v>43798</v>
      </c>
      <c r="P710" s="893">
        <f t="shared" si="57"/>
        <v>17</v>
      </c>
      <c r="Q710" s="901" t="s">
        <v>6885</v>
      </c>
      <c r="R710" s="903">
        <v>43812</v>
      </c>
      <c r="S710" s="904">
        <v>43820</v>
      </c>
      <c r="T710" s="894">
        <v>43485</v>
      </c>
      <c r="U710" s="893">
        <f t="shared" si="58"/>
        <v>-243</v>
      </c>
      <c r="V710" s="901" t="s">
        <v>6878</v>
      </c>
      <c r="W710" s="1106" t="s">
        <v>6902</v>
      </c>
      <c r="X710" s="905"/>
      <c r="Y710" s="905"/>
      <c r="Z710" s="889" t="s">
        <v>6913</v>
      </c>
      <c r="AA710" s="889"/>
      <c r="AB710" s="892">
        <v>43840</v>
      </c>
      <c r="AC710" s="476" t="s">
        <v>6854</v>
      </c>
      <c r="AD710" s="645" t="str">
        <f t="shared" si="59"/>
        <v>atrasado</v>
      </c>
      <c r="AE710" s="468" t="s">
        <v>6912</v>
      </c>
      <c r="AF710" s="468" t="s">
        <v>187</v>
      </c>
      <c r="AG710" s="1101">
        <f t="shared" si="61"/>
        <v>43880</v>
      </c>
      <c r="AH710" s="649">
        <f t="shared" si="62"/>
        <v>-40</v>
      </c>
      <c r="AI710" s="649" t="str">
        <f t="shared" si="60"/>
        <v>en término</v>
      </c>
    </row>
    <row r="720" spans="2:35" ht="12" thickBot="1" x14ac:dyDescent="0.25"/>
    <row r="721" spans="1:39" s="556" customFormat="1" ht="39.950000000000003" customHeight="1" thickBot="1" x14ac:dyDescent="0.4">
      <c r="B721" s="1611">
        <v>2020</v>
      </c>
      <c r="C721" s="1612"/>
      <c r="D721" s="1612"/>
      <c r="E721" s="1612"/>
      <c r="F721" s="1612"/>
      <c r="G721" s="1612"/>
      <c r="H721" s="1612"/>
      <c r="I721" s="1612"/>
      <c r="J721" s="1612"/>
      <c r="K721" s="1612"/>
      <c r="L721" s="1612"/>
      <c r="M721" s="1612"/>
      <c r="N721" s="1612"/>
      <c r="O721" s="1612"/>
      <c r="P721" s="1612"/>
      <c r="Q721" s="1612"/>
      <c r="R721" s="1612"/>
      <c r="S721" s="1612"/>
      <c r="T721" s="1612"/>
      <c r="U721" s="1612"/>
      <c r="V721" s="1612"/>
      <c r="W721" s="1612"/>
      <c r="X721" s="1612"/>
      <c r="Y721" s="1612"/>
      <c r="Z721" s="1612"/>
      <c r="AA721" s="1612"/>
      <c r="AB721" s="1612"/>
      <c r="AC721" s="1613"/>
      <c r="AD721" s="555"/>
    </row>
    <row r="722" spans="1:39" s="441" customFormat="1" ht="60" customHeight="1" thickBot="1" x14ac:dyDescent="0.25">
      <c r="A722" s="438"/>
      <c r="B722" s="451" t="s">
        <v>130</v>
      </c>
      <c r="C722" s="451" t="s">
        <v>4</v>
      </c>
      <c r="D722" s="451" t="s">
        <v>5</v>
      </c>
      <c r="E722" s="451" t="s">
        <v>6</v>
      </c>
      <c r="F722" s="451" t="s">
        <v>7</v>
      </c>
      <c r="G722" s="451" t="s">
        <v>8</v>
      </c>
      <c r="H722" s="453" t="s">
        <v>9</v>
      </c>
      <c r="I722" s="453" t="s">
        <v>10</v>
      </c>
      <c r="J722" s="451" t="s">
        <v>11</v>
      </c>
      <c r="K722" s="451" t="s">
        <v>12</v>
      </c>
      <c r="L722" s="451" t="s">
        <v>13</v>
      </c>
      <c r="M722" s="451" t="s">
        <v>14</v>
      </c>
      <c r="N722" s="451" t="s">
        <v>15</v>
      </c>
      <c r="O722" s="452" t="s">
        <v>16</v>
      </c>
      <c r="P722" s="454" t="s">
        <v>17</v>
      </c>
      <c r="Q722" s="451" t="s">
        <v>18</v>
      </c>
      <c r="R722" s="452" t="s">
        <v>19</v>
      </c>
      <c r="S722" s="451" t="s">
        <v>20</v>
      </c>
      <c r="T722" s="451" t="s">
        <v>21</v>
      </c>
      <c r="U722" s="452" t="s">
        <v>22</v>
      </c>
      <c r="V722" s="451" t="s">
        <v>131</v>
      </c>
      <c r="W722" s="451" t="s">
        <v>24</v>
      </c>
      <c r="X722" s="451" t="s">
        <v>132</v>
      </c>
      <c r="Y722" s="451" t="s">
        <v>26</v>
      </c>
      <c r="Z722" s="451" t="s">
        <v>27</v>
      </c>
      <c r="AA722" s="451" t="s">
        <v>28</v>
      </c>
      <c r="AB722" s="451" t="s">
        <v>29</v>
      </c>
      <c r="AC722" s="451" t="s">
        <v>30</v>
      </c>
      <c r="AD722" s="439"/>
      <c r="AE722" s="440"/>
      <c r="AF722" s="440" t="s">
        <v>7187</v>
      </c>
      <c r="AG722" s="440" t="s">
        <v>7188</v>
      </c>
      <c r="AH722" s="440" t="s">
        <v>7189</v>
      </c>
      <c r="AI722" s="440" t="s">
        <v>7190</v>
      </c>
      <c r="AJ722" s="440"/>
      <c r="AK722" s="440"/>
      <c r="AL722" s="440"/>
      <c r="AM722" s="440"/>
    </row>
    <row r="723" spans="1:39" s="649" customFormat="1" ht="54.95" customHeight="1" thickBot="1" x14ac:dyDescent="0.25">
      <c r="B723" s="1022" t="s">
        <v>78</v>
      </c>
      <c r="C723" s="1022" t="s">
        <v>6675</v>
      </c>
      <c r="D723" s="901" t="s">
        <v>6886</v>
      </c>
      <c r="E723" s="901" t="s">
        <v>81</v>
      </c>
      <c r="F723" s="1287" t="s">
        <v>6903</v>
      </c>
      <c r="G723" s="889" t="s">
        <v>39</v>
      </c>
      <c r="H723" s="890">
        <v>8275</v>
      </c>
      <c r="I723" s="902"/>
      <c r="J723" s="892">
        <v>43809</v>
      </c>
      <c r="K723" s="893">
        <f t="shared" ref="K723:K728" si="63">+L723-J723</f>
        <v>35</v>
      </c>
      <c r="L723" s="892">
        <v>43844</v>
      </c>
      <c r="M723" s="892" t="s">
        <v>83</v>
      </c>
      <c r="N723" s="889" t="s">
        <v>110</v>
      </c>
      <c r="O723" s="892">
        <v>43847</v>
      </c>
      <c r="P723" s="893">
        <f t="shared" ref="P723:P728" si="64">IF(S723="","",+S723-L723)</f>
        <v>9</v>
      </c>
      <c r="Q723" s="901"/>
      <c r="R723" s="903"/>
      <c r="S723" s="904">
        <v>43853</v>
      </c>
      <c r="T723" s="894">
        <f>+S723+7</f>
        <v>43860</v>
      </c>
      <c r="U723" s="893">
        <f t="shared" ref="U723:U728" si="65">IF(T723="","",+T723-J723)</f>
        <v>51</v>
      </c>
      <c r="V723" s="901" t="s">
        <v>6864</v>
      </c>
      <c r="W723" s="1106" t="s">
        <v>6922</v>
      </c>
      <c r="X723" s="905"/>
      <c r="Y723" s="905"/>
      <c r="Z723" s="889" t="s">
        <v>1676</v>
      </c>
      <c r="AA723" s="889"/>
      <c r="AB723" s="892">
        <v>43850</v>
      </c>
      <c r="AC723" s="476" t="s">
        <v>6887</v>
      </c>
      <c r="AD723" s="645" t="str">
        <f t="shared" ref="AD723:AD728" si="66">IF(P723="","",IF(P723&lt;=0,"en término","atrasado"))</f>
        <v>atrasado</v>
      </c>
      <c r="AE723" s="468" t="s">
        <v>6926</v>
      </c>
      <c r="AF723" s="468" t="s">
        <v>2968</v>
      </c>
      <c r="AG723" s="1101">
        <f t="shared" ref="AG723:AG736" si="67">+S723+60</f>
        <v>43913</v>
      </c>
      <c r="AH723" s="649">
        <f t="shared" ref="AH723:AH736" si="68">IF(AB723="","",+AB723-AG723)</f>
        <v>-63</v>
      </c>
      <c r="AI723" s="649" t="str">
        <f t="shared" ref="AI723:AI728" si="69">IF(AH723="","",IF(AH723&lt;=0,"en término","atrasado"))</f>
        <v>en término</v>
      </c>
    </row>
    <row r="724" spans="1:39" s="649" customFormat="1" ht="54.95" customHeight="1" thickBot="1" x14ac:dyDescent="0.25">
      <c r="B724" s="1022" t="s">
        <v>78</v>
      </c>
      <c r="C724" s="1022" t="s">
        <v>6929</v>
      </c>
      <c r="D724" s="901" t="s">
        <v>6863</v>
      </c>
      <c r="E724" s="901" t="s">
        <v>81</v>
      </c>
      <c r="F724" s="1061" t="s">
        <v>6928</v>
      </c>
      <c r="G724" s="889" t="s">
        <v>39</v>
      </c>
      <c r="H724" s="890">
        <v>6372.2</v>
      </c>
      <c r="I724" s="902"/>
      <c r="J724" s="892">
        <v>43798</v>
      </c>
      <c r="K724" s="893">
        <f t="shared" si="63"/>
        <v>50</v>
      </c>
      <c r="L724" s="892">
        <v>43848</v>
      </c>
      <c r="M724" s="892" t="s">
        <v>83</v>
      </c>
      <c r="N724" s="889" t="s">
        <v>42</v>
      </c>
      <c r="O724" s="892">
        <v>43889</v>
      </c>
      <c r="P724" s="893">
        <f t="shared" si="64"/>
        <v>60</v>
      </c>
      <c r="Q724" s="901" t="s">
        <v>6933</v>
      </c>
      <c r="R724" s="903">
        <v>43896</v>
      </c>
      <c r="S724" s="904">
        <v>43908</v>
      </c>
      <c r="T724" s="894">
        <v>43934</v>
      </c>
      <c r="U724" s="893">
        <f t="shared" si="65"/>
        <v>136</v>
      </c>
      <c r="V724" s="901" t="s">
        <v>6864</v>
      </c>
      <c r="W724" s="1106" t="s">
        <v>6937</v>
      </c>
      <c r="X724" s="905"/>
      <c r="Y724" s="905"/>
      <c r="Z724" s="889">
        <v>9507208793</v>
      </c>
      <c r="AA724" s="889"/>
      <c r="AB724" s="1025">
        <v>43920</v>
      </c>
      <c r="AC724" s="476" t="s">
        <v>6931</v>
      </c>
      <c r="AD724" s="645" t="str">
        <f t="shared" si="66"/>
        <v>atrasado</v>
      </c>
      <c r="AE724" s="468"/>
      <c r="AF724" s="468" t="s">
        <v>3846</v>
      </c>
      <c r="AG724" s="1101">
        <f t="shared" si="67"/>
        <v>43968</v>
      </c>
      <c r="AH724" s="649">
        <f t="shared" si="68"/>
        <v>-48</v>
      </c>
      <c r="AI724" s="649" t="str">
        <f t="shared" si="69"/>
        <v>en término</v>
      </c>
    </row>
    <row r="725" spans="1:39" s="649" customFormat="1" ht="54.95" customHeight="1" thickBot="1" x14ac:dyDescent="0.25">
      <c r="B725" s="1022" t="s">
        <v>78</v>
      </c>
      <c r="C725" s="1022" t="s">
        <v>6929</v>
      </c>
      <c r="D725" s="901" t="s">
        <v>6888</v>
      </c>
      <c r="E725" s="901" t="s">
        <v>81</v>
      </c>
      <c r="F725" s="1061" t="s">
        <v>6927</v>
      </c>
      <c r="G725" s="889" t="s">
        <v>39</v>
      </c>
      <c r="H725" s="890">
        <v>27876.36</v>
      </c>
      <c r="I725" s="902"/>
      <c r="J725" s="892">
        <v>43815</v>
      </c>
      <c r="K725" s="893">
        <f t="shared" si="63"/>
        <v>74</v>
      </c>
      <c r="L725" s="892">
        <v>43889</v>
      </c>
      <c r="M725" s="892" t="s">
        <v>83</v>
      </c>
      <c r="N725" s="889" t="s">
        <v>42</v>
      </c>
      <c r="O725" s="892">
        <v>43889</v>
      </c>
      <c r="P725" s="893">
        <f t="shared" si="64"/>
        <v>19</v>
      </c>
      <c r="Q725" s="901" t="s">
        <v>6933</v>
      </c>
      <c r="R725" s="903">
        <v>43896</v>
      </c>
      <c r="S725" s="904">
        <v>43908</v>
      </c>
      <c r="T725" s="894">
        <v>43934</v>
      </c>
      <c r="U725" s="893">
        <f t="shared" si="65"/>
        <v>119</v>
      </c>
      <c r="V725" s="901" t="s">
        <v>6864</v>
      </c>
      <c r="W725" s="1106" t="s">
        <v>6937</v>
      </c>
      <c r="X725" s="905"/>
      <c r="Y725" s="905"/>
      <c r="Z725" s="889">
        <v>9507208793</v>
      </c>
      <c r="AA725" s="889"/>
      <c r="AB725" s="1025">
        <v>43920</v>
      </c>
      <c r="AC725" s="476" t="s">
        <v>6932</v>
      </c>
      <c r="AD725" s="645" t="str">
        <f t="shared" si="66"/>
        <v>atrasado</v>
      </c>
      <c r="AE725" s="468"/>
      <c r="AF725" s="468" t="s">
        <v>3846</v>
      </c>
      <c r="AG725" s="1101">
        <f t="shared" si="67"/>
        <v>43968</v>
      </c>
      <c r="AH725" s="649">
        <f t="shared" si="68"/>
        <v>-48</v>
      </c>
      <c r="AI725" s="649" t="str">
        <f t="shared" si="69"/>
        <v>en término</v>
      </c>
    </row>
    <row r="726" spans="1:39" s="649" customFormat="1" ht="54.95" customHeight="1" thickBot="1" x14ac:dyDescent="0.25">
      <c r="B726" s="1022" t="s">
        <v>78</v>
      </c>
      <c r="C726" s="1022" t="s">
        <v>6929</v>
      </c>
      <c r="D726" s="901" t="s">
        <v>6930</v>
      </c>
      <c r="E726" s="901" t="s">
        <v>81</v>
      </c>
      <c r="F726" s="1061" t="s">
        <v>6964</v>
      </c>
      <c r="G726" s="889" t="s">
        <v>39</v>
      </c>
      <c r="H726" s="890">
        <v>106400</v>
      </c>
      <c r="I726" s="902"/>
      <c r="J726" s="892">
        <v>43921</v>
      </c>
      <c r="K726" s="893">
        <f t="shared" si="63"/>
        <v>30</v>
      </c>
      <c r="L726" s="892">
        <v>43951</v>
      </c>
      <c r="M726" s="892" t="s">
        <v>83</v>
      </c>
      <c r="N726" s="889" t="s">
        <v>42</v>
      </c>
      <c r="O726" s="892">
        <v>43966</v>
      </c>
      <c r="P726" s="893">
        <f t="shared" si="64"/>
        <v>50</v>
      </c>
      <c r="Q726" s="901" t="s">
        <v>6989</v>
      </c>
      <c r="R726" s="903">
        <v>43990</v>
      </c>
      <c r="S726" s="904">
        <v>44001</v>
      </c>
      <c r="T726" s="894">
        <v>44024</v>
      </c>
      <c r="U726" s="893">
        <f t="shared" si="65"/>
        <v>103</v>
      </c>
      <c r="V726" s="901" t="s">
        <v>6864</v>
      </c>
      <c r="W726" s="1106" t="s">
        <v>6990</v>
      </c>
      <c r="X726" s="905"/>
      <c r="Y726" s="905"/>
      <c r="Z726" s="895" t="s">
        <v>7022</v>
      </c>
      <c r="AA726" s="889"/>
      <c r="AB726" s="892">
        <v>44007</v>
      </c>
      <c r="AC726" s="476" t="s">
        <v>6965</v>
      </c>
      <c r="AD726" s="645" t="str">
        <f t="shared" si="66"/>
        <v>atrasado</v>
      </c>
      <c r="AE726" s="468" t="s">
        <v>6991</v>
      </c>
      <c r="AF726" s="468" t="s">
        <v>2937</v>
      </c>
      <c r="AG726" s="1101">
        <f t="shared" si="67"/>
        <v>44061</v>
      </c>
      <c r="AH726" s="649">
        <f t="shared" si="68"/>
        <v>-54</v>
      </c>
      <c r="AI726" s="649" t="str">
        <f t="shared" si="69"/>
        <v>en término</v>
      </c>
    </row>
    <row r="727" spans="1:39" s="649" customFormat="1" ht="54.95" customHeight="1" thickBot="1" x14ac:dyDescent="0.25">
      <c r="B727" s="1022" t="s">
        <v>78</v>
      </c>
      <c r="C727" s="1022" t="s">
        <v>6929</v>
      </c>
      <c r="D727" s="901" t="s">
        <v>6966</v>
      </c>
      <c r="E727" s="901" t="s">
        <v>81</v>
      </c>
      <c r="F727" s="1061" t="s">
        <v>6963</v>
      </c>
      <c r="G727" s="889" t="s">
        <v>39</v>
      </c>
      <c r="H727" s="890">
        <v>41462.25</v>
      </c>
      <c r="I727" s="902"/>
      <c r="J727" s="892">
        <v>43921</v>
      </c>
      <c r="K727" s="893">
        <f t="shared" si="63"/>
        <v>38</v>
      </c>
      <c r="L727" s="892">
        <v>43959</v>
      </c>
      <c r="M727" s="892" t="s">
        <v>83</v>
      </c>
      <c r="N727" s="889" t="s">
        <v>42</v>
      </c>
      <c r="O727" s="892">
        <v>43966</v>
      </c>
      <c r="P727" s="893">
        <f t="shared" si="64"/>
        <v>42</v>
      </c>
      <c r="Q727" s="901" t="s">
        <v>6989</v>
      </c>
      <c r="R727" s="903">
        <v>43990</v>
      </c>
      <c r="S727" s="904">
        <v>44001</v>
      </c>
      <c r="T727" s="894">
        <v>44024</v>
      </c>
      <c r="U727" s="893">
        <f t="shared" si="65"/>
        <v>103</v>
      </c>
      <c r="V727" s="901" t="s">
        <v>6864</v>
      </c>
      <c r="W727" s="1106" t="s">
        <v>6990</v>
      </c>
      <c r="X727" s="905"/>
      <c r="Y727" s="905"/>
      <c r="Z727" s="895" t="s">
        <v>7022</v>
      </c>
      <c r="AA727" s="889"/>
      <c r="AB727" s="892">
        <v>44007</v>
      </c>
      <c r="AC727" s="476" t="s">
        <v>6967</v>
      </c>
      <c r="AD727" s="645" t="str">
        <f t="shared" si="66"/>
        <v>atrasado</v>
      </c>
      <c r="AE727" s="468" t="s">
        <v>6991</v>
      </c>
      <c r="AF727" s="468" t="s">
        <v>2937</v>
      </c>
      <c r="AG727" s="1101">
        <f t="shared" si="67"/>
        <v>44061</v>
      </c>
      <c r="AH727" s="649">
        <f t="shared" si="68"/>
        <v>-54</v>
      </c>
      <c r="AI727" s="649" t="str">
        <f t="shared" si="69"/>
        <v>en término</v>
      </c>
    </row>
    <row r="728" spans="1:39" s="649" customFormat="1" ht="54.95" customHeight="1" thickBot="1" x14ac:dyDescent="0.25">
      <c r="B728" s="1022" t="s">
        <v>78</v>
      </c>
      <c r="C728" s="1022" t="s">
        <v>6929</v>
      </c>
      <c r="D728" s="901" t="s">
        <v>6972</v>
      </c>
      <c r="E728" s="901" t="s">
        <v>81</v>
      </c>
      <c r="F728" s="1061" t="s">
        <v>6976</v>
      </c>
      <c r="G728" s="889" t="s">
        <v>39</v>
      </c>
      <c r="H728" s="1291">
        <v>297074.12</v>
      </c>
      <c r="I728" s="902"/>
      <c r="J728" s="892">
        <v>43944</v>
      </c>
      <c r="K728" s="893">
        <f t="shared" si="63"/>
        <v>15</v>
      </c>
      <c r="L728" s="892">
        <v>43959</v>
      </c>
      <c r="M728" s="892" t="s">
        <v>83</v>
      </c>
      <c r="N728" s="889" t="s">
        <v>42</v>
      </c>
      <c r="O728" s="892">
        <v>43966</v>
      </c>
      <c r="P728" s="893">
        <f t="shared" si="64"/>
        <v>42</v>
      </c>
      <c r="Q728" s="901" t="s">
        <v>6989</v>
      </c>
      <c r="R728" s="903">
        <v>43990</v>
      </c>
      <c r="S728" s="904">
        <v>44001</v>
      </c>
      <c r="T728" s="894">
        <v>44024</v>
      </c>
      <c r="U728" s="893">
        <f t="shared" si="65"/>
        <v>80</v>
      </c>
      <c r="V728" s="901" t="s">
        <v>6864</v>
      </c>
      <c r="W728" s="1106" t="s">
        <v>6990</v>
      </c>
      <c r="X728" s="905"/>
      <c r="Y728" s="905"/>
      <c r="Z728" s="895" t="s">
        <v>7022</v>
      </c>
      <c r="AA728" s="889"/>
      <c r="AB728" s="892">
        <v>44007</v>
      </c>
      <c r="AC728" s="476" t="s">
        <v>6978</v>
      </c>
      <c r="AD728" s="645" t="str">
        <f t="shared" si="66"/>
        <v>atrasado</v>
      </c>
      <c r="AE728" s="468" t="s">
        <v>6991</v>
      </c>
      <c r="AF728" s="468" t="s">
        <v>2937</v>
      </c>
      <c r="AG728" s="1101">
        <f t="shared" si="67"/>
        <v>44061</v>
      </c>
      <c r="AH728" s="649">
        <f t="shared" si="68"/>
        <v>-54</v>
      </c>
      <c r="AI728" s="649" t="str">
        <f t="shared" si="69"/>
        <v>en término</v>
      </c>
    </row>
    <row r="729" spans="1:39" s="649" customFormat="1" ht="54.95" customHeight="1" thickBot="1" x14ac:dyDescent="0.25">
      <c r="B729" s="1022" t="s">
        <v>78</v>
      </c>
      <c r="C729" s="1022" t="s">
        <v>6929</v>
      </c>
      <c r="D729" s="901" t="s">
        <v>6972</v>
      </c>
      <c r="E729" s="901" t="s">
        <v>81</v>
      </c>
      <c r="F729" s="1061" t="s">
        <v>6976</v>
      </c>
      <c r="G729" s="889" t="s">
        <v>39</v>
      </c>
      <c r="H729" s="1291">
        <v>1085.58</v>
      </c>
      <c r="I729" s="902"/>
      <c r="J729" s="892">
        <v>43944</v>
      </c>
      <c r="K729" s="893">
        <f t="shared" ref="K729:K736" si="70">+L729-J729</f>
        <v>15</v>
      </c>
      <c r="L729" s="892">
        <v>43959</v>
      </c>
      <c r="M729" s="892" t="s">
        <v>83</v>
      </c>
      <c r="N729" s="889" t="s">
        <v>42</v>
      </c>
      <c r="O729" s="892">
        <v>43994</v>
      </c>
      <c r="P729" s="893">
        <f t="shared" ref="P729:P736" si="71">IF(S729="","",+S729-L729)</f>
        <v>56</v>
      </c>
      <c r="Q729" s="901" t="s">
        <v>7008</v>
      </c>
      <c r="R729" s="903">
        <v>44012</v>
      </c>
      <c r="S729" s="904">
        <v>44015</v>
      </c>
      <c r="T729" s="894">
        <f>+S729+20</f>
        <v>44035</v>
      </c>
      <c r="U729" s="893">
        <f t="shared" ref="U729:U736" si="72">IF(T729="","",+T729-J729)</f>
        <v>91</v>
      </c>
      <c r="V729" s="901" t="s">
        <v>6985</v>
      </c>
      <c r="W729" s="1106" t="s">
        <v>7017</v>
      </c>
      <c r="X729" s="905"/>
      <c r="Y729" s="905"/>
      <c r="Z729" s="889">
        <v>1471509325</v>
      </c>
      <c r="AA729" s="889"/>
      <c r="AB729" s="892">
        <v>44028</v>
      </c>
      <c r="AC729" s="476" t="s">
        <v>6987</v>
      </c>
      <c r="AD729" s="645" t="str">
        <f t="shared" ref="AD729:AD736" si="73">IF(P729="","",IF(P729&lt;=0,"en término","atrasado"))</f>
        <v>atrasado</v>
      </c>
      <c r="AE729" s="468" t="s">
        <v>7042</v>
      </c>
      <c r="AF729" s="468" t="s">
        <v>2949</v>
      </c>
      <c r="AG729" s="1101">
        <f t="shared" si="67"/>
        <v>44075</v>
      </c>
      <c r="AH729" s="649">
        <f t="shared" si="68"/>
        <v>-47</v>
      </c>
      <c r="AI729" s="649" t="str">
        <f t="shared" ref="AI729:AI736" si="74">IF(AH729="","",IF(AH729&lt;=0,"en término","atrasado"))</f>
        <v>en término</v>
      </c>
    </row>
    <row r="730" spans="1:39" s="649" customFormat="1" ht="54.95" customHeight="1" thickBot="1" x14ac:dyDescent="0.25">
      <c r="B730" s="1022" t="s">
        <v>78</v>
      </c>
      <c r="C730" s="1022" t="s">
        <v>6929</v>
      </c>
      <c r="D730" s="901" t="s">
        <v>6973</v>
      </c>
      <c r="E730" s="901" t="s">
        <v>81</v>
      </c>
      <c r="F730" s="1061" t="s">
        <v>6975</v>
      </c>
      <c r="G730" s="889" t="s">
        <v>39</v>
      </c>
      <c r="H730" s="1291">
        <v>242161.09</v>
      </c>
      <c r="I730" s="902"/>
      <c r="J730" s="892">
        <v>43944</v>
      </c>
      <c r="K730" s="893">
        <f t="shared" si="70"/>
        <v>43</v>
      </c>
      <c r="L730" s="892">
        <v>43987</v>
      </c>
      <c r="M730" s="892" t="s">
        <v>83</v>
      </c>
      <c r="N730" s="889" t="s">
        <v>42</v>
      </c>
      <c r="O730" s="892">
        <v>43994</v>
      </c>
      <c r="P730" s="893">
        <f t="shared" si="71"/>
        <v>28</v>
      </c>
      <c r="Q730" s="901" t="s">
        <v>7008</v>
      </c>
      <c r="R730" s="903">
        <v>44012</v>
      </c>
      <c r="S730" s="904">
        <v>44015</v>
      </c>
      <c r="T730" s="894">
        <f>+S730+20</f>
        <v>44035</v>
      </c>
      <c r="U730" s="893">
        <f t="shared" si="72"/>
        <v>91</v>
      </c>
      <c r="V730" s="901" t="s">
        <v>6992</v>
      </c>
      <c r="W730" s="1106" t="s">
        <v>7017</v>
      </c>
      <c r="X730" s="905"/>
      <c r="Y730" s="905"/>
      <c r="Z730" s="889">
        <v>1471509325</v>
      </c>
      <c r="AA730" s="889"/>
      <c r="AB730" s="892">
        <v>44028</v>
      </c>
      <c r="AC730" s="476" t="s">
        <v>6979</v>
      </c>
      <c r="AD730" s="645" t="str">
        <f t="shared" si="73"/>
        <v>atrasado</v>
      </c>
      <c r="AE730" s="468" t="s">
        <v>7042</v>
      </c>
      <c r="AF730" s="468" t="s">
        <v>2949</v>
      </c>
      <c r="AG730" s="1101">
        <f t="shared" si="67"/>
        <v>44075</v>
      </c>
      <c r="AH730" s="649">
        <f t="shared" si="68"/>
        <v>-47</v>
      </c>
      <c r="AI730" s="649" t="str">
        <f t="shared" si="74"/>
        <v>en término</v>
      </c>
    </row>
    <row r="731" spans="1:39" s="649" customFormat="1" ht="54.95" customHeight="1" thickBot="1" x14ac:dyDescent="0.25">
      <c r="B731" s="1022" t="s">
        <v>78</v>
      </c>
      <c r="C731" s="1022" t="s">
        <v>6929</v>
      </c>
      <c r="D731" s="901" t="s">
        <v>6996</v>
      </c>
      <c r="E731" s="901" t="s">
        <v>81</v>
      </c>
      <c r="F731" s="1061" t="s">
        <v>6995</v>
      </c>
      <c r="G731" s="889" t="s">
        <v>39</v>
      </c>
      <c r="H731" s="1291">
        <v>54862.9</v>
      </c>
      <c r="I731" s="902"/>
      <c r="J731" s="892">
        <v>43984</v>
      </c>
      <c r="K731" s="893">
        <f t="shared" si="70"/>
        <v>11</v>
      </c>
      <c r="L731" s="892">
        <v>43995</v>
      </c>
      <c r="M731" s="892" t="s">
        <v>83</v>
      </c>
      <c r="N731" s="889" t="s">
        <v>42</v>
      </c>
      <c r="O731" s="892">
        <v>43994</v>
      </c>
      <c r="P731" s="893">
        <f t="shared" si="71"/>
        <v>20</v>
      </c>
      <c r="Q731" s="901" t="s">
        <v>7008</v>
      </c>
      <c r="R731" s="903">
        <v>44012</v>
      </c>
      <c r="S731" s="904">
        <v>44015</v>
      </c>
      <c r="T731" s="894">
        <f>+S731+20</f>
        <v>44035</v>
      </c>
      <c r="U731" s="893">
        <f t="shared" si="72"/>
        <v>51</v>
      </c>
      <c r="V731" s="901" t="s">
        <v>6864</v>
      </c>
      <c r="W731" s="1106" t="s">
        <v>7017</v>
      </c>
      <c r="X731" s="905"/>
      <c r="Y731" s="905"/>
      <c r="Z731" s="889">
        <v>1471509325</v>
      </c>
      <c r="AA731" s="889"/>
      <c r="AB731" s="892">
        <v>44028</v>
      </c>
      <c r="AC731" s="476" t="s">
        <v>6997</v>
      </c>
      <c r="AD731" s="645" t="str">
        <f t="shared" si="73"/>
        <v>atrasado</v>
      </c>
      <c r="AE731" s="468" t="s">
        <v>7042</v>
      </c>
      <c r="AF731" s="468" t="s">
        <v>2949</v>
      </c>
      <c r="AG731" s="1101">
        <f t="shared" si="67"/>
        <v>44075</v>
      </c>
      <c r="AH731" s="649">
        <f t="shared" si="68"/>
        <v>-47</v>
      </c>
      <c r="AI731" s="649" t="str">
        <f t="shared" si="74"/>
        <v>en término</v>
      </c>
    </row>
    <row r="732" spans="1:39" s="649" customFormat="1" ht="54.95" customHeight="1" thickBot="1" x14ac:dyDescent="0.25">
      <c r="B732" s="1022" t="s">
        <v>78</v>
      </c>
      <c r="C732" s="1022" t="s">
        <v>6929</v>
      </c>
      <c r="D732" s="901" t="s">
        <v>6930</v>
      </c>
      <c r="E732" s="901" t="s">
        <v>81</v>
      </c>
      <c r="F732" s="1287" t="s">
        <v>7037</v>
      </c>
      <c r="G732" s="889" t="s">
        <v>39</v>
      </c>
      <c r="H732" s="890">
        <v>1215.4000000000001</v>
      </c>
      <c r="I732" s="902"/>
      <c r="J732" s="892">
        <v>43921</v>
      </c>
      <c r="K732" s="893">
        <f t="shared" si="70"/>
        <v>30</v>
      </c>
      <c r="L732" s="892">
        <v>43951</v>
      </c>
      <c r="M732" s="892" t="s">
        <v>83</v>
      </c>
      <c r="N732" s="889" t="s">
        <v>42</v>
      </c>
      <c r="O732" s="892">
        <v>44029</v>
      </c>
      <c r="P732" s="893">
        <f>IF(S732="","",+S732-L732)</f>
        <v>93</v>
      </c>
      <c r="Q732" s="901" t="s">
        <v>7044</v>
      </c>
      <c r="R732" s="903">
        <v>44036</v>
      </c>
      <c r="S732" s="904">
        <v>44044</v>
      </c>
      <c r="T732" s="894">
        <v>44065</v>
      </c>
      <c r="U732" s="893">
        <f t="shared" si="72"/>
        <v>144</v>
      </c>
      <c r="V732" s="901" t="s">
        <v>6986</v>
      </c>
      <c r="W732" s="1106" t="s">
        <v>7071</v>
      </c>
      <c r="X732" s="905"/>
      <c r="Y732" s="905"/>
      <c r="Z732" s="889"/>
      <c r="AA732" s="889"/>
      <c r="AB732" s="892">
        <v>44057</v>
      </c>
      <c r="AC732" s="476" t="s">
        <v>6988</v>
      </c>
      <c r="AD732" s="645" t="str">
        <f>IF(P732="","",IF(P732&lt;=0,"en término","atrasado"))</f>
        <v>atrasado</v>
      </c>
      <c r="AE732" s="468" t="s">
        <v>7074</v>
      </c>
      <c r="AF732" s="468" t="s">
        <v>2957</v>
      </c>
      <c r="AG732" s="1101">
        <f t="shared" si="67"/>
        <v>44104</v>
      </c>
      <c r="AH732" s="649">
        <f t="shared" si="68"/>
        <v>-47</v>
      </c>
      <c r="AI732" s="649" t="str">
        <f t="shared" si="74"/>
        <v>en término</v>
      </c>
    </row>
    <row r="733" spans="1:39" s="649" customFormat="1" ht="54.95" customHeight="1" thickBot="1" x14ac:dyDescent="0.25">
      <c r="B733" s="1022" t="s">
        <v>78</v>
      </c>
      <c r="C733" s="1022" t="s">
        <v>6929</v>
      </c>
      <c r="D733" s="901" t="s">
        <v>6973</v>
      </c>
      <c r="E733" s="901" t="s">
        <v>81</v>
      </c>
      <c r="F733" s="1287" t="s">
        <v>7039</v>
      </c>
      <c r="G733" s="889" t="s">
        <v>39</v>
      </c>
      <c r="H733" s="1291">
        <v>11611.9</v>
      </c>
      <c r="I733" s="902"/>
      <c r="J733" s="892">
        <v>43944</v>
      </c>
      <c r="K733" s="893">
        <f t="shared" si="70"/>
        <v>43</v>
      </c>
      <c r="L733" s="892">
        <v>43987</v>
      </c>
      <c r="M733" s="892" t="s">
        <v>83</v>
      </c>
      <c r="N733" s="889" t="s">
        <v>42</v>
      </c>
      <c r="O733" s="892">
        <v>44029</v>
      </c>
      <c r="P733" s="893">
        <f t="shared" si="71"/>
        <v>57</v>
      </c>
      <c r="Q733" s="901" t="s">
        <v>7044</v>
      </c>
      <c r="R733" s="903">
        <v>44036</v>
      </c>
      <c r="S733" s="904">
        <v>44044</v>
      </c>
      <c r="T733" s="894">
        <v>44065</v>
      </c>
      <c r="U733" s="893">
        <f t="shared" si="72"/>
        <v>121</v>
      </c>
      <c r="V733" s="901" t="s">
        <v>7019</v>
      </c>
      <c r="W733" s="1106" t="s">
        <v>7071</v>
      </c>
      <c r="X733" s="905"/>
      <c r="Y733" s="905"/>
      <c r="Z733" s="889"/>
      <c r="AA733" s="889"/>
      <c r="AB733" s="892">
        <v>44057</v>
      </c>
      <c r="AC733" s="476" t="s">
        <v>6994</v>
      </c>
      <c r="AD733" s="645" t="str">
        <f t="shared" si="73"/>
        <v>atrasado</v>
      </c>
      <c r="AE733" s="468" t="s">
        <v>7074</v>
      </c>
      <c r="AF733" s="468" t="s">
        <v>2957</v>
      </c>
      <c r="AG733" s="1101">
        <f t="shared" si="67"/>
        <v>44104</v>
      </c>
      <c r="AH733" s="649">
        <f t="shared" si="68"/>
        <v>-47</v>
      </c>
      <c r="AI733" s="649" t="str">
        <f t="shared" si="74"/>
        <v>en término</v>
      </c>
    </row>
    <row r="734" spans="1:39" s="649" customFormat="1" ht="54.95" customHeight="1" thickBot="1" x14ac:dyDescent="0.25">
      <c r="B734" s="1022" t="s">
        <v>78</v>
      </c>
      <c r="C734" s="1022" t="s">
        <v>6929</v>
      </c>
      <c r="D734" s="901" t="s">
        <v>6974</v>
      </c>
      <c r="E734" s="901" t="s">
        <v>81</v>
      </c>
      <c r="F734" s="1287" t="s">
        <v>7040</v>
      </c>
      <c r="G734" s="889" t="s">
        <v>39</v>
      </c>
      <c r="H734" s="1291">
        <v>156705.06</v>
      </c>
      <c r="I734" s="902"/>
      <c r="J734" s="892">
        <v>43944</v>
      </c>
      <c r="K734" s="893">
        <f t="shared" si="70"/>
        <v>71</v>
      </c>
      <c r="L734" s="892">
        <v>44015</v>
      </c>
      <c r="M734" s="892" t="s">
        <v>83</v>
      </c>
      <c r="N734" s="889" t="s">
        <v>42</v>
      </c>
      <c r="O734" s="892">
        <v>44029</v>
      </c>
      <c r="P734" s="893">
        <f t="shared" si="71"/>
        <v>29</v>
      </c>
      <c r="Q734" s="901" t="s">
        <v>7044</v>
      </c>
      <c r="R734" s="903">
        <v>44036</v>
      </c>
      <c r="S734" s="904">
        <v>44044</v>
      </c>
      <c r="T734" s="894">
        <v>44065</v>
      </c>
      <c r="U734" s="893">
        <f t="shared" si="72"/>
        <v>121</v>
      </c>
      <c r="V734" s="901" t="s">
        <v>7015</v>
      </c>
      <c r="W734" s="1106" t="s">
        <v>7071</v>
      </c>
      <c r="X734" s="905"/>
      <c r="Y734" s="905"/>
      <c r="Z734" s="889"/>
      <c r="AA734" s="889"/>
      <c r="AB734" s="892">
        <v>44057</v>
      </c>
      <c r="AC734" s="476" t="s">
        <v>6980</v>
      </c>
      <c r="AD734" s="645" t="str">
        <f t="shared" si="73"/>
        <v>atrasado</v>
      </c>
      <c r="AE734" s="468" t="s">
        <v>7074</v>
      </c>
      <c r="AF734" s="468" t="s">
        <v>2957</v>
      </c>
      <c r="AG734" s="1101">
        <f t="shared" si="67"/>
        <v>44104</v>
      </c>
      <c r="AH734" s="649">
        <f t="shared" si="68"/>
        <v>-47</v>
      </c>
      <c r="AI734" s="649" t="str">
        <f t="shared" si="74"/>
        <v>en término</v>
      </c>
    </row>
    <row r="735" spans="1:39" s="649" customFormat="1" ht="54.95" customHeight="1" thickBot="1" x14ac:dyDescent="0.25">
      <c r="B735" s="1022" t="s">
        <v>78</v>
      </c>
      <c r="C735" s="1022" t="s">
        <v>6929</v>
      </c>
      <c r="D735" s="901" t="s">
        <v>7004</v>
      </c>
      <c r="E735" s="901" t="s">
        <v>81</v>
      </c>
      <c r="F735" s="1287" t="s">
        <v>7041</v>
      </c>
      <c r="G735" s="889" t="s">
        <v>39</v>
      </c>
      <c r="H735" s="1291">
        <v>1379.8</v>
      </c>
      <c r="I735" s="902"/>
      <c r="J735" s="892">
        <v>43992</v>
      </c>
      <c r="K735" s="893">
        <f t="shared" si="70"/>
        <v>23</v>
      </c>
      <c r="L735" s="892">
        <v>44015</v>
      </c>
      <c r="M735" s="892" t="s">
        <v>83</v>
      </c>
      <c r="N735" s="889" t="s">
        <v>42</v>
      </c>
      <c r="O735" s="892">
        <v>44029</v>
      </c>
      <c r="P735" s="893">
        <f t="shared" si="71"/>
        <v>29</v>
      </c>
      <c r="Q735" s="901" t="s">
        <v>7044</v>
      </c>
      <c r="R735" s="903">
        <v>44036</v>
      </c>
      <c r="S735" s="904">
        <v>44044</v>
      </c>
      <c r="T735" s="894">
        <v>44065</v>
      </c>
      <c r="U735" s="893">
        <f t="shared" si="72"/>
        <v>73</v>
      </c>
      <c r="V735" s="901" t="s">
        <v>6864</v>
      </c>
      <c r="W735" s="1106" t="s">
        <v>7071</v>
      </c>
      <c r="X735" s="905"/>
      <c r="Y735" s="905"/>
      <c r="Z735" s="889"/>
      <c r="AA735" s="889"/>
      <c r="AB735" s="892">
        <v>44057</v>
      </c>
      <c r="AC735" s="476" t="s">
        <v>7003</v>
      </c>
      <c r="AD735" s="645" t="str">
        <f t="shared" si="73"/>
        <v>atrasado</v>
      </c>
      <c r="AE735" s="468" t="s">
        <v>7074</v>
      </c>
      <c r="AF735" s="468" t="s">
        <v>2957</v>
      </c>
      <c r="AG735" s="1101">
        <f t="shared" si="67"/>
        <v>44104</v>
      </c>
      <c r="AH735" s="649">
        <f t="shared" si="68"/>
        <v>-47</v>
      </c>
      <c r="AI735" s="649" t="str">
        <f t="shared" si="74"/>
        <v>en término</v>
      </c>
    </row>
    <row r="736" spans="1:39" s="649" customFormat="1" ht="54.95" customHeight="1" thickBot="1" x14ac:dyDescent="0.25">
      <c r="B736" s="1022" t="s">
        <v>78</v>
      </c>
      <c r="C736" s="1022" t="s">
        <v>6929</v>
      </c>
      <c r="D736" s="901" t="s">
        <v>7005</v>
      </c>
      <c r="E736" s="901" t="s">
        <v>81</v>
      </c>
      <c r="F736" s="1287" t="s">
        <v>7038</v>
      </c>
      <c r="G736" s="889" t="s">
        <v>39</v>
      </c>
      <c r="H736" s="1291">
        <v>604</v>
      </c>
      <c r="I736" s="902"/>
      <c r="J736" s="892">
        <v>43992</v>
      </c>
      <c r="K736" s="893">
        <f t="shared" si="70"/>
        <v>23</v>
      </c>
      <c r="L736" s="892">
        <v>44015</v>
      </c>
      <c r="M736" s="892" t="s">
        <v>83</v>
      </c>
      <c r="N736" s="889" t="s">
        <v>42</v>
      </c>
      <c r="O736" s="892">
        <v>44029</v>
      </c>
      <c r="P736" s="893">
        <f t="shared" si="71"/>
        <v>29</v>
      </c>
      <c r="Q736" s="901" t="s">
        <v>7044</v>
      </c>
      <c r="R736" s="903">
        <v>44036</v>
      </c>
      <c r="S736" s="904">
        <v>44044</v>
      </c>
      <c r="T736" s="894">
        <v>44065</v>
      </c>
      <c r="U736" s="893">
        <f t="shared" si="72"/>
        <v>73</v>
      </c>
      <c r="V736" s="901" t="s">
        <v>6864</v>
      </c>
      <c r="W736" s="1106" t="s">
        <v>7071</v>
      </c>
      <c r="X736" s="905"/>
      <c r="Y736" s="905"/>
      <c r="Z736" s="889"/>
      <c r="AA736" s="889"/>
      <c r="AB736" s="892">
        <v>44057</v>
      </c>
      <c r="AC736" s="476" t="s">
        <v>7007</v>
      </c>
      <c r="AD736" s="645" t="str">
        <f t="shared" si="73"/>
        <v>atrasado</v>
      </c>
      <c r="AE736" s="468" t="s">
        <v>7074</v>
      </c>
      <c r="AF736" s="468" t="s">
        <v>2957</v>
      </c>
      <c r="AG736" s="1101">
        <f t="shared" si="67"/>
        <v>44104</v>
      </c>
      <c r="AH736" s="649">
        <f t="shared" si="68"/>
        <v>-47</v>
      </c>
      <c r="AI736" s="649" t="str">
        <f t="shared" si="74"/>
        <v>en término</v>
      </c>
    </row>
    <row r="737" spans="1:39" s="638" customFormat="1" ht="54.95" customHeight="1" thickBot="1" x14ac:dyDescent="0.25">
      <c r="B737" s="965" t="s">
        <v>78</v>
      </c>
      <c r="C737" s="965" t="s">
        <v>6929</v>
      </c>
      <c r="D737" s="949" t="s">
        <v>7058</v>
      </c>
      <c r="E737" s="949" t="s">
        <v>81</v>
      </c>
      <c r="F737" s="1292" t="s">
        <v>7055</v>
      </c>
      <c r="G737" s="951" t="s">
        <v>39</v>
      </c>
      <c r="H737" s="1288">
        <v>14655.71</v>
      </c>
      <c r="I737" s="953"/>
      <c r="J737" s="954">
        <v>44041</v>
      </c>
      <c r="K737" s="955">
        <f t="shared" ref="K737:K743" si="75">+L737-J737</f>
        <v>65</v>
      </c>
      <c r="L737" s="954">
        <v>44106</v>
      </c>
      <c r="M737" s="954" t="s">
        <v>83</v>
      </c>
      <c r="N737" s="951" t="s">
        <v>42</v>
      </c>
      <c r="O737" s="956">
        <v>44127</v>
      </c>
      <c r="P737" s="957">
        <f t="shared" ref="P737:P743" si="76">IF(S737="","",+S737-L737)</f>
        <v>40</v>
      </c>
      <c r="Q737" s="958" t="s">
        <v>7148</v>
      </c>
      <c r="R737" s="959">
        <v>44130</v>
      </c>
      <c r="S737" s="960">
        <v>44146</v>
      </c>
      <c r="T737" s="961">
        <v>44162</v>
      </c>
      <c r="U737" s="955">
        <f t="shared" ref="U737:U743" si="77">IF(T737="","",+T737-J737)</f>
        <v>121</v>
      </c>
      <c r="V737" s="949" t="s">
        <v>6864</v>
      </c>
      <c r="W737" s="1105" t="s">
        <v>7150</v>
      </c>
      <c r="X737" s="963"/>
      <c r="Y737" s="963"/>
      <c r="Z737" s="951" t="s">
        <v>7162</v>
      </c>
      <c r="AA737" s="951"/>
      <c r="AB737" s="954">
        <v>44160</v>
      </c>
      <c r="AC737" s="964" t="s">
        <v>7155</v>
      </c>
      <c r="AD737" s="646" t="str">
        <f t="shared" ref="AD737:AD743" si="78">IF(P737="","",IF(P737&lt;=0,"en término","atrasado"))</f>
        <v>atrasado</v>
      </c>
      <c r="AE737" s="468" t="s">
        <v>7149</v>
      </c>
      <c r="AF737" s="468" t="s">
        <v>3074</v>
      </c>
      <c r="AG737" s="1101">
        <f t="shared" ref="AG737:AG743" si="79">+S737+60</f>
        <v>44206</v>
      </c>
      <c r="AH737" s="649">
        <f t="shared" ref="AH737:AH743" si="80">IF(AB737="","",+AB737-AG737)</f>
        <v>-46</v>
      </c>
      <c r="AI737" s="649" t="str">
        <f t="shared" ref="AI737:AI743" si="81">IF(AH737="","",IF(AH737&lt;=0,"en término","atrasado"))</f>
        <v>en término</v>
      </c>
    </row>
    <row r="738" spans="1:39" s="649" customFormat="1" ht="54.95" customHeight="1" thickBot="1" x14ac:dyDescent="0.25">
      <c r="B738" s="1022" t="s">
        <v>78</v>
      </c>
      <c r="C738" s="1022" t="s">
        <v>6929</v>
      </c>
      <c r="D738" s="901" t="s">
        <v>7059</v>
      </c>
      <c r="E738" s="901" t="s">
        <v>81</v>
      </c>
      <c r="F738" s="1287" t="s">
        <v>7056</v>
      </c>
      <c r="G738" s="889" t="s">
        <v>39</v>
      </c>
      <c r="H738" s="1291">
        <v>63280.24</v>
      </c>
      <c r="I738" s="902"/>
      <c r="J738" s="892">
        <v>44041</v>
      </c>
      <c r="K738" s="893">
        <f t="shared" si="75"/>
        <v>65</v>
      </c>
      <c r="L738" s="892">
        <v>44106</v>
      </c>
      <c r="M738" s="892" t="s">
        <v>83</v>
      </c>
      <c r="N738" s="889" t="s">
        <v>42</v>
      </c>
      <c r="O738" s="892">
        <v>44127</v>
      </c>
      <c r="P738" s="893">
        <f t="shared" si="76"/>
        <v>40</v>
      </c>
      <c r="Q738" s="901" t="s">
        <v>7148</v>
      </c>
      <c r="R738" s="903">
        <v>44130</v>
      </c>
      <c r="S738" s="904">
        <v>44146</v>
      </c>
      <c r="T738" s="894">
        <v>44162</v>
      </c>
      <c r="U738" s="893">
        <f t="shared" si="77"/>
        <v>121</v>
      </c>
      <c r="V738" s="901" t="s">
        <v>6864</v>
      </c>
      <c r="W738" s="1106" t="s">
        <v>7150</v>
      </c>
      <c r="X738" s="905"/>
      <c r="Y738" s="905"/>
      <c r="Z738" s="889" t="s">
        <v>7162</v>
      </c>
      <c r="AA738" s="889"/>
      <c r="AB738" s="892">
        <v>44160</v>
      </c>
      <c r="AC738" s="476" t="s">
        <v>7154</v>
      </c>
      <c r="AD738" s="645" t="str">
        <f t="shared" si="78"/>
        <v>atrasado</v>
      </c>
      <c r="AE738" s="468" t="s">
        <v>7149</v>
      </c>
      <c r="AF738" s="468" t="s">
        <v>3074</v>
      </c>
      <c r="AG738" s="1101">
        <f t="shared" si="79"/>
        <v>44206</v>
      </c>
      <c r="AH738" s="649">
        <f t="shared" si="80"/>
        <v>-46</v>
      </c>
      <c r="AI738" s="649" t="str">
        <f t="shared" si="81"/>
        <v>en término</v>
      </c>
    </row>
    <row r="739" spans="1:39" s="649" customFormat="1" ht="54.95" customHeight="1" thickBot="1" x14ac:dyDescent="0.25">
      <c r="B739" s="1022" t="s">
        <v>78</v>
      </c>
      <c r="C739" s="1022" t="s">
        <v>6929</v>
      </c>
      <c r="D739" s="901" t="s">
        <v>7060</v>
      </c>
      <c r="E739" s="901" t="s">
        <v>6538</v>
      </c>
      <c r="F739" s="1287" t="s">
        <v>7057</v>
      </c>
      <c r="G739" s="889" t="s">
        <v>39</v>
      </c>
      <c r="H739" s="1291">
        <v>1409.05</v>
      </c>
      <c r="I739" s="902"/>
      <c r="J739" s="892">
        <v>44041</v>
      </c>
      <c r="K739" s="893">
        <f t="shared" si="75"/>
        <v>65</v>
      </c>
      <c r="L739" s="892">
        <v>44106</v>
      </c>
      <c r="M739" s="892" t="s">
        <v>83</v>
      </c>
      <c r="N739" s="889" t="s">
        <v>42</v>
      </c>
      <c r="O739" s="892">
        <v>44127</v>
      </c>
      <c r="P739" s="893">
        <f t="shared" si="76"/>
        <v>40</v>
      </c>
      <c r="Q739" s="901" t="s">
        <v>7148</v>
      </c>
      <c r="R739" s="903">
        <v>44130</v>
      </c>
      <c r="S739" s="904">
        <v>44146</v>
      </c>
      <c r="T739" s="894">
        <v>44162</v>
      </c>
      <c r="U739" s="893">
        <f t="shared" si="77"/>
        <v>121</v>
      </c>
      <c r="V739" s="901" t="s">
        <v>6864</v>
      </c>
      <c r="W739" s="1106" t="s">
        <v>7150</v>
      </c>
      <c r="X739" s="905"/>
      <c r="Y739" s="905"/>
      <c r="Z739" s="889" t="s">
        <v>7162</v>
      </c>
      <c r="AA739" s="889"/>
      <c r="AB739" s="892">
        <v>44160</v>
      </c>
      <c r="AC739" s="476" t="s">
        <v>7153</v>
      </c>
      <c r="AD739" s="645" t="str">
        <f t="shared" si="78"/>
        <v>atrasado</v>
      </c>
      <c r="AE739" s="468" t="s">
        <v>7149</v>
      </c>
      <c r="AF739" s="468" t="s">
        <v>3074</v>
      </c>
      <c r="AG739" s="1101">
        <f t="shared" si="79"/>
        <v>44206</v>
      </c>
      <c r="AH739" s="649">
        <f t="shared" si="80"/>
        <v>-46</v>
      </c>
      <c r="AI739" s="649" t="str">
        <f t="shared" si="81"/>
        <v>en término</v>
      </c>
    </row>
    <row r="740" spans="1:39" s="649" customFormat="1" ht="54.95" customHeight="1" thickBot="1" x14ac:dyDescent="0.25">
      <c r="B740" s="1022" t="s">
        <v>78</v>
      </c>
      <c r="C740" s="1022" t="s">
        <v>6929</v>
      </c>
      <c r="D740" s="901" t="s">
        <v>7104</v>
      </c>
      <c r="E740" s="901" t="s">
        <v>81</v>
      </c>
      <c r="F740" s="1287" t="s">
        <v>7107</v>
      </c>
      <c r="G740" s="889" t="s">
        <v>39</v>
      </c>
      <c r="H740" s="1291">
        <v>4498.76</v>
      </c>
      <c r="I740" s="902"/>
      <c r="J740" s="892">
        <v>44041</v>
      </c>
      <c r="K740" s="893">
        <f t="shared" si="75"/>
        <v>65</v>
      </c>
      <c r="L740" s="892">
        <v>44106</v>
      </c>
      <c r="M740" s="892" t="s">
        <v>83</v>
      </c>
      <c r="N740" s="889" t="s">
        <v>42</v>
      </c>
      <c r="O740" s="892">
        <v>44127</v>
      </c>
      <c r="P740" s="893">
        <f t="shared" si="76"/>
        <v>40</v>
      </c>
      <c r="Q740" s="901" t="s">
        <v>7148</v>
      </c>
      <c r="R740" s="903">
        <v>44130</v>
      </c>
      <c r="S740" s="904">
        <v>44146</v>
      </c>
      <c r="T740" s="894">
        <v>44162</v>
      </c>
      <c r="U740" s="893">
        <f t="shared" si="77"/>
        <v>121</v>
      </c>
      <c r="V740" s="901" t="s">
        <v>6864</v>
      </c>
      <c r="W740" s="1106" t="s">
        <v>7150</v>
      </c>
      <c r="X740" s="905"/>
      <c r="Y740" s="905"/>
      <c r="Z740" s="889" t="s">
        <v>7162</v>
      </c>
      <c r="AA740" s="889"/>
      <c r="AB740" s="892">
        <v>44160</v>
      </c>
      <c r="AC740" s="476" t="s">
        <v>7152</v>
      </c>
      <c r="AD740" s="645" t="str">
        <f t="shared" si="78"/>
        <v>atrasado</v>
      </c>
      <c r="AE740" s="468" t="s">
        <v>7149</v>
      </c>
      <c r="AF740" s="468" t="s">
        <v>3074</v>
      </c>
      <c r="AG740" s="1101">
        <f t="shared" si="79"/>
        <v>44206</v>
      </c>
      <c r="AH740" s="649">
        <f t="shared" si="80"/>
        <v>-46</v>
      </c>
      <c r="AI740" s="649" t="str">
        <f t="shared" si="81"/>
        <v>en término</v>
      </c>
    </row>
    <row r="741" spans="1:39" s="649" customFormat="1" ht="54.95" customHeight="1" thickBot="1" x14ac:dyDescent="0.25">
      <c r="B741" s="1022" t="s">
        <v>78</v>
      </c>
      <c r="C741" s="1022" t="s">
        <v>6929</v>
      </c>
      <c r="D741" s="901" t="s">
        <v>7105</v>
      </c>
      <c r="E741" s="901" t="s">
        <v>81</v>
      </c>
      <c r="F741" s="1287" t="s">
        <v>7129</v>
      </c>
      <c r="G741" s="889" t="s">
        <v>39</v>
      </c>
      <c r="H741" s="1291">
        <v>10291.68</v>
      </c>
      <c r="I741" s="902"/>
      <c r="J741" s="892">
        <v>44102</v>
      </c>
      <c r="K741" s="893">
        <f t="shared" si="75"/>
        <v>25</v>
      </c>
      <c r="L741" s="892">
        <v>44127</v>
      </c>
      <c r="M741" s="892" t="s">
        <v>83</v>
      </c>
      <c r="N741" s="889" t="s">
        <v>42</v>
      </c>
      <c r="O741" s="892">
        <v>44127</v>
      </c>
      <c r="P741" s="893">
        <f t="shared" si="76"/>
        <v>19</v>
      </c>
      <c r="Q741" s="901" t="s">
        <v>7148</v>
      </c>
      <c r="R741" s="903">
        <v>44130</v>
      </c>
      <c r="S741" s="904">
        <v>44146</v>
      </c>
      <c r="T741" s="894">
        <v>44162</v>
      </c>
      <c r="U741" s="893">
        <f t="shared" si="77"/>
        <v>60</v>
      </c>
      <c r="V741" s="901" t="s">
        <v>6864</v>
      </c>
      <c r="W741" s="1106" t="s">
        <v>7150</v>
      </c>
      <c r="X741" s="905"/>
      <c r="Y741" s="905"/>
      <c r="Z741" s="889" t="s">
        <v>7162</v>
      </c>
      <c r="AA741" s="889"/>
      <c r="AB741" s="892">
        <v>44160</v>
      </c>
      <c r="AC741" s="476" t="s">
        <v>7151</v>
      </c>
      <c r="AD741" s="645" t="str">
        <f t="shared" si="78"/>
        <v>atrasado</v>
      </c>
      <c r="AE741" s="468" t="s">
        <v>7149</v>
      </c>
      <c r="AF741" s="468" t="s">
        <v>3074</v>
      </c>
      <c r="AG741" s="1101">
        <f t="shared" si="79"/>
        <v>44206</v>
      </c>
      <c r="AH741" s="649">
        <f t="shared" si="80"/>
        <v>-46</v>
      </c>
      <c r="AI741" s="649" t="str">
        <f t="shared" si="81"/>
        <v>en término</v>
      </c>
    </row>
    <row r="742" spans="1:39" s="649" customFormat="1" ht="54.95" customHeight="1" thickBot="1" x14ac:dyDescent="0.25">
      <c r="B742" s="1022" t="s">
        <v>78</v>
      </c>
      <c r="C742" s="1022" t="s">
        <v>6929</v>
      </c>
      <c r="D742" s="901" t="s">
        <v>7130</v>
      </c>
      <c r="E742" s="901" t="s">
        <v>81</v>
      </c>
      <c r="F742" s="1287" t="s">
        <v>7132</v>
      </c>
      <c r="G742" s="889" t="s">
        <v>39</v>
      </c>
      <c r="H742" s="1291">
        <v>27330.400000000001</v>
      </c>
      <c r="I742" s="902"/>
      <c r="J742" s="892">
        <v>44124</v>
      </c>
      <c r="K742" s="893">
        <f t="shared" si="75"/>
        <v>34</v>
      </c>
      <c r="L742" s="892">
        <v>44158</v>
      </c>
      <c r="M742" s="892" t="s">
        <v>83</v>
      </c>
      <c r="N742" s="889" t="s">
        <v>42</v>
      </c>
      <c r="O742" s="892">
        <v>44162</v>
      </c>
      <c r="P742" s="893">
        <f t="shared" si="76"/>
        <v>19</v>
      </c>
      <c r="Q742" s="901"/>
      <c r="R742" s="903">
        <v>44169</v>
      </c>
      <c r="S742" s="904">
        <v>44177</v>
      </c>
      <c r="T742" s="894">
        <f>+S742+30</f>
        <v>44207</v>
      </c>
      <c r="U742" s="893">
        <f t="shared" si="77"/>
        <v>83</v>
      </c>
      <c r="V742" s="901" t="s">
        <v>6864</v>
      </c>
      <c r="W742" s="1106" t="s">
        <v>7178</v>
      </c>
      <c r="X742" s="905"/>
      <c r="Y742" s="905"/>
      <c r="Z742" s="889">
        <v>2191612393</v>
      </c>
      <c r="AA742" s="889"/>
      <c r="AB742" s="892">
        <v>44194</v>
      </c>
      <c r="AC742" s="476" t="s">
        <v>7135</v>
      </c>
      <c r="AD742" s="645" t="str">
        <f t="shared" si="78"/>
        <v>atrasado</v>
      </c>
      <c r="AE742" s="468" t="s">
        <v>7170</v>
      </c>
      <c r="AF742" s="468" t="s">
        <v>3082</v>
      </c>
      <c r="AG742" s="1101">
        <f t="shared" si="79"/>
        <v>44237</v>
      </c>
      <c r="AH742" s="649">
        <f t="shared" si="80"/>
        <v>-43</v>
      </c>
      <c r="AI742" s="649" t="str">
        <f t="shared" si="81"/>
        <v>en término</v>
      </c>
    </row>
    <row r="743" spans="1:39" s="649" customFormat="1" ht="54.95" customHeight="1" thickBot="1" x14ac:dyDescent="0.25">
      <c r="B743" s="1062" t="s">
        <v>78</v>
      </c>
      <c r="C743" s="1062" t="s">
        <v>6929</v>
      </c>
      <c r="D743" s="1063" t="s">
        <v>7131</v>
      </c>
      <c r="E743" s="1063" t="s">
        <v>81</v>
      </c>
      <c r="F743" s="1295" t="s">
        <v>7133</v>
      </c>
      <c r="G743" s="1294" t="s">
        <v>39</v>
      </c>
      <c r="H743" s="1296">
        <v>1075.56</v>
      </c>
      <c r="I743" s="1065"/>
      <c r="J743" s="1066">
        <v>44124</v>
      </c>
      <c r="K743" s="1067">
        <f t="shared" si="75"/>
        <v>34</v>
      </c>
      <c r="L743" s="1066">
        <v>44158</v>
      </c>
      <c r="M743" s="1066" t="s">
        <v>83</v>
      </c>
      <c r="N743" s="1294" t="s">
        <v>42</v>
      </c>
      <c r="O743" s="1066">
        <v>44162</v>
      </c>
      <c r="P743" s="1067">
        <f t="shared" si="76"/>
        <v>19</v>
      </c>
      <c r="Q743" s="1063"/>
      <c r="R743" s="1068">
        <v>44169</v>
      </c>
      <c r="S743" s="1069">
        <v>44177</v>
      </c>
      <c r="T743" s="1070">
        <f>+S743+30</f>
        <v>44207</v>
      </c>
      <c r="U743" s="1067">
        <f t="shared" si="77"/>
        <v>83</v>
      </c>
      <c r="V743" s="1063" t="s">
        <v>6864</v>
      </c>
      <c r="W743" s="1297" t="s">
        <v>7178</v>
      </c>
      <c r="X743" s="1072"/>
      <c r="Y743" s="1072"/>
      <c r="Z743" s="1294">
        <v>2191612393</v>
      </c>
      <c r="AA743" s="1294"/>
      <c r="AB743" s="1066">
        <v>44194</v>
      </c>
      <c r="AC743" s="1293" t="s">
        <v>7136</v>
      </c>
      <c r="AD743" s="645" t="str">
        <f t="shared" si="78"/>
        <v>atrasado</v>
      </c>
      <c r="AE743" s="446" t="s">
        <v>7170</v>
      </c>
      <c r="AF743" s="446" t="s">
        <v>3082</v>
      </c>
      <c r="AG743" s="1101">
        <f t="shared" si="79"/>
        <v>44237</v>
      </c>
      <c r="AH743" s="649">
        <f t="shared" si="80"/>
        <v>-43</v>
      </c>
      <c r="AI743" s="649" t="str">
        <f t="shared" si="81"/>
        <v>en término</v>
      </c>
    </row>
    <row r="744" spans="1:39" s="649" customFormat="1" ht="54.95" customHeight="1" thickBot="1" x14ac:dyDescent="0.25">
      <c r="B744" s="1022" t="s">
        <v>78</v>
      </c>
      <c r="C744" s="1022" t="s">
        <v>6929</v>
      </c>
      <c r="D744" s="901" t="s">
        <v>7059</v>
      </c>
      <c r="E744" s="901" t="s">
        <v>81</v>
      </c>
      <c r="F744" s="1287" t="s">
        <v>7056</v>
      </c>
      <c r="G744" s="889" t="s">
        <v>39</v>
      </c>
      <c r="H744" s="1291">
        <v>1825.4</v>
      </c>
      <c r="I744" s="902"/>
      <c r="J744" s="892">
        <v>44041</v>
      </c>
      <c r="K744" s="893">
        <f>+L744-J744</f>
        <v>65</v>
      </c>
      <c r="L744" s="892">
        <v>44106</v>
      </c>
      <c r="M744" s="892" t="s">
        <v>83</v>
      </c>
      <c r="N744" s="889" t="s">
        <v>110</v>
      </c>
      <c r="O744" s="892">
        <v>44148</v>
      </c>
      <c r="P744" s="893">
        <f>IF(S744="","",+S744-L744)</f>
        <v>54</v>
      </c>
      <c r="Q744" s="901"/>
      <c r="R744" s="903">
        <v>44155</v>
      </c>
      <c r="S744" s="904">
        <v>44160</v>
      </c>
      <c r="T744" s="904">
        <v>44161</v>
      </c>
      <c r="U744" s="893">
        <f>IF(T744="","",+T744-J744)</f>
        <v>120</v>
      </c>
      <c r="V744" s="901" t="s">
        <v>6864</v>
      </c>
      <c r="W744" s="1106" t="s">
        <v>7159</v>
      </c>
      <c r="X744" s="905"/>
      <c r="Y744" s="905"/>
      <c r="Z744" s="889"/>
      <c r="AA744" s="889"/>
      <c r="AB744" s="892">
        <v>44175</v>
      </c>
      <c r="AC744" s="476" t="s">
        <v>7134</v>
      </c>
      <c r="AD744" s="645" t="str">
        <f>IF(P744="","",IF(P744&lt;=0,"en término","atrasado"))</f>
        <v>atrasado</v>
      </c>
      <c r="AE744" s="468" t="s">
        <v>7158</v>
      </c>
      <c r="AF744" s="468" t="s">
        <v>3074</v>
      </c>
      <c r="AG744" s="1101">
        <f t="shared" ref="AG744" si="82">+S744+60</f>
        <v>44220</v>
      </c>
      <c r="AH744" s="649">
        <f t="shared" ref="AH744" si="83">IF(AB744="","",+AB744-AG744)</f>
        <v>-45</v>
      </c>
      <c r="AI744" s="649" t="str">
        <f t="shared" ref="AI744" si="84">IF(AH744="","",IF(AH744&lt;=0,"en término","atrasado"))</f>
        <v>en término</v>
      </c>
    </row>
    <row r="745" spans="1:39" s="649" customFormat="1" ht="54.95" customHeight="1" x14ac:dyDescent="0.2">
      <c r="B745" s="1298"/>
      <c r="C745" s="1298"/>
      <c r="D745" s="973"/>
      <c r="E745" s="973"/>
      <c r="F745" s="1295"/>
      <c r="G745" s="974"/>
      <c r="H745" s="1299"/>
      <c r="I745" s="976"/>
      <c r="J745" s="977"/>
      <c r="K745" s="978"/>
      <c r="L745" s="977"/>
      <c r="M745" s="977"/>
      <c r="N745" s="974"/>
      <c r="O745" s="977"/>
      <c r="P745" s="978"/>
      <c r="Q745" s="973"/>
      <c r="R745" s="979"/>
      <c r="S745" s="980"/>
      <c r="T745" s="981"/>
      <c r="U745" s="978"/>
      <c r="V745" s="973"/>
      <c r="W745" s="1295"/>
      <c r="X745" s="974"/>
      <c r="Y745" s="974"/>
      <c r="Z745" s="974"/>
      <c r="AA745" s="974"/>
      <c r="AB745" s="977"/>
      <c r="AC745" s="702"/>
      <c r="AD745" s="645"/>
      <c r="AE745" s="656"/>
      <c r="AF745" s="656"/>
      <c r="AG745" s="1101"/>
    </row>
    <row r="746" spans="1:39" s="649" customFormat="1" ht="54.95" customHeight="1" x14ac:dyDescent="0.2">
      <c r="B746" s="1298"/>
      <c r="C746" s="1298"/>
      <c r="D746" s="973"/>
      <c r="E746" s="973"/>
      <c r="F746" s="1295"/>
      <c r="G746" s="974"/>
      <c r="H746" s="1299"/>
      <c r="I746" s="976"/>
      <c r="J746" s="977"/>
      <c r="K746" s="978"/>
      <c r="L746" s="977"/>
      <c r="M746" s="977"/>
      <c r="N746" s="974"/>
      <c r="O746" s="977"/>
      <c r="P746" s="978"/>
      <c r="Q746" s="973"/>
      <c r="R746" s="979"/>
      <c r="S746" s="980"/>
      <c r="T746" s="981"/>
      <c r="U746" s="978"/>
      <c r="V746" s="973"/>
      <c r="W746" s="1295"/>
      <c r="X746" s="974"/>
      <c r="Y746" s="974"/>
      <c r="Z746" s="974"/>
      <c r="AA746" s="974"/>
      <c r="AB746" s="977"/>
      <c r="AC746" s="702"/>
      <c r="AD746" s="645"/>
      <c r="AE746" s="656"/>
      <c r="AF746" s="656"/>
      <c r="AG746" s="1101"/>
    </row>
    <row r="747" spans="1:39" s="556" customFormat="1" ht="39.950000000000003" customHeight="1" thickBot="1" x14ac:dyDescent="0.4">
      <c r="B747" s="1651">
        <v>2021</v>
      </c>
      <c r="C747" s="1652"/>
      <c r="D747" s="1652"/>
      <c r="E747" s="1652"/>
      <c r="F747" s="1652"/>
      <c r="G747" s="1652"/>
      <c r="H747" s="1652"/>
      <c r="I747" s="1652"/>
      <c r="J747" s="1652"/>
      <c r="K747" s="1652"/>
      <c r="L747" s="1652"/>
      <c r="M747" s="1652"/>
      <c r="N747" s="1652"/>
      <c r="O747" s="1652"/>
      <c r="P747" s="1652"/>
      <c r="Q747" s="1652"/>
      <c r="R747" s="1652"/>
      <c r="S747" s="1652"/>
      <c r="T747" s="1652"/>
      <c r="U747" s="1652"/>
      <c r="V747" s="1652"/>
      <c r="W747" s="1652"/>
      <c r="X747" s="1652"/>
      <c r="Y747" s="1652"/>
      <c r="Z747" s="1652"/>
      <c r="AA747" s="1652"/>
      <c r="AB747" s="1652"/>
      <c r="AC747" s="1653"/>
      <c r="AD747" s="555"/>
    </row>
    <row r="748" spans="1:39" s="441" customFormat="1" ht="60" customHeight="1" thickBot="1" x14ac:dyDescent="0.25">
      <c r="A748" s="438"/>
      <c r="B748" s="451" t="s">
        <v>130</v>
      </c>
      <c r="C748" s="451" t="s">
        <v>4</v>
      </c>
      <c r="D748" s="451" t="s">
        <v>5</v>
      </c>
      <c r="E748" s="451" t="s">
        <v>6</v>
      </c>
      <c r="F748" s="451" t="s">
        <v>7</v>
      </c>
      <c r="G748" s="451" t="s">
        <v>8</v>
      </c>
      <c r="H748" s="453" t="s">
        <v>9</v>
      </c>
      <c r="I748" s="453" t="s">
        <v>10</v>
      </c>
      <c r="J748" s="451" t="s">
        <v>11</v>
      </c>
      <c r="K748" s="451" t="s">
        <v>12</v>
      </c>
      <c r="L748" s="451" t="s">
        <v>13</v>
      </c>
      <c r="M748" s="451" t="s">
        <v>14</v>
      </c>
      <c r="N748" s="451" t="s">
        <v>15</v>
      </c>
      <c r="O748" s="452" t="s">
        <v>16</v>
      </c>
      <c r="P748" s="454" t="s">
        <v>17</v>
      </c>
      <c r="Q748" s="451" t="s">
        <v>18</v>
      </c>
      <c r="R748" s="452" t="s">
        <v>19</v>
      </c>
      <c r="S748" s="451" t="s">
        <v>20</v>
      </c>
      <c r="T748" s="451" t="s">
        <v>21</v>
      </c>
      <c r="U748" s="452" t="s">
        <v>22</v>
      </c>
      <c r="V748" s="451" t="s">
        <v>131</v>
      </c>
      <c r="W748" s="451" t="s">
        <v>24</v>
      </c>
      <c r="X748" s="451" t="s">
        <v>132</v>
      </c>
      <c r="Y748" s="451" t="s">
        <v>26</v>
      </c>
      <c r="Z748" s="451" t="s">
        <v>27</v>
      </c>
      <c r="AA748" s="451" t="s">
        <v>28</v>
      </c>
      <c r="AB748" s="451" t="s">
        <v>29</v>
      </c>
      <c r="AC748" s="451" t="s">
        <v>30</v>
      </c>
      <c r="AD748" s="439"/>
      <c r="AE748" s="440"/>
      <c r="AF748" s="440" t="s">
        <v>7187</v>
      </c>
      <c r="AG748" s="440" t="s">
        <v>7188</v>
      </c>
      <c r="AH748" s="440" t="s">
        <v>7189</v>
      </c>
      <c r="AI748" s="440" t="s">
        <v>7190</v>
      </c>
      <c r="AJ748" s="440"/>
      <c r="AK748" s="440"/>
      <c r="AL748" s="440"/>
      <c r="AM748" s="440"/>
    </row>
    <row r="749" spans="1:39" s="649" customFormat="1" ht="54.95" customHeight="1" thickBot="1" x14ac:dyDescent="0.25">
      <c r="B749" s="1022" t="s">
        <v>78</v>
      </c>
      <c r="C749" s="1022" t="s">
        <v>6929</v>
      </c>
      <c r="D749" s="901" t="s">
        <v>6974</v>
      </c>
      <c r="E749" s="901" t="s">
        <v>81</v>
      </c>
      <c r="F749" s="1061" t="s">
        <v>6977</v>
      </c>
      <c r="G749" s="889" t="s">
        <v>39</v>
      </c>
      <c r="H749" s="1291">
        <v>25082.5</v>
      </c>
      <c r="I749" s="902"/>
      <c r="J749" s="892">
        <v>43944</v>
      </c>
      <c r="K749" s="893">
        <f t="shared" ref="K749:K755" si="85">+L749-J749</f>
        <v>71</v>
      </c>
      <c r="L749" s="892">
        <v>44015</v>
      </c>
      <c r="M749" s="892" t="s">
        <v>83</v>
      </c>
      <c r="N749" s="889" t="s">
        <v>42</v>
      </c>
      <c r="O749" s="892">
        <v>44211</v>
      </c>
      <c r="P749" s="893">
        <f t="shared" ref="P749:P755" si="86">IF(S749="","",+S749-L749)</f>
        <v>218</v>
      </c>
      <c r="Q749" s="901" t="s">
        <v>6650</v>
      </c>
      <c r="R749" s="903"/>
      <c r="S749" s="904">
        <v>44233</v>
      </c>
      <c r="T749" s="894">
        <v>44253</v>
      </c>
      <c r="U749" s="893">
        <f t="shared" ref="U749:U755" si="87">IF(T749="","",+T749-J749)</f>
        <v>309</v>
      </c>
      <c r="V749" s="901" t="s">
        <v>7016</v>
      </c>
      <c r="W749" s="1106" t="s">
        <v>7233</v>
      </c>
      <c r="X749" s="905"/>
      <c r="Y749" s="905"/>
      <c r="Z749" s="889" t="s">
        <v>7267</v>
      </c>
      <c r="AA749" s="889"/>
      <c r="AB749" s="892">
        <v>44246</v>
      </c>
      <c r="AC749" s="476" t="s">
        <v>7211</v>
      </c>
      <c r="AD749" s="645" t="str">
        <f t="shared" ref="AD749:AD755" si="88">IF(P749="","",IF(P749&lt;=0,"en término","atrasado"))</f>
        <v>atrasado</v>
      </c>
      <c r="AE749" s="468" t="s">
        <v>7231</v>
      </c>
      <c r="AF749" s="468" t="s">
        <v>2981</v>
      </c>
      <c r="AG749" s="1101">
        <f>+S749+60</f>
        <v>44293</v>
      </c>
      <c r="AH749" s="649">
        <f>IF(AB749="","",+AB749-AG749)</f>
        <v>-47</v>
      </c>
      <c r="AI749" s="649" t="str">
        <f>IF(AH749="","",IF(AH749&lt;=0,"en término","atrasado"))</f>
        <v>en término</v>
      </c>
    </row>
    <row r="750" spans="1:39" s="649" customFormat="1" ht="54.95" customHeight="1" thickBot="1" x14ac:dyDescent="0.25">
      <c r="B750" s="1022" t="s">
        <v>78</v>
      </c>
      <c r="C750" s="1022" t="s">
        <v>6929</v>
      </c>
      <c r="D750" s="901" t="s">
        <v>7203</v>
      </c>
      <c r="E750" s="901" t="s">
        <v>6538</v>
      </c>
      <c r="F750" s="1287" t="s">
        <v>7204</v>
      </c>
      <c r="G750" s="889" t="s">
        <v>39</v>
      </c>
      <c r="H750" s="1291">
        <v>2694.53</v>
      </c>
      <c r="I750" s="902"/>
      <c r="J750" s="892">
        <v>44209</v>
      </c>
      <c r="K750" s="893">
        <f t="shared" si="85"/>
        <v>2</v>
      </c>
      <c r="L750" s="892">
        <v>44211</v>
      </c>
      <c r="M750" s="892" t="s">
        <v>83</v>
      </c>
      <c r="N750" s="889" t="s">
        <v>42</v>
      </c>
      <c r="O750" s="892">
        <v>44211</v>
      </c>
      <c r="P750" s="893">
        <f t="shared" si="86"/>
        <v>22</v>
      </c>
      <c r="Q750" s="901" t="s">
        <v>6650</v>
      </c>
      <c r="R750" s="903"/>
      <c r="S750" s="904">
        <v>44233</v>
      </c>
      <c r="T750" s="894">
        <v>44253</v>
      </c>
      <c r="U750" s="893">
        <f t="shared" si="87"/>
        <v>44</v>
      </c>
      <c r="V750" s="901" t="s">
        <v>6864</v>
      </c>
      <c r="W750" s="1106" t="s">
        <v>7233</v>
      </c>
      <c r="X750" s="905"/>
      <c r="Y750" s="905"/>
      <c r="Z750" s="889" t="s">
        <v>7267</v>
      </c>
      <c r="AA750" s="889"/>
      <c r="AB750" s="892">
        <v>44246</v>
      </c>
      <c r="AC750" s="476" t="s">
        <v>7210</v>
      </c>
      <c r="AD750" s="645" t="str">
        <f t="shared" si="88"/>
        <v>atrasado</v>
      </c>
      <c r="AE750" s="468" t="s">
        <v>7231</v>
      </c>
      <c r="AF750" s="468" t="s">
        <v>2981</v>
      </c>
      <c r="AG750" s="1101">
        <f>+S750+60</f>
        <v>44293</v>
      </c>
      <c r="AH750" s="649">
        <f>IF(AB750="","",+AB750-AG750)</f>
        <v>-47</v>
      </c>
      <c r="AI750" s="649" t="str">
        <f>IF(AH750="","",IF(AH750&lt;=0,"en término","atrasado"))</f>
        <v>en término</v>
      </c>
    </row>
    <row r="751" spans="1:39" s="649" customFormat="1" ht="54.95" customHeight="1" thickBot="1" x14ac:dyDescent="0.25">
      <c r="B751" s="1022" t="s">
        <v>78</v>
      </c>
      <c r="C751" s="1022" t="s">
        <v>6929</v>
      </c>
      <c r="D751" s="901" t="s">
        <v>7206</v>
      </c>
      <c r="E751" s="901" t="s">
        <v>81</v>
      </c>
      <c r="F751" s="1287" t="s">
        <v>7205</v>
      </c>
      <c r="G751" s="889" t="s">
        <v>39</v>
      </c>
      <c r="H751" s="1291">
        <v>11753.23</v>
      </c>
      <c r="I751" s="902"/>
      <c r="J751" s="892">
        <v>44209</v>
      </c>
      <c r="K751" s="893">
        <f t="shared" si="85"/>
        <v>72</v>
      </c>
      <c r="L751" s="892">
        <v>44281</v>
      </c>
      <c r="M751" s="892" t="s">
        <v>83</v>
      </c>
      <c r="N751" s="889" t="s">
        <v>110</v>
      </c>
      <c r="O751" s="892">
        <v>44292</v>
      </c>
      <c r="P751" s="893">
        <f t="shared" si="86"/>
        <v>25</v>
      </c>
      <c r="Q751" s="901"/>
      <c r="R751" s="903">
        <v>44299</v>
      </c>
      <c r="S751" s="904">
        <v>44306</v>
      </c>
      <c r="T751" s="904">
        <f>+S751+5</f>
        <v>44311</v>
      </c>
      <c r="U751" s="893">
        <f t="shared" si="87"/>
        <v>102</v>
      </c>
      <c r="V751" s="901" t="s">
        <v>7307</v>
      </c>
      <c r="W751" s="1106" t="s">
        <v>7310</v>
      </c>
      <c r="X751" s="905"/>
      <c r="Y751" s="905"/>
      <c r="Z751" s="889"/>
      <c r="AA751" s="889"/>
      <c r="AB751" s="892">
        <v>44308</v>
      </c>
      <c r="AC751" s="476" t="s">
        <v>7297</v>
      </c>
      <c r="AD751" s="645" t="str">
        <f t="shared" si="88"/>
        <v>atrasado</v>
      </c>
      <c r="AE751" s="468" t="s">
        <v>7309</v>
      </c>
      <c r="AF751" s="468" t="s">
        <v>2929</v>
      </c>
      <c r="AG751" s="1101">
        <f t="shared" ref="AG751:AG754" si="89">+S751+60</f>
        <v>44366</v>
      </c>
      <c r="AH751" s="649">
        <f t="shared" ref="AH751:AH754" si="90">IF(AB751="","",+AB751-AG751)</f>
        <v>-58</v>
      </c>
      <c r="AI751" s="649" t="str">
        <f t="shared" ref="AI751:AI754" si="91">IF(AH751="","",IF(AH751&lt;=0,"en término","atrasado"))</f>
        <v>en término</v>
      </c>
    </row>
    <row r="752" spans="1:39" s="649" customFormat="1" ht="54.95" customHeight="1" thickBot="1" x14ac:dyDescent="0.25">
      <c r="B752" s="1022" t="s">
        <v>78</v>
      </c>
      <c r="C752" s="1022" t="s">
        <v>6929</v>
      </c>
      <c r="D752" s="901" t="s">
        <v>7208</v>
      </c>
      <c r="E752" s="901" t="s">
        <v>6538</v>
      </c>
      <c r="F752" s="1287" t="s">
        <v>7207</v>
      </c>
      <c r="G752" s="889" t="s">
        <v>39</v>
      </c>
      <c r="H752" s="1291">
        <v>52364.4</v>
      </c>
      <c r="I752" s="902"/>
      <c r="J752" s="892">
        <v>44209</v>
      </c>
      <c r="K752" s="893">
        <f t="shared" si="85"/>
        <v>86</v>
      </c>
      <c r="L752" s="892">
        <v>44295</v>
      </c>
      <c r="M752" s="892" t="s">
        <v>83</v>
      </c>
      <c r="N752" s="889" t="s">
        <v>42</v>
      </c>
      <c r="O752" s="892">
        <v>44302</v>
      </c>
      <c r="P752" s="893">
        <f t="shared" si="86"/>
        <v>28</v>
      </c>
      <c r="Q752" s="901" t="s">
        <v>7332</v>
      </c>
      <c r="R752" s="903">
        <v>44321</v>
      </c>
      <c r="S752" s="904">
        <v>44323</v>
      </c>
      <c r="T752" s="904">
        <v>44345</v>
      </c>
      <c r="U752" s="893">
        <f t="shared" si="87"/>
        <v>136</v>
      </c>
      <c r="V752" s="901" t="s">
        <v>6864</v>
      </c>
      <c r="W752" s="1106" t="s">
        <v>7333</v>
      </c>
      <c r="X752" s="905"/>
      <c r="Y752" s="905"/>
      <c r="Z752" s="889" t="s">
        <v>7388</v>
      </c>
      <c r="AA752" s="889"/>
      <c r="AB752" s="892">
        <v>44343</v>
      </c>
      <c r="AC752" s="476" t="s">
        <v>7324</v>
      </c>
      <c r="AD752" s="645" t="str">
        <f t="shared" si="88"/>
        <v>atrasado</v>
      </c>
      <c r="AE752" s="468" t="s">
        <v>7331</v>
      </c>
      <c r="AF752" s="468" t="s">
        <v>2929</v>
      </c>
      <c r="AG752" s="1101">
        <f t="shared" si="89"/>
        <v>44383</v>
      </c>
      <c r="AH752" s="649">
        <f t="shared" si="90"/>
        <v>-40</v>
      </c>
      <c r="AI752" s="649" t="str">
        <f t="shared" si="91"/>
        <v>en término</v>
      </c>
    </row>
    <row r="753" spans="1:39" s="649" customFormat="1" ht="54.95" customHeight="1" thickBot="1" x14ac:dyDescent="0.25">
      <c r="B753" s="1022" t="s">
        <v>78</v>
      </c>
      <c r="C753" s="1022" t="s">
        <v>6929</v>
      </c>
      <c r="D753" s="901" t="s">
        <v>7276</v>
      </c>
      <c r="E753" s="901" t="s">
        <v>81</v>
      </c>
      <c r="F753" s="1287" t="s">
        <v>7277</v>
      </c>
      <c r="G753" s="889" t="s">
        <v>39</v>
      </c>
      <c r="H753" s="1291">
        <v>8021.95</v>
      </c>
      <c r="I753" s="902"/>
      <c r="J753" s="892">
        <v>44265</v>
      </c>
      <c r="K753" s="893">
        <f t="shared" si="85"/>
        <v>30</v>
      </c>
      <c r="L753" s="892">
        <v>44295</v>
      </c>
      <c r="M753" s="892" t="s">
        <v>83</v>
      </c>
      <c r="N753" s="889" t="s">
        <v>42</v>
      </c>
      <c r="O753" s="892">
        <v>44302</v>
      </c>
      <c r="P753" s="893">
        <f t="shared" si="86"/>
        <v>28</v>
      </c>
      <c r="Q753" s="901" t="s">
        <v>7332</v>
      </c>
      <c r="R753" s="903">
        <v>44321</v>
      </c>
      <c r="S753" s="904">
        <v>44323</v>
      </c>
      <c r="T753" s="904">
        <v>44345</v>
      </c>
      <c r="U753" s="893">
        <f t="shared" si="87"/>
        <v>80</v>
      </c>
      <c r="V753" s="901" t="s">
        <v>6864</v>
      </c>
      <c r="W753" s="1106" t="s">
        <v>7333</v>
      </c>
      <c r="X753" s="905"/>
      <c r="Y753" s="905"/>
      <c r="Z753" s="889" t="s">
        <v>7388</v>
      </c>
      <c r="AA753" s="889"/>
      <c r="AB753" s="892">
        <v>44343</v>
      </c>
      <c r="AC753" s="476" t="s">
        <v>7325</v>
      </c>
      <c r="AD753" s="645" t="str">
        <f t="shared" si="88"/>
        <v>atrasado</v>
      </c>
      <c r="AE753" s="468" t="s">
        <v>7331</v>
      </c>
      <c r="AF753" s="468" t="s">
        <v>2929</v>
      </c>
      <c r="AG753" s="1101">
        <f t="shared" si="89"/>
        <v>44383</v>
      </c>
      <c r="AH753" s="649">
        <f t="shared" si="90"/>
        <v>-40</v>
      </c>
      <c r="AI753" s="649" t="str">
        <f t="shared" si="91"/>
        <v>en término</v>
      </c>
    </row>
    <row r="754" spans="1:39" s="649" customFormat="1" ht="54.95" customHeight="1" thickBot="1" x14ac:dyDescent="0.25">
      <c r="B754" s="1022" t="s">
        <v>78</v>
      </c>
      <c r="C754" s="1022" t="s">
        <v>6929</v>
      </c>
      <c r="D754" s="901" t="s">
        <v>7304</v>
      </c>
      <c r="E754" s="901" t="s">
        <v>81</v>
      </c>
      <c r="F754" s="1287" t="s">
        <v>7312</v>
      </c>
      <c r="G754" s="889" t="s">
        <v>39</v>
      </c>
      <c r="H754" s="1291">
        <v>222649.55</v>
      </c>
      <c r="I754" s="902"/>
      <c r="J754" s="892">
        <v>44293</v>
      </c>
      <c r="K754" s="893">
        <f t="shared" si="85"/>
        <v>9</v>
      </c>
      <c r="L754" s="892">
        <v>44302</v>
      </c>
      <c r="M754" s="892" t="s">
        <v>83</v>
      </c>
      <c r="N754" s="889" t="s">
        <v>42</v>
      </c>
      <c r="O754" s="892">
        <v>44302</v>
      </c>
      <c r="P754" s="893">
        <f t="shared" si="86"/>
        <v>21</v>
      </c>
      <c r="Q754" s="901" t="s">
        <v>7332</v>
      </c>
      <c r="R754" s="903">
        <v>44321</v>
      </c>
      <c r="S754" s="904">
        <v>44323</v>
      </c>
      <c r="T754" s="904">
        <v>44345</v>
      </c>
      <c r="U754" s="893">
        <f t="shared" si="87"/>
        <v>52</v>
      </c>
      <c r="V754" s="901" t="s">
        <v>7311</v>
      </c>
      <c r="W754" s="1106" t="s">
        <v>7333</v>
      </c>
      <c r="X754" s="905"/>
      <c r="Y754" s="905"/>
      <c r="Z754" s="889" t="s">
        <v>7388</v>
      </c>
      <c r="AA754" s="889"/>
      <c r="AB754" s="892">
        <v>44343</v>
      </c>
      <c r="AC754" s="476" t="s">
        <v>7326</v>
      </c>
      <c r="AD754" s="645" t="str">
        <f t="shared" si="88"/>
        <v>atrasado</v>
      </c>
      <c r="AE754" s="468" t="s">
        <v>7331</v>
      </c>
      <c r="AF754" s="468" t="s">
        <v>2929</v>
      </c>
      <c r="AG754" s="1101">
        <f t="shared" si="89"/>
        <v>44383</v>
      </c>
      <c r="AH754" s="649">
        <f t="shared" si="90"/>
        <v>-40</v>
      </c>
      <c r="AI754" s="649" t="str">
        <f t="shared" si="91"/>
        <v>en término</v>
      </c>
    </row>
    <row r="755" spans="1:39" s="649" customFormat="1" ht="54.95" customHeight="1" thickBot="1" x14ac:dyDescent="0.25">
      <c r="B755" s="1022" t="s">
        <v>78</v>
      </c>
      <c r="C755" s="1022" t="s">
        <v>6929</v>
      </c>
      <c r="D755" s="901" t="s">
        <v>7305</v>
      </c>
      <c r="E755" s="901" t="s">
        <v>81</v>
      </c>
      <c r="F755" s="1287" t="s">
        <v>7313</v>
      </c>
      <c r="G755" s="889" t="s">
        <v>39</v>
      </c>
      <c r="H755" s="1291">
        <v>184385.12</v>
      </c>
      <c r="I755" s="902"/>
      <c r="J755" s="892">
        <v>44293</v>
      </c>
      <c r="K755" s="893">
        <f t="shared" si="85"/>
        <v>38</v>
      </c>
      <c r="L755" s="892">
        <v>44331</v>
      </c>
      <c r="M755" s="892" t="s">
        <v>83</v>
      </c>
      <c r="N755" s="889" t="s">
        <v>42</v>
      </c>
      <c r="O755" s="892">
        <v>44344</v>
      </c>
      <c r="P755" s="893">
        <f t="shared" si="86"/>
        <v>71</v>
      </c>
      <c r="Q755" s="901" t="s">
        <v>7410</v>
      </c>
      <c r="R755" s="903">
        <v>44378</v>
      </c>
      <c r="S755" s="904">
        <v>44402</v>
      </c>
      <c r="T755" s="904">
        <v>44416</v>
      </c>
      <c r="U755" s="893">
        <f t="shared" si="87"/>
        <v>123</v>
      </c>
      <c r="V755" s="901" t="s">
        <v>6864</v>
      </c>
      <c r="W755" s="1106" t="s">
        <v>7433</v>
      </c>
      <c r="X755" s="905"/>
      <c r="Y755" s="905"/>
      <c r="Z755" s="889" t="s">
        <v>7445</v>
      </c>
      <c r="AA755" s="889"/>
      <c r="AB755" s="892">
        <v>44383</v>
      </c>
      <c r="AC755" s="476" t="s">
        <v>7505</v>
      </c>
      <c r="AD755" s="645" t="str">
        <f t="shared" si="88"/>
        <v>atrasado</v>
      </c>
      <c r="AE755" s="468" t="s">
        <v>7393</v>
      </c>
      <c r="AF755" s="468" t="s">
        <v>2949</v>
      </c>
      <c r="AG755" s="1101">
        <f>+S755+60</f>
        <v>44462</v>
      </c>
      <c r="AH755" s="649">
        <f>IF(AB755="","",+AB755-AG755)</f>
        <v>-79</v>
      </c>
      <c r="AI755" s="649" t="str">
        <f>IF(AH755="","",IF(AH755&lt;=0,"en término","atrasado"))</f>
        <v>en término</v>
      </c>
    </row>
    <row r="756" spans="1:39" s="649" customFormat="1" ht="54.95" customHeight="1" thickBot="1" x14ac:dyDescent="0.25">
      <c r="B756" s="1022" t="s">
        <v>78</v>
      </c>
      <c r="C756" s="1022" t="s">
        <v>6929</v>
      </c>
      <c r="D756" s="901" t="s">
        <v>7306</v>
      </c>
      <c r="E756" s="901" t="s">
        <v>81</v>
      </c>
      <c r="F756" s="1287" t="s">
        <v>7314</v>
      </c>
      <c r="G756" s="889" t="s">
        <v>39</v>
      </c>
      <c r="H756" s="1291">
        <v>154704.65</v>
      </c>
      <c r="I756" s="902"/>
      <c r="J756" s="892">
        <v>44293</v>
      </c>
      <c r="K756" s="893">
        <f t="shared" ref="K756:K762" si="92">+L756-J756</f>
        <v>79</v>
      </c>
      <c r="L756" s="892">
        <v>44372</v>
      </c>
      <c r="M756" s="892" t="s">
        <v>83</v>
      </c>
      <c r="N756" s="889" t="s">
        <v>42</v>
      </c>
      <c r="O756" s="892">
        <v>44379</v>
      </c>
      <c r="P756" s="893">
        <f t="shared" ref="P756:P762" si="93">IF(S756="","",+S756-L756)</f>
        <v>60</v>
      </c>
      <c r="Q756" s="901" t="s">
        <v>7460</v>
      </c>
      <c r="R756" s="903">
        <v>44429</v>
      </c>
      <c r="S756" s="904">
        <v>44432</v>
      </c>
      <c r="T756" s="904">
        <v>44452</v>
      </c>
      <c r="U756" s="893">
        <f t="shared" ref="U756:U762" si="94">IF(T756="","",+T756-J756)</f>
        <v>159</v>
      </c>
      <c r="V756" s="901" t="s">
        <v>7406</v>
      </c>
      <c r="W756" s="1106" t="s">
        <v>7439</v>
      </c>
      <c r="X756" s="905"/>
      <c r="Y756" s="905"/>
      <c r="Z756" s="889" t="s">
        <v>7482</v>
      </c>
      <c r="AA756" s="889"/>
      <c r="AB756" s="892">
        <v>44441</v>
      </c>
      <c r="AC756" s="476" t="s">
        <v>7446</v>
      </c>
      <c r="AD756" s="645" t="str">
        <f t="shared" ref="AD756:AD762" si="95">IF(P756="","",IF(P756&lt;=0,"en término","atrasado"))</f>
        <v>atrasado</v>
      </c>
      <c r="AE756" s="468" t="s">
        <v>7440</v>
      </c>
      <c r="AF756" s="468" t="s">
        <v>2949</v>
      </c>
      <c r="AG756" s="1101">
        <f t="shared" ref="AG756:AG758" si="96">+S756+60</f>
        <v>44492</v>
      </c>
      <c r="AH756" s="649">
        <f t="shared" ref="AH756:AH758" si="97">IF(AB756="","",+AB756-AG756)</f>
        <v>-51</v>
      </c>
      <c r="AI756" s="649" t="str">
        <f t="shared" ref="AI756:AI758" si="98">IF(AH756="","",IF(AH756&lt;=0,"en término","atrasado"))</f>
        <v>en término</v>
      </c>
    </row>
    <row r="757" spans="1:39" s="649" customFormat="1" ht="54.95" customHeight="1" thickBot="1" x14ac:dyDescent="0.25">
      <c r="B757" s="1022" t="s">
        <v>78</v>
      </c>
      <c r="C757" s="1022" t="s">
        <v>6929</v>
      </c>
      <c r="D757" s="901" t="s">
        <v>7342</v>
      </c>
      <c r="E757" s="901" t="s">
        <v>81</v>
      </c>
      <c r="F757" s="1287" t="s">
        <v>7343</v>
      </c>
      <c r="G757" s="889" t="s">
        <v>39</v>
      </c>
      <c r="H757" s="1291">
        <v>15733.32</v>
      </c>
      <c r="I757" s="902"/>
      <c r="J757" s="892">
        <v>44295</v>
      </c>
      <c r="K757" s="893">
        <f t="shared" si="92"/>
        <v>77</v>
      </c>
      <c r="L757" s="892">
        <v>44372</v>
      </c>
      <c r="M757" s="892" t="s">
        <v>83</v>
      </c>
      <c r="N757" s="889" t="s">
        <v>42</v>
      </c>
      <c r="O757" s="892">
        <v>44379</v>
      </c>
      <c r="P757" s="893">
        <f t="shared" si="93"/>
        <v>60</v>
      </c>
      <c r="Q757" s="901" t="s">
        <v>7460</v>
      </c>
      <c r="R757" s="903">
        <v>44429</v>
      </c>
      <c r="S757" s="904">
        <v>44432</v>
      </c>
      <c r="T757" s="904">
        <v>44452</v>
      </c>
      <c r="U757" s="893">
        <f t="shared" si="94"/>
        <v>157</v>
      </c>
      <c r="V757" s="901" t="s">
        <v>6864</v>
      </c>
      <c r="W757" s="1106" t="s">
        <v>7439</v>
      </c>
      <c r="X757" s="905"/>
      <c r="Y757" s="905"/>
      <c r="Z757" s="889" t="s">
        <v>7482</v>
      </c>
      <c r="AA757" s="889"/>
      <c r="AB757" s="892">
        <v>44441</v>
      </c>
      <c r="AC757" s="476" t="s">
        <v>7447</v>
      </c>
      <c r="AD757" s="645" t="str">
        <f t="shared" si="95"/>
        <v>atrasado</v>
      </c>
      <c r="AE757" s="468" t="s">
        <v>7440</v>
      </c>
      <c r="AF757" s="468" t="s">
        <v>2949</v>
      </c>
      <c r="AG757" s="1101">
        <f t="shared" si="96"/>
        <v>44492</v>
      </c>
      <c r="AH757" s="649">
        <f t="shared" si="97"/>
        <v>-51</v>
      </c>
      <c r="AI757" s="649" t="str">
        <f t="shared" si="98"/>
        <v>en término</v>
      </c>
    </row>
    <row r="758" spans="1:39" s="649" customFormat="1" ht="54.95" customHeight="1" thickBot="1" x14ac:dyDescent="0.25">
      <c r="B758" s="1022" t="s">
        <v>78</v>
      </c>
      <c r="C758" s="1022" t="s">
        <v>6929</v>
      </c>
      <c r="D758" s="901" t="s">
        <v>7415</v>
      </c>
      <c r="E758" s="901" t="s">
        <v>81</v>
      </c>
      <c r="F758" s="1287" t="s">
        <v>7488</v>
      </c>
      <c r="G758" s="889" t="s">
        <v>39</v>
      </c>
      <c r="H758" s="1291">
        <v>5365.91</v>
      </c>
      <c r="I758" s="902"/>
      <c r="J758" s="892">
        <v>44314</v>
      </c>
      <c r="K758" s="893">
        <f t="shared" si="92"/>
        <v>79</v>
      </c>
      <c r="L758" s="892">
        <v>44393</v>
      </c>
      <c r="M758" s="892" t="s">
        <v>83</v>
      </c>
      <c r="N758" s="889" t="s">
        <v>110</v>
      </c>
      <c r="O758" s="892">
        <v>44404</v>
      </c>
      <c r="P758" s="893">
        <f t="shared" si="93"/>
        <v>19</v>
      </c>
      <c r="Q758" s="901"/>
      <c r="R758" s="903">
        <v>44410</v>
      </c>
      <c r="S758" s="904">
        <v>44412</v>
      </c>
      <c r="T758" s="904">
        <f>+S758+5</f>
        <v>44417</v>
      </c>
      <c r="U758" s="893">
        <f t="shared" si="94"/>
        <v>103</v>
      </c>
      <c r="V758" s="901" t="s">
        <v>6864</v>
      </c>
      <c r="W758" s="1106" t="s">
        <v>7438</v>
      </c>
      <c r="X758" s="905"/>
      <c r="Y758" s="905"/>
      <c r="Z758" s="889" t="s">
        <v>7444</v>
      </c>
      <c r="AA758" s="889"/>
      <c r="AB758" s="892">
        <v>44455</v>
      </c>
      <c r="AC758" s="476" t="s">
        <v>7431</v>
      </c>
      <c r="AD758" s="645" t="str">
        <f t="shared" si="95"/>
        <v>atrasado</v>
      </c>
      <c r="AE758" s="468" t="s">
        <v>7432</v>
      </c>
      <c r="AF758" s="468" t="s">
        <v>2957</v>
      </c>
      <c r="AG758" s="1101">
        <f t="shared" si="96"/>
        <v>44472</v>
      </c>
      <c r="AH758" s="649">
        <f t="shared" si="97"/>
        <v>-17</v>
      </c>
      <c r="AI758" s="649" t="str">
        <f t="shared" si="98"/>
        <v>en término</v>
      </c>
    </row>
    <row r="759" spans="1:39" s="649" customFormat="1" ht="54.95" customHeight="1" thickBot="1" x14ac:dyDescent="0.25">
      <c r="B759" s="1022" t="s">
        <v>78</v>
      </c>
      <c r="C759" s="1022" t="s">
        <v>6929</v>
      </c>
      <c r="D759" s="901" t="s">
        <v>7416</v>
      </c>
      <c r="E759" s="901" t="s">
        <v>81</v>
      </c>
      <c r="F759" s="1287" t="s">
        <v>7417</v>
      </c>
      <c r="G759" s="889" t="s">
        <v>39</v>
      </c>
      <c r="H759" s="1291">
        <v>137260.18</v>
      </c>
      <c r="I759" s="902"/>
      <c r="J759" s="892">
        <v>44314</v>
      </c>
      <c r="K759" s="893">
        <f t="shared" si="92"/>
        <v>93</v>
      </c>
      <c r="L759" s="892">
        <v>44407</v>
      </c>
      <c r="M759" s="892" t="s">
        <v>83</v>
      </c>
      <c r="N759" s="889" t="s">
        <v>42</v>
      </c>
      <c r="O759" s="892">
        <v>44421</v>
      </c>
      <c r="P759" s="893">
        <f t="shared" si="93"/>
        <v>84</v>
      </c>
      <c r="Q759" s="901" t="s">
        <v>7512</v>
      </c>
      <c r="R759" s="903">
        <v>44483</v>
      </c>
      <c r="S759" s="904">
        <v>44491</v>
      </c>
      <c r="T759" s="904">
        <v>44505</v>
      </c>
      <c r="U759" s="893">
        <f t="shared" si="94"/>
        <v>191</v>
      </c>
      <c r="V759" s="901" t="s">
        <v>6864</v>
      </c>
      <c r="W759" s="1106" t="s">
        <v>7477</v>
      </c>
      <c r="X759" s="905"/>
      <c r="Y759" s="905"/>
      <c r="Z759" s="889" t="s">
        <v>7518</v>
      </c>
      <c r="AA759" s="889"/>
      <c r="AB759" s="892">
        <v>44526</v>
      </c>
      <c r="AC759" s="476" t="s">
        <v>7484</v>
      </c>
      <c r="AD759" s="645" t="str">
        <f t="shared" si="95"/>
        <v>atrasado</v>
      </c>
      <c r="AE759" s="468" t="s">
        <v>7476</v>
      </c>
      <c r="AF759" s="468" t="s">
        <v>3067</v>
      </c>
      <c r="AG759" s="1101">
        <f t="shared" ref="AG759:AG760" si="99">+S759+60</f>
        <v>44551</v>
      </c>
      <c r="AH759" s="649">
        <f t="shared" ref="AH759:AH760" si="100">IF(AB759="","",+AB759-AG759)</f>
        <v>-25</v>
      </c>
      <c r="AI759" s="649" t="str">
        <f t="shared" ref="AI759:AI760" si="101">IF(AH759="","",IF(AH759&lt;=0,"en término","atrasado"))</f>
        <v>en término</v>
      </c>
    </row>
    <row r="760" spans="1:39" s="649" customFormat="1" ht="54.95" customHeight="1" thickBot="1" x14ac:dyDescent="0.25">
      <c r="B760" s="1022" t="s">
        <v>78</v>
      </c>
      <c r="C760" s="1022" t="s">
        <v>6929</v>
      </c>
      <c r="D760" s="901" t="s">
        <v>7418</v>
      </c>
      <c r="E760" s="901" t="s">
        <v>81</v>
      </c>
      <c r="F760" s="1287" t="s">
        <v>7489</v>
      </c>
      <c r="G760" s="889" t="s">
        <v>39</v>
      </c>
      <c r="H760" s="1291">
        <v>56773.25</v>
      </c>
      <c r="I760" s="902"/>
      <c r="J760" s="892">
        <v>44370</v>
      </c>
      <c r="K760" s="893">
        <f t="shared" si="92"/>
        <v>65</v>
      </c>
      <c r="L760" s="892">
        <v>44435</v>
      </c>
      <c r="M760" s="892" t="s">
        <v>83</v>
      </c>
      <c r="N760" s="889" t="s">
        <v>42</v>
      </c>
      <c r="O760" s="892">
        <v>44452</v>
      </c>
      <c r="P760" s="893">
        <f t="shared" si="93"/>
        <v>56</v>
      </c>
      <c r="Q760" s="901" t="s">
        <v>7513</v>
      </c>
      <c r="R760" s="903">
        <v>44483</v>
      </c>
      <c r="S760" s="904">
        <v>44491</v>
      </c>
      <c r="T760" s="904">
        <v>44505</v>
      </c>
      <c r="U760" s="893">
        <f t="shared" si="94"/>
        <v>135</v>
      </c>
      <c r="V760" s="901" t="s">
        <v>6864</v>
      </c>
      <c r="W760" s="1106" t="s">
        <v>7508</v>
      </c>
      <c r="X760" s="905"/>
      <c r="Y760" s="905"/>
      <c r="Z760" s="889" t="s">
        <v>7518</v>
      </c>
      <c r="AA760" s="889"/>
      <c r="AB760" s="892">
        <v>44526</v>
      </c>
      <c r="AC760" s="476" t="s">
        <v>7506</v>
      </c>
      <c r="AD760" s="645" t="str">
        <f t="shared" si="95"/>
        <v>atrasado</v>
      </c>
      <c r="AE760" s="468" t="s">
        <v>7487</v>
      </c>
      <c r="AF760" s="468" t="s">
        <v>3067</v>
      </c>
      <c r="AG760" s="1101">
        <f t="shared" si="99"/>
        <v>44551</v>
      </c>
      <c r="AH760" s="649">
        <f t="shared" si="100"/>
        <v>-25</v>
      </c>
      <c r="AI760" s="649" t="str">
        <f t="shared" si="101"/>
        <v>en término</v>
      </c>
    </row>
    <row r="761" spans="1:39" s="649" customFormat="1" ht="54.95" customHeight="1" thickBot="1" x14ac:dyDescent="0.25">
      <c r="B761" s="1022" t="s">
        <v>78</v>
      </c>
      <c r="C761" s="1022" t="s">
        <v>6929</v>
      </c>
      <c r="D761" s="901" t="s">
        <v>7491</v>
      </c>
      <c r="E761" s="901" t="s">
        <v>81</v>
      </c>
      <c r="F761" s="1287" t="s">
        <v>7498</v>
      </c>
      <c r="G761" s="889" t="s">
        <v>39</v>
      </c>
      <c r="H761" s="1291">
        <v>70148.81</v>
      </c>
      <c r="I761" s="902"/>
      <c r="J761" s="892">
        <v>44420</v>
      </c>
      <c r="K761" s="893">
        <f t="shared" si="92"/>
        <v>81</v>
      </c>
      <c r="L761" s="892">
        <v>44501</v>
      </c>
      <c r="M761" s="892" t="s">
        <v>83</v>
      </c>
      <c r="N761" s="889" t="s">
        <v>42</v>
      </c>
      <c r="O761" s="892">
        <v>44484</v>
      </c>
      <c r="P761" s="893">
        <f t="shared" si="93"/>
        <v>19</v>
      </c>
      <c r="Q761" s="901" t="s">
        <v>7511</v>
      </c>
      <c r="R761" s="903">
        <v>44512</v>
      </c>
      <c r="S761" s="904">
        <v>44520</v>
      </c>
      <c r="T761" s="904">
        <f>+S761+20</f>
        <v>44540</v>
      </c>
      <c r="U761" s="893">
        <f t="shared" si="94"/>
        <v>120</v>
      </c>
      <c r="V761" s="901" t="s">
        <v>7490</v>
      </c>
      <c r="W761" s="1106" t="s">
        <v>7536</v>
      </c>
      <c r="X761" s="905"/>
      <c r="Y761" s="905"/>
      <c r="Z761" s="889"/>
      <c r="AA761" s="889"/>
      <c r="AB761" s="892">
        <v>44567</v>
      </c>
      <c r="AC761" s="476" t="s">
        <v>7530</v>
      </c>
      <c r="AD761" s="645" t="str">
        <f t="shared" si="95"/>
        <v>atrasado</v>
      </c>
      <c r="AE761" s="468" t="s">
        <v>7535</v>
      </c>
      <c r="AF761" s="468" t="s">
        <v>3074</v>
      </c>
      <c r="AG761" s="1101">
        <f t="shared" ref="AG761:AG762" si="102">+S761+60</f>
        <v>44580</v>
      </c>
      <c r="AH761" s="649">
        <f t="shared" ref="AH761:AH762" si="103">IF(AB761="","",+AB761-AG761)</f>
        <v>-13</v>
      </c>
      <c r="AI761" s="649" t="str">
        <f t="shared" ref="AI761:AI762" si="104">IF(AH761="","",IF(AH761&lt;=0,"en término","atrasado"))</f>
        <v>en término</v>
      </c>
    </row>
    <row r="762" spans="1:39" s="649" customFormat="1" ht="54.95" customHeight="1" thickBot="1" x14ac:dyDescent="0.25">
      <c r="B762" s="1022" t="s">
        <v>78</v>
      </c>
      <c r="C762" s="1022" t="s">
        <v>6929</v>
      </c>
      <c r="D762" s="901" t="s">
        <v>7492</v>
      </c>
      <c r="E762" s="901" t="s">
        <v>81</v>
      </c>
      <c r="F762" s="1287" t="s">
        <v>7499</v>
      </c>
      <c r="G762" s="889" t="s">
        <v>39</v>
      </c>
      <c r="H762" s="1291">
        <f>108741.14</f>
        <v>108741.14</v>
      </c>
      <c r="I762" s="902"/>
      <c r="J762" s="892">
        <v>44452</v>
      </c>
      <c r="K762" s="893">
        <f t="shared" si="92"/>
        <v>64</v>
      </c>
      <c r="L762" s="892">
        <v>44516</v>
      </c>
      <c r="M762" s="892" t="s">
        <v>83</v>
      </c>
      <c r="N762" s="889" t="s">
        <v>42</v>
      </c>
      <c r="O762" s="892">
        <v>44505</v>
      </c>
      <c r="P762" s="893">
        <f t="shared" si="93"/>
        <v>10</v>
      </c>
      <c r="Q762" s="901" t="s">
        <v>7564</v>
      </c>
      <c r="R762" s="903"/>
      <c r="S762" s="904">
        <v>44526</v>
      </c>
      <c r="T762" s="904">
        <f>+S762+20</f>
        <v>44546</v>
      </c>
      <c r="U762" s="893">
        <f t="shared" si="94"/>
        <v>94</v>
      </c>
      <c r="V762" s="901" t="s">
        <v>6864</v>
      </c>
      <c r="W762" s="1106" t="s">
        <v>7604</v>
      </c>
      <c r="X762" s="905"/>
      <c r="Y762" s="905"/>
      <c r="Z762" s="889"/>
      <c r="AA762" s="889"/>
      <c r="AB762" s="892">
        <v>44567</v>
      </c>
      <c r="AC762" s="476" t="s">
        <v>7501</v>
      </c>
      <c r="AD762" s="645" t="str">
        <f t="shared" si="95"/>
        <v>atrasado</v>
      </c>
      <c r="AE762" s="468" t="s">
        <v>7569</v>
      </c>
      <c r="AF762" s="468" t="s">
        <v>3074</v>
      </c>
      <c r="AG762" s="1101">
        <f t="shared" si="102"/>
        <v>44586</v>
      </c>
      <c r="AH762" s="649">
        <f t="shared" si="103"/>
        <v>-19</v>
      </c>
      <c r="AI762" s="649" t="str">
        <f t="shared" si="104"/>
        <v>en término</v>
      </c>
    </row>
    <row r="766" spans="1:39" s="556" customFormat="1" ht="39.950000000000003" customHeight="1" thickBot="1" x14ac:dyDescent="0.4">
      <c r="B766" s="1651">
        <v>2022</v>
      </c>
      <c r="C766" s="1652"/>
      <c r="D766" s="1652"/>
      <c r="E766" s="1652"/>
      <c r="F766" s="1652"/>
      <c r="G766" s="1652"/>
      <c r="H766" s="1652"/>
      <c r="I766" s="1652"/>
      <c r="J766" s="1652"/>
      <c r="K766" s="1652"/>
      <c r="L766" s="1652"/>
      <c r="M766" s="1652"/>
      <c r="N766" s="1652"/>
      <c r="O766" s="1652"/>
      <c r="P766" s="1652"/>
      <c r="Q766" s="1652"/>
      <c r="R766" s="1652"/>
      <c r="S766" s="1652"/>
      <c r="T766" s="1652"/>
      <c r="U766" s="1652"/>
      <c r="V766" s="1652"/>
      <c r="W766" s="1652"/>
      <c r="X766" s="1652"/>
      <c r="Y766" s="1652"/>
      <c r="Z766" s="1652"/>
      <c r="AA766" s="1652"/>
      <c r="AB766" s="1652"/>
      <c r="AC766" s="1653"/>
      <c r="AD766" s="555"/>
    </row>
    <row r="767" spans="1:39" s="441" customFormat="1" ht="60" customHeight="1" thickBot="1" x14ac:dyDescent="0.25">
      <c r="A767" s="438"/>
      <c r="B767" s="451" t="s">
        <v>130</v>
      </c>
      <c r="C767" s="451" t="s">
        <v>4</v>
      </c>
      <c r="D767" s="451" t="s">
        <v>5</v>
      </c>
      <c r="E767" s="451" t="s">
        <v>6</v>
      </c>
      <c r="F767" s="451" t="s">
        <v>7</v>
      </c>
      <c r="G767" s="451" t="s">
        <v>8</v>
      </c>
      <c r="H767" s="453" t="s">
        <v>9</v>
      </c>
      <c r="I767" s="453" t="s">
        <v>10</v>
      </c>
      <c r="J767" s="451" t="s">
        <v>11</v>
      </c>
      <c r="K767" s="451" t="s">
        <v>12</v>
      </c>
      <c r="L767" s="451" t="s">
        <v>13</v>
      </c>
      <c r="M767" s="451" t="s">
        <v>14</v>
      </c>
      <c r="N767" s="451" t="s">
        <v>15</v>
      </c>
      <c r="O767" s="452" t="s">
        <v>16</v>
      </c>
      <c r="P767" s="454" t="s">
        <v>17</v>
      </c>
      <c r="Q767" s="451" t="s">
        <v>18</v>
      </c>
      <c r="R767" s="452" t="s">
        <v>19</v>
      </c>
      <c r="S767" s="451" t="s">
        <v>20</v>
      </c>
      <c r="T767" s="451" t="s">
        <v>21</v>
      </c>
      <c r="U767" s="452" t="s">
        <v>22</v>
      </c>
      <c r="V767" s="451" t="s">
        <v>131</v>
      </c>
      <c r="W767" s="451" t="s">
        <v>24</v>
      </c>
      <c r="X767" s="451" t="s">
        <v>132</v>
      </c>
      <c r="Y767" s="451" t="s">
        <v>26</v>
      </c>
      <c r="Z767" s="451" t="s">
        <v>27</v>
      </c>
      <c r="AA767" s="451" t="s">
        <v>28</v>
      </c>
      <c r="AB767" s="451" t="s">
        <v>29</v>
      </c>
      <c r="AC767" s="451" t="s">
        <v>30</v>
      </c>
      <c r="AD767" s="440"/>
      <c r="AE767" s="440" t="s">
        <v>7187</v>
      </c>
      <c r="AF767" s="440" t="s">
        <v>7188</v>
      </c>
      <c r="AG767" s="440" t="s">
        <v>7189</v>
      </c>
      <c r="AH767" s="440" t="s">
        <v>7190</v>
      </c>
      <c r="AJ767" s="440"/>
      <c r="AK767" s="440"/>
      <c r="AL767" s="440"/>
      <c r="AM767" s="440"/>
    </row>
    <row r="768" spans="1:39" s="649" customFormat="1" ht="54.95" customHeight="1" thickBot="1" x14ac:dyDescent="0.25">
      <c r="B768" s="1022" t="s">
        <v>78</v>
      </c>
      <c r="C768" s="1022" t="s">
        <v>6929</v>
      </c>
      <c r="D768" s="901" t="s">
        <v>7502</v>
      </c>
      <c r="E768" s="901" t="s">
        <v>81</v>
      </c>
      <c r="F768" s="1287" t="s">
        <v>7507</v>
      </c>
      <c r="G768" s="889" t="s">
        <v>39</v>
      </c>
      <c r="H768" s="1291">
        <v>59687.85</v>
      </c>
      <c r="I768" s="902"/>
      <c r="J768" s="892">
        <v>44467</v>
      </c>
      <c r="K768" s="893">
        <f t="shared" ref="K768:K773" si="105">+L768-J768</f>
        <v>49</v>
      </c>
      <c r="L768" s="892">
        <v>44516</v>
      </c>
      <c r="M768" s="892" t="s">
        <v>83</v>
      </c>
      <c r="N768" s="889" t="s">
        <v>42</v>
      </c>
      <c r="O768" s="892">
        <v>44519</v>
      </c>
      <c r="P768" s="893">
        <f t="shared" ref="P768:P773" si="106">IF(S768="","",+S768-L768)</f>
        <v>47</v>
      </c>
      <c r="Q768" s="901" t="s">
        <v>7598</v>
      </c>
      <c r="R768" s="903">
        <v>44551</v>
      </c>
      <c r="S768" s="904">
        <v>44563</v>
      </c>
      <c r="T768" s="904">
        <v>44589</v>
      </c>
      <c r="U768" s="893">
        <f t="shared" ref="U768:U773" si="107">IF(T768="","",+T768-J768)</f>
        <v>122</v>
      </c>
      <c r="V768" s="901" t="s">
        <v>7500</v>
      </c>
      <c r="W768" s="1106" t="s">
        <v>7605</v>
      </c>
      <c r="X768" s="905"/>
      <c r="Y768" s="905"/>
      <c r="Z768" s="889"/>
      <c r="AA768" s="889"/>
      <c r="AB768" s="892">
        <v>44616</v>
      </c>
      <c r="AC768" s="476" t="s">
        <v>7503</v>
      </c>
      <c r="AD768" s="645" t="str">
        <f t="shared" ref="AD768:AD773" si="108">IF(P768="","",IF(P768&lt;=0,"en término","atrasado"))</f>
        <v>atrasado</v>
      </c>
      <c r="AE768" s="468" t="s">
        <v>7590</v>
      </c>
      <c r="AF768" s="468" t="s">
        <v>3082</v>
      </c>
      <c r="AG768" s="1101">
        <f t="shared" ref="AG768" si="109">+S768+60</f>
        <v>44623</v>
      </c>
      <c r="AH768" s="649">
        <f t="shared" ref="AH768" si="110">IF(AB768="","",+AB768-AG768)</f>
        <v>-7</v>
      </c>
      <c r="AI768" s="649" t="str">
        <f t="shared" ref="AI768" si="111">IF(AH768="","",IF(AH768&lt;=0,"en término","atrasado"))</f>
        <v>en término</v>
      </c>
    </row>
    <row r="769" spans="2:35" s="649" customFormat="1" ht="54.95" customHeight="1" thickBot="1" x14ac:dyDescent="0.25">
      <c r="B769" s="1022" t="s">
        <v>78</v>
      </c>
      <c r="C769" s="1022" t="s">
        <v>6929</v>
      </c>
      <c r="D769" s="901" t="s">
        <v>7493</v>
      </c>
      <c r="E769" s="901" t="s">
        <v>81</v>
      </c>
      <c r="F769" s="1287" t="s">
        <v>7584</v>
      </c>
      <c r="G769" s="889" t="s">
        <v>39</v>
      </c>
      <c r="H769" s="1291">
        <v>14401.19</v>
      </c>
      <c r="I769" s="902"/>
      <c r="J769" s="892">
        <v>44452</v>
      </c>
      <c r="K769" s="893">
        <f t="shared" si="105"/>
        <v>98</v>
      </c>
      <c r="L769" s="892">
        <v>44550</v>
      </c>
      <c r="M769" s="892" t="s">
        <v>83</v>
      </c>
      <c r="N769" s="889" t="s">
        <v>110</v>
      </c>
      <c r="O769" s="892">
        <v>44550</v>
      </c>
      <c r="P769" s="893">
        <f t="shared" si="106"/>
        <v>11</v>
      </c>
      <c r="Q769" s="901" t="s">
        <v>7591</v>
      </c>
      <c r="R769" s="903"/>
      <c r="S769" s="904">
        <v>44561</v>
      </c>
      <c r="T769" s="904">
        <v>44564</v>
      </c>
      <c r="U769" s="893">
        <f t="shared" si="107"/>
        <v>112</v>
      </c>
      <c r="V769" s="901" t="s">
        <v>6864</v>
      </c>
      <c r="W769" s="1106" t="s">
        <v>7592</v>
      </c>
      <c r="X769" s="905"/>
      <c r="Y769" s="905"/>
      <c r="Z769" s="895" t="s">
        <v>7613</v>
      </c>
      <c r="AA769" s="889"/>
      <c r="AB769" s="892">
        <v>44616</v>
      </c>
      <c r="AC769" s="476" t="s">
        <v>7614</v>
      </c>
      <c r="AD769" s="645" t="str">
        <f t="shared" si="108"/>
        <v>atrasado</v>
      </c>
      <c r="AE769" s="468" t="s">
        <v>7593</v>
      </c>
      <c r="AF769" s="468" t="s">
        <v>3082</v>
      </c>
      <c r="AG769" s="1101">
        <f t="shared" ref="AG769:AG771" si="112">+S769+60</f>
        <v>44621</v>
      </c>
      <c r="AH769" s="649">
        <f t="shared" ref="AH769:AH771" si="113">IF(AB769="","",+AB769-AG769)</f>
        <v>-5</v>
      </c>
      <c r="AI769" s="649" t="str">
        <f t="shared" ref="AI769:AI771" si="114">IF(AH769="","",IF(AH769&lt;=0,"en término","atrasado"))</f>
        <v>en término</v>
      </c>
    </row>
    <row r="770" spans="2:35" s="649" customFormat="1" ht="54.95" customHeight="1" thickBot="1" x14ac:dyDescent="0.25">
      <c r="B770" s="1022" t="s">
        <v>78</v>
      </c>
      <c r="C770" s="1022" t="s">
        <v>6929</v>
      </c>
      <c r="D770" s="901" t="s">
        <v>7494</v>
      </c>
      <c r="E770" s="901" t="s">
        <v>81</v>
      </c>
      <c r="F770" s="1287" t="s">
        <v>7585</v>
      </c>
      <c r="G770" s="889" t="s">
        <v>39</v>
      </c>
      <c r="H770" s="1291">
        <v>55716.34</v>
      </c>
      <c r="I770" s="902"/>
      <c r="J770" s="892">
        <v>44463</v>
      </c>
      <c r="K770" s="893">
        <f t="shared" si="105"/>
        <v>105</v>
      </c>
      <c r="L770" s="892">
        <v>44568</v>
      </c>
      <c r="M770" s="892" t="s">
        <v>83</v>
      </c>
      <c r="N770" s="889" t="s">
        <v>42</v>
      </c>
      <c r="O770" s="892">
        <v>44568</v>
      </c>
      <c r="P770" s="893">
        <f t="shared" si="106"/>
        <v>22</v>
      </c>
      <c r="Q770" s="901" t="s">
        <v>7611</v>
      </c>
      <c r="R770" s="903">
        <v>44582</v>
      </c>
      <c r="S770" s="904">
        <v>44590</v>
      </c>
      <c r="T770" s="904">
        <f>+S770+30</f>
        <v>44620</v>
      </c>
      <c r="U770" s="893">
        <f t="shared" si="107"/>
        <v>157</v>
      </c>
      <c r="V770" s="901" t="s">
        <v>6864</v>
      </c>
      <c r="W770" s="1106" t="s">
        <v>7616</v>
      </c>
      <c r="X770" s="905"/>
      <c r="Y770" s="905"/>
      <c r="Z770" s="889" t="s">
        <v>7622</v>
      </c>
      <c r="AA770" s="889"/>
      <c r="AB770" s="892">
        <v>44637</v>
      </c>
      <c r="AC770" s="476" t="s">
        <v>7719</v>
      </c>
      <c r="AD770" s="645" t="str">
        <f t="shared" si="108"/>
        <v>atrasado</v>
      </c>
      <c r="AE770" s="468" t="s">
        <v>7615</v>
      </c>
      <c r="AF770" s="468" t="s">
        <v>2968</v>
      </c>
      <c r="AG770" s="1101">
        <f t="shared" si="112"/>
        <v>44650</v>
      </c>
      <c r="AH770" s="649">
        <f t="shared" si="113"/>
        <v>-13</v>
      </c>
      <c r="AI770" s="649" t="str">
        <f t="shared" si="114"/>
        <v>en término</v>
      </c>
    </row>
    <row r="771" spans="2:35" s="649" customFormat="1" ht="54.95" customHeight="1" thickBot="1" x14ac:dyDescent="0.25">
      <c r="B771" s="1022" t="s">
        <v>78</v>
      </c>
      <c r="C771" s="1022" t="s">
        <v>6929</v>
      </c>
      <c r="D771" s="901" t="s">
        <v>7623</v>
      </c>
      <c r="E771" s="901" t="s">
        <v>81</v>
      </c>
      <c r="F771" s="1287" t="s">
        <v>7624</v>
      </c>
      <c r="G771" s="889" t="s">
        <v>39</v>
      </c>
      <c r="H771" s="1291">
        <v>5548.65</v>
      </c>
      <c r="I771" s="902"/>
      <c r="J771" s="892">
        <v>44608</v>
      </c>
      <c r="K771" s="893">
        <f t="shared" si="105"/>
        <v>34</v>
      </c>
      <c r="L771" s="892">
        <v>44642</v>
      </c>
      <c r="M771" s="892" t="s">
        <v>83</v>
      </c>
      <c r="N771" s="889" t="s">
        <v>42</v>
      </c>
      <c r="O771" s="892">
        <v>44624</v>
      </c>
      <c r="P771" s="893">
        <f t="shared" si="106"/>
        <v>-3</v>
      </c>
      <c r="Q771" s="901" t="s">
        <v>7665</v>
      </c>
      <c r="R771" s="903"/>
      <c r="S771" s="904">
        <v>44639</v>
      </c>
      <c r="T771" s="904">
        <v>44667</v>
      </c>
      <c r="U771" s="893">
        <f t="shared" si="107"/>
        <v>59</v>
      </c>
      <c r="V771" s="901" t="s">
        <v>6864</v>
      </c>
      <c r="W771" s="1106" t="s">
        <v>7655</v>
      </c>
      <c r="X771" s="905"/>
      <c r="Y771" s="905"/>
      <c r="Z771" s="889"/>
      <c r="AA771" s="889"/>
      <c r="AB771" s="892">
        <v>44686</v>
      </c>
      <c r="AC771" s="476" t="s">
        <v>7625</v>
      </c>
      <c r="AD771" s="645" t="str">
        <f t="shared" si="108"/>
        <v>en término</v>
      </c>
      <c r="AE771" s="468" t="s">
        <v>7644</v>
      </c>
      <c r="AF771" s="468" t="s">
        <v>3846</v>
      </c>
      <c r="AG771" s="1101">
        <f t="shared" si="112"/>
        <v>44699</v>
      </c>
      <c r="AH771" s="649">
        <f t="shared" si="113"/>
        <v>-13</v>
      </c>
      <c r="AI771" s="649" t="str">
        <f t="shared" si="114"/>
        <v>en término</v>
      </c>
    </row>
    <row r="772" spans="2:35" s="649" customFormat="1" ht="54.95" customHeight="1" thickBot="1" x14ac:dyDescent="0.25">
      <c r="B772" s="1022" t="s">
        <v>78</v>
      </c>
      <c r="C772" s="1022" t="s">
        <v>6929</v>
      </c>
      <c r="D772" s="901"/>
      <c r="E772" s="901" t="s">
        <v>81</v>
      </c>
      <c r="F772" s="1287" t="s">
        <v>7722</v>
      </c>
      <c r="G772" s="889" t="s">
        <v>39</v>
      </c>
      <c r="H772" s="1291" t="s">
        <v>7723</v>
      </c>
      <c r="I772" s="902"/>
      <c r="J772" s="892">
        <v>44692</v>
      </c>
      <c r="K772" s="893">
        <f t="shared" si="105"/>
        <v>9</v>
      </c>
      <c r="L772" s="892">
        <v>44701</v>
      </c>
      <c r="M772" s="892" t="s">
        <v>83</v>
      </c>
      <c r="N772" s="889" t="s">
        <v>465</v>
      </c>
      <c r="O772" s="892">
        <v>44697</v>
      </c>
      <c r="P772" s="893">
        <f t="shared" si="106"/>
        <v>6</v>
      </c>
      <c r="Q772" s="901"/>
      <c r="R772" s="903"/>
      <c r="S772" s="904">
        <v>44707</v>
      </c>
      <c r="T772" s="904">
        <v>44719</v>
      </c>
      <c r="U772" s="893">
        <f t="shared" si="107"/>
        <v>27</v>
      </c>
      <c r="V772" s="901" t="s">
        <v>7724</v>
      </c>
      <c r="W772" s="1106"/>
      <c r="X772" s="905"/>
      <c r="Y772" s="905"/>
      <c r="Z772" s="889" t="s">
        <v>7729</v>
      </c>
      <c r="AA772" s="895" t="s">
        <v>7738</v>
      </c>
      <c r="AB772" s="1025" t="s">
        <v>7723</v>
      </c>
      <c r="AC772" s="476" t="s">
        <v>7728</v>
      </c>
      <c r="AD772" s="645" t="str">
        <f t="shared" si="108"/>
        <v>atrasado</v>
      </c>
      <c r="AE772" s="468"/>
      <c r="AF772" s="468"/>
      <c r="AG772" s="1101"/>
    </row>
    <row r="773" spans="2:35" s="649" customFormat="1" ht="54.95" customHeight="1" thickBot="1" x14ac:dyDescent="0.25">
      <c r="B773" s="1022" t="s">
        <v>78</v>
      </c>
      <c r="C773" s="1022" t="s">
        <v>6929</v>
      </c>
      <c r="D773" s="901" t="s">
        <v>7720</v>
      </c>
      <c r="E773" s="901" t="s">
        <v>81</v>
      </c>
      <c r="F773" s="1287" t="s">
        <v>7721</v>
      </c>
      <c r="G773" s="889" t="s">
        <v>39</v>
      </c>
      <c r="H773" s="1291">
        <v>121072.04</v>
      </c>
      <c r="I773" s="902"/>
      <c r="J773" s="892">
        <v>44692</v>
      </c>
      <c r="K773" s="893">
        <f t="shared" si="105"/>
        <v>9</v>
      </c>
      <c r="L773" s="892">
        <v>44701</v>
      </c>
      <c r="M773" s="892" t="s">
        <v>83</v>
      </c>
      <c r="N773" s="889" t="s">
        <v>42</v>
      </c>
      <c r="O773" s="892">
        <v>44701</v>
      </c>
      <c r="P773" s="893">
        <f t="shared" si="106"/>
        <v>33</v>
      </c>
      <c r="Q773" s="901" t="s">
        <v>7739</v>
      </c>
      <c r="R773" s="903">
        <v>44715</v>
      </c>
      <c r="S773" s="904">
        <v>44734</v>
      </c>
      <c r="T773" s="904">
        <v>44752</v>
      </c>
      <c r="U773" s="893">
        <f t="shared" si="107"/>
        <v>60</v>
      </c>
      <c r="V773" s="901" t="s">
        <v>6864</v>
      </c>
      <c r="W773" s="1106" t="s">
        <v>7730</v>
      </c>
      <c r="X773" s="905"/>
      <c r="Y773" s="905"/>
      <c r="Z773" s="889" t="s">
        <v>7740</v>
      </c>
      <c r="AA773" s="889"/>
      <c r="AB773" s="892">
        <v>44777</v>
      </c>
      <c r="AC773" s="476" t="s">
        <v>7746</v>
      </c>
      <c r="AD773" s="645" t="str">
        <f t="shared" si="108"/>
        <v>atrasado</v>
      </c>
      <c r="AE773" s="468" t="s">
        <v>7731</v>
      </c>
      <c r="AF773" s="468" t="s">
        <v>2937</v>
      </c>
      <c r="AG773" s="1101">
        <f t="shared" ref="AG773" si="115">+S773+60</f>
        <v>44794</v>
      </c>
      <c r="AH773" s="649">
        <f t="shared" ref="AH773" si="116">IF(AB773="","",+AB773-AG773)</f>
        <v>-17</v>
      </c>
      <c r="AI773" s="649" t="str">
        <f t="shared" ref="AI773" si="117">IF(AH773="","",IF(AH773&lt;=0,"en término","atrasado"))</f>
        <v>en término</v>
      </c>
    </row>
    <row r="774" spans="2:35" s="649" customFormat="1" ht="54.95" customHeight="1" thickBot="1" x14ac:dyDescent="0.25">
      <c r="B774" s="1022" t="s">
        <v>78</v>
      </c>
      <c r="C774" s="1022" t="s">
        <v>6929</v>
      </c>
      <c r="D774" s="901" t="s">
        <v>7732</v>
      </c>
      <c r="E774" s="901" t="s">
        <v>81</v>
      </c>
      <c r="F774" s="1287" t="s">
        <v>7733</v>
      </c>
      <c r="G774" s="889" t="s">
        <v>39</v>
      </c>
      <c r="H774" s="1291">
        <v>61674.75</v>
      </c>
      <c r="I774" s="902"/>
      <c r="J774" s="892">
        <v>44694</v>
      </c>
      <c r="K774" s="893">
        <f t="shared" ref="K774:K779" si="118">+L774-J774</f>
        <v>46</v>
      </c>
      <c r="L774" s="892">
        <v>44740</v>
      </c>
      <c r="M774" s="892" t="s">
        <v>83</v>
      </c>
      <c r="N774" s="889" t="s">
        <v>42</v>
      </c>
      <c r="O774" s="892">
        <v>44728</v>
      </c>
      <c r="P774" s="893">
        <f>IF(S774="","",+S774-L774)</f>
        <v>18</v>
      </c>
      <c r="Q774" s="901" t="s">
        <v>7743</v>
      </c>
      <c r="R774" s="903">
        <v>44736</v>
      </c>
      <c r="S774" s="904">
        <v>44758</v>
      </c>
      <c r="T774" s="904">
        <v>44772</v>
      </c>
      <c r="U774" s="893">
        <f t="shared" ref="U774:U779" si="119">IF(T774="","",+T774-J774)</f>
        <v>78</v>
      </c>
      <c r="V774" s="901" t="s">
        <v>6864</v>
      </c>
      <c r="W774" s="1106" t="s">
        <v>7744</v>
      </c>
      <c r="X774" s="905"/>
      <c r="Y774" s="905"/>
      <c r="Z774" s="889"/>
      <c r="AA774" s="889"/>
      <c r="AB774" s="892">
        <v>44798</v>
      </c>
      <c r="AC774" s="476" t="s">
        <v>7752</v>
      </c>
      <c r="AD774" s="645" t="str">
        <f t="shared" ref="AD774:AD779" si="120">IF(P774="","",IF(P774&lt;=0,"en término","atrasado"))</f>
        <v>atrasado</v>
      </c>
      <c r="AE774" s="468" t="s">
        <v>7745</v>
      </c>
      <c r="AF774" s="468" t="s">
        <v>2943</v>
      </c>
      <c r="AG774" s="1101">
        <f t="shared" ref="AG774" si="121">+S774+60</f>
        <v>44818</v>
      </c>
      <c r="AH774" s="649">
        <f t="shared" ref="AH774" si="122">IF(AB774="","",+AB774-AG774)</f>
        <v>-20</v>
      </c>
      <c r="AI774" s="649" t="str">
        <f t="shared" ref="AI774" si="123">IF(AH774="","",IF(AH774&lt;=0,"en término","atrasado"))</f>
        <v>en término</v>
      </c>
    </row>
    <row r="775" spans="2:35" s="649" customFormat="1" ht="54.95" customHeight="1" thickBot="1" x14ac:dyDescent="0.25">
      <c r="B775" s="1022" t="s">
        <v>78</v>
      </c>
      <c r="C775" s="1022" t="s">
        <v>6929</v>
      </c>
      <c r="D775" s="901" t="s">
        <v>7762</v>
      </c>
      <c r="E775" s="901" t="s">
        <v>81</v>
      </c>
      <c r="F775" s="1287" t="s">
        <v>7763</v>
      </c>
      <c r="G775" s="889" t="s">
        <v>39</v>
      </c>
      <c r="H775" s="1291">
        <v>100232.58</v>
      </c>
      <c r="I775" s="902"/>
      <c r="J775" s="892">
        <v>44763</v>
      </c>
      <c r="K775" s="893">
        <f t="shared" si="118"/>
        <v>20</v>
      </c>
      <c r="L775" s="892">
        <v>44783</v>
      </c>
      <c r="M775" s="892" t="s">
        <v>83</v>
      </c>
      <c r="N775" s="889" t="s">
        <v>42</v>
      </c>
      <c r="O775" s="892">
        <v>44782</v>
      </c>
      <c r="P775" s="893">
        <f>IF(S775="","",+S775-L775)</f>
        <v>29</v>
      </c>
      <c r="Q775" s="901" t="s">
        <v>7779</v>
      </c>
      <c r="R775" s="903">
        <v>44798</v>
      </c>
      <c r="S775" s="904">
        <v>44812</v>
      </c>
      <c r="T775" s="904">
        <v>44832</v>
      </c>
      <c r="U775" s="893">
        <f t="shared" si="119"/>
        <v>69</v>
      </c>
      <c r="V775" s="901" t="s">
        <v>6864</v>
      </c>
      <c r="W775" s="1106" t="s">
        <v>7788</v>
      </c>
      <c r="X775" s="905"/>
      <c r="Y775" s="905"/>
      <c r="Z775" s="889" t="s">
        <v>7789</v>
      </c>
      <c r="AA775" s="889"/>
      <c r="AB775" s="892">
        <v>44846</v>
      </c>
      <c r="AC775" s="476" t="s">
        <v>7780</v>
      </c>
      <c r="AD775" s="645" t="str">
        <f t="shared" si="120"/>
        <v>atrasado</v>
      </c>
      <c r="AE775" s="468" t="s">
        <v>7787</v>
      </c>
      <c r="AF775" s="468" t="s">
        <v>2957</v>
      </c>
      <c r="AG775" s="1101">
        <f t="shared" ref="AG775" si="124">+S775+60</f>
        <v>44872</v>
      </c>
      <c r="AH775" s="649">
        <f t="shared" ref="AH775" si="125">IF(AB775="","",+AB775-AG775)</f>
        <v>-26</v>
      </c>
      <c r="AI775" s="649" t="str">
        <f t="shared" ref="AI775" si="126">IF(AH775="","",IF(AH775&lt;=0,"en término","atrasado"))</f>
        <v>en término</v>
      </c>
    </row>
    <row r="776" spans="2:35" s="649" customFormat="1" ht="54.95" customHeight="1" thickBot="1" x14ac:dyDescent="0.25">
      <c r="B776" s="1022" t="s">
        <v>78</v>
      </c>
      <c r="C776" s="1022" t="s">
        <v>6929</v>
      </c>
      <c r="D776" s="901" t="s">
        <v>7784</v>
      </c>
      <c r="E776" s="901" t="s">
        <v>81</v>
      </c>
      <c r="F776" s="1287" t="s">
        <v>7785</v>
      </c>
      <c r="G776" s="889" t="s">
        <v>39</v>
      </c>
      <c r="H776" s="1291">
        <v>77637.149999999994</v>
      </c>
      <c r="I776" s="902"/>
      <c r="J776" s="892">
        <v>44804</v>
      </c>
      <c r="K776" s="893">
        <f t="shared" si="118"/>
        <v>23</v>
      </c>
      <c r="L776" s="892">
        <v>44827</v>
      </c>
      <c r="M776" s="892" t="s">
        <v>83</v>
      </c>
      <c r="N776" s="889" t="s">
        <v>42</v>
      </c>
      <c r="O776" s="892">
        <v>44817</v>
      </c>
      <c r="P776" s="893">
        <f>IF(S776="","",+S776-L776)</f>
        <v>15</v>
      </c>
      <c r="Q776" s="901" t="s">
        <v>7794</v>
      </c>
      <c r="R776" s="903">
        <v>44829</v>
      </c>
      <c r="S776" s="904">
        <v>44842</v>
      </c>
      <c r="T776" s="904">
        <v>44869</v>
      </c>
      <c r="U776" s="893">
        <f t="shared" si="119"/>
        <v>65</v>
      </c>
      <c r="V776" s="901" t="s">
        <v>6864</v>
      </c>
      <c r="W776" s="1106" t="s">
        <v>7796</v>
      </c>
      <c r="X776" s="905"/>
      <c r="Y776" s="905"/>
      <c r="Z776" s="889" t="s">
        <v>7798</v>
      </c>
      <c r="AA776" s="889"/>
      <c r="AB776" s="892">
        <v>44890</v>
      </c>
      <c r="AC776" s="476" t="s">
        <v>7786</v>
      </c>
      <c r="AD776" s="645" t="str">
        <f t="shared" si="120"/>
        <v>atrasado</v>
      </c>
      <c r="AE776" s="468" t="s">
        <v>7797</v>
      </c>
      <c r="AF776" s="468" t="s">
        <v>3056</v>
      </c>
      <c r="AG776" s="1101">
        <f t="shared" ref="AG776" si="127">+S776+60</f>
        <v>44902</v>
      </c>
      <c r="AH776" s="649">
        <f t="shared" ref="AH776" si="128">IF(AB776="","",+AB776-AG776)</f>
        <v>-12</v>
      </c>
      <c r="AI776" s="649" t="str">
        <f t="shared" ref="AI776" si="129">IF(AH776="","",IF(AH776&lt;=0,"en término","atrasado"))</f>
        <v>en término</v>
      </c>
    </row>
    <row r="777" spans="2:35" s="649" customFormat="1" ht="54.95" customHeight="1" thickBot="1" x14ac:dyDescent="0.25">
      <c r="B777" s="1022" t="s">
        <v>78</v>
      </c>
      <c r="C777" s="1022" t="s">
        <v>6929</v>
      </c>
      <c r="D777" s="901" t="s">
        <v>7791</v>
      </c>
      <c r="E777" s="901" t="s">
        <v>81</v>
      </c>
      <c r="F777" s="1287" t="s">
        <v>7793</v>
      </c>
      <c r="G777" s="889" t="s">
        <v>39</v>
      </c>
      <c r="H777" s="1291">
        <v>226498.9</v>
      </c>
      <c r="I777" s="902"/>
      <c r="J777" s="892">
        <v>44819</v>
      </c>
      <c r="K777" s="893">
        <f t="shared" si="118"/>
        <v>29</v>
      </c>
      <c r="L777" s="892">
        <v>44848</v>
      </c>
      <c r="M777" s="892" t="s">
        <v>83</v>
      </c>
      <c r="N777" s="889" t="s">
        <v>42</v>
      </c>
      <c r="O777" s="892">
        <v>44841</v>
      </c>
      <c r="P777" s="893">
        <f>IF(S777="","",+S777-L777)</f>
        <v>15</v>
      </c>
      <c r="Q777" s="901" t="s">
        <v>7803</v>
      </c>
      <c r="R777" s="903">
        <v>44853</v>
      </c>
      <c r="S777" s="904">
        <v>44863</v>
      </c>
      <c r="T777" s="904">
        <f>+S777+30</f>
        <v>44893</v>
      </c>
      <c r="U777" s="893">
        <f t="shared" si="119"/>
        <v>74</v>
      </c>
      <c r="V777" s="901" t="s">
        <v>6864</v>
      </c>
      <c r="W777" s="1106" t="s">
        <v>7818</v>
      </c>
      <c r="X777" s="905"/>
      <c r="Y777" s="905"/>
      <c r="Z777" s="889" t="s">
        <v>7817</v>
      </c>
      <c r="AA777" s="889"/>
      <c r="AB777" s="892">
        <v>44902</v>
      </c>
      <c r="AC777" s="476" t="s">
        <v>7792</v>
      </c>
      <c r="AD777" s="645" t="str">
        <f t="shared" si="120"/>
        <v>atrasado</v>
      </c>
      <c r="AE777" s="468" t="s">
        <v>7808</v>
      </c>
      <c r="AF777" s="468" t="s">
        <v>3067</v>
      </c>
      <c r="AG777" s="1101">
        <f t="shared" ref="AG777" si="130">+S777+60</f>
        <v>44923</v>
      </c>
      <c r="AH777" s="649">
        <f t="shared" ref="AH777" si="131">IF(AB777="","",+AB777-AG777)</f>
        <v>-21</v>
      </c>
      <c r="AI777" s="649" t="str">
        <f t="shared" ref="AI777" si="132">IF(AH777="","",IF(AH777&lt;=0,"en término","atrasado"))</f>
        <v>en término</v>
      </c>
    </row>
    <row r="778" spans="2:35" s="649" customFormat="1" ht="54.95" customHeight="1" thickBot="1" x14ac:dyDescent="0.25">
      <c r="B778" s="1022" t="s">
        <v>78</v>
      </c>
      <c r="C778" s="1022" t="s">
        <v>6929</v>
      </c>
      <c r="D778" s="901" t="s">
        <v>7809</v>
      </c>
      <c r="E778" s="901" t="s">
        <v>81</v>
      </c>
      <c r="F778" s="1287" t="s">
        <v>7810</v>
      </c>
      <c r="G778" s="889" t="s">
        <v>39</v>
      </c>
      <c r="H778" s="1291">
        <v>170689.17</v>
      </c>
      <c r="I778" s="902"/>
      <c r="J778" s="892">
        <v>44859</v>
      </c>
      <c r="K778" s="893">
        <f t="shared" si="118"/>
        <v>31</v>
      </c>
      <c r="L778" s="892">
        <v>44890</v>
      </c>
      <c r="M778" s="892" t="s">
        <v>83</v>
      </c>
      <c r="N778" s="889" t="s">
        <v>42</v>
      </c>
      <c r="O778" s="892">
        <v>44890</v>
      </c>
      <c r="P778" s="893">
        <f>IF(O778="","",+O778-L778)</f>
        <v>0</v>
      </c>
      <c r="Q778" s="901" t="s">
        <v>7822</v>
      </c>
      <c r="R778" s="903">
        <v>44907</v>
      </c>
      <c r="S778" s="904">
        <v>44919</v>
      </c>
      <c r="T778" s="904">
        <f>+S778+20</f>
        <v>44939</v>
      </c>
      <c r="U778" s="893">
        <f t="shared" si="119"/>
        <v>80</v>
      </c>
      <c r="V778" s="901" t="s">
        <v>6864</v>
      </c>
      <c r="W778" s="1106" t="s">
        <v>7823</v>
      </c>
      <c r="X778" s="905"/>
      <c r="Y778" s="905"/>
      <c r="Z778" s="889" t="s">
        <v>7828</v>
      </c>
      <c r="AA778" s="889"/>
      <c r="AB778" s="892">
        <v>44963</v>
      </c>
      <c r="AC778" s="476" t="s">
        <v>7827</v>
      </c>
      <c r="AD778" s="645" t="str">
        <f t="shared" si="120"/>
        <v>en término</v>
      </c>
      <c r="AE778" s="468" t="s">
        <v>7824</v>
      </c>
      <c r="AF778" s="468" t="s">
        <v>3082</v>
      </c>
      <c r="AG778" s="1101">
        <f t="shared" ref="AG778" si="133">+S778+60</f>
        <v>44979</v>
      </c>
      <c r="AH778" s="649">
        <f t="shared" ref="AH778" si="134">IF(AB778="","",+AB778-AG778)</f>
        <v>-16</v>
      </c>
      <c r="AI778" s="649" t="str">
        <f t="shared" ref="AI778" si="135">IF(AH778="","",IF(AH778&lt;=0,"en término","atrasado"))</f>
        <v>en término</v>
      </c>
    </row>
    <row r="779" spans="2:35" s="649" customFormat="1" ht="54.95" customHeight="1" thickBot="1" x14ac:dyDescent="0.25">
      <c r="B779" s="1022" t="s">
        <v>78</v>
      </c>
      <c r="C779" s="1022" t="s">
        <v>6929</v>
      </c>
      <c r="D779" s="901" t="s">
        <v>7811</v>
      </c>
      <c r="E779" s="901" t="s">
        <v>81</v>
      </c>
      <c r="F779" s="1287" t="s">
        <v>7832</v>
      </c>
      <c r="G779" s="889" t="s">
        <v>39</v>
      </c>
      <c r="H779" s="1291">
        <v>77778.45</v>
      </c>
      <c r="I779" s="902"/>
      <c r="J779" s="892">
        <v>44859</v>
      </c>
      <c r="K779" s="893">
        <f t="shared" si="118"/>
        <v>59</v>
      </c>
      <c r="L779" s="892">
        <v>44918</v>
      </c>
      <c r="M779" s="892" t="s">
        <v>83</v>
      </c>
      <c r="N779" s="889" t="s">
        <v>42</v>
      </c>
      <c r="O779" s="892">
        <v>44917</v>
      </c>
      <c r="P779" s="893">
        <f>IF(O779="","",+O779-L779)</f>
        <v>-1</v>
      </c>
      <c r="Q779" s="901" t="s">
        <v>7829</v>
      </c>
      <c r="R779" s="903">
        <v>44932</v>
      </c>
      <c r="S779" s="904">
        <v>44941</v>
      </c>
      <c r="T779" s="904">
        <v>44967</v>
      </c>
      <c r="U779" s="893">
        <f t="shared" si="119"/>
        <v>108</v>
      </c>
      <c r="V779" s="901" t="s">
        <v>7833</v>
      </c>
      <c r="W779" s="1106" t="s">
        <v>7842</v>
      </c>
      <c r="X779" s="905"/>
      <c r="Y779" s="905"/>
      <c r="Z779" s="889" t="s">
        <v>7840</v>
      </c>
      <c r="AA779" s="889"/>
      <c r="AB779" s="892">
        <v>44988</v>
      </c>
      <c r="AC779" s="476" t="s">
        <v>7837</v>
      </c>
      <c r="AD779" s="645" t="str">
        <f t="shared" si="120"/>
        <v>en término</v>
      </c>
      <c r="AE779" s="468" t="s">
        <v>7841</v>
      </c>
      <c r="AF779" s="468" t="s">
        <v>2968</v>
      </c>
      <c r="AG779" s="1101">
        <f t="shared" ref="AG779" si="136">+S779+60</f>
        <v>45001</v>
      </c>
      <c r="AH779" s="649">
        <f t="shared" ref="AH779" si="137">IF(AB779="","",+AB779-AG779)</f>
        <v>-13</v>
      </c>
      <c r="AI779" s="649" t="str">
        <f t="shared" ref="AI779" si="138">IF(AH779="","",IF(AH779&lt;=0,"en término","atrasado"))</f>
        <v>en término</v>
      </c>
    </row>
    <row r="782" spans="2:35" x14ac:dyDescent="0.2">
      <c r="S782" s="914"/>
    </row>
    <row r="784" spans="2:35" s="556" customFormat="1" ht="39.950000000000003" customHeight="1" thickBot="1" x14ac:dyDescent="0.4">
      <c r="B784" s="1651">
        <v>2023</v>
      </c>
      <c r="C784" s="1652"/>
      <c r="D784" s="1652"/>
      <c r="E784" s="1652"/>
      <c r="F784" s="1652"/>
      <c r="G784" s="1652"/>
      <c r="H784" s="1652"/>
      <c r="I784" s="1652"/>
      <c r="J784" s="1652"/>
      <c r="K784" s="1652"/>
      <c r="L784" s="1652"/>
      <c r="M784" s="1652"/>
      <c r="N784" s="1652"/>
      <c r="O784" s="1652"/>
      <c r="P784" s="1652"/>
      <c r="Q784" s="1652"/>
      <c r="R784" s="1652"/>
      <c r="S784" s="1652"/>
      <c r="T784" s="1652"/>
      <c r="U784" s="1652"/>
      <c r="V784" s="1652"/>
      <c r="W784" s="1652"/>
      <c r="X784" s="1652"/>
      <c r="Y784" s="1652"/>
      <c r="Z784" s="1652"/>
      <c r="AA784" s="1652"/>
      <c r="AB784" s="1652"/>
      <c r="AC784" s="1653"/>
      <c r="AD784" s="555"/>
    </row>
    <row r="785" spans="1:39" s="441" customFormat="1" ht="60" customHeight="1" thickBot="1" x14ac:dyDescent="0.25">
      <c r="A785" s="438"/>
      <c r="B785" s="451" t="s">
        <v>130</v>
      </c>
      <c r="C785" s="451" t="s">
        <v>4</v>
      </c>
      <c r="D785" s="451" t="s">
        <v>5</v>
      </c>
      <c r="E785" s="451" t="s">
        <v>6</v>
      </c>
      <c r="F785" s="451" t="s">
        <v>7</v>
      </c>
      <c r="G785" s="451" t="s">
        <v>8</v>
      </c>
      <c r="H785" s="453" t="s">
        <v>9</v>
      </c>
      <c r="I785" s="453" t="s">
        <v>10</v>
      </c>
      <c r="J785" s="451" t="s">
        <v>11</v>
      </c>
      <c r="K785" s="451" t="s">
        <v>12</v>
      </c>
      <c r="L785" s="451" t="s">
        <v>13</v>
      </c>
      <c r="M785" s="451" t="s">
        <v>14</v>
      </c>
      <c r="N785" s="451" t="s">
        <v>15</v>
      </c>
      <c r="O785" s="452" t="s">
        <v>16</v>
      </c>
      <c r="P785" s="454" t="s">
        <v>17</v>
      </c>
      <c r="Q785" s="451" t="s">
        <v>18</v>
      </c>
      <c r="R785" s="452" t="s">
        <v>19</v>
      </c>
      <c r="S785" s="451" t="s">
        <v>20</v>
      </c>
      <c r="T785" s="451" t="s">
        <v>21</v>
      </c>
      <c r="U785" s="452" t="s">
        <v>22</v>
      </c>
      <c r="V785" s="451" t="s">
        <v>131</v>
      </c>
      <c r="W785" s="451" t="s">
        <v>24</v>
      </c>
      <c r="X785" s="451" t="s">
        <v>132</v>
      </c>
      <c r="Y785" s="451" t="s">
        <v>26</v>
      </c>
      <c r="Z785" s="451" t="s">
        <v>27</v>
      </c>
      <c r="AA785" s="451" t="s">
        <v>28</v>
      </c>
      <c r="AB785" s="451" t="s">
        <v>29</v>
      </c>
      <c r="AC785" s="451" t="s">
        <v>30</v>
      </c>
      <c r="AD785" s="440"/>
      <c r="AE785" s="440" t="s">
        <v>7187</v>
      </c>
      <c r="AF785" s="440" t="s">
        <v>7188</v>
      </c>
      <c r="AG785" s="440" t="s">
        <v>7189</v>
      </c>
      <c r="AH785" s="440" t="s">
        <v>7190</v>
      </c>
      <c r="AJ785" s="440"/>
      <c r="AK785" s="440"/>
      <c r="AL785" s="440"/>
      <c r="AM785" s="440"/>
    </row>
    <row r="786" spans="1:39" s="649" customFormat="1" ht="54.95" customHeight="1" thickBot="1" x14ac:dyDescent="0.25">
      <c r="B786" s="1022" t="s">
        <v>78</v>
      </c>
      <c r="C786" s="1022" t="s">
        <v>6929</v>
      </c>
      <c r="D786" s="901" t="s">
        <v>7834</v>
      </c>
      <c r="E786" s="901" t="s">
        <v>81</v>
      </c>
      <c r="F786" s="1287" t="s">
        <v>7835</v>
      </c>
      <c r="G786" s="889" t="s">
        <v>39</v>
      </c>
      <c r="H786" s="1291">
        <v>85582.73</v>
      </c>
      <c r="I786" s="902"/>
      <c r="J786" s="892">
        <v>44918</v>
      </c>
      <c r="K786" s="893">
        <f>+L786-J786</f>
        <v>18</v>
      </c>
      <c r="L786" s="892">
        <v>44936</v>
      </c>
      <c r="M786" s="892" t="s">
        <v>83</v>
      </c>
      <c r="N786" s="889" t="s">
        <v>42</v>
      </c>
      <c r="O786" s="903">
        <v>44938</v>
      </c>
      <c r="P786" s="893">
        <f>IF(O786="","",+O786-L786)</f>
        <v>2</v>
      </c>
      <c r="Q786" s="901" t="s">
        <v>7839</v>
      </c>
      <c r="R786" s="903">
        <v>44953</v>
      </c>
      <c r="S786" s="904">
        <v>44968</v>
      </c>
      <c r="T786" s="904">
        <v>44987</v>
      </c>
      <c r="U786" s="893">
        <f>IF(T786="","",+T786-J786)</f>
        <v>69</v>
      </c>
      <c r="V786" s="901" t="s">
        <v>7838</v>
      </c>
      <c r="W786" s="1106" t="s">
        <v>7844</v>
      </c>
      <c r="X786" s="905"/>
      <c r="Y786" s="905"/>
      <c r="Z786" s="889" t="s">
        <v>7845</v>
      </c>
      <c r="AA786" s="889"/>
      <c r="AB786" s="892">
        <v>45021</v>
      </c>
      <c r="AC786" s="476" t="s">
        <v>7836</v>
      </c>
      <c r="AD786" s="645" t="str">
        <f>IF(P786="","",IF(P786&lt;=0,"en término","atrasado"))</f>
        <v>atrasado</v>
      </c>
      <c r="AE786" s="468" t="s">
        <v>7843</v>
      </c>
      <c r="AF786" s="468" t="s">
        <v>2968</v>
      </c>
      <c r="AG786" s="1101">
        <f t="shared" ref="AG786" si="139">+S786+60</f>
        <v>45028</v>
      </c>
      <c r="AH786" s="649">
        <f t="shared" ref="AH786" si="140">IF(AB786="","",+AB786-AG786)</f>
        <v>-7</v>
      </c>
      <c r="AI786" s="649" t="str">
        <f t="shared" ref="AI786" si="141">IF(AH786="","",IF(AH786&lt;=0,"en término","atrasado"))</f>
        <v>en término</v>
      </c>
    </row>
    <row r="787" spans="1:39" s="649" customFormat="1" ht="54.95" customHeight="1" thickBot="1" x14ac:dyDescent="0.25">
      <c r="B787" s="1022" t="s">
        <v>78</v>
      </c>
      <c r="C787" s="1022" t="s">
        <v>6929</v>
      </c>
      <c r="D787" s="901" t="s">
        <v>7846</v>
      </c>
      <c r="E787" s="901" t="s">
        <v>81</v>
      </c>
      <c r="F787" s="1287" t="s">
        <v>7847</v>
      </c>
      <c r="G787" s="889" t="s">
        <v>39</v>
      </c>
      <c r="H787" s="1291">
        <v>46488.53</v>
      </c>
      <c r="I787" s="902"/>
      <c r="J787" s="892">
        <v>44956</v>
      </c>
      <c r="K787" s="893">
        <f>+L787-J787</f>
        <v>29</v>
      </c>
      <c r="L787" s="892">
        <v>44985</v>
      </c>
      <c r="M787" s="892" t="s">
        <v>83</v>
      </c>
      <c r="N787" s="889" t="s">
        <v>42</v>
      </c>
      <c r="O787" s="903">
        <v>44974</v>
      </c>
      <c r="P787" s="893">
        <f>IF(O787="","",+O787-L787)</f>
        <v>-11</v>
      </c>
      <c r="Q787" s="901" t="s">
        <v>7869</v>
      </c>
      <c r="R787" s="903">
        <v>44987</v>
      </c>
      <c r="S787" s="904">
        <v>44994</v>
      </c>
      <c r="T787" s="904">
        <v>45022</v>
      </c>
      <c r="U787" s="893">
        <f>IF(T787="","",+T787-J787)</f>
        <v>66</v>
      </c>
      <c r="V787" s="901" t="s">
        <v>7848</v>
      </c>
      <c r="W787" s="1106" t="s">
        <v>7885</v>
      </c>
      <c r="X787" s="905"/>
      <c r="Y787" s="905"/>
      <c r="Z787" s="889" t="s">
        <v>7884</v>
      </c>
      <c r="AA787" s="889"/>
      <c r="AB787" s="892">
        <v>45049</v>
      </c>
      <c r="AC787" s="476" t="s">
        <v>7849</v>
      </c>
      <c r="AD787" s="645" t="str">
        <f>IF(P787="","",IF(P787&lt;=0,"en término","atrasado"))</f>
        <v>en término</v>
      </c>
      <c r="AE787" s="468" t="s">
        <v>7886</v>
      </c>
      <c r="AF787" s="468" t="s">
        <v>3846</v>
      </c>
      <c r="AG787" s="1101">
        <f t="shared" ref="AG787" si="142">+S787+60</f>
        <v>45054</v>
      </c>
      <c r="AH787" s="649">
        <f t="shared" ref="AH787" si="143">IF(AB787="","",+AB787-AG787)</f>
        <v>-5</v>
      </c>
      <c r="AI787" s="649" t="str">
        <f t="shared" ref="AI787" si="144">IF(AH787="","",IF(AH787&lt;=0,"en término","atrasado"))</f>
        <v>en término</v>
      </c>
    </row>
    <row r="788" spans="1:39" s="649" customFormat="1" ht="54.95" customHeight="1" thickBot="1" x14ac:dyDescent="0.25">
      <c r="B788" s="1022" t="s">
        <v>78</v>
      </c>
      <c r="C788" s="1022" t="s">
        <v>6929</v>
      </c>
      <c r="D788" s="901" t="s">
        <v>7896</v>
      </c>
      <c r="E788" s="901" t="s">
        <v>81</v>
      </c>
      <c r="F788" s="1287" t="s">
        <v>7897</v>
      </c>
      <c r="G788" s="889" t="s">
        <v>39</v>
      </c>
      <c r="H788" s="1291">
        <v>57902.98</v>
      </c>
      <c r="I788" s="902"/>
      <c r="J788" s="892">
        <v>45006</v>
      </c>
      <c r="K788" s="893">
        <f>+L788-J788</f>
        <v>34</v>
      </c>
      <c r="L788" s="892">
        <v>45040</v>
      </c>
      <c r="M788" s="892" t="s">
        <v>83</v>
      </c>
      <c r="N788" s="889" t="s">
        <v>42</v>
      </c>
      <c r="O788" s="903">
        <v>45041</v>
      </c>
      <c r="P788" s="893">
        <f>IF(O788="","",+O788-L788)</f>
        <v>1</v>
      </c>
      <c r="Q788" s="901" t="s">
        <v>7940</v>
      </c>
      <c r="R788" s="903">
        <v>45049</v>
      </c>
      <c r="S788" s="904">
        <v>45059</v>
      </c>
      <c r="T788" s="904">
        <f>+S788+30</f>
        <v>45089</v>
      </c>
      <c r="U788" s="893">
        <f>IF(T788="","",+T788-J788)</f>
        <v>83</v>
      </c>
      <c r="V788" s="901" t="s">
        <v>7848</v>
      </c>
      <c r="W788" s="1106" t="s">
        <v>7926</v>
      </c>
      <c r="X788" s="905"/>
      <c r="Y788" s="905"/>
      <c r="Z788" s="889" t="s">
        <v>7939</v>
      </c>
      <c r="AA788" s="889"/>
      <c r="AB788" s="892">
        <v>45104</v>
      </c>
      <c r="AC788" s="476" t="s">
        <v>7898</v>
      </c>
      <c r="AD788" s="645" t="str">
        <f>IF(P788="","",IF(P788&lt;=0,"en término","atrasado"))</f>
        <v>atrasado</v>
      </c>
      <c r="AE788" s="468" t="s">
        <v>7927</v>
      </c>
      <c r="AF788" s="468" t="s">
        <v>2929</v>
      </c>
      <c r="AG788" s="1101">
        <f t="shared" ref="AG788" si="145">+S788+60</f>
        <v>45119</v>
      </c>
      <c r="AH788" s="649">
        <f t="shared" ref="AH788" si="146">IF(AB788="","",+AB788-AG788)</f>
        <v>-15</v>
      </c>
      <c r="AI788" s="649" t="str">
        <f t="shared" ref="AI788" si="147">IF(AH788="","",IF(AH788&lt;=0,"en término","atrasado"))</f>
        <v>en término</v>
      </c>
    </row>
    <row r="789" spans="1:39" s="649" customFormat="1" ht="54.95" customHeight="1" thickBot="1" x14ac:dyDescent="0.25">
      <c r="B789" s="1022" t="s">
        <v>78</v>
      </c>
      <c r="C789" s="1022" t="s">
        <v>6929</v>
      </c>
      <c r="D789" s="901" t="s">
        <v>7951</v>
      </c>
      <c r="E789" s="901" t="s">
        <v>81</v>
      </c>
      <c r="F789" s="1287" t="s">
        <v>7952</v>
      </c>
      <c r="G789" s="889" t="s">
        <v>39</v>
      </c>
      <c r="H789" s="1291">
        <v>11872</v>
      </c>
      <c r="I789" s="902"/>
      <c r="J789" s="892">
        <v>45071</v>
      </c>
      <c r="K789" s="893">
        <f>+L789-J789</f>
        <v>51</v>
      </c>
      <c r="L789" s="892">
        <v>45122</v>
      </c>
      <c r="M789" s="892" t="s">
        <v>83</v>
      </c>
      <c r="N789" s="889" t="s">
        <v>42</v>
      </c>
      <c r="O789" s="903">
        <v>45078</v>
      </c>
      <c r="P789" s="893">
        <f>IF(O789="","",+O789-L789)</f>
        <v>-44</v>
      </c>
      <c r="Q789" s="901" t="s">
        <v>7971</v>
      </c>
      <c r="R789" s="903">
        <v>45092</v>
      </c>
      <c r="S789" s="904">
        <v>45099</v>
      </c>
      <c r="T789" s="904">
        <f>+S789+30</f>
        <v>45129</v>
      </c>
      <c r="U789" s="893">
        <f>IF(T789="","",+T789-J789)</f>
        <v>58</v>
      </c>
      <c r="V789" s="901" t="s">
        <v>7953</v>
      </c>
      <c r="W789" s="1106" t="s">
        <v>7975</v>
      </c>
      <c r="X789" s="905"/>
      <c r="Y789" s="905"/>
      <c r="Z789" s="889" t="s">
        <v>7976</v>
      </c>
      <c r="AA789" s="889"/>
      <c r="AB789" s="892">
        <v>45148</v>
      </c>
      <c r="AC789" s="476" t="s">
        <v>7950</v>
      </c>
      <c r="AD789" s="645" t="str">
        <f>IF(P789="","",IF(P789&lt;=0,"en término","atrasado"))</f>
        <v>en término</v>
      </c>
      <c r="AE789" s="468" t="s">
        <v>7970</v>
      </c>
      <c r="AF789" s="468" t="s">
        <v>2943</v>
      </c>
      <c r="AG789" s="1101">
        <f t="shared" ref="AG789" si="148">+S789+60</f>
        <v>45159</v>
      </c>
      <c r="AH789" s="649">
        <f t="shared" ref="AH789" si="149">IF(AB789="","",+AB789-AG789)</f>
        <v>-11</v>
      </c>
      <c r="AI789" s="649" t="str">
        <f t="shared" ref="AI789" si="150">IF(AH789="","",IF(AH789&lt;=0,"en término","atrasado"))</f>
        <v>en término</v>
      </c>
    </row>
    <row r="790" spans="1:39" ht="12" thickBot="1" x14ac:dyDescent="0.25">
      <c r="AG790" s="1101"/>
      <c r="AH790" s="649"/>
      <c r="AI790" s="649"/>
    </row>
    <row r="791" spans="1:39" s="649" customFormat="1" ht="54.95" customHeight="1" thickBot="1" x14ac:dyDescent="0.25">
      <c r="B791" s="1022" t="s">
        <v>78</v>
      </c>
      <c r="C791" s="1022" t="s">
        <v>6929</v>
      </c>
      <c r="D791" s="901" t="s">
        <v>7960</v>
      </c>
      <c r="E791" s="901" t="s">
        <v>81</v>
      </c>
      <c r="F791" s="1106" t="s">
        <v>7959</v>
      </c>
      <c r="G791" s="889" t="s">
        <v>39</v>
      </c>
      <c r="H791" s="1291">
        <v>180801.5</v>
      </c>
      <c r="I791" s="902"/>
      <c r="J791" s="892">
        <v>45072</v>
      </c>
      <c r="K791" s="893">
        <f>+L791-J791</f>
        <v>70</v>
      </c>
      <c r="L791" s="892">
        <v>45142</v>
      </c>
      <c r="M791" s="892" t="s">
        <v>83</v>
      </c>
      <c r="N791" s="889" t="s">
        <v>110</v>
      </c>
      <c r="O791" s="903"/>
      <c r="P791" s="893" t="str">
        <f>IF(O791="","",+O791-L791)</f>
        <v/>
      </c>
      <c r="Q791" s="901"/>
      <c r="R791" s="903"/>
      <c r="S791" s="904">
        <v>45149</v>
      </c>
      <c r="T791" s="904">
        <v>45155</v>
      </c>
      <c r="U791" s="893">
        <f>IF(T791="","",+T791-J791)</f>
        <v>83</v>
      </c>
      <c r="V791" s="901" t="s">
        <v>8013</v>
      </c>
      <c r="W791" s="1106"/>
      <c r="X791" s="905"/>
      <c r="Y791" s="905"/>
      <c r="Z791" s="889"/>
      <c r="AA791" s="889"/>
      <c r="AB791" s="1025" t="str">
        <f ca="1">IF(S791="","",IF('o.c.'!$Z$1&lt;(S791+60),(S791+60),"VENCIDA"))</f>
        <v>VENCIDA</v>
      </c>
      <c r="AC791" s="476" t="s">
        <v>8019</v>
      </c>
      <c r="AD791" s="1558" t="s">
        <v>8038</v>
      </c>
      <c r="AE791" s="656"/>
      <c r="AF791" s="656"/>
      <c r="AG791" s="1101"/>
    </row>
    <row r="792" spans="1:39" s="649" customFormat="1" ht="54.95" customHeight="1" thickBot="1" x14ac:dyDescent="0.25">
      <c r="B792" s="1022" t="s">
        <v>78</v>
      </c>
      <c r="C792" s="1022" t="s">
        <v>6929</v>
      </c>
      <c r="D792" s="901" t="s">
        <v>7978</v>
      </c>
      <c r="E792" s="901" t="s">
        <v>81</v>
      </c>
      <c r="F792" s="1287" t="s">
        <v>7979</v>
      </c>
      <c r="G792" s="889" t="s">
        <v>39</v>
      </c>
      <c r="H792" s="1291">
        <v>33807.61</v>
      </c>
      <c r="I792" s="902"/>
      <c r="J792" s="892">
        <v>45099</v>
      </c>
      <c r="K792" s="893">
        <f>+L792-J792</f>
        <v>59</v>
      </c>
      <c r="L792" s="892">
        <v>45158</v>
      </c>
      <c r="M792" s="892" t="s">
        <v>83</v>
      </c>
      <c r="N792" s="889" t="s">
        <v>110</v>
      </c>
      <c r="O792" s="903"/>
      <c r="P792" s="893" t="str">
        <f>IF(O792="","",+O792-L792)</f>
        <v/>
      </c>
      <c r="Q792" s="901"/>
      <c r="R792" s="903"/>
      <c r="S792" s="904">
        <v>45149</v>
      </c>
      <c r="T792" s="904">
        <v>45155</v>
      </c>
      <c r="U792" s="893">
        <f>IF(T792="","",+T792-J792)</f>
        <v>56</v>
      </c>
      <c r="V792" s="901" t="s">
        <v>8014</v>
      </c>
      <c r="W792" s="1106"/>
      <c r="X792" s="905"/>
      <c r="Y792" s="905"/>
      <c r="Z792" s="889"/>
      <c r="AA792" s="889"/>
      <c r="AB792" s="1025" t="str">
        <f ca="1">IF(S792="","",IF('o.c.'!$Z$1&lt;(S792+60),(S792+60),"VENCIDA"))</f>
        <v>VENCIDA</v>
      </c>
      <c r="AC792" s="476" t="s">
        <v>8019</v>
      </c>
      <c r="AD792" s="1558" t="s">
        <v>8038</v>
      </c>
      <c r="AE792" s="656"/>
      <c r="AF792" s="656"/>
      <c r="AG792" s="1101"/>
    </row>
    <row r="793" spans="1:39" ht="12" thickBot="1" x14ac:dyDescent="0.25">
      <c r="AG793" s="1101"/>
      <c r="AH793" s="649"/>
      <c r="AI793" s="649"/>
    </row>
    <row r="794" spans="1:39" s="649" customFormat="1" ht="54.95" customHeight="1" thickBot="1" x14ac:dyDescent="0.25">
      <c r="B794" s="1022" t="s">
        <v>78</v>
      </c>
      <c r="C794" s="1022" t="s">
        <v>6929</v>
      </c>
      <c r="D794" s="901" t="s">
        <v>7960</v>
      </c>
      <c r="E794" s="901" t="s">
        <v>81</v>
      </c>
      <c r="F794" s="1287" t="s">
        <v>7959</v>
      </c>
      <c r="G794" s="889" t="s">
        <v>39</v>
      </c>
      <c r="H794" s="1291">
        <v>7223.3</v>
      </c>
      <c r="I794" s="902"/>
      <c r="J794" s="892">
        <v>45072</v>
      </c>
      <c r="K794" s="893">
        <f>+L794-J794</f>
        <v>70</v>
      </c>
      <c r="L794" s="892">
        <v>45142</v>
      </c>
      <c r="M794" s="892" t="s">
        <v>83</v>
      </c>
      <c r="N794" s="889" t="s">
        <v>42</v>
      </c>
      <c r="O794" s="903">
        <v>45149</v>
      </c>
      <c r="P794" s="893">
        <f>IF(O794="","",+O794-L794)</f>
        <v>7</v>
      </c>
      <c r="Q794" s="901" t="s">
        <v>8022</v>
      </c>
      <c r="R794" s="903">
        <v>45163</v>
      </c>
      <c r="S794" s="904">
        <v>45171</v>
      </c>
      <c r="T794" s="904">
        <v>45191</v>
      </c>
      <c r="U794" s="893">
        <f>IF(T794="","",+T794-J794)</f>
        <v>119</v>
      </c>
      <c r="V794" s="901" t="s">
        <v>7848</v>
      </c>
      <c r="W794" s="1106" t="s">
        <v>8025</v>
      </c>
      <c r="X794" s="905"/>
      <c r="Y794" s="905"/>
      <c r="Z794" s="889" t="s">
        <v>8026</v>
      </c>
      <c r="AA794" s="889"/>
      <c r="AB794" s="892">
        <v>45223</v>
      </c>
      <c r="AC794" s="476" t="s">
        <v>8020</v>
      </c>
      <c r="AD794" s="645" t="str">
        <f>IF(P794="","",IF(P794&lt;=0,"en término","atrasado"))</f>
        <v>atrasado</v>
      </c>
      <c r="AE794" s="468" t="s">
        <v>8023</v>
      </c>
      <c r="AF794" s="468" t="s">
        <v>2957</v>
      </c>
      <c r="AG794" s="1101">
        <f t="shared" ref="AG794:AG795" si="151">+S794+60</f>
        <v>45231</v>
      </c>
      <c r="AH794" s="649">
        <f t="shared" ref="AH794:AH795" si="152">IF(AB794="","",+AB794-AG794)</f>
        <v>-8</v>
      </c>
      <c r="AI794" s="649" t="str">
        <f t="shared" ref="AI794:AI795" si="153">IF(AH794="","",IF(AH794&lt;=0,"en término","atrasado"))</f>
        <v>en término</v>
      </c>
    </row>
    <row r="795" spans="1:39" s="649" customFormat="1" ht="54.95" customHeight="1" thickBot="1" x14ac:dyDescent="0.25">
      <c r="B795" s="1022" t="s">
        <v>78</v>
      </c>
      <c r="C795" s="1022" t="s">
        <v>6929</v>
      </c>
      <c r="D795" s="901" t="s">
        <v>7978</v>
      </c>
      <c r="E795" s="901" t="s">
        <v>81</v>
      </c>
      <c r="F795" s="1287" t="s">
        <v>7979</v>
      </c>
      <c r="G795" s="889" t="s">
        <v>39</v>
      </c>
      <c r="H795" s="1291">
        <v>132548.16</v>
      </c>
      <c r="I795" s="902"/>
      <c r="J795" s="892">
        <v>45099</v>
      </c>
      <c r="K795" s="893">
        <f>+L795-J795</f>
        <v>59</v>
      </c>
      <c r="L795" s="892">
        <v>45158</v>
      </c>
      <c r="M795" s="892" t="s">
        <v>83</v>
      </c>
      <c r="N795" s="889" t="s">
        <v>42</v>
      </c>
      <c r="O795" s="903">
        <v>45149</v>
      </c>
      <c r="P795" s="893">
        <f>IF(O795="","",+O795-L795)</f>
        <v>-9</v>
      </c>
      <c r="Q795" s="901" t="s">
        <v>8022</v>
      </c>
      <c r="R795" s="903">
        <v>45163</v>
      </c>
      <c r="S795" s="904">
        <v>45171</v>
      </c>
      <c r="T795" s="904">
        <v>45191</v>
      </c>
      <c r="U795" s="893">
        <f>IF(T795="","",+T795-J795)</f>
        <v>92</v>
      </c>
      <c r="V795" s="901" t="s">
        <v>7848</v>
      </c>
      <c r="W795" s="1106" t="s">
        <v>8025</v>
      </c>
      <c r="X795" s="905"/>
      <c r="Y795" s="905"/>
      <c r="Z795" s="889" t="s">
        <v>8026</v>
      </c>
      <c r="AA795" s="889"/>
      <c r="AB795" s="892">
        <v>45223</v>
      </c>
      <c r="AC795" s="476" t="s">
        <v>8021</v>
      </c>
      <c r="AD795" s="645" t="str">
        <f>IF(P795="","",IF(P795&lt;=0,"en término","atrasado"))</f>
        <v>en término</v>
      </c>
      <c r="AE795" s="468" t="s">
        <v>8023</v>
      </c>
      <c r="AF795" s="468" t="s">
        <v>2957</v>
      </c>
      <c r="AG795" s="1101">
        <f t="shared" si="151"/>
        <v>45231</v>
      </c>
      <c r="AH795" s="649">
        <f t="shared" si="152"/>
        <v>-8</v>
      </c>
      <c r="AI795" s="649" t="str">
        <f t="shared" si="153"/>
        <v>en término</v>
      </c>
    </row>
    <row r="796" spans="1:39" s="649" customFormat="1" ht="54.95" customHeight="1" thickBot="1" x14ac:dyDescent="0.25">
      <c r="B796" s="1022" t="s">
        <v>78</v>
      </c>
      <c r="C796" s="1022" t="s">
        <v>6929</v>
      </c>
      <c r="D796" s="901" t="s">
        <v>8016</v>
      </c>
      <c r="E796" s="901" t="s">
        <v>81</v>
      </c>
      <c r="F796" s="1287" t="s">
        <v>8017</v>
      </c>
      <c r="G796" s="889" t="s">
        <v>39</v>
      </c>
      <c r="H796" s="1291">
        <v>164675.82999999999</v>
      </c>
      <c r="I796" s="902"/>
      <c r="J796" s="892">
        <v>45125</v>
      </c>
      <c r="K796" s="893">
        <f>+L796-J796</f>
        <v>41</v>
      </c>
      <c r="L796" s="892">
        <v>45166</v>
      </c>
      <c r="M796" s="892" t="s">
        <v>83</v>
      </c>
      <c r="N796" s="889" t="s">
        <v>42</v>
      </c>
      <c r="O796" s="903">
        <v>45175</v>
      </c>
      <c r="P796" s="893">
        <f>IF(O796="","",+O796-L796)</f>
        <v>9</v>
      </c>
      <c r="Q796" s="901" t="s">
        <v>8065</v>
      </c>
      <c r="R796" s="903">
        <v>45182</v>
      </c>
      <c r="S796" s="904">
        <v>45192</v>
      </c>
      <c r="T796" s="904">
        <v>45218</v>
      </c>
      <c r="U796" s="893">
        <f>IF(T796="","",+T796-J796)</f>
        <v>93</v>
      </c>
      <c r="V796" s="901" t="s">
        <v>7848</v>
      </c>
      <c r="W796" s="1106" t="s">
        <v>8040</v>
      </c>
      <c r="X796" s="905"/>
      <c r="Y796" s="905"/>
      <c r="Z796" s="889" t="s">
        <v>8053</v>
      </c>
      <c r="AA796" s="889"/>
      <c r="AB796" s="892">
        <v>45261</v>
      </c>
      <c r="AC796" s="476" t="s">
        <v>8024</v>
      </c>
      <c r="AD796" s="645" t="str">
        <f>IF(P796="","",IF(P796&lt;=0,"en término","atrasado"))</f>
        <v>atrasado</v>
      </c>
      <c r="AE796" s="468" t="s">
        <v>8039</v>
      </c>
      <c r="AF796" s="468" t="s">
        <v>3056</v>
      </c>
      <c r="AG796" s="1101">
        <f t="shared" ref="AG796" si="154">+S796+60</f>
        <v>45252</v>
      </c>
      <c r="AH796" s="649">
        <f>IF(AB796="","",+AB796-AG796)</f>
        <v>9</v>
      </c>
      <c r="AI796" s="649" t="str">
        <f t="shared" ref="AI796" si="155">IF(AH796="","",IF(AH796&lt;=0,"en término","atrasado"))</f>
        <v>atrasado</v>
      </c>
    </row>
    <row r="797" spans="1:39" s="649" customFormat="1" ht="54.95" customHeight="1" thickBot="1" x14ac:dyDescent="0.25">
      <c r="B797" s="1022" t="s">
        <v>78</v>
      </c>
      <c r="C797" s="1022" t="s">
        <v>6929</v>
      </c>
      <c r="D797" s="901" t="s">
        <v>8037</v>
      </c>
      <c r="E797" s="901" t="s">
        <v>81</v>
      </c>
      <c r="F797" s="1563" t="s">
        <v>8035</v>
      </c>
      <c r="G797" s="889" t="s">
        <v>39</v>
      </c>
      <c r="H797" s="1291">
        <v>51802.81</v>
      </c>
      <c r="I797" s="902"/>
      <c r="J797" s="892">
        <v>45174</v>
      </c>
      <c r="K797" s="893">
        <f>+L797-J797</f>
        <v>15</v>
      </c>
      <c r="L797" s="892">
        <v>45189</v>
      </c>
      <c r="M797" s="892" t="s">
        <v>83</v>
      </c>
      <c r="N797" s="889" t="s">
        <v>42</v>
      </c>
      <c r="O797" s="903">
        <v>45191</v>
      </c>
      <c r="P797" s="893">
        <f>IF(O797="","",+O797-L797)</f>
        <v>2</v>
      </c>
      <c r="Q797" s="901" t="s">
        <v>8055</v>
      </c>
      <c r="R797" s="903">
        <v>45205</v>
      </c>
      <c r="S797" s="904">
        <v>45215</v>
      </c>
      <c r="T797" s="904">
        <v>45239</v>
      </c>
      <c r="U797" s="893">
        <f>IF(T797="","",+T797-J797)</f>
        <v>65</v>
      </c>
      <c r="V797" s="901" t="s">
        <v>7848</v>
      </c>
      <c r="W797" s="1106" t="s">
        <v>8059</v>
      </c>
      <c r="X797" s="905"/>
      <c r="Y797" s="905"/>
      <c r="Z797" s="895" t="s">
        <v>8082</v>
      </c>
      <c r="AA797" s="889"/>
      <c r="AB797" s="892">
        <v>45275</v>
      </c>
      <c r="AC797" s="476" t="s">
        <v>8036</v>
      </c>
      <c r="AD797" s="645" t="str">
        <f>IF(P797="","",IF(P797&lt;=0,"en término","atrasado"))</f>
        <v>atrasado</v>
      </c>
      <c r="AE797" s="468" t="s">
        <v>8058</v>
      </c>
      <c r="AF797" s="468" t="s">
        <v>3056</v>
      </c>
      <c r="AG797" s="1101">
        <f t="shared" ref="AG797" si="156">+S797+60</f>
        <v>45275</v>
      </c>
      <c r="AH797" s="649">
        <f>IF(AB797="","",+AB797-AG797)</f>
        <v>0</v>
      </c>
      <c r="AI797" s="649" t="str">
        <f t="shared" ref="AI797" si="157">IF(AH797="","",IF(AH797&lt;=0,"en término","atrasado"))</f>
        <v>en término</v>
      </c>
    </row>
    <row r="798" spans="1:39" s="649" customFormat="1" ht="54.95" customHeight="1" thickBot="1" x14ac:dyDescent="0.25">
      <c r="B798" s="1022" t="s">
        <v>78</v>
      </c>
      <c r="C798" s="1022" t="s">
        <v>6929</v>
      </c>
      <c r="D798" s="901" t="s">
        <v>8081</v>
      </c>
      <c r="E798" s="901" t="s">
        <v>81</v>
      </c>
      <c r="F798" s="1563" t="s">
        <v>8080</v>
      </c>
      <c r="G798" s="889" t="s">
        <v>39</v>
      </c>
      <c r="H798" s="1291">
        <v>104983.21</v>
      </c>
      <c r="I798" s="902"/>
      <c r="J798" s="892">
        <v>45232</v>
      </c>
      <c r="K798" s="893">
        <f>+L798-J798</f>
        <v>29</v>
      </c>
      <c r="L798" s="892">
        <v>45261</v>
      </c>
      <c r="M798" s="892" t="s">
        <v>83</v>
      </c>
      <c r="N798" s="889" t="s">
        <v>42</v>
      </c>
      <c r="O798" s="903">
        <v>45254</v>
      </c>
      <c r="P798" s="893">
        <f>IF(O798="","",+O798-L798)</f>
        <v>-7</v>
      </c>
      <c r="Q798" s="901" t="s">
        <v>8101</v>
      </c>
      <c r="R798" s="903">
        <v>45261</v>
      </c>
      <c r="S798" s="904">
        <v>45276</v>
      </c>
      <c r="T798" s="904">
        <v>45308</v>
      </c>
      <c r="U798" s="893">
        <f>IF(T798="","",+T798-J798)</f>
        <v>76</v>
      </c>
      <c r="V798" s="901" t="s">
        <v>7848</v>
      </c>
      <c r="W798" s="1106" t="s">
        <v>8102</v>
      </c>
      <c r="X798" s="905"/>
      <c r="Y798" s="905"/>
      <c r="Z798" s="889"/>
      <c r="AA798" s="889"/>
      <c r="AB798" s="892">
        <v>45316</v>
      </c>
      <c r="AC798" s="476" t="s">
        <v>8100</v>
      </c>
      <c r="AD798" s="645" t="str">
        <f>IF(P798="","",IF(P798&lt;=0,"en término","atrasado"))</f>
        <v>en término</v>
      </c>
      <c r="AE798" s="446" t="s">
        <v>8099</v>
      </c>
      <c r="AF798" s="446" t="s">
        <v>3074</v>
      </c>
      <c r="AG798" s="1101">
        <f t="shared" ref="AG798" si="158">+S798+60</f>
        <v>45336</v>
      </c>
      <c r="AH798" s="649">
        <f>IF(AB798="","",+AB798-AG798)</f>
        <v>-20</v>
      </c>
      <c r="AI798" s="649" t="str">
        <f t="shared" ref="AI798" si="159">IF(AH798="","",IF(AH798&lt;=0,"en término","atrasado"))</f>
        <v>en término</v>
      </c>
    </row>
  </sheetData>
  <customSheetViews>
    <customSheetView guid="{4C4B61E0-A90E-11D1-A823-006097B607DD}" showPageBreaks="1" showRuler="0">
      <pageMargins left="0" right="0" top="0" bottom="0" header="0" footer="0"/>
      <printOptions gridLines="1"/>
      <pageSetup orientation="portrait" horizontalDpi="300" verticalDpi="300" r:id="rId1"/>
      <headerFooter alignWithMargins="0">
        <oddHeader>&amp;A</oddHeader>
        <oddFooter>Página &amp;P</oddFooter>
      </headerFooter>
    </customSheetView>
  </customSheetViews>
  <mergeCells count="28">
    <mergeCell ref="B784:AC784"/>
    <mergeCell ref="AG688:AI688"/>
    <mergeCell ref="B460:AC460"/>
    <mergeCell ref="B447:AC447"/>
    <mergeCell ref="B674:AC674"/>
    <mergeCell ref="B650:AC650"/>
    <mergeCell ref="B593:AC593"/>
    <mergeCell ref="B572:AC572"/>
    <mergeCell ref="B547:AC547"/>
    <mergeCell ref="B766:AC766"/>
    <mergeCell ref="B747:AC747"/>
    <mergeCell ref="B721:AC721"/>
    <mergeCell ref="B698:AC698"/>
    <mergeCell ref="B5:AC5"/>
    <mergeCell ref="B100:AC100"/>
    <mergeCell ref="B212:AC212"/>
    <mergeCell ref="B275:AC275"/>
    <mergeCell ref="B47:AC47"/>
    <mergeCell ref="B325:AC325"/>
    <mergeCell ref="B518:AC518"/>
    <mergeCell ref="B633:AC633"/>
    <mergeCell ref="B614:AC614"/>
    <mergeCell ref="AC435:AC438"/>
    <mergeCell ref="B375:AC375"/>
    <mergeCell ref="B396:AC396"/>
    <mergeCell ref="B409:AC409"/>
    <mergeCell ref="B490:AC490"/>
    <mergeCell ref="B476:AC476"/>
  </mergeCells>
  <phoneticPr fontId="0" type="noConversion"/>
  <pageMargins left="0.19685039370078741" right="0.74803149606299213" top="0.39370078740157483" bottom="0.55118110236220474" header="0.62992125984251968" footer="0.19685039370078741"/>
  <pageSetup paperSize="5" scale="35" orientation="landscape" r:id="rId2"/>
  <headerFooter alignWithMargins="0">
    <oddFooter>&amp;LBNDF 3.1085 Rev. _ 3/11/00&amp;CINFORME O/C ENTREGADAS
 - &amp;D&amp;R&amp;"Tahoma,Normal"&amp;9Colombia &amp;P de &amp;N</oddFooter>
  </headerFooter>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N677"/>
  <sheetViews>
    <sheetView topLeftCell="G671" zoomScaleNormal="100" workbookViewId="0">
      <selection activeCell="B8" sqref="B8:AC8"/>
    </sheetView>
  </sheetViews>
  <sheetFormatPr baseColWidth="10" defaultColWidth="11.42578125" defaultRowHeight="11.25" x14ac:dyDescent="0.2"/>
  <cols>
    <col min="1" max="1" width="6.28515625" style="2" customWidth="1"/>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30" width="11.42578125" style="37"/>
    <col min="31" max="16384" width="11.42578125" style="2"/>
  </cols>
  <sheetData>
    <row r="1" spans="1:37" ht="25.5" x14ac:dyDescent="0.35">
      <c r="B1" s="558" t="s">
        <v>126</v>
      </c>
      <c r="Z1" s="546" t="s">
        <v>127</v>
      </c>
      <c r="AA1" s="547">
        <f ca="1">TODAY()</f>
        <v>45457</v>
      </c>
    </row>
    <row r="2" spans="1:37" ht="23.25" x14ac:dyDescent="0.35">
      <c r="B2" s="559" t="s">
        <v>128</v>
      </c>
    </row>
    <row r="3" spans="1:37" ht="6" customHeight="1" x14ac:dyDescent="0.2"/>
    <row r="4" spans="1:37" ht="6" customHeight="1" thickBot="1" x14ac:dyDescent="0.25"/>
    <row r="5" spans="1:37" s="556" customFormat="1" ht="39.950000000000003" customHeight="1" thickBot="1" x14ac:dyDescent="0.4">
      <c r="B5" s="1611">
        <v>1998</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c r="AD5" s="560"/>
    </row>
    <row r="6" spans="1:37"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c r="AK6" s="440"/>
    </row>
    <row r="7" spans="1:37" s="9" customFormat="1" x14ac:dyDescent="0.2">
      <c r="B7" s="314"/>
      <c r="C7" s="11"/>
      <c r="D7" s="12"/>
      <c r="E7" s="12"/>
      <c r="F7" s="12"/>
      <c r="G7" s="12"/>
      <c r="H7" s="13"/>
      <c r="I7" s="14"/>
      <c r="J7" s="12"/>
      <c r="K7" s="12"/>
      <c r="L7" s="15"/>
      <c r="M7" s="12"/>
      <c r="N7" s="12"/>
      <c r="O7" s="12"/>
      <c r="P7" s="12"/>
      <c r="Q7" s="12"/>
      <c r="R7" s="12"/>
      <c r="S7" s="12"/>
      <c r="T7" s="11"/>
      <c r="U7" s="11"/>
      <c r="V7" s="12"/>
      <c r="W7" s="12"/>
      <c r="X7" s="57"/>
      <c r="Y7" s="57"/>
      <c r="Z7" s="58"/>
      <c r="AA7" s="34"/>
      <c r="AB7" s="12"/>
      <c r="AC7" s="12"/>
      <c r="AD7" s="28"/>
    </row>
    <row r="8" spans="1:37" s="9" customFormat="1" x14ac:dyDescent="0.2">
      <c r="B8" s="312" t="s">
        <v>4001</v>
      </c>
      <c r="C8" s="16" t="s">
        <v>4002</v>
      </c>
      <c r="D8" s="6"/>
      <c r="E8" s="6"/>
      <c r="F8" s="6"/>
      <c r="G8" s="6"/>
      <c r="H8" s="17">
        <v>1090</v>
      </c>
      <c r="I8" s="6"/>
      <c r="J8" s="7"/>
      <c r="K8" s="7"/>
      <c r="L8" s="23"/>
      <c r="M8" s="18" t="s">
        <v>4003</v>
      </c>
      <c r="N8" s="6" t="s">
        <v>110</v>
      </c>
      <c r="O8" s="6"/>
      <c r="P8" s="6"/>
      <c r="Q8" s="6"/>
      <c r="R8" s="6"/>
      <c r="S8" s="7">
        <v>36108</v>
      </c>
      <c r="T8" s="7">
        <v>35741</v>
      </c>
      <c r="U8" s="7"/>
      <c r="V8" s="6" t="s">
        <v>4004</v>
      </c>
      <c r="W8" s="6"/>
      <c r="X8" s="59"/>
      <c r="Y8" s="59"/>
      <c r="Z8" s="60"/>
      <c r="AA8" s="35"/>
      <c r="AB8" s="6"/>
      <c r="AC8" s="6"/>
      <c r="AD8" s="28"/>
    </row>
    <row r="9" spans="1:37" s="9" customFormat="1" ht="12" thickBot="1" x14ac:dyDescent="0.25">
      <c r="B9" s="313"/>
      <c r="C9" s="19"/>
      <c r="D9" s="5"/>
      <c r="E9" s="5"/>
      <c r="F9" s="5"/>
      <c r="G9" s="5"/>
      <c r="H9" s="20"/>
      <c r="I9" s="21"/>
      <c r="J9" s="5"/>
      <c r="K9" s="5"/>
      <c r="L9" s="22"/>
      <c r="M9" s="5"/>
      <c r="N9" s="5"/>
      <c r="O9" s="5"/>
      <c r="P9" s="5"/>
      <c r="Q9" s="5"/>
      <c r="R9" s="5"/>
      <c r="S9" s="5"/>
      <c r="T9" s="19"/>
      <c r="U9" s="19"/>
      <c r="V9" s="5"/>
      <c r="W9" s="5"/>
      <c r="X9" s="61"/>
      <c r="Y9" s="61"/>
      <c r="Z9" s="62"/>
      <c r="AA9" s="36"/>
      <c r="AB9" s="5"/>
      <c r="AC9" s="5"/>
      <c r="AD9" s="28"/>
    </row>
    <row r="10" spans="1:37" s="9" customFormat="1" x14ac:dyDescent="0.2">
      <c r="B10" s="314"/>
      <c r="C10" s="11"/>
      <c r="D10" s="12"/>
      <c r="E10" s="12"/>
      <c r="F10" s="12"/>
      <c r="G10" s="12"/>
      <c r="H10" s="13"/>
      <c r="I10" s="14"/>
      <c r="J10" s="12" t="s">
        <v>77</v>
      </c>
      <c r="K10" s="12"/>
      <c r="L10" s="15"/>
      <c r="M10" s="12"/>
      <c r="N10" s="12"/>
      <c r="O10" s="12"/>
      <c r="P10" s="12"/>
      <c r="Q10" s="12"/>
      <c r="R10" s="12"/>
      <c r="S10" s="12"/>
      <c r="T10" s="11"/>
      <c r="U10" s="11"/>
      <c r="V10" s="12"/>
      <c r="W10" s="47"/>
      <c r="X10" s="59"/>
      <c r="Y10" s="59"/>
      <c r="Z10" s="60"/>
      <c r="AA10" s="34"/>
      <c r="AB10" s="6"/>
      <c r="AC10" s="6"/>
      <c r="AD10" s="28"/>
    </row>
    <row r="11" spans="1:37" s="9" customFormat="1" x14ac:dyDescent="0.2">
      <c r="B11" s="312" t="s">
        <v>4005</v>
      </c>
      <c r="C11" s="16" t="s">
        <v>4002</v>
      </c>
      <c r="D11" s="6"/>
      <c r="E11" s="6"/>
      <c r="F11" s="6"/>
      <c r="G11" s="6"/>
      <c r="H11" s="17">
        <v>113421</v>
      </c>
      <c r="I11" s="6"/>
      <c r="J11" s="7" t="s">
        <v>77</v>
      </c>
      <c r="K11" s="7"/>
      <c r="L11" s="23"/>
      <c r="M11" s="18" t="s">
        <v>4003</v>
      </c>
      <c r="N11" s="6" t="s">
        <v>42</v>
      </c>
      <c r="O11" s="6"/>
      <c r="P11" s="6"/>
      <c r="Q11" s="6"/>
      <c r="R11" s="6"/>
      <c r="S11" s="7">
        <v>36156</v>
      </c>
      <c r="T11" s="7">
        <v>35791</v>
      </c>
      <c r="U11" s="7"/>
      <c r="V11" s="6" t="s">
        <v>4006</v>
      </c>
      <c r="W11" s="47"/>
      <c r="X11" s="59"/>
      <c r="Y11" s="59"/>
      <c r="Z11" s="60"/>
      <c r="AA11" s="35"/>
      <c r="AB11" s="6"/>
      <c r="AC11" s="6"/>
      <c r="AD11" s="28"/>
    </row>
    <row r="12" spans="1:37" s="9" customFormat="1" ht="12" thickBot="1" x14ac:dyDescent="0.25">
      <c r="B12" s="313"/>
      <c r="C12" s="19"/>
      <c r="D12" s="5"/>
      <c r="E12" s="5"/>
      <c r="F12" s="5"/>
      <c r="G12" s="5"/>
      <c r="H12" s="20"/>
      <c r="I12" s="21"/>
      <c r="J12" s="5"/>
      <c r="K12" s="5"/>
      <c r="L12" s="22"/>
      <c r="M12" s="5"/>
      <c r="N12" s="5"/>
      <c r="O12" s="5"/>
      <c r="P12" s="5"/>
      <c r="Q12" s="5"/>
      <c r="R12" s="5"/>
      <c r="S12" s="5"/>
      <c r="T12" s="19"/>
      <c r="U12" s="19"/>
      <c r="V12" s="5" t="s">
        <v>77</v>
      </c>
      <c r="W12" s="36"/>
      <c r="X12" s="61"/>
      <c r="Y12" s="61"/>
      <c r="Z12" s="62"/>
      <c r="AA12" s="36" t="s">
        <v>77</v>
      </c>
      <c r="AB12" s="5"/>
      <c r="AC12" s="5"/>
      <c r="AD12" s="28"/>
    </row>
    <row r="13" spans="1:37" s="9" customFormat="1" x14ac:dyDescent="0.2">
      <c r="B13" s="314"/>
      <c r="C13" s="11"/>
      <c r="D13" s="12"/>
      <c r="E13" s="12"/>
      <c r="F13" s="12"/>
      <c r="G13" s="12"/>
      <c r="H13" s="13"/>
      <c r="I13" s="14"/>
      <c r="J13" s="12"/>
      <c r="K13" s="12"/>
      <c r="L13" s="15"/>
      <c r="M13" s="12"/>
      <c r="N13" s="12"/>
      <c r="O13" s="12"/>
      <c r="P13" s="12"/>
      <c r="Q13" s="12"/>
      <c r="R13" s="12"/>
      <c r="S13" s="12"/>
      <c r="T13" s="11"/>
      <c r="U13" s="11"/>
      <c r="V13" s="12"/>
      <c r="W13" s="47"/>
      <c r="X13" s="59"/>
      <c r="Y13" s="59"/>
      <c r="Z13" s="60"/>
      <c r="AA13" s="34"/>
      <c r="AB13" s="6"/>
      <c r="AC13" s="6"/>
      <c r="AD13" s="28"/>
    </row>
    <row r="14" spans="1:37" s="9" customFormat="1" x14ac:dyDescent="0.2">
      <c r="B14" s="312" t="s">
        <v>4005</v>
      </c>
      <c r="C14" s="16" t="s">
        <v>4002</v>
      </c>
      <c r="D14" s="6"/>
      <c r="E14" s="6"/>
      <c r="F14" s="6"/>
      <c r="G14" s="6"/>
      <c r="H14" s="17">
        <v>65646</v>
      </c>
      <c r="I14" s="6"/>
      <c r="J14" s="7"/>
      <c r="K14" s="7"/>
      <c r="L14" s="23"/>
      <c r="M14" s="18" t="s">
        <v>4003</v>
      </c>
      <c r="N14" s="6" t="s">
        <v>656</v>
      </c>
      <c r="O14" s="6"/>
      <c r="P14" s="6"/>
      <c r="Q14" s="6"/>
      <c r="R14" s="6"/>
      <c r="S14" s="7" t="s">
        <v>4007</v>
      </c>
      <c r="T14" s="7">
        <v>35834</v>
      </c>
      <c r="U14" s="7"/>
      <c r="V14" s="6" t="s">
        <v>4008</v>
      </c>
      <c r="W14" s="47" t="s">
        <v>283</v>
      </c>
      <c r="X14" s="59"/>
      <c r="Y14" s="59"/>
      <c r="Z14" s="60"/>
      <c r="AA14" s="35" t="s">
        <v>195</v>
      </c>
      <c r="AB14" s="6" t="s">
        <v>283</v>
      </c>
      <c r="AC14" s="6"/>
      <c r="AD14" s="28"/>
    </row>
    <row r="15" spans="1:37" s="9" customFormat="1" ht="12" thickBot="1" x14ac:dyDescent="0.25">
      <c r="B15" s="313"/>
      <c r="C15" s="19"/>
      <c r="D15" s="5"/>
      <c r="E15" s="5"/>
      <c r="F15" s="5"/>
      <c r="G15" s="5"/>
      <c r="H15" s="20"/>
      <c r="I15" s="21"/>
      <c r="J15" s="5"/>
      <c r="K15" s="5"/>
      <c r="L15" s="22"/>
      <c r="M15" s="5"/>
      <c r="N15" s="5"/>
      <c r="O15" s="5"/>
      <c r="P15" s="5"/>
      <c r="Q15" s="5"/>
      <c r="R15" s="5"/>
      <c r="S15" s="5"/>
      <c r="T15" s="19"/>
      <c r="U15" s="19"/>
      <c r="V15" s="5"/>
      <c r="W15" s="36"/>
      <c r="X15" s="61"/>
      <c r="Y15" s="61"/>
      <c r="Z15" s="62"/>
      <c r="AA15" s="36"/>
      <c r="AB15" s="5"/>
      <c r="AC15" s="5"/>
      <c r="AD15" s="28"/>
    </row>
    <row r="16" spans="1:37" s="9" customFormat="1" x14ac:dyDescent="0.2">
      <c r="B16" s="314"/>
      <c r="C16" s="11"/>
      <c r="D16" s="12"/>
      <c r="E16" s="12"/>
      <c r="F16" s="12"/>
      <c r="G16" s="12"/>
      <c r="H16" s="13"/>
      <c r="I16" s="14"/>
      <c r="J16" s="12"/>
      <c r="K16" s="12"/>
      <c r="L16" s="15"/>
      <c r="M16" s="12"/>
      <c r="N16" s="12"/>
      <c r="O16" s="12"/>
      <c r="P16" s="12"/>
      <c r="Q16" s="12"/>
      <c r="R16" s="12"/>
      <c r="S16" s="12"/>
      <c r="T16" s="11"/>
      <c r="U16" s="11"/>
      <c r="V16" s="12"/>
      <c r="W16" s="47"/>
      <c r="X16" s="59"/>
      <c r="Y16" s="59"/>
      <c r="Z16" s="60"/>
      <c r="AA16" s="34"/>
      <c r="AB16" s="6"/>
      <c r="AC16" s="6"/>
      <c r="AD16" s="28"/>
    </row>
    <row r="17" spans="1:37" s="9" customFormat="1" x14ac:dyDescent="0.2">
      <c r="B17" s="312" t="s">
        <v>4005</v>
      </c>
      <c r="C17" s="16" t="s">
        <v>4002</v>
      </c>
      <c r="D17" s="6"/>
      <c r="E17" s="6"/>
      <c r="F17" s="6"/>
      <c r="G17" s="6"/>
      <c r="H17" s="17">
        <v>53221</v>
      </c>
      <c r="I17" s="6"/>
      <c r="J17" s="7"/>
      <c r="K17" s="7"/>
      <c r="L17" s="23"/>
      <c r="M17" s="18" t="s">
        <v>4003</v>
      </c>
      <c r="N17" s="6" t="s">
        <v>42</v>
      </c>
      <c r="O17" s="6"/>
      <c r="P17" s="6"/>
      <c r="Q17" s="6"/>
      <c r="R17" s="6"/>
      <c r="S17" s="7">
        <v>35823</v>
      </c>
      <c r="T17" s="7">
        <v>35834</v>
      </c>
      <c r="U17" s="7"/>
      <c r="V17" s="6" t="s">
        <v>4009</v>
      </c>
      <c r="W17" s="47" t="s">
        <v>283</v>
      </c>
      <c r="X17" s="59"/>
      <c r="Y17" s="59"/>
      <c r="Z17" s="60"/>
      <c r="AA17" s="35" t="s">
        <v>195</v>
      </c>
      <c r="AB17" s="6" t="s">
        <v>283</v>
      </c>
      <c r="AC17" s="6"/>
      <c r="AD17" s="28"/>
    </row>
    <row r="18" spans="1:37" s="9" customFormat="1" ht="12" thickBot="1" x14ac:dyDescent="0.25">
      <c r="B18" s="313"/>
      <c r="C18" s="19"/>
      <c r="D18" s="5"/>
      <c r="E18" s="5"/>
      <c r="F18" s="5"/>
      <c r="G18" s="5"/>
      <c r="H18" s="20"/>
      <c r="I18" s="21"/>
      <c r="J18" s="5"/>
      <c r="K18" s="5"/>
      <c r="L18" s="22"/>
      <c r="M18" s="5"/>
      <c r="N18" s="5"/>
      <c r="O18" s="5"/>
      <c r="P18" s="5"/>
      <c r="Q18" s="5"/>
      <c r="R18" s="5"/>
      <c r="S18" s="5"/>
      <c r="T18" s="19"/>
      <c r="U18" s="19"/>
      <c r="V18" s="5"/>
      <c r="W18" s="36"/>
      <c r="X18" s="61"/>
      <c r="Y18" s="61"/>
      <c r="Z18" s="62"/>
      <c r="AA18" s="36"/>
      <c r="AB18" s="5"/>
      <c r="AC18" s="5"/>
      <c r="AD18" s="28"/>
    </row>
    <row r="19" spans="1:37" s="9" customFormat="1" x14ac:dyDescent="0.2">
      <c r="B19" s="314"/>
      <c r="C19" s="11"/>
      <c r="D19" s="12"/>
      <c r="E19" s="12"/>
      <c r="F19" s="12"/>
      <c r="G19" s="12"/>
      <c r="H19" s="13"/>
      <c r="I19" s="14"/>
      <c r="J19" s="12"/>
      <c r="K19" s="12"/>
      <c r="L19" s="15"/>
      <c r="M19" s="12"/>
      <c r="N19" s="12"/>
      <c r="O19" s="12"/>
      <c r="P19" s="12"/>
      <c r="Q19" s="12"/>
      <c r="R19" s="12"/>
      <c r="S19" s="12"/>
      <c r="T19" s="11"/>
      <c r="U19" s="11"/>
      <c r="V19" s="12"/>
      <c r="W19" s="47"/>
      <c r="X19" s="59"/>
      <c r="Y19" s="59"/>
      <c r="Z19" s="60"/>
      <c r="AA19" s="34"/>
      <c r="AB19" s="6"/>
      <c r="AC19" s="6"/>
      <c r="AD19" s="28"/>
    </row>
    <row r="20" spans="1:37" s="9" customFormat="1" x14ac:dyDescent="0.2">
      <c r="B20" s="312" t="s">
        <v>4005</v>
      </c>
      <c r="C20" s="16" t="s">
        <v>4002</v>
      </c>
      <c r="D20" s="6"/>
      <c r="E20" s="6"/>
      <c r="F20" s="6"/>
      <c r="G20" s="6"/>
      <c r="H20" s="17">
        <v>39894</v>
      </c>
      <c r="I20" s="6"/>
      <c r="J20" s="7"/>
      <c r="K20" s="7"/>
      <c r="L20" s="23"/>
      <c r="M20" s="18" t="s">
        <v>4003</v>
      </c>
      <c r="N20" s="6" t="s">
        <v>42</v>
      </c>
      <c r="O20" s="6"/>
      <c r="P20" s="6"/>
      <c r="Q20" s="6"/>
      <c r="R20" s="6"/>
      <c r="S20" s="7">
        <v>35850</v>
      </c>
      <c r="T20" s="7">
        <v>35854</v>
      </c>
      <c r="U20" s="7"/>
      <c r="V20" s="6" t="s">
        <v>4010</v>
      </c>
      <c r="W20" s="47" t="s">
        <v>283</v>
      </c>
      <c r="X20" s="59"/>
      <c r="Y20" s="59"/>
      <c r="Z20" s="60"/>
      <c r="AA20" s="35" t="s">
        <v>195</v>
      </c>
      <c r="AB20" s="6" t="s">
        <v>283</v>
      </c>
      <c r="AC20" s="6"/>
      <c r="AD20" s="28"/>
    </row>
    <row r="21" spans="1:37" s="9" customFormat="1" ht="12" thickBot="1" x14ac:dyDescent="0.25">
      <c r="B21" s="313"/>
      <c r="C21" s="19"/>
      <c r="D21" s="5"/>
      <c r="E21" s="5"/>
      <c r="F21" s="5"/>
      <c r="G21" s="5"/>
      <c r="H21" s="20"/>
      <c r="I21" s="21"/>
      <c r="J21" s="5"/>
      <c r="K21" s="5"/>
      <c r="L21" s="22"/>
      <c r="M21" s="5"/>
      <c r="N21" s="5"/>
      <c r="O21" s="5"/>
      <c r="P21" s="5"/>
      <c r="Q21" s="5"/>
      <c r="R21" s="5"/>
      <c r="S21" s="5"/>
      <c r="T21" s="19"/>
      <c r="U21" s="19"/>
      <c r="V21" s="5"/>
      <c r="W21" s="36"/>
      <c r="X21" s="61"/>
      <c r="Y21" s="61"/>
      <c r="Z21" s="62"/>
      <c r="AA21" s="36"/>
      <c r="AB21" s="5"/>
      <c r="AC21" s="5"/>
      <c r="AD21" s="28"/>
    </row>
    <row r="22" spans="1:37" s="9" customFormat="1" x14ac:dyDescent="0.2">
      <c r="B22" s="314"/>
      <c r="C22" s="11"/>
      <c r="D22" s="12"/>
      <c r="E22" s="12"/>
      <c r="F22" s="12"/>
      <c r="G22" s="12"/>
      <c r="H22" s="13"/>
      <c r="I22" s="14"/>
      <c r="J22" s="12"/>
      <c r="K22" s="12"/>
      <c r="L22" s="15"/>
      <c r="M22" s="12"/>
      <c r="N22" s="12"/>
      <c r="O22" s="12"/>
      <c r="P22" s="12"/>
      <c r="Q22" s="12"/>
      <c r="R22" s="12"/>
      <c r="S22" s="12"/>
      <c r="T22" s="11"/>
      <c r="U22" s="11"/>
      <c r="V22" s="12"/>
      <c r="W22" s="47"/>
      <c r="X22" s="59"/>
      <c r="Y22" s="59"/>
      <c r="Z22" s="60"/>
      <c r="AA22" s="34"/>
      <c r="AB22" s="6"/>
      <c r="AC22" s="6"/>
      <c r="AD22" s="28"/>
    </row>
    <row r="23" spans="1:37" s="9" customFormat="1" x14ac:dyDescent="0.2">
      <c r="B23" s="312" t="s">
        <v>4005</v>
      </c>
      <c r="C23" s="16" t="s">
        <v>4002</v>
      </c>
      <c r="D23" s="6"/>
      <c r="E23" s="6"/>
      <c r="F23" s="6"/>
      <c r="G23" s="6"/>
      <c r="H23" s="17">
        <v>94000</v>
      </c>
      <c r="I23" s="6"/>
      <c r="J23" s="7"/>
      <c r="K23" s="7"/>
      <c r="L23" s="23"/>
      <c r="M23" s="18" t="s">
        <v>4003</v>
      </c>
      <c r="N23" s="6" t="s">
        <v>42</v>
      </c>
      <c r="O23" s="6"/>
      <c r="P23" s="6"/>
      <c r="Q23" s="6"/>
      <c r="R23" s="6"/>
      <c r="S23" s="7">
        <v>35888</v>
      </c>
      <c r="T23" s="7">
        <v>35893</v>
      </c>
      <c r="U23" s="7"/>
      <c r="V23" s="6" t="s">
        <v>4011</v>
      </c>
      <c r="W23" s="47"/>
      <c r="X23" s="59"/>
      <c r="Y23" s="59"/>
      <c r="Z23" s="60"/>
      <c r="AA23" s="35">
        <v>35953</v>
      </c>
      <c r="AB23" s="6"/>
      <c r="AC23" s="6"/>
      <c r="AD23" s="28"/>
    </row>
    <row r="24" spans="1:37" s="9" customFormat="1" ht="12" thickBot="1" x14ac:dyDescent="0.25">
      <c r="B24" s="313"/>
      <c r="C24" s="19"/>
      <c r="D24" s="5"/>
      <c r="E24" s="5"/>
      <c r="F24" s="5"/>
      <c r="G24" s="5"/>
      <c r="H24" s="20"/>
      <c r="I24" s="21"/>
      <c r="J24" s="5"/>
      <c r="K24" s="5"/>
      <c r="L24" s="22"/>
      <c r="M24" s="5"/>
      <c r="N24" s="5"/>
      <c r="O24" s="5"/>
      <c r="P24" s="5"/>
      <c r="Q24" s="5"/>
      <c r="R24" s="5"/>
      <c r="S24" s="5"/>
      <c r="T24" s="19"/>
      <c r="U24" s="19"/>
      <c r="V24" s="5" t="s">
        <v>4012</v>
      </c>
      <c r="W24" s="36"/>
      <c r="X24" s="61"/>
      <c r="Y24" s="61"/>
      <c r="Z24" s="62"/>
      <c r="AA24" s="36"/>
      <c r="AB24" s="5"/>
      <c r="AC24" s="5"/>
      <c r="AD24" s="28"/>
    </row>
    <row r="25" spans="1:37" s="9" customFormat="1" x14ac:dyDescent="0.2">
      <c r="B25" s="314"/>
      <c r="C25" s="11"/>
      <c r="D25" s="12"/>
      <c r="E25" s="12"/>
      <c r="F25" s="12"/>
      <c r="G25" s="12"/>
      <c r="H25" s="13"/>
      <c r="I25" s="14"/>
      <c r="J25" s="12"/>
      <c r="K25" s="12"/>
      <c r="L25" s="15"/>
      <c r="M25" s="12"/>
      <c r="N25" s="12"/>
      <c r="O25" s="12"/>
      <c r="P25" s="12"/>
      <c r="Q25" s="12"/>
      <c r="R25" s="12"/>
      <c r="S25" s="12"/>
      <c r="T25" s="11"/>
      <c r="U25" s="11"/>
      <c r="V25" s="12"/>
      <c r="W25" s="47"/>
      <c r="X25" s="59"/>
      <c r="Y25" s="59"/>
      <c r="Z25" s="60"/>
      <c r="AA25" s="34"/>
      <c r="AB25" s="6"/>
      <c r="AC25" s="6"/>
      <c r="AD25" s="28"/>
    </row>
    <row r="26" spans="1:37" s="9" customFormat="1" x14ac:dyDescent="0.2">
      <c r="B26" s="312" t="s">
        <v>4005</v>
      </c>
      <c r="C26" s="16" t="s">
        <v>4002</v>
      </c>
      <c r="D26" s="6"/>
      <c r="E26" s="6"/>
      <c r="F26" s="6"/>
      <c r="G26" s="6"/>
      <c r="H26" s="17">
        <v>23000</v>
      </c>
      <c r="I26" s="6"/>
      <c r="J26" s="7"/>
      <c r="K26" s="7"/>
      <c r="L26" s="23"/>
      <c r="M26" s="18" t="s">
        <v>4003</v>
      </c>
      <c r="N26" s="6" t="s">
        <v>42</v>
      </c>
      <c r="O26" s="6"/>
      <c r="P26" s="6"/>
      <c r="Q26" s="6"/>
      <c r="R26" s="6"/>
      <c r="S26" s="7">
        <v>35954</v>
      </c>
      <c r="T26" s="7">
        <v>35955</v>
      </c>
      <c r="U26" s="7"/>
      <c r="V26" s="6" t="s">
        <v>4013</v>
      </c>
      <c r="W26" s="47"/>
      <c r="X26" s="59"/>
      <c r="Y26" s="59"/>
      <c r="Z26" s="60"/>
      <c r="AA26" s="35">
        <v>35973</v>
      </c>
      <c r="AB26" s="6"/>
      <c r="AC26" s="6"/>
      <c r="AD26" s="28"/>
    </row>
    <row r="27" spans="1:37" s="9" customFormat="1" ht="12" thickBot="1" x14ac:dyDescent="0.25">
      <c r="B27" s="313"/>
      <c r="C27" s="19"/>
      <c r="D27" s="5"/>
      <c r="E27" s="5"/>
      <c r="F27" s="5"/>
      <c r="G27" s="5"/>
      <c r="H27" s="20"/>
      <c r="I27" s="21"/>
      <c r="J27" s="5"/>
      <c r="K27" s="5"/>
      <c r="L27" s="22"/>
      <c r="M27" s="5"/>
      <c r="N27" s="5"/>
      <c r="O27" s="5"/>
      <c r="P27" s="5"/>
      <c r="Q27" s="5"/>
      <c r="R27" s="5"/>
      <c r="S27" s="5" t="s">
        <v>4014</v>
      </c>
      <c r="T27" s="19"/>
      <c r="U27" s="19"/>
      <c r="V27" s="5" t="s">
        <v>4015</v>
      </c>
      <c r="W27" s="36"/>
      <c r="X27" s="61"/>
      <c r="Y27" s="61"/>
      <c r="Z27" s="62"/>
      <c r="AA27" s="36"/>
      <c r="AB27" s="5"/>
      <c r="AC27" s="5"/>
      <c r="AD27" s="28"/>
    </row>
    <row r="28" spans="1:37" ht="12" thickBot="1" x14ac:dyDescent="0.25">
      <c r="W28" s="38"/>
      <c r="X28" s="38"/>
      <c r="Y28" s="38"/>
      <c r="Z28" s="37"/>
      <c r="AB28" s="38"/>
      <c r="AC28" s="38"/>
    </row>
    <row r="29" spans="1:37" s="556" customFormat="1" ht="39.950000000000003" customHeight="1" thickBot="1" x14ac:dyDescent="0.4">
      <c r="B29" s="1611">
        <v>1999</v>
      </c>
      <c r="C29" s="1612"/>
      <c r="D29" s="1612"/>
      <c r="E29" s="1612"/>
      <c r="F29" s="1612"/>
      <c r="G29" s="1612"/>
      <c r="H29" s="1612"/>
      <c r="I29" s="1612"/>
      <c r="J29" s="1612"/>
      <c r="K29" s="1612"/>
      <c r="L29" s="1612"/>
      <c r="M29" s="1612"/>
      <c r="N29" s="1612"/>
      <c r="O29" s="1612"/>
      <c r="P29" s="1612"/>
      <c r="Q29" s="1612"/>
      <c r="R29" s="1612"/>
      <c r="S29" s="1612"/>
      <c r="T29" s="1612"/>
      <c r="U29" s="1612"/>
      <c r="V29" s="1612"/>
      <c r="W29" s="1612"/>
      <c r="X29" s="1612"/>
      <c r="Y29" s="1612"/>
      <c r="Z29" s="1612"/>
      <c r="AA29" s="1612"/>
      <c r="AB29" s="1612"/>
      <c r="AC29" s="1613"/>
      <c r="AD29" s="560"/>
    </row>
    <row r="30" spans="1:37" s="441" customFormat="1" ht="60" customHeight="1" thickBot="1" x14ac:dyDescent="0.25">
      <c r="A30" s="438"/>
      <c r="B30" s="451" t="s">
        <v>130</v>
      </c>
      <c r="C30" s="451" t="s">
        <v>4</v>
      </c>
      <c r="D30" s="451" t="s">
        <v>5</v>
      </c>
      <c r="E30" s="451" t="s">
        <v>6</v>
      </c>
      <c r="F30" s="451" t="s">
        <v>7</v>
      </c>
      <c r="G30" s="451" t="s">
        <v>8</v>
      </c>
      <c r="H30" s="453" t="s">
        <v>9</v>
      </c>
      <c r="I30" s="453" t="s">
        <v>10</v>
      </c>
      <c r="J30" s="451" t="s">
        <v>11</v>
      </c>
      <c r="K30" s="451" t="s">
        <v>12</v>
      </c>
      <c r="L30" s="451" t="s">
        <v>13</v>
      </c>
      <c r="M30" s="451" t="s">
        <v>14</v>
      </c>
      <c r="N30" s="451" t="s">
        <v>15</v>
      </c>
      <c r="O30" s="452" t="s">
        <v>16</v>
      </c>
      <c r="P30" s="454" t="s">
        <v>17</v>
      </c>
      <c r="Q30" s="451" t="s">
        <v>18</v>
      </c>
      <c r="R30" s="452" t="s">
        <v>19</v>
      </c>
      <c r="S30" s="451" t="s">
        <v>20</v>
      </c>
      <c r="T30" s="451" t="s">
        <v>21</v>
      </c>
      <c r="U30" s="452" t="s">
        <v>22</v>
      </c>
      <c r="V30" s="451" t="s">
        <v>131</v>
      </c>
      <c r="W30" s="451" t="s">
        <v>24</v>
      </c>
      <c r="X30" s="451" t="s">
        <v>132</v>
      </c>
      <c r="Y30" s="451" t="s">
        <v>26</v>
      </c>
      <c r="Z30" s="451" t="s">
        <v>27</v>
      </c>
      <c r="AA30" s="451" t="s">
        <v>28</v>
      </c>
      <c r="AB30" s="451" t="s">
        <v>29</v>
      </c>
      <c r="AC30" s="451" t="s">
        <v>30</v>
      </c>
      <c r="AD30" s="439"/>
      <c r="AE30" s="440"/>
      <c r="AF30" s="440"/>
      <c r="AG30" s="440"/>
      <c r="AH30" s="440"/>
      <c r="AI30" s="440"/>
      <c r="AJ30" s="440"/>
      <c r="AK30" s="440"/>
    </row>
    <row r="31" spans="1:37" s="76" customFormat="1" ht="11.25" customHeight="1" x14ac:dyDescent="0.2">
      <c r="B31" s="314"/>
      <c r="C31" s="11"/>
      <c r="D31" s="91"/>
      <c r="E31" s="91"/>
      <c r="F31" s="12"/>
      <c r="G31" s="12"/>
      <c r="H31" s="13"/>
      <c r="I31" s="13"/>
      <c r="J31" s="12"/>
      <c r="K31" s="12"/>
      <c r="L31" s="15"/>
      <c r="M31" s="12"/>
      <c r="N31" s="34"/>
      <c r="O31" s="34"/>
      <c r="P31" s="34"/>
      <c r="Q31" s="34"/>
      <c r="R31" s="34"/>
      <c r="S31" s="34"/>
      <c r="T31" s="94"/>
      <c r="U31" s="94"/>
      <c r="V31" s="108"/>
      <c r="W31" s="82"/>
      <c r="X31" s="82"/>
      <c r="Y31" s="82"/>
      <c r="Z31" s="82"/>
      <c r="AA31" s="80"/>
      <c r="AB31" s="82"/>
      <c r="AC31" s="80"/>
      <c r="AD31" s="98"/>
    </row>
    <row r="32" spans="1:37" s="76" customFormat="1" ht="11.25" customHeight="1" x14ac:dyDescent="0.2">
      <c r="B32" s="312" t="s">
        <v>4005</v>
      </c>
      <c r="C32" s="16" t="s">
        <v>4016</v>
      </c>
      <c r="D32" s="7"/>
      <c r="E32" s="7"/>
      <c r="F32" s="6"/>
      <c r="G32" s="6"/>
      <c r="H32" s="17">
        <v>42000</v>
      </c>
      <c r="I32" s="39"/>
      <c r="J32" s="7"/>
      <c r="K32" s="7"/>
      <c r="L32" s="23"/>
      <c r="M32" s="18"/>
      <c r="N32" s="47"/>
      <c r="O32" s="47"/>
      <c r="P32" s="47"/>
      <c r="Q32" s="47"/>
      <c r="R32" s="47"/>
      <c r="S32" s="299" t="s">
        <v>347</v>
      </c>
      <c r="T32" s="151"/>
      <c r="U32" s="151"/>
      <c r="V32" s="109" t="s">
        <v>292</v>
      </c>
      <c r="W32" s="75"/>
      <c r="X32" s="75"/>
      <c r="Y32" s="75"/>
      <c r="Z32" s="75"/>
      <c r="AA32" s="6" t="s">
        <v>195</v>
      </c>
      <c r="AB32" s="75"/>
      <c r="AC32" s="70"/>
      <c r="AD32" s="98"/>
    </row>
    <row r="33" spans="1:37" s="76" customFormat="1" ht="12" customHeight="1" thickBot="1" x14ac:dyDescent="0.25">
      <c r="B33" s="313"/>
      <c r="C33" s="19"/>
      <c r="D33" s="5"/>
      <c r="E33" s="5"/>
      <c r="F33" s="5"/>
      <c r="G33" s="5"/>
      <c r="H33" s="26"/>
      <c r="I33" s="21"/>
      <c r="J33" s="5"/>
      <c r="K33" s="5"/>
      <c r="L33" s="22"/>
      <c r="M33" s="5"/>
      <c r="N33" s="36"/>
      <c r="O33" s="36"/>
      <c r="P33" s="36"/>
      <c r="Q33" s="36"/>
      <c r="R33" s="36"/>
      <c r="S33" s="95">
        <v>36462</v>
      </c>
      <c r="T33" s="68" t="s">
        <v>318</v>
      </c>
      <c r="U33" s="68"/>
      <c r="V33" s="110" t="s">
        <v>4017</v>
      </c>
      <c r="W33" s="90"/>
      <c r="X33" s="90"/>
      <c r="Y33" s="90"/>
      <c r="Z33" s="90"/>
      <c r="AA33" s="87"/>
      <c r="AB33" s="90"/>
      <c r="AC33" s="87"/>
      <c r="AD33" s="98"/>
    </row>
    <row r="34" spans="1:37" s="76" customFormat="1" ht="12" customHeight="1" thickBot="1" x14ac:dyDescent="0.25">
      <c r="B34" s="315"/>
      <c r="C34" s="28"/>
      <c r="D34" s="30"/>
      <c r="E34" s="30"/>
      <c r="F34" s="30"/>
      <c r="G34" s="30"/>
      <c r="H34" s="119"/>
      <c r="I34" s="31"/>
      <c r="J34" s="30"/>
      <c r="K34" s="30"/>
      <c r="L34" s="32"/>
      <c r="M34" s="30"/>
      <c r="N34" s="30"/>
      <c r="O34" s="30"/>
      <c r="P34" s="30"/>
      <c r="Q34" s="30"/>
      <c r="R34" s="30"/>
      <c r="S34" s="48"/>
      <c r="T34" s="29"/>
      <c r="U34" s="29"/>
      <c r="V34" s="99"/>
      <c r="W34" s="99"/>
      <c r="X34" s="99"/>
      <c r="Y34" s="99"/>
      <c r="Z34" s="99"/>
      <c r="AA34" s="99"/>
      <c r="AB34" s="99"/>
      <c r="AC34" s="99"/>
      <c r="AD34" s="98"/>
    </row>
    <row r="35" spans="1:37" s="556" customFormat="1" ht="39.950000000000003" customHeight="1" thickBot="1" x14ac:dyDescent="0.4">
      <c r="B35" s="1611">
        <v>2000</v>
      </c>
      <c r="C35" s="1612"/>
      <c r="D35" s="1612"/>
      <c r="E35" s="1612"/>
      <c r="F35" s="1612"/>
      <c r="G35" s="1612"/>
      <c r="H35" s="1612"/>
      <c r="I35" s="1612"/>
      <c r="J35" s="1612"/>
      <c r="K35" s="1612"/>
      <c r="L35" s="1612"/>
      <c r="M35" s="1612"/>
      <c r="N35" s="1612"/>
      <c r="O35" s="1612"/>
      <c r="P35" s="1612"/>
      <c r="Q35" s="1612"/>
      <c r="R35" s="1612"/>
      <c r="S35" s="1612"/>
      <c r="T35" s="1612"/>
      <c r="U35" s="1612"/>
      <c r="V35" s="1612"/>
      <c r="W35" s="1612"/>
      <c r="X35" s="1612"/>
      <c r="Y35" s="1612"/>
      <c r="Z35" s="1612"/>
      <c r="AA35" s="1612"/>
      <c r="AB35" s="1612"/>
      <c r="AC35" s="1613"/>
      <c r="AD35" s="560"/>
    </row>
    <row r="36" spans="1:37" s="441" customFormat="1" ht="60" customHeight="1" thickBot="1" x14ac:dyDescent="0.25">
      <c r="A36" s="438"/>
      <c r="B36" s="451" t="s">
        <v>130</v>
      </c>
      <c r="C36" s="451" t="s">
        <v>4</v>
      </c>
      <c r="D36" s="451" t="s">
        <v>5</v>
      </c>
      <c r="E36" s="451" t="s">
        <v>6</v>
      </c>
      <c r="F36" s="451" t="s">
        <v>7</v>
      </c>
      <c r="G36" s="451" t="s">
        <v>8</v>
      </c>
      <c r="H36" s="453" t="s">
        <v>9</v>
      </c>
      <c r="I36" s="453" t="s">
        <v>10</v>
      </c>
      <c r="J36" s="451" t="s">
        <v>11</v>
      </c>
      <c r="K36" s="451" t="s">
        <v>12</v>
      </c>
      <c r="L36" s="451" t="s">
        <v>13</v>
      </c>
      <c r="M36" s="451" t="s">
        <v>14</v>
      </c>
      <c r="N36" s="451" t="s">
        <v>15</v>
      </c>
      <c r="O36" s="452" t="s">
        <v>16</v>
      </c>
      <c r="P36" s="454" t="s">
        <v>17</v>
      </c>
      <c r="Q36" s="451" t="s">
        <v>18</v>
      </c>
      <c r="R36" s="452" t="s">
        <v>19</v>
      </c>
      <c r="S36" s="451" t="s">
        <v>20</v>
      </c>
      <c r="T36" s="451" t="s">
        <v>21</v>
      </c>
      <c r="U36" s="452" t="s">
        <v>22</v>
      </c>
      <c r="V36" s="451" t="s">
        <v>131</v>
      </c>
      <c r="W36" s="451" t="s">
        <v>24</v>
      </c>
      <c r="X36" s="451" t="s">
        <v>132</v>
      </c>
      <c r="Y36" s="451" t="s">
        <v>26</v>
      </c>
      <c r="Z36" s="451" t="s">
        <v>27</v>
      </c>
      <c r="AA36" s="451" t="s">
        <v>28</v>
      </c>
      <c r="AB36" s="451" t="s">
        <v>29</v>
      </c>
      <c r="AC36" s="451" t="s">
        <v>30</v>
      </c>
      <c r="AD36" s="439"/>
      <c r="AE36" s="440"/>
      <c r="AF36" s="440"/>
      <c r="AG36" s="440"/>
      <c r="AH36" s="440"/>
      <c r="AI36" s="440"/>
      <c r="AJ36" s="440"/>
      <c r="AK36" s="440"/>
    </row>
    <row r="37" spans="1:37" s="76" customFormat="1" x14ac:dyDescent="0.2">
      <c r="B37" s="314"/>
      <c r="C37" s="11"/>
      <c r="D37" s="91"/>
      <c r="E37" s="91"/>
      <c r="F37" s="12"/>
      <c r="G37" s="12"/>
      <c r="H37" s="13"/>
      <c r="I37" s="13"/>
      <c r="J37" s="12"/>
      <c r="K37" s="12"/>
      <c r="L37" s="15"/>
      <c r="M37" s="12"/>
      <c r="N37" s="12"/>
      <c r="O37" s="12"/>
      <c r="P37" s="12"/>
      <c r="Q37" s="12"/>
      <c r="R37" s="12"/>
      <c r="S37" s="12"/>
      <c r="T37" s="12"/>
      <c r="U37" s="12"/>
      <c r="V37" s="80"/>
      <c r="W37" s="80"/>
      <c r="X37" s="82"/>
      <c r="Y37" s="82"/>
      <c r="Z37" s="80"/>
      <c r="AA37" s="80"/>
      <c r="AB37" s="80"/>
      <c r="AC37" s="80"/>
      <c r="AD37" s="98"/>
    </row>
    <row r="38" spans="1:37" s="76" customFormat="1" x14ac:dyDescent="0.2">
      <c r="B38" s="312" t="s">
        <v>4005</v>
      </c>
      <c r="C38" s="16" t="s">
        <v>4016</v>
      </c>
      <c r="D38" s="7"/>
      <c r="E38" s="7"/>
      <c r="F38" s="6"/>
      <c r="G38" s="6"/>
      <c r="H38" s="17">
        <v>151000</v>
      </c>
      <c r="I38" s="39"/>
      <c r="J38" s="7"/>
      <c r="K38" s="7"/>
      <c r="L38" s="23"/>
      <c r="M38" s="18" t="s">
        <v>135</v>
      </c>
      <c r="N38" s="6" t="s">
        <v>42</v>
      </c>
      <c r="O38" s="6"/>
      <c r="P38" s="6"/>
      <c r="Q38" s="6"/>
      <c r="R38" s="6"/>
      <c r="S38" s="7">
        <v>36537</v>
      </c>
      <c r="T38" s="7">
        <v>36538</v>
      </c>
      <c r="U38" s="7"/>
      <c r="V38" s="6" t="s">
        <v>4018</v>
      </c>
      <c r="W38" s="70">
        <v>558</v>
      </c>
      <c r="X38" s="75"/>
      <c r="Y38" s="75"/>
      <c r="Z38" s="70"/>
      <c r="AA38" s="70" t="s">
        <v>195</v>
      </c>
      <c r="AB38" s="70"/>
      <c r="AC38" s="70"/>
      <c r="AD38" s="98"/>
    </row>
    <row r="39" spans="1:37" s="76" customFormat="1" ht="12" thickBot="1" x14ac:dyDescent="0.25">
      <c r="B39" s="313"/>
      <c r="C39" s="19"/>
      <c r="D39" s="5"/>
      <c r="E39" s="5"/>
      <c r="F39" s="5"/>
      <c r="G39" s="5"/>
      <c r="H39" s="26"/>
      <c r="I39" s="21"/>
      <c r="J39" s="5"/>
      <c r="K39" s="5"/>
      <c r="L39" s="22"/>
      <c r="M39" s="5"/>
      <c r="N39" s="5"/>
      <c r="O39" s="5"/>
      <c r="P39" s="5"/>
      <c r="Q39" s="5"/>
      <c r="R39" s="5"/>
      <c r="S39" s="27" t="s">
        <v>296</v>
      </c>
      <c r="T39" s="5"/>
      <c r="U39" s="5"/>
      <c r="V39" s="87" t="s">
        <v>4019</v>
      </c>
      <c r="W39" s="87"/>
      <c r="X39" s="90"/>
      <c r="Y39" s="90"/>
      <c r="Z39" s="87"/>
      <c r="AA39" s="87" t="s">
        <v>484</v>
      </c>
      <c r="AB39" s="87"/>
      <c r="AC39" s="87"/>
      <c r="AD39" s="98"/>
    </row>
    <row r="40" spans="1:37" s="76" customFormat="1" x14ac:dyDescent="0.2">
      <c r="B40" s="314"/>
      <c r="C40" s="11"/>
      <c r="D40" s="91" t="s">
        <v>4020</v>
      </c>
      <c r="E40" s="91"/>
      <c r="F40" s="12"/>
      <c r="G40" s="12"/>
      <c r="H40" s="13"/>
      <c r="I40" s="14"/>
      <c r="J40" s="12"/>
      <c r="K40" s="12"/>
      <c r="L40" s="15"/>
      <c r="M40" s="12"/>
      <c r="N40" s="34"/>
      <c r="O40" s="34"/>
      <c r="P40" s="34"/>
      <c r="Q40" s="34"/>
      <c r="R40" s="34"/>
      <c r="S40" s="12"/>
      <c r="T40" s="12"/>
      <c r="U40" s="94"/>
      <c r="V40" s="108"/>
      <c r="W40" s="80"/>
      <c r="X40" s="82"/>
      <c r="Y40" s="82"/>
      <c r="Z40" s="80"/>
      <c r="AA40" s="80"/>
      <c r="AB40" s="80"/>
      <c r="AC40" s="80"/>
      <c r="AD40" s="98"/>
    </row>
    <row r="41" spans="1:37" s="76" customFormat="1" x14ac:dyDescent="0.2">
      <c r="B41" s="312" t="s">
        <v>4005</v>
      </c>
      <c r="C41" s="16" t="s">
        <v>4021</v>
      </c>
      <c r="D41" s="7" t="s">
        <v>4022</v>
      </c>
      <c r="E41" s="7"/>
      <c r="F41" s="6"/>
      <c r="G41" s="6"/>
      <c r="H41" s="17">
        <v>15714.66</v>
      </c>
      <c r="I41" s="39"/>
      <c r="J41" s="7"/>
      <c r="K41" s="7"/>
      <c r="L41" s="23"/>
      <c r="M41" s="18" t="s">
        <v>4023</v>
      </c>
      <c r="N41" s="47" t="s">
        <v>110</v>
      </c>
      <c r="O41" s="47"/>
      <c r="P41" s="47"/>
      <c r="Q41" s="47"/>
      <c r="R41" s="47"/>
      <c r="S41" s="7">
        <v>36587</v>
      </c>
      <c r="T41" s="7">
        <v>36591</v>
      </c>
      <c r="U41" s="150"/>
      <c r="V41" s="67" t="s">
        <v>4024</v>
      </c>
      <c r="W41" s="70">
        <v>575</v>
      </c>
      <c r="X41" s="75"/>
      <c r="Y41" s="75"/>
      <c r="Z41" s="70" t="s">
        <v>3365</v>
      </c>
      <c r="AA41" s="70" t="s">
        <v>318</v>
      </c>
      <c r="AB41" s="70"/>
      <c r="AC41" s="70"/>
      <c r="AD41" s="98"/>
    </row>
    <row r="42" spans="1:37" s="76" customFormat="1" ht="13.5" customHeight="1" thickBot="1" x14ac:dyDescent="0.25">
      <c r="B42" s="313"/>
      <c r="C42" s="19"/>
      <c r="D42" s="5" t="s">
        <v>4025</v>
      </c>
      <c r="E42" s="5"/>
      <c r="F42" s="5"/>
      <c r="G42" s="5"/>
      <c r="H42" s="105"/>
      <c r="I42" s="21"/>
      <c r="J42" s="5"/>
      <c r="K42" s="5"/>
      <c r="L42" s="22"/>
      <c r="M42" s="5"/>
      <c r="N42" s="36"/>
      <c r="O42" s="36"/>
      <c r="P42" s="36"/>
      <c r="Q42" s="36"/>
      <c r="R42" s="36"/>
      <c r="S42" s="5"/>
      <c r="T42" s="5"/>
      <c r="U42" s="68"/>
      <c r="V42" s="117" t="s">
        <v>4026</v>
      </c>
      <c r="W42" s="87"/>
      <c r="X42" s="90"/>
      <c r="Y42" s="90"/>
      <c r="Z42" s="87"/>
      <c r="AA42" s="87" t="s">
        <v>484</v>
      </c>
      <c r="AB42" s="87"/>
      <c r="AC42" s="87"/>
      <c r="AD42" s="98"/>
    </row>
    <row r="43" spans="1:37" s="76" customFormat="1" x14ac:dyDescent="0.2">
      <c r="B43" s="314"/>
      <c r="C43" s="11"/>
      <c r="D43" s="91"/>
      <c r="E43" s="91"/>
      <c r="F43" s="12"/>
      <c r="G43" s="12"/>
      <c r="H43" s="13"/>
      <c r="I43" s="14"/>
      <c r="J43" s="12"/>
      <c r="K43" s="12"/>
      <c r="L43" s="15"/>
      <c r="M43" s="12"/>
      <c r="N43" s="34"/>
      <c r="O43" s="34"/>
      <c r="P43" s="34"/>
      <c r="Q43" s="34"/>
      <c r="R43" s="34"/>
      <c r="S43" s="12"/>
      <c r="T43" s="12"/>
      <c r="U43" s="94"/>
      <c r="V43" s="108"/>
      <c r="W43" s="80"/>
      <c r="X43" s="82"/>
      <c r="Y43" s="82"/>
      <c r="Z43" s="80"/>
      <c r="AA43" s="80"/>
      <c r="AB43" s="80"/>
      <c r="AC43" s="80"/>
      <c r="AD43" s="98"/>
    </row>
    <row r="44" spans="1:37" s="76" customFormat="1" x14ac:dyDescent="0.2">
      <c r="B44" s="312" t="s">
        <v>4005</v>
      </c>
      <c r="C44" s="16" t="s">
        <v>4021</v>
      </c>
      <c r="D44" s="7" t="s">
        <v>4027</v>
      </c>
      <c r="E44" s="7"/>
      <c r="F44" s="6"/>
      <c r="G44" s="6"/>
      <c r="H44" s="17">
        <v>7000</v>
      </c>
      <c r="I44" s="39"/>
      <c r="J44" s="7"/>
      <c r="K44" s="7"/>
      <c r="L44" s="23"/>
      <c r="M44" s="18"/>
      <c r="N44" s="47" t="s">
        <v>110</v>
      </c>
      <c r="O44" s="47"/>
      <c r="P44" s="47"/>
      <c r="Q44" s="47"/>
      <c r="R44" s="47"/>
      <c r="S44" s="7"/>
      <c r="T44" s="7"/>
      <c r="U44" s="150"/>
      <c r="V44" s="67" t="s">
        <v>4028</v>
      </c>
      <c r="W44" s="70"/>
      <c r="X44" s="75"/>
      <c r="Y44" s="75"/>
      <c r="Z44" s="70"/>
      <c r="AA44" s="70"/>
      <c r="AB44" s="70"/>
      <c r="AC44" s="70"/>
      <c r="AD44" s="98"/>
    </row>
    <row r="45" spans="1:37" s="76" customFormat="1" ht="13.5" customHeight="1" thickBot="1" x14ac:dyDescent="0.25">
      <c r="B45" s="313"/>
      <c r="C45" s="19"/>
      <c r="D45" s="5"/>
      <c r="E45" s="5"/>
      <c r="F45" s="5"/>
      <c r="G45" s="5"/>
      <c r="H45" s="105"/>
      <c r="I45" s="21"/>
      <c r="J45" s="5"/>
      <c r="K45" s="5"/>
      <c r="L45" s="22"/>
      <c r="M45" s="5"/>
      <c r="N45" s="36"/>
      <c r="O45" s="36"/>
      <c r="P45" s="36"/>
      <c r="Q45" s="36"/>
      <c r="R45" s="36"/>
      <c r="S45" s="5"/>
      <c r="T45" s="5"/>
      <c r="U45" s="68"/>
      <c r="V45" s="68" t="s">
        <v>4029</v>
      </c>
      <c r="W45" s="87"/>
      <c r="X45" s="90"/>
      <c r="Y45" s="90"/>
      <c r="Z45" s="87"/>
      <c r="AA45" s="87"/>
      <c r="AB45" s="87"/>
      <c r="AC45" s="87"/>
      <c r="AD45" s="98"/>
    </row>
    <row r="46" spans="1:37" s="76" customFormat="1" x14ac:dyDescent="0.2">
      <c r="B46" s="314"/>
      <c r="C46" s="11"/>
      <c r="D46" s="91"/>
      <c r="E46" s="91"/>
      <c r="F46" s="12"/>
      <c r="G46" s="12"/>
      <c r="H46" s="13"/>
      <c r="I46" s="14"/>
      <c r="J46" s="12"/>
      <c r="K46" s="12"/>
      <c r="L46" s="15"/>
      <c r="M46" s="12"/>
      <c r="N46" s="34"/>
      <c r="O46" s="34"/>
      <c r="P46" s="34"/>
      <c r="Q46" s="34"/>
      <c r="R46" s="34"/>
      <c r="S46" s="12"/>
      <c r="T46" s="12"/>
      <c r="U46" s="94"/>
      <c r="V46" s="108"/>
      <c r="W46" s="80"/>
      <c r="X46" s="82"/>
      <c r="Y46" s="82"/>
      <c r="Z46" s="80"/>
      <c r="AA46" s="80"/>
      <c r="AB46" s="80"/>
      <c r="AC46" s="80"/>
      <c r="AD46" s="98"/>
    </row>
    <row r="47" spans="1:37" s="76" customFormat="1" x14ac:dyDescent="0.2">
      <c r="B47" s="312" t="s">
        <v>4005</v>
      </c>
      <c r="C47" s="16" t="s">
        <v>4021</v>
      </c>
      <c r="D47" s="7"/>
      <c r="E47" s="7"/>
      <c r="F47" s="6" t="s">
        <v>4030</v>
      </c>
      <c r="G47" s="6"/>
      <c r="H47" s="17">
        <v>10627</v>
      </c>
      <c r="I47" s="39"/>
      <c r="J47" s="7">
        <v>36622</v>
      </c>
      <c r="K47" s="7"/>
      <c r="L47" s="23"/>
      <c r="M47" s="18" t="s">
        <v>4031</v>
      </c>
      <c r="N47" s="47" t="s">
        <v>110</v>
      </c>
      <c r="O47" s="47"/>
      <c r="P47" s="47"/>
      <c r="Q47" s="47"/>
      <c r="R47" s="47"/>
      <c r="S47" s="7"/>
      <c r="T47" s="7"/>
      <c r="U47" s="150"/>
      <c r="V47" s="67" t="s">
        <v>347</v>
      </c>
      <c r="W47" s="70"/>
      <c r="X47" s="75"/>
      <c r="Y47" s="75"/>
      <c r="Z47" s="70"/>
      <c r="AA47" s="70"/>
      <c r="AB47" s="70"/>
      <c r="AC47" s="70"/>
      <c r="AD47" s="98"/>
    </row>
    <row r="48" spans="1:37" s="76" customFormat="1" ht="13.5" customHeight="1" thickBot="1" x14ac:dyDescent="0.25">
      <c r="B48" s="313"/>
      <c r="C48" s="19"/>
      <c r="D48" s="5"/>
      <c r="E48" s="5"/>
      <c r="F48" s="5"/>
      <c r="G48" s="5"/>
      <c r="H48" s="105"/>
      <c r="I48" s="21"/>
      <c r="J48" s="5"/>
      <c r="K48" s="5"/>
      <c r="L48" s="22"/>
      <c r="M48" s="5"/>
      <c r="N48" s="36"/>
      <c r="O48" s="36"/>
      <c r="P48" s="36"/>
      <c r="Q48" s="36"/>
      <c r="R48" s="36"/>
      <c r="S48" s="5"/>
      <c r="T48" s="5"/>
      <c r="U48" s="68"/>
      <c r="V48" s="68" t="s">
        <v>4032</v>
      </c>
      <c r="W48" s="87"/>
      <c r="X48" s="90"/>
      <c r="Y48" s="90"/>
      <c r="Z48" s="87"/>
      <c r="AA48" s="87"/>
      <c r="AB48" s="87"/>
      <c r="AC48" s="87"/>
      <c r="AD48" s="98"/>
    </row>
    <row r="49" spans="2:30" s="76" customFormat="1" x14ac:dyDescent="0.2">
      <c r="B49" s="314"/>
      <c r="C49" s="11"/>
      <c r="D49" s="91"/>
      <c r="E49" s="91"/>
      <c r="F49" s="12"/>
      <c r="G49" s="12"/>
      <c r="H49" s="13"/>
      <c r="I49" s="14"/>
      <c r="J49" s="12"/>
      <c r="K49" s="12"/>
      <c r="L49" s="15"/>
      <c r="M49" s="12"/>
      <c r="N49" s="34"/>
      <c r="O49" s="34"/>
      <c r="P49" s="34"/>
      <c r="Q49" s="34"/>
      <c r="R49" s="34"/>
      <c r="S49" s="12"/>
      <c r="T49" s="12"/>
      <c r="U49" s="94"/>
      <c r="V49" s="108"/>
      <c r="W49" s="80"/>
      <c r="X49" s="82"/>
      <c r="Y49" s="82"/>
      <c r="Z49" s="80"/>
      <c r="AA49" s="80"/>
      <c r="AB49" s="80"/>
      <c r="AC49" s="80"/>
      <c r="AD49" s="98"/>
    </row>
    <row r="50" spans="2:30" s="76" customFormat="1" x14ac:dyDescent="0.2">
      <c r="B50" s="312" t="s">
        <v>4005</v>
      </c>
      <c r="C50" s="16" t="s">
        <v>4021</v>
      </c>
      <c r="D50" s="7"/>
      <c r="E50" s="7"/>
      <c r="F50" s="6" t="s">
        <v>4030</v>
      </c>
      <c r="G50" s="6"/>
      <c r="H50" s="17">
        <v>89581.4</v>
      </c>
      <c r="I50" s="39"/>
      <c r="J50" s="7">
        <v>36622</v>
      </c>
      <c r="K50" s="7"/>
      <c r="L50" s="23"/>
      <c r="M50" s="18" t="s">
        <v>4031</v>
      </c>
      <c r="N50" s="47" t="s">
        <v>42</v>
      </c>
      <c r="O50" s="47"/>
      <c r="P50" s="47"/>
      <c r="Q50" s="47"/>
      <c r="R50" s="47"/>
      <c r="S50" s="7">
        <v>36697</v>
      </c>
      <c r="T50" s="7">
        <v>36709</v>
      </c>
      <c r="U50" s="150"/>
      <c r="V50" s="67" t="s">
        <v>347</v>
      </c>
      <c r="W50" s="70"/>
      <c r="X50" s="75"/>
      <c r="Y50" s="75"/>
      <c r="Z50" s="70"/>
      <c r="AA50" s="70"/>
      <c r="AB50" s="70"/>
      <c r="AC50" s="70"/>
      <c r="AD50" s="98"/>
    </row>
    <row r="51" spans="2:30" s="76" customFormat="1" ht="13.5" customHeight="1" thickBot="1" x14ac:dyDescent="0.25">
      <c r="B51" s="313"/>
      <c r="C51" s="19"/>
      <c r="D51" s="5"/>
      <c r="E51" s="5"/>
      <c r="F51" s="5"/>
      <c r="G51" s="5"/>
      <c r="H51" s="105"/>
      <c r="I51" s="21"/>
      <c r="J51" s="5"/>
      <c r="K51" s="5"/>
      <c r="L51" s="22"/>
      <c r="M51" s="5"/>
      <c r="N51" s="36"/>
      <c r="O51" s="36"/>
      <c r="P51" s="36"/>
      <c r="Q51" s="36"/>
      <c r="R51" s="36"/>
      <c r="S51" s="5"/>
      <c r="T51" s="5"/>
      <c r="U51" s="68"/>
      <c r="V51" s="68" t="s">
        <v>4033</v>
      </c>
      <c r="W51" s="87"/>
      <c r="X51" s="90"/>
      <c r="Y51" s="90"/>
      <c r="Z51" s="87"/>
      <c r="AA51" s="87"/>
      <c r="AB51" s="87"/>
      <c r="AC51" s="87"/>
      <c r="AD51" s="98"/>
    </row>
    <row r="52" spans="2:30" s="76" customFormat="1" x14ac:dyDescent="0.2">
      <c r="B52" s="314"/>
      <c r="C52" s="11"/>
      <c r="D52" s="91"/>
      <c r="E52" s="91"/>
      <c r="F52" s="12"/>
      <c r="G52" s="12"/>
      <c r="H52" s="13"/>
      <c r="I52" s="14"/>
      <c r="J52" s="12"/>
      <c r="K52" s="12"/>
      <c r="L52" s="15"/>
      <c r="M52" s="12"/>
      <c r="N52" s="34"/>
      <c r="O52" s="34"/>
      <c r="P52" s="34"/>
      <c r="Q52" s="34"/>
      <c r="R52" s="34"/>
      <c r="S52" s="12"/>
      <c r="T52" s="12"/>
      <c r="U52" s="94"/>
      <c r="V52" s="108"/>
      <c r="W52" s="80"/>
      <c r="X52" s="82"/>
      <c r="Y52" s="82"/>
      <c r="Z52" s="80"/>
      <c r="AA52" s="80" t="s">
        <v>559</v>
      </c>
      <c r="AB52" s="80"/>
      <c r="AC52" s="80"/>
      <c r="AD52" s="98"/>
    </row>
    <row r="53" spans="2:30" s="76" customFormat="1" x14ac:dyDescent="0.2">
      <c r="B53" s="312" t="s">
        <v>4005</v>
      </c>
      <c r="C53" s="16" t="s">
        <v>4021</v>
      </c>
      <c r="D53" s="7" t="s">
        <v>4034</v>
      </c>
      <c r="E53" s="7"/>
      <c r="F53" s="6" t="s">
        <v>4030</v>
      </c>
      <c r="G53" s="6"/>
      <c r="H53" s="17">
        <v>125646</v>
      </c>
      <c r="I53" s="39"/>
      <c r="J53" s="7">
        <v>36622</v>
      </c>
      <c r="K53" s="7"/>
      <c r="L53" s="23"/>
      <c r="M53" s="18" t="s">
        <v>4031</v>
      </c>
      <c r="N53" s="47" t="s">
        <v>42</v>
      </c>
      <c r="O53" s="47"/>
      <c r="P53" s="47"/>
      <c r="Q53" s="47"/>
      <c r="R53" s="47"/>
      <c r="S53" s="7">
        <v>36704</v>
      </c>
      <c r="T53" s="7">
        <v>36725</v>
      </c>
      <c r="U53" s="150"/>
      <c r="V53" s="67" t="s">
        <v>296</v>
      </c>
      <c r="W53" s="70">
        <v>618</v>
      </c>
      <c r="X53" s="75"/>
      <c r="Y53" s="75"/>
      <c r="Z53" s="70">
        <v>6638142980</v>
      </c>
      <c r="AA53" s="74">
        <v>36753</v>
      </c>
      <c r="AB53" s="70"/>
      <c r="AC53" s="70"/>
      <c r="AD53" s="98"/>
    </row>
    <row r="54" spans="2:30" s="76" customFormat="1" ht="13.5" customHeight="1" thickBot="1" x14ac:dyDescent="0.25">
      <c r="B54" s="313"/>
      <c r="C54" s="19"/>
      <c r="D54" s="5"/>
      <c r="E54" s="5"/>
      <c r="F54" s="5"/>
      <c r="G54" s="5"/>
      <c r="H54" s="105"/>
      <c r="I54" s="21"/>
      <c r="J54" s="5"/>
      <c r="K54" s="5"/>
      <c r="L54" s="22"/>
      <c r="M54" s="5"/>
      <c r="N54" s="36"/>
      <c r="O54" s="36"/>
      <c r="P54" s="36"/>
      <c r="Q54" s="36"/>
      <c r="R54" s="36"/>
      <c r="S54" s="27" t="s">
        <v>309</v>
      </c>
      <c r="T54" s="5" t="s">
        <v>3359</v>
      </c>
      <c r="U54" s="68"/>
      <c r="V54" s="68" t="s">
        <v>4035</v>
      </c>
      <c r="W54" s="87"/>
      <c r="X54" s="90"/>
      <c r="Y54" s="90"/>
      <c r="Z54" s="87"/>
      <c r="AA54" s="87"/>
      <c r="AB54" s="87"/>
      <c r="AC54" s="87"/>
      <c r="AD54" s="98"/>
    </row>
    <row r="55" spans="2:30" s="76" customFormat="1" x14ac:dyDescent="0.2">
      <c r="B55" s="314"/>
      <c r="C55" s="11"/>
      <c r="D55" s="91"/>
      <c r="E55" s="91"/>
      <c r="F55" s="12"/>
      <c r="G55" s="12"/>
      <c r="H55" s="144" t="s">
        <v>4036</v>
      </c>
      <c r="I55" s="14"/>
      <c r="J55" s="12"/>
      <c r="K55" s="12"/>
      <c r="L55" s="15"/>
      <c r="M55" s="12"/>
      <c r="N55" s="34"/>
      <c r="O55" s="34"/>
      <c r="P55" s="34"/>
      <c r="Q55" s="34"/>
      <c r="R55" s="34"/>
      <c r="S55" s="12"/>
      <c r="T55" s="12"/>
      <c r="U55" s="94"/>
      <c r="V55" s="108"/>
      <c r="W55" s="80"/>
      <c r="X55" s="82"/>
      <c r="Y55" s="82"/>
      <c r="Z55" s="80"/>
      <c r="AA55" s="80"/>
      <c r="AB55" s="80"/>
      <c r="AC55" s="80"/>
      <c r="AD55" s="98"/>
    </row>
    <row r="56" spans="2:30" s="76" customFormat="1" x14ac:dyDescent="0.2">
      <c r="B56" s="312" t="s">
        <v>4005</v>
      </c>
      <c r="C56" s="16" t="s">
        <v>4021</v>
      </c>
      <c r="D56" s="7" t="s">
        <v>4037</v>
      </c>
      <c r="E56" s="7"/>
      <c r="F56" s="6" t="s">
        <v>4038</v>
      </c>
      <c r="G56" s="6"/>
      <c r="H56" s="17">
        <v>200000</v>
      </c>
      <c r="I56" s="39"/>
      <c r="J56" s="7">
        <v>36697</v>
      </c>
      <c r="K56" s="7"/>
      <c r="L56" s="23"/>
      <c r="M56" s="18" t="s">
        <v>4031</v>
      </c>
      <c r="N56" s="47" t="s">
        <v>110</v>
      </c>
      <c r="O56" s="47"/>
      <c r="P56" s="47"/>
      <c r="Q56" s="47"/>
      <c r="R56" s="47"/>
      <c r="S56" s="7">
        <v>36733</v>
      </c>
      <c r="T56" s="7">
        <v>36742</v>
      </c>
      <c r="U56" s="150"/>
      <c r="V56" s="67" t="s">
        <v>4039</v>
      </c>
      <c r="W56" s="70">
        <v>619</v>
      </c>
      <c r="X56" s="75"/>
      <c r="Y56" s="75"/>
      <c r="Z56" s="70" t="s">
        <v>4040</v>
      </c>
      <c r="AA56" s="70" t="s">
        <v>318</v>
      </c>
      <c r="AB56" s="70"/>
      <c r="AC56" s="70"/>
      <c r="AD56" s="98"/>
    </row>
    <row r="57" spans="2:30" s="76" customFormat="1" ht="13.5" customHeight="1" thickBot="1" x14ac:dyDescent="0.25">
      <c r="B57" s="313"/>
      <c r="C57" s="19"/>
      <c r="D57" s="5"/>
      <c r="E57" s="5"/>
      <c r="F57" s="5"/>
      <c r="G57" s="5"/>
      <c r="H57" s="105"/>
      <c r="I57" s="21"/>
      <c r="J57" s="5"/>
      <c r="K57" s="5"/>
      <c r="L57" s="22"/>
      <c r="M57" s="5"/>
      <c r="N57" s="36"/>
      <c r="O57" s="36"/>
      <c r="P57" s="36"/>
      <c r="Q57" s="36"/>
      <c r="R57" s="36"/>
      <c r="S57" s="27" t="s">
        <v>647</v>
      </c>
      <c r="T57" s="5"/>
      <c r="U57" s="68"/>
      <c r="V57" s="68" t="s">
        <v>4041</v>
      </c>
      <c r="W57" s="87"/>
      <c r="X57" s="90"/>
      <c r="Y57" s="90"/>
      <c r="Z57" s="87"/>
      <c r="AA57" s="87"/>
      <c r="AB57" s="87"/>
      <c r="AC57" s="87"/>
      <c r="AD57" s="98"/>
    </row>
    <row r="58" spans="2:30" s="76" customFormat="1" x14ac:dyDescent="0.2">
      <c r="B58" s="314"/>
      <c r="C58" s="11"/>
      <c r="D58" s="91"/>
      <c r="E58" s="91"/>
      <c r="F58" s="12"/>
      <c r="G58" s="12"/>
      <c r="H58" s="13"/>
      <c r="I58" s="14"/>
      <c r="J58" s="12"/>
      <c r="K58" s="12"/>
      <c r="L58" s="15"/>
      <c r="M58" s="12"/>
      <c r="N58" s="34"/>
      <c r="O58" s="34"/>
      <c r="P58" s="34"/>
      <c r="Q58" s="34"/>
      <c r="R58" s="34"/>
      <c r="S58" s="12"/>
      <c r="T58" s="12"/>
      <c r="U58" s="94"/>
      <c r="V58" s="108"/>
      <c r="W58" s="80"/>
      <c r="X58" s="82"/>
      <c r="Y58" s="82"/>
      <c r="Z58" s="80"/>
      <c r="AA58" s="80"/>
      <c r="AB58" s="80"/>
      <c r="AC58" s="80"/>
      <c r="AD58" s="98"/>
    </row>
    <row r="59" spans="2:30" s="76" customFormat="1" x14ac:dyDescent="0.2">
      <c r="B59" s="312" t="s">
        <v>4005</v>
      </c>
      <c r="C59" s="16" t="s">
        <v>4021</v>
      </c>
      <c r="D59" s="7" t="s">
        <v>4037</v>
      </c>
      <c r="E59" s="7"/>
      <c r="F59" s="6" t="s">
        <v>4038</v>
      </c>
      <c r="G59" s="6"/>
      <c r="H59" s="17"/>
      <c r="I59" s="39"/>
      <c r="J59" s="7"/>
      <c r="K59" s="7"/>
      <c r="L59" s="23"/>
      <c r="M59" s="18" t="s">
        <v>4023</v>
      </c>
      <c r="N59" s="47" t="s">
        <v>110</v>
      </c>
      <c r="O59" s="47"/>
      <c r="P59" s="47"/>
      <c r="Q59" s="47"/>
      <c r="R59" s="47"/>
      <c r="S59" s="7" t="s">
        <v>4042</v>
      </c>
      <c r="T59" s="7">
        <v>36766</v>
      </c>
      <c r="U59" s="150"/>
      <c r="V59" s="67" t="s">
        <v>4043</v>
      </c>
      <c r="W59" s="70"/>
      <c r="X59" s="75"/>
      <c r="Y59" s="75"/>
      <c r="Z59" s="70"/>
      <c r="AA59" s="74"/>
      <c r="AB59" s="70"/>
      <c r="AC59" s="70"/>
      <c r="AD59" s="98"/>
    </row>
    <row r="60" spans="2:30" s="76" customFormat="1" ht="13.5" customHeight="1" thickBot="1" x14ac:dyDescent="0.25">
      <c r="B60" s="313"/>
      <c r="C60" s="19"/>
      <c r="D60" s="5"/>
      <c r="E60" s="5"/>
      <c r="F60" s="5" t="s">
        <v>4044</v>
      </c>
      <c r="G60" s="5"/>
      <c r="H60" s="105"/>
      <c r="I60" s="21"/>
      <c r="J60" s="5"/>
      <c r="K60" s="5"/>
      <c r="L60" s="22"/>
      <c r="M60" s="5"/>
      <c r="N60" s="36"/>
      <c r="O60" s="36"/>
      <c r="P60" s="36"/>
      <c r="Q60" s="36"/>
      <c r="R60" s="36"/>
      <c r="S60" s="27"/>
      <c r="T60" s="5"/>
      <c r="U60" s="68"/>
      <c r="V60" s="68"/>
      <c r="W60" s="87"/>
      <c r="X60" s="90"/>
      <c r="Y60" s="90"/>
      <c r="Z60" s="87"/>
      <c r="AA60" s="87"/>
      <c r="AB60" s="87"/>
      <c r="AC60" s="87"/>
      <c r="AD60" s="98"/>
    </row>
    <row r="61" spans="2:30" s="76" customFormat="1" x14ac:dyDescent="0.2">
      <c r="B61" s="314"/>
      <c r="C61" s="11"/>
      <c r="D61" s="91"/>
      <c r="E61" s="91"/>
      <c r="F61" s="12"/>
      <c r="G61" s="12"/>
      <c r="H61" s="13"/>
      <c r="I61" s="14"/>
      <c r="J61" s="12"/>
      <c r="K61" s="12"/>
      <c r="L61" s="15"/>
      <c r="M61" s="12"/>
      <c r="N61" s="34"/>
      <c r="O61" s="34"/>
      <c r="P61" s="34"/>
      <c r="Q61" s="34"/>
      <c r="R61" s="34"/>
      <c r="S61" s="12"/>
      <c r="T61" s="12"/>
      <c r="U61" s="94"/>
      <c r="V61" s="108"/>
      <c r="W61" s="80"/>
      <c r="X61" s="82"/>
      <c r="Y61" s="82"/>
      <c r="Z61" s="80"/>
      <c r="AA61" s="80"/>
      <c r="AB61" s="80"/>
      <c r="AC61" s="80"/>
      <c r="AD61" s="98"/>
    </row>
    <row r="62" spans="2:30" s="76" customFormat="1" x14ac:dyDescent="0.2">
      <c r="B62" s="312" t="s">
        <v>4005</v>
      </c>
      <c r="C62" s="16" t="s">
        <v>4021</v>
      </c>
      <c r="D62" s="7" t="s">
        <v>4037</v>
      </c>
      <c r="E62" s="7"/>
      <c r="F62" s="6" t="s">
        <v>4038</v>
      </c>
      <c r="G62" s="6"/>
      <c r="H62" s="17"/>
      <c r="I62" s="39"/>
      <c r="J62" s="7"/>
      <c r="K62" s="7"/>
      <c r="L62" s="23"/>
      <c r="M62" s="18" t="s">
        <v>4023</v>
      </c>
      <c r="N62" s="47" t="s">
        <v>110</v>
      </c>
      <c r="O62" s="47"/>
      <c r="P62" s="47"/>
      <c r="Q62" s="47"/>
      <c r="R62" s="47"/>
      <c r="S62" s="7">
        <v>36770</v>
      </c>
      <c r="T62" s="7">
        <v>36774</v>
      </c>
      <c r="U62" s="150"/>
      <c r="V62" s="67" t="s">
        <v>4045</v>
      </c>
      <c r="W62" s="70"/>
      <c r="X62" s="75"/>
      <c r="Y62" s="75"/>
      <c r="Z62" s="70"/>
      <c r="AA62" s="74"/>
      <c r="AB62" s="70"/>
      <c r="AC62" s="70"/>
      <c r="AD62" s="98"/>
    </row>
    <row r="63" spans="2:30" s="76" customFormat="1" ht="13.5" customHeight="1" thickBot="1" x14ac:dyDescent="0.25">
      <c r="B63" s="313"/>
      <c r="C63" s="19"/>
      <c r="D63" s="5"/>
      <c r="E63" s="5"/>
      <c r="F63" s="5" t="s">
        <v>4044</v>
      </c>
      <c r="G63" s="5"/>
      <c r="H63" s="105"/>
      <c r="I63" s="21"/>
      <c r="J63" s="5"/>
      <c r="K63" s="5"/>
      <c r="L63" s="22"/>
      <c r="M63" s="5"/>
      <c r="N63" s="36"/>
      <c r="O63" s="36"/>
      <c r="P63" s="36"/>
      <c r="Q63" s="36"/>
      <c r="R63" s="36"/>
      <c r="S63" s="27" t="s">
        <v>647</v>
      </c>
      <c r="T63" s="5"/>
      <c r="U63" s="68"/>
      <c r="V63" s="68"/>
      <c r="W63" s="87"/>
      <c r="X63" s="90"/>
      <c r="Y63" s="90"/>
      <c r="Z63" s="87"/>
      <c r="AA63" s="87"/>
      <c r="AB63" s="87"/>
      <c r="AC63" s="87"/>
      <c r="AD63" s="98"/>
    </row>
    <row r="64" spans="2:30" s="76" customFormat="1" x14ac:dyDescent="0.2">
      <c r="B64" s="314"/>
      <c r="C64" s="11"/>
      <c r="D64" s="91"/>
      <c r="E64" s="91"/>
      <c r="F64" s="12"/>
      <c r="G64" s="12"/>
      <c r="H64" s="13"/>
      <c r="I64" s="14"/>
      <c r="J64" s="12"/>
      <c r="K64" s="12"/>
      <c r="L64" s="15"/>
      <c r="M64" s="12"/>
      <c r="N64" s="34"/>
      <c r="O64" s="34"/>
      <c r="P64" s="34"/>
      <c r="Q64" s="34"/>
      <c r="R64" s="34"/>
      <c r="S64" s="12"/>
      <c r="T64" s="12"/>
      <c r="U64" s="94"/>
      <c r="V64" s="108"/>
      <c r="W64" s="80"/>
      <c r="X64" s="82"/>
      <c r="Y64" s="82"/>
      <c r="Z64" s="80"/>
      <c r="AA64" s="80"/>
      <c r="AB64" s="80"/>
      <c r="AC64" s="80"/>
      <c r="AD64" s="98"/>
    </row>
    <row r="65" spans="2:30" s="76" customFormat="1" x14ac:dyDescent="0.2">
      <c r="B65" s="312" t="s">
        <v>4005</v>
      </c>
      <c r="C65" s="16" t="s">
        <v>4021</v>
      </c>
      <c r="D65" s="7" t="s">
        <v>4037</v>
      </c>
      <c r="E65" s="7"/>
      <c r="F65" s="6" t="s">
        <v>4038</v>
      </c>
      <c r="G65" s="6"/>
      <c r="H65" s="17">
        <v>83370.7</v>
      </c>
      <c r="I65" s="39"/>
      <c r="J65" s="7">
        <v>36697</v>
      </c>
      <c r="K65" s="7"/>
      <c r="L65" s="23"/>
      <c r="M65" s="18" t="s">
        <v>4031</v>
      </c>
      <c r="N65" s="47" t="s">
        <v>42</v>
      </c>
      <c r="O65" s="47"/>
      <c r="P65" s="47"/>
      <c r="Q65" s="47"/>
      <c r="R65" s="47"/>
      <c r="S65" s="7">
        <v>36746</v>
      </c>
      <c r="T65" s="7">
        <v>36752</v>
      </c>
      <c r="U65" s="150"/>
      <c r="V65" s="67" t="s">
        <v>4046</v>
      </c>
      <c r="W65" s="70">
        <v>622</v>
      </c>
      <c r="X65" s="75"/>
      <c r="Y65" s="75"/>
      <c r="Z65" s="70">
        <v>6638142943</v>
      </c>
      <c r="AA65" s="74" t="s">
        <v>318</v>
      </c>
      <c r="AB65" s="70"/>
      <c r="AC65" s="70"/>
      <c r="AD65" s="98"/>
    </row>
    <row r="66" spans="2:30" s="76" customFormat="1" ht="13.5" customHeight="1" thickBot="1" x14ac:dyDescent="0.25">
      <c r="B66" s="313"/>
      <c r="C66" s="19"/>
      <c r="D66" s="5"/>
      <c r="E66" s="5"/>
      <c r="F66" s="5"/>
      <c r="G66" s="5"/>
      <c r="H66" s="105"/>
      <c r="I66" s="21"/>
      <c r="J66" s="5"/>
      <c r="K66" s="5"/>
      <c r="L66" s="22"/>
      <c r="M66" s="5"/>
      <c r="N66" s="36"/>
      <c r="O66" s="36"/>
      <c r="P66" s="36"/>
      <c r="Q66" s="36"/>
      <c r="R66" s="36"/>
      <c r="S66" s="27" t="s">
        <v>296</v>
      </c>
      <c r="T66" s="5"/>
      <c r="U66" s="68"/>
      <c r="V66" s="68"/>
      <c r="W66" s="87"/>
      <c r="X66" s="90"/>
      <c r="Y66" s="90"/>
      <c r="Z66" s="87"/>
      <c r="AA66" s="87"/>
      <c r="AB66" s="87"/>
      <c r="AC66" s="87"/>
      <c r="AD66" s="98"/>
    </row>
    <row r="67" spans="2:30" ht="12" thickBot="1" x14ac:dyDescent="0.25">
      <c r="D67" s="2"/>
      <c r="E67" s="2"/>
      <c r="AC67" s="38"/>
    </row>
    <row r="68" spans="2:30" s="76" customFormat="1" x14ac:dyDescent="0.2">
      <c r="B68" s="314"/>
      <c r="C68" s="11"/>
      <c r="D68" s="91"/>
      <c r="E68" s="91"/>
      <c r="F68" s="12"/>
      <c r="G68" s="12"/>
      <c r="H68" s="13"/>
      <c r="I68" s="14"/>
      <c r="J68" s="12"/>
      <c r="K68" s="12"/>
      <c r="L68" s="15"/>
      <c r="M68" s="12"/>
      <c r="N68" s="34"/>
      <c r="O68" s="34"/>
      <c r="P68" s="34"/>
      <c r="Q68" s="34"/>
      <c r="R68" s="34"/>
      <c r="S68" s="12"/>
      <c r="T68" s="12"/>
      <c r="U68" s="94"/>
      <c r="V68" s="108"/>
      <c r="W68" s="80"/>
      <c r="X68" s="82"/>
      <c r="Y68" s="82"/>
      <c r="Z68" s="80"/>
      <c r="AA68" s="80"/>
      <c r="AB68" s="80"/>
      <c r="AC68" s="80"/>
      <c r="AD68" s="98"/>
    </row>
    <row r="69" spans="2:30" s="76" customFormat="1" x14ac:dyDescent="0.2">
      <c r="B69" s="312" t="s">
        <v>4005</v>
      </c>
      <c r="C69" s="16" t="s">
        <v>4021</v>
      </c>
      <c r="D69" s="7" t="s">
        <v>4037</v>
      </c>
      <c r="E69" s="7"/>
      <c r="F69" s="6" t="s">
        <v>4038</v>
      </c>
      <c r="G69" s="6"/>
      <c r="H69" s="17"/>
      <c r="I69" s="39"/>
      <c r="J69" s="7">
        <v>36697</v>
      </c>
      <c r="K69" s="7"/>
      <c r="L69" s="23"/>
      <c r="M69" s="18" t="s">
        <v>4031</v>
      </c>
      <c r="N69" s="47" t="s">
        <v>42</v>
      </c>
      <c r="O69" s="47"/>
      <c r="P69" s="47"/>
      <c r="Q69" s="47"/>
      <c r="R69" s="47"/>
      <c r="S69" s="7">
        <v>36764</v>
      </c>
      <c r="T69" s="7">
        <v>36770</v>
      </c>
      <c r="U69" s="150"/>
      <c r="V69" s="67" t="s">
        <v>4047</v>
      </c>
      <c r="W69" s="70">
        <v>636</v>
      </c>
      <c r="X69" s="75"/>
      <c r="Y69" s="75"/>
      <c r="Z69" s="70">
        <v>6671051306</v>
      </c>
      <c r="AA69" s="74"/>
      <c r="AB69" s="70"/>
      <c r="AC69" s="70"/>
      <c r="AD69" s="98"/>
    </row>
    <row r="70" spans="2:30" s="76" customFormat="1" ht="13.5" customHeight="1" thickBot="1" x14ac:dyDescent="0.25">
      <c r="B70" s="313"/>
      <c r="C70" s="19"/>
      <c r="D70" s="5"/>
      <c r="E70" s="5"/>
      <c r="F70" s="5"/>
      <c r="G70" s="5"/>
      <c r="H70" s="105"/>
      <c r="I70" s="21"/>
      <c r="J70" s="5"/>
      <c r="K70" s="5"/>
      <c r="L70" s="22"/>
      <c r="M70" s="5"/>
      <c r="N70" s="36"/>
      <c r="O70" s="36"/>
      <c r="P70" s="36"/>
      <c r="Q70" s="36"/>
      <c r="R70" s="36"/>
      <c r="S70" s="27" t="s">
        <v>296</v>
      </c>
      <c r="T70" s="5"/>
      <c r="U70" s="68"/>
      <c r="V70" s="68" t="s">
        <v>4048</v>
      </c>
      <c r="W70" s="87"/>
      <c r="X70" s="90"/>
      <c r="Y70" s="90"/>
      <c r="Z70" s="87"/>
      <c r="AA70" s="87"/>
      <c r="AB70" s="87"/>
      <c r="AC70" s="87"/>
      <c r="AD70" s="98"/>
    </row>
    <row r="71" spans="2:30" s="76" customFormat="1" x14ac:dyDescent="0.2">
      <c r="B71" s="314"/>
      <c r="C71" s="11"/>
      <c r="D71" s="91"/>
      <c r="E71" s="91"/>
      <c r="F71" s="12"/>
      <c r="G71" s="12"/>
      <c r="H71" s="13"/>
      <c r="I71" s="14"/>
      <c r="J71" s="12"/>
      <c r="K71" s="12"/>
      <c r="L71" s="15"/>
      <c r="M71" s="12"/>
      <c r="N71" s="34"/>
      <c r="O71" s="34"/>
      <c r="P71" s="34"/>
      <c r="Q71" s="34"/>
      <c r="R71" s="34"/>
      <c r="S71" s="12"/>
      <c r="T71" s="12"/>
      <c r="U71" s="94"/>
      <c r="V71" s="108"/>
      <c r="W71" s="80"/>
      <c r="X71" s="82"/>
      <c r="Y71" s="82"/>
      <c r="Z71" s="80"/>
      <c r="AA71" s="80"/>
      <c r="AB71" s="80"/>
      <c r="AC71" s="80"/>
      <c r="AD71" s="98"/>
    </row>
    <row r="72" spans="2:30" s="76" customFormat="1" x14ac:dyDescent="0.2">
      <c r="B72" s="312" t="s">
        <v>4005</v>
      </c>
      <c r="C72" s="16" t="s">
        <v>4021</v>
      </c>
      <c r="D72" s="7" t="s">
        <v>4049</v>
      </c>
      <c r="E72" s="7"/>
      <c r="F72" s="6" t="s">
        <v>4050</v>
      </c>
      <c r="G72" s="6"/>
      <c r="H72" s="17">
        <v>12279</v>
      </c>
      <c r="I72" s="39"/>
      <c r="J72" s="7">
        <v>36738</v>
      </c>
      <c r="K72" s="7"/>
      <c r="L72" s="23"/>
      <c r="M72" s="18" t="s">
        <v>4031</v>
      </c>
      <c r="N72" s="47" t="s">
        <v>42</v>
      </c>
      <c r="O72" s="47"/>
      <c r="P72" s="47"/>
      <c r="Q72" s="47"/>
      <c r="R72" s="47"/>
      <c r="S72" s="7">
        <v>36764</v>
      </c>
      <c r="T72" s="7">
        <v>36770</v>
      </c>
      <c r="U72" s="150"/>
      <c r="V72" s="67" t="s">
        <v>4051</v>
      </c>
      <c r="W72" s="70">
        <v>636</v>
      </c>
      <c r="X72" s="75"/>
      <c r="Y72" s="75"/>
      <c r="Z72" s="70">
        <v>6671051306</v>
      </c>
      <c r="AA72" s="74"/>
      <c r="AB72" s="70"/>
      <c r="AC72" s="70"/>
      <c r="AD72" s="98"/>
    </row>
    <row r="73" spans="2:30" s="76" customFormat="1" ht="13.5" customHeight="1" thickBot="1" x14ac:dyDescent="0.25">
      <c r="B73" s="313"/>
      <c r="C73" s="19"/>
      <c r="D73" s="5"/>
      <c r="E73" s="5"/>
      <c r="F73" s="5"/>
      <c r="G73" s="5"/>
      <c r="H73" s="105"/>
      <c r="I73" s="21"/>
      <c r="J73" s="5"/>
      <c r="K73" s="5"/>
      <c r="L73" s="22"/>
      <c r="M73" s="5"/>
      <c r="N73" s="36"/>
      <c r="O73" s="36"/>
      <c r="P73" s="36"/>
      <c r="Q73" s="36"/>
      <c r="R73" s="36"/>
      <c r="S73" s="27" t="s">
        <v>296</v>
      </c>
      <c r="T73" s="5"/>
      <c r="U73" s="68"/>
      <c r="V73" s="68"/>
      <c r="W73" s="87"/>
      <c r="X73" s="90"/>
      <c r="Y73" s="90"/>
      <c r="Z73" s="87"/>
      <c r="AA73" s="87"/>
      <c r="AB73" s="87"/>
      <c r="AC73" s="87"/>
      <c r="AD73" s="98"/>
    </row>
    <row r="74" spans="2:30" s="76" customFormat="1" x14ac:dyDescent="0.2">
      <c r="B74" s="314"/>
      <c r="C74" s="11"/>
      <c r="D74" s="91"/>
      <c r="E74" s="91"/>
      <c r="F74" s="12"/>
      <c r="G74" s="12"/>
      <c r="H74" s="13"/>
      <c r="I74" s="14"/>
      <c r="J74" s="12"/>
      <c r="K74" s="12"/>
      <c r="L74" s="15"/>
      <c r="M74" s="12"/>
      <c r="N74" s="34"/>
      <c r="O74" s="34"/>
      <c r="P74" s="34"/>
      <c r="Q74" s="34"/>
      <c r="R74" s="34"/>
      <c r="S74" s="12"/>
      <c r="T74" s="12"/>
      <c r="U74" s="94"/>
      <c r="V74" s="108"/>
      <c r="W74" s="80"/>
      <c r="X74" s="82"/>
      <c r="Y74" s="82"/>
      <c r="Z74" s="80"/>
      <c r="AA74" s="80" t="s">
        <v>559</v>
      </c>
      <c r="AB74" s="80"/>
      <c r="AC74" s="80"/>
      <c r="AD74" s="98"/>
    </row>
    <row r="75" spans="2:30" s="76" customFormat="1" x14ac:dyDescent="0.2">
      <c r="B75" s="312" t="s">
        <v>4005</v>
      </c>
      <c r="C75" s="16" t="s">
        <v>4021</v>
      </c>
      <c r="D75" s="7"/>
      <c r="E75" s="7"/>
      <c r="F75" s="6" t="s">
        <v>4038</v>
      </c>
      <c r="G75" s="6"/>
      <c r="H75" s="17">
        <v>63221.29</v>
      </c>
      <c r="I75" s="39"/>
      <c r="J75" s="7">
        <v>36697</v>
      </c>
      <c r="K75" s="7"/>
      <c r="L75" s="23"/>
      <c r="M75" s="18" t="s">
        <v>4031</v>
      </c>
      <c r="N75" s="47" t="s">
        <v>42</v>
      </c>
      <c r="O75" s="47"/>
      <c r="P75" s="47"/>
      <c r="Q75" s="47"/>
      <c r="R75" s="47"/>
      <c r="S75" s="7">
        <v>36769</v>
      </c>
      <c r="T75" s="7">
        <v>36786</v>
      </c>
      <c r="U75" s="150"/>
      <c r="V75" s="67" t="s">
        <v>4052</v>
      </c>
      <c r="W75" s="70" t="s">
        <v>4053</v>
      </c>
      <c r="X75" s="75"/>
      <c r="Y75" s="75"/>
      <c r="Z75" s="70"/>
      <c r="AA75" s="74">
        <v>36794</v>
      </c>
      <c r="AB75" s="70"/>
      <c r="AC75" s="70"/>
      <c r="AD75" s="98"/>
    </row>
    <row r="76" spans="2:30" s="76" customFormat="1" ht="13.5" customHeight="1" thickBot="1" x14ac:dyDescent="0.25">
      <c r="B76" s="313"/>
      <c r="C76" s="19"/>
      <c r="D76" s="5"/>
      <c r="E76" s="5"/>
      <c r="F76" s="5"/>
      <c r="G76" s="5"/>
      <c r="H76" s="26"/>
      <c r="I76" s="21"/>
      <c r="J76" s="5"/>
      <c r="K76" s="5"/>
      <c r="L76" s="22"/>
      <c r="M76" s="5"/>
      <c r="N76" s="36"/>
      <c r="O76" s="36"/>
      <c r="P76" s="36"/>
      <c r="Q76" s="36"/>
      <c r="R76" s="36"/>
      <c r="S76" s="5"/>
      <c r="T76" s="5"/>
      <c r="U76" s="68"/>
      <c r="V76" s="68" t="s">
        <v>4054</v>
      </c>
      <c r="W76" s="87"/>
      <c r="X76" s="90"/>
      <c r="Y76" s="90"/>
      <c r="Z76" s="87"/>
      <c r="AA76" s="87"/>
      <c r="AB76" s="87"/>
      <c r="AC76" s="87"/>
      <c r="AD76" s="98"/>
    </row>
    <row r="77" spans="2:30" s="76" customFormat="1" x14ac:dyDescent="0.2">
      <c r="B77" s="314"/>
      <c r="C77" s="11"/>
      <c r="D77" s="91"/>
      <c r="E77" s="91"/>
      <c r="F77" s="12"/>
      <c r="G77" s="12"/>
      <c r="H77" s="13"/>
      <c r="I77" s="14"/>
      <c r="J77" s="12"/>
      <c r="K77" s="12"/>
      <c r="L77" s="15"/>
      <c r="M77" s="12"/>
      <c r="N77" s="34"/>
      <c r="O77" s="34"/>
      <c r="P77" s="34"/>
      <c r="Q77" s="34"/>
      <c r="R77" s="34"/>
      <c r="S77" s="12"/>
      <c r="T77" s="12"/>
      <c r="U77" s="94"/>
      <c r="V77" s="108"/>
      <c r="W77" s="80"/>
      <c r="X77" s="82"/>
      <c r="Y77" s="82"/>
      <c r="Z77" s="80"/>
      <c r="AA77" s="80"/>
      <c r="AB77" s="80"/>
      <c r="AC77" s="80"/>
      <c r="AD77" s="98"/>
    </row>
    <row r="78" spans="2:30" s="76" customFormat="1" x14ac:dyDescent="0.2">
      <c r="B78" s="312" t="s">
        <v>4005</v>
      </c>
      <c r="C78" s="16" t="s">
        <v>4021</v>
      </c>
      <c r="D78" s="7"/>
      <c r="E78" s="7"/>
      <c r="F78" s="6" t="s">
        <v>4038</v>
      </c>
      <c r="G78" s="6"/>
      <c r="H78" s="153">
        <v>34614.199999999997</v>
      </c>
      <c r="I78" s="39"/>
      <c r="J78" s="7"/>
      <c r="K78" s="7"/>
      <c r="L78" s="23"/>
      <c r="M78" s="18" t="s">
        <v>4031</v>
      </c>
      <c r="N78" s="47" t="s">
        <v>42</v>
      </c>
      <c r="O78" s="47"/>
      <c r="P78" s="47"/>
      <c r="Q78" s="47"/>
      <c r="R78" s="47"/>
      <c r="S78" s="7">
        <v>36803</v>
      </c>
      <c r="T78" s="7">
        <v>36830</v>
      </c>
      <c r="U78" s="150"/>
      <c r="V78" s="67" t="s">
        <v>4055</v>
      </c>
      <c r="W78" s="6" t="s">
        <v>4056</v>
      </c>
      <c r="X78" s="75"/>
      <c r="Y78" s="75"/>
      <c r="Z78" s="70"/>
      <c r="AA78" s="70"/>
      <c r="AB78" s="70"/>
      <c r="AC78" s="70"/>
      <c r="AD78" s="98"/>
    </row>
    <row r="79" spans="2:30" s="76" customFormat="1" ht="13.5" customHeight="1" thickBot="1" x14ac:dyDescent="0.25">
      <c r="B79" s="313"/>
      <c r="C79" s="19"/>
      <c r="D79" s="5"/>
      <c r="E79" s="5"/>
      <c r="F79" s="5"/>
      <c r="G79" s="5"/>
      <c r="H79" s="105"/>
      <c r="I79" s="21"/>
      <c r="J79" s="5"/>
      <c r="K79" s="5"/>
      <c r="L79" s="22"/>
      <c r="M79" s="5"/>
      <c r="N79" s="36"/>
      <c r="O79" s="36"/>
      <c r="P79" s="36"/>
      <c r="Q79" s="36"/>
      <c r="R79" s="36"/>
      <c r="S79" s="5"/>
      <c r="T79" s="5"/>
      <c r="U79" s="68"/>
      <c r="V79" s="68" t="s">
        <v>4057</v>
      </c>
      <c r="W79" s="87"/>
      <c r="X79" s="90"/>
      <c r="Y79" s="90"/>
      <c r="Z79" s="87"/>
      <c r="AA79" s="87"/>
      <c r="AB79" s="87"/>
      <c r="AC79" s="87"/>
      <c r="AD79" s="98"/>
    </row>
    <row r="80" spans="2:30" s="76" customFormat="1" x14ac:dyDescent="0.2">
      <c r="B80" s="314"/>
      <c r="C80" s="11"/>
      <c r="D80" s="91"/>
      <c r="E80" s="91"/>
      <c r="F80" s="12"/>
      <c r="G80" s="12"/>
      <c r="H80" s="148"/>
      <c r="I80" s="14"/>
      <c r="J80" s="12"/>
      <c r="K80" s="12"/>
      <c r="L80" s="15"/>
      <c r="M80" s="12"/>
      <c r="N80" s="34"/>
      <c r="O80" s="34"/>
      <c r="P80" s="34"/>
      <c r="Q80" s="34"/>
      <c r="R80" s="34"/>
      <c r="S80" s="12"/>
      <c r="T80" s="12"/>
      <c r="U80" s="94"/>
      <c r="V80" s="108"/>
      <c r="W80" s="80"/>
      <c r="X80" s="82"/>
      <c r="Y80" s="82"/>
      <c r="Z80" s="80"/>
      <c r="AA80" s="80"/>
      <c r="AB80" s="80"/>
      <c r="AC80" s="80"/>
      <c r="AD80" s="98"/>
    </row>
    <row r="81" spans="2:30" s="76" customFormat="1" x14ac:dyDescent="0.2">
      <c r="B81" s="312" t="s">
        <v>4005</v>
      </c>
      <c r="C81" s="16" t="s">
        <v>4021</v>
      </c>
      <c r="D81" s="7" t="s">
        <v>4058</v>
      </c>
      <c r="E81" s="7"/>
      <c r="F81" s="6" t="s">
        <v>4059</v>
      </c>
      <c r="G81" s="6"/>
      <c r="H81" s="17">
        <v>105800.41</v>
      </c>
      <c r="I81" s="39"/>
      <c r="J81" s="7">
        <v>36777</v>
      </c>
      <c r="K81" s="7"/>
      <c r="L81" s="23"/>
      <c r="M81" s="18" t="s">
        <v>4031</v>
      </c>
      <c r="N81" s="47" t="s">
        <v>42</v>
      </c>
      <c r="O81" s="47"/>
      <c r="P81" s="47"/>
      <c r="Q81" s="47"/>
      <c r="R81" s="47"/>
      <c r="S81" s="7">
        <v>36803</v>
      </c>
      <c r="T81" s="149" t="s">
        <v>4060</v>
      </c>
      <c r="U81" s="321"/>
      <c r="V81" s="67" t="s">
        <v>4061</v>
      </c>
      <c r="W81" s="70">
        <v>651</v>
      </c>
      <c r="X81" s="75"/>
      <c r="Y81" s="75"/>
      <c r="Z81" s="70"/>
      <c r="AA81" s="74"/>
      <c r="AB81" s="70"/>
      <c r="AC81" s="70"/>
      <c r="AD81" s="98"/>
    </row>
    <row r="82" spans="2:30" s="76" customFormat="1" ht="13.5" customHeight="1" thickBot="1" x14ac:dyDescent="0.25">
      <c r="B82" s="313"/>
      <c r="C82" s="19"/>
      <c r="D82" s="5"/>
      <c r="E82" s="5"/>
      <c r="F82" s="5" t="s">
        <v>4062</v>
      </c>
      <c r="G82" s="5"/>
      <c r="H82" s="105"/>
      <c r="I82" s="21"/>
      <c r="J82" s="5"/>
      <c r="K82" s="5"/>
      <c r="L82" s="22"/>
      <c r="M82" s="5"/>
      <c r="N82" s="36"/>
      <c r="O82" s="36"/>
      <c r="P82" s="36"/>
      <c r="Q82" s="36"/>
      <c r="R82" s="36"/>
      <c r="S82" s="27" t="s">
        <v>296</v>
      </c>
      <c r="T82" s="27">
        <v>36833</v>
      </c>
      <c r="U82" s="96"/>
      <c r="V82" s="68" t="s">
        <v>4063</v>
      </c>
      <c r="W82" s="87"/>
      <c r="X82" s="90"/>
      <c r="Y82" s="90"/>
      <c r="Z82" s="87"/>
      <c r="AA82" s="87"/>
      <c r="AB82" s="87"/>
      <c r="AC82" s="87"/>
      <c r="AD82" s="98"/>
    </row>
    <row r="83" spans="2:30" s="76" customFormat="1" x14ac:dyDescent="0.2">
      <c r="B83" s="314"/>
      <c r="C83" s="11"/>
      <c r="D83" s="91"/>
      <c r="E83" s="91"/>
      <c r="F83" s="12"/>
      <c r="G83" s="12"/>
      <c r="H83" s="148"/>
      <c r="I83" s="14"/>
      <c r="J83" s="12"/>
      <c r="K83" s="12"/>
      <c r="L83" s="15"/>
      <c r="M83" s="12"/>
      <c r="N83" s="34"/>
      <c r="O83" s="34"/>
      <c r="P83" s="34"/>
      <c r="Q83" s="34"/>
      <c r="R83" s="34"/>
      <c r="S83" s="12"/>
      <c r="T83" s="12"/>
      <c r="U83" s="94"/>
      <c r="V83" s="108"/>
      <c r="W83" s="80"/>
      <c r="X83" s="82"/>
      <c r="Y83" s="82"/>
      <c r="Z83" s="80"/>
      <c r="AA83" s="80"/>
      <c r="AB83" s="80"/>
      <c r="AC83" s="80"/>
      <c r="AD83" s="98"/>
    </row>
    <row r="84" spans="2:30" s="76" customFormat="1" x14ac:dyDescent="0.2">
      <c r="B84" s="312" t="s">
        <v>4005</v>
      </c>
      <c r="C84" s="16" t="s">
        <v>4021</v>
      </c>
      <c r="D84" s="7" t="s">
        <v>4064</v>
      </c>
      <c r="E84" s="7"/>
      <c r="F84" s="6" t="s">
        <v>4065</v>
      </c>
      <c r="G84" s="6"/>
      <c r="H84" s="17">
        <v>59574.77</v>
      </c>
      <c r="I84" s="39"/>
      <c r="J84" s="7">
        <v>36789</v>
      </c>
      <c r="K84" s="7"/>
      <c r="L84" s="23"/>
      <c r="M84" s="18" t="s">
        <v>4031</v>
      </c>
      <c r="N84" s="47" t="s">
        <v>42</v>
      </c>
      <c r="O84" s="47"/>
      <c r="P84" s="47"/>
      <c r="Q84" s="47"/>
      <c r="R84" s="47"/>
      <c r="S84" s="7">
        <v>36803</v>
      </c>
      <c r="T84" s="149" t="s">
        <v>4060</v>
      </c>
      <c r="U84" s="321"/>
      <c r="V84" s="67" t="s">
        <v>4066</v>
      </c>
      <c r="W84" s="70">
        <v>651</v>
      </c>
      <c r="X84" s="75"/>
      <c r="Y84" s="75"/>
      <c r="Z84" s="70"/>
      <c r="AA84" s="74"/>
      <c r="AB84" s="70"/>
      <c r="AC84" s="70"/>
      <c r="AD84" s="98"/>
    </row>
    <row r="85" spans="2:30" s="76" customFormat="1" ht="13.5" customHeight="1" thickBot="1" x14ac:dyDescent="0.25">
      <c r="B85" s="313"/>
      <c r="C85" s="19"/>
      <c r="D85" s="5"/>
      <c r="E85" s="5"/>
      <c r="F85" s="5" t="s">
        <v>4067</v>
      </c>
      <c r="G85" s="5"/>
      <c r="H85" s="105"/>
      <c r="I85" s="21"/>
      <c r="J85" s="5"/>
      <c r="K85" s="5"/>
      <c r="L85" s="22"/>
      <c r="M85" s="5"/>
      <c r="N85" s="36"/>
      <c r="O85" s="36"/>
      <c r="P85" s="36"/>
      <c r="Q85" s="36"/>
      <c r="R85" s="36"/>
      <c r="S85" s="27" t="s">
        <v>296</v>
      </c>
      <c r="T85" s="27">
        <v>36833</v>
      </c>
      <c r="U85" s="96"/>
      <c r="V85" s="68"/>
      <c r="W85" s="87"/>
      <c r="X85" s="90"/>
      <c r="Y85" s="90"/>
      <c r="Z85" s="87"/>
      <c r="AA85" s="87"/>
      <c r="AB85" s="87"/>
      <c r="AC85" s="87"/>
      <c r="AD85" s="98"/>
    </row>
    <row r="86" spans="2:30" s="76" customFormat="1" x14ac:dyDescent="0.2">
      <c r="B86" s="314"/>
      <c r="C86" s="11"/>
      <c r="D86" s="91"/>
      <c r="E86" s="91"/>
      <c r="F86" s="12"/>
      <c r="G86" s="12"/>
      <c r="H86" s="13"/>
      <c r="I86" s="14"/>
      <c r="J86" s="12"/>
      <c r="K86" s="12"/>
      <c r="L86" s="15"/>
      <c r="M86" s="12"/>
      <c r="N86" s="34"/>
      <c r="O86" s="34"/>
      <c r="P86" s="34"/>
      <c r="Q86" s="34"/>
      <c r="R86" s="34"/>
      <c r="S86" s="12"/>
      <c r="T86" s="12"/>
      <c r="U86" s="94"/>
      <c r="V86" s="108"/>
      <c r="W86" s="80"/>
      <c r="X86" s="82"/>
      <c r="Y86" s="82"/>
      <c r="Z86" s="80"/>
      <c r="AA86" s="80"/>
      <c r="AB86" s="80"/>
      <c r="AC86" s="80"/>
      <c r="AD86" s="98"/>
    </row>
    <row r="87" spans="2:30" s="76" customFormat="1" x14ac:dyDescent="0.2">
      <c r="B87" s="312" t="s">
        <v>4005</v>
      </c>
      <c r="C87" s="16" t="s">
        <v>4021</v>
      </c>
      <c r="D87" s="7" t="s">
        <v>4068</v>
      </c>
      <c r="E87" s="7"/>
      <c r="F87" s="6" t="s">
        <v>4069</v>
      </c>
      <c r="G87" s="6"/>
      <c r="H87" s="17">
        <v>3125.05</v>
      </c>
      <c r="I87" s="39"/>
      <c r="J87" s="7">
        <v>36795</v>
      </c>
      <c r="K87" s="7"/>
      <c r="L87" s="23"/>
      <c r="M87" s="18" t="s">
        <v>4031</v>
      </c>
      <c r="N87" s="47" t="s">
        <v>42</v>
      </c>
      <c r="O87" s="47"/>
      <c r="P87" s="47"/>
      <c r="Q87" s="47"/>
      <c r="R87" s="47"/>
      <c r="S87" s="7">
        <v>36803</v>
      </c>
      <c r="T87" s="149" t="s">
        <v>4060</v>
      </c>
      <c r="U87" s="321"/>
      <c r="V87" s="67" t="s">
        <v>4070</v>
      </c>
      <c r="W87" s="70">
        <v>651</v>
      </c>
      <c r="X87" s="75"/>
      <c r="Y87" s="75"/>
      <c r="Z87" s="70"/>
      <c r="AA87" s="74"/>
      <c r="AB87" s="70"/>
      <c r="AC87" s="70"/>
      <c r="AD87" s="98"/>
    </row>
    <row r="88" spans="2:30" s="76" customFormat="1" ht="13.5" customHeight="1" thickBot="1" x14ac:dyDescent="0.25">
      <c r="B88" s="313"/>
      <c r="C88" s="19"/>
      <c r="D88" s="5"/>
      <c r="E88" s="5"/>
      <c r="F88" s="5"/>
      <c r="G88" s="5"/>
      <c r="H88" s="105"/>
      <c r="I88" s="21"/>
      <c r="J88" s="5"/>
      <c r="K88" s="5"/>
      <c r="L88" s="22"/>
      <c r="M88" s="5"/>
      <c r="N88" s="36"/>
      <c r="O88" s="36"/>
      <c r="P88" s="36"/>
      <c r="Q88" s="36"/>
      <c r="R88" s="36"/>
      <c r="S88" s="27" t="s">
        <v>296</v>
      </c>
      <c r="T88" s="27">
        <v>36833</v>
      </c>
      <c r="U88" s="96"/>
      <c r="V88" s="68"/>
      <c r="W88" s="87"/>
      <c r="X88" s="90"/>
      <c r="Y88" s="90"/>
      <c r="Z88" s="87"/>
      <c r="AA88" s="87"/>
      <c r="AB88" s="87"/>
      <c r="AC88" s="87"/>
      <c r="AD88" s="98"/>
    </row>
    <row r="89" spans="2:30" s="76" customFormat="1" x14ac:dyDescent="0.2">
      <c r="B89" s="314"/>
      <c r="C89" s="11"/>
      <c r="D89" s="91"/>
      <c r="E89" s="91"/>
      <c r="F89" s="12"/>
      <c r="G89" s="12"/>
      <c r="H89" s="148"/>
      <c r="I89" s="14"/>
      <c r="J89" s="12"/>
      <c r="K89" s="12"/>
      <c r="L89" s="15"/>
      <c r="M89" s="12"/>
      <c r="N89" s="34"/>
      <c r="O89" s="34"/>
      <c r="P89" s="34"/>
      <c r="Q89" s="34"/>
      <c r="R89" s="34"/>
      <c r="S89" s="12"/>
      <c r="T89" s="12"/>
      <c r="U89" s="94"/>
      <c r="V89" s="108"/>
      <c r="W89" s="80"/>
      <c r="X89" s="82"/>
      <c r="Y89" s="82"/>
      <c r="Z89" s="80"/>
      <c r="AA89" s="80"/>
      <c r="AB89" s="80"/>
      <c r="AC89" s="80"/>
      <c r="AD89" s="98"/>
    </row>
    <row r="90" spans="2:30" s="76" customFormat="1" x14ac:dyDescent="0.2">
      <c r="B90" s="312" t="s">
        <v>4005</v>
      </c>
      <c r="C90" s="16" t="s">
        <v>4021</v>
      </c>
      <c r="D90" s="7" t="s">
        <v>4071</v>
      </c>
      <c r="E90" s="7"/>
      <c r="F90" s="6" t="s">
        <v>4072</v>
      </c>
      <c r="G90" s="6"/>
      <c r="H90" s="17">
        <v>6834.75</v>
      </c>
      <c r="I90" s="39"/>
      <c r="J90" s="7">
        <v>36789</v>
      </c>
      <c r="K90" s="7"/>
      <c r="L90" s="23"/>
      <c r="M90" s="18" t="s">
        <v>4031</v>
      </c>
      <c r="N90" s="47" t="s">
        <v>42</v>
      </c>
      <c r="O90" s="47"/>
      <c r="P90" s="47"/>
      <c r="Q90" s="47"/>
      <c r="R90" s="47"/>
      <c r="S90" s="7">
        <v>36803</v>
      </c>
      <c r="T90" s="149" t="s">
        <v>4060</v>
      </c>
      <c r="U90" s="321"/>
      <c r="V90" s="67" t="s">
        <v>4066</v>
      </c>
      <c r="W90" s="70">
        <v>651</v>
      </c>
      <c r="X90" s="75"/>
      <c r="Y90" s="75"/>
      <c r="Z90" s="70"/>
      <c r="AA90" s="74"/>
      <c r="AB90" s="70"/>
      <c r="AC90" s="70"/>
      <c r="AD90" s="98"/>
    </row>
    <row r="91" spans="2:30" s="76" customFormat="1" ht="13.5" customHeight="1" thickBot="1" x14ac:dyDescent="0.25">
      <c r="B91" s="313"/>
      <c r="C91" s="19"/>
      <c r="D91" s="5"/>
      <c r="E91" s="5"/>
      <c r="F91" s="5" t="s">
        <v>4073</v>
      </c>
      <c r="G91" s="5"/>
      <c r="H91" s="105"/>
      <c r="I91" s="21"/>
      <c r="J91" s="5"/>
      <c r="K91" s="5"/>
      <c r="L91" s="22"/>
      <c r="M91" s="5"/>
      <c r="N91" s="36"/>
      <c r="O91" s="36"/>
      <c r="P91" s="36"/>
      <c r="Q91" s="36"/>
      <c r="R91" s="36"/>
      <c r="S91" s="27" t="s">
        <v>296</v>
      </c>
      <c r="T91" s="27">
        <v>36833</v>
      </c>
      <c r="U91" s="96"/>
      <c r="V91" s="68"/>
      <c r="W91" s="87"/>
      <c r="X91" s="90"/>
      <c r="Y91" s="90"/>
      <c r="Z91" s="87"/>
      <c r="AA91" s="87"/>
      <c r="AB91" s="87"/>
      <c r="AC91" s="87"/>
      <c r="AD91" s="98"/>
    </row>
    <row r="92" spans="2:30" s="76" customFormat="1" x14ac:dyDescent="0.2">
      <c r="B92" s="314"/>
      <c r="C92" s="11"/>
      <c r="D92" s="91"/>
      <c r="E92" s="91"/>
      <c r="F92" s="12"/>
      <c r="G92" s="12"/>
      <c r="H92" s="148"/>
      <c r="I92" s="14"/>
      <c r="J92" s="12"/>
      <c r="K92" s="12"/>
      <c r="L92" s="15"/>
      <c r="M92" s="12"/>
      <c r="N92" s="34"/>
      <c r="O92" s="34"/>
      <c r="P92" s="34"/>
      <c r="Q92" s="34"/>
      <c r="R92" s="34"/>
      <c r="S92" s="12"/>
      <c r="T92" s="12"/>
      <c r="U92" s="94"/>
      <c r="V92" s="108"/>
      <c r="W92" s="80"/>
      <c r="X92" s="82"/>
      <c r="Y92" s="82"/>
      <c r="Z92" s="80"/>
      <c r="AA92" s="80"/>
      <c r="AB92" s="80"/>
      <c r="AC92" s="80"/>
      <c r="AD92" s="98"/>
    </row>
    <row r="93" spans="2:30" s="76" customFormat="1" x14ac:dyDescent="0.2">
      <c r="B93" s="312" t="s">
        <v>4005</v>
      </c>
      <c r="C93" s="16" t="s">
        <v>4021</v>
      </c>
      <c r="D93" s="7" t="s">
        <v>4064</v>
      </c>
      <c r="E93" s="7"/>
      <c r="F93" s="6" t="s">
        <v>4065</v>
      </c>
      <c r="G93" s="6"/>
      <c r="H93" s="17">
        <v>111130.61</v>
      </c>
      <c r="I93" s="39"/>
      <c r="J93" s="7">
        <v>36789</v>
      </c>
      <c r="K93" s="7"/>
      <c r="L93" s="23"/>
      <c r="M93" s="18" t="s">
        <v>4031</v>
      </c>
      <c r="N93" s="47" t="s">
        <v>42</v>
      </c>
      <c r="O93" s="47"/>
      <c r="P93" s="47"/>
      <c r="Q93" s="47"/>
      <c r="R93" s="47"/>
      <c r="S93" s="7">
        <v>36827</v>
      </c>
      <c r="T93" s="7">
        <v>36830</v>
      </c>
      <c r="U93" s="150"/>
      <c r="V93" s="67" t="s">
        <v>4074</v>
      </c>
      <c r="W93" s="70">
        <v>664</v>
      </c>
      <c r="X93" s="75"/>
      <c r="Y93" s="75"/>
      <c r="Z93" s="70">
        <v>6671051402</v>
      </c>
      <c r="AA93" s="74"/>
      <c r="AB93" s="70"/>
      <c r="AC93" s="70"/>
      <c r="AD93" s="98"/>
    </row>
    <row r="94" spans="2:30" s="76" customFormat="1" ht="13.5" customHeight="1" thickBot="1" x14ac:dyDescent="0.25">
      <c r="B94" s="313"/>
      <c r="C94" s="19"/>
      <c r="D94" s="5"/>
      <c r="E94" s="5"/>
      <c r="F94" s="5" t="s">
        <v>4067</v>
      </c>
      <c r="G94" s="5"/>
      <c r="H94" s="105"/>
      <c r="I94" s="21"/>
      <c r="J94" s="5"/>
      <c r="K94" s="5"/>
      <c r="L94" s="22"/>
      <c r="M94" s="5"/>
      <c r="N94" s="36"/>
      <c r="O94" s="36"/>
      <c r="P94" s="36"/>
      <c r="Q94" s="36"/>
      <c r="R94" s="36"/>
      <c r="S94" s="27" t="s">
        <v>296</v>
      </c>
      <c r="T94" s="27"/>
      <c r="U94" s="96"/>
      <c r="V94" s="68" t="s">
        <v>4075</v>
      </c>
      <c r="W94" s="87"/>
      <c r="X94" s="90"/>
      <c r="Y94" s="90"/>
      <c r="Z94" s="87"/>
      <c r="AA94" s="87"/>
      <c r="AB94" s="87"/>
      <c r="AC94" s="87"/>
      <c r="AD94" s="98"/>
    </row>
    <row r="95" spans="2:30" s="76" customFormat="1" x14ac:dyDescent="0.2">
      <c r="B95" s="314"/>
      <c r="C95" s="11"/>
      <c r="D95" s="91"/>
      <c r="E95" s="91"/>
      <c r="F95" s="12"/>
      <c r="G95" s="12"/>
      <c r="H95" s="148"/>
      <c r="I95" s="14"/>
      <c r="J95" s="12"/>
      <c r="K95" s="12"/>
      <c r="L95" s="15"/>
      <c r="M95" s="12"/>
      <c r="N95" s="34"/>
      <c r="O95" s="34"/>
      <c r="P95" s="34"/>
      <c r="Q95" s="34"/>
      <c r="R95" s="34"/>
      <c r="S95" s="12"/>
      <c r="T95" s="12"/>
      <c r="U95" s="94"/>
      <c r="V95" s="108"/>
      <c r="W95" s="80"/>
      <c r="X95" s="82"/>
      <c r="Y95" s="82"/>
      <c r="Z95" s="80"/>
      <c r="AA95" s="80"/>
      <c r="AB95" s="80"/>
      <c r="AC95" s="80"/>
      <c r="AD95" s="98"/>
    </row>
    <row r="96" spans="2:30" s="76" customFormat="1" x14ac:dyDescent="0.2">
      <c r="B96" s="312" t="s">
        <v>4005</v>
      </c>
      <c r="C96" s="16" t="s">
        <v>4021</v>
      </c>
      <c r="D96" s="7" t="s">
        <v>4071</v>
      </c>
      <c r="E96" s="7"/>
      <c r="F96" s="6" t="s">
        <v>4072</v>
      </c>
      <c r="G96" s="6"/>
      <c r="H96" s="17">
        <v>17803.27</v>
      </c>
      <c r="I96" s="39"/>
      <c r="J96" s="7">
        <v>36789</v>
      </c>
      <c r="K96" s="7"/>
      <c r="L96" s="23"/>
      <c r="M96" s="18" t="s">
        <v>4031</v>
      </c>
      <c r="N96" s="47" t="s">
        <v>42</v>
      </c>
      <c r="O96" s="47"/>
      <c r="P96" s="47"/>
      <c r="Q96" s="47"/>
      <c r="R96" s="47"/>
      <c r="S96" s="7">
        <v>36827</v>
      </c>
      <c r="T96" s="7">
        <v>36830</v>
      </c>
      <c r="U96" s="150"/>
      <c r="V96" s="67" t="s">
        <v>4074</v>
      </c>
      <c r="W96" s="70">
        <v>664</v>
      </c>
      <c r="X96" s="75"/>
      <c r="Y96" s="75"/>
      <c r="Z96" s="70">
        <v>6671051402</v>
      </c>
      <c r="AA96" s="74"/>
      <c r="AB96" s="70"/>
      <c r="AC96" s="70"/>
      <c r="AD96" s="98"/>
    </row>
    <row r="97" spans="2:30" s="76" customFormat="1" ht="13.5" customHeight="1" thickBot="1" x14ac:dyDescent="0.25">
      <c r="B97" s="313"/>
      <c r="C97" s="19"/>
      <c r="D97" s="5"/>
      <c r="E97" s="5"/>
      <c r="F97" s="5" t="s">
        <v>4073</v>
      </c>
      <c r="G97" s="5"/>
      <c r="H97" s="105"/>
      <c r="I97" s="21"/>
      <c r="J97" s="5"/>
      <c r="K97" s="5"/>
      <c r="L97" s="22"/>
      <c r="M97" s="5"/>
      <c r="N97" s="36"/>
      <c r="O97" s="36"/>
      <c r="P97" s="36"/>
      <c r="Q97" s="36"/>
      <c r="R97" s="36"/>
      <c r="S97" s="27" t="s">
        <v>296</v>
      </c>
      <c r="T97" s="5"/>
      <c r="U97" s="68"/>
      <c r="V97" s="68" t="s">
        <v>4075</v>
      </c>
      <c r="W97" s="87"/>
      <c r="X97" s="90"/>
      <c r="Y97" s="90"/>
      <c r="Z97" s="87"/>
      <c r="AA97" s="87"/>
      <c r="AB97" s="87"/>
      <c r="AC97" s="87"/>
      <c r="AD97" s="98"/>
    </row>
    <row r="98" spans="2:30" s="76" customFormat="1" x14ac:dyDescent="0.2">
      <c r="B98" s="314"/>
      <c r="C98" s="97"/>
      <c r="D98" s="154"/>
      <c r="E98" s="154"/>
      <c r="F98" s="94"/>
      <c r="G98" s="94"/>
      <c r="H98" s="155"/>
      <c r="I98" s="156"/>
      <c r="J98" s="94"/>
      <c r="K98" s="94"/>
      <c r="L98" s="157"/>
      <c r="M98" s="94"/>
      <c r="N98" s="66"/>
      <c r="O98" s="66"/>
      <c r="P98" s="66"/>
      <c r="Q98" s="66"/>
      <c r="R98" s="66"/>
      <c r="S98" s="91"/>
      <c r="T98" s="94"/>
      <c r="U98" s="94"/>
      <c r="V98" s="108"/>
      <c r="W98" s="108"/>
      <c r="X98" s="158"/>
      <c r="Y98" s="158"/>
      <c r="Z98" s="108"/>
      <c r="AA98" s="108"/>
      <c r="AB98" s="108"/>
      <c r="AC98" s="108"/>
      <c r="AD98" s="98"/>
    </row>
    <row r="99" spans="2:30" s="76" customFormat="1" x14ac:dyDescent="0.2">
      <c r="B99" s="312" t="s">
        <v>4005</v>
      </c>
      <c r="C99" s="16" t="s">
        <v>4021</v>
      </c>
      <c r="D99" s="150"/>
      <c r="E99" s="150"/>
      <c r="F99" s="6" t="s">
        <v>4076</v>
      </c>
      <c r="G99" s="67"/>
      <c r="H99" s="159">
        <v>1777.68</v>
      </c>
      <c r="I99" s="160"/>
      <c r="J99" s="150">
        <v>36795</v>
      </c>
      <c r="K99" s="150"/>
      <c r="L99" s="151"/>
      <c r="M99" s="161"/>
      <c r="N99" s="10"/>
      <c r="O99" s="10"/>
      <c r="P99" s="10"/>
      <c r="Q99" s="10"/>
      <c r="R99" s="10"/>
      <c r="S99" s="162">
        <v>36851</v>
      </c>
      <c r="T99" s="150">
        <v>37216</v>
      </c>
      <c r="U99" s="150"/>
      <c r="V99" s="67" t="s">
        <v>347</v>
      </c>
      <c r="W99" s="163" t="s">
        <v>4077</v>
      </c>
      <c r="X99" s="164"/>
      <c r="Y99" s="164"/>
      <c r="Z99" s="163"/>
      <c r="AA99" s="163"/>
      <c r="AB99" s="163"/>
      <c r="AC99" s="163"/>
      <c r="AD99" s="98"/>
    </row>
    <row r="100" spans="2:30" s="76" customFormat="1" ht="13.5" customHeight="1" thickBot="1" x14ac:dyDescent="0.25">
      <c r="B100" s="313"/>
      <c r="C100" s="165"/>
      <c r="D100" s="68"/>
      <c r="E100" s="68"/>
      <c r="F100" s="5"/>
      <c r="G100" s="68"/>
      <c r="H100" s="530"/>
      <c r="I100" s="166"/>
      <c r="J100" s="68"/>
      <c r="K100" s="68"/>
      <c r="L100" s="167"/>
      <c r="M100" s="68"/>
      <c r="N100" s="50"/>
      <c r="O100" s="50"/>
      <c r="P100" s="50"/>
      <c r="Q100" s="50"/>
      <c r="R100" s="50"/>
      <c r="S100" s="5"/>
      <c r="T100" s="68"/>
      <c r="U100" s="68"/>
      <c r="V100" s="68" t="s">
        <v>4078</v>
      </c>
      <c r="W100" s="110"/>
      <c r="X100" s="168"/>
      <c r="Y100" s="168"/>
      <c r="Z100" s="110"/>
      <c r="AA100" s="110"/>
      <c r="AB100" s="110"/>
      <c r="AC100" s="110"/>
      <c r="AD100" s="98"/>
    </row>
    <row r="101" spans="2:30" s="76" customFormat="1" x14ac:dyDescent="0.2">
      <c r="B101" s="314"/>
      <c r="C101" s="11"/>
      <c r="D101" s="91"/>
      <c r="E101" s="91"/>
      <c r="F101" s="12"/>
      <c r="G101" s="12"/>
      <c r="H101" s="13"/>
      <c r="I101" s="14"/>
      <c r="J101" s="12"/>
      <c r="K101" s="12"/>
      <c r="L101" s="15"/>
      <c r="M101" s="12"/>
      <c r="N101" s="34"/>
      <c r="O101" s="34"/>
      <c r="P101" s="34"/>
      <c r="Q101" s="34"/>
      <c r="R101" s="34"/>
      <c r="S101" s="91"/>
      <c r="T101" s="12"/>
      <c r="U101" s="94"/>
      <c r="V101" s="108"/>
      <c r="W101" s="80"/>
      <c r="X101" s="82"/>
      <c r="Y101" s="82"/>
      <c r="Z101" s="80"/>
      <c r="AA101" s="80"/>
      <c r="AB101" s="80"/>
      <c r="AC101" s="80"/>
      <c r="AD101" s="98"/>
    </row>
    <row r="102" spans="2:30" s="76" customFormat="1" x14ac:dyDescent="0.2">
      <c r="B102" s="312" t="s">
        <v>4005</v>
      </c>
      <c r="C102" s="16" t="s">
        <v>4021</v>
      </c>
      <c r="D102" s="7"/>
      <c r="E102" s="7"/>
      <c r="F102" s="6" t="s">
        <v>4079</v>
      </c>
      <c r="G102" s="6"/>
      <c r="H102" s="17">
        <v>42453.86</v>
      </c>
      <c r="I102" s="39"/>
      <c r="J102" s="7">
        <v>36690</v>
      </c>
      <c r="K102" s="7"/>
      <c r="L102" s="23"/>
      <c r="M102" s="18"/>
      <c r="N102" s="47"/>
      <c r="O102" s="47"/>
      <c r="P102" s="47"/>
      <c r="Q102" s="47"/>
      <c r="R102" s="47"/>
      <c r="S102" s="162">
        <v>36889</v>
      </c>
      <c r="T102" s="7">
        <v>36890</v>
      </c>
      <c r="U102" s="150"/>
      <c r="V102" s="67" t="s">
        <v>347</v>
      </c>
      <c r="W102" s="70" t="s">
        <v>4080</v>
      </c>
      <c r="X102" s="75"/>
      <c r="Y102" s="75"/>
      <c r="Z102" s="70"/>
      <c r="AA102" s="70"/>
      <c r="AB102" s="70"/>
      <c r="AC102" s="70"/>
      <c r="AD102" s="98"/>
    </row>
    <row r="103" spans="2:30" s="76" customFormat="1" ht="13.5" customHeight="1" thickBot="1" x14ac:dyDescent="0.25">
      <c r="B103" s="313"/>
      <c r="C103" s="19"/>
      <c r="D103" s="5"/>
      <c r="E103" s="5"/>
      <c r="F103" s="5"/>
      <c r="G103" s="5"/>
      <c r="H103" s="105"/>
      <c r="I103" s="21"/>
      <c r="J103" s="5"/>
      <c r="K103" s="5"/>
      <c r="L103" s="22"/>
      <c r="M103" s="5"/>
      <c r="N103" s="36"/>
      <c r="O103" s="36"/>
      <c r="P103" s="36"/>
      <c r="Q103" s="36"/>
      <c r="R103" s="36"/>
      <c r="S103" s="5"/>
      <c r="T103" s="5"/>
      <c r="U103" s="68"/>
      <c r="V103" s="68" t="s">
        <v>4081</v>
      </c>
      <c r="W103" s="87"/>
      <c r="X103" s="90"/>
      <c r="Y103" s="90"/>
      <c r="Z103" s="87"/>
      <c r="AA103" s="87"/>
      <c r="AB103" s="87"/>
      <c r="AC103" s="87"/>
      <c r="AD103" s="98"/>
    </row>
    <row r="104" spans="2:30" s="76" customFormat="1" x14ac:dyDescent="0.2">
      <c r="B104" s="314"/>
      <c r="C104" s="97"/>
      <c r="D104" s="154"/>
      <c r="E104" s="154"/>
      <c r="F104" s="94"/>
      <c r="G104" s="94"/>
      <c r="H104" s="155"/>
      <c r="I104" s="156"/>
      <c r="J104" s="94"/>
      <c r="K104" s="94"/>
      <c r="L104" s="157"/>
      <c r="M104" s="94"/>
      <c r="N104" s="66"/>
      <c r="O104" s="66"/>
      <c r="P104" s="66"/>
      <c r="Q104" s="66"/>
      <c r="R104" s="66"/>
      <c r="S104" s="91"/>
      <c r="T104" s="94"/>
      <c r="U104" s="94"/>
      <c r="V104" s="108"/>
      <c r="W104" s="108"/>
      <c r="X104" s="158"/>
      <c r="Y104" s="158"/>
      <c r="Z104" s="108"/>
      <c r="AA104" s="108"/>
      <c r="AB104" s="108"/>
      <c r="AC104" s="108"/>
      <c r="AD104" s="98"/>
    </row>
    <row r="105" spans="2:30" s="76" customFormat="1" x14ac:dyDescent="0.2">
      <c r="B105" s="312" t="s">
        <v>4005</v>
      </c>
      <c r="C105" s="16" t="s">
        <v>4021</v>
      </c>
      <c r="D105" s="150"/>
      <c r="E105" s="150"/>
      <c r="F105" s="6" t="s">
        <v>4082</v>
      </c>
      <c r="G105" s="67"/>
      <c r="H105" s="159">
        <v>30582.5</v>
      </c>
      <c r="I105" s="160"/>
      <c r="J105" s="150">
        <v>36795</v>
      </c>
      <c r="K105" s="150"/>
      <c r="L105" s="151"/>
      <c r="M105" s="161"/>
      <c r="N105" s="10"/>
      <c r="O105" s="10"/>
      <c r="P105" s="10"/>
      <c r="Q105" s="10"/>
      <c r="R105" s="10"/>
      <c r="S105" s="162">
        <v>36889</v>
      </c>
      <c r="T105" s="150">
        <v>36890</v>
      </c>
      <c r="U105" s="150"/>
      <c r="V105" s="67" t="s">
        <v>347</v>
      </c>
      <c r="W105" s="163" t="s">
        <v>4083</v>
      </c>
      <c r="X105" s="164"/>
      <c r="Y105" s="164"/>
      <c r="Z105" s="163"/>
      <c r="AA105" s="163"/>
      <c r="AB105" s="163"/>
      <c r="AC105" s="163"/>
      <c r="AD105" s="98"/>
    </row>
    <row r="106" spans="2:30" s="76" customFormat="1" ht="13.5" customHeight="1" thickBot="1" x14ac:dyDescent="0.25">
      <c r="B106" s="313"/>
      <c r="C106" s="165"/>
      <c r="D106" s="68"/>
      <c r="E106" s="68"/>
      <c r="F106" s="5"/>
      <c r="G106" s="68"/>
      <c r="H106" s="530"/>
      <c r="I106" s="166"/>
      <c r="J106" s="68"/>
      <c r="K106" s="68"/>
      <c r="L106" s="167"/>
      <c r="M106" s="68"/>
      <c r="N106" s="50"/>
      <c r="O106" s="50"/>
      <c r="P106" s="50"/>
      <c r="Q106" s="50"/>
      <c r="R106" s="50"/>
      <c r="S106" s="5"/>
      <c r="T106" s="68"/>
      <c r="U106" s="68"/>
      <c r="V106" s="68" t="s">
        <v>4084</v>
      </c>
      <c r="W106" s="110"/>
      <c r="X106" s="168"/>
      <c r="Y106" s="168"/>
      <c r="Z106" s="110"/>
      <c r="AA106" s="110"/>
      <c r="AB106" s="110"/>
      <c r="AC106" s="110"/>
      <c r="AD106" s="98"/>
    </row>
    <row r="107" spans="2:30" s="76" customFormat="1" x14ac:dyDescent="0.2">
      <c r="B107" s="314"/>
      <c r="C107" s="97"/>
      <c r="D107" s="154"/>
      <c r="E107" s="154"/>
      <c r="F107" s="94"/>
      <c r="G107" s="94"/>
      <c r="H107" s="155"/>
      <c r="I107" s="156"/>
      <c r="J107" s="94"/>
      <c r="K107" s="94"/>
      <c r="L107" s="157"/>
      <c r="M107" s="94"/>
      <c r="N107" s="66"/>
      <c r="O107" s="66"/>
      <c r="P107" s="66"/>
      <c r="Q107" s="66"/>
      <c r="R107" s="66"/>
      <c r="S107" s="91"/>
      <c r="T107" s="94"/>
      <c r="U107" s="94"/>
      <c r="V107" s="108"/>
      <c r="W107" s="108"/>
      <c r="X107" s="158"/>
      <c r="Y107" s="158"/>
      <c r="Z107" s="108"/>
      <c r="AA107" s="108"/>
      <c r="AB107" s="108"/>
      <c r="AC107" s="108"/>
      <c r="AD107" s="98"/>
    </row>
    <row r="108" spans="2:30" s="76" customFormat="1" x14ac:dyDescent="0.2">
      <c r="B108" s="312" t="s">
        <v>4005</v>
      </c>
      <c r="C108" s="16" t="s">
        <v>4021</v>
      </c>
      <c r="D108" s="150"/>
      <c r="E108" s="150"/>
      <c r="F108" s="6" t="s">
        <v>4085</v>
      </c>
      <c r="G108" s="67"/>
      <c r="H108" s="159">
        <v>586.5</v>
      </c>
      <c r="I108" s="160"/>
      <c r="J108" s="150">
        <v>36853</v>
      </c>
      <c r="K108" s="150"/>
      <c r="L108" s="151"/>
      <c r="M108" s="161"/>
      <c r="N108" s="10"/>
      <c r="O108" s="10"/>
      <c r="P108" s="10"/>
      <c r="Q108" s="10"/>
      <c r="R108" s="10"/>
      <c r="S108" s="162">
        <v>36889</v>
      </c>
      <c r="T108" s="150">
        <v>36895</v>
      </c>
      <c r="U108" s="150"/>
      <c r="V108" s="67" t="s">
        <v>347</v>
      </c>
      <c r="W108" s="163" t="s">
        <v>4086</v>
      </c>
      <c r="X108" s="164"/>
      <c r="Y108" s="164"/>
      <c r="Z108" s="163"/>
      <c r="AA108" s="163"/>
      <c r="AB108" s="163"/>
      <c r="AC108" s="163"/>
      <c r="AD108" s="98"/>
    </row>
    <row r="109" spans="2:30" s="76" customFormat="1" ht="13.5" customHeight="1" thickBot="1" x14ac:dyDescent="0.25">
      <c r="B109" s="313"/>
      <c r="C109" s="165"/>
      <c r="D109" s="68"/>
      <c r="E109" s="68"/>
      <c r="F109" s="5"/>
      <c r="G109" s="68"/>
      <c r="H109" s="530"/>
      <c r="I109" s="166"/>
      <c r="J109" s="68"/>
      <c r="K109" s="68"/>
      <c r="L109" s="167"/>
      <c r="M109" s="68"/>
      <c r="N109" s="50"/>
      <c r="O109" s="50"/>
      <c r="P109" s="50"/>
      <c r="Q109" s="50"/>
      <c r="R109" s="50"/>
      <c r="S109" s="5"/>
      <c r="T109" s="68"/>
      <c r="U109" s="68"/>
      <c r="V109" s="68" t="s">
        <v>4087</v>
      </c>
      <c r="W109" s="110"/>
      <c r="X109" s="168"/>
      <c r="Y109" s="168"/>
      <c r="Z109" s="110"/>
      <c r="AA109" s="110"/>
      <c r="AB109" s="110"/>
      <c r="AC109" s="110"/>
      <c r="AD109" s="98"/>
    </row>
    <row r="110" spans="2:30" s="76" customFormat="1" x14ac:dyDescent="0.2">
      <c r="B110" s="314"/>
      <c r="C110" s="11"/>
      <c r="D110" s="91"/>
      <c r="E110" s="91"/>
      <c r="F110" s="12"/>
      <c r="G110" s="12"/>
      <c r="H110" s="148"/>
      <c r="I110" s="14"/>
      <c r="J110" s="12"/>
      <c r="K110" s="12"/>
      <c r="L110" s="15"/>
      <c r="M110" s="12"/>
      <c r="N110" s="34"/>
      <c r="O110" s="34"/>
      <c r="P110" s="34"/>
      <c r="Q110" s="34"/>
      <c r="R110" s="34"/>
      <c r="S110" s="12"/>
      <c r="T110" s="12"/>
      <c r="U110" s="94"/>
      <c r="V110" s="108"/>
      <c r="W110" s="80"/>
      <c r="X110" s="82"/>
      <c r="Y110" s="82"/>
      <c r="Z110" s="80"/>
      <c r="AA110" s="80"/>
      <c r="AB110" s="80"/>
      <c r="AC110" s="80"/>
      <c r="AD110" s="98"/>
    </row>
    <row r="111" spans="2:30" s="76" customFormat="1" x14ac:dyDescent="0.2">
      <c r="B111" s="312" t="s">
        <v>4005</v>
      </c>
      <c r="C111" s="16" t="s">
        <v>4021</v>
      </c>
      <c r="D111" s="7" t="s">
        <v>4064</v>
      </c>
      <c r="E111" s="7"/>
      <c r="F111" s="6" t="s">
        <v>4065</v>
      </c>
      <c r="G111" s="6"/>
      <c r="H111" s="17">
        <v>10805.81</v>
      </c>
      <c r="I111" s="39"/>
      <c r="J111" s="7">
        <v>36789</v>
      </c>
      <c r="K111" s="7"/>
      <c r="L111" s="23"/>
      <c r="M111" s="18" t="s">
        <v>4031</v>
      </c>
      <c r="N111" s="47" t="s">
        <v>42</v>
      </c>
      <c r="O111" s="47"/>
      <c r="P111" s="47"/>
      <c r="Q111" s="47"/>
      <c r="R111" s="47"/>
      <c r="S111" s="7">
        <v>36865</v>
      </c>
      <c r="T111" s="7">
        <v>36894</v>
      </c>
      <c r="U111" s="150"/>
      <c r="V111" s="67" t="s">
        <v>4088</v>
      </c>
      <c r="W111" s="70">
        <v>678</v>
      </c>
      <c r="X111" s="75"/>
      <c r="Y111" s="75"/>
      <c r="Z111" s="70" t="s">
        <v>4089</v>
      </c>
      <c r="AA111" s="74"/>
      <c r="AB111" s="70"/>
      <c r="AC111" s="70"/>
      <c r="AD111" s="98"/>
    </row>
    <row r="112" spans="2:30" s="76" customFormat="1" ht="13.5" customHeight="1" thickBot="1" x14ac:dyDescent="0.25">
      <c r="B112" s="313"/>
      <c r="C112" s="19"/>
      <c r="D112" s="5"/>
      <c r="E112" s="5"/>
      <c r="F112" s="5" t="s">
        <v>4067</v>
      </c>
      <c r="G112" s="5"/>
      <c r="H112" s="105"/>
      <c r="I112" s="21"/>
      <c r="J112" s="5"/>
      <c r="K112" s="5"/>
      <c r="L112" s="22"/>
      <c r="M112" s="5"/>
      <c r="N112" s="36"/>
      <c r="O112" s="36"/>
      <c r="P112" s="36"/>
      <c r="Q112" s="36"/>
      <c r="R112" s="36"/>
      <c r="S112" s="27" t="s">
        <v>296</v>
      </c>
      <c r="T112" s="27" t="s">
        <v>4090</v>
      </c>
      <c r="U112" s="96"/>
      <c r="V112" s="68"/>
      <c r="W112" s="87"/>
      <c r="X112" s="90"/>
      <c r="Y112" s="90"/>
      <c r="Z112" s="87"/>
      <c r="AA112" s="87"/>
      <c r="AB112" s="87"/>
      <c r="AC112" s="87"/>
      <c r="AD112" s="98"/>
    </row>
    <row r="113" spans="2:30" s="76" customFormat="1" x14ac:dyDescent="0.2">
      <c r="B113" s="314"/>
      <c r="C113" s="11"/>
      <c r="D113" s="91"/>
      <c r="E113" s="91"/>
      <c r="F113" s="12"/>
      <c r="G113" s="12"/>
      <c r="H113" s="148"/>
      <c r="I113" s="14"/>
      <c r="J113" s="12"/>
      <c r="K113" s="12"/>
      <c r="L113" s="15"/>
      <c r="M113" s="12"/>
      <c r="N113" s="34"/>
      <c r="O113" s="34"/>
      <c r="P113" s="34"/>
      <c r="Q113" s="34"/>
      <c r="R113" s="34"/>
      <c r="S113" s="12"/>
      <c r="T113" s="12"/>
      <c r="U113" s="94"/>
      <c r="V113" s="108"/>
      <c r="W113" s="80"/>
      <c r="X113" s="82"/>
      <c r="Y113" s="82"/>
      <c r="Z113" s="80"/>
      <c r="AA113" s="80"/>
      <c r="AB113" s="80"/>
      <c r="AC113" s="80"/>
      <c r="AD113" s="98"/>
    </row>
    <row r="114" spans="2:30" s="76" customFormat="1" x14ac:dyDescent="0.2">
      <c r="B114" s="312" t="s">
        <v>4005</v>
      </c>
      <c r="C114" s="16" t="s">
        <v>4021</v>
      </c>
      <c r="D114" s="7" t="s">
        <v>4071</v>
      </c>
      <c r="E114" s="7"/>
      <c r="F114" s="6" t="s">
        <v>4072</v>
      </c>
      <c r="G114" s="6"/>
      <c r="H114" s="17">
        <v>2155.8000000000002</v>
      </c>
      <c r="I114" s="39"/>
      <c r="J114" s="7">
        <v>36789</v>
      </c>
      <c r="K114" s="7"/>
      <c r="L114" s="23"/>
      <c r="M114" s="18" t="s">
        <v>4031</v>
      </c>
      <c r="N114" s="47" t="s">
        <v>42</v>
      </c>
      <c r="O114" s="47"/>
      <c r="P114" s="47"/>
      <c r="Q114" s="47"/>
      <c r="R114" s="47"/>
      <c r="S114" s="7">
        <v>36865</v>
      </c>
      <c r="T114" s="7">
        <v>36894</v>
      </c>
      <c r="U114" s="150"/>
      <c r="V114" s="67" t="s">
        <v>4088</v>
      </c>
      <c r="W114" s="70">
        <v>678</v>
      </c>
      <c r="X114" s="75"/>
      <c r="Y114" s="75"/>
      <c r="Z114" s="70" t="s">
        <v>4089</v>
      </c>
      <c r="AA114" s="74"/>
      <c r="AB114" s="70"/>
      <c r="AC114" s="70"/>
      <c r="AD114" s="98"/>
    </row>
    <row r="115" spans="2:30" s="76" customFormat="1" ht="13.5" customHeight="1" thickBot="1" x14ac:dyDescent="0.25">
      <c r="B115" s="313"/>
      <c r="C115" s="19"/>
      <c r="D115" s="5"/>
      <c r="E115" s="5"/>
      <c r="F115" s="5" t="s">
        <v>4073</v>
      </c>
      <c r="G115" s="5"/>
      <c r="H115" s="105"/>
      <c r="I115" s="21"/>
      <c r="J115" s="5"/>
      <c r="K115" s="5"/>
      <c r="L115" s="22"/>
      <c r="M115" s="5"/>
      <c r="N115" s="36"/>
      <c r="O115" s="36"/>
      <c r="P115" s="36"/>
      <c r="Q115" s="36"/>
      <c r="R115" s="36"/>
      <c r="S115" s="27" t="s">
        <v>296</v>
      </c>
      <c r="T115" s="5" t="s">
        <v>4090</v>
      </c>
      <c r="U115" s="68"/>
      <c r="V115" s="68"/>
      <c r="W115" s="87"/>
      <c r="X115" s="90"/>
      <c r="Y115" s="90"/>
      <c r="Z115" s="87"/>
      <c r="AA115" s="87"/>
      <c r="AB115" s="87"/>
      <c r="AC115" s="87"/>
      <c r="AD115" s="98"/>
    </row>
    <row r="116" spans="2:30" s="76" customFormat="1" x14ac:dyDescent="0.2">
      <c r="B116" s="314"/>
      <c r="C116" s="11"/>
      <c r="D116" s="91"/>
      <c r="E116" s="91"/>
      <c r="F116" s="12"/>
      <c r="G116" s="12"/>
      <c r="H116" s="148"/>
      <c r="I116" s="14"/>
      <c r="J116" s="12"/>
      <c r="K116" s="12"/>
      <c r="L116" s="15"/>
      <c r="M116" s="12"/>
      <c r="N116" s="34"/>
      <c r="O116" s="34"/>
      <c r="P116" s="34"/>
      <c r="Q116" s="34"/>
      <c r="R116" s="34"/>
      <c r="S116" s="12"/>
      <c r="T116" s="152"/>
      <c r="U116" s="322"/>
      <c r="V116" s="108"/>
      <c r="W116" s="80"/>
      <c r="X116" s="82"/>
      <c r="Y116" s="82"/>
      <c r="Z116" s="80"/>
      <c r="AA116" s="80"/>
      <c r="AB116" s="80"/>
      <c r="AC116" s="80"/>
      <c r="AD116" s="98"/>
    </row>
    <row r="117" spans="2:30" s="76" customFormat="1" x14ac:dyDescent="0.2">
      <c r="B117" s="312" t="s">
        <v>4005</v>
      </c>
      <c r="C117" s="16" t="s">
        <v>4021</v>
      </c>
      <c r="D117" s="7" t="s">
        <v>4058</v>
      </c>
      <c r="E117" s="7"/>
      <c r="F117" s="6" t="s">
        <v>4059</v>
      </c>
      <c r="G117" s="6"/>
      <c r="H117" s="17">
        <v>4454.6899999999996</v>
      </c>
      <c r="I117" s="39"/>
      <c r="J117" s="7">
        <v>36777</v>
      </c>
      <c r="K117" s="7"/>
      <c r="L117" s="23"/>
      <c r="M117" s="18" t="s">
        <v>4031</v>
      </c>
      <c r="N117" s="47" t="s">
        <v>42</v>
      </c>
      <c r="O117" s="47"/>
      <c r="P117" s="47"/>
      <c r="Q117" s="47"/>
      <c r="R117" s="47"/>
      <c r="S117" s="7">
        <v>36865</v>
      </c>
      <c r="T117" s="7">
        <v>36894</v>
      </c>
      <c r="U117" s="150"/>
      <c r="V117" s="67" t="s">
        <v>4088</v>
      </c>
      <c r="W117" s="70">
        <v>678</v>
      </c>
      <c r="X117" s="75"/>
      <c r="Y117" s="75"/>
      <c r="Z117" s="70" t="s">
        <v>4089</v>
      </c>
      <c r="AA117" s="74"/>
      <c r="AB117" s="70"/>
      <c r="AC117" s="70"/>
      <c r="AD117" s="98"/>
    </row>
    <row r="118" spans="2:30" s="76" customFormat="1" ht="13.5" customHeight="1" thickBot="1" x14ac:dyDescent="0.25">
      <c r="B118" s="313"/>
      <c r="C118" s="19"/>
      <c r="D118" s="5"/>
      <c r="E118" s="5"/>
      <c r="F118" s="5" t="s">
        <v>4062</v>
      </c>
      <c r="G118" s="5"/>
      <c r="H118" s="105"/>
      <c r="I118" s="21"/>
      <c r="J118" s="5"/>
      <c r="K118" s="5"/>
      <c r="L118" s="22"/>
      <c r="M118" s="5"/>
      <c r="N118" s="36"/>
      <c r="O118" s="36"/>
      <c r="P118" s="36"/>
      <c r="Q118" s="36"/>
      <c r="R118" s="36"/>
      <c r="S118" s="27" t="s">
        <v>296</v>
      </c>
      <c r="T118" s="27" t="s">
        <v>4090</v>
      </c>
      <c r="U118" s="96"/>
      <c r="V118" s="167"/>
      <c r="W118" s="87"/>
      <c r="X118" s="90"/>
      <c r="Y118" s="90"/>
      <c r="Z118" s="87"/>
      <c r="AA118" s="87"/>
      <c r="AB118" s="87"/>
      <c r="AC118" s="87"/>
      <c r="AD118" s="98"/>
    </row>
    <row r="119" spans="2:30" s="76" customFormat="1" x14ac:dyDescent="0.2">
      <c r="B119" s="314"/>
      <c r="C119" s="11"/>
      <c r="D119" s="91"/>
      <c r="E119" s="91"/>
      <c r="F119" s="12"/>
      <c r="G119" s="12"/>
      <c r="H119" s="148"/>
      <c r="I119" s="14"/>
      <c r="J119" s="12"/>
      <c r="K119" s="12"/>
      <c r="L119" s="15"/>
      <c r="M119" s="12"/>
      <c r="N119" s="34"/>
      <c r="O119" s="34"/>
      <c r="P119" s="34"/>
      <c r="Q119" s="34"/>
      <c r="R119" s="34"/>
      <c r="S119" s="12"/>
      <c r="T119" s="12"/>
      <c r="U119" s="94"/>
      <c r="V119" s="108"/>
      <c r="W119" s="80"/>
      <c r="X119" s="82"/>
      <c r="Y119" s="82"/>
      <c r="Z119" s="80"/>
      <c r="AA119" s="80"/>
      <c r="AB119" s="80"/>
      <c r="AC119" s="80"/>
      <c r="AD119" s="98"/>
    </row>
    <row r="120" spans="2:30" s="76" customFormat="1" x14ac:dyDescent="0.2">
      <c r="B120" s="312" t="s">
        <v>4005</v>
      </c>
      <c r="C120" s="16" t="s">
        <v>4021</v>
      </c>
      <c r="D120" s="7" t="s">
        <v>4091</v>
      </c>
      <c r="E120" s="7"/>
      <c r="F120" s="6" t="s">
        <v>4085</v>
      </c>
      <c r="G120" s="6"/>
      <c r="H120" s="17">
        <v>10282.08</v>
      </c>
      <c r="I120" s="39"/>
      <c r="J120" s="7">
        <v>36853</v>
      </c>
      <c r="K120" s="7"/>
      <c r="L120" s="23"/>
      <c r="M120" s="18" t="s">
        <v>4031</v>
      </c>
      <c r="N120" s="47" t="s">
        <v>42</v>
      </c>
      <c r="O120" s="47"/>
      <c r="P120" s="47"/>
      <c r="Q120" s="47"/>
      <c r="R120" s="47"/>
      <c r="S120" s="7">
        <v>36865</v>
      </c>
      <c r="T120" s="7">
        <v>36894</v>
      </c>
      <c r="U120" s="150"/>
      <c r="V120" s="67" t="s">
        <v>4088</v>
      </c>
      <c r="W120" s="70">
        <v>678</v>
      </c>
      <c r="X120" s="75"/>
      <c r="Y120" s="75"/>
      <c r="Z120" s="70" t="s">
        <v>4089</v>
      </c>
      <c r="AA120" s="74"/>
      <c r="AB120" s="70"/>
      <c r="AC120" s="70"/>
      <c r="AD120" s="98"/>
    </row>
    <row r="121" spans="2:30" s="76" customFormat="1" ht="13.5" customHeight="1" thickBot="1" x14ac:dyDescent="0.25">
      <c r="B121" s="313"/>
      <c r="C121" s="19"/>
      <c r="D121" s="5"/>
      <c r="E121" s="5"/>
      <c r="F121" s="5"/>
      <c r="G121" s="5"/>
      <c r="H121" s="105"/>
      <c r="I121" s="21"/>
      <c r="J121" s="5"/>
      <c r="K121" s="5"/>
      <c r="L121" s="22"/>
      <c r="M121" s="5"/>
      <c r="N121" s="36"/>
      <c r="O121" s="36"/>
      <c r="P121" s="36"/>
      <c r="Q121" s="36"/>
      <c r="R121" s="36"/>
      <c r="S121" s="27" t="s">
        <v>296</v>
      </c>
      <c r="T121" s="5" t="s">
        <v>4090</v>
      </c>
      <c r="U121" s="68"/>
      <c r="V121" s="68"/>
      <c r="W121" s="87"/>
      <c r="X121" s="90"/>
      <c r="Y121" s="90"/>
      <c r="Z121" s="87"/>
      <c r="AA121" s="87"/>
      <c r="AB121" s="87"/>
      <c r="AC121" s="87"/>
      <c r="AD121" s="98"/>
    </row>
    <row r="122" spans="2:30" s="76" customFormat="1" x14ac:dyDescent="0.2">
      <c r="B122" s="314"/>
      <c r="C122" s="11"/>
      <c r="D122" s="91"/>
      <c r="E122" s="91"/>
      <c r="F122" s="12"/>
      <c r="G122" s="12"/>
      <c r="H122" s="148"/>
      <c r="I122" s="14"/>
      <c r="J122" s="12"/>
      <c r="K122" s="12"/>
      <c r="L122" s="15"/>
      <c r="M122" s="12"/>
      <c r="N122" s="34"/>
      <c r="O122" s="34"/>
      <c r="P122" s="34"/>
      <c r="Q122" s="34"/>
      <c r="R122" s="34"/>
      <c r="S122" s="12"/>
      <c r="T122" s="12"/>
      <c r="U122" s="94"/>
      <c r="V122" s="108"/>
      <c r="W122" s="80"/>
      <c r="X122" s="82"/>
      <c r="Y122" s="82"/>
      <c r="Z122" s="80"/>
      <c r="AA122" s="80"/>
      <c r="AB122" s="80"/>
      <c r="AC122" s="80"/>
      <c r="AD122" s="98"/>
    </row>
    <row r="123" spans="2:30" s="76" customFormat="1" x14ac:dyDescent="0.2">
      <c r="B123" s="312" t="s">
        <v>4005</v>
      </c>
      <c r="C123" s="16" t="s">
        <v>4021</v>
      </c>
      <c r="D123" s="7" t="s">
        <v>4092</v>
      </c>
      <c r="E123" s="7"/>
      <c r="F123" s="6" t="s">
        <v>4093</v>
      </c>
      <c r="G123" s="6"/>
      <c r="H123" s="17">
        <v>23955.18</v>
      </c>
      <c r="I123" s="39"/>
      <c r="J123" s="7">
        <v>36827</v>
      </c>
      <c r="K123" s="7"/>
      <c r="L123" s="23"/>
      <c r="M123" s="18" t="s">
        <v>4031</v>
      </c>
      <c r="N123" s="47" t="s">
        <v>42</v>
      </c>
      <c r="O123" s="47"/>
      <c r="P123" s="47"/>
      <c r="Q123" s="47"/>
      <c r="R123" s="47"/>
      <c r="S123" s="7">
        <v>36865</v>
      </c>
      <c r="T123" s="7">
        <v>36894</v>
      </c>
      <c r="U123" s="150"/>
      <c r="V123" s="67" t="s">
        <v>4088</v>
      </c>
      <c r="W123" s="70">
        <v>678</v>
      </c>
      <c r="X123" s="75"/>
      <c r="Y123" s="75"/>
      <c r="Z123" s="70" t="s">
        <v>4089</v>
      </c>
      <c r="AA123" s="74"/>
      <c r="AB123" s="70"/>
      <c r="AC123" s="70"/>
      <c r="AD123" s="98"/>
    </row>
    <row r="124" spans="2:30" s="76" customFormat="1" ht="13.5" customHeight="1" thickBot="1" x14ac:dyDescent="0.25">
      <c r="B124" s="313"/>
      <c r="C124" s="19"/>
      <c r="D124" s="5"/>
      <c r="E124" s="5"/>
      <c r="F124" s="5" t="s">
        <v>4094</v>
      </c>
      <c r="G124" s="5"/>
      <c r="H124" s="105"/>
      <c r="I124" s="21"/>
      <c r="J124" s="5"/>
      <c r="K124" s="5"/>
      <c r="L124" s="22"/>
      <c r="M124" s="5"/>
      <c r="N124" s="36"/>
      <c r="O124" s="36"/>
      <c r="P124" s="36"/>
      <c r="Q124" s="36"/>
      <c r="R124" s="36"/>
      <c r="S124" s="27" t="s">
        <v>296</v>
      </c>
      <c r="T124" s="5" t="s">
        <v>4090</v>
      </c>
      <c r="U124" s="68"/>
      <c r="V124" s="68"/>
      <c r="W124" s="87"/>
      <c r="X124" s="90"/>
      <c r="Y124" s="90"/>
      <c r="Z124" s="87"/>
      <c r="AA124" s="87"/>
      <c r="AB124" s="87"/>
      <c r="AC124" s="87"/>
      <c r="AD124" s="98"/>
    </row>
    <row r="125" spans="2:30" s="76" customFormat="1" ht="13.5" customHeight="1" x14ac:dyDescent="0.2">
      <c r="B125" s="315"/>
      <c r="C125" s="28"/>
      <c r="D125" s="30"/>
      <c r="E125" s="30"/>
      <c r="F125" s="30"/>
      <c r="G125" s="30"/>
      <c r="H125" s="116"/>
      <c r="I125" s="31"/>
      <c r="J125" s="30"/>
      <c r="K125" s="30"/>
      <c r="L125" s="32"/>
      <c r="M125" s="30"/>
      <c r="N125" s="30"/>
      <c r="O125" s="30"/>
      <c r="P125" s="30"/>
      <c r="Q125" s="30"/>
      <c r="R125" s="30"/>
      <c r="S125" s="48"/>
      <c r="T125" s="30"/>
      <c r="U125" s="30"/>
      <c r="V125" s="30"/>
      <c r="W125" s="99"/>
      <c r="X125" s="99"/>
      <c r="Y125" s="99"/>
      <c r="Z125" s="99"/>
      <c r="AA125" s="99"/>
      <c r="AB125" s="99"/>
      <c r="AC125" s="99"/>
      <c r="AD125" s="98"/>
    </row>
    <row r="126" spans="2:30" s="76" customFormat="1" ht="13.5" customHeight="1" x14ac:dyDescent="0.2">
      <c r="B126" s="315"/>
      <c r="C126" s="28"/>
      <c r="D126" s="30"/>
      <c r="E126" s="30"/>
      <c r="F126" s="30"/>
      <c r="G126" s="30"/>
      <c r="H126" s="116"/>
      <c r="I126" s="31"/>
      <c r="J126" s="30"/>
      <c r="K126" s="30"/>
      <c r="L126" s="32"/>
      <c r="M126" s="30"/>
      <c r="N126" s="30"/>
      <c r="O126" s="30"/>
      <c r="P126" s="30"/>
      <c r="Q126" s="30"/>
      <c r="R126" s="30"/>
      <c r="S126" s="48"/>
      <c r="T126" s="30"/>
      <c r="U126" s="30"/>
      <c r="V126" s="30"/>
      <c r="W126" s="99"/>
      <c r="X126" s="99"/>
      <c r="Y126" s="99"/>
      <c r="Z126" s="99"/>
      <c r="AA126" s="99"/>
      <c r="AB126" s="99"/>
      <c r="AC126" s="99"/>
      <c r="AD126" s="98"/>
    </row>
    <row r="127" spans="2:30" s="76" customFormat="1" ht="13.5" customHeight="1" x14ac:dyDescent="0.2">
      <c r="B127" s="315"/>
      <c r="C127" s="28"/>
      <c r="D127" s="30"/>
      <c r="E127" s="30"/>
      <c r="F127" s="30"/>
      <c r="G127" s="30"/>
      <c r="H127" s="116"/>
      <c r="I127" s="31"/>
      <c r="J127" s="30"/>
      <c r="K127" s="30"/>
      <c r="L127" s="32"/>
      <c r="M127" s="30"/>
      <c r="N127" s="30"/>
      <c r="O127" s="30"/>
      <c r="P127" s="30"/>
      <c r="Q127" s="30"/>
      <c r="R127" s="30"/>
      <c r="S127" s="48"/>
      <c r="T127" s="30"/>
      <c r="U127" s="30"/>
      <c r="V127" s="30"/>
      <c r="W127" s="99"/>
      <c r="X127" s="99"/>
      <c r="Y127" s="99"/>
      <c r="Z127" s="99"/>
      <c r="AA127" s="99"/>
      <c r="AB127" s="99"/>
      <c r="AC127" s="99"/>
      <c r="AD127" s="98"/>
    </row>
    <row r="128" spans="2:30" s="76" customFormat="1" ht="13.5" customHeight="1" x14ac:dyDescent="0.2">
      <c r="B128" s="315"/>
      <c r="C128" s="28"/>
      <c r="D128" s="30"/>
      <c r="E128" s="30"/>
      <c r="F128" s="30"/>
      <c r="G128" s="30"/>
      <c r="H128" s="116"/>
      <c r="I128" s="31"/>
      <c r="J128" s="30"/>
      <c r="K128" s="30"/>
      <c r="L128" s="32"/>
      <c r="M128" s="30"/>
      <c r="N128" s="30"/>
      <c r="O128" s="30"/>
      <c r="P128" s="30"/>
      <c r="Q128" s="30"/>
      <c r="R128" s="30"/>
      <c r="S128" s="48"/>
      <c r="T128" s="30"/>
      <c r="U128" s="30"/>
      <c r="V128" s="30"/>
      <c r="W128" s="99"/>
      <c r="X128" s="99"/>
      <c r="Y128" s="99"/>
      <c r="Z128" s="99"/>
      <c r="AA128" s="99"/>
      <c r="AB128" s="99"/>
      <c r="AC128" s="99"/>
      <c r="AD128" s="98"/>
    </row>
    <row r="129" spans="1:37" ht="12" thickBot="1" x14ac:dyDescent="0.25">
      <c r="AC129" s="38"/>
    </row>
    <row r="130" spans="1:37" s="556" customFormat="1" ht="39.950000000000003" customHeight="1" thickBot="1" x14ac:dyDescent="0.4">
      <c r="B130" s="1611">
        <v>2001</v>
      </c>
      <c r="C130" s="1612"/>
      <c r="D130" s="1612"/>
      <c r="E130" s="1612"/>
      <c r="F130" s="1612"/>
      <c r="G130" s="1612"/>
      <c r="H130" s="1612"/>
      <c r="I130" s="1612"/>
      <c r="J130" s="1612"/>
      <c r="K130" s="1612"/>
      <c r="L130" s="1612"/>
      <c r="M130" s="1612"/>
      <c r="N130" s="1612"/>
      <c r="O130" s="1612"/>
      <c r="P130" s="1612"/>
      <c r="Q130" s="1612"/>
      <c r="R130" s="1612"/>
      <c r="S130" s="1612"/>
      <c r="T130" s="1612"/>
      <c r="U130" s="1612"/>
      <c r="V130" s="1612"/>
      <c r="W130" s="1612"/>
      <c r="X130" s="1612"/>
      <c r="Y130" s="1612"/>
      <c r="Z130" s="1612"/>
      <c r="AA130" s="1612"/>
      <c r="AB130" s="1612"/>
      <c r="AC130" s="1613"/>
      <c r="AD130" s="560"/>
    </row>
    <row r="131" spans="1:37" s="441" customFormat="1" ht="60" customHeight="1" thickBot="1" x14ac:dyDescent="0.25">
      <c r="A131" s="438"/>
      <c r="B131" s="451" t="s">
        <v>130</v>
      </c>
      <c r="C131" s="451" t="s">
        <v>4</v>
      </c>
      <c r="D131" s="451" t="s">
        <v>5</v>
      </c>
      <c r="E131" s="451" t="s">
        <v>6</v>
      </c>
      <c r="F131" s="451" t="s">
        <v>7</v>
      </c>
      <c r="G131" s="451" t="s">
        <v>8</v>
      </c>
      <c r="H131" s="453" t="s">
        <v>9</v>
      </c>
      <c r="I131" s="453" t="s">
        <v>10</v>
      </c>
      <c r="J131" s="451" t="s">
        <v>11</v>
      </c>
      <c r="K131" s="451" t="s">
        <v>12</v>
      </c>
      <c r="L131" s="451" t="s">
        <v>13</v>
      </c>
      <c r="M131" s="451" t="s">
        <v>14</v>
      </c>
      <c r="N131" s="451" t="s">
        <v>15</v>
      </c>
      <c r="O131" s="452" t="s">
        <v>16</v>
      </c>
      <c r="P131" s="454" t="s">
        <v>17</v>
      </c>
      <c r="Q131" s="451" t="s">
        <v>18</v>
      </c>
      <c r="R131" s="452" t="s">
        <v>19</v>
      </c>
      <c r="S131" s="451" t="s">
        <v>20</v>
      </c>
      <c r="T131" s="451" t="s">
        <v>21</v>
      </c>
      <c r="U131" s="452" t="s">
        <v>22</v>
      </c>
      <c r="V131" s="451" t="s">
        <v>131</v>
      </c>
      <c r="W131" s="451" t="s">
        <v>24</v>
      </c>
      <c r="X131" s="451" t="s">
        <v>132</v>
      </c>
      <c r="Y131" s="451" t="s">
        <v>26</v>
      </c>
      <c r="Z131" s="451" t="s">
        <v>27</v>
      </c>
      <c r="AA131" s="451" t="s">
        <v>28</v>
      </c>
      <c r="AB131" s="451" t="s">
        <v>29</v>
      </c>
      <c r="AC131" s="451" t="s">
        <v>30</v>
      </c>
      <c r="AD131" s="439"/>
      <c r="AE131" s="440"/>
      <c r="AF131" s="440"/>
      <c r="AG131" s="440"/>
      <c r="AH131" s="440"/>
      <c r="AI131" s="440"/>
      <c r="AJ131" s="440"/>
      <c r="AK131" s="440"/>
    </row>
    <row r="132" spans="1:37" s="76" customFormat="1" x14ac:dyDescent="0.2">
      <c r="B132" s="314"/>
      <c r="C132" s="11"/>
      <c r="D132" s="91"/>
      <c r="E132" s="91"/>
      <c r="F132" s="12"/>
      <c r="G132" s="94"/>
      <c r="H132" s="562"/>
      <c r="I132" s="14"/>
      <c r="J132" s="12"/>
      <c r="K132" s="12"/>
      <c r="L132" s="15"/>
      <c r="M132" s="12"/>
      <c r="N132" s="34"/>
      <c r="O132" s="34"/>
      <c r="P132" s="34"/>
      <c r="Q132" s="34"/>
      <c r="R132" s="34"/>
      <c r="S132" s="91"/>
      <c r="T132" s="12"/>
      <c r="U132" s="94"/>
      <c r="V132" s="108"/>
      <c r="W132" s="80"/>
      <c r="X132" s="82"/>
      <c r="Y132" s="82"/>
      <c r="Z132" s="80"/>
      <c r="AA132" s="80"/>
      <c r="AB132" s="80"/>
      <c r="AC132" s="80"/>
      <c r="AD132" s="98"/>
    </row>
    <row r="133" spans="1:37" s="76" customFormat="1" x14ac:dyDescent="0.2">
      <c r="B133" s="312" t="s">
        <v>4005</v>
      </c>
      <c r="C133" s="16" t="s">
        <v>4021</v>
      </c>
      <c r="D133" s="7"/>
      <c r="E133" s="7"/>
      <c r="F133" s="6"/>
      <c r="G133" s="6"/>
      <c r="H133" s="17">
        <v>13351.2</v>
      </c>
      <c r="I133" s="39"/>
      <c r="J133" s="7"/>
      <c r="K133" s="7"/>
      <c r="L133" s="23"/>
      <c r="M133" s="18"/>
      <c r="N133" s="47" t="s">
        <v>110</v>
      </c>
      <c r="O133" s="47"/>
      <c r="P133" s="47"/>
      <c r="Q133" s="47"/>
      <c r="R133" s="47"/>
      <c r="S133" s="162"/>
      <c r="T133" s="7">
        <v>36906</v>
      </c>
      <c r="U133" s="150"/>
      <c r="V133" s="67" t="s">
        <v>4095</v>
      </c>
      <c r="W133" s="70">
        <v>685</v>
      </c>
      <c r="X133" s="75"/>
      <c r="Y133" s="75"/>
      <c r="Z133" s="70"/>
      <c r="AA133" s="70"/>
      <c r="AB133" s="70"/>
      <c r="AC133" s="70"/>
      <c r="AD133" s="98"/>
    </row>
    <row r="134" spans="1:37" s="76" customFormat="1" ht="13.5" customHeight="1" thickBot="1" x14ac:dyDescent="0.25">
      <c r="B134" s="313"/>
      <c r="C134" s="19"/>
      <c r="D134" s="5"/>
      <c r="E134" s="5"/>
      <c r="F134" s="5"/>
      <c r="G134" s="5"/>
      <c r="H134" s="105"/>
      <c r="I134" s="21"/>
      <c r="J134" s="5"/>
      <c r="K134" s="5"/>
      <c r="L134" s="22"/>
      <c r="M134" s="5"/>
      <c r="N134" s="36"/>
      <c r="O134" s="36"/>
      <c r="P134" s="36"/>
      <c r="Q134" s="36"/>
      <c r="R134" s="36"/>
      <c r="S134" s="5"/>
      <c r="T134" s="5"/>
      <c r="U134" s="68"/>
      <c r="V134" s="68"/>
      <c r="W134" s="87"/>
      <c r="X134" s="90"/>
      <c r="Y134" s="90"/>
      <c r="Z134" s="87"/>
      <c r="AA134" s="87"/>
      <c r="AB134" s="87"/>
      <c r="AC134" s="87"/>
      <c r="AD134" s="98"/>
    </row>
    <row r="135" spans="1:37" s="76" customFormat="1" x14ac:dyDescent="0.2">
      <c r="B135" s="314"/>
      <c r="C135" s="11"/>
      <c r="D135" s="91"/>
      <c r="E135" s="91"/>
      <c r="F135" s="12"/>
      <c r="G135" s="94"/>
      <c r="H135" s="562"/>
      <c r="I135" s="14"/>
      <c r="J135" s="12"/>
      <c r="K135" s="12"/>
      <c r="L135" s="15"/>
      <c r="M135" s="12"/>
      <c r="N135" s="34"/>
      <c r="O135" s="34"/>
      <c r="P135" s="34"/>
      <c r="Q135" s="34"/>
      <c r="R135" s="34"/>
      <c r="S135" s="91"/>
      <c r="T135" s="12"/>
      <c r="U135" s="94"/>
      <c r="V135" s="108"/>
      <c r="W135" s="80"/>
      <c r="X135" s="82"/>
      <c r="Y135" s="82"/>
      <c r="Z135" s="80"/>
      <c r="AA135" s="80"/>
      <c r="AB135" s="80"/>
      <c r="AC135" s="80"/>
      <c r="AD135" s="98"/>
    </row>
    <row r="136" spans="1:37" s="76" customFormat="1" x14ac:dyDescent="0.2">
      <c r="B136" s="312" t="s">
        <v>4005</v>
      </c>
      <c r="C136" s="16" t="s">
        <v>4021</v>
      </c>
      <c r="D136" s="7"/>
      <c r="E136" s="7"/>
      <c r="F136" s="6" t="s">
        <v>4079</v>
      </c>
      <c r="G136" s="6"/>
      <c r="H136" s="17">
        <v>5611.98</v>
      </c>
      <c r="I136" s="39"/>
      <c r="J136" s="7">
        <v>36690</v>
      </c>
      <c r="K136" s="7"/>
      <c r="L136" s="23"/>
      <c r="M136" s="18"/>
      <c r="N136" s="47"/>
      <c r="O136" s="47"/>
      <c r="P136" s="47"/>
      <c r="Q136" s="47"/>
      <c r="R136" s="47"/>
      <c r="S136" s="162"/>
      <c r="T136" s="7">
        <v>36910</v>
      </c>
      <c r="U136" s="150"/>
      <c r="V136" s="67" t="s">
        <v>347</v>
      </c>
      <c r="W136" s="70" t="s">
        <v>4096</v>
      </c>
      <c r="X136" s="75"/>
      <c r="Y136" s="75"/>
      <c r="Z136" s="70"/>
      <c r="AA136" s="70"/>
      <c r="AB136" s="70"/>
      <c r="AC136" s="70"/>
      <c r="AD136" s="98"/>
    </row>
    <row r="137" spans="1:37" s="76" customFormat="1" ht="13.5" customHeight="1" thickBot="1" x14ac:dyDescent="0.25">
      <c r="B137" s="313"/>
      <c r="C137" s="19"/>
      <c r="D137" s="5"/>
      <c r="E137" s="5"/>
      <c r="F137" s="5" t="s">
        <v>4097</v>
      </c>
      <c r="G137" s="5"/>
      <c r="H137" s="105"/>
      <c r="I137" s="21"/>
      <c r="J137" s="5"/>
      <c r="K137" s="5"/>
      <c r="L137" s="22"/>
      <c r="M137" s="5"/>
      <c r="N137" s="36"/>
      <c r="O137" s="36"/>
      <c r="P137" s="36"/>
      <c r="Q137" s="36"/>
      <c r="R137" s="36"/>
      <c r="S137" s="5"/>
      <c r="T137" s="5"/>
      <c r="U137" s="68"/>
      <c r="V137" s="68" t="s">
        <v>4087</v>
      </c>
      <c r="W137" s="87"/>
      <c r="X137" s="90"/>
      <c r="Y137" s="90"/>
      <c r="Z137" s="87"/>
      <c r="AA137" s="87"/>
      <c r="AB137" s="87"/>
      <c r="AC137" s="87"/>
      <c r="AD137" s="98"/>
    </row>
    <row r="138" spans="1:37" s="76" customFormat="1" x14ac:dyDescent="0.2">
      <c r="B138" s="314"/>
      <c r="C138" s="97"/>
      <c r="D138" s="154"/>
      <c r="E138" s="154"/>
      <c r="F138" s="94"/>
      <c r="G138" s="94"/>
      <c r="H138" s="562"/>
      <c r="I138" s="156"/>
      <c r="J138" s="94"/>
      <c r="K138" s="94"/>
      <c r="L138" s="157"/>
      <c r="M138" s="94"/>
      <c r="N138" s="66"/>
      <c r="O138" s="66"/>
      <c r="P138" s="66"/>
      <c r="Q138" s="66"/>
      <c r="R138" s="66"/>
      <c r="S138" s="91"/>
      <c r="T138" s="94"/>
      <c r="U138" s="94"/>
      <c r="V138" s="108"/>
      <c r="W138" s="108"/>
      <c r="X138" s="158"/>
      <c r="Y138" s="158"/>
      <c r="Z138" s="108"/>
      <c r="AA138" s="108"/>
      <c r="AB138" s="108"/>
      <c r="AC138" s="108"/>
      <c r="AD138" s="98"/>
    </row>
    <row r="139" spans="1:37" s="76" customFormat="1" x14ac:dyDescent="0.2">
      <c r="B139" s="312" t="s">
        <v>4005</v>
      </c>
      <c r="C139" s="16" t="s">
        <v>4021</v>
      </c>
      <c r="D139" s="150"/>
      <c r="E139" s="150"/>
      <c r="F139" s="6" t="s">
        <v>4082</v>
      </c>
      <c r="G139" s="67"/>
      <c r="H139" s="159">
        <v>5839.2</v>
      </c>
      <c r="I139" s="160"/>
      <c r="J139" s="150">
        <v>36795</v>
      </c>
      <c r="K139" s="150"/>
      <c r="L139" s="151"/>
      <c r="M139" s="161"/>
      <c r="N139" s="10"/>
      <c r="O139" s="10"/>
      <c r="P139" s="10"/>
      <c r="Q139" s="10"/>
      <c r="R139" s="10"/>
      <c r="S139" s="162"/>
      <c r="T139" s="150">
        <v>36910</v>
      </c>
      <c r="U139" s="150"/>
      <c r="V139" s="67" t="s">
        <v>347</v>
      </c>
      <c r="W139" s="163" t="s">
        <v>4098</v>
      </c>
      <c r="X139" s="164"/>
      <c r="Y139" s="164"/>
      <c r="Z139" s="163"/>
      <c r="AA139" s="163"/>
      <c r="AB139" s="163"/>
      <c r="AC139" s="163"/>
      <c r="AD139" s="98"/>
    </row>
    <row r="140" spans="1:37" s="76" customFormat="1" ht="13.5" customHeight="1" thickBot="1" x14ac:dyDescent="0.25">
      <c r="B140" s="313"/>
      <c r="C140" s="165"/>
      <c r="D140" s="68"/>
      <c r="E140" s="68"/>
      <c r="F140" s="5" t="s">
        <v>4099</v>
      </c>
      <c r="G140" s="68"/>
      <c r="H140" s="530"/>
      <c r="I140" s="166"/>
      <c r="J140" s="68"/>
      <c r="K140" s="68"/>
      <c r="L140" s="167"/>
      <c r="M140" s="68"/>
      <c r="N140" s="50"/>
      <c r="O140" s="50"/>
      <c r="P140" s="50"/>
      <c r="Q140" s="50"/>
      <c r="R140" s="50"/>
      <c r="S140" s="5"/>
      <c r="T140" s="68"/>
      <c r="U140" s="68"/>
      <c r="V140" s="68" t="s">
        <v>4087</v>
      </c>
      <c r="W140" s="110"/>
      <c r="X140" s="168"/>
      <c r="Y140" s="168"/>
      <c r="Z140" s="110"/>
      <c r="AA140" s="110"/>
      <c r="AB140" s="110"/>
      <c r="AC140" s="110"/>
      <c r="AD140" s="98"/>
    </row>
    <row r="141" spans="1:37" s="76" customFormat="1" x14ac:dyDescent="0.2">
      <c r="B141" s="314"/>
      <c r="C141" s="97"/>
      <c r="D141" s="154"/>
      <c r="E141" s="154"/>
      <c r="F141" s="94"/>
      <c r="G141" s="94"/>
      <c r="H141" s="562"/>
      <c r="I141" s="156"/>
      <c r="J141" s="94"/>
      <c r="K141" s="94"/>
      <c r="L141" s="157"/>
      <c r="M141" s="94"/>
      <c r="N141" s="66"/>
      <c r="O141" s="66"/>
      <c r="P141" s="66"/>
      <c r="Q141" s="66"/>
      <c r="R141" s="66"/>
      <c r="S141" s="91"/>
      <c r="T141" s="94"/>
      <c r="U141" s="94"/>
      <c r="V141" s="108"/>
      <c r="W141" s="108"/>
      <c r="X141" s="158"/>
      <c r="Y141" s="158"/>
      <c r="Z141" s="108"/>
      <c r="AA141" s="108"/>
      <c r="AB141" s="108"/>
      <c r="AC141" s="108"/>
      <c r="AD141" s="98"/>
    </row>
    <row r="142" spans="1:37" s="76" customFormat="1" x14ac:dyDescent="0.2">
      <c r="B142" s="312" t="s">
        <v>4005</v>
      </c>
      <c r="C142" s="16" t="s">
        <v>4021</v>
      </c>
      <c r="D142" s="150"/>
      <c r="E142" s="150"/>
      <c r="F142" s="6" t="s">
        <v>4082</v>
      </c>
      <c r="G142" s="67"/>
      <c r="H142" s="159">
        <v>3944.4</v>
      </c>
      <c r="I142" s="160"/>
      <c r="J142" s="150">
        <v>36795</v>
      </c>
      <c r="K142" s="150"/>
      <c r="L142" s="151"/>
      <c r="M142" s="161"/>
      <c r="N142" s="10"/>
      <c r="O142" s="10"/>
      <c r="P142" s="10"/>
      <c r="Q142" s="10"/>
      <c r="R142" s="10"/>
      <c r="S142" s="162"/>
      <c r="T142" s="150">
        <v>36917</v>
      </c>
      <c r="U142" s="150"/>
      <c r="V142" s="67" t="s">
        <v>347</v>
      </c>
      <c r="W142" s="163" t="s">
        <v>4100</v>
      </c>
      <c r="X142" s="164"/>
      <c r="Y142" s="164"/>
      <c r="Z142" s="163"/>
      <c r="AA142" s="163"/>
      <c r="AB142" s="163"/>
      <c r="AC142" s="163"/>
      <c r="AD142" s="98"/>
    </row>
    <row r="143" spans="1:37" s="76" customFormat="1" ht="13.5" customHeight="1" thickBot="1" x14ac:dyDescent="0.25">
      <c r="B143" s="313"/>
      <c r="C143" s="165"/>
      <c r="D143" s="68"/>
      <c r="E143" s="68"/>
      <c r="F143" s="5" t="s">
        <v>4099</v>
      </c>
      <c r="G143" s="68"/>
      <c r="H143" s="530"/>
      <c r="I143" s="166"/>
      <c r="J143" s="68"/>
      <c r="K143" s="68"/>
      <c r="L143" s="167"/>
      <c r="M143" s="68"/>
      <c r="N143" s="50"/>
      <c r="O143" s="50"/>
      <c r="P143" s="50"/>
      <c r="Q143" s="50"/>
      <c r="R143" s="50"/>
      <c r="S143" s="5"/>
      <c r="T143" s="68"/>
      <c r="U143" s="68"/>
      <c r="V143" s="68" t="s">
        <v>4087</v>
      </c>
      <c r="W143" s="110"/>
      <c r="X143" s="168"/>
      <c r="Y143" s="168"/>
      <c r="Z143" s="110"/>
      <c r="AA143" s="110"/>
      <c r="AB143" s="110"/>
      <c r="AC143" s="110"/>
      <c r="AD143" s="98"/>
    </row>
    <row r="144" spans="1:37" s="76" customFormat="1" x14ac:dyDescent="0.2">
      <c r="B144" s="314"/>
      <c r="C144" s="97"/>
      <c r="D144" s="154"/>
      <c r="E144" s="154"/>
      <c r="F144" s="94"/>
      <c r="G144" s="94"/>
      <c r="H144" s="562"/>
      <c r="I144" s="156"/>
      <c r="J144" s="94"/>
      <c r="K144" s="94"/>
      <c r="L144" s="157"/>
      <c r="M144" s="94"/>
      <c r="N144" s="66"/>
      <c r="O144" s="66"/>
      <c r="P144" s="66"/>
      <c r="Q144" s="66"/>
      <c r="R144" s="66"/>
      <c r="S144" s="91"/>
      <c r="T144" s="94"/>
      <c r="U144" s="94"/>
      <c r="V144" s="108"/>
      <c r="W144" s="108"/>
      <c r="X144" s="158"/>
      <c r="Y144" s="158"/>
      <c r="Z144" s="108"/>
      <c r="AA144" s="108"/>
      <c r="AB144" s="108"/>
      <c r="AC144" s="108"/>
      <c r="AD144" s="98"/>
    </row>
    <row r="145" spans="2:30" s="76" customFormat="1" x14ac:dyDescent="0.2">
      <c r="B145" s="312" t="s">
        <v>4005</v>
      </c>
      <c r="C145" s="16" t="s">
        <v>4021</v>
      </c>
      <c r="D145" s="150"/>
      <c r="E145" s="150"/>
      <c r="F145" s="6" t="s">
        <v>4082</v>
      </c>
      <c r="G145" s="67"/>
      <c r="H145" s="159">
        <v>181501.17</v>
      </c>
      <c r="I145" s="160"/>
      <c r="J145" s="150">
        <v>36795</v>
      </c>
      <c r="K145" s="150"/>
      <c r="L145" s="151"/>
      <c r="M145" s="161"/>
      <c r="N145" s="10"/>
      <c r="O145" s="10"/>
      <c r="P145" s="10"/>
      <c r="Q145" s="10"/>
      <c r="R145" s="10"/>
      <c r="S145" s="162"/>
      <c r="T145" s="150">
        <v>36921</v>
      </c>
      <c r="U145" s="150"/>
      <c r="V145" s="67" t="s">
        <v>347</v>
      </c>
      <c r="W145" s="163" t="s">
        <v>4101</v>
      </c>
      <c r="X145" s="164"/>
      <c r="Y145" s="164"/>
      <c r="Z145" s="163"/>
      <c r="AA145" s="163"/>
      <c r="AB145" s="163"/>
      <c r="AC145" s="163"/>
      <c r="AD145" s="98"/>
    </row>
    <row r="146" spans="2:30" s="76" customFormat="1" ht="13.5" customHeight="1" thickBot="1" x14ac:dyDescent="0.25">
      <c r="B146" s="313"/>
      <c r="C146" s="165"/>
      <c r="D146" s="68"/>
      <c r="E146" s="68"/>
      <c r="F146" s="5" t="s">
        <v>4099</v>
      </c>
      <c r="G146" s="68"/>
      <c r="H146" s="530"/>
      <c r="I146" s="166"/>
      <c r="J146" s="68"/>
      <c r="K146" s="68"/>
      <c r="L146" s="167"/>
      <c r="M146" s="68"/>
      <c r="N146" s="50"/>
      <c r="O146" s="50"/>
      <c r="P146" s="50"/>
      <c r="Q146" s="50"/>
      <c r="R146" s="50"/>
      <c r="S146" s="5"/>
      <c r="T146" s="68"/>
      <c r="U146" s="68"/>
      <c r="V146" s="68" t="s">
        <v>4102</v>
      </c>
      <c r="W146" s="110"/>
      <c r="X146" s="168"/>
      <c r="Y146" s="168"/>
      <c r="Z146" s="110"/>
      <c r="AA146" s="110"/>
      <c r="AB146" s="110"/>
      <c r="AC146" s="110"/>
      <c r="AD146" s="98"/>
    </row>
    <row r="147" spans="2:30" s="76" customFormat="1" x14ac:dyDescent="0.2">
      <c r="B147" s="314"/>
      <c r="C147" s="11"/>
      <c r="D147" s="91"/>
      <c r="E147" s="91"/>
      <c r="F147" s="12"/>
      <c r="G147" s="12"/>
      <c r="H147" s="148"/>
      <c r="I147" s="14"/>
      <c r="J147" s="12"/>
      <c r="K147" s="12"/>
      <c r="L147" s="15"/>
      <c r="M147" s="12"/>
      <c r="N147" s="34"/>
      <c r="O147" s="34"/>
      <c r="P147" s="34"/>
      <c r="Q147" s="34"/>
      <c r="R147" s="34"/>
      <c r="S147" s="12"/>
      <c r="T147" s="12"/>
      <c r="U147" s="94"/>
      <c r="V147" s="108"/>
      <c r="W147" s="80"/>
      <c r="X147" s="82"/>
      <c r="Y147" s="82"/>
      <c r="Z147" s="80"/>
      <c r="AA147" s="80"/>
      <c r="AB147" s="80"/>
      <c r="AC147" s="80"/>
      <c r="AD147" s="98"/>
    </row>
    <row r="148" spans="2:30" s="76" customFormat="1" x14ac:dyDescent="0.2">
      <c r="B148" s="312" t="s">
        <v>4005</v>
      </c>
      <c r="C148" s="16" t="s">
        <v>4021</v>
      </c>
      <c r="D148" s="7"/>
      <c r="E148" s="7"/>
      <c r="F148" s="6" t="s">
        <v>4093</v>
      </c>
      <c r="G148" s="6"/>
      <c r="H148" s="17">
        <v>7898.24</v>
      </c>
      <c r="I148" s="39"/>
      <c r="J148" s="7">
        <v>36827</v>
      </c>
      <c r="K148" s="7"/>
      <c r="L148" s="23"/>
      <c r="M148" s="18" t="s">
        <v>4031</v>
      </c>
      <c r="N148" s="47" t="s">
        <v>42</v>
      </c>
      <c r="O148" s="47"/>
      <c r="P148" s="47"/>
      <c r="Q148" s="47"/>
      <c r="R148" s="47"/>
      <c r="S148" s="7">
        <v>36910</v>
      </c>
      <c r="T148" s="150">
        <v>36934</v>
      </c>
      <c r="U148" s="150"/>
      <c r="V148" s="67" t="s">
        <v>4103</v>
      </c>
      <c r="W148" s="70">
        <v>696</v>
      </c>
      <c r="X148" s="75"/>
      <c r="Y148" s="75"/>
      <c r="Z148" s="70"/>
      <c r="AA148" s="74"/>
      <c r="AB148" s="70"/>
      <c r="AC148" s="70"/>
      <c r="AD148" s="98"/>
    </row>
    <row r="149" spans="2:30" s="76" customFormat="1" ht="13.5" customHeight="1" thickBot="1" x14ac:dyDescent="0.25">
      <c r="B149" s="313"/>
      <c r="C149" s="19"/>
      <c r="D149" s="5"/>
      <c r="E149" s="5"/>
      <c r="F149" s="5" t="s">
        <v>4094</v>
      </c>
      <c r="G149" s="5"/>
      <c r="H149" s="105"/>
      <c r="I149" s="21"/>
      <c r="J149" s="5"/>
      <c r="K149" s="5"/>
      <c r="L149" s="22"/>
      <c r="M149" s="5"/>
      <c r="N149" s="36"/>
      <c r="O149" s="36"/>
      <c r="P149" s="36"/>
      <c r="Q149" s="36"/>
      <c r="R149" s="36"/>
      <c r="S149" s="27" t="s">
        <v>296</v>
      </c>
      <c r="T149" s="5" t="s">
        <v>3359</v>
      </c>
      <c r="U149" s="68"/>
      <c r="V149" s="68"/>
      <c r="W149" s="87"/>
      <c r="X149" s="90"/>
      <c r="Y149" s="90"/>
      <c r="Z149" s="87"/>
      <c r="AA149" s="87"/>
      <c r="AB149" s="87"/>
      <c r="AC149" s="87"/>
      <c r="AD149" s="98"/>
    </row>
    <row r="150" spans="2:30" s="76" customFormat="1" x14ac:dyDescent="0.2">
      <c r="B150" s="314"/>
      <c r="C150" s="11"/>
      <c r="D150" s="91"/>
      <c r="E150" s="91"/>
      <c r="F150" s="12"/>
      <c r="G150" s="12"/>
      <c r="H150" s="148"/>
      <c r="I150" s="14"/>
      <c r="J150" s="12"/>
      <c r="K150" s="12"/>
      <c r="L150" s="15"/>
      <c r="M150" s="12"/>
      <c r="N150" s="34"/>
      <c r="O150" s="34"/>
      <c r="P150" s="34"/>
      <c r="Q150" s="34"/>
      <c r="R150" s="34"/>
      <c r="S150" s="12"/>
      <c r="T150" s="12"/>
      <c r="U150" s="94"/>
      <c r="V150" s="108"/>
      <c r="W150" s="80"/>
      <c r="X150" s="82"/>
      <c r="Y150" s="82"/>
      <c r="Z150" s="80"/>
      <c r="AA150" s="80"/>
      <c r="AB150" s="80"/>
      <c r="AC150" s="80"/>
      <c r="AD150" s="98"/>
    </row>
    <row r="151" spans="2:30" s="76" customFormat="1" x14ac:dyDescent="0.2">
      <c r="B151" s="312" t="s">
        <v>4005</v>
      </c>
      <c r="C151" s="16" t="s">
        <v>4021</v>
      </c>
      <c r="D151" s="7"/>
      <c r="E151" s="7"/>
      <c r="F151" s="6" t="s">
        <v>4085</v>
      </c>
      <c r="G151" s="6"/>
      <c r="H151" s="17">
        <v>10881.62</v>
      </c>
      <c r="I151" s="39"/>
      <c r="J151" s="7">
        <v>37218</v>
      </c>
      <c r="K151" s="7"/>
      <c r="L151" s="23"/>
      <c r="M151" s="18" t="s">
        <v>4031</v>
      </c>
      <c r="N151" s="47" t="s">
        <v>42</v>
      </c>
      <c r="O151" s="47"/>
      <c r="P151" s="47"/>
      <c r="Q151" s="47"/>
      <c r="R151" s="47"/>
      <c r="S151" s="7">
        <v>36910</v>
      </c>
      <c r="T151" s="150">
        <v>36934</v>
      </c>
      <c r="U151" s="150"/>
      <c r="V151" s="67" t="s">
        <v>4103</v>
      </c>
      <c r="W151" s="70">
        <v>696</v>
      </c>
      <c r="X151" s="75"/>
      <c r="Y151" s="75"/>
      <c r="Z151" s="70"/>
      <c r="AA151" s="74"/>
      <c r="AB151" s="70"/>
      <c r="AC151" s="70"/>
      <c r="AD151" s="98"/>
    </row>
    <row r="152" spans="2:30" s="76" customFormat="1" ht="13.5" customHeight="1" thickBot="1" x14ac:dyDescent="0.25">
      <c r="B152" s="313"/>
      <c r="C152" s="19"/>
      <c r="D152" s="5"/>
      <c r="E152" s="5"/>
      <c r="F152" s="5"/>
      <c r="G152" s="5"/>
      <c r="H152" s="105"/>
      <c r="I152" s="21"/>
      <c r="J152" s="5"/>
      <c r="K152" s="5"/>
      <c r="L152" s="22"/>
      <c r="M152" s="5"/>
      <c r="N152" s="36"/>
      <c r="O152" s="36"/>
      <c r="P152" s="36"/>
      <c r="Q152" s="36"/>
      <c r="R152" s="36"/>
      <c r="S152" s="27" t="s">
        <v>296</v>
      </c>
      <c r="T152" s="5" t="s">
        <v>3359</v>
      </c>
      <c r="U152" s="68"/>
      <c r="V152" s="68"/>
      <c r="W152" s="87"/>
      <c r="X152" s="90"/>
      <c r="Y152" s="90"/>
      <c r="Z152" s="87"/>
      <c r="AA152" s="87"/>
      <c r="AB152" s="87"/>
      <c r="AC152" s="87"/>
      <c r="AD152" s="98"/>
    </row>
    <row r="153" spans="2:30" s="76" customFormat="1" x14ac:dyDescent="0.2">
      <c r="B153" s="314"/>
      <c r="C153" s="11"/>
      <c r="D153" s="91"/>
      <c r="E153" s="91"/>
      <c r="F153" s="12"/>
      <c r="G153" s="12"/>
      <c r="H153" s="148"/>
      <c r="I153" s="14"/>
      <c r="J153" s="12"/>
      <c r="K153" s="12"/>
      <c r="L153" s="15"/>
      <c r="M153" s="12"/>
      <c r="N153" s="34"/>
      <c r="O153" s="34"/>
      <c r="P153" s="34"/>
      <c r="Q153" s="34"/>
      <c r="R153" s="34"/>
      <c r="S153" s="12"/>
      <c r="T153" s="12"/>
      <c r="U153" s="94"/>
      <c r="V153" s="108"/>
      <c r="W153" s="80"/>
      <c r="X153" s="82"/>
      <c r="Y153" s="82"/>
      <c r="Z153" s="80"/>
      <c r="AA153" s="80"/>
      <c r="AB153" s="80"/>
      <c r="AC153" s="80"/>
      <c r="AD153" s="98"/>
    </row>
    <row r="154" spans="2:30" s="76" customFormat="1" x14ac:dyDescent="0.2">
      <c r="B154" s="312" t="s">
        <v>4005</v>
      </c>
      <c r="C154" s="16" t="s">
        <v>4021</v>
      </c>
      <c r="D154" s="7"/>
      <c r="E154" s="7"/>
      <c r="F154" s="6" t="s">
        <v>4104</v>
      </c>
      <c r="G154" s="6"/>
      <c r="H154" s="17">
        <f>9591.83</f>
        <v>9591.83</v>
      </c>
      <c r="I154" s="39"/>
      <c r="J154" s="7"/>
      <c r="K154" s="7"/>
      <c r="L154" s="23"/>
      <c r="M154" s="18" t="s">
        <v>4031</v>
      </c>
      <c r="N154" s="47" t="s">
        <v>42</v>
      </c>
      <c r="O154" s="47"/>
      <c r="P154" s="47"/>
      <c r="Q154" s="47"/>
      <c r="R154" s="47"/>
      <c r="S154" s="7">
        <v>36910</v>
      </c>
      <c r="T154" s="150">
        <v>36934</v>
      </c>
      <c r="U154" s="150"/>
      <c r="V154" s="67" t="s">
        <v>4066</v>
      </c>
      <c r="W154" s="70">
        <v>696</v>
      </c>
      <c r="X154" s="75"/>
      <c r="Y154" s="75"/>
      <c r="Z154" s="70"/>
      <c r="AA154" s="74"/>
      <c r="AB154" s="70"/>
      <c r="AC154" s="70"/>
      <c r="AD154" s="98"/>
    </row>
    <row r="155" spans="2:30" s="76" customFormat="1" ht="13.5" customHeight="1" thickBot="1" x14ac:dyDescent="0.25">
      <c r="B155" s="313"/>
      <c r="C155" s="19"/>
      <c r="D155" s="5"/>
      <c r="E155" s="5"/>
      <c r="F155" s="5"/>
      <c r="G155" s="5"/>
      <c r="H155" s="105"/>
      <c r="I155" s="21"/>
      <c r="J155" s="5"/>
      <c r="K155" s="5"/>
      <c r="L155" s="22"/>
      <c r="M155" s="5"/>
      <c r="N155" s="36"/>
      <c r="O155" s="36"/>
      <c r="P155" s="36"/>
      <c r="Q155" s="36"/>
      <c r="R155" s="36"/>
      <c r="S155" s="27" t="s">
        <v>296</v>
      </c>
      <c r="T155" s="5" t="s">
        <v>3359</v>
      </c>
      <c r="U155" s="68"/>
      <c r="V155" s="68"/>
      <c r="W155" s="87"/>
      <c r="X155" s="90"/>
      <c r="Y155" s="90"/>
      <c r="Z155" s="87"/>
      <c r="AA155" s="87"/>
      <c r="AB155" s="87"/>
      <c r="AC155" s="87"/>
      <c r="AD155" s="98"/>
    </row>
    <row r="156" spans="2:30" s="76" customFormat="1" x14ac:dyDescent="0.2">
      <c r="B156" s="314"/>
      <c r="C156" s="11"/>
      <c r="D156" s="91"/>
      <c r="E156" s="91"/>
      <c r="F156" s="12"/>
      <c r="G156" s="12"/>
      <c r="H156" s="148"/>
      <c r="I156" s="14"/>
      <c r="J156" s="12"/>
      <c r="K156" s="12"/>
      <c r="L156" s="15"/>
      <c r="M156" s="12"/>
      <c r="N156" s="34"/>
      <c r="O156" s="34"/>
      <c r="P156" s="34"/>
      <c r="Q156" s="34"/>
      <c r="R156" s="34"/>
      <c r="S156" s="12"/>
      <c r="T156" s="12"/>
      <c r="U156" s="94"/>
      <c r="V156" s="108"/>
      <c r="W156" s="80"/>
      <c r="X156" s="82"/>
      <c r="Y156" s="82"/>
      <c r="Z156" s="80"/>
      <c r="AA156" s="80"/>
      <c r="AB156" s="80"/>
      <c r="AC156" s="80"/>
      <c r="AD156" s="98"/>
    </row>
    <row r="157" spans="2:30" s="76" customFormat="1" x14ac:dyDescent="0.2">
      <c r="B157" s="312" t="s">
        <v>4005</v>
      </c>
      <c r="C157" s="16" t="s">
        <v>4021</v>
      </c>
      <c r="D157" s="7"/>
      <c r="E157" s="7"/>
      <c r="F157" s="6" t="s">
        <v>4105</v>
      </c>
      <c r="G157" s="6"/>
      <c r="H157" s="17">
        <v>1396.8</v>
      </c>
      <c r="I157" s="39"/>
      <c r="J157" s="7"/>
      <c r="K157" s="7"/>
      <c r="L157" s="23"/>
      <c r="M157" s="18" t="s">
        <v>4031</v>
      </c>
      <c r="N157" s="47" t="s">
        <v>42</v>
      </c>
      <c r="O157" s="47"/>
      <c r="P157" s="47"/>
      <c r="Q157" s="47"/>
      <c r="R157" s="47"/>
      <c r="S157" s="7">
        <v>36910</v>
      </c>
      <c r="T157" s="150">
        <v>36934</v>
      </c>
      <c r="U157" s="150"/>
      <c r="V157" s="67" t="s">
        <v>4066</v>
      </c>
      <c r="W157" s="70">
        <v>696</v>
      </c>
      <c r="X157" s="75"/>
      <c r="Y157" s="75"/>
      <c r="Z157" s="70"/>
      <c r="AA157" s="74"/>
      <c r="AB157" s="70"/>
      <c r="AC157" s="70"/>
      <c r="AD157" s="98"/>
    </row>
    <row r="158" spans="2:30" s="76" customFormat="1" ht="13.5" customHeight="1" thickBot="1" x14ac:dyDescent="0.25">
      <c r="B158" s="313"/>
      <c r="C158" s="19"/>
      <c r="D158" s="5"/>
      <c r="E158" s="5"/>
      <c r="F158" s="5"/>
      <c r="G158" s="5"/>
      <c r="H158" s="105"/>
      <c r="I158" s="21"/>
      <c r="J158" s="5"/>
      <c r="K158" s="5"/>
      <c r="L158" s="22"/>
      <c r="M158" s="5"/>
      <c r="N158" s="36"/>
      <c r="O158" s="36"/>
      <c r="P158" s="36"/>
      <c r="Q158" s="36"/>
      <c r="R158" s="36"/>
      <c r="S158" s="27" t="s">
        <v>296</v>
      </c>
      <c r="T158" s="5" t="s">
        <v>3359</v>
      </c>
      <c r="U158" s="68"/>
      <c r="V158" s="68"/>
      <c r="W158" s="87"/>
      <c r="X158" s="90"/>
      <c r="Y158" s="90"/>
      <c r="Z158" s="87"/>
      <c r="AA158" s="87"/>
      <c r="AB158" s="87"/>
      <c r="AC158" s="87"/>
      <c r="AD158" s="98"/>
    </row>
    <row r="159" spans="2:30" s="76" customFormat="1" x14ac:dyDescent="0.2">
      <c r="B159" s="314"/>
      <c r="C159" s="11"/>
      <c r="D159" s="91"/>
      <c r="E159" s="91"/>
      <c r="F159" s="12"/>
      <c r="G159" s="94"/>
      <c r="H159" s="562"/>
      <c r="I159" s="14"/>
      <c r="J159" s="12"/>
      <c r="K159" s="12"/>
      <c r="L159" s="15"/>
      <c r="M159" s="12"/>
      <c r="N159" s="34"/>
      <c r="O159" s="34"/>
      <c r="P159" s="34"/>
      <c r="Q159" s="34"/>
      <c r="R159" s="34"/>
      <c r="S159" s="91"/>
      <c r="T159" s="12"/>
      <c r="U159" s="94"/>
      <c r="V159" s="108"/>
      <c r="W159" s="80"/>
      <c r="X159" s="82"/>
      <c r="Y159" s="82"/>
      <c r="Z159" s="80"/>
      <c r="AA159" s="80"/>
      <c r="AB159" s="80"/>
      <c r="AC159" s="80"/>
      <c r="AD159" s="98"/>
    </row>
    <row r="160" spans="2:30" s="76" customFormat="1" x14ac:dyDescent="0.2">
      <c r="B160" s="312" t="s">
        <v>4005</v>
      </c>
      <c r="C160" s="16" t="s">
        <v>4021</v>
      </c>
      <c r="D160" s="7"/>
      <c r="E160" s="7"/>
      <c r="F160" s="6" t="s">
        <v>4079</v>
      </c>
      <c r="G160" s="6"/>
      <c r="H160" s="17">
        <v>10301.76</v>
      </c>
      <c r="I160" s="39"/>
      <c r="J160" s="7">
        <v>36690</v>
      </c>
      <c r="K160" s="7"/>
      <c r="L160" s="23"/>
      <c r="M160" s="18"/>
      <c r="N160" s="47"/>
      <c r="O160" s="47"/>
      <c r="P160" s="47"/>
      <c r="Q160" s="47"/>
      <c r="R160" s="47"/>
      <c r="S160" s="162"/>
      <c r="T160" s="7">
        <v>36952</v>
      </c>
      <c r="U160" s="150"/>
      <c r="V160" s="67" t="s">
        <v>347</v>
      </c>
      <c r="W160" s="70" t="s">
        <v>4106</v>
      </c>
      <c r="X160" s="75"/>
      <c r="Y160" s="75"/>
      <c r="Z160" s="70"/>
      <c r="AA160" s="70"/>
      <c r="AB160" s="70"/>
      <c r="AC160" s="70"/>
      <c r="AD160" s="98"/>
    </row>
    <row r="161" spans="2:30" s="76" customFormat="1" ht="13.5" customHeight="1" thickBot="1" x14ac:dyDescent="0.25">
      <c r="B161" s="313"/>
      <c r="C161" s="19"/>
      <c r="D161" s="5"/>
      <c r="E161" s="5"/>
      <c r="F161" s="5" t="s">
        <v>4097</v>
      </c>
      <c r="G161" s="5"/>
      <c r="H161" s="105"/>
      <c r="I161" s="21"/>
      <c r="J161" s="5"/>
      <c r="K161" s="5"/>
      <c r="L161" s="22"/>
      <c r="M161" s="5"/>
      <c r="N161" s="36"/>
      <c r="O161" s="36"/>
      <c r="P161" s="36"/>
      <c r="Q161" s="36"/>
      <c r="R161" s="36"/>
      <c r="S161" s="5"/>
      <c r="T161" s="5"/>
      <c r="U161" s="68"/>
      <c r="V161" s="68" t="s">
        <v>4107</v>
      </c>
      <c r="W161" s="87"/>
      <c r="X161" s="90"/>
      <c r="Y161" s="90"/>
      <c r="Z161" s="87"/>
      <c r="AA161" s="87"/>
      <c r="AB161" s="87"/>
      <c r="AC161" s="87"/>
      <c r="AD161" s="98"/>
    </row>
    <row r="162" spans="2:30" s="76" customFormat="1" x14ac:dyDescent="0.2">
      <c r="B162" s="314"/>
      <c r="C162" s="97"/>
      <c r="D162" s="154"/>
      <c r="E162" s="154"/>
      <c r="F162" s="94"/>
      <c r="G162" s="94"/>
      <c r="H162" s="562"/>
      <c r="I162" s="156"/>
      <c r="J162" s="94"/>
      <c r="K162" s="94"/>
      <c r="L162" s="157"/>
      <c r="M162" s="94"/>
      <c r="N162" s="66"/>
      <c r="O162" s="66"/>
      <c r="P162" s="66"/>
      <c r="Q162" s="66"/>
      <c r="R162" s="66"/>
      <c r="S162" s="91"/>
      <c r="T162" s="94"/>
      <c r="U162" s="94"/>
      <c r="V162" s="108"/>
      <c r="W162" s="108"/>
      <c r="X162" s="158"/>
      <c r="Y162" s="158"/>
      <c r="Z162" s="108"/>
      <c r="AA162" s="108"/>
      <c r="AB162" s="108"/>
      <c r="AC162" s="108"/>
      <c r="AD162" s="98"/>
    </row>
    <row r="163" spans="2:30" s="76" customFormat="1" x14ac:dyDescent="0.2">
      <c r="B163" s="312" t="s">
        <v>4005</v>
      </c>
      <c r="C163" s="16" t="s">
        <v>4021</v>
      </c>
      <c r="D163" s="150"/>
      <c r="E163" s="150"/>
      <c r="F163" s="6" t="s">
        <v>4082</v>
      </c>
      <c r="G163" s="67"/>
      <c r="H163" s="159">
        <v>19676.650000000001</v>
      </c>
      <c r="I163" s="160"/>
      <c r="J163" s="150">
        <v>36795</v>
      </c>
      <c r="K163" s="150"/>
      <c r="L163" s="151"/>
      <c r="M163" s="161"/>
      <c r="N163" s="10"/>
      <c r="O163" s="10"/>
      <c r="P163" s="10"/>
      <c r="Q163" s="10"/>
      <c r="R163" s="10"/>
      <c r="S163" s="162"/>
      <c r="T163" s="150">
        <v>36952</v>
      </c>
      <c r="U163" s="150"/>
      <c r="V163" s="67" t="s">
        <v>347</v>
      </c>
      <c r="W163" s="163" t="s">
        <v>4108</v>
      </c>
      <c r="X163" s="164"/>
      <c r="Y163" s="164"/>
      <c r="Z163" s="163"/>
      <c r="AA163" s="163"/>
      <c r="AB163" s="163"/>
      <c r="AC163" s="163"/>
      <c r="AD163" s="98"/>
    </row>
    <row r="164" spans="2:30" s="76" customFormat="1" ht="13.5" customHeight="1" thickBot="1" x14ac:dyDescent="0.25">
      <c r="B164" s="313"/>
      <c r="C164" s="165"/>
      <c r="D164" s="68"/>
      <c r="E164" s="68"/>
      <c r="F164" s="5" t="s">
        <v>4099</v>
      </c>
      <c r="G164" s="68"/>
      <c r="H164" s="530"/>
      <c r="I164" s="166"/>
      <c r="J164" s="68"/>
      <c r="K164" s="68"/>
      <c r="L164" s="167"/>
      <c r="M164" s="68"/>
      <c r="N164" s="50"/>
      <c r="O164" s="50"/>
      <c r="P164" s="50"/>
      <c r="Q164" s="50"/>
      <c r="R164" s="50"/>
      <c r="S164" s="5"/>
      <c r="T164" s="68"/>
      <c r="U164" s="68"/>
      <c r="V164" s="68" t="s">
        <v>2307</v>
      </c>
      <c r="W164" s="110"/>
      <c r="X164" s="168"/>
      <c r="Y164" s="168"/>
      <c r="Z164" s="110"/>
      <c r="AA164" s="110"/>
      <c r="AB164" s="110"/>
      <c r="AC164" s="110"/>
      <c r="AD164" s="98"/>
    </row>
    <row r="165" spans="2:30" s="76" customFormat="1" x14ac:dyDescent="0.2">
      <c r="B165" s="314"/>
      <c r="C165" s="97"/>
      <c r="D165" s="154"/>
      <c r="E165" s="154"/>
      <c r="F165" s="94"/>
      <c r="G165" s="94"/>
      <c r="H165" s="562"/>
      <c r="I165" s="156"/>
      <c r="J165" s="94"/>
      <c r="K165" s="94"/>
      <c r="L165" s="157"/>
      <c r="M165" s="94"/>
      <c r="N165" s="66"/>
      <c r="O165" s="66"/>
      <c r="P165" s="66"/>
      <c r="Q165" s="66"/>
      <c r="R165" s="66"/>
      <c r="S165" s="91"/>
      <c r="T165" s="94"/>
      <c r="U165" s="94"/>
      <c r="V165" s="108"/>
      <c r="W165" s="108"/>
      <c r="X165" s="158"/>
      <c r="Y165" s="158"/>
      <c r="Z165" s="108"/>
      <c r="AA165" s="108"/>
      <c r="AB165" s="108"/>
      <c r="AC165" s="108"/>
      <c r="AD165" s="98"/>
    </row>
    <row r="166" spans="2:30" s="76" customFormat="1" x14ac:dyDescent="0.2">
      <c r="B166" s="312" t="s">
        <v>4005</v>
      </c>
      <c r="C166" s="16" t="s">
        <v>4021</v>
      </c>
      <c r="D166" s="150"/>
      <c r="E166" s="150"/>
      <c r="F166" s="6" t="s">
        <v>4109</v>
      </c>
      <c r="G166" s="67"/>
      <c r="H166" s="159">
        <v>3659.41</v>
      </c>
      <c r="I166" s="160"/>
      <c r="J166" s="150"/>
      <c r="K166" s="150"/>
      <c r="L166" s="151"/>
      <c r="M166" s="161" t="s">
        <v>4031</v>
      </c>
      <c r="N166" s="10" t="s">
        <v>110</v>
      </c>
      <c r="O166" s="10"/>
      <c r="P166" s="10"/>
      <c r="Q166" s="10"/>
      <c r="R166" s="10"/>
      <c r="S166" s="162"/>
      <c r="T166" s="150">
        <v>36983</v>
      </c>
      <c r="U166" s="150"/>
      <c r="V166" s="67" t="s">
        <v>347</v>
      </c>
      <c r="W166" s="163" t="s">
        <v>4110</v>
      </c>
      <c r="X166" s="164"/>
      <c r="Y166" s="164"/>
      <c r="Z166" s="163"/>
      <c r="AA166" s="163"/>
      <c r="AB166" s="163"/>
      <c r="AC166" s="163"/>
      <c r="AD166" s="98"/>
    </row>
    <row r="167" spans="2:30" s="76" customFormat="1" ht="13.5" customHeight="1" thickBot="1" x14ac:dyDescent="0.25">
      <c r="B167" s="313"/>
      <c r="C167" s="165"/>
      <c r="D167" s="68"/>
      <c r="E167" s="68"/>
      <c r="F167" s="5"/>
      <c r="G167" s="68"/>
      <c r="H167" s="530"/>
      <c r="I167" s="166"/>
      <c r="J167" s="68"/>
      <c r="K167" s="68"/>
      <c r="L167" s="167"/>
      <c r="M167" s="68"/>
      <c r="N167" s="50"/>
      <c r="O167" s="50"/>
      <c r="P167" s="50"/>
      <c r="Q167" s="50"/>
      <c r="R167" s="50"/>
      <c r="S167" s="5"/>
      <c r="T167" s="68"/>
      <c r="U167" s="68"/>
      <c r="V167" s="68" t="s">
        <v>2307</v>
      </c>
      <c r="W167" s="110"/>
      <c r="X167" s="168"/>
      <c r="Y167" s="168"/>
      <c r="Z167" s="110"/>
      <c r="AA167" s="110"/>
      <c r="AB167" s="110"/>
      <c r="AC167" s="110"/>
      <c r="AD167" s="98"/>
    </row>
    <row r="168" spans="2:30" s="76" customFormat="1" x14ac:dyDescent="0.2">
      <c r="B168" s="314"/>
      <c r="C168" s="97"/>
      <c r="D168" s="154"/>
      <c r="E168" s="154"/>
      <c r="F168" s="94"/>
      <c r="G168" s="94"/>
      <c r="H168" s="562"/>
      <c r="I168" s="156"/>
      <c r="J168" s="94"/>
      <c r="K168" s="94"/>
      <c r="L168" s="157"/>
      <c r="M168" s="94"/>
      <c r="N168" s="66"/>
      <c r="O168" s="66"/>
      <c r="P168" s="66"/>
      <c r="Q168" s="66"/>
      <c r="R168" s="66"/>
      <c r="S168" s="91"/>
      <c r="T168" s="94"/>
      <c r="U168" s="94"/>
      <c r="V168" s="108"/>
      <c r="W168" s="108"/>
      <c r="X168" s="158"/>
      <c r="Y168" s="158"/>
      <c r="Z168" s="108"/>
      <c r="AA168" s="108"/>
      <c r="AB168" s="108"/>
      <c r="AC168" s="108"/>
      <c r="AD168" s="98"/>
    </row>
    <row r="169" spans="2:30" s="76" customFormat="1" x14ac:dyDescent="0.2">
      <c r="B169" s="312" t="s">
        <v>4005</v>
      </c>
      <c r="C169" s="16" t="s">
        <v>4021</v>
      </c>
      <c r="D169" s="150"/>
      <c r="E169" s="150"/>
      <c r="F169" s="6" t="s">
        <v>4082</v>
      </c>
      <c r="G169" s="67"/>
      <c r="H169" s="159">
        <v>7308.48</v>
      </c>
      <c r="I169" s="160"/>
      <c r="J169" s="150">
        <v>36795</v>
      </c>
      <c r="K169" s="150"/>
      <c r="L169" s="151"/>
      <c r="M169" s="161" t="s">
        <v>4031</v>
      </c>
      <c r="N169" s="10" t="s">
        <v>110</v>
      </c>
      <c r="O169" s="10"/>
      <c r="P169" s="10"/>
      <c r="Q169" s="10"/>
      <c r="R169" s="10"/>
      <c r="S169" s="162"/>
      <c r="T169" s="150">
        <v>36983</v>
      </c>
      <c r="U169" s="150"/>
      <c r="V169" s="67" t="s">
        <v>347</v>
      </c>
      <c r="W169" s="163" t="s">
        <v>4111</v>
      </c>
      <c r="X169" s="164"/>
      <c r="Y169" s="164"/>
      <c r="Z169" s="163"/>
      <c r="AA169" s="163"/>
      <c r="AB169" s="163"/>
      <c r="AC169" s="163"/>
      <c r="AD169" s="98"/>
    </row>
    <row r="170" spans="2:30" s="76" customFormat="1" ht="13.5" customHeight="1" thickBot="1" x14ac:dyDescent="0.25">
      <c r="B170" s="313"/>
      <c r="C170" s="165"/>
      <c r="D170" s="68"/>
      <c r="E170" s="68"/>
      <c r="F170" s="5" t="s">
        <v>4099</v>
      </c>
      <c r="G170" s="68"/>
      <c r="H170" s="530"/>
      <c r="I170" s="166"/>
      <c r="J170" s="68"/>
      <c r="K170" s="68"/>
      <c r="L170" s="167"/>
      <c r="M170" s="68"/>
      <c r="N170" s="50"/>
      <c r="O170" s="50"/>
      <c r="P170" s="50"/>
      <c r="Q170" s="50"/>
      <c r="R170" s="50"/>
      <c r="S170" s="5"/>
      <c r="T170" s="68"/>
      <c r="U170" s="68"/>
      <c r="V170" s="68" t="s">
        <v>4112</v>
      </c>
      <c r="W170" s="110"/>
      <c r="X170" s="168"/>
      <c r="Y170" s="168"/>
      <c r="Z170" s="110"/>
      <c r="AA170" s="110"/>
      <c r="AB170" s="110"/>
      <c r="AC170" s="110"/>
      <c r="AD170" s="98"/>
    </row>
    <row r="171" spans="2:30" s="76" customFormat="1" x14ac:dyDescent="0.2">
      <c r="B171" s="314"/>
      <c r="C171" s="97"/>
      <c r="D171" s="154"/>
      <c r="E171" s="154"/>
      <c r="F171" s="94"/>
      <c r="G171" s="94"/>
      <c r="H171" s="562"/>
      <c r="I171" s="156"/>
      <c r="J171" s="94"/>
      <c r="K171" s="94"/>
      <c r="L171" s="157"/>
      <c r="M171" s="94"/>
      <c r="N171" s="66"/>
      <c r="O171" s="66"/>
      <c r="P171" s="66"/>
      <c r="Q171" s="66"/>
      <c r="R171" s="66"/>
      <c r="S171" s="91"/>
      <c r="T171" s="94"/>
      <c r="U171" s="94"/>
      <c r="V171" s="108"/>
      <c r="W171" s="108"/>
      <c r="X171" s="158"/>
      <c r="Y171" s="158"/>
      <c r="Z171" s="108"/>
      <c r="AA171" s="108"/>
      <c r="AB171" s="108"/>
      <c r="AC171" s="108"/>
      <c r="AD171" s="98"/>
    </row>
    <row r="172" spans="2:30" s="76" customFormat="1" x14ac:dyDescent="0.2">
      <c r="B172" s="312" t="s">
        <v>4005</v>
      </c>
      <c r="C172" s="16" t="s">
        <v>4021</v>
      </c>
      <c r="D172" s="150"/>
      <c r="E172" s="150"/>
      <c r="F172" s="6" t="s">
        <v>4082</v>
      </c>
      <c r="G172" s="67"/>
      <c r="H172" s="159">
        <v>19676.650000000001</v>
      </c>
      <c r="I172" s="160"/>
      <c r="J172" s="150">
        <v>36795</v>
      </c>
      <c r="K172" s="150"/>
      <c r="L172" s="151"/>
      <c r="M172" s="161" t="s">
        <v>4031</v>
      </c>
      <c r="N172" s="10" t="s">
        <v>110</v>
      </c>
      <c r="O172" s="10"/>
      <c r="P172" s="10"/>
      <c r="Q172" s="10"/>
      <c r="R172" s="10"/>
      <c r="S172" s="162"/>
      <c r="T172" s="150">
        <v>36955</v>
      </c>
      <c r="U172" s="150"/>
      <c r="V172" s="67" t="s">
        <v>347</v>
      </c>
      <c r="W172" s="163" t="s">
        <v>4108</v>
      </c>
      <c r="X172" s="164"/>
      <c r="Y172" s="164"/>
      <c r="Z172" s="163"/>
      <c r="AA172" s="163"/>
      <c r="AB172" s="163"/>
      <c r="AC172" s="163"/>
      <c r="AD172" s="98"/>
    </row>
    <row r="173" spans="2:30" s="76" customFormat="1" ht="13.5" customHeight="1" thickBot="1" x14ac:dyDescent="0.25">
      <c r="B173" s="313"/>
      <c r="C173" s="165"/>
      <c r="D173" s="68"/>
      <c r="E173" s="68"/>
      <c r="F173" s="5" t="s">
        <v>4099</v>
      </c>
      <c r="G173" s="68"/>
      <c r="H173" s="530"/>
      <c r="I173" s="166"/>
      <c r="J173" s="68"/>
      <c r="K173" s="68"/>
      <c r="L173" s="167"/>
      <c r="M173" s="68"/>
      <c r="N173" s="50"/>
      <c r="O173" s="50"/>
      <c r="P173" s="50"/>
      <c r="Q173" s="50"/>
      <c r="R173" s="50"/>
      <c r="S173" s="5"/>
      <c r="T173" s="68"/>
      <c r="U173" s="68"/>
      <c r="V173" s="68" t="s">
        <v>4112</v>
      </c>
      <c r="W173" s="110"/>
      <c r="X173" s="168"/>
      <c r="Y173" s="168"/>
      <c r="Z173" s="110"/>
      <c r="AA173" s="110"/>
      <c r="AB173" s="110"/>
      <c r="AC173" s="110"/>
      <c r="AD173" s="98"/>
    </row>
    <row r="174" spans="2:30" s="76" customFormat="1" x14ac:dyDescent="0.2">
      <c r="B174" s="314"/>
      <c r="C174" s="97"/>
      <c r="D174" s="154"/>
      <c r="E174" s="154"/>
      <c r="F174" s="94"/>
      <c r="G174" s="94"/>
      <c r="H174" s="562"/>
      <c r="I174" s="156"/>
      <c r="J174" s="94"/>
      <c r="K174" s="94"/>
      <c r="L174" s="157"/>
      <c r="M174" s="94"/>
      <c r="N174" s="66"/>
      <c r="O174" s="66"/>
      <c r="P174" s="66"/>
      <c r="Q174" s="66"/>
      <c r="R174" s="66"/>
      <c r="S174" s="91"/>
      <c r="T174" s="94"/>
      <c r="U174" s="94"/>
      <c r="V174" s="108"/>
      <c r="W174" s="108"/>
      <c r="X174" s="158"/>
      <c r="Y174" s="158"/>
      <c r="Z174" s="108"/>
      <c r="AA174" s="108"/>
      <c r="AB174" s="108"/>
      <c r="AC174" s="108"/>
      <c r="AD174" s="98"/>
    </row>
    <row r="175" spans="2:30" s="76" customFormat="1" x14ac:dyDescent="0.2">
      <c r="B175" s="312" t="s">
        <v>4005</v>
      </c>
      <c r="C175" s="16" t="s">
        <v>4021</v>
      </c>
      <c r="D175" s="150"/>
      <c r="E175" s="150"/>
      <c r="F175" s="6" t="s">
        <v>4082</v>
      </c>
      <c r="G175" s="67"/>
      <c r="H175" s="159">
        <v>161271.95000000001</v>
      </c>
      <c r="I175" s="159"/>
      <c r="J175" s="150">
        <v>36795</v>
      </c>
      <c r="K175" s="150"/>
      <c r="L175" s="151"/>
      <c r="M175" s="161" t="s">
        <v>4031</v>
      </c>
      <c r="N175" s="10" t="s">
        <v>42</v>
      </c>
      <c r="O175" s="10"/>
      <c r="P175" s="10"/>
      <c r="Q175" s="10"/>
      <c r="R175" s="10"/>
      <c r="S175" s="162"/>
      <c r="T175" s="150">
        <v>36979</v>
      </c>
      <c r="U175" s="150"/>
      <c r="V175" s="67" t="s">
        <v>347</v>
      </c>
      <c r="W175" s="163" t="s">
        <v>4113</v>
      </c>
      <c r="X175" s="164"/>
      <c r="Y175" s="164"/>
      <c r="Z175" s="163"/>
      <c r="AA175" s="163"/>
      <c r="AB175" s="163"/>
      <c r="AC175" s="163"/>
      <c r="AD175" s="98"/>
    </row>
    <row r="176" spans="2:30" s="76" customFormat="1" ht="13.5" customHeight="1" thickBot="1" x14ac:dyDescent="0.25">
      <c r="B176" s="313"/>
      <c r="C176" s="165"/>
      <c r="D176" s="68"/>
      <c r="E176" s="68"/>
      <c r="F176" s="5" t="s">
        <v>4099</v>
      </c>
      <c r="G176" s="68"/>
      <c r="H176" s="530"/>
      <c r="I176" s="166"/>
      <c r="J176" s="68"/>
      <c r="K176" s="68"/>
      <c r="L176" s="167"/>
      <c r="M176" s="68"/>
      <c r="N176" s="50"/>
      <c r="O176" s="50"/>
      <c r="P176" s="50"/>
      <c r="Q176" s="50"/>
      <c r="R176" s="50"/>
      <c r="S176" s="5"/>
      <c r="T176" s="68"/>
      <c r="U176" s="68"/>
      <c r="V176" s="68" t="s">
        <v>4102</v>
      </c>
      <c r="W176" s="110"/>
      <c r="X176" s="168"/>
      <c r="Y176" s="168"/>
      <c r="Z176" s="110"/>
      <c r="AA176" s="110"/>
      <c r="AB176" s="110"/>
      <c r="AC176" s="110"/>
      <c r="AD176" s="98"/>
    </row>
    <row r="177" spans="2:30" s="76" customFormat="1" x14ac:dyDescent="0.2">
      <c r="B177" s="314"/>
      <c r="C177" s="97"/>
      <c r="D177" s="154"/>
      <c r="E177" s="154"/>
      <c r="F177" s="94"/>
      <c r="G177" s="94"/>
      <c r="H177" s="562"/>
      <c r="I177" s="156"/>
      <c r="J177" s="94"/>
      <c r="K177" s="94"/>
      <c r="L177" s="157"/>
      <c r="M177" s="94"/>
      <c r="N177" s="66"/>
      <c r="O177" s="66"/>
      <c r="P177" s="66"/>
      <c r="Q177" s="66"/>
      <c r="R177" s="66"/>
      <c r="S177" s="91"/>
      <c r="T177" s="94"/>
      <c r="U177" s="94"/>
      <c r="V177" s="108"/>
      <c r="W177" s="108"/>
      <c r="X177" s="158"/>
      <c r="Y177" s="158"/>
      <c r="Z177" s="108"/>
      <c r="AA177" s="108"/>
      <c r="AB177" s="108"/>
      <c r="AC177" s="108"/>
      <c r="AD177" s="98"/>
    </row>
    <row r="178" spans="2:30" s="76" customFormat="1" x14ac:dyDescent="0.2">
      <c r="B178" s="312" t="s">
        <v>4005</v>
      </c>
      <c r="C178" s="16" t="s">
        <v>4021</v>
      </c>
      <c r="D178" s="150"/>
      <c r="E178" s="150"/>
      <c r="F178" s="6" t="s">
        <v>4076</v>
      </c>
      <c r="G178" s="67"/>
      <c r="H178" s="159">
        <v>40421.19</v>
      </c>
      <c r="I178" s="160"/>
      <c r="J178" s="150">
        <v>36795</v>
      </c>
      <c r="K178" s="150"/>
      <c r="L178" s="151"/>
      <c r="M178" s="161" t="s">
        <v>4031</v>
      </c>
      <c r="N178" s="10" t="s">
        <v>42</v>
      </c>
      <c r="O178" s="10"/>
      <c r="P178" s="10"/>
      <c r="Q178" s="10"/>
      <c r="R178" s="10"/>
      <c r="S178" s="162"/>
      <c r="T178" s="150">
        <v>36979</v>
      </c>
      <c r="U178" s="150"/>
      <c r="V178" s="67" t="s">
        <v>347</v>
      </c>
      <c r="W178" s="163" t="s">
        <v>4114</v>
      </c>
      <c r="X178" s="164"/>
      <c r="Y178" s="164"/>
      <c r="Z178" s="163"/>
      <c r="AA178" s="163"/>
      <c r="AB178" s="163"/>
      <c r="AC178" s="163"/>
      <c r="AD178" s="98"/>
    </row>
    <row r="179" spans="2:30" s="76" customFormat="1" ht="13.5" customHeight="1" thickBot="1" x14ac:dyDescent="0.25">
      <c r="B179" s="313"/>
      <c r="C179" s="165"/>
      <c r="D179" s="68"/>
      <c r="E179" s="68"/>
      <c r="F179" s="5" t="s">
        <v>4115</v>
      </c>
      <c r="G179" s="68"/>
      <c r="H179" s="530"/>
      <c r="I179" s="166"/>
      <c r="J179" s="68"/>
      <c r="K179" s="68"/>
      <c r="L179" s="167"/>
      <c r="M179" s="68"/>
      <c r="N179" s="50"/>
      <c r="O179" s="50"/>
      <c r="P179" s="50"/>
      <c r="Q179" s="50"/>
      <c r="R179" s="50"/>
      <c r="S179" s="5"/>
      <c r="T179" s="68"/>
      <c r="U179" s="68"/>
      <c r="V179" s="68" t="s">
        <v>4102</v>
      </c>
      <c r="W179" s="110"/>
      <c r="X179" s="168"/>
      <c r="Y179" s="168"/>
      <c r="Z179" s="110"/>
      <c r="AA179" s="110"/>
      <c r="AB179" s="110"/>
      <c r="AC179" s="110"/>
      <c r="AD179" s="98"/>
    </row>
    <row r="180" spans="2:30" s="76" customFormat="1" x14ac:dyDescent="0.2">
      <c r="B180" s="314"/>
      <c r="C180" s="11"/>
      <c r="D180" s="91"/>
      <c r="E180" s="91"/>
      <c r="F180" s="12"/>
      <c r="G180" s="94"/>
      <c r="H180" s="562"/>
      <c r="I180" s="14"/>
      <c r="J180" s="12"/>
      <c r="K180" s="12"/>
      <c r="L180" s="15"/>
      <c r="M180" s="12"/>
      <c r="N180" s="34"/>
      <c r="O180" s="34"/>
      <c r="P180" s="34"/>
      <c r="Q180" s="34"/>
      <c r="R180" s="34"/>
      <c r="S180" s="91"/>
      <c r="T180" s="12"/>
      <c r="U180" s="94"/>
      <c r="V180" s="108"/>
      <c r="W180" s="80"/>
      <c r="X180" s="82"/>
      <c r="Y180" s="82"/>
      <c r="Z180" s="80"/>
      <c r="AA180" s="80"/>
      <c r="AB180" s="80"/>
      <c r="AC180" s="80"/>
      <c r="AD180" s="98"/>
    </row>
    <row r="181" spans="2:30" s="76" customFormat="1" x14ac:dyDescent="0.2">
      <c r="B181" s="312" t="s">
        <v>4005</v>
      </c>
      <c r="C181" s="16" t="s">
        <v>4021</v>
      </c>
      <c r="D181" s="7"/>
      <c r="E181" s="7"/>
      <c r="F181" s="6" t="s">
        <v>4079</v>
      </c>
      <c r="G181" s="6"/>
      <c r="H181" s="17">
        <v>10301.76</v>
      </c>
      <c r="I181" s="39"/>
      <c r="J181" s="7">
        <v>36690</v>
      </c>
      <c r="K181" s="7"/>
      <c r="L181" s="23"/>
      <c r="M181" s="18" t="s">
        <v>4031</v>
      </c>
      <c r="N181" s="47" t="s">
        <v>110</v>
      </c>
      <c r="O181" s="47"/>
      <c r="P181" s="47"/>
      <c r="Q181" s="47"/>
      <c r="R181" s="47"/>
      <c r="S181" s="162"/>
      <c r="T181" s="7">
        <v>36955</v>
      </c>
      <c r="U181" s="150"/>
      <c r="V181" s="67" t="s">
        <v>347</v>
      </c>
      <c r="W181" s="70" t="s">
        <v>4106</v>
      </c>
      <c r="X181" s="75"/>
      <c r="Y181" s="75"/>
      <c r="Z181" s="70"/>
      <c r="AA181" s="70"/>
      <c r="AB181" s="70"/>
      <c r="AC181" s="70"/>
      <c r="AD181" s="98"/>
    </row>
    <row r="182" spans="2:30" s="76" customFormat="1" ht="13.5" customHeight="1" thickBot="1" x14ac:dyDescent="0.25">
      <c r="B182" s="313"/>
      <c r="C182" s="19"/>
      <c r="D182" s="5"/>
      <c r="E182" s="5"/>
      <c r="F182" s="5" t="s">
        <v>4097</v>
      </c>
      <c r="G182" s="5"/>
      <c r="H182" s="105"/>
      <c r="I182" s="21"/>
      <c r="J182" s="5"/>
      <c r="K182" s="5"/>
      <c r="L182" s="22"/>
      <c r="M182" s="5"/>
      <c r="N182" s="36"/>
      <c r="O182" s="36"/>
      <c r="P182" s="36"/>
      <c r="Q182" s="36"/>
      <c r="R182" s="36"/>
      <c r="S182" s="5"/>
      <c r="T182" s="5"/>
      <c r="U182" s="68"/>
      <c r="V182" s="68" t="s">
        <v>4116</v>
      </c>
      <c r="W182" s="87"/>
      <c r="X182" s="90"/>
      <c r="Y182" s="90"/>
      <c r="Z182" s="87"/>
      <c r="AA182" s="87"/>
      <c r="AB182" s="87"/>
      <c r="AC182" s="87"/>
      <c r="AD182" s="98"/>
    </row>
    <row r="183" spans="2:30" s="76" customFormat="1" x14ac:dyDescent="0.2">
      <c r="B183" s="314"/>
      <c r="C183" s="11"/>
      <c r="D183" s="91"/>
      <c r="E183" s="91"/>
      <c r="F183" s="12"/>
      <c r="G183" s="94"/>
      <c r="H183" s="562"/>
      <c r="I183" s="14"/>
      <c r="J183" s="12"/>
      <c r="K183" s="12"/>
      <c r="L183" s="15"/>
      <c r="M183" s="12"/>
      <c r="N183" s="34"/>
      <c r="O183" s="34"/>
      <c r="P183" s="34"/>
      <c r="Q183" s="34"/>
      <c r="R183" s="34"/>
      <c r="S183" s="91"/>
      <c r="T183" s="12"/>
      <c r="U183" s="94"/>
      <c r="V183" s="108"/>
      <c r="W183" s="80"/>
      <c r="X183" s="82"/>
      <c r="Y183" s="82"/>
      <c r="Z183" s="80"/>
      <c r="AA183" s="80"/>
      <c r="AB183" s="80"/>
      <c r="AC183" s="80"/>
      <c r="AD183" s="98"/>
    </row>
    <row r="184" spans="2:30" s="76" customFormat="1" x14ac:dyDescent="0.2">
      <c r="B184" s="312" t="s">
        <v>4005</v>
      </c>
      <c r="C184" s="16" t="s">
        <v>4021</v>
      </c>
      <c r="D184" s="7"/>
      <c r="E184" s="7"/>
      <c r="F184" s="6" t="s">
        <v>4079</v>
      </c>
      <c r="G184" s="6"/>
      <c r="H184" s="17">
        <v>59022.6</v>
      </c>
      <c r="I184" s="39"/>
      <c r="J184" s="7">
        <v>36690</v>
      </c>
      <c r="K184" s="7"/>
      <c r="L184" s="23"/>
      <c r="M184" s="18" t="s">
        <v>4031</v>
      </c>
      <c r="N184" s="47" t="s">
        <v>110</v>
      </c>
      <c r="O184" s="47"/>
      <c r="P184" s="47"/>
      <c r="Q184" s="47"/>
      <c r="R184" s="47"/>
      <c r="S184" s="162"/>
      <c r="T184" s="7">
        <v>36983</v>
      </c>
      <c r="U184" s="150"/>
      <c r="V184" s="67" t="s">
        <v>347</v>
      </c>
      <c r="W184" s="70" t="s">
        <v>4117</v>
      </c>
      <c r="X184" s="75"/>
      <c r="Y184" s="75"/>
      <c r="Z184" s="70"/>
      <c r="AA184" s="70"/>
      <c r="AB184" s="70"/>
      <c r="AC184" s="70"/>
      <c r="AD184" s="98"/>
    </row>
    <row r="185" spans="2:30" s="76" customFormat="1" ht="13.5" customHeight="1" thickBot="1" x14ac:dyDescent="0.25">
      <c r="B185" s="313"/>
      <c r="C185" s="19"/>
      <c r="D185" s="5"/>
      <c r="E185" s="5"/>
      <c r="F185" s="5" t="s">
        <v>4097</v>
      </c>
      <c r="G185" s="5"/>
      <c r="H185" s="105"/>
      <c r="I185" s="21"/>
      <c r="J185" s="5"/>
      <c r="K185" s="5"/>
      <c r="L185" s="22"/>
      <c r="M185" s="5"/>
      <c r="N185" s="36"/>
      <c r="O185" s="36"/>
      <c r="P185" s="36"/>
      <c r="Q185" s="36"/>
      <c r="R185" s="36"/>
      <c r="S185" s="5"/>
      <c r="T185" s="5"/>
      <c r="U185" s="68"/>
      <c r="V185" s="68" t="s">
        <v>4118</v>
      </c>
      <c r="W185" s="87"/>
      <c r="X185" s="90"/>
      <c r="Y185" s="90"/>
      <c r="Z185" s="87"/>
      <c r="AA185" s="87"/>
      <c r="AB185" s="87"/>
      <c r="AC185" s="87"/>
      <c r="AD185" s="98"/>
    </row>
    <row r="186" spans="2:30" s="76" customFormat="1" x14ac:dyDescent="0.2">
      <c r="B186" s="314"/>
      <c r="C186" s="97"/>
      <c r="D186" s="154"/>
      <c r="E186" s="154"/>
      <c r="F186" s="94"/>
      <c r="G186" s="94"/>
      <c r="H186" s="562"/>
      <c r="I186" s="156"/>
      <c r="J186" s="94"/>
      <c r="K186" s="94"/>
      <c r="L186" s="157"/>
      <c r="M186" s="94"/>
      <c r="N186" s="66"/>
      <c r="O186" s="66"/>
      <c r="P186" s="66"/>
      <c r="Q186" s="66"/>
      <c r="R186" s="66"/>
      <c r="S186" s="91"/>
      <c r="T186" s="94"/>
      <c r="U186" s="94"/>
      <c r="V186" s="108"/>
      <c r="W186" s="108"/>
      <c r="X186" s="158"/>
      <c r="Y186" s="158"/>
      <c r="Z186" s="108"/>
      <c r="AA186" s="108"/>
      <c r="AB186" s="108"/>
      <c r="AC186" s="108"/>
      <c r="AD186" s="98"/>
    </row>
    <row r="187" spans="2:30" s="76" customFormat="1" x14ac:dyDescent="0.2">
      <c r="B187" s="312" t="s">
        <v>4005</v>
      </c>
      <c r="C187" s="16" t="s">
        <v>4021</v>
      </c>
      <c r="D187" s="150"/>
      <c r="E187" s="150"/>
      <c r="F187" s="6" t="s">
        <v>4085</v>
      </c>
      <c r="G187" s="67"/>
      <c r="H187" s="159">
        <v>1055.07</v>
      </c>
      <c r="I187" s="160"/>
      <c r="J187" s="150">
        <v>36853</v>
      </c>
      <c r="K187" s="150"/>
      <c r="L187" s="151"/>
      <c r="M187" s="161" t="s">
        <v>4031</v>
      </c>
      <c r="N187" s="10" t="s">
        <v>42</v>
      </c>
      <c r="O187" s="10"/>
      <c r="P187" s="10"/>
      <c r="Q187" s="10"/>
      <c r="R187" s="10"/>
      <c r="S187" s="162"/>
      <c r="T187" s="150">
        <v>36979</v>
      </c>
      <c r="U187" s="150"/>
      <c r="V187" s="67" t="s">
        <v>347</v>
      </c>
      <c r="W187" s="163" t="s">
        <v>4119</v>
      </c>
      <c r="X187" s="164"/>
      <c r="Y187" s="164"/>
      <c r="Z187" s="163"/>
      <c r="AA187" s="163"/>
      <c r="AB187" s="163"/>
      <c r="AC187" s="163"/>
      <c r="AD187" s="98"/>
    </row>
    <row r="188" spans="2:30" s="76" customFormat="1" ht="13.5" customHeight="1" thickBot="1" x14ac:dyDescent="0.25">
      <c r="B188" s="313"/>
      <c r="C188" s="165"/>
      <c r="D188" s="68"/>
      <c r="E188" s="68"/>
      <c r="F188" s="5" t="s">
        <v>4120</v>
      </c>
      <c r="G188" s="68"/>
      <c r="H188" s="530"/>
      <c r="I188" s="166"/>
      <c r="J188" s="68"/>
      <c r="K188" s="68"/>
      <c r="L188" s="167"/>
      <c r="M188" s="68"/>
      <c r="N188" s="50"/>
      <c r="O188" s="50"/>
      <c r="P188" s="50"/>
      <c r="Q188" s="50"/>
      <c r="R188" s="50"/>
      <c r="S188" s="5"/>
      <c r="T188" s="68"/>
      <c r="U188" s="68"/>
      <c r="V188" s="68" t="s">
        <v>4102</v>
      </c>
      <c r="W188" s="110"/>
      <c r="X188" s="168"/>
      <c r="Y188" s="168"/>
      <c r="Z188" s="110"/>
      <c r="AA188" s="110"/>
      <c r="AB188" s="110"/>
      <c r="AC188" s="110"/>
      <c r="AD188" s="98"/>
    </row>
    <row r="189" spans="2:30" s="76" customFormat="1" x14ac:dyDescent="0.2">
      <c r="B189" s="314"/>
      <c r="C189" s="11"/>
      <c r="D189" s="91"/>
      <c r="E189" s="91"/>
      <c r="F189" s="12"/>
      <c r="G189" s="12"/>
      <c r="H189" s="148"/>
      <c r="I189" s="14"/>
      <c r="J189" s="12"/>
      <c r="K189" s="12"/>
      <c r="L189" s="15"/>
      <c r="M189" s="12"/>
      <c r="N189" s="34"/>
      <c r="O189" s="34"/>
      <c r="P189" s="34"/>
      <c r="Q189" s="34"/>
      <c r="R189" s="34"/>
      <c r="S189" s="12"/>
      <c r="T189" s="12"/>
      <c r="U189" s="94"/>
      <c r="V189" s="108"/>
      <c r="W189" s="80"/>
      <c r="X189" s="82"/>
      <c r="Y189" s="82"/>
      <c r="Z189" s="80"/>
      <c r="AA189" s="80"/>
      <c r="AB189" s="80"/>
      <c r="AC189" s="80"/>
      <c r="AD189" s="98"/>
    </row>
    <row r="190" spans="2:30" s="76" customFormat="1" x14ac:dyDescent="0.2">
      <c r="B190" s="312" t="s">
        <v>4005</v>
      </c>
      <c r="C190" s="16" t="s">
        <v>4021</v>
      </c>
      <c r="D190" s="7"/>
      <c r="E190" s="7"/>
      <c r="F190" s="6" t="s">
        <v>4105</v>
      </c>
      <c r="G190" s="6"/>
      <c r="H190" s="17">
        <v>11408</v>
      </c>
      <c r="I190" s="39"/>
      <c r="J190" s="7"/>
      <c r="K190" s="7"/>
      <c r="L190" s="23"/>
      <c r="M190" s="18" t="s">
        <v>4031</v>
      </c>
      <c r="N190" s="47" t="s">
        <v>42</v>
      </c>
      <c r="O190" s="47"/>
      <c r="P190" s="47"/>
      <c r="Q190" s="47"/>
      <c r="R190" s="47"/>
      <c r="S190" s="7">
        <v>36965</v>
      </c>
      <c r="T190" s="7">
        <v>37007</v>
      </c>
      <c r="U190" s="150"/>
      <c r="V190" s="67"/>
      <c r="W190" s="70">
        <v>703</v>
      </c>
      <c r="X190" s="75"/>
      <c r="Y190" s="75"/>
      <c r="Z190" s="70">
        <v>6666060236</v>
      </c>
      <c r="AA190" s="74"/>
      <c r="AB190" s="70"/>
      <c r="AC190" s="70"/>
      <c r="AD190" s="98"/>
    </row>
    <row r="191" spans="2:30" s="76" customFormat="1" ht="13.5" customHeight="1" thickBot="1" x14ac:dyDescent="0.25">
      <c r="B191" s="313"/>
      <c r="C191" s="19"/>
      <c r="D191" s="5"/>
      <c r="E191" s="5"/>
      <c r="F191" s="5"/>
      <c r="G191" s="5"/>
      <c r="H191" s="26" t="s">
        <v>4121</v>
      </c>
      <c r="I191" s="21"/>
      <c r="J191" s="5"/>
      <c r="K191" s="5"/>
      <c r="L191" s="22"/>
      <c r="M191" s="5"/>
      <c r="N191" s="36"/>
      <c r="O191" s="36"/>
      <c r="P191" s="36"/>
      <c r="Q191" s="36"/>
      <c r="R191" s="36"/>
      <c r="S191" s="27"/>
      <c r="T191" s="5"/>
      <c r="U191" s="68"/>
      <c r="V191" s="68"/>
      <c r="W191" s="87"/>
      <c r="X191" s="90"/>
      <c r="Y191" s="90"/>
      <c r="Z191" s="87"/>
      <c r="AA191" s="87"/>
      <c r="AB191" s="87"/>
      <c r="AC191" s="87"/>
      <c r="AD191" s="98"/>
    </row>
    <row r="192" spans="2:30" s="76" customFormat="1" x14ac:dyDescent="0.2">
      <c r="B192" s="314"/>
      <c r="C192" s="11"/>
      <c r="D192" s="91"/>
      <c r="E192" s="91"/>
      <c r="F192" s="12"/>
      <c r="G192" s="12"/>
      <c r="H192" s="148"/>
      <c r="I192" s="14"/>
      <c r="J192" s="12"/>
      <c r="K192" s="12"/>
      <c r="L192" s="15"/>
      <c r="M192" s="12"/>
      <c r="N192" s="34"/>
      <c r="O192" s="34"/>
      <c r="P192" s="34"/>
      <c r="Q192" s="34"/>
      <c r="R192" s="34"/>
      <c r="S192" s="12"/>
      <c r="T192" s="12"/>
      <c r="U192" s="94"/>
      <c r="V192" s="108"/>
      <c r="W192" s="80"/>
      <c r="X192" s="82"/>
      <c r="Y192" s="82"/>
      <c r="Z192" s="80"/>
      <c r="AA192" s="80"/>
      <c r="AB192" s="80"/>
      <c r="AC192" s="80"/>
      <c r="AD192" s="98"/>
    </row>
    <row r="193" spans="2:30" s="76" customFormat="1" x14ac:dyDescent="0.2">
      <c r="B193" s="312" t="s">
        <v>4005</v>
      </c>
      <c r="C193" s="16" t="s">
        <v>4021</v>
      </c>
      <c r="D193" s="7"/>
      <c r="E193" s="7"/>
      <c r="F193" s="6" t="s">
        <v>4122</v>
      </c>
      <c r="G193" s="6"/>
      <c r="H193" s="17">
        <v>3296</v>
      </c>
      <c r="I193" s="39"/>
      <c r="J193" s="7"/>
      <c r="K193" s="7"/>
      <c r="L193" s="23"/>
      <c r="M193" s="18" t="s">
        <v>4031</v>
      </c>
      <c r="N193" s="47" t="s">
        <v>42</v>
      </c>
      <c r="O193" s="47"/>
      <c r="P193" s="47"/>
      <c r="Q193" s="47"/>
      <c r="R193" s="47"/>
      <c r="S193" s="7">
        <v>36965</v>
      </c>
      <c r="T193" s="7">
        <v>37007</v>
      </c>
      <c r="U193" s="150"/>
      <c r="V193" s="67"/>
      <c r="W193" s="70">
        <v>703</v>
      </c>
      <c r="X193" s="75"/>
      <c r="Y193" s="75"/>
      <c r="Z193" s="70">
        <v>6666060236</v>
      </c>
      <c r="AA193" s="74"/>
      <c r="AB193" s="70"/>
      <c r="AC193" s="70"/>
      <c r="AD193" s="98"/>
    </row>
    <row r="194" spans="2:30" s="76" customFormat="1" ht="13.5" customHeight="1" thickBot="1" x14ac:dyDescent="0.25">
      <c r="B194" s="313"/>
      <c r="C194" s="19"/>
      <c r="D194" s="5"/>
      <c r="E194" s="5"/>
      <c r="F194" s="5"/>
      <c r="G194" s="5"/>
      <c r="H194" s="26" t="s">
        <v>4121</v>
      </c>
      <c r="I194" s="21"/>
      <c r="J194" s="5"/>
      <c r="K194" s="5"/>
      <c r="L194" s="22"/>
      <c r="M194" s="5"/>
      <c r="N194" s="36"/>
      <c r="O194" s="36"/>
      <c r="P194" s="36"/>
      <c r="Q194" s="36"/>
      <c r="R194" s="36"/>
      <c r="S194" s="27"/>
      <c r="T194" s="5"/>
      <c r="U194" s="68"/>
      <c r="V194" s="68"/>
      <c r="W194" s="87"/>
      <c r="X194" s="90"/>
      <c r="Y194" s="90"/>
      <c r="Z194" s="87"/>
      <c r="AA194" s="87"/>
      <c r="AB194" s="87"/>
      <c r="AC194" s="87"/>
      <c r="AD194" s="98"/>
    </row>
    <row r="195" spans="2:30" s="76" customFormat="1" x14ac:dyDescent="0.2">
      <c r="B195" s="314"/>
      <c r="C195" s="11"/>
      <c r="D195" s="91"/>
      <c r="E195" s="91"/>
      <c r="F195" s="12"/>
      <c r="G195" s="12"/>
      <c r="H195" s="148"/>
      <c r="I195" s="14"/>
      <c r="J195" s="12"/>
      <c r="K195" s="12"/>
      <c r="L195" s="15"/>
      <c r="M195" s="12"/>
      <c r="N195" s="34"/>
      <c r="O195" s="34"/>
      <c r="P195" s="34"/>
      <c r="Q195" s="34"/>
      <c r="R195" s="34"/>
      <c r="S195" s="12"/>
      <c r="T195" s="12"/>
      <c r="U195" s="94"/>
      <c r="V195" s="108"/>
      <c r="W195" s="80"/>
      <c r="X195" s="82"/>
      <c r="Y195" s="82"/>
      <c r="Z195" s="80"/>
      <c r="AA195" s="80"/>
      <c r="AB195" s="80"/>
      <c r="AC195" s="80"/>
      <c r="AD195" s="98"/>
    </row>
    <row r="196" spans="2:30" s="76" customFormat="1" x14ac:dyDescent="0.2">
      <c r="B196" s="312" t="s">
        <v>4005</v>
      </c>
      <c r="C196" s="16" t="s">
        <v>4021</v>
      </c>
      <c r="D196" s="7"/>
      <c r="E196" s="7"/>
      <c r="F196" s="6" t="s">
        <v>4104</v>
      </c>
      <c r="G196" s="6"/>
      <c r="H196" s="17">
        <v>1354</v>
      </c>
      <c r="I196" s="39"/>
      <c r="J196" s="7"/>
      <c r="K196" s="7"/>
      <c r="L196" s="23"/>
      <c r="M196" s="18" t="s">
        <v>4031</v>
      </c>
      <c r="N196" s="47" t="s">
        <v>42</v>
      </c>
      <c r="O196" s="47"/>
      <c r="P196" s="47"/>
      <c r="Q196" s="47"/>
      <c r="R196" s="47"/>
      <c r="S196" s="7">
        <v>37008</v>
      </c>
      <c r="T196" s="7">
        <v>37025</v>
      </c>
      <c r="U196" s="150"/>
      <c r="V196" s="67" t="s">
        <v>4123</v>
      </c>
      <c r="W196" s="70">
        <v>712</v>
      </c>
      <c r="X196" s="75"/>
      <c r="Y196" s="75"/>
      <c r="Z196" s="70">
        <v>6512520711</v>
      </c>
      <c r="AA196" s="74"/>
      <c r="AB196" s="70"/>
      <c r="AC196" s="70"/>
      <c r="AD196" s="98"/>
    </row>
    <row r="197" spans="2:30" s="76" customFormat="1" ht="13.5" customHeight="1" thickBot="1" x14ac:dyDescent="0.25">
      <c r="B197" s="313"/>
      <c r="C197" s="19"/>
      <c r="D197" s="5"/>
      <c r="E197" s="5"/>
      <c r="F197" s="106"/>
      <c r="G197" s="106"/>
      <c r="H197" s="26" t="s">
        <v>4124</v>
      </c>
      <c r="I197" s="21"/>
      <c r="J197" s="5"/>
      <c r="K197" s="5"/>
      <c r="L197" s="22"/>
      <c r="M197" s="5"/>
      <c r="N197" s="36"/>
      <c r="O197" s="36"/>
      <c r="P197" s="36"/>
      <c r="Q197" s="36"/>
      <c r="R197" s="36"/>
      <c r="S197" s="27" t="s">
        <v>730</v>
      </c>
      <c r="T197" s="5" t="s">
        <v>4125</v>
      </c>
      <c r="U197" s="68"/>
      <c r="V197" s="68"/>
      <c r="W197" s="87"/>
      <c r="X197" s="90"/>
      <c r="Y197" s="90"/>
      <c r="Z197" s="87"/>
      <c r="AA197" s="87"/>
      <c r="AB197" s="87"/>
      <c r="AC197" s="87"/>
      <c r="AD197" s="98"/>
    </row>
    <row r="198" spans="2:30" s="76" customFormat="1" x14ac:dyDescent="0.2">
      <c r="B198" s="314"/>
      <c r="C198" s="11"/>
      <c r="D198" s="91"/>
      <c r="E198" s="91"/>
      <c r="F198" s="12"/>
      <c r="G198" s="12"/>
      <c r="H198" s="148"/>
      <c r="I198" s="14"/>
      <c r="J198" s="12"/>
      <c r="K198" s="12"/>
      <c r="L198" s="15"/>
      <c r="M198" s="12"/>
      <c r="N198" s="34"/>
      <c r="O198" s="34"/>
      <c r="P198" s="34"/>
      <c r="Q198" s="34"/>
      <c r="R198" s="34"/>
      <c r="S198" s="12"/>
      <c r="T198" s="12"/>
      <c r="U198" s="94"/>
      <c r="V198" s="108"/>
      <c r="W198" s="80"/>
      <c r="X198" s="82"/>
      <c r="Y198" s="82"/>
      <c r="Z198" s="80"/>
      <c r="AA198" s="80"/>
      <c r="AB198" s="80"/>
      <c r="AC198" s="80"/>
      <c r="AD198" s="98"/>
    </row>
    <row r="199" spans="2:30" s="76" customFormat="1" x14ac:dyDescent="0.2">
      <c r="B199" s="312" t="s">
        <v>4005</v>
      </c>
      <c r="C199" s="16" t="s">
        <v>4021</v>
      </c>
      <c r="D199" s="7"/>
      <c r="E199" s="7"/>
      <c r="F199" s="6" t="s">
        <v>4105</v>
      </c>
      <c r="G199" s="6"/>
      <c r="H199" s="17">
        <v>1094</v>
      </c>
      <c r="I199" s="39"/>
      <c r="J199" s="7"/>
      <c r="K199" s="7"/>
      <c r="L199" s="23"/>
      <c r="M199" s="18" t="s">
        <v>4031</v>
      </c>
      <c r="N199" s="47" t="s">
        <v>42</v>
      </c>
      <c r="O199" s="47"/>
      <c r="P199" s="47"/>
      <c r="Q199" s="47"/>
      <c r="R199" s="47"/>
      <c r="S199" s="7">
        <v>37008</v>
      </c>
      <c r="T199" s="7">
        <v>37025</v>
      </c>
      <c r="U199" s="150"/>
      <c r="V199" s="67" t="s">
        <v>4126</v>
      </c>
      <c r="W199" s="70">
        <v>712</v>
      </c>
      <c r="X199" s="75"/>
      <c r="Y199" s="75"/>
      <c r="Z199" s="70">
        <v>6512520711</v>
      </c>
      <c r="AA199" s="74"/>
      <c r="AB199" s="70"/>
      <c r="AC199" s="70"/>
      <c r="AD199" s="98"/>
    </row>
    <row r="200" spans="2:30" s="76" customFormat="1" ht="13.5" customHeight="1" thickBot="1" x14ac:dyDescent="0.25">
      <c r="B200" s="313"/>
      <c r="C200" s="19"/>
      <c r="D200" s="5"/>
      <c r="E200" s="5"/>
      <c r="F200" s="5"/>
      <c r="G200" s="5"/>
      <c r="H200" s="26" t="s">
        <v>4124</v>
      </c>
      <c r="I200" s="21"/>
      <c r="J200" s="5"/>
      <c r="K200" s="5"/>
      <c r="L200" s="22"/>
      <c r="M200" s="5"/>
      <c r="N200" s="36"/>
      <c r="O200" s="36"/>
      <c r="P200" s="36"/>
      <c r="Q200" s="36"/>
      <c r="R200" s="36"/>
      <c r="S200" s="27" t="s">
        <v>730</v>
      </c>
      <c r="T200" s="5" t="s">
        <v>4125</v>
      </c>
      <c r="U200" s="5"/>
      <c r="V200" s="87"/>
      <c r="W200" s="87"/>
      <c r="X200" s="90"/>
      <c r="Y200" s="90"/>
      <c r="Z200" s="87"/>
      <c r="AA200" s="87"/>
      <c r="AB200" s="87"/>
      <c r="AC200" s="87"/>
      <c r="AD200" s="98"/>
    </row>
    <row r="201" spans="2:30" s="76" customFormat="1" x14ac:dyDescent="0.2">
      <c r="B201" s="314"/>
      <c r="C201" s="11"/>
      <c r="D201" s="91"/>
      <c r="E201" s="91"/>
      <c r="F201" s="12"/>
      <c r="G201" s="12"/>
      <c r="H201" s="148"/>
      <c r="I201" s="14"/>
      <c r="J201" s="12"/>
      <c r="K201" s="12"/>
      <c r="L201" s="15"/>
      <c r="M201" s="12"/>
      <c r="N201" s="34"/>
      <c r="O201" s="34"/>
      <c r="P201" s="34"/>
      <c r="Q201" s="34"/>
      <c r="R201" s="34"/>
      <c r="S201" s="12"/>
      <c r="T201" s="12"/>
      <c r="U201" s="94"/>
      <c r="V201" s="108"/>
      <c r="W201" s="80"/>
      <c r="X201" s="82"/>
      <c r="Y201" s="82"/>
      <c r="Z201" s="80"/>
      <c r="AA201" s="80"/>
      <c r="AB201" s="80"/>
      <c r="AC201" s="80"/>
      <c r="AD201" s="98"/>
    </row>
    <row r="202" spans="2:30" s="76" customFormat="1" x14ac:dyDescent="0.2">
      <c r="B202" s="312" t="s">
        <v>4005</v>
      </c>
      <c r="C202" s="16" t="s">
        <v>4021</v>
      </c>
      <c r="D202" s="7"/>
      <c r="E202" s="7"/>
      <c r="F202" s="6" t="s">
        <v>4122</v>
      </c>
      <c r="G202" s="6"/>
      <c r="H202" s="17">
        <v>24201</v>
      </c>
      <c r="I202" s="39"/>
      <c r="J202" s="7"/>
      <c r="K202" s="7"/>
      <c r="L202" s="23"/>
      <c r="M202" s="18" t="s">
        <v>4031</v>
      </c>
      <c r="N202" s="47" t="s">
        <v>42</v>
      </c>
      <c r="O202" s="47"/>
      <c r="P202" s="47"/>
      <c r="Q202" s="47"/>
      <c r="R202" s="47"/>
      <c r="S202" s="7">
        <v>37008</v>
      </c>
      <c r="T202" s="7">
        <v>37025</v>
      </c>
      <c r="U202" s="150"/>
      <c r="V202" s="67"/>
      <c r="W202" s="70">
        <v>712</v>
      </c>
      <c r="X202" s="75"/>
      <c r="Y202" s="75"/>
      <c r="Z202" s="70">
        <v>6512520711</v>
      </c>
      <c r="AA202" s="74"/>
      <c r="AB202" s="70"/>
      <c r="AC202" s="70"/>
      <c r="AD202" s="98"/>
    </row>
    <row r="203" spans="2:30" s="76" customFormat="1" ht="13.5" customHeight="1" thickBot="1" x14ac:dyDescent="0.25">
      <c r="B203" s="313"/>
      <c r="C203" s="19"/>
      <c r="D203" s="5"/>
      <c r="E203" s="5"/>
      <c r="F203" s="5"/>
      <c r="G203" s="5"/>
      <c r="H203" s="26" t="s">
        <v>4124</v>
      </c>
      <c r="I203" s="21"/>
      <c r="J203" s="5"/>
      <c r="K203" s="5"/>
      <c r="L203" s="22"/>
      <c r="M203" s="5"/>
      <c r="N203" s="36"/>
      <c r="O203" s="36"/>
      <c r="P203" s="36"/>
      <c r="Q203" s="36"/>
      <c r="R203" s="36"/>
      <c r="S203" s="27" t="s">
        <v>730</v>
      </c>
      <c r="T203" s="5" t="s">
        <v>4125</v>
      </c>
      <c r="U203" s="68"/>
      <c r="V203" s="68"/>
      <c r="W203" s="87"/>
      <c r="X203" s="90"/>
      <c r="Y203" s="90"/>
      <c r="Z203" s="87"/>
      <c r="AA203" s="87"/>
      <c r="AB203" s="87"/>
      <c r="AC203" s="87"/>
      <c r="AD203" s="98"/>
    </row>
    <row r="204" spans="2:30" s="76" customFormat="1" x14ac:dyDescent="0.2">
      <c r="B204" s="314"/>
      <c r="C204" s="11"/>
      <c r="D204" s="91"/>
      <c r="E204" s="91"/>
      <c r="F204" s="12"/>
      <c r="G204" s="12"/>
      <c r="H204" s="148"/>
      <c r="I204" s="14"/>
      <c r="J204" s="12"/>
      <c r="K204" s="12"/>
      <c r="L204" s="15"/>
      <c r="M204" s="12"/>
      <c r="N204" s="34"/>
      <c r="O204" s="34"/>
      <c r="P204" s="34"/>
      <c r="Q204" s="34"/>
      <c r="R204" s="34"/>
      <c r="S204" s="12"/>
      <c r="T204" s="12"/>
      <c r="U204" s="94"/>
      <c r="V204" s="108"/>
      <c r="W204" s="80"/>
      <c r="X204" s="82"/>
      <c r="Y204" s="82"/>
      <c r="Z204" s="80"/>
      <c r="AA204" s="80"/>
      <c r="AB204" s="80"/>
      <c r="AC204" s="80"/>
      <c r="AD204" s="98"/>
    </row>
    <row r="205" spans="2:30" s="76" customFormat="1" x14ac:dyDescent="0.2">
      <c r="B205" s="312" t="s">
        <v>4005</v>
      </c>
      <c r="C205" s="16" t="s">
        <v>4021</v>
      </c>
      <c r="D205" s="7"/>
      <c r="E205" s="7"/>
      <c r="F205" s="6" t="s">
        <v>4127</v>
      </c>
      <c r="G205" s="6"/>
      <c r="H205" s="17">
        <v>32822</v>
      </c>
      <c r="I205" s="39"/>
      <c r="J205" s="7">
        <v>36987</v>
      </c>
      <c r="K205" s="7"/>
      <c r="L205" s="23"/>
      <c r="M205" s="18" t="s">
        <v>4031</v>
      </c>
      <c r="N205" s="47" t="s">
        <v>42</v>
      </c>
      <c r="O205" s="47"/>
      <c r="P205" s="47"/>
      <c r="Q205" s="47"/>
      <c r="R205" s="47"/>
      <c r="S205" s="7">
        <v>37008</v>
      </c>
      <c r="T205" s="7">
        <v>37025</v>
      </c>
      <c r="U205" s="150"/>
      <c r="V205" s="67" t="s">
        <v>4128</v>
      </c>
      <c r="W205" s="70">
        <v>712</v>
      </c>
      <c r="X205" s="75"/>
      <c r="Y205" s="75"/>
      <c r="Z205" s="70">
        <v>6512520711</v>
      </c>
      <c r="AA205" s="74"/>
      <c r="AB205" s="70"/>
      <c r="AC205" s="70"/>
      <c r="AD205" s="98"/>
    </row>
    <row r="206" spans="2:30" s="76" customFormat="1" ht="13.5" customHeight="1" thickBot="1" x14ac:dyDescent="0.25">
      <c r="B206" s="313"/>
      <c r="C206" s="19"/>
      <c r="D206" s="5"/>
      <c r="E206" s="5"/>
      <c r="F206" s="5"/>
      <c r="G206" s="5"/>
      <c r="H206" s="26" t="s">
        <v>4124</v>
      </c>
      <c r="I206" s="21"/>
      <c r="J206" s="5"/>
      <c r="K206" s="5"/>
      <c r="L206" s="22"/>
      <c r="M206" s="5"/>
      <c r="N206" s="36"/>
      <c r="O206" s="36"/>
      <c r="P206" s="36"/>
      <c r="Q206" s="36"/>
      <c r="R206" s="36"/>
      <c r="S206" s="27" t="s">
        <v>730</v>
      </c>
      <c r="T206" s="5" t="s">
        <v>4125</v>
      </c>
      <c r="U206" s="68"/>
      <c r="V206" s="68"/>
      <c r="W206" s="87"/>
      <c r="X206" s="90"/>
      <c r="Y206" s="90"/>
      <c r="Z206" s="87"/>
      <c r="AA206" s="87"/>
      <c r="AB206" s="87"/>
      <c r="AC206" s="87"/>
      <c r="AD206" s="98"/>
    </row>
    <row r="207" spans="2:30" s="76" customFormat="1" x14ac:dyDescent="0.2">
      <c r="B207" s="314"/>
      <c r="C207" s="97"/>
      <c r="D207" s="154"/>
      <c r="E207" s="154"/>
      <c r="F207" s="94"/>
      <c r="G207" s="94"/>
      <c r="H207" s="562"/>
      <c r="I207" s="156"/>
      <c r="J207" s="94"/>
      <c r="K207" s="94"/>
      <c r="L207" s="157"/>
      <c r="M207" s="94"/>
      <c r="N207" s="66"/>
      <c r="O207" s="66"/>
      <c r="P207" s="66"/>
      <c r="Q207" s="66"/>
      <c r="R207" s="66"/>
      <c r="S207" s="91"/>
      <c r="T207" s="94"/>
      <c r="U207" s="94"/>
      <c r="V207" s="108"/>
      <c r="W207" s="108"/>
      <c r="X207" s="158"/>
      <c r="Y207" s="158"/>
      <c r="Z207" s="108"/>
      <c r="AA207" s="108"/>
      <c r="AB207" s="108"/>
      <c r="AC207" s="108"/>
      <c r="AD207" s="98"/>
    </row>
    <row r="208" spans="2:30" s="76" customFormat="1" x14ac:dyDescent="0.2">
      <c r="B208" s="312" t="s">
        <v>4005</v>
      </c>
      <c r="C208" s="16" t="s">
        <v>4021</v>
      </c>
      <c r="D208" s="150"/>
      <c r="E208" s="150"/>
      <c r="F208" s="6" t="s">
        <v>4129</v>
      </c>
      <c r="G208" s="67"/>
      <c r="H208" s="159">
        <v>78920</v>
      </c>
      <c r="I208" s="160"/>
      <c r="J208" s="150">
        <v>36980</v>
      </c>
      <c r="K208" s="150"/>
      <c r="L208" s="151"/>
      <c r="M208" s="161" t="s">
        <v>4031</v>
      </c>
      <c r="N208" s="10" t="s">
        <v>42</v>
      </c>
      <c r="O208" s="10"/>
      <c r="P208" s="10"/>
      <c r="Q208" s="10"/>
      <c r="R208" s="10"/>
      <c r="S208" s="7">
        <v>37008</v>
      </c>
      <c r="T208" s="150">
        <v>37021</v>
      </c>
      <c r="U208" s="150"/>
      <c r="V208" s="67" t="s">
        <v>347</v>
      </c>
      <c r="W208" s="163" t="s">
        <v>4130</v>
      </c>
      <c r="X208" s="164"/>
      <c r="Y208" s="164"/>
      <c r="Z208" s="163"/>
      <c r="AA208" s="163" t="s">
        <v>318</v>
      </c>
      <c r="AB208" s="163" t="s">
        <v>211</v>
      </c>
      <c r="AC208" s="163"/>
      <c r="AD208" s="98"/>
    </row>
    <row r="209" spans="2:30" s="76" customFormat="1" ht="13.5" customHeight="1" thickBot="1" x14ac:dyDescent="0.25">
      <c r="B209" s="313"/>
      <c r="C209" s="165"/>
      <c r="D209" s="68"/>
      <c r="E209" s="68"/>
      <c r="F209" s="5"/>
      <c r="G209" s="68"/>
      <c r="H209" s="530"/>
      <c r="I209" s="166"/>
      <c r="J209" s="68"/>
      <c r="K209" s="68"/>
      <c r="L209" s="167"/>
      <c r="M209" s="68"/>
      <c r="N209" s="50"/>
      <c r="O209" s="50"/>
      <c r="P209" s="50"/>
      <c r="Q209" s="50"/>
      <c r="R209" s="50"/>
      <c r="S209" s="5"/>
      <c r="T209" s="68" t="s">
        <v>4131</v>
      </c>
      <c r="U209" s="68"/>
      <c r="V209" s="68" t="s">
        <v>2998</v>
      </c>
      <c r="W209" s="110"/>
      <c r="X209" s="168"/>
      <c r="Y209" s="168"/>
      <c r="Z209" s="110"/>
      <c r="AA209" s="110"/>
      <c r="AB209" s="110"/>
      <c r="AC209" s="110"/>
      <c r="AD209" s="98"/>
    </row>
    <row r="210" spans="2:30" s="76" customFormat="1" x14ac:dyDescent="0.2">
      <c r="B210" s="314"/>
      <c r="C210" s="97"/>
      <c r="D210" s="154"/>
      <c r="E210" s="154"/>
      <c r="F210" s="94"/>
      <c r="G210" s="94"/>
      <c r="H210" s="562"/>
      <c r="I210" s="156"/>
      <c r="J210" s="94"/>
      <c r="K210" s="94"/>
      <c r="L210" s="157"/>
      <c r="M210" s="94"/>
      <c r="N210" s="66"/>
      <c r="O210" s="66"/>
      <c r="P210" s="66"/>
      <c r="Q210" s="66"/>
      <c r="R210" s="66"/>
      <c r="S210" s="91"/>
      <c r="T210" s="94"/>
      <c r="U210" s="94"/>
      <c r="V210" s="108"/>
      <c r="W210" s="108"/>
      <c r="X210" s="158"/>
      <c r="Y210" s="158"/>
      <c r="Z210" s="108"/>
      <c r="AA210" s="108"/>
      <c r="AB210" s="108"/>
      <c r="AC210" s="108"/>
      <c r="AD210" s="98"/>
    </row>
    <row r="211" spans="2:30" s="76" customFormat="1" x14ac:dyDescent="0.2">
      <c r="B211" s="312" t="s">
        <v>4005</v>
      </c>
      <c r="C211" s="16" t="s">
        <v>4021</v>
      </c>
      <c r="D211" s="150"/>
      <c r="E211" s="150"/>
      <c r="F211" s="6" t="s">
        <v>4085</v>
      </c>
      <c r="G211" s="67"/>
      <c r="H211" s="159">
        <f>10276-587-1055.07</f>
        <v>8633.93</v>
      </c>
      <c r="I211" s="160"/>
      <c r="J211" s="150">
        <v>36853</v>
      </c>
      <c r="K211" s="150"/>
      <c r="L211" s="151"/>
      <c r="M211" s="161"/>
      <c r="N211" s="10" t="s">
        <v>42</v>
      </c>
      <c r="O211" s="10"/>
      <c r="P211" s="10"/>
      <c r="Q211" s="10"/>
      <c r="R211" s="10"/>
      <c r="S211" s="7">
        <v>37036</v>
      </c>
      <c r="T211" s="150">
        <v>37057</v>
      </c>
      <c r="U211" s="150"/>
      <c r="V211" s="67" t="s">
        <v>347</v>
      </c>
      <c r="W211" s="163" t="s">
        <v>4132</v>
      </c>
      <c r="X211" s="164"/>
      <c r="Y211" s="164"/>
      <c r="Z211" s="163"/>
      <c r="AA211" s="163" t="s">
        <v>318</v>
      </c>
      <c r="AB211" s="163" t="s">
        <v>211</v>
      </c>
      <c r="AC211" s="163"/>
      <c r="AD211" s="98"/>
    </row>
    <row r="212" spans="2:30" s="76" customFormat="1" ht="13.5" customHeight="1" thickBot="1" x14ac:dyDescent="0.25">
      <c r="B212" s="313"/>
      <c r="C212" s="165"/>
      <c r="D212" s="68"/>
      <c r="E212" s="68"/>
      <c r="F212" s="5" t="s">
        <v>4120</v>
      </c>
      <c r="G212" s="68"/>
      <c r="H212" s="530" t="s">
        <v>4133</v>
      </c>
      <c r="I212" s="166"/>
      <c r="J212" s="68"/>
      <c r="K212" s="68"/>
      <c r="L212" s="167"/>
      <c r="M212" s="68"/>
      <c r="N212" s="50"/>
      <c r="O212" s="50"/>
      <c r="P212" s="50"/>
      <c r="Q212" s="50"/>
      <c r="R212" s="50"/>
      <c r="S212" s="5"/>
      <c r="T212" s="68" t="s">
        <v>4134</v>
      </c>
      <c r="U212" s="68"/>
      <c r="V212" s="68" t="s">
        <v>4102</v>
      </c>
      <c r="W212" s="110"/>
      <c r="X212" s="168"/>
      <c r="Y212" s="168"/>
      <c r="Z212" s="110"/>
      <c r="AA212" s="110"/>
      <c r="AB212" s="110"/>
      <c r="AC212" s="110"/>
      <c r="AD212" s="98"/>
    </row>
    <row r="213" spans="2:30" s="76" customFormat="1" x14ac:dyDescent="0.2">
      <c r="B213" s="314"/>
      <c r="C213" s="97"/>
      <c r="D213" s="154"/>
      <c r="E213" s="154"/>
      <c r="F213" s="94"/>
      <c r="G213" s="94"/>
      <c r="H213" s="562"/>
      <c r="I213" s="156"/>
      <c r="J213" s="94"/>
      <c r="K213" s="94"/>
      <c r="L213" s="157"/>
      <c r="M213" s="94"/>
      <c r="N213" s="66"/>
      <c r="O213" s="66"/>
      <c r="P213" s="66"/>
      <c r="Q213" s="66"/>
      <c r="R213" s="66"/>
      <c r="S213" s="91"/>
      <c r="T213" s="94"/>
      <c r="U213" s="94"/>
      <c r="V213" s="108"/>
      <c r="W213" s="108"/>
      <c r="X213" s="158"/>
      <c r="Y213" s="158"/>
      <c r="Z213" s="108"/>
      <c r="AA213" s="108"/>
      <c r="AB213" s="108"/>
      <c r="AC213" s="108"/>
      <c r="AD213" s="98"/>
    </row>
    <row r="214" spans="2:30" s="76" customFormat="1" x14ac:dyDescent="0.2">
      <c r="B214" s="312" t="s">
        <v>4005</v>
      </c>
      <c r="C214" s="16" t="s">
        <v>4021</v>
      </c>
      <c r="D214" s="150"/>
      <c r="E214" s="150"/>
      <c r="F214" s="6" t="s">
        <v>4109</v>
      </c>
      <c r="G214" s="67"/>
      <c r="H214" s="159">
        <v>19880.84</v>
      </c>
      <c r="I214" s="160"/>
      <c r="J214" s="150"/>
      <c r="K214" s="150"/>
      <c r="L214" s="151"/>
      <c r="M214" s="161"/>
      <c r="N214" s="10" t="s">
        <v>42</v>
      </c>
      <c r="O214" s="10"/>
      <c r="P214" s="10"/>
      <c r="Q214" s="10"/>
      <c r="R214" s="10"/>
      <c r="S214" s="7">
        <v>37036</v>
      </c>
      <c r="T214" s="150">
        <v>37057</v>
      </c>
      <c r="U214" s="150"/>
      <c r="V214" s="67" t="s">
        <v>347</v>
      </c>
      <c r="W214" s="163" t="s">
        <v>4135</v>
      </c>
      <c r="X214" s="164"/>
      <c r="Y214" s="164"/>
      <c r="Z214" s="163"/>
      <c r="AA214" s="163" t="s">
        <v>318</v>
      </c>
      <c r="AB214" s="163"/>
      <c r="AC214" s="163"/>
      <c r="AD214" s="98"/>
    </row>
    <row r="215" spans="2:30" s="76" customFormat="1" ht="13.5" customHeight="1" thickBot="1" x14ac:dyDescent="0.25">
      <c r="B215" s="313"/>
      <c r="C215" s="165"/>
      <c r="D215" s="68"/>
      <c r="E215" s="68"/>
      <c r="F215" s="5"/>
      <c r="G215" s="68"/>
      <c r="H215" s="530" t="s">
        <v>4136</v>
      </c>
      <c r="I215" s="166"/>
      <c r="J215" s="68"/>
      <c r="K215" s="68"/>
      <c r="L215" s="167"/>
      <c r="M215" s="68"/>
      <c r="N215" s="50"/>
      <c r="O215" s="50"/>
      <c r="P215" s="50"/>
      <c r="Q215" s="50"/>
      <c r="R215" s="50"/>
      <c r="S215" s="5"/>
      <c r="T215" s="68" t="s">
        <v>4131</v>
      </c>
      <c r="U215" s="68"/>
      <c r="V215" s="68" t="s">
        <v>4137</v>
      </c>
      <c r="W215" s="110"/>
      <c r="X215" s="168"/>
      <c r="Y215" s="168"/>
      <c r="Z215" s="110"/>
      <c r="AA215" s="110"/>
      <c r="AB215" s="110"/>
      <c r="AC215" s="110"/>
      <c r="AD215" s="98"/>
    </row>
    <row r="216" spans="2:30" s="76" customFormat="1" x14ac:dyDescent="0.2">
      <c r="B216" s="314"/>
      <c r="C216" s="11"/>
      <c r="D216" s="91"/>
      <c r="E216" s="91"/>
      <c r="F216" s="12"/>
      <c r="G216" s="12"/>
      <c r="H216" s="148"/>
      <c r="I216" s="14"/>
      <c r="J216" s="12"/>
      <c r="K216" s="12"/>
      <c r="L216" s="15"/>
      <c r="M216" s="12"/>
      <c r="N216" s="34"/>
      <c r="O216" s="34"/>
      <c r="P216" s="34"/>
      <c r="Q216" s="34"/>
      <c r="R216" s="34"/>
      <c r="S216" s="12"/>
      <c r="T216" s="12"/>
      <c r="U216" s="94"/>
      <c r="V216" s="108"/>
      <c r="W216" s="80"/>
      <c r="X216" s="82"/>
      <c r="Y216" s="82"/>
      <c r="Z216" s="80"/>
      <c r="AA216" s="80"/>
      <c r="AB216" s="80"/>
      <c r="AC216" s="80"/>
      <c r="AD216" s="98"/>
    </row>
    <row r="217" spans="2:30" s="76" customFormat="1" x14ac:dyDescent="0.2">
      <c r="B217" s="312" t="s">
        <v>4005</v>
      </c>
      <c r="C217" s="16" t="s">
        <v>4021</v>
      </c>
      <c r="D217" s="7"/>
      <c r="E217" s="7"/>
      <c r="F217" s="6" t="s">
        <v>4105</v>
      </c>
      <c r="G217" s="6"/>
      <c r="H217" s="17">
        <v>1248.2</v>
      </c>
      <c r="I217" s="39"/>
      <c r="J217" s="7"/>
      <c r="K217" s="7"/>
      <c r="L217" s="23"/>
      <c r="M217" s="18" t="s">
        <v>4031</v>
      </c>
      <c r="N217" s="47" t="s">
        <v>42</v>
      </c>
      <c r="O217" s="47"/>
      <c r="P217" s="47"/>
      <c r="Q217" s="47"/>
      <c r="R217" s="47"/>
      <c r="S217" s="7">
        <v>37046</v>
      </c>
      <c r="T217" s="7">
        <v>37069</v>
      </c>
      <c r="U217" s="150"/>
      <c r="V217" s="67" t="s">
        <v>4138</v>
      </c>
      <c r="W217" s="70">
        <v>729</v>
      </c>
      <c r="X217" s="75"/>
      <c r="Y217" s="75"/>
      <c r="Z217" s="70">
        <v>6515210785</v>
      </c>
      <c r="AA217" s="74"/>
      <c r="AB217" s="70"/>
      <c r="AC217" s="70"/>
      <c r="AD217" s="98"/>
    </row>
    <row r="218" spans="2:30" s="76" customFormat="1" ht="13.5" customHeight="1" thickBot="1" x14ac:dyDescent="0.25">
      <c r="B218" s="313"/>
      <c r="C218" s="19"/>
      <c r="D218" s="5"/>
      <c r="E218" s="5"/>
      <c r="F218" s="5"/>
      <c r="G218" s="5"/>
      <c r="H218" s="26" t="s">
        <v>4139</v>
      </c>
      <c r="I218" s="21"/>
      <c r="J218" s="5"/>
      <c r="K218" s="5"/>
      <c r="L218" s="22"/>
      <c r="M218" s="5"/>
      <c r="N218" s="36"/>
      <c r="O218" s="36"/>
      <c r="P218" s="36"/>
      <c r="Q218" s="36"/>
      <c r="R218" s="36"/>
      <c r="S218" s="27" t="s">
        <v>730</v>
      </c>
      <c r="T218" s="5" t="s">
        <v>4125</v>
      </c>
      <c r="U218" s="5"/>
      <c r="V218" s="5" t="s">
        <v>998</v>
      </c>
      <c r="W218" s="87"/>
      <c r="X218" s="90"/>
      <c r="Y218" s="90"/>
      <c r="Z218" s="87"/>
      <c r="AA218" s="87"/>
      <c r="AB218" s="87"/>
      <c r="AC218" s="87"/>
      <c r="AD218" s="98"/>
    </row>
    <row r="219" spans="2:30" s="76" customFormat="1" x14ac:dyDescent="0.2">
      <c r="B219" s="314"/>
      <c r="C219" s="11"/>
      <c r="D219" s="91"/>
      <c r="E219" s="91"/>
      <c r="F219" s="12"/>
      <c r="G219" s="12"/>
      <c r="H219" s="148"/>
      <c r="I219" s="14"/>
      <c r="J219" s="12"/>
      <c r="K219" s="12"/>
      <c r="L219" s="15"/>
      <c r="M219" s="12"/>
      <c r="N219" s="34"/>
      <c r="O219" s="34"/>
      <c r="P219" s="34"/>
      <c r="Q219" s="34"/>
      <c r="R219" s="34"/>
      <c r="S219" s="12"/>
      <c r="T219" s="12"/>
      <c r="U219" s="94"/>
      <c r="V219" s="108"/>
      <c r="W219" s="80"/>
      <c r="X219" s="82"/>
      <c r="Y219" s="82"/>
      <c r="Z219" s="80"/>
      <c r="AA219" s="80"/>
      <c r="AB219" s="80"/>
      <c r="AC219" s="80"/>
      <c r="AD219" s="98"/>
    </row>
    <row r="220" spans="2:30" s="76" customFormat="1" x14ac:dyDescent="0.2">
      <c r="B220" s="312" t="s">
        <v>4005</v>
      </c>
      <c r="C220" s="16" t="s">
        <v>4021</v>
      </c>
      <c r="D220" s="7"/>
      <c r="E220" s="7"/>
      <c r="F220" s="6" t="s">
        <v>4122</v>
      </c>
      <c r="G220" s="6"/>
      <c r="H220" s="17">
        <v>600.4</v>
      </c>
      <c r="I220" s="39"/>
      <c r="J220" s="7"/>
      <c r="K220" s="7"/>
      <c r="L220" s="23"/>
      <c r="M220" s="18" t="s">
        <v>4031</v>
      </c>
      <c r="N220" s="47" t="s">
        <v>42</v>
      </c>
      <c r="O220" s="47"/>
      <c r="P220" s="47"/>
      <c r="Q220" s="47"/>
      <c r="R220" s="47"/>
      <c r="S220" s="7">
        <v>37046</v>
      </c>
      <c r="T220" s="7">
        <v>37069</v>
      </c>
      <c r="U220" s="150"/>
      <c r="V220" s="67" t="s">
        <v>4140</v>
      </c>
      <c r="W220" s="70">
        <v>729</v>
      </c>
      <c r="X220" s="75"/>
      <c r="Y220" s="75"/>
      <c r="Z220" s="70">
        <v>6515210785</v>
      </c>
      <c r="AA220" s="74"/>
      <c r="AB220" s="70"/>
      <c r="AC220" s="70"/>
      <c r="AD220" s="98"/>
    </row>
    <row r="221" spans="2:30" s="76" customFormat="1" ht="13.5" customHeight="1" thickBot="1" x14ac:dyDescent="0.25">
      <c r="B221" s="313"/>
      <c r="C221" s="19"/>
      <c r="D221" s="5"/>
      <c r="E221" s="5"/>
      <c r="F221" s="5"/>
      <c r="G221" s="5"/>
      <c r="H221" s="26" t="s">
        <v>4139</v>
      </c>
      <c r="I221" s="21"/>
      <c r="J221" s="5"/>
      <c r="K221" s="5"/>
      <c r="L221" s="22"/>
      <c r="M221" s="5"/>
      <c r="N221" s="36"/>
      <c r="O221" s="36"/>
      <c r="P221" s="36"/>
      <c r="Q221" s="36"/>
      <c r="R221" s="36"/>
      <c r="S221" s="27" t="s">
        <v>730</v>
      </c>
      <c r="T221" s="5" t="s">
        <v>4125</v>
      </c>
      <c r="U221" s="68"/>
      <c r="V221" s="68" t="s">
        <v>998</v>
      </c>
      <c r="W221" s="87"/>
      <c r="X221" s="90"/>
      <c r="Y221" s="90"/>
      <c r="Z221" s="87"/>
      <c r="AA221" s="87"/>
      <c r="AB221" s="87"/>
      <c r="AC221" s="87"/>
      <c r="AD221" s="98"/>
    </row>
    <row r="222" spans="2:30" s="76" customFormat="1" x14ac:dyDescent="0.2">
      <c r="B222" s="314"/>
      <c r="C222" s="11"/>
      <c r="D222" s="91"/>
      <c r="E222" s="91"/>
      <c r="F222" s="12"/>
      <c r="G222" s="12"/>
      <c r="H222" s="148"/>
      <c r="I222" s="14"/>
      <c r="J222" s="12"/>
      <c r="K222" s="12"/>
      <c r="L222" s="15"/>
      <c r="M222" s="12"/>
      <c r="N222" s="34"/>
      <c r="O222" s="34"/>
      <c r="P222" s="34"/>
      <c r="Q222" s="34"/>
      <c r="R222" s="34"/>
      <c r="S222" s="12"/>
      <c r="T222" s="12"/>
      <c r="U222" s="94"/>
      <c r="V222" s="108"/>
      <c r="W222" s="80"/>
      <c r="X222" s="82"/>
      <c r="Y222" s="82"/>
      <c r="Z222" s="80"/>
      <c r="AA222" s="80"/>
      <c r="AB222" s="80"/>
      <c r="AC222" s="80"/>
      <c r="AD222" s="98"/>
    </row>
    <row r="223" spans="2:30" s="76" customFormat="1" x14ac:dyDescent="0.2">
      <c r="B223" s="312" t="s">
        <v>4005</v>
      </c>
      <c r="C223" s="16" t="s">
        <v>4021</v>
      </c>
      <c r="D223" s="7"/>
      <c r="E223" s="7"/>
      <c r="F223" s="6" t="s">
        <v>4127</v>
      </c>
      <c r="G223" s="6"/>
      <c r="H223" s="17">
        <v>4565.05</v>
      </c>
      <c r="I223" s="39"/>
      <c r="J223" s="7">
        <v>36987</v>
      </c>
      <c r="K223" s="7"/>
      <c r="L223" s="23"/>
      <c r="M223" s="18" t="s">
        <v>4031</v>
      </c>
      <c r="N223" s="47" t="s">
        <v>42</v>
      </c>
      <c r="O223" s="47"/>
      <c r="P223" s="47"/>
      <c r="Q223" s="47"/>
      <c r="R223" s="47"/>
      <c r="S223" s="7">
        <v>37046</v>
      </c>
      <c r="T223" s="7">
        <v>37069</v>
      </c>
      <c r="U223" s="150"/>
      <c r="V223" s="67" t="s">
        <v>4141</v>
      </c>
      <c r="W223" s="70">
        <v>729</v>
      </c>
      <c r="X223" s="75"/>
      <c r="Y223" s="75"/>
      <c r="Z223" s="70">
        <v>6515210785</v>
      </c>
      <c r="AA223" s="74"/>
      <c r="AB223" s="70"/>
      <c r="AC223" s="70"/>
      <c r="AD223" s="98"/>
    </row>
    <row r="224" spans="2:30" s="76" customFormat="1" ht="13.5" customHeight="1" thickBot="1" x14ac:dyDescent="0.25">
      <c r="B224" s="313"/>
      <c r="C224" s="19"/>
      <c r="D224" s="5"/>
      <c r="E224" s="5"/>
      <c r="F224" s="5"/>
      <c r="G224" s="5"/>
      <c r="H224" s="26" t="s">
        <v>4139</v>
      </c>
      <c r="I224" s="21"/>
      <c r="J224" s="5"/>
      <c r="K224" s="5"/>
      <c r="L224" s="22"/>
      <c r="M224" s="5"/>
      <c r="N224" s="36"/>
      <c r="O224" s="36"/>
      <c r="P224" s="36"/>
      <c r="Q224" s="36"/>
      <c r="R224" s="36"/>
      <c r="S224" s="27" t="s">
        <v>730</v>
      </c>
      <c r="T224" s="5" t="s">
        <v>4125</v>
      </c>
      <c r="U224" s="68"/>
      <c r="V224" s="68" t="s">
        <v>998</v>
      </c>
      <c r="W224" s="87"/>
      <c r="X224" s="90"/>
      <c r="Y224" s="90"/>
      <c r="Z224" s="87"/>
      <c r="AA224" s="87"/>
      <c r="AB224" s="87"/>
      <c r="AC224" s="87"/>
      <c r="AD224" s="98"/>
    </row>
    <row r="225" spans="2:30" s="76" customFormat="1" x14ac:dyDescent="0.2">
      <c r="B225" s="314"/>
      <c r="C225" s="97"/>
      <c r="D225" s="154"/>
      <c r="E225" s="154"/>
      <c r="F225" s="94"/>
      <c r="G225" s="94"/>
      <c r="H225" s="562" t="s">
        <v>4142</v>
      </c>
      <c r="I225" s="156"/>
      <c r="J225" s="94"/>
      <c r="K225" s="94"/>
      <c r="L225" s="157"/>
      <c r="M225" s="94"/>
      <c r="N225" s="66"/>
      <c r="O225" s="66"/>
      <c r="P225" s="66"/>
      <c r="Q225" s="66"/>
      <c r="R225" s="66"/>
      <c r="S225" s="91"/>
      <c r="T225" s="94"/>
      <c r="U225" s="94"/>
      <c r="V225" s="108"/>
      <c r="W225" s="108"/>
      <c r="X225" s="158"/>
      <c r="Y225" s="158"/>
      <c r="Z225" s="108"/>
      <c r="AA225" s="108"/>
      <c r="AB225" s="108"/>
      <c r="AC225" s="108"/>
      <c r="AD225" s="98"/>
    </row>
    <row r="226" spans="2:30" s="76" customFormat="1" x14ac:dyDescent="0.2">
      <c r="B226" s="312" t="s">
        <v>4005</v>
      </c>
      <c r="C226" s="16" t="s">
        <v>4021</v>
      </c>
      <c r="D226" s="150"/>
      <c r="E226" s="150"/>
      <c r="F226" s="6" t="s">
        <v>4082</v>
      </c>
      <c r="G226" s="67"/>
      <c r="H226" s="159">
        <f>447281.81-30583-5839.2-3944.4-181501.17-19676.65-7308.48-19676.65-161271.95</f>
        <v>17480.309999999939</v>
      </c>
      <c r="I226" s="159"/>
      <c r="J226" s="150">
        <v>36795</v>
      </c>
      <c r="K226" s="150"/>
      <c r="L226" s="151"/>
      <c r="M226" s="161"/>
      <c r="N226" s="10"/>
      <c r="O226" s="10"/>
      <c r="P226" s="10"/>
      <c r="Q226" s="10"/>
      <c r="R226" s="10"/>
      <c r="S226" s="23" t="s">
        <v>4143</v>
      </c>
      <c r="T226" s="150"/>
      <c r="U226" s="150"/>
      <c r="V226" s="67" t="s">
        <v>347</v>
      </c>
      <c r="W226" s="163"/>
      <c r="X226" s="164"/>
      <c r="Y226" s="164"/>
      <c r="Z226" s="163"/>
      <c r="AA226" s="163"/>
      <c r="AB226" s="163"/>
      <c r="AC226" s="163"/>
      <c r="AD226" s="98"/>
    </row>
    <row r="227" spans="2:30" s="76" customFormat="1" ht="13.5" customHeight="1" thickBot="1" x14ac:dyDescent="0.25">
      <c r="B227" s="313"/>
      <c r="C227" s="165"/>
      <c r="D227" s="68"/>
      <c r="E227" s="68"/>
      <c r="F227" s="5" t="s">
        <v>4099</v>
      </c>
      <c r="G227" s="68"/>
      <c r="H227" s="530"/>
      <c r="I227" s="166"/>
      <c r="J227" s="68"/>
      <c r="K227" s="68"/>
      <c r="L227" s="167"/>
      <c r="M227" s="68"/>
      <c r="N227" s="50"/>
      <c r="O227" s="50"/>
      <c r="P227" s="50"/>
      <c r="Q227" s="50"/>
      <c r="R227" s="50"/>
      <c r="S227" s="5"/>
      <c r="T227" s="68"/>
      <c r="U227" s="68"/>
      <c r="V227" s="68"/>
      <c r="W227" s="110"/>
      <c r="X227" s="168"/>
      <c r="Y227" s="168"/>
      <c r="Z227" s="110"/>
      <c r="AA227" s="110"/>
      <c r="AB227" s="110"/>
      <c r="AC227" s="110"/>
      <c r="AD227" s="98"/>
    </row>
    <row r="228" spans="2:30" s="76" customFormat="1" x14ac:dyDescent="0.2">
      <c r="B228" s="314"/>
      <c r="C228" s="97"/>
      <c r="D228" s="154"/>
      <c r="E228" s="154"/>
      <c r="F228" s="94"/>
      <c r="G228" s="94"/>
      <c r="H228" s="562" t="s">
        <v>4142</v>
      </c>
      <c r="I228" s="156"/>
      <c r="J228" s="94"/>
      <c r="K228" s="94"/>
      <c r="L228" s="157"/>
      <c r="M228" s="94"/>
      <c r="N228" s="66"/>
      <c r="O228" s="66"/>
      <c r="P228" s="66"/>
      <c r="Q228" s="66"/>
      <c r="R228" s="66"/>
      <c r="S228" s="91"/>
      <c r="T228" s="94"/>
      <c r="U228" s="94"/>
      <c r="V228" s="108"/>
      <c r="W228" s="108"/>
      <c r="X228" s="158"/>
      <c r="Y228" s="158"/>
      <c r="Z228" s="108"/>
      <c r="AA228" s="108"/>
      <c r="AB228" s="108"/>
      <c r="AC228" s="108"/>
      <c r="AD228" s="98"/>
    </row>
    <row r="229" spans="2:30" s="76" customFormat="1" x14ac:dyDescent="0.2">
      <c r="B229" s="312" t="s">
        <v>4005</v>
      </c>
      <c r="C229" s="16" t="s">
        <v>4021</v>
      </c>
      <c r="D229" s="150"/>
      <c r="E229" s="150"/>
      <c r="F229" s="6" t="s">
        <v>4076</v>
      </c>
      <c r="G229" s="67"/>
      <c r="H229" s="159">
        <f>118631-1778-40421.19</f>
        <v>76431.81</v>
      </c>
      <c r="I229" s="160"/>
      <c r="J229" s="150">
        <v>36795</v>
      </c>
      <c r="K229" s="150"/>
      <c r="L229" s="151"/>
      <c r="M229" s="161"/>
      <c r="N229" s="10"/>
      <c r="O229" s="10"/>
      <c r="P229" s="10"/>
      <c r="Q229" s="10"/>
      <c r="R229" s="10"/>
      <c r="S229" s="162"/>
      <c r="T229" s="150"/>
      <c r="U229" s="150"/>
      <c r="V229" s="67" t="s">
        <v>347</v>
      </c>
      <c r="W229" s="163"/>
      <c r="X229" s="164"/>
      <c r="Y229" s="164"/>
      <c r="Z229" s="163"/>
      <c r="AA229" s="163"/>
      <c r="AB229" s="163"/>
      <c r="AC229" s="163"/>
      <c r="AD229" s="98"/>
    </row>
    <row r="230" spans="2:30" s="76" customFormat="1" ht="13.5" customHeight="1" thickBot="1" x14ac:dyDescent="0.25">
      <c r="B230" s="313"/>
      <c r="C230" s="165"/>
      <c r="D230" s="68"/>
      <c r="E230" s="68"/>
      <c r="F230" s="5" t="s">
        <v>4115</v>
      </c>
      <c r="G230" s="68"/>
      <c r="H230" s="530"/>
      <c r="I230" s="166"/>
      <c r="J230" s="68"/>
      <c r="K230" s="68"/>
      <c r="L230" s="167"/>
      <c r="M230" s="68"/>
      <c r="N230" s="50"/>
      <c r="O230" s="50"/>
      <c r="P230" s="50"/>
      <c r="Q230" s="50"/>
      <c r="R230" s="50"/>
      <c r="S230" s="5"/>
      <c r="T230" s="68"/>
      <c r="U230" s="68"/>
      <c r="V230" s="68" t="s">
        <v>4102</v>
      </c>
      <c r="W230" s="110"/>
      <c r="X230" s="168"/>
      <c r="Y230" s="168"/>
      <c r="Z230" s="110"/>
      <c r="AA230" s="110"/>
      <c r="AB230" s="110"/>
      <c r="AC230" s="110"/>
      <c r="AD230" s="98"/>
    </row>
    <row r="231" spans="2:30" s="76" customFormat="1" x14ac:dyDescent="0.2">
      <c r="B231" s="314"/>
      <c r="C231" s="97"/>
      <c r="D231" s="154"/>
      <c r="E231" s="154"/>
      <c r="F231" s="94"/>
      <c r="G231" s="94"/>
      <c r="H231" s="562"/>
      <c r="I231" s="156"/>
      <c r="J231" s="94"/>
      <c r="K231" s="94"/>
      <c r="L231" s="157"/>
      <c r="M231" s="94"/>
      <c r="N231" s="66"/>
      <c r="O231" s="66"/>
      <c r="P231" s="66"/>
      <c r="Q231" s="66"/>
      <c r="R231" s="66"/>
      <c r="S231" s="91"/>
      <c r="T231" s="94"/>
      <c r="U231" s="94"/>
      <c r="V231" s="108"/>
      <c r="W231" s="108"/>
      <c r="X231" s="158"/>
      <c r="Y231" s="158"/>
      <c r="Z231" s="108"/>
      <c r="AA231" s="108" t="s">
        <v>4144</v>
      </c>
      <c r="AB231" s="108"/>
      <c r="AC231" s="108"/>
      <c r="AD231" s="98"/>
    </row>
    <row r="232" spans="2:30" s="76" customFormat="1" x14ac:dyDescent="0.2">
      <c r="B232" s="312" t="s">
        <v>4005</v>
      </c>
      <c r="C232" s="16" t="s">
        <v>4021</v>
      </c>
      <c r="D232" s="150" t="s">
        <v>4145</v>
      </c>
      <c r="E232" s="150"/>
      <c r="F232" s="6" t="s">
        <v>4146</v>
      </c>
      <c r="G232" s="67"/>
      <c r="H232" s="159">
        <v>5620</v>
      </c>
      <c r="I232" s="159"/>
      <c r="J232" s="150">
        <v>37041</v>
      </c>
      <c r="K232" s="150"/>
      <c r="L232" s="151">
        <v>37133</v>
      </c>
      <c r="M232" s="161" t="s">
        <v>4147</v>
      </c>
      <c r="N232" s="10" t="s">
        <v>42</v>
      </c>
      <c r="O232" s="10"/>
      <c r="P232" s="10"/>
      <c r="Q232" s="10"/>
      <c r="R232" s="10"/>
      <c r="S232" s="23">
        <v>37092</v>
      </c>
      <c r="T232" s="150">
        <v>37122</v>
      </c>
      <c r="U232" s="150"/>
      <c r="V232" s="67" t="s">
        <v>4148</v>
      </c>
      <c r="W232" s="163">
        <v>748</v>
      </c>
      <c r="X232" s="164"/>
      <c r="Y232" s="164"/>
      <c r="Z232" s="163" t="s">
        <v>211</v>
      </c>
      <c r="AA232" s="196">
        <v>37144</v>
      </c>
      <c r="AB232" s="163"/>
      <c r="AC232" s="163"/>
      <c r="AD232" s="98"/>
    </row>
    <row r="233" spans="2:30" s="76" customFormat="1" ht="13.5" customHeight="1" thickBot="1" x14ac:dyDescent="0.25">
      <c r="B233" s="313"/>
      <c r="C233" s="165"/>
      <c r="D233" s="68"/>
      <c r="E233" s="68"/>
      <c r="F233" s="5"/>
      <c r="G233" s="68"/>
      <c r="H233" s="530"/>
      <c r="I233" s="166"/>
      <c r="J233" s="68"/>
      <c r="K233" s="68"/>
      <c r="L233" s="167"/>
      <c r="M233" s="68"/>
      <c r="N233" s="50"/>
      <c r="O233" s="50"/>
      <c r="P233" s="50"/>
      <c r="Q233" s="50"/>
      <c r="R233" s="50"/>
      <c r="S233" s="5"/>
      <c r="T233" s="68" t="s">
        <v>3359</v>
      </c>
      <c r="U233" s="68"/>
      <c r="V233" s="68"/>
      <c r="W233" s="110"/>
      <c r="X233" s="168"/>
      <c r="Y233" s="168"/>
      <c r="Z233" s="110"/>
      <c r="AA233" s="110"/>
      <c r="AB233" s="110"/>
      <c r="AC233" s="110"/>
      <c r="AD233" s="98"/>
    </row>
    <row r="234" spans="2:30" s="76" customFormat="1" x14ac:dyDescent="0.2">
      <c r="B234" s="314"/>
      <c r="C234" s="97"/>
      <c r="D234" s="154"/>
      <c r="E234" s="154"/>
      <c r="F234" s="94"/>
      <c r="G234" s="94"/>
      <c r="H234" s="562"/>
      <c r="I234" s="156"/>
      <c r="J234" s="94"/>
      <c r="K234" s="94"/>
      <c r="L234" s="157"/>
      <c r="M234" s="94"/>
      <c r="N234" s="66"/>
      <c r="O234" s="66"/>
      <c r="P234" s="66"/>
      <c r="Q234" s="66"/>
      <c r="R234" s="66"/>
      <c r="S234" s="91"/>
      <c r="T234" s="94"/>
      <c r="U234" s="94"/>
      <c r="V234" s="108"/>
      <c r="W234" s="108"/>
      <c r="X234" s="158"/>
      <c r="Y234" s="158"/>
      <c r="Z234" s="108"/>
      <c r="AA234" s="108" t="s">
        <v>4144</v>
      </c>
      <c r="AB234" s="108"/>
      <c r="AC234" s="108"/>
      <c r="AD234" s="98"/>
    </row>
    <row r="235" spans="2:30" s="76" customFormat="1" x14ac:dyDescent="0.2">
      <c r="B235" s="312" t="s">
        <v>4005</v>
      </c>
      <c r="C235" s="16" t="s">
        <v>4021</v>
      </c>
      <c r="D235" s="150" t="s">
        <v>4149</v>
      </c>
      <c r="E235" s="150"/>
      <c r="F235" s="6" t="s">
        <v>4150</v>
      </c>
      <c r="G235" s="67"/>
      <c r="H235" s="159">
        <v>4448</v>
      </c>
      <c r="I235" s="159"/>
      <c r="J235" s="150">
        <v>37055</v>
      </c>
      <c r="K235" s="150"/>
      <c r="L235" s="151">
        <v>37116</v>
      </c>
      <c r="M235" s="161" t="s">
        <v>4147</v>
      </c>
      <c r="N235" s="10" t="s">
        <v>42</v>
      </c>
      <c r="O235" s="10"/>
      <c r="P235" s="10"/>
      <c r="Q235" s="10"/>
      <c r="R235" s="10"/>
      <c r="S235" s="23">
        <v>37077</v>
      </c>
      <c r="T235" s="150">
        <v>37122</v>
      </c>
      <c r="U235" s="150"/>
      <c r="V235" s="67"/>
      <c r="W235" s="163">
        <v>748</v>
      </c>
      <c r="X235" s="164"/>
      <c r="Y235" s="164"/>
      <c r="Z235" s="163" t="s">
        <v>211</v>
      </c>
      <c r="AA235" s="196">
        <v>37144</v>
      </c>
      <c r="AB235" s="163"/>
      <c r="AC235" s="163"/>
      <c r="AD235" s="98"/>
    </row>
    <row r="236" spans="2:30" s="76" customFormat="1" ht="13.5" customHeight="1" thickBot="1" x14ac:dyDescent="0.25">
      <c r="B236" s="313"/>
      <c r="C236" s="165"/>
      <c r="D236" s="68"/>
      <c r="E236" s="68"/>
      <c r="F236" s="5"/>
      <c r="G236" s="68"/>
      <c r="H236" s="530"/>
      <c r="I236" s="166"/>
      <c r="J236" s="68"/>
      <c r="K236" s="68"/>
      <c r="L236" s="167"/>
      <c r="M236" s="68"/>
      <c r="N236" s="50"/>
      <c r="O236" s="50"/>
      <c r="P236" s="50"/>
      <c r="Q236" s="50"/>
      <c r="R236" s="50"/>
      <c r="S236" s="5"/>
      <c r="T236" s="68" t="s">
        <v>3359</v>
      </c>
      <c r="U236" s="68"/>
      <c r="V236" s="68"/>
      <c r="W236" s="110"/>
      <c r="X236" s="168"/>
      <c r="Y236" s="168"/>
      <c r="Z236" s="110"/>
      <c r="AA236" s="110"/>
      <c r="AB236" s="110"/>
      <c r="AC236" s="110"/>
      <c r="AD236" s="98"/>
    </row>
    <row r="237" spans="2:30" s="76" customFormat="1" x14ac:dyDescent="0.2">
      <c r="B237" s="314"/>
      <c r="C237" s="97"/>
      <c r="D237" s="154"/>
      <c r="E237" s="154"/>
      <c r="F237" s="94"/>
      <c r="G237" s="94"/>
      <c r="H237" s="562"/>
      <c r="I237" s="156"/>
      <c r="J237" s="94"/>
      <c r="K237" s="94"/>
      <c r="L237" s="157"/>
      <c r="M237" s="94"/>
      <c r="N237" s="66"/>
      <c r="O237" s="66"/>
      <c r="P237" s="66"/>
      <c r="Q237" s="66"/>
      <c r="R237" s="66"/>
      <c r="S237" s="91"/>
      <c r="T237" s="94"/>
      <c r="U237" s="94"/>
      <c r="V237" s="108"/>
      <c r="W237" s="108"/>
      <c r="X237" s="158"/>
      <c r="Y237" s="158"/>
      <c r="Z237" s="108"/>
      <c r="AA237" s="108" t="s">
        <v>4144</v>
      </c>
      <c r="AB237" s="108"/>
      <c r="AC237" s="108"/>
      <c r="AD237" s="98"/>
    </row>
    <row r="238" spans="2:30" s="76" customFormat="1" x14ac:dyDescent="0.2">
      <c r="B238" s="312" t="s">
        <v>4005</v>
      </c>
      <c r="C238" s="16" t="s">
        <v>4021</v>
      </c>
      <c r="D238" s="150" t="s">
        <v>4151</v>
      </c>
      <c r="E238" s="150"/>
      <c r="F238" s="6" t="s">
        <v>4152</v>
      </c>
      <c r="G238" s="67"/>
      <c r="H238" s="159">
        <v>26509.57</v>
      </c>
      <c r="I238" s="159"/>
      <c r="J238" s="150">
        <v>37077</v>
      </c>
      <c r="K238" s="150"/>
      <c r="L238" s="151"/>
      <c r="M238" s="161" t="s">
        <v>4147</v>
      </c>
      <c r="N238" s="10" t="s">
        <v>42</v>
      </c>
      <c r="O238" s="10"/>
      <c r="P238" s="10"/>
      <c r="Q238" s="10"/>
      <c r="R238" s="10"/>
      <c r="S238" s="23"/>
      <c r="T238" s="150">
        <v>37122</v>
      </c>
      <c r="U238" s="150"/>
      <c r="V238" s="67" t="s">
        <v>4153</v>
      </c>
      <c r="W238" s="163">
        <v>748</v>
      </c>
      <c r="X238" s="164"/>
      <c r="Y238" s="164"/>
      <c r="Z238" s="163" t="s">
        <v>211</v>
      </c>
      <c r="AA238" s="196">
        <v>37144</v>
      </c>
      <c r="AB238" s="163"/>
      <c r="AC238" s="163"/>
      <c r="AD238" s="98"/>
    </row>
    <row r="239" spans="2:30" s="76" customFormat="1" ht="13.5" customHeight="1" thickBot="1" x14ac:dyDescent="0.25">
      <c r="B239" s="313"/>
      <c r="C239" s="165"/>
      <c r="D239" s="68"/>
      <c r="E239" s="68"/>
      <c r="F239" s="5"/>
      <c r="G239" s="68"/>
      <c r="H239" s="530"/>
      <c r="I239" s="166"/>
      <c r="J239" s="68"/>
      <c r="K239" s="68"/>
      <c r="L239" s="167"/>
      <c r="M239" s="68"/>
      <c r="N239" s="50"/>
      <c r="O239" s="50"/>
      <c r="P239" s="50"/>
      <c r="Q239" s="50"/>
      <c r="R239" s="50"/>
      <c r="S239" s="5"/>
      <c r="T239" s="68" t="s">
        <v>3359</v>
      </c>
      <c r="U239" s="68"/>
      <c r="V239" s="68"/>
      <c r="W239" s="110"/>
      <c r="X239" s="168"/>
      <c r="Y239" s="168"/>
      <c r="Z239" s="110"/>
      <c r="AA239" s="110"/>
      <c r="AB239" s="110"/>
      <c r="AC239" s="110"/>
      <c r="AD239" s="98"/>
    </row>
    <row r="240" spans="2:30" s="76" customFormat="1" x14ac:dyDescent="0.2">
      <c r="B240" s="314"/>
      <c r="C240" s="97"/>
      <c r="D240" s="154"/>
      <c r="E240" s="154"/>
      <c r="F240" s="94"/>
      <c r="G240" s="94"/>
      <c r="H240" s="562"/>
      <c r="I240" s="156"/>
      <c r="J240" s="94"/>
      <c r="K240" s="94"/>
      <c r="L240" s="157"/>
      <c r="M240" s="94"/>
      <c r="N240" s="66"/>
      <c r="O240" s="66"/>
      <c r="P240" s="66"/>
      <c r="Q240" s="66"/>
      <c r="R240" s="66"/>
      <c r="S240" s="91"/>
      <c r="T240" s="94"/>
      <c r="U240" s="94"/>
      <c r="V240" s="108"/>
      <c r="W240" s="108"/>
      <c r="X240" s="158"/>
      <c r="Y240" s="158"/>
      <c r="Z240" s="108"/>
      <c r="AA240" s="108" t="s">
        <v>4144</v>
      </c>
      <c r="AB240" s="108"/>
      <c r="AC240" s="108"/>
      <c r="AD240" s="98"/>
    </row>
    <row r="241" spans="1:37" s="76" customFormat="1" x14ac:dyDescent="0.2">
      <c r="B241" s="312" t="s">
        <v>4005</v>
      </c>
      <c r="C241" s="16" t="s">
        <v>4021</v>
      </c>
      <c r="D241" s="150" t="s">
        <v>4154</v>
      </c>
      <c r="E241" s="150"/>
      <c r="F241" s="6" t="s">
        <v>4155</v>
      </c>
      <c r="G241" s="67"/>
      <c r="H241" s="159">
        <v>61687.33</v>
      </c>
      <c r="I241" s="159"/>
      <c r="J241" s="150">
        <v>37125</v>
      </c>
      <c r="K241" s="150"/>
      <c r="L241" s="151"/>
      <c r="M241" s="161" t="s">
        <v>4147</v>
      </c>
      <c r="N241" s="10" t="s">
        <v>42</v>
      </c>
      <c r="O241" s="10"/>
      <c r="P241" s="10"/>
      <c r="Q241" s="10"/>
      <c r="R241" s="10"/>
      <c r="S241" s="23">
        <v>37127</v>
      </c>
      <c r="T241" s="150">
        <v>37154</v>
      </c>
      <c r="U241" s="150"/>
      <c r="V241" s="67"/>
      <c r="W241" s="163">
        <v>752</v>
      </c>
      <c r="X241" s="164"/>
      <c r="Y241" s="164"/>
      <c r="Z241" s="163"/>
      <c r="AA241" s="196">
        <v>37170</v>
      </c>
      <c r="AB241" s="163"/>
      <c r="AC241" s="163"/>
      <c r="AD241" s="98"/>
    </row>
    <row r="242" spans="1:37" s="76" customFormat="1" ht="13.5" customHeight="1" thickBot="1" x14ac:dyDescent="0.25">
      <c r="B242" s="313"/>
      <c r="C242" s="165"/>
      <c r="D242" s="68"/>
      <c r="E242" s="68"/>
      <c r="F242" s="5"/>
      <c r="G242" s="68"/>
      <c r="H242" s="530"/>
      <c r="I242" s="166"/>
      <c r="J242" s="68"/>
      <c r="K242" s="68"/>
      <c r="L242" s="167"/>
      <c r="M242" s="68"/>
      <c r="N242" s="50"/>
      <c r="O242" s="50"/>
      <c r="P242" s="50"/>
      <c r="Q242" s="50"/>
      <c r="R242" s="50"/>
      <c r="S242" s="5" t="s">
        <v>309</v>
      </c>
      <c r="T242" s="68" t="s">
        <v>4156</v>
      </c>
      <c r="U242" s="68"/>
      <c r="V242" s="68"/>
      <c r="W242" s="110"/>
      <c r="X242" s="168"/>
      <c r="Y242" s="168"/>
      <c r="Z242" s="110"/>
      <c r="AA242" s="110"/>
      <c r="AB242" s="110"/>
      <c r="AC242" s="110"/>
      <c r="AD242" s="98"/>
    </row>
    <row r="243" spans="1:37" s="76" customFormat="1" x14ac:dyDescent="0.2">
      <c r="B243" s="314"/>
      <c r="C243" s="97"/>
      <c r="D243" s="154"/>
      <c r="E243" s="154"/>
      <c r="F243" s="94"/>
      <c r="G243" s="94"/>
      <c r="H243" s="562"/>
      <c r="I243" s="156"/>
      <c r="J243" s="94"/>
      <c r="K243" s="94"/>
      <c r="L243" s="157"/>
      <c r="M243" s="94"/>
      <c r="N243" s="66"/>
      <c r="O243" s="66"/>
      <c r="P243" s="66"/>
      <c r="Q243" s="66"/>
      <c r="R243" s="66"/>
      <c r="S243" s="91"/>
      <c r="T243" s="94"/>
      <c r="U243" s="94"/>
      <c r="V243" s="108"/>
      <c r="W243" s="108"/>
      <c r="X243" s="158"/>
      <c r="Y243" s="158"/>
      <c r="Z243" s="108"/>
      <c r="AA243" s="108" t="s">
        <v>559</v>
      </c>
      <c r="AB243" s="108"/>
      <c r="AC243" s="108"/>
      <c r="AD243" s="98"/>
    </row>
    <row r="244" spans="1:37" s="76" customFormat="1" x14ac:dyDescent="0.2">
      <c r="B244" s="312" t="s">
        <v>4005</v>
      </c>
      <c r="C244" s="16" t="s">
        <v>4021</v>
      </c>
      <c r="D244" s="150" t="s">
        <v>4157</v>
      </c>
      <c r="E244" s="150"/>
      <c r="F244" s="6" t="s">
        <v>4158</v>
      </c>
      <c r="G244" s="67"/>
      <c r="H244" s="159">
        <v>38250</v>
      </c>
      <c r="I244" s="159"/>
      <c r="J244" s="150">
        <v>37141</v>
      </c>
      <c r="K244" s="150"/>
      <c r="L244" s="151">
        <f>60+J244</f>
        <v>37201</v>
      </c>
      <c r="M244" s="161" t="s">
        <v>4147</v>
      </c>
      <c r="N244" s="10" t="s">
        <v>42</v>
      </c>
      <c r="O244" s="10"/>
      <c r="P244" s="10"/>
      <c r="Q244" s="10"/>
      <c r="R244" s="10"/>
      <c r="S244" s="23">
        <v>37180</v>
      </c>
      <c r="T244" s="150">
        <v>37204</v>
      </c>
      <c r="U244" s="150"/>
      <c r="V244" s="67" t="s">
        <v>4159</v>
      </c>
      <c r="W244" s="163">
        <v>763</v>
      </c>
      <c r="X244" s="164"/>
      <c r="Y244" s="164"/>
      <c r="Z244" s="163">
        <v>6584204944</v>
      </c>
      <c r="AA244" s="196">
        <v>37227</v>
      </c>
      <c r="AB244" s="163"/>
      <c r="AC244" s="163"/>
      <c r="AD244" s="98"/>
    </row>
    <row r="245" spans="1:37" s="76" customFormat="1" ht="13.5" customHeight="1" thickBot="1" x14ac:dyDescent="0.25">
      <c r="B245" s="313"/>
      <c r="C245" s="165"/>
      <c r="D245" s="68"/>
      <c r="E245" s="68"/>
      <c r="F245" s="5"/>
      <c r="G245" s="68"/>
      <c r="H245" s="530"/>
      <c r="I245" s="166"/>
      <c r="J245" s="68"/>
      <c r="K245" s="68"/>
      <c r="L245" s="167"/>
      <c r="M245" s="68"/>
      <c r="N245" s="50"/>
      <c r="O245" s="50"/>
      <c r="P245" s="50"/>
      <c r="Q245" s="50"/>
      <c r="R245" s="50"/>
      <c r="S245" s="5" t="s">
        <v>309</v>
      </c>
      <c r="T245" s="68" t="s">
        <v>4160</v>
      </c>
      <c r="U245" s="68"/>
      <c r="V245" s="68" t="s">
        <v>4161</v>
      </c>
      <c r="W245" s="110">
        <v>764</v>
      </c>
      <c r="X245" s="168"/>
      <c r="Y245" s="168"/>
      <c r="Z245" s="110"/>
      <c r="AA245" s="110"/>
      <c r="AB245" s="110"/>
      <c r="AC245" s="110"/>
      <c r="AD245" s="98"/>
    </row>
    <row r="246" spans="1:37" x14ac:dyDescent="0.2">
      <c r="AC246" s="38"/>
    </row>
    <row r="247" spans="1:37" x14ac:dyDescent="0.2">
      <c r="AC247" s="38"/>
    </row>
    <row r="248" spans="1:37" ht="12" thickBot="1" x14ac:dyDescent="0.25">
      <c r="AC248" s="38"/>
    </row>
    <row r="249" spans="1:37" s="556" customFormat="1" ht="39.950000000000003" customHeight="1" thickBot="1" x14ac:dyDescent="0.4">
      <c r="B249" s="1611">
        <v>2002</v>
      </c>
      <c r="C249" s="1612"/>
      <c r="D249" s="1612"/>
      <c r="E249" s="1612"/>
      <c r="F249" s="1612"/>
      <c r="G249" s="1612"/>
      <c r="H249" s="1612"/>
      <c r="I249" s="1612"/>
      <c r="J249" s="1612"/>
      <c r="K249" s="1612"/>
      <c r="L249" s="1612"/>
      <c r="M249" s="1612"/>
      <c r="N249" s="1612"/>
      <c r="O249" s="1612"/>
      <c r="P249" s="1612"/>
      <c r="Q249" s="1612"/>
      <c r="R249" s="1612"/>
      <c r="S249" s="1612"/>
      <c r="T249" s="1612"/>
      <c r="U249" s="1612"/>
      <c r="V249" s="1612"/>
      <c r="W249" s="1612"/>
      <c r="X249" s="1612"/>
      <c r="Y249" s="1612"/>
      <c r="Z249" s="1612"/>
      <c r="AA249" s="1612"/>
      <c r="AB249" s="1612"/>
      <c r="AC249" s="1613"/>
      <c r="AD249" s="560"/>
    </row>
    <row r="250" spans="1:37" s="441" customFormat="1" ht="60" customHeight="1" thickBot="1" x14ac:dyDescent="0.25">
      <c r="A250" s="438"/>
      <c r="B250" s="451" t="s">
        <v>130</v>
      </c>
      <c r="C250" s="451" t="s">
        <v>4</v>
      </c>
      <c r="D250" s="451" t="s">
        <v>5</v>
      </c>
      <c r="E250" s="451" t="s">
        <v>6</v>
      </c>
      <c r="F250" s="451" t="s">
        <v>7</v>
      </c>
      <c r="G250" s="451" t="s">
        <v>8</v>
      </c>
      <c r="H250" s="453" t="s">
        <v>9</v>
      </c>
      <c r="I250" s="453" t="s">
        <v>10</v>
      </c>
      <c r="J250" s="451" t="s">
        <v>11</v>
      </c>
      <c r="K250" s="451" t="s">
        <v>12</v>
      </c>
      <c r="L250" s="451" t="s">
        <v>13</v>
      </c>
      <c r="M250" s="451" t="s">
        <v>14</v>
      </c>
      <c r="N250" s="451" t="s">
        <v>15</v>
      </c>
      <c r="O250" s="452" t="s">
        <v>16</v>
      </c>
      <c r="P250" s="454" t="s">
        <v>17</v>
      </c>
      <c r="Q250" s="451" t="s">
        <v>18</v>
      </c>
      <c r="R250" s="452" t="s">
        <v>19</v>
      </c>
      <c r="S250" s="451" t="s">
        <v>20</v>
      </c>
      <c r="T250" s="451" t="s">
        <v>21</v>
      </c>
      <c r="U250" s="452" t="s">
        <v>22</v>
      </c>
      <c r="V250" s="451" t="s">
        <v>131</v>
      </c>
      <c r="W250" s="451" t="s">
        <v>24</v>
      </c>
      <c r="X250" s="451" t="s">
        <v>132</v>
      </c>
      <c r="Y250" s="451" t="s">
        <v>26</v>
      </c>
      <c r="Z250" s="451" t="s">
        <v>27</v>
      </c>
      <c r="AA250" s="451" t="s">
        <v>28</v>
      </c>
      <c r="AB250" s="451" t="s">
        <v>29</v>
      </c>
      <c r="AC250" s="451" t="s">
        <v>30</v>
      </c>
      <c r="AD250" s="439"/>
      <c r="AE250" s="440"/>
      <c r="AF250" s="440"/>
      <c r="AG250" s="440"/>
      <c r="AH250" s="440"/>
      <c r="AI250" s="440"/>
      <c r="AJ250" s="440"/>
      <c r="AK250" s="440"/>
    </row>
    <row r="251" spans="1:37" s="9" customFormat="1" x14ac:dyDescent="0.2">
      <c r="B251" s="314"/>
      <c r="C251" s="11"/>
      <c r="D251" s="12"/>
      <c r="E251" s="12"/>
      <c r="F251" s="12"/>
      <c r="G251" s="12"/>
      <c r="H251" s="563"/>
      <c r="I251" s="14"/>
      <c r="J251" s="12"/>
      <c r="K251" s="12"/>
      <c r="L251" s="12"/>
      <c r="M251" s="12"/>
      <c r="N251" s="12"/>
      <c r="O251" s="12"/>
      <c r="P251" s="12"/>
      <c r="Q251" s="12"/>
      <c r="R251" s="12"/>
      <c r="S251" s="12"/>
      <c r="T251" s="12"/>
      <c r="U251" s="12"/>
      <c r="V251" s="12"/>
      <c r="W251" s="11"/>
      <c r="X251" s="58"/>
      <c r="Y251" s="58"/>
      <c r="Z251" s="12"/>
      <c r="AA251" s="11"/>
      <c r="AB251" s="12"/>
      <c r="AC251" s="12"/>
      <c r="AD251" s="28"/>
    </row>
    <row r="252" spans="1:37" s="9" customFormat="1" x14ac:dyDescent="0.2">
      <c r="B252" s="312" t="s">
        <v>4005</v>
      </c>
      <c r="C252" s="16" t="s">
        <v>4021</v>
      </c>
      <c r="D252" s="6" t="s">
        <v>4162</v>
      </c>
      <c r="E252" s="6"/>
      <c r="F252" s="6" t="s">
        <v>4163</v>
      </c>
      <c r="G252" s="6"/>
      <c r="H252" s="564">
        <v>17399.900000000001</v>
      </c>
      <c r="I252" s="39"/>
      <c r="J252" s="7"/>
      <c r="K252" s="7"/>
      <c r="L252" s="40"/>
      <c r="M252" s="6" t="s">
        <v>4147</v>
      </c>
      <c r="N252" s="6" t="s">
        <v>42</v>
      </c>
      <c r="O252" s="6"/>
      <c r="P252" s="6"/>
      <c r="Q252" s="6"/>
      <c r="R252" s="6"/>
      <c r="S252" s="7">
        <v>37275</v>
      </c>
      <c r="T252" s="7">
        <v>37299</v>
      </c>
      <c r="U252" s="7"/>
      <c r="V252" s="138"/>
      <c r="W252" s="6">
        <v>777</v>
      </c>
      <c r="X252" s="60"/>
      <c r="Y252" s="60"/>
      <c r="Z252" s="6">
        <v>6584171786</v>
      </c>
      <c r="AA252" s="16"/>
      <c r="AB252" s="6"/>
      <c r="AC252" s="6"/>
      <c r="AD252" s="28"/>
    </row>
    <row r="253" spans="1:37" s="9" customFormat="1" ht="12" thickBot="1" x14ac:dyDescent="0.25">
      <c r="B253" s="313"/>
      <c r="C253" s="19"/>
      <c r="D253" s="5"/>
      <c r="E253" s="5"/>
      <c r="F253" s="5"/>
      <c r="G253" s="5"/>
      <c r="H253" s="26"/>
      <c r="I253" s="21"/>
      <c r="J253" s="5"/>
      <c r="K253" s="5"/>
      <c r="L253" s="5"/>
      <c r="M253" s="5"/>
      <c r="N253" s="5"/>
      <c r="O253" s="5"/>
      <c r="P253" s="5"/>
      <c r="Q253" s="5"/>
      <c r="R253" s="5"/>
      <c r="S253" s="5" t="s">
        <v>309</v>
      </c>
      <c r="T253" s="5" t="s">
        <v>4090</v>
      </c>
      <c r="U253" s="5"/>
      <c r="V253" s="5"/>
      <c r="W253" s="19"/>
      <c r="X253" s="62"/>
      <c r="Y253" s="62"/>
      <c r="Z253" s="5"/>
      <c r="AA253" s="19"/>
      <c r="AB253" s="5"/>
      <c r="AC253" s="5"/>
      <c r="AD253" s="28"/>
    </row>
    <row r="254" spans="1:37" s="9" customFormat="1" x14ac:dyDescent="0.2">
      <c r="B254" s="314"/>
      <c r="C254" s="11"/>
      <c r="D254" s="12"/>
      <c r="E254" s="12"/>
      <c r="F254" s="12"/>
      <c r="G254" s="12"/>
      <c r="H254" s="563"/>
      <c r="I254" s="14"/>
      <c r="J254" s="12"/>
      <c r="K254" s="12"/>
      <c r="L254" s="12"/>
      <c r="M254" s="12"/>
      <c r="N254" s="12"/>
      <c r="O254" s="12"/>
      <c r="P254" s="12"/>
      <c r="Q254" s="12"/>
      <c r="R254" s="12"/>
      <c r="S254" s="12"/>
      <c r="T254" s="12"/>
      <c r="U254" s="12"/>
      <c r="V254" s="12"/>
      <c r="W254" s="11"/>
      <c r="X254" s="58"/>
      <c r="Y254" s="58"/>
      <c r="Z254" s="12"/>
      <c r="AA254" s="11"/>
      <c r="AB254" s="12"/>
      <c r="AC254" s="12"/>
      <c r="AD254" s="28"/>
    </row>
    <row r="255" spans="1:37" s="9" customFormat="1" x14ac:dyDescent="0.2">
      <c r="B255" s="312" t="s">
        <v>4005</v>
      </c>
      <c r="C255" s="16" t="s">
        <v>4021</v>
      </c>
      <c r="D255" s="6" t="s">
        <v>4164</v>
      </c>
      <c r="E255" s="6"/>
      <c r="F255" s="6" t="s">
        <v>4165</v>
      </c>
      <c r="G255" s="6"/>
      <c r="H255" s="564">
        <v>6630.89</v>
      </c>
      <c r="I255" s="39"/>
      <c r="J255" s="7">
        <v>37302</v>
      </c>
      <c r="K255" s="7"/>
      <c r="L255" s="23">
        <f>60+J255</f>
        <v>37362</v>
      </c>
      <c r="M255" s="6" t="s">
        <v>4147</v>
      </c>
      <c r="N255" s="6" t="s">
        <v>42</v>
      </c>
      <c r="O255" s="6"/>
      <c r="P255" s="6"/>
      <c r="Q255" s="6"/>
      <c r="R255" s="6"/>
      <c r="S255" s="7">
        <v>37330</v>
      </c>
      <c r="T255" s="7">
        <v>37354</v>
      </c>
      <c r="U255" s="7"/>
      <c r="V255" s="220" t="s">
        <v>4166</v>
      </c>
      <c r="W255" s="6">
        <v>784</v>
      </c>
      <c r="X255" s="60"/>
      <c r="Y255" s="60"/>
      <c r="Z255" s="6">
        <v>6584171716</v>
      </c>
      <c r="AA255" s="6" t="s">
        <v>318</v>
      </c>
      <c r="AB255" s="6"/>
      <c r="AC255" s="6"/>
      <c r="AD255" s="28"/>
    </row>
    <row r="256" spans="1:37" s="9" customFormat="1" ht="12" thickBot="1" x14ac:dyDescent="0.25">
      <c r="B256" s="313"/>
      <c r="C256" s="19"/>
      <c r="D256" s="5"/>
      <c r="E256" s="5"/>
      <c r="F256" s="5"/>
      <c r="G256" s="5"/>
      <c r="H256" s="26"/>
      <c r="I256" s="21"/>
      <c r="J256" s="5"/>
      <c r="K256" s="5"/>
      <c r="L256" s="5"/>
      <c r="M256" s="5"/>
      <c r="N256" s="5"/>
      <c r="O256" s="5"/>
      <c r="P256" s="5"/>
      <c r="Q256" s="5"/>
      <c r="R256" s="5"/>
      <c r="S256" s="5" t="s">
        <v>647</v>
      </c>
      <c r="T256" s="5"/>
      <c r="U256" s="5"/>
      <c r="V256" s="5"/>
      <c r="W256" s="19"/>
      <c r="X256" s="62"/>
      <c r="Y256" s="62"/>
      <c r="Z256" s="5"/>
      <c r="AA256" s="5"/>
      <c r="AB256" s="5"/>
      <c r="AC256" s="5"/>
      <c r="AD256" s="28"/>
    </row>
    <row r="257" spans="2:30" s="9" customFormat="1" x14ac:dyDescent="0.2">
      <c r="B257" s="314"/>
      <c r="C257" s="11"/>
      <c r="D257" s="12"/>
      <c r="E257" s="12"/>
      <c r="F257" s="12"/>
      <c r="G257" s="12"/>
      <c r="H257" s="563"/>
      <c r="I257" s="14"/>
      <c r="J257" s="12"/>
      <c r="K257" s="12"/>
      <c r="L257" s="12"/>
      <c r="M257" s="12"/>
      <c r="N257" s="12"/>
      <c r="O257" s="12"/>
      <c r="P257" s="12"/>
      <c r="Q257" s="12"/>
      <c r="R257" s="12"/>
      <c r="S257" s="12"/>
      <c r="T257" s="12"/>
      <c r="U257" s="12"/>
      <c r="V257" s="12"/>
      <c r="W257" s="11"/>
      <c r="X257" s="58"/>
      <c r="Y257" s="58"/>
      <c r="Z257" s="12"/>
      <c r="AA257" s="12"/>
      <c r="AB257" s="12"/>
      <c r="AC257" s="12"/>
      <c r="AD257" s="28"/>
    </row>
    <row r="258" spans="2:30" s="9" customFormat="1" x14ac:dyDescent="0.2">
      <c r="B258" s="312" t="s">
        <v>4005</v>
      </c>
      <c r="C258" s="16" t="s">
        <v>4021</v>
      </c>
      <c r="D258" s="6"/>
      <c r="E258" s="6"/>
      <c r="F258" s="6" t="s">
        <v>4165</v>
      </c>
      <c r="G258" s="6"/>
      <c r="H258" s="564">
        <v>10447.75</v>
      </c>
      <c r="I258" s="39"/>
      <c r="J258" s="7">
        <v>37302</v>
      </c>
      <c r="K258" s="7"/>
      <c r="L258" s="23">
        <f>60+J258</f>
        <v>37362</v>
      </c>
      <c r="M258" s="6" t="s">
        <v>4147</v>
      </c>
      <c r="N258" s="6" t="s">
        <v>110</v>
      </c>
      <c r="O258" s="6"/>
      <c r="P258" s="6"/>
      <c r="Q258" s="6"/>
      <c r="R258" s="6"/>
      <c r="S258" s="7">
        <v>37357</v>
      </c>
      <c r="T258" s="7">
        <v>37370</v>
      </c>
      <c r="U258" s="7"/>
      <c r="V258" s="40" t="s">
        <v>347</v>
      </c>
      <c r="W258" s="6" t="s">
        <v>4167</v>
      </c>
      <c r="X258" s="60"/>
      <c r="Y258" s="60"/>
      <c r="Z258" s="6"/>
      <c r="AA258" s="6" t="s">
        <v>318</v>
      </c>
      <c r="AB258" s="6"/>
      <c r="AC258" s="6"/>
      <c r="AD258" s="28"/>
    </row>
    <row r="259" spans="2:30" s="9" customFormat="1" ht="12" thickBot="1" x14ac:dyDescent="0.25">
      <c r="B259" s="313"/>
      <c r="C259" s="19"/>
      <c r="D259" s="5"/>
      <c r="E259" s="5"/>
      <c r="F259" s="5"/>
      <c r="G259" s="5"/>
      <c r="H259" s="26" t="s">
        <v>4168</v>
      </c>
      <c r="I259" s="21"/>
      <c r="J259" s="5"/>
      <c r="K259" s="5"/>
      <c r="L259" s="5"/>
      <c r="M259" s="5"/>
      <c r="N259" s="5"/>
      <c r="O259" s="5"/>
      <c r="P259" s="5"/>
      <c r="Q259" s="5"/>
      <c r="R259" s="5"/>
      <c r="S259" s="5"/>
      <c r="T259" s="5"/>
      <c r="U259" s="5"/>
      <c r="V259" s="5" t="s">
        <v>4169</v>
      </c>
      <c r="W259" s="19"/>
      <c r="X259" s="62"/>
      <c r="Y259" s="62"/>
      <c r="Z259" s="5"/>
      <c r="AA259" s="19"/>
      <c r="AB259" s="5"/>
      <c r="AC259" s="5"/>
      <c r="AD259" s="28"/>
    </row>
    <row r="260" spans="2:30" s="76" customFormat="1" x14ac:dyDescent="0.2">
      <c r="B260" s="314"/>
      <c r="C260" s="11"/>
      <c r="D260" s="12"/>
      <c r="E260" s="12"/>
      <c r="F260" s="12"/>
      <c r="G260" s="12"/>
      <c r="H260" s="504"/>
      <c r="I260" s="14"/>
      <c r="J260" s="12"/>
      <c r="K260" s="12"/>
      <c r="L260" s="15"/>
      <c r="M260" s="12"/>
      <c r="N260" s="12"/>
      <c r="O260" s="12"/>
      <c r="P260" s="12"/>
      <c r="Q260" s="12"/>
      <c r="R260" s="12"/>
      <c r="S260" s="141"/>
      <c r="T260" s="12" t="s">
        <v>4170</v>
      </c>
      <c r="U260" s="12"/>
      <c r="V260" s="12"/>
      <c r="W260" s="80"/>
      <c r="X260" s="82"/>
      <c r="Y260" s="82"/>
      <c r="Z260" s="80"/>
      <c r="AA260" s="80"/>
      <c r="AB260" s="80"/>
      <c r="AC260" s="80"/>
      <c r="AD260" s="98"/>
    </row>
    <row r="261" spans="2:30" s="76" customFormat="1" x14ac:dyDescent="0.2">
      <c r="B261" s="312" t="s">
        <v>4005</v>
      </c>
      <c r="C261" s="16" t="s">
        <v>4021</v>
      </c>
      <c r="D261" s="6" t="s">
        <v>4171</v>
      </c>
      <c r="E261" s="6"/>
      <c r="F261" s="6" t="s">
        <v>4172</v>
      </c>
      <c r="G261" s="6"/>
      <c r="H261" s="17">
        <f>43065.54+5808+4349.1+7062+26272.89+3076.13+2404.65+648.21+220.75+270+1431.03+239.12</f>
        <v>94847.42</v>
      </c>
      <c r="I261" s="39"/>
      <c r="J261" s="7">
        <v>37383</v>
      </c>
      <c r="K261" s="7"/>
      <c r="L261" s="23">
        <f>30+J261</f>
        <v>37413</v>
      </c>
      <c r="M261" s="18" t="s">
        <v>4147</v>
      </c>
      <c r="N261" s="6" t="s">
        <v>42</v>
      </c>
      <c r="O261" s="6"/>
      <c r="P261" s="6"/>
      <c r="Q261" s="6"/>
      <c r="R261" s="6"/>
      <c r="S261" s="23">
        <v>37419</v>
      </c>
      <c r="T261" s="7">
        <v>37440</v>
      </c>
      <c r="U261" s="7"/>
      <c r="V261" s="6"/>
      <c r="W261" s="70">
        <v>804</v>
      </c>
      <c r="X261" s="75"/>
      <c r="Y261" s="75"/>
      <c r="Z261" s="6">
        <v>6558379052</v>
      </c>
      <c r="AA261" s="74"/>
      <c r="AB261" s="70"/>
      <c r="AC261" s="70"/>
      <c r="AD261" s="98"/>
    </row>
    <row r="262" spans="2:30" s="76" customFormat="1" ht="12" thickBot="1" x14ac:dyDescent="0.25">
      <c r="B262" s="313"/>
      <c r="C262" s="19"/>
      <c r="D262" s="5"/>
      <c r="E262" s="5"/>
      <c r="F262" s="5"/>
      <c r="G262" s="5"/>
      <c r="H262" s="20"/>
      <c r="I262" s="21"/>
      <c r="J262" s="5"/>
      <c r="K262" s="5"/>
      <c r="L262" s="127"/>
      <c r="M262" s="5"/>
      <c r="N262" s="5"/>
      <c r="O262" s="5"/>
      <c r="P262" s="5"/>
      <c r="Q262" s="5"/>
      <c r="R262" s="5"/>
      <c r="S262" s="127"/>
      <c r="T262" s="5"/>
      <c r="U262" s="5"/>
      <c r="V262" s="183"/>
      <c r="W262" s="87"/>
      <c r="X262" s="90"/>
      <c r="Y262" s="90"/>
      <c r="Z262" s="87"/>
      <c r="AA262" s="87"/>
      <c r="AB262" s="87"/>
      <c r="AC262" s="87"/>
      <c r="AD262" s="98"/>
    </row>
    <row r="263" spans="2:30" s="76" customFormat="1" x14ac:dyDescent="0.2">
      <c r="B263" s="314"/>
      <c r="C263" s="11"/>
      <c r="D263" s="12"/>
      <c r="E263" s="12"/>
      <c r="F263" s="12"/>
      <c r="G263" s="12"/>
      <c r="H263" s="504"/>
      <c r="I263" s="14"/>
      <c r="J263" s="12"/>
      <c r="K263" s="12"/>
      <c r="L263" s="15"/>
      <c r="M263" s="12"/>
      <c r="N263" s="12"/>
      <c r="O263" s="12"/>
      <c r="P263" s="12"/>
      <c r="Q263" s="12"/>
      <c r="R263" s="12"/>
      <c r="S263" s="141"/>
      <c r="T263" s="12"/>
      <c r="U263" s="12"/>
      <c r="V263" s="12"/>
      <c r="W263" s="80"/>
      <c r="X263" s="82"/>
      <c r="Y263" s="82"/>
      <c r="Z263" s="80"/>
      <c r="AA263" s="80"/>
      <c r="AB263" s="80"/>
      <c r="AC263" s="80"/>
      <c r="AD263" s="98"/>
    </row>
    <row r="264" spans="2:30" s="76" customFormat="1" x14ac:dyDescent="0.2">
      <c r="B264" s="312" t="s">
        <v>4005</v>
      </c>
      <c r="C264" s="16" t="s">
        <v>4021</v>
      </c>
      <c r="D264" s="6" t="s">
        <v>4171</v>
      </c>
      <c r="E264" s="6"/>
      <c r="F264" s="6" t="s">
        <v>4172</v>
      </c>
      <c r="G264" s="6"/>
      <c r="H264" s="17">
        <f>1805.9+1584.13+3450+1591.37+1423.93</f>
        <v>9855.3300000000017</v>
      </c>
      <c r="I264" s="39"/>
      <c r="J264" s="7">
        <v>37383</v>
      </c>
      <c r="K264" s="7"/>
      <c r="L264" s="23"/>
      <c r="M264" s="18" t="s">
        <v>4147</v>
      </c>
      <c r="N264" s="6" t="s">
        <v>42</v>
      </c>
      <c r="O264" s="6"/>
      <c r="P264" s="6"/>
      <c r="Q264" s="6"/>
      <c r="R264" s="6"/>
      <c r="S264" s="23">
        <v>37453</v>
      </c>
      <c r="T264" s="7">
        <v>37466</v>
      </c>
      <c r="U264" s="7"/>
      <c r="V264" s="40" t="s">
        <v>3430</v>
      </c>
      <c r="W264" s="70" t="s">
        <v>4173</v>
      </c>
      <c r="X264" s="75"/>
      <c r="Y264" s="75"/>
      <c r="Z264" s="6" t="s">
        <v>4174</v>
      </c>
      <c r="AA264" s="74" t="s">
        <v>318</v>
      </c>
      <c r="AB264" s="70"/>
      <c r="AC264" s="70"/>
      <c r="AD264" s="98"/>
    </row>
    <row r="265" spans="2:30" s="76" customFormat="1" ht="12" thickBot="1" x14ac:dyDescent="0.25">
      <c r="B265" s="313"/>
      <c r="C265" s="19"/>
      <c r="D265" s="5"/>
      <c r="E265" s="5"/>
      <c r="F265" s="5"/>
      <c r="G265" s="5"/>
      <c r="H265" s="105"/>
      <c r="I265" s="21"/>
      <c r="J265" s="5"/>
      <c r="K265" s="5"/>
      <c r="L265" s="127"/>
      <c r="M265" s="5"/>
      <c r="N265" s="5"/>
      <c r="O265" s="5"/>
      <c r="P265" s="5"/>
      <c r="Q265" s="5"/>
      <c r="R265" s="5"/>
      <c r="S265" s="127"/>
      <c r="T265" s="5" t="s">
        <v>4175</v>
      </c>
      <c r="U265" s="5"/>
      <c r="V265" s="183"/>
      <c r="W265" s="87"/>
      <c r="X265" s="90"/>
      <c r="Y265" s="90"/>
      <c r="Z265" s="87"/>
      <c r="AA265" s="87"/>
      <c r="AB265" s="87"/>
      <c r="AC265" s="87"/>
      <c r="AD265" s="98"/>
    </row>
    <row r="266" spans="2:30" s="76" customFormat="1" x14ac:dyDescent="0.2">
      <c r="B266" s="314"/>
      <c r="C266" s="11"/>
      <c r="D266" s="12"/>
      <c r="E266" s="12"/>
      <c r="F266" s="12"/>
      <c r="G266" s="12"/>
      <c r="H266" s="504"/>
      <c r="I266" s="14"/>
      <c r="J266" s="12"/>
      <c r="K266" s="12"/>
      <c r="L266" s="15"/>
      <c r="M266" s="12"/>
      <c r="N266" s="12"/>
      <c r="O266" s="12"/>
      <c r="P266" s="12"/>
      <c r="Q266" s="12"/>
      <c r="R266" s="12"/>
      <c r="S266" s="141"/>
      <c r="T266" s="12"/>
      <c r="U266" s="12"/>
      <c r="V266" s="12"/>
      <c r="W266" s="80"/>
      <c r="X266" s="82"/>
      <c r="Y266" s="82"/>
      <c r="Z266" s="80"/>
      <c r="AA266" s="80"/>
      <c r="AB266" s="80"/>
      <c r="AC266" s="80"/>
      <c r="AD266" s="98"/>
    </row>
    <row r="267" spans="2:30" s="76" customFormat="1" x14ac:dyDescent="0.2">
      <c r="B267" s="312" t="s">
        <v>4005</v>
      </c>
      <c r="C267" s="16" t="s">
        <v>4021</v>
      </c>
      <c r="D267" s="6" t="s">
        <v>4176</v>
      </c>
      <c r="E267" s="6"/>
      <c r="F267" s="6" t="s">
        <v>4177</v>
      </c>
      <c r="G267" s="6"/>
      <c r="H267" s="17">
        <v>2760</v>
      </c>
      <c r="I267" s="39"/>
      <c r="J267" s="7">
        <v>37439</v>
      </c>
      <c r="K267" s="7"/>
      <c r="L267" s="23"/>
      <c r="M267" s="18" t="s">
        <v>4147</v>
      </c>
      <c r="N267" s="6" t="s">
        <v>42</v>
      </c>
      <c r="O267" s="6"/>
      <c r="P267" s="6"/>
      <c r="Q267" s="6"/>
      <c r="R267" s="6"/>
      <c r="S267" s="23">
        <v>37453</v>
      </c>
      <c r="T267" s="7">
        <v>37466</v>
      </c>
      <c r="U267" s="7"/>
      <c r="V267" s="40" t="s">
        <v>3430</v>
      </c>
      <c r="W267" s="70" t="s">
        <v>4178</v>
      </c>
      <c r="X267" s="75"/>
      <c r="Y267" s="75"/>
      <c r="Z267" s="6" t="s">
        <v>4174</v>
      </c>
      <c r="AA267" s="74" t="s">
        <v>318</v>
      </c>
      <c r="AB267" s="70"/>
      <c r="AC267" s="70"/>
      <c r="AD267" s="98"/>
    </row>
    <row r="268" spans="2:30" s="76" customFormat="1" ht="12" thickBot="1" x14ac:dyDescent="0.25">
      <c r="B268" s="313"/>
      <c r="C268" s="19"/>
      <c r="D268" s="5"/>
      <c r="E268" s="5"/>
      <c r="F268" s="5"/>
      <c r="G268" s="5"/>
      <c r="H268" s="105"/>
      <c r="I268" s="21"/>
      <c r="J268" s="5"/>
      <c r="K268" s="5"/>
      <c r="L268" s="127"/>
      <c r="M268" s="5"/>
      <c r="N268" s="5"/>
      <c r="O268" s="5"/>
      <c r="P268" s="5"/>
      <c r="Q268" s="5"/>
      <c r="R268" s="5"/>
      <c r="S268" s="127"/>
      <c r="T268" s="5" t="s">
        <v>4175</v>
      </c>
      <c r="U268" s="5"/>
      <c r="V268" s="183" t="s">
        <v>4179</v>
      </c>
      <c r="W268" s="87"/>
      <c r="X268" s="90"/>
      <c r="Y268" s="90"/>
      <c r="Z268" s="87"/>
      <c r="AA268" s="87"/>
      <c r="AB268" s="87"/>
      <c r="AC268" s="87"/>
      <c r="AD268" s="98"/>
    </row>
    <row r="269" spans="2:30" s="76" customFormat="1" x14ac:dyDescent="0.2">
      <c r="B269" s="314"/>
      <c r="C269" s="11"/>
      <c r="D269" s="12"/>
      <c r="E269" s="12"/>
      <c r="F269" s="12"/>
      <c r="G269" s="12"/>
      <c r="H269" s="504"/>
      <c r="I269" s="14"/>
      <c r="J269" s="12"/>
      <c r="K269" s="12"/>
      <c r="L269" s="15"/>
      <c r="M269" s="12"/>
      <c r="N269" s="12"/>
      <c r="O269" s="12"/>
      <c r="P269" s="12"/>
      <c r="Q269" s="12"/>
      <c r="R269" s="12"/>
      <c r="S269" s="141"/>
      <c r="T269" s="12" t="s">
        <v>4180</v>
      </c>
      <c r="U269" s="12"/>
      <c r="V269" s="12"/>
      <c r="W269" s="80"/>
      <c r="X269" s="82"/>
      <c r="Y269" s="82"/>
      <c r="Z269" s="80"/>
      <c r="AA269" s="80"/>
      <c r="AB269" s="80"/>
      <c r="AC269" s="80"/>
      <c r="AD269" s="98"/>
    </row>
    <row r="270" spans="2:30" s="76" customFormat="1" x14ac:dyDescent="0.2">
      <c r="B270" s="312" t="s">
        <v>4005</v>
      </c>
      <c r="C270" s="16" t="s">
        <v>4021</v>
      </c>
      <c r="D270" s="6" t="s">
        <v>4181</v>
      </c>
      <c r="E270" s="6"/>
      <c r="F270" s="6" t="s">
        <v>4182</v>
      </c>
      <c r="G270" s="6"/>
      <c r="H270" s="17">
        <v>13626.5</v>
      </c>
      <c r="I270" s="39"/>
      <c r="J270" s="7">
        <v>37440</v>
      </c>
      <c r="K270" s="7"/>
      <c r="L270" s="23">
        <f>30+J270</f>
        <v>37470</v>
      </c>
      <c r="M270" s="18" t="s">
        <v>4147</v>
      </c>
      <c r="N270" s="6" t="s">
        <v>42</v>
      </c>
      <c r="O270" s="6"/>
      <c r="P270" s="6"/>
      <c r="Q270" s="6"/>
      <c r="R270" s="6"/>
      <c r="S270" s="23">
        <v>37457</v>
      </c>
      <c r="T270" s="7">
        <v>37480</v>
      </c>
      <c r="U270" s="7"/>
      <c r="V270" s="6" t="s">
        <v>4183</v>
      </c>
      <c r="W270" s="70">
        <v>808</v>
      </c>
      <c r="X270" s="75"/>
      <c r="Y270" s="75"/>
      <c r="Z270" s="6">
        <v>6554881211</v>
      </c>
      <c r="AA270" s="74"/>
      <c r="AB270" s="70"/>
      <c r="AC270" s="70"/>
      <c r="AD270" s="98"/>
    </row>
    <row r="271" spans="2:30" s="76" customFormat="1" ht="12" thickBot="1" x14ac:dyDescent="0.25">
      <c r="B271" s="313"/>
      <c r="C271" s="19"/>
      <c r="D271" s="5"/>
      <c r="E271" s="5"/>
      <c r="F271" s="5"/>
      <c r="G271" s="5"/>
      <c r="H271" s="20"/>
      <c r="I271" s="21"/>
      <c r="J271" s="5"/>
      <c r="K271" s="5"/>
      <c r="L271" s="127"/>
      <c r="M271" s="5"/>
      <c r="N271" s="5"/>
      <c r="O271" s="5"/>
      <c r="P271" s="5"/>
      <c r="Q271" s="5"/>
      <c r="R271" s="5"/>
      <c r="S271" s="127"/>
      <c r="T271" s="5" t="s">
        <v>4184</v>
      </c>
      <c r="U271" s="5"/>
      <c r="V271" s="224" t="s">
        <v>4185</v>
      </c>
      <c r="W271" s="87"/>
      <c r="X271" s="90"/>
      <c r="Y271" s="90"/>
      <c r="Z271" s="87"/>
      <c r="AA271" s="87"/>
      <c r="AB271" s="87"/>
      <c r="AC271" s="87"/>
      <c r="AD271" s="98"/>
    </row>
    <row r="272" spans="2:30" s="76" customFormat="1" x14ac:dyDescent="0.2">
      <c r="B272" s="314"/>
      <c r="C272" s="11"/>
      <c r="D272" s="12"/>
      <c r="E272" s="12"/>
      <c r="F272" s="12"/>
      <c r="G272" s="12"/>
      <c r="H272" s="504"/>
      <c r="I272" s="14"/>
      <c r="J272" s="12"/>
      <c r="K272" s="12"/>
      <c r="L272" s="15"/>
      <c r="M272" s="12"/>
      <c r="N272" s="12"/>
      <c r="O272" s="12"/>
      <c r="P272" s="12"/>
      <c r="Q272" s="12"/>
      <c r="R272" s="12"/>
      <c r="S272" s="141"/>
      <c r="T272" s="12"/>
      <c r="U272" s="12"/>
      <c r="V272" s="12"/>
      <c r="W272" s="80"/>
      <c r="X272" s="82"/>
      <c r="Y272" s="82"/>
      <c r="Z272" s="80"/>
      <c r="AA272" s="80"/>
      <c r="AB272" s="80"/>
      <c r="AC272" s="80"/>
      <c r="AD272" s="98"/>
    </row>
    <row r="273" spans="2:30" s="76" customFormat="1" x14ac:dyDescent="0.2">
      <c r="B273" s="312" t="s">
        <v>4005</v>
      </c>
      <c r="C273" s="16" t="s">
        <v>4021</v>
      </c>
      <c r="D273" s="6" t="s">
        <v>4186</v>
      </c>
      <c r="E273" s="6"/>
      <c r="F273" s="6" t="s">
        <v>4187</v>
      </c>
      <c r="G273" s="6"/>
      <c r="H273" s="17">
        <v>513.6</v>
      </c>
      <c r="I273" s="39"/>
      <c r="J273" s="7">
        <v>37490</v>
      </c>
      <c r="K273" s="7"/>
      <c r="L273" s="23">
        <v>37529</v>
      </c>
      <c r="M273" s="18" t="s">
        <v>4147</v>
      </c>
      <c r="N273" s="6" t="s">
        <v>42</v>
      </c>
      <c r="O273" s="6"/>
      <c r="P273" s="6"/>
      <c r="Q273" s="6"/>
      <c r="R273" s="6"/>
      <c r="S273" s="23"/>
      <c r="T273" s="7">
        <v>37509</v>
      </c>
      <c r="U273" s="7"/>
      <c r="V273" s="40" t="s">
        <v>3430</v>
      </c>
      <c r="W273" s="6" t="s">
        <v>4188</v>
      </c>
      <c r="X273" s="75"/>
      <c r="Y273" s="75"/>
      <c r="Z273" s="6">
        <v>7268117286</v>
      </c>
      <c r="AA273" s="74"/>
      <c r="AB273" s="70"/>
      <c r="AC273" s="70"/>
      <c r="AD273" s="98"/>
    </row>
    <row r="274" spans="2:30" s="76" customFormat="1" ht="12" thickBot="1" x14ac:dyDescent="0.25">
      <c r="B274" s="313"/>
      <c r="C274" s="19"/>
      <c r="D274" s="5"/>
      <c r="E274" s="5"/>
      <c r="F274" s="5"/>
      <c r="G274" s="5"/>
      <c r="H274" s="105"/>
      <c r="I274" s="21"/>
      <c r="J274" s="5"/>
      <c r="K274" s="5"/>
      <c r="L274" s="127"/>
      <c r="M274" s="5"/>
      <c r="N274" s="5"/>
      <c r="O274" s="5"/>
      <c r="P274" s="5"/>
      <c r="Q274" s="5"/>
      <c r="R274" s="5"/>
      <c r="S274" s="127"/>
      <c r="T274" s="5"/>
      <c r="U274" s="5"/>
      <c r="V274" s="224" t="s">
        <v>4189</v>
      </c>
      <c r="W274" s="87"/>
      <c r="X274" s="90"/>
      <c r="Y274" s="90"/>
      <c r="Z274" s="87" t="s">
        <v>3554</v>
      </c>
      <c r="AA274" s="87"/>
      <c r="AB274" s="87"/>
      <c r="AC274" s="87"/>
      <c r="AD274" s="98"/>
    </row>
    <row r="275" spans="2:30" s="76" customFormat="1" x14ac:dyDescent="0.2">
      <c r="B275" s="314"/>
      <c r="C275" s="11"/>
      <c r="D275" s="12"/>
      <c r="E275" s="12"/>
      <c r="F275" s="12"/>
      <c r="G275" s="12"/>
      <c r="H275" s="504"/>
      <c r="I275" s="14"/>
      <c r="J275" s="12"/>
      <c r="K275" s="12"/>
      <c r="L275" s="15"/>
      <c r="M275" s="12"/>
      <c r="N275" s="12"/>
      <c r="O275" s="12"/>
      <c r="P275" s="12"/>
      <c r="Q275" s="12"/>
      <c r="R275" s="12"/>
      <c r="S275" s="141"/>
      <c r="T275" s="12"/>
      <c r="U275" s="12"/>
      <c r="V275" s="12"/>
      <c r="W275" s="80"/>
      <c r="X275" s="82"/>
      <c r="Y275" s="82"/>
      <c r="Z275" s="80"/>
      <c r="AA275" s="80"/>
      <c r="AB275" s="80"/>
      <c r="AC275" s="80"/>
      <c r="AD275" s="98"/>
    </row>
    <row r="276" spans="2:30" s="76" customFormat="1" x14ac:dyDescent="0.2">
      <c r="B276" s="312" t="s">
        <v>4005</v>
      </c>
      <c r="C276" s="16" t="s">
        <v>4021</v>
      </c>
      <c r="D276" s="6" t="s">
        <v>4181</v>
      </c>
      <c r="E276" s="6"/>
      <c r="F276" s="6" t="s">
        <v>4182</v>
      </c>
      <c r="G276" s="6"/>
      <c r="H276" s="17">
        <f>2490+4875+3825+5625</f>
        <v>16815</v>
      </c>
      <c r="I276" s="39"/>
      <c r="J276" s="7">
        <v>37466</v>
      </c>
      <c r="K276" s="7"/>
      <c r="L276" s="23"/>
      <c r="M276" s="18" t="s">
        <v>4147</v>
      </c>
      <c r="N276" s="6" t="s">
        <v>110</v>
      </c>
      <c r="O276" s="6"/>
      <c r="P276" s="6"/>
      <c r="Q276" s="6"/>
      <c r="R276" s="6"/>
      <c r="S276" s="23">
        <v>37522</v>
      </c>
      <c r="T276" s="7">
        <v>37524</v>
      </c>
      <c r="U276" s="7"/>
      <c r="V276" s="40" t="s">
        <v>3430</v>
      </c>
      <c r="W276" s="6" t="s">
        <v>4190</v>
      </c>
      <c r="X276" s="75"/>
      <c r="Y276" s="75"/>
      <c r="Z276" s="6" t="s">
        <v>1143</v>
      </c>
      <c r="AA276" s="74"/>
      <c r="AB276" s="70"/>
      <c r="AC276" s="70"/>
      <c r="AD276" s="98"/>
    </row>
    <row r="277" spans="2:30" s="76" customFormat="1" ht="12" thickBot="1" x14ac:dyDescent="0.25">
      <c r="B277" s="313"/>
      <c r="C277" s="19"/>
      <c r="D277" s="5"/>
      <c r="E277" s="5"/>
      <c r="F277" s="5"/>
      <c r="G277" s="5"/>
      <c r="H277" s="105"/>
      <c r="I277" s="21"/>
      <c r="J277" s="5"/>
      <c r="K277" s="5"/>
      <c r="L277" s="127"/>
      <c r="M277" s="5"/>
      <c r="N277" s="5"/>
      <c r="O277" s="5"/>
      <c r="P277" s="5"/>
      <c r="Q277" s="5"/>
      <c r="R277" s="5"/>
      <c r="S277" s="127"/>
      <c r="T277" s="5"/>
      <c r="U277" s="5"/>
      <c r="V277" s="224" t="s">
        <v>4191</v>
      </c>
      <c r="W277" s="87"/>
      <c r="X277" s="90"/>
      <c r="Y277" s="90"/>
      <c r="Z277" s="87"/>
      <c r="AA277" s="87"/>
      <c r="AB277" s="87"/>
      <c r="AC277" s="87"/>
      <c r="AD277" s="98"/>
    </row>
    <row r="278" spans="2:30" s="76" customFormat="1" x14ac:dyDescent="0.2">
      <c r="B278" s="314"/>
      <c r="C278" s="11"/>
      <c r="D278" s="12"/>
      <c r="E278" s="12"/>
      <c r="F278" s="12"/>
      <c r="G278" s="12"/>
      <c r="H278" s="504"/>
      <c r="I278" s="14"/>
      <c r="J278" s="12"/>
      <c r="K278" s="12"/>
      <c r="L278" s="15"/>
      <c r="M278" s="12"/>
      <c r="N278" s="12"/>
      <c r="O278" s="12"/>
      <c r="P278" s="12"/>
      <c r="Q278" s="12"/>
      <c r="R278" s="12"/>
      <c r="S278" s="141"/>
      <c r="T278" s="12"/>
      <c r="U278" s="12"/>
      <c r="V278" s="12"/>
      <c r="W278" s="80"/>
      <c r="X278" s="82"/>
      <c r="Y278" s="82"/>
      <c r="Z278" s="80"/>
      <c r="AA278" s="80"/>
      <c r="AB278" s="80"/>
      <c r="AC278" s="80"/>
      <c r="AD278" s="98"/>
    </row>
    <row r="279" spans="2:30" s="76" customFormat="1" x14ac:dyDescent="0.2">
      <c r="B279" s="312" t="s">
        <v>4005</v>
      </c>
      <c r="C279" s="16" t="s">
        <v>4021</v>
      </c>
      <c r="D279" s="6" t="s">
        <v>4192</v>
      </c>
      <c r="E279" s="6"/>
      <c r="F279" s="6" t="s">
        <v>4193</v>
      </c>
      <c r="G279" s="6"/>
      <c r="H279" s="17">
        <v>1019</v>
      </c>
      <c r="I279" s="39"/>
      <c r="J279" s="7">
        <v>37537</v>
      </c>
      <c r="K279" s="7"/>
      <c r="L279" s="23"/>
      <c r="M279" s="18" t="s">
        <v>4147</v>
      </c>
      <c r="N279" s="6" t="s">
        <v>110</v>
      </c>
      <c r="O279" s="6"/>
      <c r="P279" s="6"/>
      <c r="Q279" s="6"/>
      <c r="R279" s="6"/>
      <c r="S279" s="23">
        <v>37554</v>
      </c>
      <c r="T279" s="7"/>
      <c r="U279" s="7"/>
      <c r="V279" s="40" t="s">
        <v>4194</v>
      </c>
      <c r="W279" s="70" t="s">
        <v>4195</v>
      </c>
      <c r="X279" s="75"/>
      <c r="Y279" s="75"/>
      <c r="Z279" s="70"/>
      <c r="AA279" s="74"/>
      <c r="AB279" s="70"/>
      <c r="AC279" s="70"/>
      <c r="AD279" s="98"/>
    </row>
    <row r="280" spans="2:30" s="98" customFormat="1" ht="12" thickBot="1" x14ac:dyDescent="0.25">
      <c r="B280" s="313"/>
      <c r="C280" s="19"/>
      <c r="D280" s="5"/>
      <c r="E280" s="5"/>
      <c r="F280" s="5"/>
      <c r="G280" s="5"/>
      <c r="H280" s="105"/>
      <c r="I280" s="21"/>
      <c r="J280" s="5"/>
      <c r="K280" s="5"/>
      <c r="L280" s="127"/>
      <c r="M280" s="5"/>
      <c r="N280" s="5"/>
      <c r="O280" s="5"/>
      <c r="P280" s="5"/>
      <c r="Q280" s="5"/>
      <c r="R280" s="5"/>
      <c r="S280" s="127"/>
      <c r="T280" s="5"/>
      <c r="U280" s="5"/>
      <c r="V280" s="139" t="s">
        <v>347</v>
      </c>
      <c r="W280" s="87"/>
      <c r="X280" s="90"/>
      <c r="Y280" s="90"/>
      <c r="Z280" s="87"/>
      <c r="AA280" s="87"/>
      <c r="AB280" s="87"/>
      <c r="AC280" s="87"/>
    </row>
    <row r="281" spans="2:30" s="76" customFormat="1" x14ac:dyDescent="0.2">
      <c r="B281" s="314"/>
      <c r="C281" s="11"/>
      <c r="D281" s="12"/>
      <c r="E281" s="12"/>
      <c r="F281" s="12"/>
      <c r="G281" s="12"/>
      <c r="H281" s="504"/>
      <c r="I281" s="14"/>
      <c r="J281" s="12"/>
      <c r="K281" s="12"/>
      <c r="L281" s="15"/>
      <c r="M281" s="12"/>
      <c r="N281" s="12"/>
      <c r="O281" s="12"/>
      <c r="P281" s="12"/>
      <c r="Q281" s="12"/>
      <c r="R281" s="12"/>
      <c r="S281" s="141"/>
      <c r="T281" s="12" t="s">
        <v>4196</v>
      </c>
      <c r="U281" s="12"/>
      <c r="V281" s="12"/>
      <c r="W281" s="80"/>
      <c r="X281" s="82"/>
      <c r="Y281" s="82"/>
      <c r="Z281" s="80"/>
      <c r="AA281" s="80"/>
      <c r="AB281" s="80"/>
      <c r="AC281" s="80"/>
      <c r="AD281" s="98"/>
    </row>
    <row r="282" spans="2:30" s="76" customFormat="1" x14ac:dyDescent="0.2">
      <c r="B282" s="312" t="s">
        <v>4005</v>
      </c>
      <c r="C282" s="16" t="s">
        <v>4021</v>
      </c>
      <c r="D282" s="6" t="s">
        <v>4186</v>
      </c>
      <c r="E282" s="6"/>
      <c r="F282" s="6" t="s">
        <v>4187</v>
      </c>
      <c r="G282" s="6"/>
      <c r="H282" s="17">
        <v>10657.97</v>
      </c>
      <c r="I282" s="39"/>
      <c r="J282" s="7">
        <v>37476</v>
      </c>
      <c r="K282" s="7"/>
      <c r="L282" s="23">
        <f>60+J282</f>
        <v>37536</v>
      </c>
      <c r="M282" s="18" t="s">
        <v>4147</v>
      </c>
      <c r="N282" s="6" t="s">
        <v>42</v>
      </c>
      <c r="O282" s="6"/>
      <c r="P282" s="6"/>
      <c r="Q282" s="6"/>
      <c r="R282" s="6"/>
      <c r="S282" s="23">
        <v>37566</v>
      </c>
      <c r="T282" s="23">
        <v>37593</v>
      </c>
      <c r="U282" s="23"/>
      <c r="V282" s="40"/>
      <c r="W282" s="70">
        <v>832</v>
      </c>
      <c r="X282" s="75"/>
      <c r="Y282" s="75"/>
      <c r="Z282" s="6">
        <v>6553188714</v>
      </c>
      <c r="AA282" s="74"/>
      <c r="AB282" s="70"/>
      <c r="AC282" s="70"/>
      <c r="AD282" s="98"/>
    </row>
    <row r="283" spans="2:30" s="76" customFormat="1" ht="12" thickBot="1" x14ac:dyDescent="0.25">
      <c r="B283" s="313"/>
      <c r="C283" s="19"/>
      <c r="D283" s="5"/>
      <c r="E283" s="5"/>
      <c r="F283" s="5"/>
      <c r="G283" s="5"/>
      <c r="H283" s="105"/>
      <c r="I283" s="21"/>
      <c r="J283" s="27"/>
      <c r="K283" s="27"/>
      <c r="L283" s="127"/>
      <c r="M283" s="5"/>
      <c r="N283" s="5"/>
      <c r="O283" s="5"/>
      <c r="P283" s="5"/>
      <c r="Q283" s="5"/>
      <c r="R283" s="5"/>
      <c r="S283" s="127"/>
      <c r="T283" s="5" t="s">
        <v>4197</v>
      </c>
      <c r="U283" s="5"/>
      <c r="V283" s="224"/>
      <c r="W283" s="87" t="s">
        <v>4198</v>
      </c>
      <c r="X283" s="90"/>
      <c r="Y283" s="90"/>
      <c r="Z283" s="87"/>
      <c r="AA283" s="87"/>
      <c r="AB283" s="87"/>
      <c r="AC283" s="87"/>
      <c r="AD283" s="98"/>
    </row>
    <row r="284" spans="2:30" s="76" customFormat="1" x14ac:dyDescent="0.2">
      <c r="B284" s="314"/>
      <c r="C284" s="11"/>
      <c r="D284" s="11"/>
      <c r="E284" s="11"/>
      <c r="F284" s="11"/>
      <c r="G284" s="11"/>
      <c r="H284" s="11"/>
      <c r="I284" s="11"/>
      <c r="J284" s="11"/>
      <c r="K284" s="11"/>
      <c r="L284" s="11"/>
      <c r="M284" s="11"/>
      <c r="N284" s="11"/>
      <c r="O284" s="11"/>
      <c r="P284" s="11"/>
      <c r="Q284" s="11"/>
      <c r="R284" s="11"/>
      <c r="S284" s="314"/>
      <c r="T284" s="12" t="s">
        <v>4196</v>
      </c>
      <c r="U284" s="12"/>
      <c r="V284" s="11"/>
      <c r="W284" s="11"/>
      <c r="X284" s="82"/>
      <c r="Y284" s="82"/>
      <c r="Z284" s="11"/>
      <c r="AA284" s="11"/>
      <c r="AB284" s="314"/>
      <c r="AC284" s="314"/>
      <c r="AD284" s="98"/>
    </row>
    <row r="285" spans="2:30" s="76" customFormat="1" x14ac:dyDescent="0.2">
      <c r="B285" s="312" t="s">
        <v>4005</v>
      </c>
      <c r="C285" s="16" t="s">
        <v>4021</v>
      </c>
      <c r="D285" s="16" t="s">
        <v>4171</v>
      </c>
      <c r="E285" s="16"/>
      <c r="F285" s="6" t="s">
        <v>4172</v>
      </c>
      <c r="G285" s="6"/>
      <c r="H285" s="17">
        <f>7*360.32</f>
        <v>2522.2399999999998</v>
      </c>
      <c r="I285" s="16"/>
      <c r="J285" s="7">
        <v>37383</v>
      </c>
      <c r="K285" s="7"/>
      <c r="L285" s="23">
        <f>30+J285</f>
        <v>37413</v>
      </c>
      <c r="M285" s="6" t="s">
        <v>4147</v>
      </c>
      <c r="N285" s="6" t="s">
        <v>42</v>
      </c>
      <c r="O285" s="6"/>
      <c r="P285" s="6"/>
      <c r="Q285" s="6"/>
      <c r="R285" s="6"/>
      <c r="S285" s="23">
        <v>37566</v>
      </c>
      <c r="T285" s="23">
        <v>37593</v>
      </c>
      <c r="U285" s="23"/>
      <c r="V285" s="40" t="s">
        <v>4199</v>
      </c>
      <c r="W285" s="6">
        <v>832</v>
      </c>
      <c r="X285" s="75"/>
      <c r="Y285" s="75"/>
      <c r="Z285" s="6">
        <v>6553188714</v>
      </c>
      <c r="AA285" s="16"/>
      <c r="AB285" s="312"/>
      <c r="AC285" s="312"/>
      <c r="AD285" s="98"/>
    </row>
    <row r="286" spans="2:30" s="76" customFormat="1" ht="12" thickBot="1" x14ac:dyDescent="0.25">
      <c r="B286" s="313"/>
      <c r="C286" s="19"/>
      <c r="D286" s="19"/>
      <c r="E286" s="19"/>
      <c r="F286" s="19"/>
      <c r="G286" s="19"/>
      <c r="H286" s="19"/>
      <c r="I286" s="19"/>
      <c r="J286" s="19"/>
      <c r="K286" s="19"/>
      <c r="L286" s="19"/>
      <c r="M286" s="5"/>
      <c r="N286" s="5"/>
      <c r="O286" s="5"/>
      <c r="P286" s="5"/>
      <c r="Q286" s="5"/>
      <c r="R286" s="5"/>
      <c r="S286" s="313"/>
      <c r="T286" s="5" t="s">
        <v>4197</v>
      </c>
      <c r="U286" s="5"/>
      <c r="V286" s="19"/>
      <c r="W286" s="87" t="s">
        <v>4198</v>
      </c>
      <c r="X286" s="90"/>
      <c r="Y286" s="90"/>
      <c r="Z286" s="19"/>
      <c r="AA286" s="19"/>
      <c r="AB286" s="313"/>
      <c r="AC286" s="313"/>
      <c r="AD286" s="98"/>
    </row>
    <row r="287" spans="2:30" s="76" customFormat="1" x14ac:dyDescent="0.2">
      <c r="B287" s="314"/>
      <c r="C287" s="11"/>
      <c r="D287" s="12"/>
      <c r="E287" s="12"/>
      <c r="F287" s="12"/>
      <c r="G287" s="12"/>
      <c r="H287" s="504"/>
      <c r="I287" s="14"/>
      <c r="J287" s="12"/>
      <c r="K287" s="12"/>
      <c r="L287" s="15"/>
      <c r="M287" s="12"/>
      <c r="N287" s="12"/>
      <c r="O287" s="12"/>
      <c r="P287" s="12"/>
      <c r="Q287" s="12"/>
      <c r="R287" s="12"/>
      <c r="S287" s="141"/>
      <c r="T287" s="12"/>
      <c r="U287" s="12"/>
      <c r="V287" s="12"/>
      <c r="W287" s="80"/>
      <c r="X287" s="82"/>
      <c r="Y287" s="82"/>
      <c r="Z287" s="80"/>
      <c r="AA287" s="80"/>
      <c r="AB287" s="80"/>
      <c r="AC287" s="80"/>
      <c r="AD287" s="98"/>
    </row>
    <row r="288" spans="2:30" s="76" customFormat="1" x14ac:dyDescent="0.2">
      <c r="B288" s="312" t="s">
        <v>4005</v>
      </c>
      <c r="C288" s="16" t="s">
        <v>4021</v>
      </c>
      <c r="D288" s="6" t="s">
        <v>4200</v>
      </c>
      <c r="E288" s="6"/>
      <c r="F288" s="6" t="s">
        <v>4201</v>
      </c>
      <c r="G288" s="6"/>
      <c r="H288" s="17">
        <v>37533.5</v>
      </c>
      <c r="I288" s="39"/>
      <c r="J288" s="7">
        <v>37529</v>
      </c>
      <c r="K288" s="7"/>
      <c r="L288" s="23">
        <f>30+J288</f>
        <v>37559</v>
      </c>
      <c r="M288" s="18" t="s">
        <v>4147</v>
      </c>
      <c r="N288" s="6" t="s">
        <v>42</v>
      </c>
      <c r="O288" s="6"/>
      <c r="P288" s="6"/>
      <c r="Q288" s="6"/>
      <c r="R288" s="6"/>
      <c r="S288" s="23">
        <v>37657</v>
      </c>
      <c r="T288" s="7">
        <v>37664</v>
      </c>
      <c r="U288" s="7"/>
      <c r="V288" s="40" t="s">
        <v>3501</v>
      </c>
      <c r="W288" s="231" t="s">
        <v>4202</v>
      </c>
      <c r="X288" s="75"/>
      <c r="Y288" s="75"/>
      <c r="Z288" s="6">
        <v>6552932201</v>
      </c>
      <c r="AA288" s="74"/>
      <c r="AB288" s="70"/>
      <c r="AC288" s="70"/>
      <c r="AD288" s="98"/>
    </row>
    <row r="289" spans="1:37" s="76" customFormat="1" ht="12" thickBot="1" x14ac:dyDescent="0.25">
      <c r="B289" s="313"/>
      <c r="C289" s="19"/>
      <c r="D289" s="5"/>
      <c r="E289" s="5"/>
      <c r="F289" s="5"/>
      <c r="G289" s="5"/>
      <c r="H289" s="105"/>
      <c r="I289" s="21"/>
      <c r="J289" s="5"/>
      <c r="K289" s="5"/>
      <c r="L289" s="127"/>
      <c r="M289" s="5"/>
      <c r="N289" s="5"/>
      <c r="O289" s="5"/>
      <c r="P289" s="5"/>
      <c r="Q289" s="5"/>
      <c r="R289" s="5"/>
      <c r="S289" s="127"/>
      <c r="T289" s="22" t="s">
        <v>4203</v>
      </c>
      <c r="U289" s="22"/>
      <c r="V289" s="224"/>
      <c r="W289" s="87"/>
      <c r="X289" s="90"/>
      <c r="Y289" s="90"/>
      <c r="Z289" s="87"/>
      <c r="AA289" s="87"/>
      <c r="AB289" s="87"/>
      <c r="AC289" s="87"/>
      <c r="AD289" s="98"/>
    </row>
    <row r="290" spans="1:37" s="76" customFormat="1" x14ac:dyDescent="0.2">
      <c r="B290" s="314"/>
      <c r="C290" s="11"/>
      <c r="D290" s="12"/>
      <c r="E290" s="12"/>
      <c r="F290" s="12"/>
      <c r="G290" s="12"/>
      <c r="H290" s="504"/>
      <c r="I290" s="14"/>
      <c r="J290" s="12"/>
      <c r="K290" s="12"/>
      <c r="L290" s="15"/>
      <c r="M290" s="12"/>
      <c r="N290" s="12"/>
      <c r="O290" s="12"/>
      <c r="P290" s="12"/>
      <c r="Q290" s="12"/>
      <c r="R290" s="12"/>
      <c r="S290" s="141"/>
      <c r="T290" s="12"/>
      <c r="U290" s="12"/>
      <c r="V290" s="12"/>
      <c r="W290" s="80"/>
      <c r="X290" s="82"/>
      <c r="Y290" s="82"/>
      <c r="Z290" s="80"/>
      <c r="AA290" s="80"/>
      <c r="AB290" s="80"/>
      <c r="AC290" s="80"/>
      <c r="AD290" s="98"/>
    </row>
    <row r="291" spans="1:37" s="76" customFormat="1" x14ac:dyDescent="0.2">
      <c r="B291" s="312" t="s">
        <v>4005</v>
      </c>
      <c r="C291" s="16" t="s">
        <v>4021</v>
      </c>
      <c r="D291" s="6" t="s">
        <v>4192</v>
      </c>
      <c r="E291" s="6"/>
      <c r="F291" s="6" t="s">
        <v>4193</v>
      </c>
      <c r="G291" s="6"/>
      <c r="H291" s="17">
        <f>115149.14-12685-59920.15-151-103.75</f>
        <v>42289.24</v>
      </c>
      <c r="I291" s="39"/>
      <c r="J291" s="7">
        <v>37537</v>
      </c>
      <c r="K291" s="7"/>
      <c r="L291" s="23">
        <f>60+J291</f>
        <v>37597</v>
      </c>
      <c r="M291" s="18" t="s">
        <v>4147</v>
      </c>
      <c r="N291" s="6" t="s">
        <v>42</v>
      </c>
      <c r="O291" s="6"/>
      <c r="P291" s="6"/>
      <c r="Q291" s="6"/>
      <c r="R291" s="6"/>
      <c r="S291" s="23">
        <v>37657</v>
      </c>
      <c r="T291" s="7">
        <v>37664</v>
      </c>
      <c r="U291" s="7"/>
      <c r="V291" s="40" t="s">
        <v>53</v>
      </c>
      <c r="W291" s="70">
        <v>859</v>
      </c>
      <c r="X291" s="75"/>
      <c r="Y291" s="75"/>
      <c r="Z291" s="6">
        <v>6552932201</v>
      </c>
      <c r="AA291" s="74"/>
      <c r="AB291" s="70"/>
      <c r="AC291" s="70"/>
      <c r="AD291" s="98"/>
    </row>
    <row r="292" spans="1:37" s="76" customFormat="1" ht="12" thickBot="1" x14ac:dyDescent="0.25">
      <c r="B292" s="313"/>
      <c r="C292" s="19"/>
      <c r="D292" s="5"/>
      <c r="E292" s="5"/>
      <c r="F292" s="5"/>
      <c r="G292" s="5"/>
      <c r="H292" s="105"/>
      <c r="I292" s="21"/>
      <c r="J292" s="5"/>
      <c r="K292" s="5"/>
      <c r="L292" s="127"/>
      <c r="M292" s="5"/>
      <c r="N292" s="5"/>
      <c r="O292" s="5"/>
      <c r="P292" s="5"/>
      <c r="Q292" s="5"/>
      <c r="R292" s="5"/>
      <c r="S292" s="127"/>
      <c r="T292" s="22" t="s">
        <v>4203</v>
      </c>
      <c r="U292" s="22"/>
      <c r="V292" s="224"/>
      <c r="W292" s="87"/>
      <c r="X292" s="90"/>
      <c r="Y292" s="90"/>
      <c r="Z292" s="87"/>
      <c r="AA292" s="87"/>
      <c r="AB292" s="87"/>
      <c r="AC292" s="87"/>
      <c r="AD292" s="98"/>
    </row>
    <row r="293" spans="1:37" s="98" customFormat="1" ht="6.75" customHeight="1" x14ac:dyDescent="0.2">
      <c r="B293" s="315"/>
      <c r="C293" s="28"/>
      <c r="D293" s="30"/>
      <c r="E293" s="30"/>
      <c r="F293" s="30"/>
      <c r="G293" s="30"/>
      <c r="H293" s="116"/>
      <c r="I293" s="31"/>
      <c r="J293" s="30"/>
      <c r="K293" s="30"/>
      <c r="L293" s="140"/>
      <c r="M293" s="30"/>
      <c r="N293" s="30"/>
      <c r="O293" s="30"/>
      <c r="P293" s="30"/>
      <c r="Q293" s="30"/>
      <c r="R293" s="30"/>
      <c r="S293" s="219"/>
      <c r="T293" s="241"/>
      <c r="U293" s="241"/>
      <c r="V293" s="226"/>
      <c r="W293" s="99"/>
      <c r="X293" s="99"/>
      <c r="Y293" s="99"/>
      <c r="Z293" s="120"/>
      <c r="AA293" s="99"/>
      <c r="AB293" s="99"/>
      <c r="AC293" s="99"/>
    </row>
    <row r="294" spans="1:37" s="98" customFormat="1" ht="9" customHeight="1" thickBot="1" x14ac:dyDescent="0.25">
      <c r="B294" s="315"/>
      <c r="C294" s="28"/>
      <c r="D294" s="30"/>
      <c r="E294" s="30"/>
      <c r="F294" s="30"/>
      <c r="G294" s="30"/>
      <c r="H294" s="116"/>
      <c r="I294" s="31"/>
      <c r="J294" s="30"/>
      <c r="K294" s="30"/>
      <c r="L294" s="140"/>
      <c r="M294" s="30"/>
      <c r="N294" s="30"/>
      <c r="O294" s="30"/>
      <c r="P294" s="30"/>
      <c r="Q294" s="30"/>
      <c r="R294" s="30"/>
      <c r="S294" s="219"/>
      <c r="T294" s="241"/>
      <c r="U294" s="241"/>
      <c r="V294" s="226"/>
      <c r="W294" s="99"/>
      <c r="X294" s="99"/>
      <c r="Y294" s="99"/>
      <c r="Z294" s="120"/>
      <c r="AA294" s="99"/>
      <c r="AB294" s="99"/>
      <c r="AC294" s="99"/>
    </row>
    <row r="295" spans="1:37" s="556" customFormat="1" ht="39.950000000000003" customHeight="1" thickBot="1" x14ac:dyDescent="0.4">
      <c r="B295" s="1611">
        <v>2003</v>
      </c>
      <c r="C295" s="1612"/>
      <c r="D295" s="1612"/>
      <c r="E295" s="1612"/>
      <c r="F295" s="1612"/>
      <c r="G295" s="1612"/>
      <c r="H295" s="1612"/>
      <c r="I295" s="1612"/>
      <c r="J295" s="1612"/>
      <c r="K295" s="1612"/>
      <c r="L295" s="1612"/>
      <c r="M295" s="1612"/>
      <c r="N295" s="1612"/>
      <c r="O295" s="1612"/>
      <c r="P295" s="1612"/>
      <c r="Q295" s="1612"/>
      <c r="R295" s="1612"/>
      <c r="S295" s="1612"/>
      <c r="T295" s="1612"/>
      <c r="U295" s="1612"/>
      <c r="V295" s="1612"/>
      <c r="W295" s="1612"/>
      <c r="X295" s="1612"/>
      <c r="Y295" s="1612"/>
      <c r="Z295" s="1612"/>
      <c r="AA295" s="1612"/>
      <c r="AB295" s="1612"/>
      <c r="AC295" s="1613"/>
      <c r="AD295" s="560"/>
    </row>
    <row r="296" spans="1:37" s="441" customFormat="1" ht="60" customHeight="1" thickBot="1" x14ac:dyDescent="0.25">
      <c r="A296" s="438"/>
      <c r="B296" s="451" t="s">
        <v>130</v>
      </c>
      <c r="C296" s="451" t="s">
        <v>4</v>
      </c>
      <c r="D296" s="451" t="s">
        <v>5</v>
      </c>
      <c r="E296" s="451" t="s">
        <v>6</v>
      </c>
      <c r="F296" s="451" t="s">
        <v>7</v>
      </c>
      <c r="G296" s="451" t="s">
        <v>8</v>
      </c>
      <c r="H296" s="453" t="s">
        <v>9</v>
      </c>
      <c r="I296" s="453" t="s">
        <v>10</v>
      </c>
      <c r="J296" s="451" t="s">
        <v>11</v>
      </c>
      <c r="K296" s="451" t="s">
        <v>12</v>
      </c>
      <c r="L296" s="451" t="s">
        <v>13</v>
      </c>
      <c r="M296" s="451" t="s">
        <v>14</v>
      </c>
      <c r="N296" s="451" t="s">
        <v>15</v>
      </c>
      <c r="O296" s="452" t="s">
        <v>16</v>
      </c>
      <c r="P296" s="454" t="s">
        <v>17</v>
      </c>
      <c r="Q296" s="451" t="s">
        <v>18</v>
      </c>
      <c r="R296" s="452" t="s">
        <v>19</v>
      </c>
      <c r="S296" s="451" t="s">
        <v>20</v>
      </c>
      <c r="T296" s="451" t="s">
        <v>21</v>
      </c>
      <c r="U296" s="452" t="s">
        <v>22</v>
      </c>
      <c r="V296" s="451" t="s">
        <v>131</v>
      </c>
      <c r="W296" s="451" t="s">
        <v>24</v>
      </c>
      <c r="X296" s="451" t="s">
        <v>132</v>
      </c>
      <c r="Y296" s="451" t="s">
        <v>26</v>
      </c>
      <c r="Z296" s="451" t="s">
        <v>27</v>
      </c>
      <c r="AA296" s="451" t="s">
        <v>28</v>
      </c>
      <c r="AB296" s="451" t="s">
        <v>29</v>
      </c>
      <c r="AC296" s="451" t="s">
        <v>30</v>
      </c>
      <c r="AD296" s="439"/>
      <c r="AE296" s="440"/>
      <c r="AF296" s="440"/>
      <c r="AG296" s="440"/>
      <c r="AH296" s="440"/>
      <c r="AI296" s="440"/>
      <c r="AJ296" s="440"/>
      <c r="AK296" s="440"/>
    </row>
    <row r="297" spans="1:37" s="76" customFormat="1" x14ac:dyDescent="0.2">
      <c r="B297" s="314"/>
      <c r="C297" s="11"/>
      <c r="D297" s="12"/>
      <c r="E297" s="12"/>
      <c r="F297" s="12"/>
      <c r="G297" s="12"/>
      <c r="H297" s="504"/>
      <c r="I297" s="14"/>
      <c r="J297" s="12"/>
      <c r="K297" s="12"/>
      <c r="L297" s="15"/>
      <c r="M297" s="12"/>
      <c r="N297" s="12"/>
      <c r="O297" s="12"/>
      <c r="P297" s="12"/>
      <c r="Q297" s="12"/>
      <c r="R297" s="12"/>
      <c r="S297" s="141"/>
      <c r="T297" s="12"/>
      <c r="U297" s="12"/>
      <c r="V297" s="12"/>
      <c r="W297" s="80"/>
      <c r="X297" s="82"/>
      <c r="Y297" s="82"/>
      <c r="Z297" s="80"/>
      <c r="AA297" s="80"/>
      <c r="AB297" s="80"/>
      <c r="AC297" s="80"/>
      <c r="AD297" s="98"/>
    </row>
    <row r="298" spans="1:37" s="76" customFormat="1" x14ac:dyDescent="0.2">
      <c r="B298" s="312" t="s">
        <v>4005</v>
      </c>
      <c r="C298" s="16" t="s">
        <v>4021</v>
      </c>
      <c r="D298" s="6" t="s">
        <v>4204</v>
      </c>
      <c r="E298" s="6"/>
      <c r="F298" s="6" t="s">
        <v>4205</v>
      </c>
      <c r="G298" s="6"/>
      <c r="H298" s="17">
        <v>54652.2</v>
      </c>
      <c r="I298" s="39"/>
      <c r="J298" s="7">
        <v>37574</v>
      </c>
      <c r="K298" s="7"/>
      <c r="L298" s="23">
        <f>60+J298</f>
        <v>37634</v>
      </c>
      <c r="M298" s="18" t="s">
        <v>4147</v>
      </c>
      <c r="N298" s="6" t="s">
        <v>42</v>
      </c>
      <c r="O298" s="6"/>
      <c r="P298" s="6"/>
      <c r="Q298" s="6"/>
      <c r="R298" s="6"/>
      <c r="S298" s="23">
        <v>37657</v>
      </c>
      <c r="T298" s="7">
        <v>37664</v>
      </c>
      <c r="U298" s="7"/>
      <c r="V298" s="40" t="s">
        <v>4206</v>
      </c>
      <c r="W298" s="70">
        <v>859</v>
      </c>
      <c r="X298" s="75"/>
      <c r="Y298" s="75"/>
      <c r="Z298" s="6">
        <v>6552932201</v>
      </c>
      <c r="AA298" s="74"/>
      <c r="AB298" s="70"/>
      <c r="AC298" s="70"/>
      <c r="AD298" s="98"/>
    </row>
    <row r="299" spans="1:37" s="76" customFormat="1" ht="12" thickBot="1" x14ac:dyDescent="0.25">
      <c r="B299" s="313"/>
      <c r="C299" s="19"/>
      <c r="D299" s="5"/>
      <c r="E299" s="5"/>
      <c r="F299" s="5"/>
      <c r="G299" s="5"/>
      <c r="H299" s="105"/>
      <c r="I299" s="21"/>
      <c r="J299" s="5"/>
      <c r="K299" s="5"/>
      <c r="L299" s="127"/>
      <c r="M299" s="5"/>
      <c r="N299" s="5"/>
      <c r="O299" s="5"/>
      <c r="P299" s="5"/>
      <c r="Q299" s="5"/>
      <c r="R299" s="5"/>
      <c r="S299" s="127"/>
      <c r="T299" s="22" t="s">
        <v>4203</v>
      </c>
      <c r="U299" s="22"/>
      <c r="V299" s="224"/>
      <c r="W299" s="87"/>
      <c r="X299" s="90"/>
      <c r="Y299" s="90"/>
      <c r="Z299" s="87"/>
      <c r="AA299" s="87"/>
      <c r="AB299" s="87"/>
      <c r="AC299" s="87"/>
      <c r="AD299" s="98"/>
    </row>
    <row r="300" spans="1:37" s="76" customFormat="1" x14ac:dyDescent="0.2">
      <c r="B300" s="314"/>
      <c r="C300" s="11"/>
      <c r="D300" s="12"/>
      <c r="E300" s="12"/>
      <c r="F300" s="12"/>
      <c r="G300" s="12"/>
      <c r="H300" s="504"/>
      <c r="I300" s="14"/>
      <c r="J300" s="12"/>
      <c r="K300" s="12"/>
      <c r="L300" s="15"/>
      <c r="M300" s="12"/>
      <c r="N300" s="12"/>
      <c r="O300" s="12"/>
      <c r="P300" s="12"/>
      <c r="Q300" s="12"/>
      <c r="R300" s="12"/>
      <c r="S300" s="141"/>
      <c r="T300" s="12"/>
      <c r="U300" s="12"/>
      <c r="V300" s="12"/>
      <c r="W300" s="80"/>
      <c r="X300" s="82"/>
      <c r="Y300" s="82"/>
      <c r="Z300" s="80"/>
      <c r="AA300" s="80"/>
      <c r="AB300" s="80"/>
      <c r="AC300" s="80"/>
      <c r="AD300" s="98"/>
    </row>
    <row r="301" spans="1:37" s="76" customFormat="1" x14ac:dyDescent="0.2">
      <c r="B301" s="312" t="s">
        <v>4005</v>
      </c>
      <c r="C301" s="16" t="s">
        <v>4021</v>
      </c>
      <c r="D301" s="6" t="s">
        <v>4207</v>
      </c>
      <c r="E301" s="6"/>
      <c r="F301" s="6" t="s">
        <v>4208</v>
      </c>
      <c r="G301" s="6"/>
      <c r="H301" s="17">
        <v>48958.81</v>
      </c>
      <c r="I301" s="39"/>
      <c r="J301" s="7">
        <v>37582</v>
      </c>
      <c r="K301" s="7"/>
      <c r="L301" s="23">
        <f>60+J301</f>
        <v>37642</v>
      </c>
      <c r="M301" s="18" t="s">
        <v>4147</v>
      </c>
      <c r="N301" s="6" t="s">
        <v>42</v>
      </c>
      <c r="O301" s="6"/>
      <c r="P301" s="6"/>
      <c r="Q301" s="6"/>
      <c r="R301" s="6"/>
      <c r="S301" s="23">
        <v>37657</v>
      </c>
      <c r="T301" s="7">
        <v>37664</v>
      </c>
      <c r="U301" s="7"/>
      <c r="V301" s="40" t="s">
        <v>53</v>
      </c>
      <c r="W301" s="70">
        <v>859</v>
      </c>
      <c r="X301" s="75"/>
      <c r="Y301" s="75"/>
      <c r="Z301" s="6">
        <v>6552932201</v>
      </c>
      <c r="AA301" s="74"/>
      <c r="AB301" s="70"/>
      <c r="AC301" s="70"/>
      <c r="AD301" s="98"/>
    </row>
    <row r="302" spans="1:37" s="76" customFormat="1" ht="12" thickBot="1" x14ac:dyDescent="0.25">
      <c r="B302" s="313"/>
      <c r="C302" s="19"/>
      <c r="D302" s="5"/>
      <c r="E302" s="5"/>
      <c r="F302" s="5"/>
      <c r="G302" s="5"/>
      <c r="H302" s="105"/>
      <c r="I302" s="21"/>
      <c r="J302" s="5"/>
      <c r="K302" s="5"/>
      <c r="L302" s="127"/>
      <c r="M302" s="5"/>
      <c r="N302" s="5"/>
      <c r="O302" s="5"/>
      <c r="P302" s="5"/>
      <c r="Q302" s="5"/>
      <c r="R302" s="5"/>
      <c r="S302" s="127"/>
      <c r="T302" s="22" t="s">
        <v>4203</v>
      </c>
      <c r="U302" s="22"/>
      <c r="V302" s="224"/>
      <c r="W302" s="87"/>
      <c r="X302" s="90"/>
      <c r="Y302" s="90"/>
      <c r="Z302" s="87"/>
      <c r="AA302" s="87"/>
      <c r="AB302" s="87"/>
      <c r="AC302" s="87"/>
      <c r="AD302" s="98"/>
    </row>
    <row r="303" spans="1:37" s="76" customFormat="1" x14ac:dyDescent="0.2">
      <c r="B303" s="314"/>
      <c r="C303" s="11"/>
      <c r="D303" s="12"/>
      <c r="E303" s="12"/>
      <c r="F303" s="12"/>
      <c r="G303" s="12"/>
      <c r="H303" s="504"/>
      <c r="I303" s="14"/>
      <c r="J303" s="12"/>
      <c r="K303" s="12"/>
      <c r="L303" s="15"/>
      <c r="M303" s="12"/>
      <c r="N303" s="12"/>
      <c r="O303" s="12"/>
      <c r="P303" s="12"/>
      <c r="Q303" s="12"/>
      <c r="R303" s="12"/>
      <c r="S303" s="141"/>
      <c r="T303" s="12"/>
      <c r="U303" s="12"/>
      <c r="V303" s="12"/>
      <c r="W303" s="80"/>
      <c r="X303" s="82"/>
      <c r="Y303" s="82"/>
      <c r="Z303" s="80"/>
      <c r="AA303" s="80"/>
      <c r="AB303" s="80"/>
      <c r="AC303" s="80"/>
      <c r="AD303" s="98"/>
    </row>
    <row r="304" spans="1:37" s="76" customFormat="1" x14ac:dyDescent="0.2">
      <c r="B304" s="312" t="s">
        <v>4005</v>
      </c>
      <c r="C304" s="16" t="s">
        <v>4021</v>
      </c>
      <c r="D304" s="6" t="s">
        <v>4209</v>
      </c>
      <c r="E304" s="6"/>
      <c r="F304" s="6" t="s">
        <v>4210</v>
      </c>
      <c r="G304" s="6"/>
      <c r="H304" s="17">
        <v>14030.8</v>
      </c>
      <c r="I304" s="39"/>
      <c r="J304" s="7">
        <v>37588</v>
      </c>
      <c r="K304" s="7"/>
      <c r="L304" s="23">
        <f>60+J304</f>
        <v>37648</v>
      </c>
      <c r="M304" s="18" t="s">
        <v>4147</v>
      </c>
      <c r="N304" s="6" t="s">
        <v>42</v>
      </c>
      <c r="O304" s="6"/>
      <c r="P304" s="6"/>
      <c r="Q304" s="6"/>
      <c r="R304" s="6"/>
      <c r="S304" s="23">
        <v>37657</v>
      </c>
      <c r="T304" s="7">
        <v>37664</v>
      </c>
      <c r="U304" s="7"/>
      <c r="V304" s="40" t="s">
        <v>4211</v>
      </c>
      <c r="W304" s="70">
        <v>859</v>
      </c>
      <c r="X304" s="75"/>
      <c r="Y304" s="75"/>
      <c r="Z304" s="6">
        <v>6552932201</v>
      </c>
      <c r="AA304" s="74"/>
      <c r="AB304" s="70"/>
      <c r="AC304" s="70"/>
      <c r="AD304" s="98"/>
    </row>
    <row r="305" spans="2:30" s="76" customFormat="1" ht="12" thickBot="1" x14ac:dyDescent="0.25">
      <c r="B305" s="313"/>
      <c r="C305" s="19"/>
      <c r="D305" s="5"/>
      <c r="E305" s="5"/>
      <c r="F305" s="5"/>
      <c r="G305" s="5"/>
      <c r="H305" s="105"/>
      <c r="I305" s="21"/>
      <c r="J305" s="5"/>
      <c r="K305" s="5"/>
      <c r="L305" s="127"/>
      <c r="M305" s="5"/>
      <c r="N305" s="5"/>
      <c r="O305" s="5"/>
      <c r="P305" s="5"/>
      <c r="Q305" s="5"/>
      <c r="R305" s="5"/>
      <c r="S305" s="127"/>
      <c r="T305" s="22" t="s">
        <v>4203</v>
      </c>
      <c r="U305" s="22"/>
      <c r="V305" s="224"/>
      <c r="W305" s="87"/>
      <c r="X305" s="90"/>
      <c r="Y305" s="90"/>
      <c r="Z305" s="87"/>
      <c r="AA305" s="87"/>
      <c r="AB305" s="87"/>
      <c r="AC305" s="87"/>
      <c r="AD305" s="98"/>
    </row>
    <row r="306" spans="2:30" s="76" customFormat="1" x14ac:dyDescent="0.2">
      <c r="B306" s="314"/>
      <c r="C306" s="11"/>
      <c r="D306" s="12"/>
      <c r="E306" s="12"/>
      <c r="F306" s="12"/>
      <c r="G306" s="12"/>
      <c r="H306" s="504"/>
      <c r="I306" s="14"/>
      <c r="J306" s="12"/>
      <c r="K306" s="12"/>
      <c r="L306" s="15"/>
      <c r="M306" s="12"/>
      <c r="N306" s="12"/>
      <c r="O306" s="12"/>
      <c r="P306" s="12"/>
      <c r="Q306" s="12"/>
      <c r="R306" s="12"/>
      <c r="S306" s="141"/>
      <c r="T306" s="12"/>
      <c r="U306" s="12"/>
      <c r="V306" s="12"/>
      <c r="W306" s="80"/>
      <c r="X306" s="82"/>
      <c r="Y306" s="82"/>
      <c r="Z306" s="80"/>
      <c r="AA306" s="80"/>
      <c r="AB306" s="80"/>
      <c r="AC306" s="80"/>
      <c r="AD306" s="98"/>
    </row>
    <row r="307" spans="2:30" s="76" customFormat="1" x14ac:dyDescent="0.2">
      <c r="B307" s="312" t="s">
        <v>4005</v>
      </c>
      <c r="C307" s="16" t="s">
        <v>4021</v>
      </c>
      <c r="D307" s="6" t="s">
        <v>4212</v>
      </c>
      <c r="E307" s="6"/>
      <c r="F307" s="6" t="s">
        <v>4213</v>
      </c>
      <c r="G307" s="6"/>
      <c r="H307" s="17">
        <f>133708.01-69607.95</f>
        <v>64100.060000000012</v>
      </c>
      <c r="I307" s="39"/>
      <c r="J307" s="7">
        <v>37658</v>
      </c>
      <c r="K307" s="7"/>
      <c r="L307" s="23">
        <f>60+J307</f>
        <v>37718</v>
      </c>
      <c r="M307" s="18" t="s">
        <v>4147</v>
      </c>
      <c r="N307" s="6" t="s">
        <v>42</v>
      </c>
      <c r="O307" s="6"/>
      <c r="P307" s="6"/>
      <c r="Q307" s="6"/>
      <c r="R307" s="6"/>
      <c r="S307" s="23">
        <v>37705</v>
      </c>
      <c r="T307" s="7">
        <v>37664</v>
      </c>
      <c r="U307" s="7"/>
      <c r="V307" s="40" t="s">
        <v>53</v>
      </c>
      <c r="W307" s="70">
        <v>859</v>
      </c>
      <c r="X307" s="75"/>
      <c r="Y307" s="75"/>
      <c r="Z307" s="6">
        <v>6552932201</v>
      </c>
      <c r="AA307" s="74"/>
      <c r="AB307" s="70"/>
      <c r="AC307" s="70"/>
      <c r="AD307" s="98"/>
    </row>
    <row r="308" spans="2:30" s="76" customFormat="1" ht="12" thickBot="1" x14ac:dyDescent="0.25">
      <c r="B308" s="313"/>
      <c r="C308" s="19"/>
      <c r="D308" s="5"/>
      <c r="E308" s="5"/>
      <c r="F308" s="5"/>
      <c r="G308" s="5"/>
      <c r="H308" s="105"/>
      <c r="I308" s="21"/>
      <c r="J308" s="5"/>
      <c r="K308" s="5"/>
      <c r="L308" s="127"/>
      <c r="M308" s="5"/>
      <c r="N308" s="5"/>
      <c r="O308" s="5"/>
      <c r="P308" s="5"/>
      <c r="Q308" s="5"/>
      <c r="R308" s="5"/>
      <c r="S308" s="127"/>
      <c r="T308" s="22" t="s">
        <v>4203</v>
      </c>
      <c r="U308" s="22"/>
      <c r="V308" s="224" t="s">
        <v>4214</v>
      </c>
      <c r="W308" s="87"/>
      <c r="X308" s="90"/>
      <c r="Y308" s="90"/>
      <c r="Z308" s="87"/>
      <c r="AA308" s="87"/>
      <c r="AB308" s="87"/>
      <c r="AC308" s="87"/>
      <c r="AD308" s="98"/>
    </row>
    <row r="309" spans="2:30" s="76" customFormat="1" x14ac:dyDescent="0.2">
      <c r="B309" s="314"/>
      <c r="C309" s="11"/>
      <c r="D309" s="12"/>
      <c r="E309" s="12"/>
      <c r="F309" s="12"/>
      <c r="G309" s="12"/>
      <c r="H309" s="504"/>
      <c r="I309" s="14"/>
      <c r="J309" s="12"/>
      <c r="K309" s="12"/>
      <c r="L309" s="15"/>
      <c r="M309" s="12"/>
      <c r="N309" s="12"/>
      <c r="O309" s="12"/>
      <c r="P309" s="12"/>
      <c r="Q309" s="12"/>
      <c r="R309" s="12"/>
      <c r="S309" s="141"/>
      <c r="T309" s="12"/>
      <c r="U309" s="12"/>
      <c r="V309" s="12"/>
      <c r="W309" s="80"/>
      <c r="X309" s="82"/>
      <c r="Y309" s="82"/>
      <c r="Z309" s="80"/>
      <c r="AA309" s="80"/>
      <c r="AB309" s="80"/>
      <c r="AC309" s="80"/>
      <c r="AD309" s="98"/>
    </row>
    <row r="310" spans="2:30" s="76" customFormat="1" x14ac:dyDescent="0.2">
      <c r="B310" s="312" t="s">
        <v>4005</v>
      </c>
      <c r="C310" s="16" t="s">
        <v>4021</v>
      </c>
      <c r="D310" s="6" t="s">
        <v>4192</v>
      </c>
      <c r="E310" s="6"/>
      <c r="F310" s="6" t="s">
        <v>4193</v>
      </c>
      <c r="G310" s="6"/>
      <c r="H310" s="17">
        <f>12685+59920.15+103.75+151</f>
        <v>72859.899999999994</v>
      </c>
      <c r="I310" s="39"/>
      <c r="J310" s="7">
        <v>37537</v>
      </c>
      <c r="K310" s="7"/>
      <c r="L310" s="23"/>
      <c r="M310" s="18" t="s">
        <v>4147</v>
      </c>
      <c r="N310" s="6" t="s">
        <v>42</v>
      </c>
      <c r="O310" s="6"/>
      <c r="P310" s="6"/>
      <c r="Q310" s="6"/>
      <c r="R310" s="6"/>
      <c r="S310" s="23">
        <v>37687</v>
      </c>
      <c r="T310" s="23" t="s">
        <v>4215</v>
      </c>
      <c r="U310" s="23"/>
      <c r="V310" s="40" t="s">
        <v>53</v>
      </c>
      <c r="W310" s="70" t="s">
        <v>4216</v>
      </c>
      <c r="X310" s="75"/>
      <c r="Y310" s="75"/>
      <c r="Z310" s="6">
        <v>9051564115</v>
      </c>
      <c r="AA310" s="74"/>
      <c r="AB310" s="70"/>
      <c r="AC310" s="70"/>
      <c r="AD310" s="98"/>
    </row>
    <row r="311" spans="2:30" s="98" customFormat="1" ht="12" thickBot="1" x14ac:dyDescent="0.25">
      <c r="B311" s="313"/>
      <c r="C311" s="19"/>
      <c r="D311" s="5"/>
      <c r="E311" s="5"/>
      <c r="F311" s="5"/>
      <c r="G311" s="5"/>
      <c r="H311" s="105"/>
      <c r="I311" s="21"/>
      <c r="J311" s="5"/>
      <c r="K311" s="5"/>
      <c r="L311" s="127"/>
      <c r="M311" s="5"/>
      <c r="N311" s="5"/>
      <c r="O311" s="5"/>
      <c r="P311" s="5"/>
      <c r="Q311" s="5"/>
      <c r="R311" s="5"/>
      <c r="S311" s="127"/>
      <c r="T311" s="27"/>
      <c r="U311" s="27"/>
      <c r="V311" s="139" t="s">
        <v>347</v>
      </c>
      <c r="W311" s="87"/>
      <c r="X311" s="90"/>
      <c r="Y311" s="90"/>
      <c r="Z311" s="87"/>
      <c r="AA311" s="87"/>
      <c r="AB311" s="87"/>
      <c r="AC311" s="87"/>
    </row>
    <row r="312" spans="2:30" s="76" customFormat="1" x14ac:dyDescent="0.2">
      <c r="B312" s="314"/>
      <c r="C312" s="11"/>
      <c r="D312" s="12"/>
      <c r="E312" s="12"/>
      <c r="F312" s="12"/>
      <c r="G312" s="12"/>
      <c r="H312" s="504"/>
      <c r="I312" s="14"/>
      <c r="J312" s="12"/>
      <c r="K312" s="12"/>
      <c r="L312" s="15"/>
      <c r="M312" s="12"/>
      <c r="N312" s="12"/>
      <c r="O312" s="12"/>
      <c r="P312" s="12"/>
      <c r="Q312" s="12"/>
      <c r="R312" s="12"/>
      <c r="S312" s="141"/>
      <c r="T312" s="12"/>
      <c r="U312" s="12"/>
      <c r="V312" s="12"/>
      <c r="W312" s="80"/>
      <c r="X312" s="82"/>
      <c r="Y312" s="82"/>
      <c r="Z312" s="80"/>
      <c r="AA312" s="80"/>
      <c r="AB312" s="80"/>
      <c r="AC312" s="80"/>
      <c r="AD312" s="98"/>
    </row>
    <row r="313" spans="2:30" s="76" customFormat="1" x14ac:dyDescent="0.2">
      <c r="B313" s="312" t="s">
        <v>4005</v>
      </c>
      <c r="C313" s="16" t="s">
        <v>4021</v>
      </c>
      <c r="D313" s="6" t="s">
        <v>4207</v>
      </c>
      <c r="E313" s="6"/>
      <c r="F313" s="6" t="s">
        <v>4208</v>
      </c>
      <c r="G313" s="6"/>
      <c r="H313" s="17">
        <v>48958.81</v>
      </c>
      <c r="I313" s="39"/>
      <c r="J313" s="7">
        <v>37582</v>
      </c>
      <c r="K313" s="7"/>
      <c r="L313" s="23">
        <f>60+J313</f>
        <v>37642</v>
      </c>
      <c r="M313" s="18" t="s">
        <v>4147</v>
      </c>
      <c r="N313" s="6" t="s">
        <v>110</v>
      </c>
      <c r="O313" s="6"/>
      <c r="P313" s="6"/>
      <c r="Q313" s="6"/>
      <c r="R313" s="6"/>
      <c r="S313" s="23">
        <v>37690</v>
      </c>
      <c r="T313" s="565" t="s">
        <v>4217</v>
      </c>
      <c r="U313" s="565"/>
      <c r="V313" s="40" t="s">
        <v>3501</v>
      </c>
      <c r="W313" s="70" t="s">
        <v>4218</v>
      </c>
      <c r="X313" s="75"/>
      <c r="Y313" s="75"/>
      <c r="Z313" s="6">
        <v>9051564115</v>
      </c>
      <c r="AA313" s="74"/>
      <c r="AB313" s="70"/>
      <c r="AC313" s="70"/>
      <c r="AD313" s="98"/>
    </row>
    <row r="314" spans="2:30" s="76" customFormat="1" ht="12" thickBot="1" x14ac:dyDescent="0.25">
      <c r="B314" s="313"/>
      <c r="C314" s="19"/>
      <c r="D314" s="5"/>
      <c r="E314" s="5"/>
      <c r="F314" s="5"/>
      <c r="G314" s="5"/>
      <c r="H314" s="105"/>
      <c r="I314" s="21"/>
      <c r="J314" s="5"/>
      <c r="K314" s="5"/>
      <c r="L314" s="127"/>
      <c r="M314" s="5"/>
      <c r="N314" s="5"/>
      <c r="O314" s="5"/>
      <c r="P314" s="5"/>
      <c r="Q314" s="5"/>
      <c r="R314" s="5"/>
      <c r="S314" s="127"/>
      <c r="T314" s="1046"/>
      <c r="U314" s="1046"/>
      <c r="V314" s="139" t="s">
        <v>347</v>
      </c>
      <c r="W314" s="87"/>
      <c r="X314" s="90"/>
      <c r="Y314" s="90"/>
      <c r="Z314" s="87"/>
      <c r="AA314" s="87"/>
      <c r="AB314" s="87"/>
      <c r="AC314" s="87"/>
      <c r="AD314" s="98"/>
    </row>
    <row r="315" spans="2:30" s="76" customFormat="1" x14ac:dyDescent="0.2">
      <c r="B315" s="314"/>
      <c r="C315" s="11"/>
      <c r="D315" s="12"/>
      <c r="E315" s="12"/>
      <c r="F315" s="12"/>
      <c r="G315" s="12"/>
      <c r="H315" s="504"/>
      <c r="I315" s="14"/>
      <c r="J315" s="12"/>
      <c r="K315" s="12"/>
      <c r="L315" s="15"/>
      <c r="M315" s="12"/>
      <c r="N315" s="12"/>
      <c r="O315" s="12"/>
      <c r="P315" s="12"/>
      <c r="Q315" s="12"/>
      <c r="R315" s="12"/>
      <c r="S315" s="141"/>
      <c r="T315" s="15" t="s">
        <v>3445</v>
      </c>
      <c r="U315" s="15"/>
      <c r="V315" s="12"/>
      <c r="W315" s="80"/>
      <c r="X315" s="82"/>
      <c r="Y315" s="82"/>
      <c r="Z315" s="80"/>
      <c r="AA315" s="80"/>
      <c r="AB315" s="80"/>
      <c r="AC315" s="80"/>
      <c r="AD315" s="98"/>
    </row>
    <row r="316" spans="2:30" s="76" customFormat="1" x14ac:dyDescent="0.2">
      <c r="B316" s="312" t="s">
        <v>4005</v>
      </c>
      <c r="C316" s="16" t="s">
        <v>4021</v>
      </c>
      <c r="D316" s="6" t="s">
        <v>4192</v>
      </c>
      <c r="E316" s="6"/>
      <c r="F316" s="6" t="s">
        <v>4193</v>
      </c>
      <c r="G316" s="6"/>
      <c r="H316" s="17">
        <f>115149.14-12685-59920.15-151-103.75</f>
        <v>42289.24</v>
      </c>
      <c r="I316" s="39"/>
      <c r="J316" s="7">
        <v>37537</v>
      </c>
      <c r="K316" s="7"/>
      <c r="L316" s="23">
        <f>60+J316</f>
        <v>37597</v>
      </c>
      <c r="M316" s="18" t="s">
        <v>4147</v>
      </c>
      <c r="N316" s="6" t="s">
        <v>42</v>
      </c>
      <c r="O316" s="6"/>
      <c r="P316" s="6"/>
      <c r="Q316" s="6"/>
      <c r="R316" s="6"/>
      <c r="S316" s="23">
        <v>37760</v>
      </c>
      <c r="T316" s="23">
        <v>37761</v>
      </c>
      <c r="U316" s="23"/>
      <c r="V316" s="40" t="s">
        <v>4219</v>
      </c>
      <c r="W316" s="70">
        <v>882</v>
      </c>
      <c r="X316" s="75"/>
      <c r="Y316" s="75"/>
      <c r="Z316" s="6">
        <v>9051564115</v>
      </c>
      <c r="AA316" s="74"/>
      <c r="AB316" s="70"/>
      <c r="AC316" s="70"/>
      <c r="AD316" s="98"/>
    </row>
    <row r="317" spans="2:30" s="76" customFormat="1" ht="12" thickBot="1" x14ac:dyDescent="0.25">
      <c r="B317" s="313"/>
      <c r="C317" s="19"/>
      <c r="D317" s="5"/>
      <c r="E317" s="5"/>
      <c r="F317" s="5"/>
      <c r="G317" s="5"/>
      <c r="H317" s="105"/>
      <c r="I317" s="21"/>
      <c r="J317" s="5"/>
      <c r="K317" s="5"/>
      <c r="L317" s="127"/>
      <c r="M317" s="5"/>
      <c r="N317" s="5"/>
      <c r="O317" s="5"/>
      <c r="P317" s="5"/>
      <c r="Q317" s="5"/>
      <c r="R317" s="5"/>
      <c r="S317" s="127"/>
      <c r="T317" s="22" t="s">
        <v>4220</v>
      </c>
      <c r="U317" s="22"/>
      <c r="V317" s="224" t="s">
        <v>4221</v>
      </c>
      <c r="W317" s="87"/>
      <c r="X317" s="90"/>
      <c r="Y317" s="90"/>
      <c r="Z317" s="87"/>
      <c r="AA317" s="87"/>
      <c r="AB317" s="87"/>
      <c r="AC317" s="87"/>
      <c r="AD317" s="98"/>
    </row>
    <row r="318" spans="2:30" s="76" customFormat="1" x14ac:dyDescent="0.2">
      <c r="B318" s="314"/>
      <c r="C318" s="11"/>
      <c r="D318" s="12"/>
      <c r="E318" s="12"/>
      <c r="F318" s="12"/>
      <c r="G318" s="12"/>
      <c r="H318" s="504"/>
      <c r="I318" s="14"/>
      <c r="J318" s="12"/>
      <c r="K318" s="12"/>
      <c r="L318" s="15"/>
      <c r="M318" s="12"/>
      <c r="N318" s="12"/>
      <c r="O318" s="12"/>
      <c r="P318" s="12"/>
      <c r="Q318" s="12"/>
      <c r="R318" s="12"/>
      <c r="S318" s="141"/>
      <c r="T318" s="15" t="s">
        <v>3445</v>
      </c>
      <c r="U318" s="15"/>
      <c r="V318" s="12"/>
      <c r="W318" s="80"/>
      <c r="X318" s="82"/>
      <c r="Y318" s="82"/>
      <c r="Z318" s="80"/>
      <c r="AA318" s="80"/>
      <c r="AB318" s="80"/>
      <c r="AC318" s="80"/>
      <c r="AD318" s="98"/>
    </row>
    <row r="319" spans="2:30" s="76" customFormat="1" x14ac:dyDescent="0.2">
      <c r="B319" s="312" t="s">
        <v>4005</v>
      </c>
      <c r="C319" s="16" t="s">
        <v>4021</v>
      </c>
      <c r="D319" s="6" t="s">
        <v>4204</v>
      </c>
      <c r="E319" s="6"/>
      <c r="F319" s="6" t="s">
        <v>4205</v>
      </c>
      <c r="G319" s="6"/>
      <c r="H319" s="17">
        <v>54652.2</v>
      </c>
      <c r="I319" s="39"/>
      <c r="J319" s="7">
        <v>37574</v>
      </c>
      <c r="K319" s="7"/>
      <c r="L319" s="23">
        <f>60+J319</f>
        <v>37634</v>
      </c>
      <c r="M319" s="18" t="s">
        <v>4147</v>
      </c>
      <c r="N319" s="6" t="s">
        <v>42</v>
      </c>
      <c r="O319" s="6"/>
      <c r="P319" s="6"/>
      <c r="Q319" s="6"/>
      <c r="R319" s="6"/>
      <c r="S319" s="23">
        <v>37760</v>
      </c>
      <c r="T319" s="23">
        <v>37761</v>
      </c>
      <c r="U319" s="23"/>
      <c r="V319" s="40" t="s">
        <v>4222</v>
      </c>
      <c r="W319" s="70">
        <v>882</v>
      </c>
      <c r="X319" s="75"/>
      <c r="Y319" s="75"/>
      <c r="Z319" s="6">
        <v>9051564115</v>
      </c>
      <c r="AA319" s="74"/>
      <c r="AB319" s="70"/>
      <c r="AC319" s="70"/>
      <c r="AD319" s="98"/>
    </row>
    <row r="320" spans="2:30" s="76" customFormat="1" ht="12" thickBot="1" x14ac:dyDescent="0.25">
      <c r="B320" s="313"/>
      <c r="C320" s="19"/>
      <c r="D320" s="5"/>
      <c r="E320" s="5"/>
      <c r="F320" s="5"/>
      <c r="G320" s="5"/>
      <c r="H320" s="105"/>
      <c r="I320" s="21"/>
      <c r="J320" s="5"/>
      <c r="K320" s="5"/>
      <c r="L320" s="127"/>
      <c r="M320" s="5"/>
      <c r="N320" s="5"/>
      <c r="O320" s="5"/>
      <c r="P320" s="5"/>
      <c r="Q320" s="5"/>
      <c r="R320" s="5"/>
      <c r="S320" s="127"/>
      <c r="T320" s="22" t="s">
        <v>4220</v>
      </c>
      <c r="U320" s="22"/>
      <c r="V320" s="224" t="s">
        <v>4221</v>
      </c>
      <c r="W320" s="87"/>
      <c r="X320" s="90"/>
      <c r="Y320" s="90"/>
      <c r="Z320" s="87"/>
      <c r="AA320" s="87"/>
      <c r="AB320" s="87"/>
      <c r="AC320" s="87"/>
      <c r="AD320" s="98"/>
    </row>
    <row r="321" spans="2:30" s="76" customFormat="1" x14ac:dyDescent="0.2">
      <c r="B321" s="314"/>
      <c r="C321" s="11"/>
      <c r="D321" s="12"/>
      <c r="E321" s="12"/>
      <c r="F321" s="12"/>
      <c r="G321" s="12"/>
      <c r="H321" s="504"/>
      <c r="I321" s="14"/>
      <c r="J321" s="12"/>
      <c r="K321" s="12"/>
      <c r="L321" s="15"/>
      <c r="M321" s="12"/>
      <c r="N321" s="12"/>
      <c r="O321" s="12"/>
      <c r="P321" s="12"/>
      <c r="Q321" s="12"/>
      <c r="R321" s="12"/>
      <c r="S321" s="141"/>
      <c r="T321" s="15" t="s">
        <v>3445</v>
      </c>
      <c r="U321" s="15"/>
      <c r="V321" s="12"/>
      <c r="W321" s="80"/>
      <c r="X321" s="82"/>
      <c r="Y321" s="82"/>
      <c r="Z321" s="80"/>
      <c r="AA321" s="80"/>
      <c r="AB321" s="80"/>
      <c r="AC321" s="80"/>
      <c r="AD321" s="98"/>
    </row>
    <row r="322" spans="2:30" s="76" customFormat="1" x14ac:dyDescent="0.2">
      <c r="B322" s="312" t="s">
        <v>4005</v>
      </c>
      <c r="C322" s="16" t="s">
        <v>4021</v>
      </c>
      <c r="D322" s="6" t="s">
        <v>4209</v>
      </c>
      <c r="E322" s="6"/>
      <c r="F322" s="6" t="s">
        <v>4210</v>
      </c>
      <c r="G322" s="6"/>
      <c r="H322" s="17">
        <v>14030.8</v>
      </c>
      <c r="I322" s="39"/>
      <c r="J322" s="7">
        <v>37588</v>
      </c>
      <c r="K322" s="7"/>
      <c r="L322" s="23">
        <f>60+J322</f>
        <v>37648</v>
      </c>
      <c r="M322" s="18" t="s">
        <v>4147</v>
      </c>
      <c r="N322" s="6" t="s">
        <v>42</v>
      </c>
      <c r="O322" s="6"/>
      <c r="P322" s="6"/>
      <c r="Q322" s="6"/>
      <c r="R322" s="6"/>
      <c r="S322" s="23">
        <v>37760</v>
      </c>
      <c r="T322" s="23">
        <v>37761</v>
      </c>
      <c r="U322" s="23"/>
      <c r="V322" s="40" t="s">
        <v>4223</v>
      </c>
      <c r="W322" s="70">
        <v>882</v>
      </c>
      <c r="X322" s="75"/>
      <c r="Y322" s="75"/>
      <c r="Z322" s="6">
        <v>9051564115</v>
      </c>
      <c r="AA322" s="74"/>
      <c r="AB322" s="70"/>
      <c r="AC322" s="70"/>
      <c r="AD322" s="98"/>
    </row>
    <row r="323" spans="2:30" s="76" customFormat="1" ht="12" thickBot="1" x14ac:dyDescent="0.25">
      <c r="B323" s="313"/>
      <c r="C323" s="19"/>
      <c r="D323" s="5"/>
      <c r="E323" s="5"/>
      <c r="F323" s="5"/>
      <c r="G323" s="5"/>
      <c r="H323" s="105"/>
      <c r="I323" s="21"/>
      <c r="J323" s="5"/>
      <c r="K323" s="5"/>
      <c r="L323" s="127"/>
      <c r="M323" s="5"/>
      <c r="N323" s="5"/>
      <c r="O323" s="5"/>
      <c r="P323" s="5"/>
      <c r="Q323" s="5"/>
      <c r="R323" s="5"/>
      <c r="S323" s="127"/>
      <c r="T323" s="22" t="s">
        <v>4220</v>
      </c>
      <c r="U323" s="22"/>
      <c r="V323" s="224" t="s">
        <v>4221</v>
      </c>
      <c r="W323" s="87"/>
      <c r="X323" s="90"/>
      <c r="Y323" s="90"/>
      <c r="Z323" s="87"/>
      <c r="AA323" s="87"/>
      <c r="AB323" s="87"/>
      <c r="AC323" s="87"/>
      <c r="AD323" s="98"/>
    </row>
    <row r="324" spans="2:30" s="76" customFormat="1" x14ac:dyDescent="0.2">
      <c r="B324" s="314"/>
      <c r="C324" s="11"/>
      <c r="D324" s="12"/>
      <c r="E324" s="12"/>
      <c r="F324" s="12"/>
      <c r="G324" s="12"/>
      <c r="H324" s="504"/>
      <c r="I324" s="14"/>
      <c r="J324" s="12"/>
      <c r="K324" s="12"/>
      <c r="L324" s="15"/>
      <c r="M324" s="12"/>
      <c r="N324" s="12"/>
      <c r="O324" s="12"/>
      <c r="P324" s="12"/>
      <c r="Q324" s="12"/>
      <c r="R324" s="12"/>
      <c r="S324" s="141"/>
      <c r="T324" s="15" t="s">
        <v>3445</v>
      </c>
      <c r="U324" s="15"/>
      <c r="V324" s="12"/>
      <c r="W324" s="80"/>
      <c r="X324" s="82"/>
      <c r="Y324" s="82"/>
      <c r="Z324" s="80"/>
      <c r="AA324" s="80"/>
      <c r="AB324" s="80"/>
      <c r="AC324" s="80"/>
      <c r="AD324" s="98"/>
    </row>
    <row r="325" spans="2:30" s="76" customFormat="1" x14ac:dyDescent="0.2">
      <c r="B325" s="312" t="s">
        <v>4005</v>
      </c>
      <c r="C325" s="16" t="s">
        <v>4021</v>
      </c>
      <c r="D325" s="6" t="s">
        <v>4212</v>
      </c>
      <c r="E325" s="6"/>
      <c r="F325" s="6" t="s">
        <v>4213</v>
      </c>
      <c r="G325" s="6"/>
      <c r="H325" s="17">
        <f>133708.01-69607.95</f>
        <v>64100.060000000012</v>
      </c>
      <c r="I325" s="39"/>
      <c r="J325" s="7">
        <v>37658</v>
      </c>
      <c r="K325" s="7"/>
      <c r="L325" s="23">
        <f>60+J325</f>
        <v>37718</v>
      </c>
      <c r="M325" s="18" t="s">
        <v>4147</v>
      </c>
      <c r="N325" s="6" t="s">
        <v>42</v>
      </c>
      <c r="O325" s="6"/>
      <c r="P325" s="6"/>
      <c r="Q325" s="6"/>
      <c r="R325" s="6"/>
      <c r="S325" s="23">
        <v>37760</v>
      </c>
      <c r="T325" s="23">
        <v>37761</v>
      </c>
      <c r="U325" s="23"/>
      <c r="V325" s="40" t="s">
        <v>53</v>
      </c>
      <c r="W325" s="70">
        <v>882</v>
      </c>
      <c r="X325" s="75"/>
      <c r="Y325" s="75"/>
      <c r="Z325" s="6">
        <v>9051564115</v>
      </c>
      <c r="AA325" s="74"/>
      <c r="AB325" s="70"/>
      <c r="AC325" s="70"/>
      <c r="AD325" s="98"/>
    </row>
    <row r="326" spans="2:30" s="76" customFormat="1" ht="12" thickBot="1" x14ac:dyDescent="0.25">
      <c r="B326" s="313"/>
      <c r="C326" s="19"/>
      <c r="D326" s="5"/>
      <c r="E326" s="5"/>
      <c r="F326" s="5"/>
      <c r="G326" s="5"/>
      <c r="H326" s="105"/>
      <c r="I326" s="21"/>
      <c r="J326" s="5"/>
      <c r="K326" s="5"/>
      <c r="L326" s="127"/>
      <c r="M326" s="5"/>
      <c r="N326" s="5"/>
      <c r="O326" s="5"/>
      <c r="P326" s="5"/>
      <c r="Q326" s="5"/>
      <c r="R326" s="5"/>
      <c r="S326" s="127"/>
      <c r="T326" s="22" t="s">
        <v>4220</v>
      </c>
      <c r="U326" s="22"/>
      <c r="V326" s="224"/>
      <c r="W326" s="87"/>
      <c r="X326" s="90"/>
      <c r="Y326" s="90"/>
      <c r="Z326" s="87"/>
      <c r="AA326" s="87"/>
      <c r="AB326" s="87"/>
      <c r="AC326" s="87"/>
      <c r="AD326" s="98"/>
    </row>
    <row r="327" spans="2:30" s="76" customFormat="1" x14ac:dyDescent="0.2">
      <c r="B327" s="314"/>
      <c r="C327" s="11"/>
      <c r="D327" s="12"/>
      <c r="E327" s="12"/>
      <c r="F327" s="12"/>
      <c r="G327" s="12"/>
      <c r="H327" s="504"/>
      <c r="I327" s="14"/>
      <c r="J327" s="12"/>
      <c r="K327" s="12"/>
      <c r="L327" s="15"/>
      <c r="M327" s="12"/>
      <c r="N327" s="12"/>
      <c r="O327" s="12"/>
      <c r="P327" s="12"/>
      <c r="Q327" s="12"/>
      <c r="R327" s="12"/>
      <c r="S327" s="141"/>
      <c r="T327" s="15" t="s">
        <v>3445</v>
      </c>
      <c r="U327" s="15"/>
      <c r="V327" s="12"/>
      <c r="W327" s="80"/>
      <c r="X327" s="82"/>
      <c r="Y327" s="82"/>
      <c r="Z327" s="80"/>
      <c r="AA327" s="80"/>
      <c r="AB327" s="80"/>
      <c r="AC327" s="80"/>
      <c r="AD327" s="98"/>
    </row>
    <row r="328" spans="2:30" s="76" customFormat="1" x14ac:dyDescent="0.2">
      <c r="B328" s="312" t="s">
        <v>4005</v>
      </c>
      <c r="C328" s="16" t="s">
        <v>4021</v>
      </c>
      <c r="D328" s="6" t="s">
        <v>4224</v>
      </c>
      <c r="E328" s="6"/>
      <c r="F328" s="6" t="s">
        <v>4225</v>
      </c>
      <c r="G328" s="6"/>
      <c r="H328" s="17">
        <v>23583.77</v>
      </c>
      <c r="I328" s="39"/>
      <c r="J328" s="7">
        <v>37684</v>
      </c>
      <c r="K328" s="7"/>
      <c r="L328" s="23">
        <f>60+J328</f>
        <v>37744</v>
      </c>
      <c r="M328" s="18" t="s">
        <v>4147</v>
      </c>
      <c r="N328" s="6" t="s">
        <v>42</v>
      </c>
      <c r="O328" s="6"/>
      <c r="P328" s="6"/>
      <c r="Q328" s="6"/>
      <c r="R328" s="6"/>
      <c r="S328" s="23">
        <v>37760</v>
      </c>
      <c r="T328" s="23">
        <v>37761</v>
      </c>
      <c r="U328" s="23"/>
      <c r="V328" s="40" t="s">
        <v>53</v>
      </c>
      <c r="W328" s="70">
        <v>882</v>
      </c>
      <c r="X328" s="75"/>
      <c r="Y328" s="75"/>
      <c r="Z328" s="6">
        <v>9051564115</v>
      </c>
      <c r="AA328" s="74"/>
      <c r="AB328" s="70"/>
      <c r="AC328" s="70"/>
      <c r="AD328" s="98"/>
    </row>
    <row r="329" spans="2:30" s="76" customFormat="1" ht="12" thickBot="1" x14ac:dyDescent="0.25">
      <c r="B329" s="313"/>
      <c r="C329" s="19"/>
      <c r="D329" s="5"/>
      <c r="E329" s="5"/>
      <c r="F329" s="5"/>
      <c r="G329" s="5"/>
      <c r="H329" s="105"/>
      <c r="I329" s="21"/>
      <c r="J329" s="5"/>
      <c r="K329" s="5"/>
      <c r="L329" s="127"/>
      <c r="M329" s="5"/>
      <c r="N329" s="5"/>
      <c r="O329" s="5"/>
      <c r="P329" s="5"/>
      <c r="Q329" s="5"/>
      <c r="R329" s="5"/>
      <c r="S329" s="127"/>
      <c r="T329" s="22" t="s">
        <v>4220</v>
      </c>
      <c r="U329" s="22"/>
      <c r="V329" s="224"/>
      <c r="W329" s="87"/>
      <c r="X329" s="90"/>
      <c r="Y329" s="90"/>
      <c r="Z329" s="87"/>
      <c r="AA329" s="87"/>
      <c r="AB329" s="87"/>
      <c r="AC329" s="87"/>
      <c r="AD329" s="98"/>
    </row>
    <row r="330" spans="2:30" s="76" customFormat="1" x14ac:dyDescent="0.2">
      <c r="B330" s="314"/>
      <c r="C330" s="11"/>
      <c r="D330" s="12"/>
      <c r="E330" s="12"/>
      <c r="F330" s="12"/>
      <c r="G330" s="12"/>
      <c r="H330" s="504"/>
      <c r="I330" s="14"/>
      <c r="J330" s="12"/>
      <c r="K330" s="12"/>
      <c r="L330" s="15"/>
      <c r="M330" s="12"/>
      <c r="N330" s="12"/>
      <c r="O330" s="12"/>
      <c r="P330" s="12"/>
      <c r="Q330" s="12"/>
      <c r="R330" s="12"/>
      <c r="S330" s="141"/>
      <c r="T330" s="12"/>
      <c r="U330" s="12"/>
      <c r="V330" s="12"/>
      <c r="W330" s="80"/>
      <c r="X330" s="82"/>
      <c r="Y330" s="82"/>
      <c r="Z330" s="80"/>
      <c r="AA330" s="80"/>
      <c r="AB330" s="80"/>
      <c r="AC330" s="80"/>
      <c r="AD330" s="98"/>
    </row>
    <row r="331" spans="2:30" s="76" customFormat="1" x14ac:dyDescent="0.2">
      <c r="B331" s="312" t="s">
        <v>4005</v>
      </c>
      <c r="C331" s="16" t="s">
        <v>4021</v>
      </c>
      <c r="D331" s="6" t="s">
        <v>4204</v>
      </c>
      <c r="E331" s="6"/>
      <c r="F331" s="6" t="s">
        <v>4205</v>
      </c>
      <c r="G331" s="6"/>
      <c r="H331" s="17">
        <v>42796.3</v>
      </c>
      <c r="I331" s="39"/>
      <c r="J331" s="7">
        <v>37574</v>
      </c>
      <c r="K331" s="7"/>
      <c r="L331" s="23">
        <f>60+J331</f>
        <v>37634</v>
      </c>
      <c r="M331" s="18" t="s">
        <v>4147</v>
      </c>
      <c r="N331" s="6" t="s">
        <v>42</v>
      </c>
      <c r="O331" s="6"/>
      <c r="P331" s="6"/>
      <c r="Q331" s="6"/>
      <c r="R331" s="6"/>
      <c r="S331" s="23">
        <v>37725</v>
      </c>
      <c r="T331" s="23">
        <v>37759</v>
      </c>
      <c r="U331" s="23"/>
      <c r="V331" s="40" t="s">
        <v>3501</v>
      </c>
      <c r="W331" s="70" t="s">
        <v>4226</v>
      </c>
      <c r="X331" s="75"/>
      <c r="Y331" s="75"/>
      <c r="Z331" s="70"/>
      <c r="AA331" s="74"/>
      <c r="AB331" s="70"/>
      <c r="AC331" s="70"/>
      <c r="AD331" s="30"/>
    </row>
    <row r="332" spans="2:30" s="76" customFormat="1" ht="12" thickBot="1" x14ac:dyDescent="0.25">
      <c r="B332" s="313"/>
      <c r="C332" s="19"/>
      <c r="D332" s="5"/>
      <c r="E332" s="5"/>
      <c r="F332" s="5"/>
      <c r="G332" s="5"/>
      <c r="H332" s="105"/>
      <c r="I332" s="21"/>
      <c r="J332" s="5"/>
      <c r="K332" s="5"/>
      <c r="L332" s="127"/>
      <c r="M332" s="5"/>
      <c r="N332" s="5"/>
      <c r="O332" s="5"/>
      <c r="P332" s="5"/>
      <c r="Q332" s="5"/>
      <c r="R332" s="5"/>
      <c r="S332" s="127"/>
      <c r="T332" s="27"/>
      <c r="U332" s="27"/>
      <c r="V332" s="139" t="s">
        <v>347</v>
      </c>
      <c r="W332" s="87" t="s">
        <v>4227</v>
      </c>
      <c r="X332" s="90"/>
      <c r="Y332" s="90"/>
      <c r="Z332" s="87"/>
      <c r="AA332" s="87"/>
      <c r="AB332" s="87"/>
      <c r="AC332" s="87"/>
      <c r="AD332" s="98"/>
    </row>
    <row r="333" spans="2:30" s="76" customFormat="1" x14ac:dyDescent="0.2">
      <c r="B333" s="314"/>
      <c r="C333" s="11"/>
      <c r="D333" s="12"/>
      <c r="E333" s="12"/>
      <c r="F333" s="12"/>
      <c r="G333" s="12"/>
      <c r="H333" s="504"/>
      <c r="I333" s="14"/>
      <c r="J333" s="12"/>
      <c r="K333" s="12"/>
      <c r="L333" s="15"/>
      <c r="M333" s="12"/>
      <c r="N333" s="12"/>
      <c r="O333" s="12"/>
      <c r="P333" s="12"/>
      <c r="Q333" s="12"/>
      <c r="R333" s="12"/>
      <c r="S333" s="141"/>
      <c r="T333" s="12"/>
      <c r="U333" s="12"/>
      <c r="V333" s="12"/>
      <c r="W333" s="80"/>
      <c r="X333" s="82"/>
      <c r="Y333" s="82"/>
      <c r="Z333" s="80"/>
      <c r="AA333" s="80"/>
      <c r="AB333" s="80"/>
      <c r="AC333" s="80"/>
      <c r="AD333" s="98"/>
    </row>
    <row r="334" spans="2:30" s="76" customFormat="1" x14ac:dyDescent="0.2">
      <c r="B334" s="312" t="s">
        <v>4005</v>
      </c>
      <c r="C334" s="16" t="s">
        <v>4021</v>
      </c>
      <c r="D334" s="6" t="s">
        <v>4209</v>
      </c>
      <c r="E334" s="6"/>
      <c r="F334" s="6" t="s">
        <v>4210</v>
      </c>
      <c r="G334" s="6"/>
      <c r="H334" s="17">
        <f>7368.6+7319.5</f>
        <v>14688.1</v>
      </c>
      <c r="I334" s="39"/>
      <c r="J334" s="7">
        <v>37588</v>
      </c>
      <c r="K334" s="7"/>
      <c r="L334" s="23">
        <f>60+J334</f>
        <v>37648</v>
      </c>
      <c r="M334" s="18" t="s">
        <v>4147</v>
      </c>
      <c r="N334" s="6" t="s">
        <v>42</v>
      </c>
      <c r="O334" s="6"/>
      <c r="P334" s="6"/>
      <c r="Q334" s="6"/>
      <c r="R334" s="6"/>
      <c r="S334" s="23">
        <v>37725</v>
      </c>
      <c r="T334" s="23">
        <v>37759</v>
      </c>
      <c r="U334" s="23"/>
      <c r="V334" s="40" t="s">
        <v>3501</v>
      </c>
      <c r="W334" s="70" t="s">
        <v>4228</v>
      </c>
      <c r="X334" s="75"/>
      <c r="Y334" s="75"/>
      <c r="Z334" s="70"/>
      <c r="AA334" s="74"/>
      <c r="AB334" s="70"/>
      <c r="AC334" s="70"/>
      <c r="AD334" s="30"/>
    </row>
    <row r="335" spans="2:30" s="76" customFormat="1" ht="12" thickBot="1" x14ac:dyDescent="0.25">
      <c r="B335" s="313"/>
      <c r="C335" s="19"/>
      <c r="D335" s="5"/>
      <c r="E335" s="5"/>
      <c r="F335" s="5"/>
      <c r="G335" s="5"/>
      <c r="H335" s="105"/>
      <c r="I335" s="21"/>
      <c r="J335" s="5"/>
      <c r="K335" s="5"/>
      <c r="L335" s="127"/>
      <c r="M335" s="5"/>
      <c r="N335" s="5"/>
      <c r="O335" s="5"/>
      <c r="P335" s="5"/>
      <c r="Q335" s="5"/>
      <c r="R335" s="5"/>
      <c r="S335" s="127"/>
      <c r="T335" s="27"/>
      <c r="U335" s="27"/>
      <c r="V335" s="139" t="s">
        <v>347</v>
      </c>
      <c r="W335" s="87" t="s">
        <v>4229</v>
      </c>
      <c r="X335" s="90"/>
      <c r="Y335" s="90"/>
      <c r="Z335" s="87"/>
      <c r="AA335" s="87"/>
      <c r="AB335" s="87"/>
      <c r="AC335" s="87"/>
      <c r="AD335" s="98"/>
    </row>
    <row r="336" spans="2:30" s="76" customFormat="1" x14ac:dyDescent="0.2">
      <c r="B336" s="314"/>
      <c r="C336" s="11"/>
      <c r="D336" s="12"/>
      <c r="E336" s="12"/>
      <c r="F336" s="12"/>
      <c r="G336" s="12"/>
      <c r="H336" s="504"/>
      <c r="I336" s="14"/>
      <c r="J336" s="12"/>
      <c r="K336" s="12"/>
      <c r="L336" s="15"/>
      <c r="M336" s="12"/>
      <c r="N336" s="12"/>
      <c r="O336" s="12"/>
      <c r="P336" s="12"/>
      <c r="Q336" s="12"/>
      <c r="R336" s="12"/>
      <c r="S336" s="141"/>
      <c r="T336" s="12"/>
      <c r="U336" s="12"/>
      <c r="V336" s="12"/>
      <c r="W336" s="80"/>
      <c r="X336" s="82"/>
      <c r="Y336" s="82"/>
      <c r="Z336" s="80"/>
      <c r="AA336" s="80"/>
      <c r="AB336" s="80"/>
      <c r="AC336" s="80"/>
      <c r="AD336" s="98"/>
    </row>
    <row r="337" spans="2:30" s="76" customFormat="1" x14ac:dyDescent="0.2">
      <c r="B337" s="312" t="s">
        <v>4005</v>
      </c>
      <c r="C337" s="16" t="s">
        <v>4021</v>
      </c>
      <c r="D337" s="6" t="s">
        <v>4212</v>
      </c>
      <c r="E337" s="6"/>
      <c r="F337" s="6" t="s">
        <v>4213</v>
      </c>
      <c r="G337" s="6"/>
      <c r="H337" s="17">
        <v>69607.95</v>
      </c>
      <c r="I337" s="39"/>
      <c r="J337" s="7">
        <v>37658</v>
      </c>
      <c r="K337" s="7"/>
      <c r="L337" s="23">
        <f>60+J337</f>
        <v>37718</v>
      </c>
      <c r="M337" s="18" t="s">
        <v>4147</v>
      </c>
      <c r="N337" s="6" t="s">
        <v>42</v>
      </c>
      <c r="O337" s="6"/>
      <c r="P337" s="6"/>
      <c r="Q337" s="6"/>
      <c r="R337" s="6"/>
      <c r="S337" s="23">
        <v>37725</v>
      </c>
      <c r="T337" s="23">
        <v>37759</v>
      </c>
      <c r="U337" s="23"/>
      <c r="V337" s="40" t="s">
        <v>4230</v>
      </c>
      <c r="W337" s="70" t="s">
        <v>4231</v>
      </c>
      <c r="X337" s="75"/>
      <c r="Y337" s="75"/>
      <c r="Z337" s="70"/>
      <c r="AA337" s="74"/>
      <c r="AB337" s="70"/>
      <c r="AC337" s="70"/>
      <c r="AD337" s="30"/>
    </row>
    <row r="338" spans="2:30" s="76" customFormat="1" ht="12" thickBot="1" x14ac:dyDescent="0.25">
      <c r="B338" s="313"/>
      <c r="C338" s="19"/>
      <c r="D338" s="5"/>
      <c r="E338" s="5"/>
      <c r="F338" s="5"/>
      <c r="G338" s="5"/>
      <c r="H338" s="105"/>
      <c r="I338" s="21"/>
      <c r="J338" s="5"/>
      <c r="K338" s="5"/>
      <c r="L338" s="127"/>
      <c r="M338" s="5"/>
      <c r="N338" s="5"/>
      <c r="O338" s="5"/>
      <c r="P338" s="5"/>
      <c r="Q338" s="5"/>
      <c r="R338" s="5"/>
      <c r="S338" s="127"/>
      <c r="T338" s="22"/>
      <c r="U338" s="22"/>
      <c r="V338" s="139" t="s">
        <v>347</v>
      </c>
      <c r="W338" s="87"/>
      <c r="X338" s="90"/>
      <c r="Y338" s="90"/>
      <c r="Z338" s="87"/>
      <c r="AA338" s="87"/>
      <c r="AB338" s="87"/>
      <c r="AC338" s="87"/>
      <c r="AD338" s="98"/>
    </row>
    <row r="339" spans="2:30" s="76" customFormat="1" x14ac:dyDescent="0.2">
      <c r="B339" s="314"/>
      <c r="C339" s="11"/>
      <c r="D339" s="12"/>
      <c r="E339" s="12"/>
      <c r="F339" s="12"/>
      <c r="G339" s="12"/>
      <c r="H339" s="504"/>
      <c r="I339" s="14"/>
      <c r="J339" s="12"/>
      <c r="K339" s="12"/>
      <c r="L339" s="15"/>
      <c r="M339" s="12"/>
      <c r="N339" s="12"/>
      <c r="O339" s="12"/>
      <c r="P339" s="12"/>
      <c r="Q339" s="12"/>
      <c r="R339" s="12"/>
      <c r="S339" s="141"/>
      <c r="T339" s="12"/>
      <c r="U339" s="12"/>
      <c r="V339" s="12"/>
      <c r="W339" s="80"/>
      <c r="X339" s="82"/>
      <c r="Y339" s="82"/>
      <c r="Z339" s="80"/>
      <c r="AA339" s="80"/>
      <c r="AB339" s="80"/>
      <c r="AC339" s="80"/>
      <c r="AD339" s="98"/>
    </row>
    <row r="340" spans="2:30" s="76" customFormat="1" x14ac:dyDescent="0.2">
      <c r="B340" s="312" t="s">
        <v>4005</v>
      </c>
      <c r="C340" s="16" t="s">
        <v>4021</v>
      </c>
      <c r="D340" s="6" t="s">
        <v>4224</v>
      </c>
      <c r="E340" s="6"/>
      <c r="F340" s="6" t="s">
        <v>4225</v>
      </c>
      <c r="G340" s="6"/>
      <c r="H340" s="17">
        <v>7785.96</v>
      </c>
      <c r="I340" s="39"/>
      <c r="J340" s="7">
        <v>37684</v>
      </c>
      <c r="K340" s="7"/>
      <c r="L340" s="23">
        <f>60+J340</f>
        <v>37744</v>
      </c>
      <c r="M340" s="18" t="s">
        <v>4147</v>
      </c>
      <c r="N340" s="6" t="s">
        <v>42</v>
      </c>
      <c r="O340" s="6"/>
      <c r="P340" s="6"/>
      <c r="Q340" s="6"/>
      <c r="R340" s="6"/>
      <c r="S340" s="268" t="s">
        <v>4232</v>
      </c>
      <c r="T340" s="23">
        <v>37759</v>
      </c>
      <c r="U340" s="23"/>
      <c r="V340" s="40" t="s">
        <v>4233</v>
      </c>
      <c r="W340" s="70" t="s">
        <v>4234</v>
      </c>
      <c r="X340" s="75"/>
      <c r="Y340" s="75"/>
      <c r="Z340" s="70"/>
      <c r="AA340" s="74"/>
      <c r="AB340" s="70"/>
      <c r="AC340" s="70"/>
      <c r="AD340" s="30"/>
    </row>
    <row r="341" spans="2:30" s="76" customFormat="1" ht="15" customHeight="1" thickBot="1" x14ac:dyDescent="0.25">
      <c r="B341" s="313"/>
      <c r="C341" s="19"/>
      <c r="D341" s="5"/>
      <c r="E341" s="5"/>
      <c r="F341" s="5"/>
      <c r="G341" s="5"/>
      <c r="H341" s="105"/>
      <c r="I341" s="21"/>
      <c r="J341" s="5"/>
      <c r="K341" s="5"/>
      <c r="L341" s="127"/>
      <c r="M341" s="5"/>
      <c r="N341" s="5"/>
      <c r="O341" s="5"/>
      <c r="P341" s="5"/>
      <c r="Q341" s="5"/>
      <c r="R341" s="5"/>
      <c r="S341" s="127" t="s">
        <v>2937</v>
      </c>
      <c r="T341" s="22"/>
      <c r="U341" s="22"/>
      <c r="V341" s="139" t="s">
        <v>347</v>
      </c>
      <c r="W341" s="87"/>
      <c r="X341" s="90"/>
      <c r="Y341" s="90"/>
      <c r="Z341" s="87"/>
      <c r="AA341" s="87"/>
      <c r="AB341" s="87"/>
      <c r="AC341" s="87"/>
      <c r="AD341" s="98"/>
    </row>
    <row r="342" spans="2:30" s="76" customFormat="1" x14ac:dyDescent="0.2">
      <c r="B342" s="314"/>
      <c r="C342" s="11"/>
      <c r="D342" s="12"/>
      <c r="E342" s="12"/>
      <c r="F342" s="12"/>
      <c r="G342" s="12"/>
      <c r="H342" s="504"/>
      <c r="I342" s="14"/>
      <c r="J342" s="12"/>
      <c r="K342" s="12"/>
      <c r="L342" s="15"/>
      <c r="M342" s="12"/>
      <c r="N342" s="12"/>
      <c r="O342" s="12"/>
      <c r="P342" s="12"/>
      <c r="Q342" s="12"/>
      <c r="R342" s="12"/>
      <c r="S342" s="141"/>
      <c r="T342" s="15"/>
      <c r="U342" s="15"/>
      <c r="V342" s="12"/>
      <c r="W342" s="80"/>
      <c r="X342" s="82"/>
      <c r="Y342" s="82"/>
      <c r="Z342" s="80"/>
      <c r="AA342" s="80"/>
      <c r="AB342" s="80"/>
      <c r="AC342" s="80"/>
      <c r="AD342" s="98"/>
    </row>
    <row r="343" spans="2:30" s="76" customFormat="1" x14ac:dyDescent="0.2">
      <c r="B343" s="312" t="s">
        <v>4005</v>
      </c>
      <c r="C343" s="16" t="s">
        <v>4021</v>
      </c>
      <c r="D343" s="6" t="s">
        <v>4212</v>
      </c>
      <c r="E343" s="6"/>
      <c r="F343" s="6" t="s">
        <v>4213</v>
      </c>
      <c r="G343" s="6"/>
      <c r="H343" s="17">
        <f>133708.01-69607.95</f>
        <v>64100.060000000012</v>
      </c>
      <c r="I343" s="39"/>
      <c r="J343" s="7">
        <v>37658</v>
      </c>
      <c r="K343" s="7"/>
      <c r="L343" s="23">
        <f>60+J343</f>
        <v>37718</v>
      </c>
      <c r="M343" s="18" t="s">
        <v>4147</v>
      </c>
      <c r="N343" s="6" t="s">
        <v>110</v>
      </c>
      <c r="O343" s="6"/>
      <c r="P343" s="6"/>
      <c r="Q343" s="6"/>
      <c r="R343" s="6"/>
      <c r="S343" s="23">
        <v>37778</v>
      </c>
      <c r="T343" s="23">
        <v>37789</v>
      </c>
      <c r="U343" s="23"/>
      <c r="V343" s="40" t="s">
        <v>4235</v>
      </c>
      <c r="W343" s="70">
        <v>892</v>
      </c>
      <c r="X343" s="75"/>
      <c r="Y343" s="75"/>
      <c r="Z343" s="6" t="s">
        <v>1676</v>
      </c>
      <c r="AA343" s="74"/>
      <c r="AB343" s="70"/>
      <c r="AC343" s="70"/>
      <c r="AD343" s="30"/>
    </row>
    <row r="344" spans="2:30" s="76" customFormat="1" ht="12" thickBot="1" x14ac:dyDescent="0.25">
      <c r="B344" s="313"/>
      <c r="C344" s="19"/>
      <c r="D344" s="5"/>
      <c r="E344" s="5"/>
      <c r="F344" s="5"/>
      <c r="G344" s="5"/>
      <c r="H344" s="105"/>
      <c r="I344" s="21"/>
      <c r="J344" s="5"/>
      <c r="K344" s="5"/>
      <c r="L344" s="127"/>
      <c r="M344" s="5"/>
      <c r="N344" s="5"/>
      <c r="O344" s="5"/>
      <c r="P344" s="5"/>
      <c r="Q344" s="5"/>
      <c r="R344" s="5"/>
      <c r="S344" s="127"/>
      <c r="T344" s="22"/>
      <c r="U344" s="22"/>
      <c r="V344" s="224"/>
      <c r="W344" s="87"/>
      <c r="X344" s="90"/>
      <c r="Y344" s="90"/>
      <c r="Z344" s="87"/>
      <c r="AA344" s="87"/>
      <c r="AB344" s="87"/>
      <c r="AC344" s="87"/>
      <c r="AD344" s="98"/>
    </row>
    <row r="345" spans="2:30" s="76" customFormat="1" x14ac:dyDescent="0.2">
      <c r="B345" s="314"/>
      <c r="C345" s="11"/>
      <c r="D345" s="12"/>
      <c r="E345" s="12"/>
      <c r="F345" s="12"/>
      <c r="G345" s="12"/>
      <c r="H345" s="504"/>
      <c r="I345" s="14"/>
      <c r="J345" s="12"/>
      <c r="K345" s="12"/>
      <c r="L345" s="15"/>
      <c r="M345" s="12"/>
      <c r="N345" s="12"/>
      <c r="O345" s="12"/>
      <c r="P345" s="12"/>
      <c r="Q345" s="12"/>
      <c r="R345" s="12"/>
      <c r="S345" s="141"/>
      <c r="T345" s="15"/>
      <c r="U345" s="15"/>
      <c r="V345" s="12"/>
      <c r="W345" s="80"/>
      <c r="X345" s="82"/>
      <c r="Y345" s="82"/>
      <c r="Z345" s="80"/>
      <c r="AA345" s="80"/>
      <c r="AB345" s="80"/>
      <c r="AC345" s="80"/>
      <c r="AD345" s="98"/>
    </row>
    <row r="346" spans="2:30" s="76" customFormat="1" x14ac:dyDescent="0.2">
      <c r="B346" s="312" t="s">
        <v>4005</v>
      </c>
      <c r="C346" s="16" t="s">
        <v>4021</v>
      </c>
      <c r="D346" s="6" t="s">
        <v>4224</v>
      </c>
      <c r="E346" s="6"/>
      <c r="F346" s="6" t="s">
        <v>4225</v>
      </c>
      <c r="G346" s="6"/>
      <c r="H346" s="17">
        <v>23583.77</v>
      </c>
      <c r="I346" s="39"/>
      <c r="J346" s="7">
        <v>37684</v>
      </c>
      <c r="K346" s="7"/>
      <c r="L346" s="23">
        <f>60+J346</f>
        <v>37744</v>
      </c>
      <c r="M346" s="18" t="s">
        <v>4147</v>
      </c>
      <c r="N346" s="6" t="s">
        <v>110</v>
      </c>
      <c r="O346" s="6"/>
      <c r="P346" s="6"/>
      <c r="Q346" s="6"/>
      <c r="R346" s="6"/>
      <c r="S346" s="23">
        <v>37778</v>
      </c>
      <c r="T346" s="23">
        <v>37789</v>
      </c>
      <c r="U346" s="23"/>
      <c r="V346" s="40" t="s">
        <v>4235</v>
      </c>
      <c r="W346" s="70">
        <v>892</v>
      </c>
      <c r="X346" s="75"/>
      <c r="Y346" s="75"/>
      <c r="Z346" s="6" t="s">
        <v>1676</v>
      </c>
      <c r="AA346" s="74"/>
      <c r="AB346" s="70"/>
      <c r="AC346" s="70"/>
      <c r="AD346" s="30"/>
    </row>
    <row r="347" spans="2:30" s="76" customFormat="1" ht="12" thickBot="1" x14ac:dyDescent="0.25">
      <c r="B347" s="313"/>
      <c r="C347" s="19"/>
      <c r="D347" s="5"/>
      <c r="E347" s="5"/>
      <c r="F347" s="5"/>
      <c r="G347" s="5"/>
      <c r="H347" s="105"/>
      <c r="I347" s="21"/>
      <c r="J347" s="5"/>
      <c r="K347" s="5"/>
      <c r="L347" s="127"/>
      <c r="M347" s="5"/>
      <c r="N347" s="5"/>
      <c r="O347" s="5"/>
      <c r="P347" s="5"/>
      <c r="Q347" s="5"/>
      <c r="R347" s="5"/>
      <c r="S347" s="127"/>
      <c r="T347" s="22"/>
      <c r="U347" s="22"/>
      <c r="V347" s="224"/>
      <c r="W347" s="87"/>
      <c r="X347" s="90"/>
      <c r="Y347" s="90"/>
      <c r="Z347" s="87"/>
      <c r="AA347" s="87"/>
      <c r="AB347" s="87"/>
      <c r="AC347" s="87"/>
      <c r="AD347" s="98"/>
    </row>
    <row r="348" spans="2:30" s="76" customFormat="1" x14ac:dyDescent="0.2">
      <c r="B348" s="314"/>
      <c r="C348" s="11"/>
      <c r="D348" s="12"/>
      <c r="E348" s="12"/>
      <c r="F348" s="12"/>
      <c r="G348" s="12"/>
      <c r="H348" s="504"/>
      <c r="I348" s="14"/>
      <c r="J348" s="12"/>
      <c r="K348" s="12"/>
      <c r="L348" s="15"/>
      <c r="M348" s="12"/>
      <c r="N348" s="12"/>
      <c r="O348" s="12"/>
      <c r="P348" s="12"/>
      <c r="Q348" s="12"/>
      <c r="R348" s="12"/>
      <c r="S348" s="141"/>
      <c r="T348" s="15"/>
      <c r="U348" s="15"/>
      <c r="V348" s="244"/>
      <c r="W348" s="80"/>
      <c r="X348" s="82"/>
      <c r="Y348" s="82"/>
      <c r="Z348" s="80"/>
      <c r="AA348" s="80"/>
      <c r="AB348" s="80"/>
      <c r="AC348" s="80"/>
      <c r="AD348" s="98"/>
    </row>
    <row r="349" spans="2:30" s="76" customFormat="1" x14ac:dyDescent="0.2">
      <c r="B349" s="312" t="s">
        <v>4005</v>
      </c>
      <c r="C349" s="16" t="s">
        <v>4236</v>
      </c>
      <c r="D349" s="6" t="s">
        <v>4237</v>
      </c>
      <c r="E349" s="6"/>
      <c r="F349" s="6" t="s">
        <v>4238</v>
      </c>
      <c r="G349" s="6"/>
      <c r="H349" s="17">
        <v>2749.5</v>
      </c>
      <c r="I349" s="39"/>
      <c r="J349" s="7">
        <v>37785</v>
      </c>
      <c r="K349" s="7"/>
      <c r="L349" s="23">
        <f>+J349+30</f>
        <v>37815</v>
      </c>
      <c r="M349" s="18" t="s">
        <v>4147</v>
      </c>
      <c r="N349" s="6" t="s">
        <v>110</v>
      </c>
      <c r="O349" s="6"/>
      <c r="P349" s="6"/>
      <c r="Q349" s="6"/>
      <c r="R349" s="6"/>
      <c r="S349" s="23"/>
      <c r="T349" s="23">
        <v>37802</v>
      </c>
      <c r="U349" s="23"/>
      <c r="V349" s="40" t="s">
        <v>4239</v>
      </c>
      <c r="W349" s="70" t="s">
        <v>4240</v>
      </c>
      <c r="X349" s="75"/>
      <c r="Y349" s="75"/>
      <c r="Z349" s="70"/>
      <c r="AA349" s="74"/>
      <c r="AB349" s="70"/>
      <c r="AC349" s="70"/>
      <c r="AD349" s="98"/>
    </row>
    <row r="350" spans="2:30" s="76" customFormat="1" ht="12" thickBot="1" x14ac:dyDescent="0.25">
      <c r="B350" s="313"/>
      <c r="C350" s="19"/>
      <c r="D350" s="5"/>
      <c r="E350" s="5"/>
      <c r="F350" s="5"/>
      <c r="G350" s="5"/>
      <c r="H350" s="105"/>
      <c r="I350" s="21"/>
      <c r="J350" s="5"/>
      <c r="K350" s="5"/>
      <c r="L350" s="127"/>
      <c r="M350" s="5"/>
      <c r="N350" s="5"/>
      <c r="O350" s="5"/>
      <c r="P350" s="5"/>
      <c r="Q350" s="5"/>
      <c r="R350" s="5"/>
      <c r="S350" s="127"/>
      <c r="T350" s="22"/>
      <c r="U350" s="22"/>
      <c r="V350" s="224" t="s">
        <v>347</v>
      </c>
      <c r="W350" s="87"/>
      <c r="X350" s="90"/>
      <c r="Y350" s="90"/>
      <c r="Z350" s="87"/>
      <c r="AA350" s="87"/>
      <c r="AB350" s="87"/>
      <c r="AC350" s="87"/>
      <c r="AD350" s="98"/>
    </row>
    <row r="351" spans="2:30" s="9" customFormat="1" x14ac:dyDescent="0.2">
      <c r="B351" s="312"/>
      <c r="C351" s="16"/>
      <c r="D351" s="7"/>
      <c r="E351" s="7"/>
      <c r="F351" s="6"/>
      <c r="G351" s="6"/>
      <c r="H351" s="17"/>
      <c r="I351" s="17"/>
      <c r="J351" s="7"/>
      <c r="K351" s="7"/>
      <c r="L351" s="23"/>
      <c r="M351" s="6"/>
      <c r="N351" s="6"/>
      <c r="O351" s="6"/>
      <c r="P351" s="6"/>
      <c r="Q351" s="6"/>
      <c r="R351" s="6"/>
      <c r="S351" s="6"/>
      <c r="T351" s="6"/>
      <c r="U351" s="6"/>
      <c r="V351" s="6"/>
      <c r="W351" s="6"/>
      <c r="X351" s="59"/>
      <c r="Y351" s="59"/>
      <c r="Z351" s="6"/>
      <c r="AA351" s="6"/>
      <c r="AB351" s="6"/>
      <c r="AC351" s="6"/>
      <c r="AD351" s="28"/>
    </row>
    <row r="352" spans="2:30" s="9" customFormat="1" x14ac:dyDescent="0.2">
      <c r="B352" s="312" t="s">
        <v>4005</v>
      </c>
      <c r="C352" s="16" t="s">
        <v>37</v>
      </c>
      <c r="D352" s="7" t="s">
        <v>4241</v>
      </c>
      <c r="E352" s="7"/>
      <c r="F352" s="6" t="s">
        <v>4242</v>
      </c>
      <c r="G352" s="6"/>
      <c r="H352" s="17">
        <f>249.2+625.5+853.5+2271.5</f>
        <v>3999.7</v>
      </c>
      <c r="I352" s="39"/>
      <c r="J352" s="7">
        <v>37890</v>
      </c>
      <c r="K352" s="7"/>
      <c r="L352" s="23">
        <f>60+J352</f>
        <v>37950</v>
      </c>
      <c r="M352" s="18" t="s">
        <v>4147</v>
      </c>
      <c r="N352" s="6" t="s">
        <v>42</v>
      </c>
      <c r="O352" s="6"/>
      <c r="P352" s="6"/>
      <c r="Q352" s="6"/>
      <c r="R352" s="6"/>
      <c r="S352" s="23">
        <v>37911</v>
      </c>
      <c r="T352" s="23">
        <v>37914</v>
      </c>
      <c r="U352" s="23"/>
      <c r="V352" s="6" t="s">
        <v>597</v>
      </c>
      <c r="W352" s="6" t="s">
        <v>4243</v>
      </c>
      <c r="X352" s="59"/>
      <c r="Y352" s="59"/>
      <c r="Z352" s="6" t="s">
        <v>4244</v>
      </c>
      <c r="AA352" s="6"/>
      <c r="AB352" s="6"/>
      <c r="AC352" s="6"/>
      <c r="AD352" s="28"/>
    </row>
    <row r="353" spans="1:37" s="9" customFormat="1" ht="12" thickBot="1" x14ac:dyDescent="0.25">
      <c r="B353" s="313"/>
      <c r="C353" s="19"/>
      <c r="D353" s="5"/>
      <c r="E353" s="5"/>
      <c r="F353" s="5"/>
      <c r="G353" s="5"/>
      <c r="H353" s="105"/>
      <c r="I353" s="21"/>
      <c r="J353" s="5"/>
      <c r="K353" s="5"/>
      <c r="L353" s="27"/>
      <c r="M353" s="5"/>
      <c r="N353" s="5"/>
      <c r="O353" s="5"/>
      <c r="P353" s="5"/>
      <c r="Q353" s="5"/>
      <c r="R353" s="5"/>
      <c r="S353" s="27"/>
      <c r="T353" s="19"/>
      <c r="U353" s="19"/>
      <c r="V353" s="224" t="s">
        <v>1102</v>
      </c>
      <c r="W353" s="5"/>
      <c r="X353" s="61"/>
      <c r="Y353" s="61"/>
      <c r="Z353" s="5" t="s">
        <v>1676</v>
      </c>
      <c r="AA353" s="5"/>
      <c r="AB353" s="5"/>
      <c r="AC353" s="5"/>
      <c r="AD353" s="28"/>
    </row>
    <row r="354" spans="1:37" s="9" customFormat="1" x14ac:dyDescent="0.2">
      <c r="B354" s="312"/>
      <c r="C354" s="16"/>
      <c r="D354" s="7"/>
      <c r="E354" s="7"/>
      <c r="F354" s="6"/>
      <c r="G354" s="6"/>
      <c r="H354" s="17"/>
      <c r="I354" s="17"/>
      <c r="J354" s="7"/>
      <c r="K354" s="7"/>
      <c r="L354" s="23"/>
      <c r="M354" s="6"/>
      <c r="N354" s="6"/>
      <c r="O354" s="6"/>
      <c r="P354" s="6"/>
      <c r="Q354" s="6"/>
      <c r="R354" s="6"/>
      <c r="S354" s="6"/>
      <c r="T354" s="6"/>
      <c r="U354" s="6"/>
      <c r="V354" s="138" t="s">
        <v>4245</v>
      </c>
      <c r="W354" s="6"/>
      <c r="X354" s="59"/>
      <c r="Y354" s="59"/>
      <c r="Z354" s="6"/>
      <c r="AA354" s="6"/>
      <c r="AB354" s="6"/>
      <c r="AC354" s="6"/>
      <c r="AD354" s="28"/>
    </row>
    <row r="355" spans="1:37" s="9" customFormat="1" x14ac:dyDescent="0.2">
      <c r="B355" s="312" t="s">
        <v>4005</v>
      </c>
      <c r="C355" s="16" t="s">
        <v>4236</v>
      </c>
      <c r="D355" s="7" t="s">
        <v>4246</v>
      </c>
      <c r="E355" s="7"/>
      <c r="F355" s="6" t="s">
        <v>4247</v>
      </c>
      <c r="G355" s="6"/>
      <c r="H355" s="17">
        <v>8863.75</v>
      </c>
      <c r="I355" s="39"/>
      <c r="J355" s="7">
        <v>37890</v>
      </c>
      <c r="K355" s="7"/>
      <c r="L355" s="23">
        <f>+J355+60</f>
        <v>37950</v>
      </c>
      <c r="M355" s="18" t="s">
        <v>4147</v>
      </c>
      <c r="N355" s="6" t="s">
        <v>110</v>
      </c>
      <c r="O355" s="6"/>
      <c r="P355" s="6"/>
      <c r="Q355" s="6"/>
      <c r="R355" s="6"/>
      <c r="S355" s="23">
        <v>37953</v>
      </c>
      <c r="T355" s="23">
        <v>37967</v>
      </c>
      <c r="U355" s="23"/>
      <c r="V355" s="6" t="s">
        <v>597</v>
      </c>
      <c r="W355" s="6">
        <v>943</v>
      </c>
      <c r="X355" s="59"/>
      <c r="Y355" s="59"/>
      <c r="Z355" s="6" t="s">
        <v>1676</v>
      </c>
      <c r="AA355" s="6"/>
      <c r="AB355" s="6"/>
      <c r="AC355" s="6"/>
      <c r="AD355" s="28"/>
    </row>
    <row r="356" spans="1:37" s="9" customFormat="1" ht="12" thickBot="1" x14ac:dyDescent="0.25">
      <c r="B356" s="313"/>
      <c r="C356" s="19"/>
      <c r="D356" s="5"/>
      <c r="E356" s="5"/>
      <c r="F356" s="5"/>
      <c r="G356" s="5"/>
      <c r="H356" s="105"/>
      <c r="I356" s="21"/>
      <c r="J356" s="5"/>
      <c r="K356" s="5"/>
      <c r="L356" s="27"/>
      <c r="M356" s="5"/>
      <c r="N356" s="5"/>
      <c r="O356" s="5"/>
      <c r="P356" s="5"/>
      <c r="Q356" s="5"/>
      <c r="R356" s="5"/>
      <c r="S356" s="27"/>
      <c r="T356" s="27" t="s">
        <v>4248</v>
      </c>
      <c r="U356" s="27"/>
      <c r="V356" s="224"/>
      <c r="W356" s="5"/>
      <c r="X356" s="61"/>
      <c r="Y356" s="61"/>
      <c r="Z356" s="5" t="s">
        <v>4249</v>
      </c>
      <c r="AA356" s="5"/>
      <c r="AB356" s="5"/>
      <c r="AC356" s="5"/>
      <c r="AD356" s="28"/>
    </row>
    <row r="357" spans="1:37" x14ac:dyDescent="0.2">
      <c r="AC357" s="38"/>
    </row>
    <row r="358" spans="1:37" ht="12" thickBot="1" x14ac:dyDescent="0.25">
      <c r="AC358" s="38"/>
    </row>
    <row r="359" spans="1:37" s="556" customFormat="1" ht="39.950000000000003" customHeight="1" thickBot="1" x14ac:dyDescent="0.4">
      <c r="B359" s="1611">
        <v>2004</v>
      </c>
      <c r="C359" s="1612"/>
      <c r="D359" s="1612"/>
      <c r="E359" s="1612"/>
      <c r="F359" s="1612"/>
      <c r="G359" s="1612"/>
      <c r="H359" s="1612"/>
      <c r="I359" s="1612"/>
      <c r="J359" s="1612"/>
      <c r="K359" s="1612"/>
      <c r="L359" s="1612"/>
      <c r="M359" s="1612"/>
      <c r="N359" s="1612"/>
      <c r="O359" s="1612"/>
      <c r="P359" s="1612"/>
      <c r="Q359" s="1612"/>
      <c r="R359" s="1612"/>
      <c r="S359" s="1612"/>
      <c r="T359" s="1612"/>
      <c r="U359" s="1612"/>
      <c r="V359" s="1612"/>
      <c r="W359" s="1612"/>
      <c r="X359" s="1612"/>
      <c r="Y359" s="1612"/>
      <c r="Z359" s="1612"/>
      <c r="AA359" s="1612"/>
      <c r="AB359" s="1612"/>
      <c r="AC359" s="1613"/>
      <c r="AD359" s="560"/>
    </row>
    <row r="360" spans="1:37" s="441" customFormat="1" ht="60" customHeight="1" thickBot="1" x14ac:dyDescent="0.25">
      <c r="A360" s="438"/>
      <c r="B360" s="451" t="s">
        <v>130</v>
      </c>
      <c r="C360" s="451" t="s">
        <v>4</v>
      </c>
      <c r="D360" s="451" t="s">
        <v>5</v>
      </c>
      <c r="E360" s="451" t="s">
        <v>6</v>
      </c>
      <c r="F360" s="451" t="s">
        <v>7</v>
      </c>
      <c r="G360" s="451" t="s">
        <v>8</v>
      </c>
      <c r="H360" s="453" t="s">
        <v>9</v>
      </c>
      <c r="I360" s="453" t="s">
        <v>10</v>
      </c>
      <c r="J360" s="451" t="s">
        <v>11</v>
      </c>
      <c r="K360" s="451" t="s">
        <v>12</v>
      </c>
      <c r="L360" s="451" t="s">
        <v>13</v>
      </c>
      <c r="M360" s="451" t="s">
        <v>14</v>
      </c>
      <c r="N360" s="451" t="s">
        <v>15</v>
      </c>
      <c r="O360" s="452" t="s">
        <v>16</v>
      </c>
      <c r="P360" s="454" t="s">
        <v>17</v>
      </c>
      <c r="Q360" s="451" t="s">
        <v>18</v>
      </c>
      <c r="R360" s="452" t="s">
        <v>19</v>
      </c>
      <c r="S360" s="451" t="s">
        <v>20</v>
      </c>
      <c r="T360" s="451" t="s">
        <v>21</v>
      </c>
      <c r="U360" s="452" t="s">
        <v>22</v>
      </c>
      <c r="V360" s="451" t="s">
        <v>131</v>
      </c>
      <c r="W360" s="451" t="s">
        <v>24</v>
      </c>
      <c r="X360" s="451" t="s">
        <v>132</v>
      </c>
      <c r="Y360" s="451" t="s">
        <v>26</v>
      </c>
      <c r="Z360" s="451" t="s">
        <v>27</v>
      </c>
      <c r="AA360" s="451" t="s">
        <v>28</v>
      </c>
      <c r="AB360" s="451" t="s">
        <v>29</v>
      </c>
      <c r="AC360" s="451" t="s">
        <v>30</v>
      </c>
      <c r="AD360" s="439"/>
      <c r="AE360" s="440"/>
      <c r="AF360" s="440"/>
      <c r="AG360" s="440"/>
      <c r="AH360" s="440"/>
      <c r="AI360" s="440"/>
      <c r="AJ360" s="440"/>
      <c r="AK360" s="440"/>
    </row>
    <row r="361" spans="1:37" s="9" customFormat="1" x14ac:dyDescent="0.2">
      <c r="B361" s="312"/>
      <c r="C361" s="16"/>
      <c r="D361" s="7"/>
      <c r="E361" s="7"/>
      <c r="F361" s="6"/>
      <c r="G361" s="6"/>
      <c r="H361" s="17"/>
      <c r="I361" s="17"/>
      <c r="J361" s="7"/>
      <c r="K361" s="7"/>
      <c r="L361" s="23"/>
      <c r="M361" s="6"/>
      <c r="N361" s="6"/>
      <c r="O361" s="6"/>
      <c r="P361" s="6"/>
      <c r="Q361" s="6"/>
      <c r="R361" s="6"/>
      <c r="S361" s="6" t="s">
        <v>4250</v>
      </c>
      <c r="T361" s="6"/>
      <c r="U361" s="6"/>
      <c r="V361" s="138" t="s">
        <v>1102</v>
      </c>
      <c r="W361" s="6"/>
      <c r="X361" s="59"/>
      <c r="Y361" s="59"/>
      <c r="Z361" s="6"/>
      <c r="AA361" s="6"/>
      <c r="AB361" s="6"/>
      <c r="AC361" s="6"/>
      <c r="AD361" s="28"/>
    </row>
    <row r="362" spans="1:37" s="9" customFormat="1" x14ac:dyDescent="0.2">
      <c r="B362" s="312" t="s">
        <v>4005</v>
      </c>
      <c r="C362" s="16" t="s">
        <v>4236</v>
      </c>
      <c r="D362" s="7" t="s">
        <v>4251</v>
      </c>
      <c r="E362" s="7"/>
      <c r="F362" s="6" t="s">
        <v>4252</v>
      </c>
      <c r="G362" s="6" t="s">
        <v>1173</v>
      </c>
      <c r="H362" s="17">
        <v>6478.2</v>
      </c>
      <c r="I362" s="39"/>
      <c r="J362" s="7">
        <v>37964</v>
      </c>
      <c r="K362" s="7"/>
      <c r="L362" s="23">
        <f>+J362+60</f>
        <v>38024</v>
      </c>
      <c r="M362" s="18" t="s">
        <v>4147</v>
      </c>
      <c r="N362" s="6" t="s">
        <v>42</v>
      </c>
      <c r="O362" s="6"/>
      <c r="P362" s="6"/>
      <c r="Q362" s="6"/>
      <c r="R362" s="6"/>
      <c r="S362" s="7" t="s">
        <v>4253</v>
      </c>
      <c r="T362" s="23">
        <v>38016</v>
      </c>
      <c r="U362" s="23"/>
      <c r="V362" s="6" t="s">
        <v>4254</v>
      </c>
      <c r="W362" s="6" t="s">
        <v>4255</v>
      </c>
      <c r="X362" s="59"/>
      <c r="Y362" s="59"/>
      <c r="Z362" s="6"/>
      <c r="AA362" s="6"/>
      <c r="AB362" s="6"/>
      <c r="AC362" s="6"/>
      <c r="AD362" s="28"/>
    </row>
    <row r="363" spans="1:37" s="9" customFormat="1" ht="12" thickBot="1" x14ac:dyDescent="0.25">
      <c r="B363" s="313"/>
      <c r="C363" s="19"/>
      <c r="D363" s="5"/>
      <c r="E363" s="5"/>
      <c r="F363" s="5"/>
      <c r="G363" s="5"/>
      <c r="H363" s="105"/>
      <c r="I363" s="21"/>
      <c r="J363" s="5"/>
      <c r="K363" s="5"/>
      <c r="L363" s="27"/>
      <c r="M363" s="5"/>
      <c r="N363" s="5"/>
      <c r="O363" s="5"/>
      <c r="P363" s="5"/>
      <c r="Q363" s="5"/>
      <c r="R363" s="5"/>
      <c r="S363" s="127"/>
      <c r="T363" s="19"/>
      <c r="U363" s="19"/>
      <c r="V363" s="224"/>
      <c r="W363" s="5"/>
      <c r="X363" s="61"/>
      <c r="Y363" s="61"/>
      <c r="Z363" s="5"/>
      <c r="AA363" s="5"/>
      <c r="AB363" s="5"/>
      <c r="AC363" s="5"/>
      <c r="AD363" s="28"/>
    </row>
    <row r="364" spans="1:37" s="9" customFormat="1" x14ac:dyDescent="0.2">
      <c r="B364" s="312"/>
      <c r="C364" s="16"/>
      <c r="D364" s="7"/>
      <c r="E364" s="7"/>
      <c r="F364" s="6"/>
      <c r="G364" s="6"/>
      <c r="H364" s="17"/>
      <c r="I364" s="17"/>
      <c r="J364" s="7"/>
      <c r="K364" s="7"/>
      <c r="L364" s="23"/>
      <c r="M364" s="6"/>
      <c r="N364" s="6"/>
      <c r="O364" s="6"/>
      <c r="P364" s="6"/>
      <c r="Q364" s="6"/>
      <c r="R364" s="6"/>
      <c r="S364" s="6"/>
      <c r="T364" s="6" t="s">
        <v>4256</v>
      </c>
      <c r="U364" s="6"/>
      <c r="V364" s="6"/>
      <c r="W364" s="6"/>
      <c r="X364" s="59"/>
      <c r="Y364" s="59"/>
      <c r="Z364" s="6" t="s">
        <v>4257</v>
      </c>
      <c r="AA364" s="6"/>
      <c r="AB364" s="6"/>
      <c r="AC364" s="6"/>
      <c r="AD364" s="28"/>
    </row>
    <row r="365" spans="1:37" s="9" customFormat="1" x14ac:dyDescent="0.2">
      <c r="B365" s="312" t="s">
        <v>4005</v>
      </c>
      <c r="C365" s="16" t="s">
        <v>4236</v>
      </c>
      <c r="D365" s="7" t="s">
        <v>4241</v>
      </c>
      <c r="E365" s="7"/>
      <c r="F365" s="6" t="s">
        <v>4242</v>
      </c>
      <c r="G365" s="6" t="s">
        <v>1173</v>
      </c>
      <c r="H365" s="17">
        <v>76127.240000000005</v>
      </c>
      <c r="I365" s="39"/>
      <c r="J365" s="7">
        <v>37890</v>
      </c>
      <c r="K365" s="7"/>
      <c r="L365" s="23">
        <f>60+J365</f>
        <v>37950</v>
      </c>
      <c r="M365" s="18" t="s">
        <v>4147</v>
      </c>
      <c r="N365" s="6" t="s">
        <v>42</v>
      </c>
      <c r="O365" s="6"/>
      <c r="P365" s="6"/>
      <c r="Q365" s="6"/>
      <c r="R365" s="6"/>
      <c r="S365" s="23">
        <v>37949</v>
      </c>
      <c r="T365" s="23">
        <v>38006</v>
      </c>
      <c r="U365" s="23"/>
      <c r="V365" s="6" t="s">
        <v>597</v>
      </c>
      <c r="W365" s="6">
        <v>941</v>
      </c>
      <c r="X365" s="59"/>
      <c r="Y365" s="59"/>
      <c r="Z365" s="6"/>
      <c r="AA365" s="6"/>
      <c r="AB365" s="6"/>
      <c r="AC365" s="6"/>
      <c r="AD365" s="28"/>
    </row>
    <row r="366" spans="1:37" s="9" customFormat="1" ht="12" thickBot="1" x14ac:dyDescent="0.25">
      <c r="B366" s="313"/>
      <c r="C366" s="19"/>
      <c r="D366" s="5"/>
      <c r="E366" s="5"/>
      <c r="F366" s="5"/>
      <c r="G366" s="5"/>
      <c r="H366" s="105"/>
      <c r="I366" s="21"/>
      <c r="J366" s="5"/>
      <c r="K366" s="5"/>
      <c r="L366" s="27"/>
      <c r="M366" s="5"/>
      <c r="N366" s="5"/>
      <c r="O366" s="5"/>
      <c r="P366" s="5"/>
      <c r="Q366" s="5"/>
      <c r="R366" s="5"/>
      <c r="S366" s="27"/>
      <c r="T366" s="27"/>
      <c r="U366" s="27"/>
      <c r="V366" s="224" t="s">
        <v>1149</v>
      </c>
      <c r="W366" s="5"/>
      <c r="X366" s="61"/>
      <c r="Y366" s="61"/>
      <c r="Z366" s="5"/>
      <c r="AA366" s="5"/>
      <c r="AB366" s="5"/>
      <c r="AC366" s="5"/>
      <c r="AD366" s="28"/>
    </row>
    <row r="367" spans="1:37" s="9" customFormat="1" x14ac:dyDescent="0.2">
      <c r="B367" s="312"/>
      <c r="C367" s="16"/>
      <c r="D367" s="7"/>
      <c r="E367" s="7"/>
      <c r="F367" s="6"/>
      <c r="G367" s="6"/>
      <c r="H367" s="17"/>
      <c r="I367" s="17"/>
      <c r="J367" s="7"/>
      <c r="K367" s="7"/>
      <c r="L367" s="23"/>
      <c r="M367" s="6"/>
      <c r="N367" s="6"/>
      <c r="O367" s="6"/>
      <c r="P367" s="6"/>
      <c r="Q367" s="6"/>
      <c r="R367" s="6"/>
      <c r="S367" s="6"/>
      <c r="T367" s="6"/>
      <c r="U367" s="6"/>
      <c r="V367" s="138" t="s">
        <v>4221</v>
      </c>
      <c r="W367" s="6"/>
      <c r="X367" s="59"/>
      <c r="Y367" s="59"/>
      <c r="Z367" s="6"/>
      <c r="AA367" s="6"/>
      <c r="AB367" s="6"/>
      <c r="AC367" s="6"/>
      <c r="AD367" s="28"/>
    </row>
    <row r="368" spans="1:37" s="9" customFormat="1" x14ac:dyDescent="0.2">
      <c r="B368" s="312" t="s">
        <v>4005</v>
      </c>
      <c r="C368" s="16" t="s">
        <v>4236</v>
      </c>
      <c r="D368" s="7" t="s">
        <v>4241</v>
      </c>
      <c r="E368" s="7"/>
      <c r="F368" s="6" t="s">
        <v>4242</v>
      </c>
      <c r="G368" s="6" t="s">
        <v>1173</v>
      </c>
      <c r="H368" s="17">
        <v>9471.1200000000008</v>
      </c>
      <c r="I368" s="39"/>
      <c r="J368" s="7">
        <v>37890</v>
      </c>
      <c r="K368" s="7"/>
      <c r="L368" s="23">
        <f>60+J368</f>
        <v>37950</v>
      </c>
      <c r="M368" s="18" t="s">
        <v>4147</v>
      </c>
      <c r="N368" s="6" t="s">
        <v>42</v>
      </c>
      <c r="O368" s="6"/>
      <c r="P368" s="6"/>
      <c r="Q368" s="6"/>
      <c r="R368" s="6"/>
      <c r="S368" s="23">
        <v>38009</v>
      </c>
      <c r="T368" s="23">
        <v>38018</v>
      </c>
      <c r="U368" s="23"/>
      <c r="V368" s="6" t="s">
        <v>4258</v>
      </c>
      <c r="W368" s="6">
        <v>954</v>
      </c>
      <c r="X368" s="59"/>
      <c r="Y368" s="59"/>
      <c r="Z368" s="6">
        <v>6642683154</v>
      </c>
      <c r="AA368" s="6"/>
      <c r="AB368" s="6"/>
      <c r="AC368" s="6"/>
      <c r="AD368" s="28"/>
    </row>
    <row r="369" spans="2:30" s="9" customFormat="1" ht="12" thickBot="1" x14ac:dyDescent="0.25">
      <c r="B369" s="313"/>
      <c r="C369" s="19"/>
      <c r="D369" s="5"/>
      <c r="E369" s="5"/>
      <c r="F369" s="5"/>
      <c r="G369" s="5"/>
      <c r="H369" s="105"/>
      <c r="I369" s="21"/>
      <c r="J369" s="5"/>
      <c r="K369" s="5"/>
      <c r="L369" s="27"/>
      <c r="M369" s="5"/>
      <c r="N369" s="5"/>
      <c r="O369" s="5"/>
      <c r="P369" s="5"/>
      <c r="Q369" s="5"/>
      <c r="R369" s="5"/>
      <c r="S369" s="27"/>
      <c r="T369" s="19" t="s">
        <v>4259</v>
      </c>
      <c r="U369" s="19"/>
      <c r="V369" s="224"/>
      <c r="W369" s="5"/>
      <c r="X369" s="61"/>
      <c r="Y369" s="61"/>
      <c r="Z369" s="5"/>
      <c r="AA369" s="5"/>
      <c r="AB369" s="5"/>
      <c r="AC369" s="5"/>
      <c r="AD369" s="28"/>
    </row>
    <row r="370" spans="2:30" s="9" customFormat="1" x14ac:dyDescent="0.2">
      <c r="B370" s="312"/>
      <c r="C370" s="16"/>
      <c r="D370" s="7"/>
      <c r="E370" s="7"/>
      <c r="F370" s="6"/>
      <c r="G370" s="6"/>
      <c r="H370" s="17"/>
      <c r="I370" s="17"/>
      <c r="J370" s="7"/>
      <c r="K370" s="7"/>
      <c r="L370" s="23"/>
      <c r="M370" s="6"/>
      <c r="N370" s="6"/>
      <c r="O370" s="6"/>
      <c r="P370" s="6"/>
      <c r="Q370" s="6"/>
      <c r="R370" s="6"/>
      <c r="S370" s="6"/>
      <c r="T370" s="6"/>
      <c r="U370" s="6"/>
      <c r="V370" s="138"/>
      <c r="W370" s="6"/>
      <c r="X370" s="59"/>
      <c r="Y370" s="59"/>
      <c r="Z370" s="6"/>
      <c r="AA370" s="6"/>
      <c r="AB370" s="6"/>
      <c r="AC370" s="6"/>
      <c r="AD370" s="28"/>
    </row>
    <row r="371" spans="2:30" s="9" customFormat="1" x14ac:dyDescent="0.2">
      <c r="B371" s="312" t="s">
        <v>4005</v>
      </c>
      <c r="C371" s="16" t="s">
        <v>4236</v>
      </c>
      <c r="D371" s="7" t="s">
        <v>4246</v>
      </c>
      <c r="E371" s="7"/>
      <c r="F371" s="6" t="s">
        <v>4247</v>
      </c>
      <c r="G371" s="6" t="s">
        <v>1173</v>
      </c>
      <c r="H371" s="17">
        <v>33688.32</v>
      </c>
      <c r="I371" s="39"/>
      <c r="J371" s="7">
        <v>37931</v>
      </c>
      <c r="K371" s="7"/>
      <c r="L371" s="23">
        <f>+J371+60</f>
        <v>37991</v>
      </c>
      <c r="M371" s="18" t="s">
        <v>4147</v>
      </c>
      <c r="N371" s="6" t="s">
        <v>42</v>
      </c>
      <c r="O371" s="6"/>
      <c r="P371" s="6"/>
      <c r="Q371" s="6"/>
      <c r="R371" s="6"/>
      <c r="S371" s="23">
        <v>38009</v>
      </c>
      <c r="T371" s="23">
        <v>38018</v>
      </c>
      <c r="U371" s="23"/>
      <c r="V371" s="6" t="s">
        <v>597</v>
      </c>
      <c r="W371" s="6">
        <v>954</v>
      </c>
      <c r="X371" s="59"/>
      <c r="Y371" s="59"/>
      <c r="Z371" s="6">
        <v>6642683154</v>
      </c>
      <c r="AA371" s="6"/>
      <c r="AB371" s="6"/>
      <c r="AC371" s="6"/>
      <c r="AD371" s="30" t="str">
        <f>IF(O371&lt;=L371,"en término","atrasado")</f>
        <v>en término</v>
      </c>
    </row>
    <row r="372" spans="2:30" s="9" customFormat="1" ht="12" thickBot="1" x14ac:dyDescent="0.25">
      <c r="B372" s="313"/>
      <c r="C372" s="19"/>
      <c r="D372" s="5"/>
      <c r="E372" s="5"/>
      <c r="F372" s="5"/>
      <c r="G372" s="5"/>
      <c r="H372" s="105"/>
      <c r="I372" s="21"/>
      <c r="J372" s="5"/>
      <c r="K372" s="5"/>
      <c r="L372" s="27"/>
      <c r="M372" s="5"/>
      <c r="N372" s="5"/>
      <c r="O372" s="5"/>
      <c r="P372" s="5"/>
      <c r="Q372" s="5"/>
      <c r="R372" s="5"/>
      <c r="S372" s="27"/>
      <c r="T372" s="19" t="s">
        <v>4259</v>
      </c>
      <c r="U372" s="19"/>
      <c r="V372" s="224"/>
      <c r="W372" s="5"/>
      <c r="X372" s="61"/>
      <c r="Y372" s="61"/>
      <c r="Z372" s="5"/>
      <c r="AA372" s="5"/>
      <c r="AB372" s="5"/>
      <c r="AC372" s="5"/>
      <c r="AD372" s="28"/>
    </row>
    <row r="373" spans="2:30" s="9" customFormat="1" x14ac:dyDescent="0.2">
      <c r="B373" s="312"/>
      <c r="C373" s="16"/>
      <c r="D373" s="7"/>
      <c r="E373" s="7"/>
      <c r="F373" s="6"/>
      <c r="G373" s="6"/>
      <c r="H373" s="17"/>
      <c r="I373" s="17"/>
      <c r="J373" s="7"/>
      <c r="K373" s="7"/>
      <c r="L373" s="23"/>
      <c r="M373" s="6"/>
      <c r="N373" s="6"/>
      <c r="O373" s="6"/>
      <c r="P373" s="6"/>
      <c r="Q373" s="6"/>
      <c r="R373" s="6"/>
      <c r="S373" s="6"/>
      <c r="T373" s="6"/>
      <c r="U373" s="6"/>
      <c r="V373" s="138"/>
      <c r="W373" s="6"/>
      <c r="X373" s="59"/>
      <c r="Y373" s="59"/>
      <c r="Z373" s="6"/>
      <c r="AA373" s="6"/>
      <c r="AB373" s="6"/>
      <c r="AC373" s="6"/>
      <c r="AD373" s="28"/>
    </row>
    <row r="374" spans="2:30" s="9" customFormat="1" x14ac:dyDescent="0.2">
      <c r="B374" s="312" t="s">
        <v>4005</v>
      </c>
      <c r="C374" s="16" t="s">
        <v>4236</v>
      </c>
      <c r="D374" s="7" t="s">
        <v>4260</v>
      </c>
      <c r="E374" s="7"/>
      <c r="F374" s="6" t="s">
        <v>4261</v>
      </c>
      <c r="G374" s="6" t="s">
        <v>1173</v>
      </c>
      <c r="H374" s="17">
        <v>8930.2000000000007</v>
      </c>
      <c r="I374" s="39"/>
      <c r="J374" s="7">
        <v>37965</v>
      </c>
      <c r="K374" s="7"/>
      <c r="L374" s="23">
        <f>+J374+60</f>
        <v>38025</v>
      </c>
      <c r="M374" s="18" t="s">
        <v>4147</v>
      </c>
      <c r="N374" s="6" t="s">
        <v>42</v>
      </c>
      <c r="O374" s="6"/>
      <c r="P374" s="6"/>
      <c r="Q374" s="6"/>
      <c r="R374" s="6"/>
      <c r="S374" s="23">
        <v>37644</v>
      </c>
      <c r="T374" s="23">
        <v>38018</v>
      </c>
      <c r="U374" s="23"/>
      <c r="V374" s="6" t="s">
        <v>597</v>
      </c>
      <c r="W374" s="6">
        <v>954</v>
      </c>
      <c r="X374" s="59"/>
      <c r="Y374" s="59"/>
      <c r="Z374" s="6">
        <v>6642683154</v>
      </c>
      <c r="AA374" s="6"/>
      <c r="AB374" s="6"/>
      <c r="AC374" s="6"/>
      <c r="AD374" s="30" t="str">
        <f>IF(O374&lt;=L374,"en término","atrasado")</f>
        <v>en término</v>
      </c>
    </row>
    <row r="375" spans="2:30" s="9" customFormat="1" ht="12" thickBot="1" x14ac:dyDescent="0.25">
      <c r="B375" s="313"/>
      <c r="C375" s="19"/>
      <c r="D375" s="5"/>
      <c r="E375" s="5"/>
      <c r="F375" s="5"/>
      <c r="G375" s="5"/>
      <c r="H375" s="105"/>
      <c r="I375" s="21"/>
      <c r="J375" s="5"/>
      <c r="K375" s="5"/>
      <c r="L375" s="27"/>
      <c r="M375" s="5"/>
      <c r="N375" s="5"/>
      <c r="O375" s="5"/>
      <c r="P375" s="5"/>
      <c r="Q375" s="5"/>
      <c r="R375" s="5"/>
      <c r="S375" s="27"/>
      <c r="T375" s="19" t="s">
        <v>4259</v>
      </c>
      <c r="U375" s="19"/>
      <c r="V375" s="224"/>
      <c r="W375" s="5"/>
      <c r="X375" s="61"/>
      <c r="Y375" s="61"/>
      <c r="Z375" s="5"/>
      <c r="AA375" s="5"/>
      <c r="AB375" s="5"/>
      <c r="AC375" s="5"/>
      <c r="AD375" s="28"/>
    </row>
    <row r="376" spans="2:30" s="9" customFormat="1" x14ac:dyDescent="0.2">
      <c r="B376" s="312"/>
      <c r="C376" s="16"/>
      <c r="D376" s="7"/>
      <c r="E376" s="7"/>
      <c r="F376" s="6"/>
      <c r="G376" s="6"/>
      <c r="H376" s="17"/>
      <c r="I376" s="17"/>
      <c r="J376" s="7"/>
      <c r="K376" s="7"/>
      <c r="L376" s="23"/>
      <c r="M376" s="6"/>
      <c r="N376" s="6"/>
      <c r="O376" s="6"/>
      <c r="P376" s="6"/>
      <c r="Q376" s="6"/>
      <c r="R376" s="6"/>
      <c r="S376" s="6"/>
      <c r="T376" s="6"/>
      <c r="U376" s="6"/>
      <c r="V376" s="138"/>
      <c r="W376" s="6"/>
      <c r="X376" s="59"/>
      <c r="Y376" s="59"/>
      <c r="Z376" s="6"/>
      <c r="AA376" s="6"/>
      <c r="AB376" s="6"/>
      <c r="AC376" s="6"/>
      <c r="AD376" s="28"/>
    </row>
    <row r="377" spans="2:30" s="9" customFormat="1" x14ac:dyDescent="0.2">
      <c r="B377" s="312" t="s">
        <v>4005</v>
      </c>
      <c r="C377" s="16" t="s">
        <v>4236</v>
      </c>
      <c r="D377" s="7" t="s">
        <v>4251</v>
      </c>
      <c r="E377" s="7"/>
      <c r="F377" s="6" t="s">
        <v>4252</v>
      </c>
      <c r="G377" s="6" t="s">
        <v>1173</v>
      </c>
      <c r="H377" s="17">
        <v>14607.8</v>
      </c>
      <c r="I377" s="39"/>
      <c r="J377" s="7">
        <v>37964</v>
      </c>
      <c r="K377" s="7"/>
      <c r="L377" s="23">
        <f>+J377+60</f>
        <v>38024</v>
      </c>
      <c r="M377" s="18" t="s">
        <v>4147</v>
      </c>
      <c r="N377" s="6" t="s">
        <v>42</v>
      </c>
      <c r="O377" s="6"/>
      <c r="P377" s="6"/>
      <c r="Q377" s="6"/>
      <c r="R377" s="6"/>
      <c r="S377" s="23">
        <v>37644</v>
      </c>
      <c r="T377" s="23">
        <v>38018</v>
      </c>
      <c r="U377" s="23"/>
      <c r="V377" s="6" t="s">
        <v>597</v>
      </c>
      <c r="W377" s="6">
        <v>954</v>
      </c>
      <c r="X377" s="59"/>
      <c r="Y377" s="59"/>
      <c r="Z377" s="6">
        <v>6642683154</v>
      </c>
      <c r="AA377" s="6"/>
      <c r="AB377" s="6"/>
      <c r="AC377" s="6"/>
      <c r="AD377" s="30" t="str">
        <f>IF(O377&lt;=L377,"en término","atrasado")</f>
        <v>en término</v>
      </c>
    </row>
    <row r="378" spans="2:30" s="9" customFormat="1" ht="12" thickBot="1" x14ac:dyDescent="0.25">
      <c r="B378" s="313"/>
      <c r="C378" s="19"/>
      <c r="D378" s="5"/>
      <c r="E378" s="5"/>
      <c r="F378" s="5"/>
      <c r="G378" s="5"/>
      <c r="H378" s="105"/>
      <c r="I378" s="21"/>
      <c r="J378" s="5"/>
      <c r="K378" s="5"/>
      <c r="L378" s="27"/>
      <c r="M378" s="5"/>
      <c r="N378" s="5"/>
      <c r="O378" s="5"/>
      <c r="P378" s="5"/>
      <c r="Q378" s="5"/>
      <c r="R378" s="5"/>
      <c r="S378" s="27"/>
      <c r="T378" s="19" t="s">
        <v>4259</v>
      </c>
      <c r="U378" s="19"/>
      <c r="V378" s="224"/>
      <c r="W378" s="5"/>
      <c r="X378" s="61"/>
      <c r="Y378" s="61"/>
      <c r="Z378" s="5"/>
      <c r="AA378" s="5"/>
      <c r="AB378" s="5"/>
      <c r="AC378" s="5"/>
      <c r="AD378" s="28"/>
    </row>
    <row r="379" spans="2:30" s="9" customFormat="1" x14ac:dyDescent="0.2">
      <c r="B379" s="312"/>
      <c r="C379" s="16"/>
      <c r="D379" s="7"/>
      <c r="E379" s="7"/>
      <c r="F379" s="6"/>
      <c r="G379" s="6"/>
      <c r="H379" s="17"/>
      <c r="I379" s="17"/>
      <c r="J379" s="7"/>
      <c r="K379" s="7"/>
      <c r="L379" s="23"/>
      <c r="M379" s="6"/>
      <c r="N379" s="6"/>
      <c r="O379" s="6"/>
      <c r="P379" s="6"/>
      <c r="Q379" s="6"/>
      <c r="R379" s="6"/>
      <c r="S379" s="6" t="s">
        <v>4262</v>
      </c>
      <c r="T379" s="6"/>
      <c r="U379" s="6"/>
      <c r="V379" s="138" t="s">
        <v>1102</v>
      </c>
      <c r="W379" s="6"/>
      <c r="X379" s="59"/>
      <c r="Y379" s="59"/>
      <c r="Z379" s="6"/>
      <c r="AA379" s="6"/>
      <c r="AB379" s="6"/>
      <c r="AC379" s="6"/>
      <c r="AD379" s="28"/>
    </row>
    <row r="380" spans="2:30" s="9" customFormat="1" x14ac:dyDescent="0.2">
      <c r="B380" s="312" t="s">
        <v>4005</v>
      </c>
      <c r="C380" s="16" t="s">
        <v>4236</v>
      </c>
      <c r="D380" s="7" t="s">
        <v>4251</v>
      </c>
      <c r="E380" s="7"/>
      <c r="F380" s="6" t="s">
        <v>4252</v>
      </c>
      <c r="G380" s="6" t="s">
        <v>1173</v>
      </c>
      <c r="H380" s="17">
        <v>6478.2</v>
      </c>
      <c r="I380" s="39"/>
      <c r="J380" s="7">
        <v>37964</v>
      </c>
      <c r="K380" s="7"/>
      <c r="L380" s="23">
        <f>+J380+60</f>
        <v>38024</v>
      </c>
      <c r="M380" s="18" t="s">
        <v>4147</v>
      </c>
      <c r="N380" s="6" t="s">
        <v>42</v>
      </c>
      <c r="O380" s="6"/>
      <c r="P380" s="6"/>
      <c r="Q380" s="6"/>
      <c r="R380" s="6"/>
      <c r="S380" s="23" t="s">
        <v>3846</v>
      </c>
      <c r="T380" s="23"/>
      <c r="U380" s="23"/>
      <c r="V380" s="6" t="s">
        <v>4254</v>
      </c>
      <c r="W380" s="6" t="s">
        <v>4263</v>
      </c>
      <c r="X380" s="59"/>
      <c r="Y380" s="59"/>
      <c r="Z380" s="6"/>
      <c r="AA380" s="6"/>
      <c r="AB380" s="6"/>
      <c r="AC380" s="6"/>
      <c r="AD380" s="28"/>
    </row>
    <row r="381" spans="2:30" s="9" customFormat="1" ht="12" thickBot="1" x14ac:dyDescent="0.25">
      <c r="B381" s="313"/>
      <c r="C381" s="19"/>
      <c r="D381" s="5"/>
      <c r="E381" s="5"/>
      <c r="F381" s="5"/>
      <c r="G381" s="5"/>
      <c r="H381" s="105"/>
      <c r="I381" s="21"/>
      <c r="J381" s="5"/>
      <c r="K381" s="5"/>
      <c r="L381" s="27"/>
      <c r="M381" s="5"/>
      <c r="N381" s="5"/>
      <c r="O381" s="5"/>
      <c r="P381" s="5"/>
      <c r="Q381" s="5"/>
      <c r="R381" s="5"/>
      <c r="S381" s="127"/>
      <c r="T381" s="19"/>
      <c r="U381" s="19"/>
      <c r="V381" s="224"/>
      <c r="W381" s="5"/>
      <c r="X381" s="61"/>
      <c r="Y381" s="61"/>
      <c r="Z381" s="5"/>
      <c r="AA381" s="5"/>
      <c r="AB381" s="5"/>
      <c r="AC381" s="5"/>
      <c r="AD381" s="28"/>
    </row>
    <row r="382" spans="2:30" s="9" customFormat="1" x14ac:dyDescent="0.2">
      <c r="B382" s="312"/>
      <c r="C382" s="16"/>
      <c r="D382" s="7"/>
      <c r="E382" s="7"/>
      <c r="F382" s="6"/>
      <c r="G382" s="6"/>
      <c r="H382" s="17"/>
      <c r="I382" s="17"/>
      <c r="J382" s="7"/>
      <c r="K382" s="7"/>
      <c r="L382" s="23"/>
      <c r="M382" s="6"/>
      <c r="N382" s="6"/>
      <c r="O382" s="6"/>
      <c r="P382" s="6"/>
      <c r="Q382" s="6"/>
      <c r="R382" s="6"/>
      <c r="S382" s="6" t="s">
        <v>4264</v>
      </c>
      <c r="T382" s="6"/>
      <c r="U382" s="6"/>
      <c r="V382" s="138" t="s">
        <v>1102</v>
      </c>
      <c r="W382" s="6"/>
      <c r="X382" s="59"/>
      <c r="Y382" s="59"/>
      <c r="Z382" s="6"/>
      <c r="AA382" s="6"/>
      <c r="AB382" s="6"/>
      <c r="AC382" s="6"/>
      <c r="AD382" s="28"/>
    </row>
    <row r="383" spans="2:30" s="9" customFormat="1" x14ac:dyDescent="0.2">
      <c r="B383" s="312" t="s">
        <v>4005</v>
      </c>
      <c r="C383" s="16" t="s">
        <v>4236</v>
      </c>
      <c r="D383" s="7" t="s">
        <v>4246</v>
      </c>
      <c r="E383" s="7"/>
      <c r="F383" s="6" t="s">
        <v>4247</v>
      </c>
      <c r="G383" s="6" t="s">
        <v>1173</v>
      </c>
      <c r="H383" s="17">
        <v>13810.75</v>
      </c>
      <c r="I383" s="39"/>
      <c r="J383" s="7">
        <v>37931</v>
      </c>
      <c r="K383" s="7"/>
      <c r="L383" s="23">
        <f>+J383+60</f>
        <v>37991</v>
      </c>
      <c r="M383" s="18" t="s">
        <v>4147</v>
      </c>
      <c r="N383" s="6" t="s">
        <v>42</v>
      </c>
      <c r="O383" s="6"/>
      <c r="P383" s="6"/>
      <c r="Q383" s="6"/>
      <c r="R383" s="6"/>
      <c r="S383" s="7" t="s">
        <v>4265</v>
      </c>
      <c r="T383" s="23">
        <v>38023</v>
      </c>
      <c r="U383" s="23"/>
      <c r="V383" s="6" t="s">
        <v>4266</v>
      </c>
      <c r="W383" s="6" t="s">
        <v>4267</v>
      </c>
      <c r="X383" s="59"/>
      <c r="Y383" s="59"/>
      <c r="Z383" s="6"/>
      <c r="AA383" s="6"/>
      <c r="AB383" s="6"/>
      <c r="AC383" s="6"/>
      <c r="AD383" s="28"/>
    </row>
    <row r="384" spans="2:30" s="9" customFormat="1" ht="12" thickBot="1" x14ac:dyDescent="0.25">
      <c r="B384" s="313"/>
      <c r="C384" s="19"/>
      <c r="D384" s="5"/>
      <c r="E384" s="5"/>
      <c r="F384" s="5"/>
      <c r="G384" s="5"/>
      <c r="H384" s="105"/>
      <c r="I384" s="21"/>
      <c r="J384" s="5"/>
      <c r="K384" s="5"/>
      <c r="L384" s="27"/>
      <c r="M384" s="5"/>
      <c r="N384" s="5"/>
      <c r="O384" s="5"/>
      <c r="P384" s="5"/>
      <c r="Q384" s="5"/>
      <c r="R384" s="5"/>
      <c r="S384" s="27"/>
      <c r="T384" s="19"/>
      <c r="U384" s="19"/>
      <c r="V384" s="224"/>
      <c r="W384" s="5"/>
      <c r="X384" s="61"/>
      <c r="Y384" s="61"/>
      <c r="Z384" s="5"/>
      <c r="AA384" s="5"/>
      <c r="AB384" s="5"/>
      <c r="AC384" s="5"/>
      <c r="AD384" s="28"/>
    </row>
    <row r="385" spans="2:30" s="9" customFormat="1" x14ac:dyDescent="0.2">
      <c r="B385" s="312"/>
      <c r="C385" s="16"/>
      <c r="D385" s="7"/>
      <c r="E385" s="7"/>
      <c r="F385" s="6"/>
      <c r="G385" s="6"/>
      <c r="H385" s="17"/>
      <c r="I385" s="17"/>
      <c r="J385" s="7"/>
      <c r="K385" s="7"/>
      <c r="L385" s="23"/>
      <c r="M385" s="6"/>
      <c r="N385" s="6"/>
      <c r="O385" s="6"/>
      <c r="P385" s="6"/>
      <c r="Q385" s="6"/>
      <c r="R385" s="6"/>
      <c r="S385" s="7"/>
      <c r="T385" s="6"/>
      <c r="U385" s="6"/>
      <c r="V385" s="138" t="s">
        <v>1102</v>
      </c>
      <c r="W385" s="6"/>
      <c r="X385" s="59"/>
      <c r="Y385" s="59"/>
      <c r="Z385" s="6"/>
      <c r="AA385" s="6"/>
      <c r="AB385" s="6"/>
      <c r="AC385" s="6"/>
      <c r="AD385" s="28"/>
    </row>
    <row r="386" spans="2:30" s="9" customFormat="1" x14ac:dyDescent="0.2">
      <c r="B386" s="312" t="s">
        <v>4005</v>
      </c>
      <c r="C386" s="16" t="s">
        <v>4236</v>
      </c>
      <c r="D386" s="7" t="s">
        <v>4268</v>
      </c>
      <c r="E386" s="7"/>
      <c r="F386" s="6" t="s">
        <v>4269</v>
      </c>
      <c r="G386" s="6" t="s">
        <v>1173</v>
      </c>
      <c r="H386" s="17">
        <v>4022</v>
      </c>
      <c r="I386" s="39"/>
      <c r="J386" s="7">
        <v>38016</v>
      </c>
      <c r="K386" s="7"/>
      <c r="L386" s="23">
        <f>+J386+60</f>
        <v>38076</v>
      </c>
      <c r="M386" s="18" t="s">
        <v>4147</v>
      </c>
      <c r="N386" s="6" t="s">
        <v>42</v>
      </c>
      <c r="O386" s="6"/>
      <c r="P386" s="6"/>
      <c r="Q386" s="6"/>
      <c r="R386" s="6"/>
      <c r="S386" s="23">
        <v>38076</v>
      </c>
      <c r="T386" s="23"/>
      <c r="U386" s="23"/>
      <c r="V386" s="6" t="s">
        <v>4270</v>
      </c>
      <c r="W386" s="6" t="s">
        <v>4271</v>
      </c>
      <c r="X386" s="59"/>
      <c r="Y386" s="59"/>
      <c r="Z386" s="6"/>
      <c r="AA386" s="6"/>
      <c r="AB386" s="6"/>
      <c r="AC386" s="6"/>
      <c r="AD386" s="28"/>
    </row>
    <row r="387" spans="2:30" s="9" customFormat="1" ht="12" thickBot="1" x14ac:dyDescent="0.25">
      <c r="B387" s="313"/>
      <c r="C387" s="19"/>
      <c r="D387" s="5"/>
      <c r="E387" s="5"/>
      <c r="F387" s="5"/>
      <c r="G387" s="5"/>
      <c r="H387" s="105"/>
      <c r="I387" s="21"/>
      <c r="J387" s="5"/>
      <c r="K387" s="5"/>
      <c r="L387" s="27"/>
      <c r="M387" s="5"/>
      <c r="N387" s="5"/>
      <c r="O387" s="5"/>
      <c r="P387" s="5"/>
      <c r="Q387" s="5"/>
      <c r="R387" s="5"/>
      <c r="S387" s="27"/>
      <c r="T387" s="19"/>
      <c r="U387" s="19"/>
      <c r="V387" s="224"/>
      <c r="W387" s="5"/>
      <c r="X387" s="61"/>
      <c r="Y387" s="61"/>
      <c r="Z387" s="5"/>
      <c r="AA387" s="5"/>
      <c r="AB387" s="5"/>
      <c r="AC387" s="5"/>
      <c r="AD387" s="28"/>
    </row>
    <row r="388" spans="2:30" s="9" customFormat="1" x14ac:dyDescent="0.2">
      <c r="B388" s="312"/>
      <c r="C388" s="16"/>
      <c r="D388" s="7"/>
      <c r="E388" s="7"/>
      <c r="F388" s="6"/>
      <c r="G388" s="6"/>
      <c r="H388" s="17"/>
      <c r="I388" s="17"/>
      <c r="J388" s="7"/>
      <c r="K388" s="7"/>
      <c r="L388" s="23"/>
      <c r="M388" s="6"/>
      <c r="N388" s="6"/>
      <c r="O388" s="6"/>
      <c r="P388" s="6"/>
      <c r="Q388" s="6"/>
      <c r="R388" s="6"/>
      <c r="S388" s="7"/>
      <c r="T388" s="6"/>
      <c r="U388" s="6"/>
      <c r="V388" s="138" t="s">
        <v>1102</v>
      </c>
      <c r="W388" s="6"/>
      <c r="X388" s="59"/>
      <c r="Y388" s="59"/>
      <c r="Z388" s="6"/>
      <c r="AA388" s="6"/>
      <c r="AB388" s="6"/>
      <c r="AC388" s="6"/>
      <c r="AD388" s="28"/>
    </row>
    <row r="389" spans="2:30" s="9" customFormat="1" x14ac:dyDescent="0.2">
      <c r="B389" s="312" t="s">
        <v>4005</v>
      </c>
      <c r="C389" s="16" t="s">
        <v>4236</v>
      </c>
      <c r="D389" s="7" t="s">
        <v>4268</v>
      </c>
      <c r="E389" s="7"/>
      <c r="F389" s="6" t="s">
        <v>4269</v>
      </c>
      <c r="G389" s="6" t="s">
        <v>1173</v>
      </c>
      <c r="H389" s="17">
        <v>71358.850000000006</v>
      </c>
      <c r="I389" s="39"/>
      <c r="J389" s="7">
        <v>38016</v>
      </c>
      <c r="K389" s="7"/>
      <c r="L389" s="23">
        <f>+J389+60</f>
        <v>38076</v>
      </c>
      <c r="M389" s="18" t="s">
        <v>4147</v>
      </c>
      <c r="N389" s="6" t="s">
        <v>42</v>
      </c>
      <c r="O389" s="6"/>
      <c r="P389" s="6"/>
      <c r="Q389" s="6"/>
      <c r="R389" s="6"/>
      <c r="S389" s="23">
        <v>38093</v>
      </c>
      <c r="T389" s="23">
        <v>38106</v>
      </c>
      <c r="U389" s="23"/>
      <c r="V389" s="6" t="s">
        <v>597</v>
      </c>
      <c r="W389" s="6" t="s">
        <v>4272</v>
      </c>
      <c r="X389" s="59"/>
      <c r="Y389" s="59"/>
      <c r="Z389" s="6"/>
      <c r="AA389" s="6"/>
      <c r="AB389" s="6"/>
      <c r="AC389" s="6"/>
      <c r="AD389" s="28"/>
    </row>
    <row r="390" spans="2:30" s="9" customFormat="1" ht="12" thickBot="1" x14ac:dyDescent="0.25">
      <c r="B390" s="313"/>
      <c r="C390" s="19"/>
      <c r="D390" s="5"/>
      <c r="E390" s="5"/>
      <c r="F390" s="5"/>
      <c r="G390" s="5"/>
      <c r="H390" s="105"/>
      <c r="I390" s="21"/>
      <c r="J390" s="5"/>
      <c r="K390" s="5"/>
      <c r="L390" s="27"/>
      <c r="M390" s="5"/>
      <c r="N390" s="5"/>
      <c r="O390" s="5"/>
      <c r="P390" s="5"/>
      <c r="Q390" s="5"/>
      <c r="R390" s="5"/>
      <c r="S390" s="27" t="s">
        <v>4273</v>
      </c>
      <c r="T390" s="19"/>
      <c r="U390" s="19"/>
      <c r="V390" s="224"/>
      <c r="W390" s="5"/>
      <c r="X390" s="61"/>
      <c r="Y390" s="61"/>
      <c r="Z390" s="5"/>
      <c r="AA390" s="5"/>
      <c r="AB390" s="5"/>
      <c r="AC390" s="5"/>
      <c r="AD390" s="28"/>
    </row>
    <row r="391" spans="2:30" s="9" customFormat="1" x14ac:dyDescent="0.2">
      <c r="B391" s="312"/>
      <c r="C391" s="16"/>
      <c r="D391" s="7"/>
      <c r="E391" s="7"/>
      <c r="F391" s="6"/>
      <c r="G391" s="6"/>
      <c r="H391" s="17"/>
      <c r="I391" s="17"/>
      <c r="J391" s="7"/>
      <c r="K391" s="7"/>
      <c r="L391" s="23"/>
      <c r="M391" s="6"/>
      <c r="N391" s="6"/>
      <c r="O391" s="6"/>
      <c r="P391" s="6"/>
      <c r="Q391" s="6"/>
      <c r="R391" s="6"/>
      <c r="S391" s="6"/>
      <c r="T391" s="6"/>
      <c r="U391" s="6"/>
      <c r="V391" s="138" t="s">
        <v>1102</v>
      </c>
      <c r="W391" s="6"/>
      <c r="X391" s="293"/>
      <c r="Y391" s="59"/>
      <c r="Z391" s="67"/>
      <c r="AA391" s="6"/>
      <c r="AB391" s="6"/>
      <c r="AC391" s="6"/>
      <c r="AD391" s="28"/>
    </row>
    <row r="392" spans="2:30" s="9" customFormat="1" x14ac:dyDescent="0.2">
      <c r="B392" s="312" t="s">
        <v>4005</v>
      </c>
      <c r="C392" s="16" t="s">
        <v>4236</v>
      </c>
      <c r="D392" s="7" t="s">
        <v>4274</v>
      </c>
      <c r="E392" s="7"/>
      <c r="F392" s="6" t="s">
        <v>4275</v>
      </c>
      <c r="G392" s="6" t="s">
        <v>1173</v>
      </c>
      <c r="H392" s="17">
        <f>19785+39807.3+1238.3</f>
        <v>60830.600000000006</v>
      </c>
      <c r="I392" s="39"/>
      <c r="J392" s="7">
        <v>38083</v>
      </c>
      <c r="K392" s="7"/>
      <c r="L392" s="23">
        <f>+J392+60</f>
        <v>38143</v>
      </c>
      <c r="M392" s="18" t="s">
        <v>4147</v>
      </c>
      <c r="N392" s="6" t="s">
        <v>42</v>
      </c>
      <c r="O392" s="6"/>
      <c r="P392" s="6"/>
      <c r="Q392" s="6"/>
      <c r="R392" s="6"/>
      <c r="S392" s="23">
        <v>38093</v>
      </c>
      <c r="T392" s="23">
        <v>38106</v>
      </c>
      <c r="U392" s="23"/>
      <c r="V392" s="6" t="s">
        <v>597</v>
      </c>
      <c r="W392" s="6" t="s">
        <v>4276</v>
      </c>
      <c r="X392" s="293"/>
      <c r="Y392" s="59"/>
      <c r="Z392" s="67"/>
      <c r="AA392" s="6"/>
      <c r="AB392" s="6"/>
      <c r="AC392" s="6"/>
      <c r="AD392" s="28"/>
    </row>
    <row r="393" spans="2:30" s="9" customFormat="1" ht="12" thickBot="1" x14ac:dyDescent="0.25">
      <c r="B393" s="313"/>
      <c r="C393" s="19"/>
      <c r="D393" s="5"/>
      <c r="E393" s="5"/>
      <c r="F393" s="5"/>
      <c r="G393" s="5"/>
      <c r="H393" s="105"/>
      <c r="I393" s="21"/>
      <c r="J393" s="5"/>
      <c r="K393" s="5"/>
      <c r="L393" s="27"/>
      <c r="M393" s="5"/>
      <c r="N393" s="5"/>
      <c r="O393" s="5"/>
      <c r="P393" s="5"/>
      <c r="Q393" s="5"/>
      <c r="R393" s="5"/>
      <c r="S393" s="27"/>
      <c r="T393" s="19"/>
      <c r="U393" s="19"/>
      <c r="V393" s="295" t="s">
        <v>4277</v>
      </c>
      <c r="W393" s="5"/>
      <c r="X393" s="294"/>
      <c r="Y393" s="61"/>
      <c r="Z393" s="68"/>
      <c r="AA393" s="5"/>
      <c r="AB393" s="5"/>
      <c r="AC393" s="5"/>
      <c r="AD393" s="28"/>
    </row>
    <row r="394" spans="2:30" s="9" customFormat="1" x14ac:dyDescent="0.2">
      <c r="B394" s="312"/>
      <c r="C394" s="16"/>
      <c r="D394" s="7"/>
      <c r="E394" s="7"/>
      <c r="F394" s="6"/>
      <c r="G394" s="6"/>
      <c r="H394" s="17"/>
      <c r="I394" s="17"/>
      <c r="J394" s="7"/>
      <c r="K394" s="7"/>
      <c r="L394" s="23"/>
      <c r="M394" s="6"/>
      <c r="N394" s="6"/>
      <c r="O394" s="6"/>
      <c r="P394" s="6"/>
      <c r="Q394" s="6"/>
      <c r="R394" s="6"/>
      <c r="S394" s="7" t="s">
        <v>4112</v>
      </c>
      <c r="T394" s="6"/>
      <c r="U394" s="6"/>
      <c r="V394" s="138" t="s">
        <v>1102</v>
      </c>
      <c r="W394" s="6"/>
      <c r="X394" s="59"/>
      <c r="Y394" s="59"/>
      <c r="Z394" s="6"/>
      <c r="AA394" s="6"/>
      <c r="AB394" s="6"/>
      <c r="AC394" s="6"/>
      <c r="AD394" s="28"/>
    </row>
    <row r="395" spans="2:30" s="9" customFormat="1" x14ac:dyDescent="0.2">
      <c r="B395" s="312" t="s">
        <v>4005</v>
      </c>
      <c r="C395" s="16" t="s">
        <v>4236</v>
      </c>
      <c r="D395" s="7" t="s">
        <v>4268</v>
      </c>
      <c r="E395" s="7"/>
      <c r="F395" s="6" t="s">
        <v>4269</v>
      </c>
      <c r="G395" s="6" t="s">
        <v>1173</v>
      </c>
      <c r="H395" s="17">
        <v>71358.850000000006</v>
      </c>
      <c r="I395" s="39"/>
      <c r="J395" s="7">
        <v>38016</v>
      </c>
      <c r="K395" s="7"/>
      <c r="L395" s="23">
        <f>+J395+60</f>
        <v>38076</v>
      </c>
      <c r="M395" s="18" t="s">
        <v>4147</v>
      </c>
      <c r="N395" s="6" t="s">
        <v>42</v>
      </c>
      <c r="O395" s="6"/>
      <c r="P395" s="6"/>
      <c r="Q395" s="6"/>
      <c r="R395" s="6"/>
      <c r="S395" s="23">
        <v>38145</v>
      </c>
      <c r="T395" s="23">
        <v>38147</v>
      </c>
      <c r="U395" s="23"/>
      <c r="V395" s="6" t="s">
        <v>597</v>
      </c>
      <c r="W395" s="6" t="s">
        <v>4278</v>
      </c>
      <c r="X395" s="59"/>
      <c r="Y395" s="59"/>
      <c r="Z395" s="6"/>
      <c r="AA395" s="6"/>
      <c r="AB395" s="6"/>
      <c r="AC395" s="6"/>
      <c r="AD395" s="28"/>
    </row>
    <row r="396" spans="2:30" s="9" customFormat="1" ht="12" thickBot="1" x14ac:dyDescent="0.25">
      <c r="B396" s="313"/>
      <c r="C396" s="19"/>
      <c r="D396" s="5"/>
      <c r="E396" s="5"/>
      <c r="F396" s="5"/>
      <c r="G396" s="5"/>
      <c r="H396" s="105"/>
      <c r="I396" s="21"/>
      <c r="J396" s="5"/>
      <c r="K396" s="5"/>
      <c r="L396" s="27"/>
      <c r="M396" s="5"/>
      <c r="N396" s="5"/>
      <c r="O396" s="5"/>
      <c r="P396" s="5"/>
      <c r="Q396" s="5"/>
      <c r="R396" s="5"/>
      <c r="S396" s="27"/>
      <c r="T396" s="19"/>
      <c r="U396" s="19"/>
      <c r="V396" s="224"/>
      <c r="W396" s="5"/>
      <c r="X396" s="61"/>
      <c r="Y396" s="61"/>
      <c r="Z396" s="5"/>
      <c r="AA396" s="5"/>
      <c r="AB396" s="5"/>
      <c r="AC396" s="5"/>
      <c r="AD396" s="28"/>
    </row>
    <row r="397" spans="2:30" s="9" customFormat="1" x14ac:dyDescent="0.2">
      <c r="B397" s="312"/>
      <c r="C397" s="16"/>
      <c r="D397" s="7"/>
      <c r="E397" s="7"/>
      <c r="F397" s="6"/>
      <c r="G397" s="6"/>
      <c r="H397" s="17"/>
      <c r="I397" s="17"/>
      <c r="J397" s="7"/>
      <c r="K397" s="7"/>
      <c r="L397" s="23"/>
      <c r="M397" s="6"/>
      <c r="N397" s="6"/>
      <c r="O397" s="6"/>
      <c r="P397" s="6"/>
      <c r="Q397" s="6"/>
      <c r="R397" s="6"/>
      <c r="S397" s="7"/>
      <c r="T397" s="6"/>
      <c r="U397" s="6"/>
      <c r="V397" s="138" t="s">
        <v>1102</v>
      </c>
      <c r="W397" s="6"/>
      <c r="X397" s="59"/>
      <c r="Y397" s="59"/>
      <c r="Z397" s="6"/>
      <c r="AA397" s="6"/>
      <c r="AB397" s="6"/>
      <c r="AC397" s="6"/>
      <c r="AD397" s="28"/>
    </row>
    <row r="398" spans="2:30" s="9" customFormat="1" x14ac:dyDescent="0.2">
      <c r="B398" s="312" t="s">
        <v>4005</v>
      </c>
      <c r="C398" s="16" t="s">
        <v>4236</v>
      </c>
      <c r="D398" s="7" t="s">
        <v>4279</v>
      </c>
      <c r="E398" s="7"/>
      <c r="F398" s="6" t="s">
        <v>4280</v>
      </c>
      <c r="G398" s="6" t="s">
        <v>1173</v>
      </c>
      <c r="H398" s="17">
        <v>12293.55</v>
      </c>
      <c r="I398" s="39"/>
      <c r="J398" s="7">
        <v>38069</v>
      </c>
      <c r="K398" s="7"/>
      <c r="L398" s="23">
        <f>+J398+60</f>
        <v>38129</v>
      </c>
      <c r="M398" s="18" t="s">
        <v>4147</v>
      </c>
      <c r="N398" s="6" t="s">
        <v>42</v>
      </c>
      <c r="O398" s="6"/>
      <c r="P398" s="6"/>
      <c r="Q398" s="6"/>
      <c r="R398" s="6"/>
      <c r="S398" s="7" t="s">
        <v>4281</v>
      </c>
      <c r="T398" s="23">
        <v>38147</v>
      </c>
      <c r="U398" s="23"/>
      <c r="V398" s="6" t="s">
        <v>597</v>
      </c>
      <c r="W398" s="6" t="s">
        <v>4282</v>
      </c>
      <c r="X398" s="59"/>
      <c r="Y398" s="59"/>
      <c r="Z398" s="6"/>
      <c r="AA398" s="6"/>
      <c r="AB398" s="6"/>
      <c r="AC398" s="6"/>
      <c r="AD398" s="28"/>
    </row>
    <row r="399" spans="2:30" s="9" customFormat="1" ht="12" thickBot="1" x14ac:dyDescent="0.25">
      <c r="B399" s="313"/>
      <c r="C399" s="19"/>
      <c r="D399" s="5"/>
      <c r="E399" s="5"/>
      <c r="F399" s="5"/>
      <c r="G399" s="5"/>
      <c r="H399" s="105"/>
      <c r="I399" s="21"/>
      <c r="J399" s="5"/>
      <c r="K399" s="5"/>
      <c r="L399" s="27"/>
      <c r="M399" s="5"/>
      <c r="N399" s="5"/>
      <c r="O399" s="5"/>
      <c r="P399" s="5"/>
      <c r="Q399" s="5"/>
      <c r="R399" s="5"/>
      <c r="S399" s="27"/>
      <c r="T399" s="19"/>
      <c r="U399" s="19"/>
      <c r="V399" s="224"/>
      <c r="W399" s="5"/>
      <c r="X399" s="61"/>
      <c r="Y399" s="61"/>
      <c r="Z399" s="5"/>
      <c r="AA399" s="5"/>
      <c r="AB399" s="5"/>
      <c r="AC399" s="5"/>
      <c r="AD399" s="28"/>
    </row>
    <row r="400" spans="2:30" s="9" customFormat="1" x14ac:dyDescent="0.2">
      <c r="B400" s="312"/>
      <c r="C400" s="16"/>
      <c r="D400" s="7"/>
      <c r="E400" s="7"/>
      <c r="F400" s="6"/>
      <c r="G400" s="6"/>
      <c r="H400" s="17"/>
      <c r="I400" s="17"/>
      <c r="J400" s="7"/>
      <c r="K400" s="7"/>
      <c r="L400" s="23"/>
      <c r="M400" s="6"/>
      <c r="N400" s="6"/>
      <c r="O400" s="6"/>
      <c r="P400" s="6"/>
      <c r="Q400" s="6"/>
      <c r="R400" s="6"/>
      <c r="S400" s="7" t="s">
        <v>4112</v>
      </c>
      <c r="T400" s="6"/>
      <c r="U400" s="6"/>
      <c r="V400" s="138" t="s">
        <v>1102</v>
      </c>
      <c r="W400" s="6"/>
      <c r="X400" s="59"/>
      <c r="Y400" s="59"/>
      <c r="Z400" s="6"/>
      <c r="AA400" s="6"/>
      <c r="AB400" s="6"/>
      <c r="AC400" s="6"/>
      <c r="AD400" s="28"/>
    </row>
    <row r="401" spans="2:30" s="9" customFormat="1" x14ac:dyDescent="0.2">
      <c r="B401" s="312" t="s">
        <v>4005</v>
      </c>
      <c r="C401" s="16" t="s">
        <v>4236</v>
      </c>
      <c r="D401" s="7" t="s">
        <v>4283</v>
      </c>
      <c r="E401" s="7"/>
      <c r="F401" s="6" t="s">
        <v>4284</v>
      </c>
      <c r="G401" s="6" t="s">
        <v>1173</v>
      </c>
      <c r="H401" s="17">
        <v>42698</v>
      </c>
      <c r="I401" s="39"/>
      <c r="J401" s="7">
        <v>38093</v>
      </c>
      <c r="K401" s="7"/>
      <c r="L401" s="23">
        <f>+J401+60</f>
        <v>38153</v>
      </c>
      <c r="M401" s="18" t="s">
        <v>4147</v>
      </c>
      <c r="N401" s="6" t="s">
        <v>42</v>
      </c>
      <c r="O401" s="6"/>
      <c r="P401" s="6"/>
      <c r="Q401" s="6"/>
      <c r="R401" s="6"/>
      <c r="S401" s="7">
        <v>38128</v>
      </c>
      <c r="T401" s="23">
        <v>38149</v>
      </c>
      <c r="U401" s="23"/>
      <c r="V401" s="6" t="s">
        <v>597</v>
      </c>
      <c r="W401" s="6" t="s">
        <v>4285</v>
      </c>
      <c r="X401" s="59"/>
      <c r="Y401" s="59"/>
      <c r="Z401" s="6"/>
      <c r="AA401" s="6"/>
      <c r="AB401" s="6"/>
      <c r="AC401" s="6"/>
      <c r="AD401" s="28"/>
    </row>
    <row r="402" spans="2:30" s="9" customFormat="1" ht="12" thickBot="1" x14ac:dyDescent="0.25">
      <c r="B402" s="313"/>
      <c r="C402" s="19"/>
      <c r="D402" s="5"/>
      <c r="E402" s="5"/>
      <c r="F402" s="5"/>
      <c r="G402" s="5"/>
      <c r="H402" s="105"/>
      <c r="I402" s="21"/>
      <c r="J402" s="5"/>
      <c r="K402" s="5"/>
      <c r="L402" s="27"/>
      <c r="M402" s="5"/>
      <c r="N402" s="5"/>
      <c r="O402" s="5"/>
      <c r="P402" s="5"/>
      <c r="Q402" s="5"/>
      <c r="R402" s="5"/>
      <c r="S402" s="27"/>
      <c r="T402" s="19"/>
      <c r="U402" s="19"/>
      <c r="V402" s="224"/>
      <c r="W402" s="5"/>
      <c r="X402" s="61"/>
      <c r="Y402" s="61"/>
      <c r="Z402" s="5"/>
      <c r="AA402" s="5"/>
      <c r="AB402" s="5"/>
      <c r="AC402" s="5"/>
      <c r="AD402" s="28"/>
    </row>
    <row r="403" spans="2:30" s="9" customFormat="1" x14ac:dyDescent="0.2">
      <c r="B403" s="312"/>
      <c r="C403" s="16"/>
      <c r="D403" s="7"/>
      <c r="E403" s="7"/>
      <c r="F403" s="6"/>
      <c r="G403" s="6"/>
      <c r="H403" s="17"/>
      <c r="I403" s="17"/>
      <c r="J403" s="7"/>
      <c r="K403" s="7"/>
      <c r="L403" s="23"/>
      <c r="M403" s="6"/>
      <c r="N403" s="6"/>
      <c r="O403" s="6"/>
      <c r="P403" s="6"/>
      <c r="Q403" s="6"/>
      <c r="R403" s="6"/>
      <c r="S403" s="7"/>
      <c r="T403" s="6"/>
      <c r="U403" s="6"/>
      <c r="V403" s="138" t="s">
        <v>1102</v>
      </c>
      <c r="W403" s="6"/>
      <c r="X403" s="59"/>
      <c r="Y403" s="59"/>
      <c r="Z403" s="6"/>
      <c r="AA403" s="6"/>
      <c r="AB403" s="6"/>
      <c r="AC403" s="6"/>
      <c r="AD403" s="28"/>
    </row>
    <row r="404" spans="2:30" s="9" customFormat="1" x14ac:dyDescent="0.2">
      <c r="B404" s="312" t="s">
        <v>4005</v>
      </c>
      <c r="C404" s="16" t="s">
        <v>4236</v>
      </c>
      <c r="D404" s="7" t="s">
        <v>4268</v>
      </c>
      <c r="E404" s="7"/>
      <c r="F404" s="6" t="s">
        <v>4269</v>
      </c>
      <c r="G404" s="6" t="s">
        <v>1173</v>
      </c>
      <c r="H404" s="17">
        <v>71358.850000000006</v>
      </c>
      <c r="I404" s="39"/>
      <c r="J404" s="7">
        <v>38016</v>
      </c>
      <c r="K404" s="7"/>
      <c r="L404" s="23">
        <f>+J404+60</f>
        <v>38076</v>
      </c>
      <c r="M404" s="18" t="s">
        <v>4147</v>
      </c>
      <c r="N404" s="6" t="s">
        <v>42</v>
      </c>
      <c r="O404" s="6"/>
      <c r="P404" s="6"/>
      <c r="Q404" s="6"/>
      <c r="R404" s="6"/>
      <c r="S404" s="7">
        <v>38183</v>
      </c>
      <c r="T404" s="23">
        <v>38159</v>
      </c>
      <c r="U404" s="23"/>
      <c r="V404" s="6" t="s">
        <v>597</v>
      </c>
      <c r="W404" s="6" t="s">
        <v>4286</v>
      </c>
      <c r="X404" s="59"/>
      <c r="Y404" s="59"/>
      <c r="Z404" s="6"/>
      <c r="AA404" s="6"/>
      <c r="AB404" s="6"/>
      <c r="AC404" s="6"/>
      <c r="AD404" s="28"/>
    </row>
    <row r="405" spans="2:30" s="9" customFormat="1" ht="12" thickBot="1" x14ac:dyDescent="0.25">
      <c r="B405" s="313"/>
      <c r="C405" s="19"/>
      <c r="D405" s="5"/>
      <c r="E405" s="5"/>
      <c r="F405" s="5"/>
      <c r="G405" s="5"/>
      <c r="H405" s="105"/>
      <c r="I405" s="21"/>
      <c r="J405" s="5"/>
      <c r="K405" s="5"/>
      <c r="L405" s="27"/>
      <c r="M405" s="5"/>
      <c r="N405" s="5"/>
      <c r="O405" s="5"/>
      <c r="P405" s="5"/>
      <c r="Q405" s="5"/>
      <c r="R405" s="5"/>
      <c r="S405" s="27" t="s">
        <v>4287</v>
      </c>
      <c r="T405" s="19"/>
      <c r="U405" s="19"/>
      <c r="V405" s="224"/>
      <c r="W405" s="5"/>
      <c r="X405" s="61"/>
      <c r="Y405" s="61"/>
      <c r="Z405" s="5"/>
      <c r="AA405" s="5"/>
      <c r="AB405" s="5"/>
      <c r="AC405" s="5"/>
      <c r="AD405" s="28"/>
    </row>
    <row r="406" spans="2:30" s="9" customFormat="1" x14ac:dyDescent="0.2">
      <c r="B406" s="312"/>
      <c r="C406" s="16"/>
      <c r="D406" s="7"/>
      <c r="E406" s="7"/>
      <c r="F406" s="6"/>
      <c r="G406" s="6"/>
      <c r="H406" s="17"/>
      <c r="I406" s="17"/>
      <c r="J406" s="7"/>
      <c r="K406" s="7"/>
      <c r="L406" s="23"/>
      <c r="M406" s="6"/>
      <c r="N406" s="6"/>
      <c r="O406" s="6"/>
      <c r="P406" s="6"/>
      <c r="Q406" s="6"/>
      <c r="R406" s="6"/>
      <c r="S406" s="7"/>
      <c r="T406" s="6"/>
      <c r="U406" s="6"/>
      <c r="V406" s="138" t="s">
        <v>1102</v>
      </c>
      <c r="W406" s="6"/>
      <c r="X406" s="59"/>
      <c r="Y406" s="59"/>
      <c r="Z406" s="6"/>
      <c r="AA406" s="6"/>
      <c r="AB406" s="6"/>
      <c r="AC406" s="6"/>
      <c r="AD406" s="28"/>
    </row>
    <row r="407" spans="2:30" s="9" customFormat="1" x14ac:dyDescent="0.2">
      <c r="B407" s="312" t="s">
        <v>4005</v>
      </c>
      <c r="C407" s="16" t="s">
        <v>4236</v>
      </c>
      <c r="D407" s="7" t="s">
        <v>4283</v>
      </c>
      <c r="E407" s="7"/>
      <c r="F407" s="6" t="s">
        <v>4284</v>
      </c>
      <c r="G407" s="6" t="s">
        <v>1173</v>
      </c>
      <c r="H407" s="17">
        <v>42698</v>
      </c>
      <c r="I407" s="39"/>
      <c r="J407" s="7">
        <v>38093</v>
      </c>
      <c r="K407" s="7"/>
      <c r="L407" s="23">
        <f>+J407+60</f>
        <v>38153</v>
      </c>
      <c r="M407" s="18" t="s">
        <v>4147</v>
      </c>
      <c r="N407" s="6" t="s">
        <v>42</v>
      </c>
      <c r="O407" s="6"/>
      <c r="P407" s="6"/>
      <c r="Q407" s="6"/>
      <c r="R407" s="6"/>
      <c r="S407" s="7" t="s">
        <v>4288</v>
      </c>
      <c r="T407" s="23">
        <v>38159</v>
      </c>
      <c r="U407" s="23"/>
      <c r="V407" s="6" t="s">
        <v>597</v>
      </c>
      <c r="W407" s="6" t="s">
        <v>4289</v>
      </c>
      <c r="X407" s="59"/>
      <c r="Y407" s="59"/>
      <c r="Z407" s="6"/>
      <c r="AA407" s="6"/>
      <c r="AB407" s="6"/>
      <c r="AC407" s="6"/>
      <c r="AD407" s="28"/>
    </row>
    <row r="408" spans="2:30" s="9" customFormat="1" ht="12" thickBot="1" x14ac:dyDescent="0.25">
      <c r="B408" s="313"/>
      <c r="C408" s="19"/>
      <c r="D408" s="5"/>
      <c r="E408" s="5"/>
      <c r="F408" s="5"/>
      <c r="G408" s="5"/>
      <c r="H408" s="105"/>
      <c r="I408" s="21"/>
      <c r="J408" s="5"/>
      <c r="K408" s="5"/>
      <c r="L408" s="27"/>
      <c r="M408" s="5"/>
      <c r="N408" s="5"/>
      <c r="O408" s="5"/>
      <c r="P408" s="5"/>
      <c r="Q408" s="5"/>
      <c r="R408" s="5"/>
      <c r="S408" s="27"/>
      <c r="T408" s="19"/>
      <c r="U408" s="19"/>
      <c r="V408" s="224" t="s">
        <v>4290</v>
      </c>
      <c r="W408" s="5"/>
      <c r="X408" s="61"/>
      <c r="Y408" s="61"/>
      <c r="Z408" s="5"/>
      <c r="AA408" s="5"/>
      <c r="AB408" s="5"/>
      <c r="AC408" s="5"/>
      <c r="AD408" s="28"/>
    </row>
    <row r="409" spans="2:30" s="9" customFormat="1" x14ac:dyDescent="0.2">
      <c r="B409" s="312"/>
      <c r="C409" s="16"/>
      <c r="D409" s="7"/>
      <c r="E409" s="7"/>
      <c r="F409" s="6"/>
      <c r="G409" s="6"/>
      <c r="H409" s="17"/>
      <c r="I409" s="17"/>
      <c r="J409" s="7"/>
      <c r="K409" s="7"/>
      <c r="L409" s="23"/>
      <c r="M409" s="6"/>
      <c r="N409" s="6"/>
      <c r="O409" s="6" t="s">
        <v>4291</v>
      </c>
      <c r="P409" s="6"/>
      <c r="Q409" s="6"/>
      <c r="R409" s="6"/>
      <c r="S409" s="6" t="s">
        <v>4292</v>
      </c>
      <c r="T409" s="6"/>
      <c r="U409" s="6"/>
      <c r="V409" s="138" t="s">
        <v>4293</v>
      </c>
      <c r="W409" s="6"/>
      <c r="X409" s="293"/>
      <c r="Y409" s="6"/>
      <c r="Z409" s="67"/>
      <c r="AA409" s="6"/>
      <c r="AB409" s="6"/>
      <c r="AC409" s="6"/>
      <c r="AD409" s="28"/>
    </row>
    <row r="410" spans="2:30" s="9" customFormat="1" x14ac:dyDescent="0.2">
      <c r="B410" s="312" t="s">
        <v>4005</v>
      </c>
      <c r="C410" s="16" t="s">
        <v>4236</v>
      </c>
      <c r="D410" s="7" t="s">
        <v>4268</v>
      </c>
      <c r="E410" s="7"/>
      <c r="F410" s="6" t="s">
        <v>4269</v>
      </c>
      <c r="G410" s="6" t="s">
        <v>1173</v>
      </c>
      <c r="H410" s="17">
        <v>109859.95</v>
      </c>
      <c r="I410" s="39"/>
      <c r="J410" s="7">
        <v>38016</v>
      </c>
      <c r="K410" s="7"/>
      <c r="L410" s="23">
        <f>+J410+60</f>
        <v>38076</v>
      </c>
      <c r="M410" s="18" t="s">
        <v>4147</v>
      </c>
      <c r="N410" s="6" t="s">
        <v>42</v>
      </c>
      <c r="O410" s="23">
        <v>38133</v>
      </c>
      <c r="P410" s="23"/>
      <c r="Q410" s="23"/>
      <c r="R410" s="23"/>
      <c r="S410" s="23">
        <v>38163</v>
      </c>
      <c r="T410" s="23">
        <f>+S410+30</f>
        <v>38193</v>
      </c>
      <c r="U410" s="23"/>
      <c r="V410" s="6" t="s">
        <v>597</v>
      </c>
      <c r="W410" s="6">
        <v>972</v>
      </c>
      <c r="X410" s="293"/>
      <c r="Y410" s="138" t="s">
        <v>47</v>
      </c>
      <c r="Z410" s="67">
        <v>6657505853</v>
      </c>
      <c r="AA410" s="7">
        <v>38204</v>
      </c>
      <c r="AB410" s="6"/>
      <c r="AC410" s="6"/>
      <c r="AD410" s="30" t="str">
        <f>IF(O410&lt;=L410,"en término","atrasado")</f>
        <v>atrasado</v>
      </c>
    </row>
    <row r="411" spans="2:30" s="9" customFormat="1" ht="12" thickBot="1" x14ac:dyDescent="0.25">
      <c r="B411" s="313"/>
      <c r="C411" s="19"/>
      <c r="D411" s="5"/>
      <c r="E411" s="5"/>
      <c r="F411" s="5"/>
      <c r="G411" s="5"/>
      <c r="H411" s="105"/>
      <c r="I411" s="21"/>
      <c r="J411" s="5"/>
      <c r="K411" s="5"/>
      <c r="L411" s="27"/>
      <c r="M411" s="5"/>
      <c r="N411" s="5"/>
      <c r="O411" s="5"/>
      <c r="P411" s="5"/>
      <c r="Q411" s="5"/>
      <c r="R411" s="5"/>
      <c r="S411" s="27"/>
      <c r="T411" s="19"/>
      <c r="U411" s="19"/>
      <c r="V411" s="22" t="s">
        <v>4294</v>
      </c>
      <c r="W411" s="5"/>
      <c r="X411" s="294"/>
      <c r="Y411" s="5"/>
      <c r="Z411" s="68"/>
      <c r="AA411" s="5"/>
      <c r="AB411" s="5"/>
      <c r="AC411" s="5"/>
      <c r="AD411" s="28"/>
    </row>
    <row r="412" spans="2:30" s="9" customFormat="1" x14ac:dyDescent="0.2">
      <c r="B412" s="312"/>
      <c r="C412" s="16"/>
      <c r="D412" s="7"/>
      <c r="E412" s="7"/>
      <c r="F412" s="6"/>
      <c r="G412" s="6"/>
      <c r="H412" s="17"/>
      <c r="I412" s="17"/>
      <c r="J412" s="7"/>
      <c r="K412" s="7"/>
      <c r="L412" s="23"/>
      <c r="M412" s="6"/>
      <c r="N412" s="6"/>
      <c r="O412" s="6" t="s">
        <v>4291</v>
      </c>
      <c r="P412" s="6"/>
      <c r="Q412" s="6"/>
      <c r="R412" s="6"/>
      <c r="S412" s="6" t="s">
        <v>4292</v>
      </c>
      <c r="T412" s="6"/>
      <c r="U412" s="6"/>
      <c r="V412" s="138" t="s">
        <v>4293</v>
      </c>
      <c r="W412" s="6"/>
      <c r="X412" s="293"/>
      <c r="Y412" s="12"/>
      <c r="Z412" s="67"/>
      <c r="AA412" s="6"/>
      <c r="AB412" s="6"/>
      <c r="AC412" s="6"/>
      <c r="AD412" s="28"/>
    </row>
    <row r="413" spans="2:30" s="9" customFormat="1" x14ac:dyDescent="0.2">
      <c r="B413" s="312" t="s">
        <v>4005</v>
      </c>
      <c r="C413" s="16" t="s">
        <v>4236</v>
      </c>
      <c r="D413" s="7" t="s">
        <v>4279</v>
      </c>
      <c r="E413" s="7"/>
      <c r="F413" s="6" t="s">
        <v>4280</v>
      </c>
      <c r="G413" s="6" t="s">
        <v>1173</v>
      </c>
      <c r="H413" s="17">
        <v>7732.4</v>
      </c>
      <c r="I413" s="39"/>
      <c r="J413" s="7">
        <v>38069</v>
      </c>
      <c r="K413" s="7"/>
      <c r="L413" s="23">
        <f>+J413+60</f>
        <v>38129</v>
      </c>
      <c r="M413" s="18" t="s">
        <v>4147</v>
      </c>
      <c r="N413" s="6" t="s">
        <v>42</v>
      </c>
      <c r="O413" s="23">
        <v>38133</v>
      </c>
      <c r="P413" s="23"/>
      <c r="Q413" s="23"/>
      <c r="R413" s="23"/>
      <c r="S413" s="23">
        <v>38163</v>
      </c>
      <c r="T413" s="23">
        <f>+S413+30</f>
        <v>38193</v>
      </c>
      <c r="U413" s="23"/>
      <c r="V413" s="6" t="s">
        <v>597</v>
      </c>
      <c r="W413" s="6">
        <v>972</v>
      </c>
      <c r="X413" s="293"/>
      <c r="Y413" s="138" t="s">
        <v>47</v>
      </c>
      <c r="Z413" s="67">
        <v>6657505853</v>
      </c>
      <c r="AA413" s="7">
        <v>38204</v>
      </c>
      <c r="AB413" s="6"/>
      <c r="AC413" s="6"/>
      <c r="AD413" s="30" t="str">
        <f>IF(O413&lt;=L413,"en término","atrasado")</f>
        <v>atrasado</v>
      </c>
    </row>
    <row r="414" spans="2:30" s="9" customFormat="1" ht="12" thickBot="1" x14ac:dyDescent="0.25">
      <c r="B414" s="313"/>
      <c r="C414" s="19"/>
      <c r="D414" s="5"/>
      <c r="E414" s="5"/>
      <c r="F414" s="5"/>
      <c r="G414" s="5"/>
      <c r="H414" s="105"/>
      <c r="I414" s="21"/>
      <c r="J414" s="5"/>
      <c r="K414" s="5"/>
      <c r="L414" s="27"/>
      <c r="M414" s="5"/>
      <c r="N414" s="5"/>
      <c r="O414" s="5"/>
      <c r="P414" s="5"/>
      <c r="Q414" s="5"/>
      <c r="R414" s="5"/>
      <c r="S414" s="27"/>
      <c r="T414" s="19"/>
      <c r="U414" s="19"/>
      <c r="V414" s="22" t="s">
        <v>4294</v>
      </c>
      <c r="W414" s="5"/>
      <c r="X414" s="294"/>
      <c r="Y414" s="5"/>
      <c r="Z414" s="68"/>
      <c r="AA414" s="5"/>
      <c r="AB414" s="5"/>
      <c r="AC414" s="5"/>
      <c r="AD414" s="28"/>
    </row>
    <row r="415" spans="2:30" s="9" customFormat="1" x14ac:dyDescent="0.2">
      <c r="B415" s="312"/>
      <c r="C415" s="16"/>
      <c r="D415" s="7"/>
      <c r="E415" s="7"/>
      <c r="F415" s="6"/>
      <c r="G415" s="6"/>
      <c r="H415" s="17"/>
      <c r="I415" s="17"/>
      <c r="J415" s="7"/>
      <c r="K415" s="7"/>
      <c r="L415" s="23"/>
      <c r="M415" s="6"/>
      <c r="N415" s="6"/>
      <c r="O415" s="6"/>
      <c r="P415" s="6"/>
      <c r="Q415" s="6"/>
      <c r="R415" s="6"/>
      <c r="S415" s="6"/>
      <c r="T415" s="6"/>
      <c r="U415" s="6"/>
      <c r="V415" s="138" t="s">
        <v>1102</v>
      </c>
      <c r="W415" s="6"/>
      <c r="X415" s="293"/>
      <c r="Y415" s="59"/>
      <c r="Z415" s="67"/>
      <c r="AA415" s="6"/>
      <c r="AB415" s="6"/>
      <c r="AC415" s="6"/>
      <c r="AD415" s="28"/>
    </row>
    <row r="416" spans="2:30" s="9" customFormat="1" x14ac:dyDescent="0.2">
      <c r="B416" s="312" t="s">
        <v>4005</v>
      </c>
      <c r="C416" s="16" t="s">
        <v>4236</v>
      </c>
      <c r="D416" s="7" t="s">
        <v>4274</v>
      </c>
      <c r="E416" s="7"/>
      <c r="F416" s="6" t="s">
        <v>4275</v>
      </c>
      <c r="G416" s="6" t="s">
        <v>1173</v>
      </c>
      <c r="H416" s="17">
        <f>19785+39807.3+1238.3</f>
        <v>60830.600000000006</v>
      </c>
      <c r="I416" s="39"/>
      <c r="J416" s="7">
        <v>38083</v>
      </c>
      <c r="K416" s="7"/>
      <c r="L416" s="23">
        <f>+J416+60</f>
        <v>38143</v>
      </c>
      <c r="M416" s="18" t="s">
        <v>4147</v>
      </c>
      <c r="N416" s="6" t="s">
        <v>42</v>
      </c>
      <c r="O416" s="7">
        <v>38183</v>
      </c>
      <c r="P416" s="7"/>
      <c r="Q416" s="7"/>
      <c r="R416" s="7"/>
      <c r="S416" s="7">
        <v>38258</v>
      </c>
      <c r="T416" s="23">
        <v>38260</v>
      </c>
      <c r="U416" s="23"/>
      <c r="V416" s="6" t="s">
        <v>2239</v>
      </c>
      <c r="W416" s="6" t="s">
        <v>4295</v>
      </c>
      <c r="X416" s="293"/>
      <c r="Y416" s="59"/>
      <c r="Z416" s="67"/>
      <c r="AA416" s="6"/>
      <c r="AB416" s="6"/>
      <c r="AC416" s="6"/>
      <c r="AD416" s="28"/>
    </row>
    <row r="417" spans="1:30" s="9" customFormat="1" ht="12" thickBot="1" x14ac:dyDescent="0.25">
      <c r="B417" s="313"/>
      <c r="C417" s="19"/>
      <c r="D417" s="5"/>
      <c r="E417" s="5"/>
      <c r="F417" s="5"/>
      <c r="G417" s="5"/>
      <c r="H417" s="105"/>
      <c r="I417" s="21"/>
      <c r="J417" s="5"/>
      <c r="K417" s="5"/>
      <c r="L417" s="27"/>
      <c r="M417" s="5"/>
      <c r="N417" s="5"/>
      <c r="O417" s="5"/>
      <c r="P417" s="5"/>
      <c r="Q417" s="5"/>
      <c r="R417" s="5"/>
      <c r="S417" s="27"/>
      <c r="T417" s="19"/>
      <c r="U417" s="19"/>
      <c r="V417" s="224"/>
      <c r="W417" s="5"/>
      <c r="X417" s="294"/>
      <c r="Y417" s="61"/>
      <c r="Z417" s="68"/>
      <c r="AA417" s="5"/>
      <c r="AB417" s="5"/>
      <c r="AC417" s="5"/>
      <c r="AD417" s="28"/>
    </row>
    <row r="418" spans="1:30" s="9" customFormat="1" x14ac:dyDescent="0.2">
      <c r="B418" s="312"/>
      <c r="C418" s="16"/>
      <c r="D418" s="7"/>
      <c r="E418" s="7"/>
      <c r="F418" s="6"/>
      <c r="G418" s="6"/>
      <c r="H418" s="17"/>
      <c r="I418" s="17"/>
      <c r="J418" s="7"/>
      <c r="K418" s="7"/>
      <c r="L418" s="23"/>
      <c r="M418" s="6"/>
      <c r="N418" s="6"/>
      <c r="O418" s="6"/>
      <c r="P418" s="6"/>
      <c r="Q418" s="6"/>
      <c r="R418" s="6"/>
      <c r="S418" s="7"/>
      <c r="T418" s="6"/>
      <c r="U418" s="6"/>
      <c r="V418" s="138" t="s">
        <v>1102</v>
      </c>
      <c r="W418" s="6"/>
      <c r="X418" s="59"/>
      <c r="Y418" s="59"/>
      <c r="Z418" s="6"/>
      <c r="AA418" s="6"/>
      <c r="AB418" s="6"/>
      <c r="AC418" s="6"/>
      <c r="AD418" s="28"/>
    </row>
    <row r="419" spans="1:30" s="9" customFormat="1" x14ac:dyDescent="0.2">
      <c r="B419" s="312" t="s">
        <v>4005</v>
      </c>
      <c r="C419" s="16" t="s">
        <v>4236</v>
      </c>
      <c r="D419" s="7" t="s">
        <v>4283</v>
      </c>
      <c r="E419" s="7"/>
      <c r="F419" s="6" t="s">
        <v>4284</v>
      </c>
      <c r="G419" s="6" t="s">
        <v>1173</v>
      </c>
      <c r="H419" s="17">
        <v>42698</v>
      </c>
      <c r="I419" s="39"/>
      <c r="J419" s="7">
        <v>38093</v>
      </c>
      <c r="K419" s="7"/>
      <c r="L419" s="23">
        <f>+J419+60</f>
        <v>38153</v>
      </c>
      <c r="M419" s="18" t="s">
        <v>4147</v>
      </c>
      <c r="N419" s="6" t="s">
        <v>42</v>
      </c>
      <c r="O419" s="7">
        <v>38198</v>
      </c>
      <c r="P419" s="7"/>
      <c r="Q419" s="7"/>
      <c r="R419" s="7"/>
      <c r="S419" s="7">
        <v>38208</v>
      </c>
      <c r="T419" s="23"/>
      <c r="U419" s="23"/>
      <c r="V419" s="6" t="s">
        <v>597</v>
      </c>
      <c r="W419" s="6" t="s">
        <v>4296</v>
      </c>
      <c r="X419" s="59"/>
      <c r="Y419" s="59"/>
      <c r="Z419" s="6"/>
      <c r="AA419" s="6"/>
      <c r="AB419" s="6"/>
      <c r="AC419" s="6"/>
      <c r="AD419" s="28"/>
    </row>
    <row r="420" spans="1:30" s="9" customFormat="1" ht="12" thickBot="1" x14ac:dyDescent="0.25">
      <c r="B420" s="313"/>
      <c r="C420" s="19"/>
      <c r="D420" s="5"/>
      <c r="E420" s="5"/>
      <c r="F420" s="5"/>
      <c r="G420" s="5"/>
      <c r="H420" s="105"/>
      <c r="I420" s="21"/>
      <c r="J420" s="5"/>
      <c r="K420" s="5"/>
      <c r="L420" s="27"/>
      <c r="M420" s="5"/>
      <c r="N420" s="5"/>
      <c r="O420" s="27" t="s">
        <v>4297</v>
      </c>
      <c r="P420" s="27"/>
      <c r="Q420" s="27"/>
      <c r="R420" s="27"/>
      <c r="S420" s="27"/>
      <c r="T420" s="19"/>
      <c r="U420" s="19"/>
      <c r="V420" s="224"/>
      <c r="W420" s="5"/>
      <c r="X420" s="61"/>
      <c r="Y420" s="61"/>
      <c r="Z420" s="5"/>
      <c r="AA420" s="5"/>
      <c r="AB420" s="5"/>
      <c r="AC420" s="5"/>
      <c r="AD420" s="28"/>
    </row>
    <row r="421" spans="1:30" s="9" customFormat="1" x14ac:dyDescent="0.2">
      <c r="A421" s="328"/>
      <c r="B421" s="11"/>
      <c r="C421" s="11"/>
      <c r="D421" s="91"/>
      <c r="E421" s="91"/>
      <c r="F421" s="12"/>
      <c r="G421" s="12"/>
      <c r="H421" s="13"/>
      <c r="I421" s="13"/>
      <c r="J421" s="91"/>
      <c r="K421" s="91"/>
      <c r="L421" s="134"/>
      <c r="M421" s="12"/>
      <c r="N421" s="12"/>
      <c r="O421" s="12"/>
      <c r="P421" s="12"/>
      <c r="Q421" s="12"/>
      <c r="R421" s="12"/>
      <c r="S421" s="12" t="s">
        <v>4298</v>
      </c>
      <c r="T421" s="12"/>
      <c r="U421" s="12"/>
      <c r="V421" s="244" t="s">
        <v>4293</v>
      </c>
      <c r="W421" s="12"/>
      <c r="X421" s="329"/>
      <c r="Y421" s="12"/>
      <c r="Z421" s="94"/>
      <c r="AA421" s="12"/>
      <c r="AB421" s="12"/>
      <c r="AC421" s="12"/>
      <c r="AD421" s="28"/>
    </row>
    <row r="422" spans="1:30" s="9" customFormat="1" x14ac:dyDescent="0.2">
      <c r="A422" s="328"/>
      <c r="B422" s="16" t="s">
        <v>4005</v>
      </c>
      <c r="C422" s="16" t="s">
        <v>4236</v>
      </c>
      <c r="D422" s="7" t="s">
        <v>4274</v>
      </c>
      <c r="E422" s="7"/>
      <c r="F422" s="6" t="s">
        <v>4275</v>
      </c>
      <c r="G422" s="6" t="s">
        <v>4299</v>
      </c>
      <c r="H422" s="17">
        <f>85575.69-60831</f>
        <v>24744.690000000002</v>
      </c>
      <c r="I422" s="39" t="s">
        <v>4300</v>
      </c>
      <c r="J422" s="7">
        <v>38083</v>
      </c>
      <c r="K422" s="331">
        <v>70</v>
      </c>
      <c r="L422" s="23">
        <f>+J422+K422</f>
        <v>38153</v>
      </c>
      <c r="M422" s="18" t="s">
        <v>4147</v>
      </c>
      <c r="N422" s="6" t="s">
        <v>42</v>
      </c>
      <c r="O422" s="7">
        <v>38195</v>
      </c>
      <c r="P422" s="331">
        <f>IF(O422="","",+O422-L422)</f>
        <v>42</v>
      </c>
      <c r="Q422" s="331"/>
      <c r="R422" s="331"/>
      <c r="S422" s="175">
        <v>38211</v>
      </c>
      <c r="T422" s="175">
        <v>38248</v>
      </c>
      <c r="U422" s="331">
        <f>IF(T422="","",+T422-J422)</f>
        <v>165</v>
      </c>
      <c r="V422" s="6" t="s">
        <v>4301</v>
      </c>
      <c r="W422" s="6">
        <v>1009</v>
      </c>
      <c r="X422" s="293"/>
      <c r="Y422" s="138" t="s">
        <v>47</v>
      </c>
      <c r="Z422" s="67">
        <v>6657509111</v>
      </c>
      <c r="AA422" s="7" t="s">
        <v>47</v>
      </c>
      <c r="AB422" s="6"/>
      <c r="AC422" s="6"/>
      <c r="AD422" s="30" t="str">
        <f>IF(O422&lt;=L422,"en término","atrasado")</f>
        <v>atrasado</v>
      </c>
    </row>
    <row r="423" spans="1:30" s="9" customFormat="1" ht="12" thickBot="1" x14ac:dyDescent="0.25">
      <c r="A423" s="328"/>
      <c r="B423" s="19"/>
      <c r="C423" s="19"/>
      <c r="D423" s="5"/>
      <c r="E423" s="5"/>
      <c r="F423" s="5"/>
      <c r="G423" s="5"/>
      <c r="H423" s="105"/>
      <c r="I423" s="21"/>
      <c r="J423" s="5"/>
      <c r="K423" s="5"/>
      <c r="L423" s="27"/>
      <c r="M423" s="5"/>
      <c r="N423" s="5"/>
      <c r="O423" s="27"/>
      <c r="P423" s="27"/>
      <c r="Q423" s="27"/>
      <c r="R423" s="27"/>
      <c r="S423" s="5"/>
      <c r="T423" s="5"/>
      <c r="U423" s="5"/>
      <c r="V423" s="224"/>
      <c r="W423" s="5"/>
      <c r="X423" s="294"/>
      <c r="Y423" s="5"/>
      <c r="Z423" s="68"/>
      <c r="AA423" s="27">
        <v>38254</v>
      </c>
      <c r="AB423" s="5"/>
      <c r="AC423" s="5"/>
      <c r="AD423" s="28"/>
    </row>
    <row r="424" spans="1:30" s="9" customFormat="1" x14ac:dyDescent="0.2">
      <c r="A424" s="328"/>
      <c r="B424" s="16"/>
      <c r="C424" s="16"/>
      <c r="D424" s="7"/>
      <c r="E424" s="7"/>
      <c r="F424" s="6"/>
      <c r="G424" s="6"/>
      <c r="H424" s="17"/>
      <c r="I424" s="17"/>
      <c r="J424" s="7"/>
      <c r="K424" s="7"/>
      <c r="L424" s="23"/>
      <c r="M424" s="6"/>
      <c r="N424" s="6"/>
      <c r="O424" s="6"/>
      <c r="P424" s="6"/>
      <c r="Q424" s="6"/>
      <c r="R424" s="6"/>
      <c r="S424" s="6" t="s">
        <v>4298</v>
      </c>
      <c r="T424" s="6"/>
      <c r="U424" s="6"/>
      <c r="V424" s="138" t="s">
        <v>4293</v>
      </c>
      <c r="W424" s="6"/>
      <c r="X424" s="293"/>
      <c r="Y424" s="12"/>
      <c r="Z424" s="67"/>
      <c r="AA424" s="6"/>
      <c r="AB424" s="6"/>
      <c r="AC424" s="6"/>
      <c r="AD424" s="28"/>
    </row>
    <row r="425" spans="1:30" s="9" customFormat="1" x14ac:dyDescent="0.2">
      <c r="A425" s="328"/>
      <c r="B425" s="16" t="s">
        <v>4005</v>
      </c>
      <c r="C425" s="16" t="s">
        <v>4236</v>
      </c>
      <c r="D425" s="7" t="s">
        <v>4283</v>
      </c>
      <c r="E425" s="7"/>
      <c r="F425" s="6" t="s">
        <v>4284</v>
      </c>
      <c r="G425" s="6" t="s">
        <v>4299</v>
      </c>
      <c r="H425" s="17">
        <v>68552</v>
      </c>
      <c r="I425" s="39" t="s">
        <v>4300</v>
      </c>
      <c r="J425" s="7">
        <v>38093</v>
      </c>
      <c r="K425" s="331">
        <v>60</v>
      </c>
      <c r="L425" s="23">
        <f>+J425+K425</f>
        <v>38153</v>
      </c>
      <c r="M425" s="18" t="s">
        <v>4147</v>
      </c>
      <c r="N425" s="6" t="s">
        <v>42</v>
      </c>
      <c r="O425" s="7">
        <v>38195</v>
      </c>
      <c r="P425" s="331">
        <f>IF(O425="","",+O425-L425)</f>
        <v>42</v>
      </c>
      <c r="Q425" s="331"/>
      <c r="R425" s="331"/>
      <c r="S425" s="175">
        <v>38211</v>
      </c>
      <c r="T425" s="175">
        <v>38248</v>
      </c>
      <c r="U425" s="331">
        <f>IF(T425="","",+T425-J425)</f>
        <v>155</v>
      </c>
      <c r="V425" s="6" t="s">
        <v>4302</v>
      </c>
      <c r="W425" s="6">
        <v>1009</v>
      </c>
      <c r="X425" s="293"/>
      <c r="Y425" s="138" t="s">
        <v>47</v>
      </c>
      <c r="Z425" s="67">
        <v>6657509111</v>
      </c>
      <c r="AA425" s="7" t="s">
        <v>47</v>
      </c>
      <c r="AB425" s="6"/>
      <c r="AC425" s="6"/>
      <c r="AD425" s="30" t="str">
        <f>IF(O425&lt;=L425,"en término","atrasado")</f>
        <v>atrasado</v>
      </c>
    </row>
    <row r="426" spans="1:30" s="9" customFormat="1" ht="12" thickBot="1" x14ac:dyDescent="0.25">
      <c r="A426" s="328"/>
      <c r="B426" s="19"/>
      <c r="C426" s="19"/>
      <c r="D426" s="5"/>
      <c r="E426" s="5"/>
      <c r="F426" s="5"/>
      <c r="G426" s="5"/>
      <c r="H426" s="105"/>
      <c r="I426" s="21"/>
      <c r="J426" s="27"/>
      <c r="K426" s="27"/>
      <c r="L426" s="27"/>
      <c r="M426" s="5"/>
      <c r="N426" s="5"/>
      <c r="O426" s="27"/>
      <c r="P426" s="27"/>
      <c r="Q426" s="27"/>
      <c r="R426" s="27"/>
      <c r="S426" s="5"/>
      <c r="T426" s="5"/>
      <c r="U426" s="5"/>
      <c r="V426" s="224"/>
      <c r="W426" s="5"/>
      <c r="X426" s="294"/>
      <c r="Y426" s="5"/>
      <c r="Z426" s="68"/>
      <c r="AA426" s="27">
        <v>38254</v>
      </c>
      <c r="AB426" s="5"/>
      <c r="AC426" s="5"/>
      <c r="AD426" s="28"/>
    </row>
    <row r="427" spans="1:30" s="9" customFormat="1" x14ac:dyDescent="0.2">
      <c r="A427" s="328"/>
      <c r="B427" s="16"/>
      <c r="C427" s="16"/>
      <c r="D427" s="7"/>
      <c r="E427" s="7"/>
      <c r="F427" s="6"/>
      <c r="G427" s="6"/>
      <c r="H427" s="17"/>
      <c r="I427" s="17"/>
      <c r="J427" s="7"/>
      <c r="K427" s="7"/>
      <c r="L427" s="23"/>
      <c r="M427" s="6"/>
      <c r="N427" s="6"/>
      <c r="O427" s="6"/>
      <c r="P427" s="6"/>
      <c r="Q427" s="6"/>
      <c r="R427" s="6"/>
      <c r="S427" s="6" t="s">
        <v>4298</v>
      </c>
      <c r="T427" s="6"/>
      <c r="U427" s="6"/>
      <c r="V427" s="138" t="s">
        <v>4293</v>
      </c>
      <c r="W427" s="6"/>
      <c r="X427" s="293"/>
      <c r="Y427" s="12"/>
      <c r="Z427" s="67"/>
      <c r="AA427" s="6"/>
      <c r="AB427" s="6"/>
      <c r="AC427" s="6"/>
      <c r="AD427" s="28"/>
    </row>
    <row r="428" spans="1:30" s="9" customFormat="1" x14ac:dyDescent="0.2">
      <c r="A428" s="328"/>
      <c r="B428" s="16" t="s">
        <v>4005</v>
      </c>
      <c r="C428" s="16" t="s">
        <v>4236</v>
      </c>
      <c r="D428" s="7" t="s">
        <v>4303</v>
      </c>
      <c r="E428" s="7"/>
      <c r="F428" s="6" t="s">
        <v>4304</v>
      </c>
      <c r="G428" s="6" t="s">
        <v>4299</v>
      </c>
      <c r="H428" s="17">
        <v>2149.1999999999998</v>
      </c>
      <c r="I428" s="39" t="s">
        <v>4300</v>
      </c>
      <c r="J428" s="7">
        <v>38174</v>
      </c>
      <c r="K428" s="331">
        <v>90</v>
      </c>
      <c r="L428" s="23">
        <f>+J428+K428</f>
        <v>38264</v>
      </c>
      <c r="M428" s="18" t="s">
        <v>4147</v>
      </c>
      <c r="N428" s="6" t="s">
        <v>42</v>
      </c>
      <c r="O428" s="7">
        <v>38195</v>
      </c>
      <c r="P428" s="331">
        <f>IF(O428="","",+O428-L428)</f>
        <v>-69</v>
      </c>
      <c r="Q428" s="331"/>
      <c r="R428" s="331"/>
      <c r="S428" s="175">
        <v>38211</v>
      </c>
      <c r="T428" s="175">
        <v>38248</v>
      </c>
      <c r="U428" s="331">
        <f>IF(T428="","",+T428-J428)</f>
        <v>74</v>
      </c>
      <c r="V428" s="6" t="s">
        <v>4305</v>
      </c>
      <c r="W428" s="6">
        <v>1009</v>
      </c>
      <c r="X428" s="293"/>
      <c r="Y428" s="138" t="s">
        <v>47</v>
      </c>
      <c r="Z428" s="67">
        <v>6657509111</v>
      </c>
      <c r="AA428" s="7" t="s">
        <v>47</v>
      </c>
      <c r="AB428" s="6"/>
      <c r="AC428" s="6"/>
      <c r="AD428" s="30" t="str">
        <f>IF(O428&lt;=L428,"en término","atrasado")</f>
        <v>en término</v>
      </c>
    </row>
    <row r="429" spans="1:30" s="9" customFormat="1" ht="12" thickBot="1" x14ac:dyDescent="0.25">
      <c r="A429" s="328"/>
      <c r="B429" s="19"/>
      <c r="C429" s="19"/>
      <c r="D429" s="5"/>
      <c r="E429" s="5"/>
      <c r="F429" s="5"/>
      <c r="G429" s="5"/>
      <c r="H429" s="105"/>
      <c r="I429" s="21"/>
      <c r="J429" s="27"/>
      <c r="K429" s="27"/>
      <c r="L429" s="27"/>
      <c r="M429" s="5"/>
      <c r="N429" s="5"/>
      <c r="O429" s="5"/>
      <c r="P429" s="5"/>
      <c r="Q429" s="5"/>
      <c r="R429" s="5"/>
      <c r="S429" s="5"/>
      <c r="T429" s="5"/>
      <c r="U429" s="5"/>
      <c r="V429" s="5"/>
      <c r="W429" s="5"/>
      <c r="X429" s="294"/>
      <c r="Y429" s="5"/>
      <c r="Z429" s="68"/>
      <c r="AA429" s="27">
        <v>38254</v>
      </c>
      <c r="AB429" s="5"/>
      <c r="AC429" s="5"/>
      <c r="AD429" s="28"/>
    </row>
    <row r="430" spans="1:30" s="9" customFormat="1" x14ac:dyDescent="0.2">
      <c r="A430" s="328"/>
      <c r="B430" s="16"/>
      <c r="C430" s="16"/>
      <c r="D430" s="7"/>
      <c r="E430" s="7"/>
      <c r="F430" s="6"/>
      <c r="G430" s="6"/>
      <c r="H430" s="17"/>
      <c r="I430" s="17"/>
      <c r="J430" s="7"/>
      <c r="K430" s="7"/>
      <c r="L430" s="23"/>
      <c r="M430" s="6"/>
      <c r="N430" s="6"/>
      <c r="O430" s="6"/>
      <c r="P430" s="6"/>
      <c r="Q430" s="6"/>
      <c r="R430" s="6"/>
      <c r="S430" s="6"/>
      <c r="T430" s="6"/>
      <c r="U430" s="6"/>
      <c r="V430" s="138" t="s">
        <v>1102</v>
      </c>
      <c r="W430" s="6"/>
      <c r="X430" s="59"/>
      <c r="Y430" s="59"/>
      <c r="Z430" s="6"/>
      <c r="AA430" s="6"/>
      <c r="AB430" s="6"/>
      <c r="AC430" s="6"/>
      <c r="AD430" s="28"/>
    </row>
    <row r="431" spans="1:30" s="9" customFormat="1" x14ac:dyDescent="0.2">
      <c r="A431" s="328"/>
      <c r="B431" s="16" t="s">
        <v>4005</v>
      </c>
      <c r="C431" s="16" t="s">
        <v>4236</v>
      </c>
      <c r="D431" s="7" t="s">
        <v>4306</v>
      </c>
      <c r="E431" s="7"/>
      <c r="F431" s="6" t="s">
        <v>4307</v>
      </c>
      <c r="G431" s="6" t="s">
        <v>39</v>
      </c>
      <c r="H431" s="17">
        <v>1594.6</v>
      </c>
      <c r="I431" s="39"/>
      <c r="J431" s="7">
        <v>38211</v>
      </c>
      <c r="K431" s="331">
        <v>60</v>
      </c>
      <c r="L431" s="23">
        <f>+J431+K431</f>
        <v>38271</v>
      </c>
      <c r="M431" s="18" t="s">
        <v>4147</v>
      </c>
      <c r="N431" s="6" t="s">
        <v>110</v>
      </c>
      <c r="O431" s="7"/>
      <c r="P431" s="331">
        <f>IF(S431="","",+S431-L431)</f>
        <v>-47</v>
      </c>
      <c r="Q431" s="331"/>
      <c r="R431" s="331"/>
      <c r="S431" s="175">
        <v>38224</v>
      </c>
      <c r="T431" s="7">
        <v>38232</v>
      </c>
      <c r="U431" s="331">
        <f>IF(T431="","",+T431-J431)</f>
        <v>21</v>
      </c>
      <c r="V431" s="6" t="s">
        <v>4235</v>
      </c>
      <c r="W431" s="6" t="s">
        <v>4308</v>
      </c>
      <c r="X431" s="59"/>
      <c r="Y431" s="59"/>
      <c r="Z431" s="7"/>
      <c r="AA431" s="7" t="s">
        <v>47</v>
      </c>
      <c r="AB431" s="6"/>
      <c r="AC431" s="6"/>
      <c r="AD431" s="28"/>
    </row>
    <row r="432" spans="1:30" s="9" customFormat="1" ht="12" thickBot="1" x14ac:dyDescent="0.25">
      <c r="A432" s="328"/>
      <c r="B432" s="19"/>
      <c r="C432" s="19"/>
      <c r="D432" s="5"/>
      <c r="E432" s="5"/>
      <c r="F432" s="5"/>
      <c r="G432" s="5"/>
      <c r="H432" s="105"/>
      <c r="I432" s="21"/>
      <c r="J432" s="5"/>
      <c r="K432" s="5"/>
      <c r="L432" s="27"/>
      <c r="M432" s="5"/>
      <c r="N432" s="5"/>
      <c r="O432" s="19"/>
      <c r="P432" s="19"/>
      <c r="Q432" s="19"/>
      <c r="R432" s="19"/>
      <c r="S432" s="19"/>
      <c r="T432" s="19"/>
      <c r="U432" s="19"/>
      <c r="V432" s="224"/>
      <c r="W432" s="5"/>
      <c r="X432" s="61"/>
      <c r="Y432" s="61"/>
      <c r="Z432" s="5"/>
      <c r="AA432" s="27">
        <v>38252</v>
      </c>
      <c r="AB432" s="5"/>
      <c r="AC432" s="5"/>
      <c r="AD432" s="28"/>
    </row>
    <row r="433" spans="1:30" s="9" customFormat="1" x14ac:dyDescent="0.2">
      <c r="A433" s="328"/>
      <c r="B433" s="16"/>
      <c r="C433" s="16"/>
      <c r="D433" s="7"/>
      <c r="E433" s="7"/>
      <c r="F433" s="6"/>
      <c r="G433" s="6"/>
      <c r="H433" s="17"/>
      <c r="I433" s="17"/>
      <c r="J433" s="7"/>
      <c r="K433" s="7"/>
      <c r="L433" s="23"/>
      <c r="M433" s="6"/>
      <c r="N433" s="6"/>
      <c r="O433" s="6"/>
      <c r="P433" s="6"/>
      <c r="Q433" s="6"/>
      <c r="R433" s="6"/>
      <c r="S433" s="6" t="s">
        <v>4309</v>
      </c>
      <c r="T433" s="6"/>
      <c r="U433" s="6"/>
      <c r="V433" s="138" t="s">
        <v>4293</v>
      </c>
      <c r="W433" s="6"/>
      <c r="X433" s="293"/>
      <c r="Y433" s="12"/>
      <c r="Z433" s="67"/>
      <c r="AA433" s="6"/>
      <c r="AB433" s="6"/>
      <c r="AC433" s="6"/>
      <c r="AD433" s="28"/>
    </row>
    <row r="434" spans="1:30" s="9" customFormat="1" x14ac:dyDescent="0.2">
      <c r="A434" s="328"/>
      <c r="B434" s="16" t="s">
        <v>4005</v>
      </c>
      <c r="C434" s="16" t="s">
        <v>4236</v>
      </c>
      <c r="D434" s="7" t="s">
        <v>4310</v>
      </c>
      <c r="E434" s="7"/>
      <c r="F434" s="6" t="s">
        <v>4311</v>
      </c>
      <c r="G434" s="6" t="s">
        <v>4299</v>
      </c>
      <c r="H434" s="17">
        <v>47423.42</v>
      </c>
      <c r="I434" s="39" t="s">
        <v>4300</v>
      </c>
      <c r="J434" s="7">
        <v>38131</v>
      </c>
      <c r="K434" s="331">
        <v>90</v>
      </c>
      <c r="L434" s="23">
        <f>+J434+K434</f>
        <v>38221</v>
      </c>
      <c r="M434" s="18" t="s">
        <v>4147</v>
      </c>
      <c r="N434" s="6" t="s">
        <v>42</v>
      </c>
      <c r="O434" s="7">
        <v>38226</v>
      </c>
      <c r="P434" s="331">
        <f>IF(O434="","",+O434-L434)</f>
        <v>5</v>
      </c>
      <c r="Q434" s="331"/>
      <c r="R434" s="331"/>
      <c r="S434" s="175">
        <v>38238</v>
      </c>
      <c r="T434" s="175">
        <v>38257</v>
      </c>
      <c r="U434" s="331">
        <f>IF(T434="","",+T434-J434)</f>
        <v>126</v>
      </c>
      <c r="V434" s="6" t="s">
        <v>4312</v>
      </c>
      <c r="W434" s="6">
        <v>1027</v>
      </c>
      <c r="X434" s="293"/>
      <c r="Y434" s="138" t="s">
        <v>47</v>
      </c>
      <c r="Z434" s="67">
        <v>6657506203</v>
      </c>
      <c r="AA434" s="6" t="s">
        <v>47</v>
      </c>
      <c r="AB434" s="6"/>
      <c r="AC434" s="6"/>
      <c r="AD434" s="30" t="str">
        <f>IF(O434&lt;=L434,"en término","atrasado")</f>
        <v>atrasado</v>
      </c>
    </row>
    <row r="435" spans="1:30" s="9" customFormat="1" ht="12" thickBot="1" x14ac:dyDescent="0.25">
      <c r="A435" s="328"/>
      <c r="B435" s="19"/>
      <c r="C435" s="19"/>
      <c r="D435" s="5"/>
      <c r="E435" s="5"/>
      <c r="F435" s="5"/>
      <c r="G435" s="5"/>
      <c r="H435" s="105"/>
      <c r="I435" s="21"/>
      <c r="J435" s="27"/>
      <c r="K435" s="27"/>
      <c r="L435" s="27" t="s">
        <v>4313</v>
      </c>
      <c r="M435" s="5"/>
      <c r="N435" s="5"/>
      <c r="O435" s="19"/>
      <c r="P435" s="19"/>
      <c r="Q435" s="19"/>
      <c r="R435" s="19"/>
      <c r="S435" s="19"/>
      <c r="T435" s="19"/>
      <c r="U435" s="19"/>
      <c r="V435" s="224"/>
      <c r="W435" s="5"/>
      <c r="X435" s="294"/>
      <c r="Y435" s="5"/>
      <c r="Z435" s="68"/>
      <c r="AA435" s="5"/>
      <c r="AB435" s="5"/>
      <c r="AC435" s="5"/>
      <c r="AD435" s="28"/>
    </row>
    <row r="436" spans="1:30" s="9" customFormat="1" x14ac:dyDescent="0.2">
      <c r="A436" s="328"/>
      <c r="B436" s="16"/>
      <c r="C436" s="16"/>
      <c r="D436" s="7"/>
      <c r="E436" s="7"/>
      <c r="F436" s="6"/>
      <c r="G436" s="6"/>
      <c r="H436" s="17"/>
      <c r="I436" s="17"/>
      <c r="J436" s="7"/>
      <c r="K436" s="7"/>
      <c r="L436" s="23"/>
      <c r="M436" s="6"/>
      <c r="N436" s="6"/>
      <c r="O436" s="6"/>
      <c r="P436" s="6"/>
      <c r="Q436" s="6"/>
      <c r="R436" s="6"/>
      <c r="S436" s="6" t="s">
        <v>4309</v>
      </c>
      <c r="T436" s="6"/>
      <c r="U436" s="6"/>
      <c r="V436" s="138" t="s">
        <v>4293</v>
      </c>
      <c r="W436" s="6"/>
      <c r="X436" s="293"/>
      <c r="Y436" s="12"/>
      <c r="Z436" s="67"/>
      <c r="AA436" s="6"/>
      <c r="AB436" s="6"/>
      <c r="AC436" s="6"/>
      <c r="AD436" s="28"/>
    </row>
    <row r="437" spans="1:30" s="9" customFormat="1" x14ac:dyDescent="0.2">
      <c r="A437" s="328"/>
      <c r="B437" s="16" t="s">
        <v>4005</v>
      </c>
      <c r="C437" s="16" t="s">
        <v>4236</v>
      </c>
      <c r="D437" s="7" t="s">
        <v>4303</v>
      </c>
      <c r="E437" s="7"/>
      <c r="F437" s="6" t="s">
        <v>4314</v>
      </c>
      <c r="G437" s="6" t="s">
        <v>4299</v>
      </c>
      <c r="H437" s="17">
        <v>48434.3</v>
      </c>
      <c r="I437" s="39" t="s">
        <v>4300</v>
      </c>
      <c r="J437" s="7">
        <v>38133</v>
      </c>
      <c r="K437" s="331">
        <v>90</v>
      </c>
      <c r="L437" s="23">
        <f>+J437+K437</f>
        <v>38223</v>
      </c>
      <c r="M437" s="18" t="s">
        <v>4147</v>
      </c>
      <c r="N437" s="6" t="s">
        <v>42</v>
      </c>
      <c r="O437" s="7">
        <v>38226</v>
      </c>
      <c r="P437" s="331">
        <f>IF(O437="","",+O437-L437)</f>
        <v>3</v>
      </c>
      <c r="Q437" s="331"/>
      <c r="R437" s="331"/>
      <c r="S437" s="175">
        <v>38238</v>
      </c>
      <c r="T437" s="175">
        <v>38257</v>
      </c>
      <c r="U437" s="331">
        <f>IF(T437="","",+T437-J437)</f>
        <v>124</v>
      </c>
      <c r="V437" s="6" t="s">
        <v>4315</v>
      </c>
      <c r="W437" s="6">
        <v>1027</v>
      </c>
      <c r="X437" s="293"/>
      <c r="Y437" s="138" t="s">
        <v>47</v>
      </c>
      <c r="Z437" s="67">
        <v>6657506203</v>
      </c>
      <c r="AA437" s="6" t="s">
        <v>47</v>
      </c>
      <c r="AB437" s="6"/>
      <c r="AC437" s="6"/>
      <c r="AD437" s="30" t="str">
        <f>IF(O437&lt;=L437,"en término","atrasado")</f>
        <v>atrasado</v>
      </c>
    </row>
    <row r="438" spans="1:30" s="9" customFormat="1" ht="12" thickBot="1" x14ac:dyDescent="0.25">
      <c r="A438" s="328"/>
      <c r="B438" s="19"/>
      <c r="C438" s="19"/>
      <c r="D438" s="5"/>
      <c r="E438" s="5"/>
      <c r="F438" s="5"/>
      <c r="G438" s="5"/>
      <c r="H438" s="105"/>
      <c r="I438" s="21"/>
      <c r="J438" s="27"/>
      <c r="K438" s="27"/>
      <c r="L438" s="27">
        <f>+J437+150</f>
        <v>38283</v>
      </c>
      <c r="M438" s="5"/>
      <c r="N438" s="5"/>
      <c r="O438" s="19"/>
      <c r="P438" s="19"/>
      <c r="Q438" s="19"/>
      <c r="R438" s="19"/>
      <c r="S438" s="19"/>
      <c r="T438" s="19"/>
      <c r="U438" s="19"/>
      <c r="V438" s="5"/>
      <c r="W438" s="5"/>
      <c r="X438" s="294"/>
      <c r="Y438" s="5"/>
      <c r="Z438" s="68"/>
      <c r="AA438" s="5"/>
      <c r="AB438" s="5"/>
      <c r="AC438" s="5"/>
      <c r="AD438" s="28"/>
    </row>
    <row r="439" spans="1:30" s="9" customFormat="1" x14ac:dyDescent="0.2">
      <c r="A439" s="328"/>
      <c r="B439" s="16"/>
      <c r="C439" s="16"/>
      <c r="D439" s="7"/>
      <c r="E439" s="7"/>
      <c r="F439" s="6"/>
      <c r="G439" s="6"/>
      <c r="H439" s="17"/>
      <c r="I439" s="17"/>
      <c r="J439" s="7"/>
      <c r="K439" s="7"/>
      <c r="L439" s="23"/>
      <c r="M439" s="6"/>
      <c r="N439" s="6"/>
      <c r="O439" s="6"/>
      <c r="P439" s="6"/>
      <c r="Q439" s="6"/>
      <c r="R439" s="6"/>
      <c r="S439" s="6" t="s">
        <v>4316</v>
      </c>
      <c r="T439" s="6"/>
      <c r="U439" s="6"/>
      <c r="V439" s="138" t="s">
        <v>1102</v>
      </c>
      <c r="W439" s="6"/>
      <c r="X439" s="59"/>
      <c r="Y439" s="59"/>
      <c r="Z439" s="6"/>
      <c r="AA439" s="6"/>
      <c r="AB439" s="6"/>
      <c r="AC439" s="6"/>
      <c r="AD439" s="28"/>
    </row>
    <row r="440" spans="1:30" s="9" customFormat="1" x14ac:dyDescent="0.2">
      <c r="A440" s="328"/>
      <c r="B440" s="16" t="s">
        <v>4005</v>
      </c>
      <c r="C440" s="16" t="s">
        <v>4236</v>
      </c>
      <c r="D440" s="7" t="s">
        <v>4303</v>
      </c>
      <c r="E440" s="7"/>
      <c r="F440" s="6" t="s">
        <v>4314</v>
      </c>
      <c r="G440" s="6" t="s">
        <v>39</v>
      </c>
      <c r="H440" s="17">
        <v>15910.6</v>
      </c>
      <c r="I440" s="39"/>
      <c r="J440" s="7">
        <v>38133</v>
      </c>
      <c r="K440" s="331">
        <v>60</v>
      </c>
      <c r="L440" s="23">
        <f>+J440+K440</f>
        <v>38193</v>
      </c>
      <c r="M440" s="18" t="s">
        <v>4147</v>
      </c>
      <c r="N440" s="6" t="s">
        <v>110</v>
      </c>
      <c r="O440" s="7">
        <v>38257</v>
      </c>
      <c r="P440" s="331">
        <f>IF(S440="","",+S440-L440)</f>
        <v>89</v>
      </c>
      <c r="Q440" s="331"/>
      <c r="R440" s="331"/>
      <c r="S440" s="7">
        <v>38282</v>
      </c>
      <c r="T440" s="7">
        <v>38285</v>
      </c>
      <c r="U440" s="331">
        <f>IF(T440="","",+T440-J440)</f>
        <v>152</v>
      </c>
      <c r="V440" s="6" t="s">
        <v>597</v>
      </c>
      <c r="W440" s="6" t="s">
        <v>4317</v>
      </c>
      <c r="X440" s="59"/>
      <c r="Y440" s="59"/>
      <c r="Z440" s="6" t="s">
        <v>4318</v>
      </c>
      <c r="AA440" s="6" t="s">
        <v>47</v>
      </c>
      <c r="AB440" s="6"/>
      <c r="AC440" s="6"/>
      <c r="AD440" s="30" t="str">
        <f>IF(O440&lt;=L440,"en término","atrasado")</f>
        <v>atrasado</v>
      </c>
    </row>
    <row r="441" spans="1:30" s="9" customFormat="1" ht="12" thickBot="1" x14ac:dyDescent="0.25">
      <c r="A441" s="328"/>
      <c r="B441" s="19"/>
      <c r="C441" s="19"/>
      <c r="D441" s="5"/>
      <c r="E441" s="5"/>
      <c r="F441" s="5"/>
      <c r="G441" s="5"/>
      <c r="H441" s="105"/>
      <c r="I441" s="21"/>
      <c r="J441" s="5"/>
      <c r="K441" s="5"/>
      <c r="L441" s="27"/>
      <c r="M441" s="5"/>
      <c r="N441" s="5"/>
      <c r="O441" s="19"/>
      <c r="P441" s="19"/>
      <c r="Q441" s="19"/>
      <c r="R441" s="19"/>
      <c r="S441" s="19"/>
      <c r="T441" s="19"/>
      <c r="U441" s="19"/>
      <c r="V441" s="224"/>
      <c r="W441" s="5"/>
      <c r="X441" s="61"/>
      <c r="Y441" s="61"/>
      <c r="Z441" s="5"/>
      <c r="AA441" s="5"/>
      <c r="AB441" s="5"/>
      <c r="AC441" s="5"/>
      <c r="AD441" s="28"/>
    </row>
    <row r="442" spans="1:30" s="9" customFormat="1" x14ac:dyDescent="0.2">
      <c r="A442" s="328"/>
      <c r="B442" s="11"/>
      <c r="C442" s="16"/>
      <c r="D442" s="7"/>
      <c r="E442" s="7"/>
      <c r="F442" s="6"/>
      <c r="G442" s="6"/>
      <c r="H442" s="17"/>
      <c r="I442" s="17"/>
      <c r="J442" s="7"/>
      <c r="K442" s="7"/>
      <c r="L442" s="23"/>
      <c r="M442" s="6"/>
      <c r="N442" s="6"/>
      <c r="O442" s="6"/>
      <c r="P442" s="6"/>
      <c r="Q442" s="6"/>
      <c r="R442" s="6"/>
      <c r="S442" s="6"/>
      <c r="T442" s="6"/>
      <c r="U442" s="6"/>
      <c r="V442" s="138" t="s">
        <v>1102</v>
      </c>
      <c r="W442" s="6"/>
      <c r="X442" s="59"/>
      <c r="Y442" s="59"/>
      <c r="Z442" s="6" t="s">
        <v>4319</v>
      </c>
      <c r="AA442" s="6"/>
      <c r="AB442" s="6"/>
      <c r="AC442" s="6"/>
      <c r="AD442" s="28"/>
    </row>
    <row r="443" spans="1:30" s="9" customFormat="1" x14ac:dyDescent="0.2">
      <c r="A443" s="328"/>
      <c r="B443" s="16" t="s">
        <v>4005</v>
      </c>
      <c r="C443" s="16" t="s">
        <v>4236</v>
      </c>
      <c r="D443" s="7" t="s">
        <v>4310</v>
      </c>
      <c r="E443" s="7"/>
      <c r="F443" s="6" t="s">
        <v>4311</v>
      </c>
      <c r="G443" s="6" t="s">
        <v>39</v>
      </c>
      <c r="H443" s="17">
        <v>38390.5</v>
      </c>
      <c r="I443" s="39"/>
      <c r="J443" s="7">
        <v>38111</v>
      </c>
      <c r="K443" s="331">
        <v>60</v>
      </c>
      <c r="L443" s="23">
        <f>+J443+K443</f>
        <v>38171</v>
      </c>
      <c r="M443" s="18" t="s">
        <v>4147</v>
      </c>
      <c r="N443" s="6" t="s">
        <v>110</v>
      </c>
      <c r="O443" s="7">
        <v>38265</v>
      </c>
      <c r="P443" s="331">
        <f>IF(S443="","",+S443-L443)</f>
        <v>129</v>
      </c>
      <c r="Q443" s="331"/>
      <c r="R443" s="331"/>
      <c r="S443" s="7">
        <v>38300</v>
      </c>
      <c r="T443" s="7">
        <v>38302</v>
      </c>
      <c r="U443" s="331">
        <f>IF(T443="","",+T443-J443)</f>
        <v>191</v>
      </c>
      <c r="V443" s="6" t="s">
        <v>597</v>
      </c>
      <c r="W443" s="6" t="s">
        <v>4320</v>
      </c>
      <c r="X443" s="59"/>
      <c r="Y443" s="59"/>
      <c r="Z443" s="6" t="s">
        <v>4321</v>
      </c>
      <c r="AA443" s="6" t="s">
        <v>47</v>
      </c>
      <c r="AB443" s="6"/>
      <c r="AC443" s="6"/>
      <c r="AD443" s="30" t="str">
        <f>IF(O443&lt;=L443,"en término","atrasado")</f>
        <v>atrasado</v>
      </c>
    </row>
    <row r="444" spans="1:30" s="9" customFormat="1" ht="12" thickBot="1" x14ac:dyDescent="0.25">
      <c r="A444" s="328"/>
      <c r="B444" s="19"/>
      <c r="C444" s="19"/>
      <c r="D444" s="5"/>
      <c r="E444" s="5"/>
      <c r="F444" s="5"/>
      <c r="G444" s="5"/>
      <c r="H444" s="105"/>
      <c r="I444" s="21"/>
      <c r="J444" s="5"/>
      <c r="K444" s="5"/>
      <c r="L444" s="27"/>
      <c r="M444" s="5"/>
      <c r="N444" s="5"/>
      <c r="O444" s="19"/>
      <c r="P444" s="19"/>
      <c r="Q444" s="19"/>
      <c r="R444" s="19"/>
      <c r="S444" s="19"/>
      <c r="T444" s="19"/>
      <c r="U444" s="19"/>
      <c r="V444" s="224"/>
      <c r="W444" s="5"/>
      <c r="X444" s="61"/>
      <c r="Y444" s="61"/>
      <c r="Z444" s="5"/>
      <c r="AA444" s="27">
        <v>38303</v>
      </c>
      <c r="AB444" s="5"/>
      <c r="AC444" s="5"/>
      <c r="AD444" s="28"/>
    </row>
    <row r="445" spans="1:30" s="9" customFormat="1" x14ac:dyDescent="0.2">
      <c r="A445" s="328"/>
      <c r="B445" s="16"/>
      <c r="C445" s="16"/>
      <c r="D445" s="7"/>
      <c r="E445" s="7"/>
      <c r="F445" s="6"/>
      <c r="G445" s="6"/>
      <c r="H445" s="17"/>
      <c r="I445" s="17"/>
      <c r="J445" s="7"/>
      <c r="K445" s="7"/>
      <c r="L445" s="23"/>
      <c r="M445" s="6"/>
      <c r="N445" s="6"/>
      <c r="O445" s="6"/>
      <c r="P445" s="6"/>
      <c r="Q445" s="6"/>
      <c r="R445" s="6"/>
      <c r="S445" s="6" t="s">
        <v>4322</v>
      </c>
      <c r="T445" s="6"/>
      <c r="U445" s="6"/>
      <c r="V445" s="138" t="s">
        <v>4293</v>
      </c>
      <c r="W445" s="6"/>
      <c r="X445" s="293"/>
      <c r="Y445" s="6"/>
      <c r="Z445" s="67"/>
      <c r="AA445" s="6"/>
      <c r="AB445" s="6"/>
      <c r="AC445" s="6"/>
      <c r="AD445" s="28"/>
    </row>
    <row r="446" spans="1:30" s="9" customFormat="1" x14ac:dyDescent="0.2">
      <c r="A446" s="328"/>
      <c r="B446" s="16" t="s">
        <v>4005</v>
      </c>
      <c r="C446" s="16" t="s">
        <v>4236</v>
      </c>
      <c r="D446" s="7" t="s">
        <v>4274</v>
      </c>
      <c r="E446" s="7"/>
      <c r="F446" s="6" t="s">
        <v>4275</v>
      </c>
      <c r="G446" s="6" t="s">
        <v>4299</v>
      </c>
      <c r="H446" s="17">
        <f>85575.69-60831</f>
        <v>24744.690000000002</v>
      </c>
      <c r="I446" s="39" t="s">
        <v>4300</v>
      </c>
      <c r="J446" s="7">
        <v>38083</v>
      </c>
      <c r="K446" s="331">
        <v>70</v>
      </c>
      <c r="L446" s="23">
        <f>+J446+K446</f>
        <v>38153</v>
      </c>
      <c r="M446" s="18" t="s">
        <v>4147</v>
      </c>
      <c r="N446" s="6" t="s">
        <v>42</v>
      </c>
      <c r="O446" s="7">
        <v>38261</v>
      </c>
      <c r="P446" s="331">
        <f>IF(O446="","",+O446-L446)</f>
        <v>108</v>
      </c>
      <c r="Q446" s="331"/>
      <c r="R446" s="331"/>
      <c r="S446" s="175">
        <v>38271</v>
      </c>
      <c r="T446" s="7">
        <v>38303</v>
      </c>
      <c r="U446" s="331">
        <f>IF(T446="","",+T446-J446)</f>
        <v>220</v>
      </c>
      <c r="V446" s="6" t="s">
        <v>4323</v>
      </c>
      <c r="W446" s="6">
        <v>1038</v>
      </c>
      <c r="X446" s="293"/>
      <c r="Y446" s="138" t="s">
        <v>47</v>
      </c>
      <c r="Z446" s="67">
        <v>6657506166</v>
      </c>
      <c r="AA446" s="6" t="s">
        <v>47</v>
      </c>
      <c r="AB446" s="6"/>
      <c r="AC446" s="6"/>
      <c r="AD446" s="30" t="str">
        <f>IF(O446&lt;=L446,"en término","atrasado")</f>
        <v>atrasado</v>
      </c>
    </row>
    <row r="447" spans="1:30" s="9" customFormat="1" ht="12" thickBot="1" x14ac:dyDescent="0.25">
      <c r="A447" s="328"/>
      <c r="B447" s="19"/>
      <c r="C447" s="19"/>
      <c r="D447" s="5"/>
      <c r="E447" s="5"/>
      <c r="F447" s="5"/>
      <c r="G447" s="5"/>
      <c r="H447" s="105"/>
      <c r="I447" s="21"/>
      <c r="J447" s="5"/>
      <c r="K447" s="5"/>
      <c r="L447" s="27"/>
      <c r="M447" s="5"/>
      <c r="N447" s="5"/>
      <c r="O447" s="27"/>
      <c r="P447" s="27"/>
      <c r="Q447" s="27"/>
      <c r="R447" s="27"/>
      <c r="S447" s="5"/>
      <c r="T447" s="5"/>
      <c r="U447" s="5"/>
      <c r="V447" s="224"/>
      <c r="W447" s="5"/>
      <c r="X447" s="294"/>
      <c r="Y447" s="5"/>
      <c r="Z447" s="68"/>
      <c r="AA447" s="27">
        <v>38701</v>
      </c>
      <c r="AB447" s="5"/>
      <c r="AC447" s="5"/>
      <c r="AD447" s="28"/>
    </row>
    <row r="448" spans="1:30" s="9" customFormat="1" x14ac:dyDescent="0.2">
      <c r="A448" s="328"/>
      <c r="B448" s="16"/>
      <c r="C448" s="16"/>
      <c r="D448" s="7"/>
      <c r="E448" s="7"/>
      <c r="F448" s="6"/>
      <c r="G448" s="6"/>
      <c r="H448" s="17"/>
      <c r="I448" s="17"/>
      <c r="J448" s="7"/>
      <c r="K448" s="7"/>
      <c r="L448" s="23"/>
      <c r="M448" s="6"/>
      <c r="N448" s="6"/>
      <c r="O448" s="6"/>
      <c r="P448" s="6"/>
      <c r="Q448" s="6"/>
      <c r="R448" s="6"/>
      <c r="S448" s="6" t="s">
        <v>4322</v>
      </c>
      <c r="T448" s="6"/>
      <c r="U448" s="6"/>
      <c r="V448" s="138" t="s">
        <v>4293</v>
      </c>
      <c r="W448" s="6"/>
      <c r="X448" s="293"/>
      <c r="Y448" s="12"/>
      <c r="Z448" s="67"/>
      <c r="AA448" s="6"/>
      <c r="AB448" s="6"/>
      <c r="AC448" s="6"/>
      <c r="AD448" s="28"/>
    </row>
    <row r="449" spans="1:30" s="9" customFormat="1" x14ac:dyDescent="0.2">
      <c r="A449" s="328"/>
      <c r="B449" s="16" t="s">
        <v>4005</v>
      </c>
      <c r="C449" s="16" t="s">
        <v>4236</v>
      </c>
      <c r="D449" s="7" t="s">
        <v>4310</v>
      </c>
      <c r="E449" s="7"/>
      <c r="F449" s="6" t="s">
        <v>4311</v>
      </c>
      <c r="G449" s="6" t="s">
        <v>4299</v>
      </c>
      <c r="H449" s="17">
        <v>47423.42</v>
      </c>
      <c r="I449" s="39" t="s">
        <v>4300</v>
      </c>
      <c r="J449" s="7">
        <v>38131</v>
      </c>
      <c r="K449" s="331">
        <v>90</v>
      </c>
      <c r="L449" s="23">
        <f>+J449+K449</f>
        <v>38221</v>
      </c>
      <c r="M449" s="18" t="s">
        <v>4147</v>
      </c>
      <c r="N449" s="6" t="s">
        <v>42</v>
      </c>
      <c r="O449" s="7">
        <v>38261</v>
      </c>
      <c r="P449" s="331">
        <f>IF(O449="","",+O449-L449)</f>
        <v>40</v>
      </c>
      <c r="Q449" s="331"/>
      <c r="R449" s="331"/>
      <c r="S449" s="175">
        <v>38271</v>
      </c>
      <c r="T449" s="7">
        <v>38303</v>
      </c>
      <c r="U449" s="331">
        <f>IF(T449="","",+T449-J449)</f>
        <v>172</v>
      </c>
      <c r="V449" s="6" t="s">
        <v>4324</v>
      </c>
      <c r="W449" s="6">
        <v>1038</v>
      </c>
      <c r="X449" s="293"/>
      <c r="Y449" s="138" t="s">
        <v>47</v>
      </c>
      <c r="Z449" s="67">
        <v>6657506166</v>
      </c>
      <c r="AA449" s="6" t="s">
        <v>47</v>
      </c>
      <c r="AB449" s="6"/>
      <c r="AC449" s="6"/>
      <c r="AD449" s="30" t="str">
        <f>IF(O449&lt;=L449,"en término","atrasado")</f>
        <v>atrasado</v>
      </c>
    </row>
    <row r="450" spans="1:30" s="9" customFormat="1" ht="12" thickBot="1" x14ac:dyDescent="0.25">
      <c r="A450" s="328"/>
      <c r="B450" s="19"/>
      <c r="C450" s="19"/>
      <c r="D450" s="5"/>
      <c r="E450" s="5"/>
      <c r="F450" s="5"/>
      <c r="G450" s="5"/>
      <c r="H450" s="105"/>
      <c r="I450" s="21"/>
      <c r="J450" s="27"/>
      <c r="K450" s="27"/>
      <c r="L450" s="27" t="s">
        <v>4313</v>
      </c>
      <c r="M450" s="5"/>
      <c r="N450" s="5"/>
      <c r="O450" s="19"/>
      <c r="P450" s="19"/>
      <c r="Q450" s="19"/>
      <c r="R450" s="19"/>
      <c r="S450" s="19"/>
      <c r="T450" s="19"/>
      <c r="U450" s="19"/>
      <c r="V450" s="224"/>
      <c r="W450" s="5"/>
      <c r="X450" s="294"/>
      <c r="Y450" s="5"/>
      <c r="Z450" s="68"/>
      <c r="AA450" s="27">
        <v>38701</v>
      </c>
      <c r="AB450" s="5"/>
      <c r="AC450" s="5"/>
      <c r="AD450" s="28"/>
    </row>
    <row r="451" spans="1:30" s="9" customFormat="1" x14ac:dyDescent="0.2">
      <c r="A451" s="328"/>
      <c r="B451" s="16"/>
      <c r="C451" s="16"/>
      <c r="D451" s="7"/>
      <c r="E451" s="7"/>
      <c r="F451" s="6"/>
      <c r="G451" s="6"/>
      <c r="H451" s="17"/>
      <c r="I451" s="17"/>
      <c r="J451" s="7"/>
      <c r="K451" s="7"/>
      <c r="L451" s="23"/>
      <c r="M451" s="6"/>
      <c r="N451" s="6"/>
      <c r="O451" s="6"/>
      <c r="P451" s="6"/>
      <c r="Q451" s="6"/>
      <c r="R451" s="6"/>
      <c r="S451" s="6" t="s">
        <v>4322</v>
      </c>
      <c r="T451" s="6"/>
      <c r="U451" s="6"/>
      <c r="V451" s="138" t="s">
        <v>4293</v>
      </c>
      <c r="W451" s="6"/>
      <c r="X451" s="293"/>
      <c r="Y451" s="12"/>
      <c r="Z451" s="67"/>
      <c r="AA451" s="6"/>
      <c r="AB451" s="6"/>
      <c r="AC451" s="6"/>
      <c r="AD451" s="28"/>
    </row>
    <row r="452" spans="1:30" s="9" customFormat="1" x14ac:dyDescent="0.2">
      <c r="A452" s="328"/>
      <c r="B452" s="16" t="s">
        <v>4005</v>
      </c>
      <c r="C452" s="16" t="s">
        <v>4236</v>
      </c>
      <c r="D452" s="7" t="s">
        <v>4303</v>
      </c>
      <c r="E452" s="7"/>
      <c r="F452" s="6" t="s">
        <v>4314</v>
      </c>
      <c r="G452" s="6" t="s">
        <v>4299</v>
      </c>
      <c r="H452" s="17">
        <v>48434.3</v>
      </c>
      <c r="I452" s="39" t="s">
        <v>4300</v>
      </c>
      <c r="J452" s="7">
        <v>38133</v>
      </c>
      <c r="K452" s="331">
        <v>90</v>
      </c>
      <c r="L452" s="23">
        <f>+J452+K452</f>
        <v>38223</v>
      </c>
      <c r="M452" s="18" t="s">
        <v>4147</v>
      </c>
      <c r="N452" s="6" t="s">
        <v>42</v>
      </c>
      <c r="O452" s="7">
        <v>38261</v>
      </c>
      <c r="P452" s="331">
        <f>IF(O452="","",+O452-L452)</f>
        <v>38</v>
      </c>
      <c r="Q452" s="331"/>
      <c r="R452" s="331"/>
      <c r="S452" s="175">
        <v>38271</v>
      </c>
      <c r="T452" s="7">
        <v>38303</v>
      </c>
      <c r="U452" s="331">
        <f>IF(T452="","",+T452-J452)</f>
        <v>170</v>
      </c>
      <c r="V452" s="6" t="s">
        <v>4325</v>
      </c>
      <c r="W452" s="6">
        <v>1038</v>
      </c>
      <c r="X452" s="293"/>
      <c r="Y452" s="138" t="s">
        <v>47</v>
      </c>
      <c r="Z452" s="67">
        <v>6657506166</v>
      </c>
      <c r="AA452" s="6" t="s">
        <v>47</v>
      </c>
      <c r="AB452" s="6"/>
      <c r="AC452" s="6"/>
      <c r="AD452" s="30" t="str">
        <f>IF(O452&lt;=L452,"en término","atrasado")</f>
        <v>atrasado</v>
      </c>
    </row>
    <row r="453" spans="1:30" s="9" customFormat="1" ht="12" thickBot="1" x14ac:dyDescent="0.25">
      <c r="A453" s="328"/>
      <c r="B453" s="19"/>
      <c r="C453" s="19"/>
      <c r="D453" s="5"/>
      <c r="E453" s="5"/>
      <c r="F453" s="5"/>
      <c r="G453" s="5"/>
      <c r="H453" s="105"/>
      <c r="I453" s="21"/>
      <c r="J453" s="27"/>
      <c r="K453" s="27"/>
      <c r="L453" s="27">
        <f>+J452+150</f>
        <v>38283</v>
      </c>
      <c r="M453" s="5"/>
      <c r="N453" s="5"/>
      <c r="O453" s="19"/>
      <c r="P453" s="19"/>
      <c r="Q453" s="19"/>
      <c r="R453" s="19"/>
      <c r="S453" s="19"/>
      <c r="T453" s="19"/>
      <c r="U453" s="19"/>
      <c r="V453" s="5"/>
      <c r="W453" s="5"/>
      <c r="X453" s="294"/>
      <c r="Y453" s="5"/>
      <c r="Z453" s="68"/>
      <c r="AA453" s="27">
        <v>38701</v>
      </c>
      <c r="AB453" s="5"/>
      <c r="AC453" s="5"/>
      <c r="AD453" s="28"/>
    </row>
    <row r="454" spans="1:30" s="9" customFormat="1" x14ac:dyDescent="0.2">
      <c r="A454" s="328"/>
      <c r="B454" s="16"/>
      <c r="C454" s="16"/>
      <c r="D454" s="7"/>
      <c r="E454" s="7"/>
      <c r="F454" s="6"/>
      <c r="G454" s="6"/>
      <c r="H454" s="17"/>
      <c r="I454" s="17"/>
      <c r="J454" s="7"/>
      <c r="K454" s="7"/>
      <c r="L454" s="23"/>
      <c r="M454" s="6"/>
      <c r="N454" s="6"/>
      <c r="O454" s="6"/>
      <c r="P454" s="6"/>
      <c r="Q454" s="6"/>
      <c r="R454" s="6"/>
      <c r="S454" s="6" t="s">
        <v>4322</v>
      </c>
      <c r="T454" s="6"/>
      <c r="U454" s="6"/>
      <c r="V454" s="138" t="s">
        <v>4293</v>
      </c>
      <c r="W454" s="6"/>
      <c r="X454" s="293"/>
      <c r="Y454" s="12"/>
      <c r="Z454" s="67"/>
      <c r="AA454" s="6"/>
      <c r="AB454" s="6"/>
      <c r="AC454" s="6"/>
      <c r="AD454" s="28"/>
    </row>
    <row r="455" spans="1:30" s="9" customFormat="1" x14ac:dyDescent="0.2">
      <c r="A455" s="328"/>
      <c r="B455" s="16" t="s">
        <v>4005</v>
      </c>
      <c r="C455" s="16" t="s">
        <v>4236</v>
      </c>
      <c r="D455" s="7" t="s">
        <v>4326</v>
      </c>
      <c r="E455" s="7"/>
      <c r="F455" s="6" t="s">
        <v>4327</v>
      </c>
      <c r="G455" s="6" t="s">
        <v>4299</v>
      </c>
      <c r="H455" s="17">
        <v>44561.8</v>
      </c>
      <c r="I455" s="39" t="s">
        <v>4300</v>
      </c>
      <c r="J455" s="7">
        <v>38187</v>
      </c>
      <c r="K455" s="331">
        <v>90</v>
      </c>
      <c r="L455" s="23">
        <f>+J455+K455</f>
        <v>38277</v>
      </c>
      <c r="M455" s="18" t="s">
        <v>4147</v>
      </c>
      <c r="N455" s="6" t="s">
        <v>42</v>
      </c>
      <c r="O455" s="7">
        <v>38261</v>
      </c>
      <c r="P455" s="331">
        <f>IF(O455="","",+O455-L455)</f>
        <v>-16</v>
      </c>
      <c r="Q455" s="331"/>
      <c r="R455" s="331"/>
      <c r="S455" s="175">
        <v>38271</v>
      </c>
      <c r="T455" s="7">
        <v>38303</v>
      </c>
      <c r="U455" s="331">
        <f>IF(T455="","",+T455-J455)</f>
        <v>116</v>
      </c>
      <c r="V455" s="6" t="s">
        <v>4328</v>
      </c>
      <c r="W455" s="6">
        <v>1038</v>
      </c>
      <c r="X455" s="293"/>
      <c r="Y455" s="138" t="s">
        <v>47</v>
      </c>
      <c r="Z455" s="67">
        <v>6657506166</v>
      </c>
      <c r="AA455" s="6" t="s">
        <v>47</v>
      </c>
      <c r="AB455" s="6"/>
      <c r="AC455" s="6"/>
      <c r="AD455" s="30" t="str">
        <f>IF(O455&lt;=L455,"en término","atrasado")</f>
        <v>en término</v>
      </c>
    </row>
    <row r="456" spans="1:30" s="9" customFormat="1" ht="12" thickBot="1" x14ac:dyDescent="0.25">
      <c r="A456" s="328"/>
      <c r="B456" s="19"/>
      <c r="C456" s="19"/>
      <c r="D456" s="5"/>
      <c r="E456" s="5"/>
      <c r="F456" s="5"/>
      <c r="G456" s="5"/>
      <c r="H456" s="105"/>
      <c r="I456" s="21"/>
      <c r="J456" s="27"/>
      <c r="K456" s="27"/>
      <c r="L456" s="27" t="s">
        <v>4329</v>
      </c>
      <c r="M456" s="5"/>
      <c r="N456" s="5"/>
      <c r="O456" s="19"/>
      <c r="P456" s="19"/>
      <c r="Q456" s="19"/>
      <c r="R456" s="19"/>
      <c r="S456" s="19"/>
      <c r="T456" s="19"/>
      <c r="U456" s="19"/>
      <c r="V456" s="5"/>
      <c r="W456" s="5"/>
      <c r="X456" s="294"/>
      <c r="Y456" s="5"/>
      <c r="Z456" s="68"/>
      <c r="AA456" s="27">
        <v>38701</v>
      </c>
      <c r="AB456" s="5"/>
      <c r="AC456" s="5"/>
      <c r="AD456" s="28"/>
    </row>
    <row r="457" spans="1:30" s="9" customFormat="1" x14ac:dyDescent="0.2">
      <c r="A457" s="328"/>
      <c r="B457" s="16"/>
      <c r="C457" s="16"/>
      <c r="D457" s="7"/>
      <c r="E457" s="7"/>
      <c r="F457" s="6"/>
      <c r="G457" s="6"/>
      <c r="H457" s="17"/>
      <c r="I457" s="17"/>
      <c r="J457" s="7"/>
      <c r="K457" s="7"/>
      <c r="L457" s="23"/>
      <c r="M457" s="6"/>
      <c r="N457" s="6"/>
      <c r="O457" s="6"/>
      <c r="P457" s="6"/>
      <c r="Q457" s="6"/>
      <c r="R457" s="6"/>
      <c r="S457" s="6" t="s">
        <v>4322</v>
      </c>
      <c r="T457" s="6"/>
      <c r="U457" s="6"/>
      <c r="V457" s="138" t="s">
        <v>4293</v>
      </c>
      <c r="W457" s="6"/>
      <c r="X457" s="293"/>
      <c r="Y457" s="12"/>
      <c r="Z457" s="67"/>
      <c r="AA457" s="6"/>
      <c r="AB457" s="6"/>
      <c r="AC457" s="6"/>
      <c r="AD457" s="28"/>
    </row>
    <row r="458" spans="1:30" s="9" customFormat="1" x14ac:dyDescent="0.2">
      <c r="A458" s="328"/>
      <c r="B458" s="16" t="s">
        <v>4005</v>
      </c>
      <c r="C458" s="16" t="s">
        <v>4236</v>
      </c>
      <c r="D458" s="7" t="s">
        <v>4306</v>
      </c>
      <c r="E458" s="7"/>
      <c r="F458" s="6" t="s">
        <v>4330</v>
      </c>
      <c r="G458" s="6" t="s">
        <v>4299</v>
      </c>
      <c r="H458" s="17">
        <v>64526</v>
      </c>
      <c r="I458" s="39" t="s">
        <v>4300</v>
      </c>
      <c r="J458" s="7">
        <v>38195</v>
      </c>
      <c r="K458" s="331">
        <v>70</v>
      </c>
      <c r="L458" s="23">
        <f>+J458+K458</f>
        <v>38265</v>
      </c>
      <c r="M458" s="18" t="s">
        <v>4147</v>
      </c>
      <c r="N458" s="6" t="s">
        <v>42</v>
      </c>
      <c r="O458" s="7">
        <v>38261</v>
      </c>
      <c r="P458" s="331">
        <f>IF(O458="","",+O458-L458)</f>
        <v>-4</v>
      </c>
      <c r="Q458" s="331"/>
      <c r="R458" s="331"/>
      <c r="S458" s="175">
        <v>38271</v>
      </c>
      <c r="T458" s="7">
        <v>38303</v>
      </c>
      <c r="U458" s="331">
        <f>IF(T458="","",+T458-J458)</f>
        <v>108</v>
      </c>
      <c r="V458" s="6" t="s">
        <v>4331</v>
      </c>
      <c r="W458" s="6">
        <v>1038</v>
      </c>
      <c r="X458" s="293"/>
      <c r="Y458" s="138" t="s">
        <v>47</v>
      </c>
      <c r="Z458" s="67">
        <v>6657506166</v>
      </c>
      <c r="AA458" s="6" t="s">
        <v>47</v>
      </c>
      <c r="AB458" s="6"/>
      <c r="AC458" s="6"/>
      <c r="AD458" s="30" t="str">
        <f>IF(O458&lt;=L458,"en término","atrasado")</f>
        <v>en término</v>
      </c>
    </row>
    <row r="459" spans="1:30" s="9" customFormat="1" ht="12" thickBot="1" x14ac:dyDescent="0.25">
      <c r="A459" s="328"/>
      <c r="B459" s="19"/>
      <c r="C459" s="19"/>
      <c r="D459" s="5"/>
      <c r="E459" s="5"/>
      <c r="F459" s="5"/>
      <c r="G459" s="5"/>
      <c r="H459" s="105"/>
      <c r="I459" s="21"/>
      <c r="J459" s="27"/>
      <c r="K459" s="27"/>
      <c r="L459" s="27" t="s">
        <v>4329</v>
      </c>
      <c r="M459" s="5"/>
      <c r="N459" s="5"/>
      <c r="O459" s="19"/>
      <c r="P459" s="19"/>
      <c r="Q459" s="19"/>
      <c r="R459" s="19"/>
      <c r="S459" s="19"/>
      <c r="T459" s="19"/>
      <c r="U459" s="19"/>
      <c r="V459" s="5"/>
      <c r="W459" s="5"/>
      <c r="X459" s="294"/>
      <c r="Y459" s="5"/>
      <c r="Z459" s="68"/>
      <c r="AA459" s="27">
        <v>38701</v>
      </c>
      <c r="AB459" s="5"/>
      <c r="AC459" s="5"/>
      <c r="AD459" s="28"/>
    </row>
    <row r="460" spans="1:30" s="9" customFormat="1" x14ac:dyDescent="0.2">
      <c r="A460" s="328"/>
      <c r="B460" s="16"/>
      <c r="C460" s="16"/>
      <c r="D460" s="7"/>
      <c r="E460" s="7"/>
      <c r="F460" s="6"/>
      <c r="G460" s="6"/>
      <c r="H460" s="17"/>
      <c r="I460" s="17"/>
      <c r="J460" s="7"/>
      <c r="K460" s="7"/>
      <c r="L460" s="23"/>
      <c r="M460" s="6"/>
      <c r="N460" s="6"/>
      <c r="O460" s="6"/>
      <c r="P460" s="6"/>
      <c r="Q460" s="6"/>
      <c r="R460" s="6"/>
      <c r="S460" s="6"/>
      <c r="T460" s="6"/>
      <c r="U460" s="6"/>
      <c r="V460" s="138" t="s">
        <v>1102</v>
      </c>
      <c r="W460" s="6"/>
      <c r="X460" s="59"/>
      <c r="Y460" s="12"/>
      <c r="Z460" s="6"/>
      <c r="AA460" s="6"/>
      <c r="AB460" s="6"/>
      <c r="AC460" s="6"/>
      <c r="AD460" s="28"/>
    </row>
    <row r="461" spans="1:30" s="9" customFormat="1" x14ac:dyDescent="0.2">
      <c r="A461" s="328"/>
      <c r="B461" s="16" t="s">
        <v>4005</v>
      </c>
      <c r="C461" s="16" t="s">
        <v>4236</v>
      </c>
      <c r="D461" s="7" t="s">
        <v>4306</v>
      </c>
      <c r="E461" s="7"/>
      <c r="F461" s="6" t="s">
        <v>4330</v>
      </c>
      <c r="G461" s="6" t="s">
        <v>39</v>
      </c>
      <c r="H461" s="17">
        <f>2563.2+1390+1273.6+2653.2+1407+12000+230</f>
        <v>21517</v>
      </c>
      <c r="I461" s="39"/>
      <c r="J461" s="7">
        <v>38195</v>
      </c>
      <c r="K461" s="331">
        <v>60</v>
      </c>
      <c r="L461" s="23">
        <f>+J461+K461</f>
        <v>38255</v>
      </c>
      <c r="M461" s="18" t="s">
        <v>4147</v>
      </c>
      <c r="N461" s="6" t="s">
        <v>110</v>
      </c>
      <c r="O461" s="7">
        <v>38268</v>
      </c>
      <c r="P461" s="331">
        <f>IF(S461="","",+S461-L461)</f>
        <v>118</v>
      </c>
      <c r="Q461" s="331"/>
      <c r="R461" s="331"/>
      <c r="S461" s="7">
        <v>38373</v>
      </c>
      <c r="T461" s="7">
        <v>38376</v>
      </c>
      <c r="U461" s="331">
        <f>IF(T461="","",+T461-J461)</f>
        <v>181</v>
      </c>
      <c r="V461" s="6" t="s">
        <v>597</v>
      </c>
      <c r="W461" s="6" t="s">
        <v>4332</v>
      </c>
      <c r="X461" s="59"/>
      <c r="Y461" s="138" t="s">
        <v>47</v>
      </c>
      <c r="Z461" s="6" t="s">
        <v>47</v>
      </c>
      <c r="AA461" s="6"/>
      <c r="AB461" s="6"/>
      <c r="AC461" s="6"/>
      <c r="AD461" s="28"/>
    </row>
    <row r="462" spans="1:30" s="9" customFormat="1" ht="12" thickBot="1" x14ac:dyDescent="0.25">
      <c r="A462" s="328"/>
      <c r="B462" s="19"/>
      <c r="C462" s="19"/>
      <c r="D462" s="5"/>
      <c r="E462" s="5"/>
      <c r="F462" s="5"/>
      <c r="G462" s="5"/>
      <c r="H462" s="105"/>
      <c r="I462" s="21"/>
      <c r="J462" s="5"/>
      <c r="K462" s="5"/>
      <c r="L462" s="27"/>
      <c r="M462" s="5"/>
      <c r="N462" s="5"/>
      <c r="O462" s="19"/>
      <c r="P462" s="19"/>
      <c r="Q462" s="19"/>
      <c r="R462" s="19"/>
      <c r="S462" s="19"/>
      <c r="T462" s="19"/>
      <c r="U462" s="19"/>
      <c r="V462" s="224"/>
      <c r="W462" s="5"/>
      <c r="X462" s="61"/>
      <c r="Y462" s="5"/>
      <c r="Z462" s="27">
        <v>38376</v>
      </c>
      <c r="AA462" s="5"/>
      <c r="AB462" s="5"/>
      <c r="AC462" s="5"/>
      <c r="AD462" s="28"/>
    </row>
    <row r="463" spans="1:30" s="9" customFormat="1" x14ac:dyDescent="0.2">
      <c r="A463" s="328"/>
      <c r="B463" s="16"/>
      <c r="C463" s="16"/>
      <c r="D463" s="7"/>
      <c r="E463" s="7"/>
      <c r="F463" s="6"/>
      <c r="G463" s="6"/>
      <c r="H463" s="17"/>
      <c r="I463" s="17"/>
      <c r="J463" s="7"/>
      <c r="K463" s="7"/>
      <c r="L463" s="23"/>
      <c r="M463" s="6"/>
      <c r="N463" s="6"/>
      <c r="O463" s="6"/>
      <c r="P463" s="6"/>
      <c r="Q463" s="6"/>
      <c r="R463" s="6"/>
      <c r="S463" s="6"/>
      <c r="T463" s="6"/>
      <c r="U463" s="6"/>
      <c r="V463" s="138" t="s">
        <v>1102</v>
      </c>
      <c r="W463" s="6"/>
      <c r="X463" s="59"/>
      <c r="Y463" s="12"/>
      <c r="Z463" s="6"/>
      <c r="AA463" s="6"/>
      <c r="AB463" s="6"/>
      <c r="AC463" s="6"/>
      <c r="AD463" s="28"/>
    </row>
    <row r="464" spans="1:30" s="9" customFormat="1" x14ac:dyDescent="0.2">
      <c r="A464" s="328"/>
      <c r="B464" s="16" t="s">
        <v>4005</v>
      </c>
      <c r="C464" s="16" t="s">
        <v>4236</v>
      </c>
      <c r="D464" s="7" t="s">
        <v>4333</v>
      </c>
      <c r="E464" s="7"/>
      <c r="F464" s="6" t="s">
        <v>4334</v>
      </c>
      <c r="G464" s="6" t="s">
        <v>39</v>
      </c>
      <c r="H464" s="17">
        <f>34020+46994</f>
        <v>81014</v>
      </c>
      <c r="I464" s="39"/>
      <c r="J464" s="7">
        <v>38252</v>
      </c>
      <c r="K464" s="331">
        <v>60</v>
      </c>
      <c r="L464" s="23">
        <v>38331</v>
      </c>
      <c r="M464" s="18" t="s">
        <v>4147</v>
      </c>
      <c r="N464" s="6" t="s">
        <v>110</v>
      </c>
      <c r="O464" s="7">
        <v>38327</v>
      </c>
      <c r="P464" s="331">
        <f>IF(S464="","",+S464-L464)</f>
        <v>13</v>
      </c>
      <c r="Q464" s="331"/>
      <c r="R464" s="331"/>
      <c r="S464" s="7">
        <v>38344</v>
      </c>
      <c r="T464" s="7">
        <v>38352</v>
      </c>
      <c r="U464" s="331">
        <f>IF(T464="","",+T464-J464)</f>
        <v>100</v>
      </c>
      <c r="V464" s="6" t="s">
        <v>4335</v>
      </c>
      <c r="W464" s="6" t="s">
        <v>4336</v>
      </c>
      <c r="X464" s="59"/>
      <c r="Y464" s="138" t="s">
        <v>47</v>
      </c>
      <c r="Z464" s="6" t="s">
        <v>47</v>
      </c>
      <c r="AA464" s="6" t="s">
        <v>47</v>
      </c>
      <c r="AB464" s="6"/>
      <c r="AC464" s="6"/>
      <c r="AD464" s="28"/>
    </row>
    <row r="465" spans="1:37" s="9" customFormat="1" ht="12" thickBot="1" x14ac:dyDescent="0.25">
      <c r="A465" s="328"/>
      <c r="B465" s="19"/>
      <c r="C465" s="19"/>
      <c r="D465" s="5"/>
      <c r="E465" s="5"/>
      <c r="F465" s="5"/>
      <c r="G465" s="5"/>
      <c r="H465" s="105"/>
      <c r="I465" s="21"/>
      <c r="J465" s="5"/>
      <c r="K465" s="5"/>
      <c r="L465" s="27"/>
      <c r="M465" s="5"/>
      <c r="N465" s="5" t="s">
        <v>42</v>
      </c>
      <c r="O465" s="19"/>
      <c r="P465" s="19"/>
      <c r="Q465" s="19"/>
      <c r="R465" s="19"/>
      <c r="S465" s="19"/>
      <c r="T465" s="19"/>
      <c r="U465" s="19"/>
      <c r="V465" s="224"/>
      <c r="W465" s="5"/>
      <c r="X465" s="61"/>
      <c r="Y465" s="5"/>
      <c r="Z465" s="5"/>
      <c r="AA465" s="5"/>
      <c r="AB465" s="5"/>
      <c r="AC465" s="5"/>
      <c r="AD465" s="28"/>
    </row>
    <row r="466" spans="1:37" s="9" customFormat="1" x14ac:dyDescent="0.2">
      <c r="A466" s="328"/>
      <c r="B466" s="16"/>
      <c r="C466" s="16"/>
      <c r="D466" s="7"/>
      <c r="E466" s="7"/>
      <c r="F466" s="6"/>
      <c r="G466" s="6"/>
      <c r="H466" s="17"/>
      <c r="I466" s="17"/>
      <c r="J466" s="7"/>
      <c r="K466" s="7"/>
      <c r="L466" s="23"/>
      <c r="M466" s="6"/>
      <c r="N466" s="6"/>
      <c r="O466" s="6"/>
      <c r="P466" s="6"/>
      <c r="Q466" s="6"/>
      <c r="R466" s="6"/>
      <c r="S466" s="6"/>
      <c r="T466" s="6"/>
      <c r="U466" s="6"/>
      <c r="V466" s="138" t="s">
        <v>1102</v>
      </c>
      <c r="W466" s="6"/>
      <c r="X466" s="59"/>
      <c r="Y466" s="12"/>
      <c r="Z466" s="6"/>
      <c r="AA466" s="6"/>
      <c r="AB466" s="6"/>
      <c r="AC466" s="6"/>
      <c r="AD466" s="28"/>
    </row>
    <row r="467" spans="1:37" s="9" customFormat="1" x14ac:dyDescent="0.2">
      <c r="A467" s="328"/>
      <c r="B467" s="16" t="s">
        <v>4005</v>
      </c>
      <c r="C467" s="16" t="s">
        <v>4236</v>
      </c>
      <c r="D467" s="7" t="s">
        <v>4337</v>
      </c>
      <c r="E467" s="7"/>
      <c r="F467" s="6" t="s">
        <v>4338</v>
      </c>
      <c r="G467" s="6" t="s">
        <v>39</v>
      </c>
      <c r="H467" s="17">
        <v>14255</v>
      </c>
      <c r="I467" s="39"/>
      <c r="J467" s="7">
        <v>38252</v>
      </c>
      <c r="K467" s="331">
        <v>60</v>
      </c>
      <c r="L467" s="23">
        <v>38331</v>
      </c>
      <c r="M467" s="18" t="s">
        <v>4147</v>
      </c>
      <c r="N467" s="6" t="s">
        <v>110</v>
      </c>
      <c r="O467" s="7">
        <v>38327</v>
      </c>
      <c r="P467" s="331">
        <f>IF(S467="","",+S467-L467)</f>
        <v>13</v>
      </c>
      <c r="Q467" s="331"/>
      <c r="R467" s="331"/>
      <c r="S467" s="7">
        <v>38344</v>
      </c>
      <c r="T467" s="7">
        <v>38352</v>
      </c>
      <c r="U467" s="331">
        <f>IF(T467="","",+T467-J467)</f>
        <v>100</v>
      </c>
      <c r="V467" s="6" t="s">
        <v>4339</v>
      </c>
      <c r="W467" s="6" t="s">
        <v>4340</v>
      </c>
      <c r="X467" s="59"/>
      <c r="Y467" s="138" t="s">
        <v>47</v>
      </c>
      <c r="Z467" s="6" t="s">
        <v>47</v>
      </c>
      <c r="AA467" s="6" t="s">
        <v>47</v>
      </c>
      <c r="AB467" s="6"/>
      <c r="AC467" s="6"/>
      <c r="AD467" s="28"/>
    </row>
    <row r="468" spans="1:37" s="9" customFormat="1" ht="12" thickBot="1" x14ac:dyDescent="0.25">
      <c r="A468" s="328"/>
      <c r="B468" s="19"/>
      <c r="C468" s="19"/>
      <c r="D468" s="5"/>
      <c r="E468" s="5"/>
      <c r="F468" s="5"/>
      <c r="G468" s="5"/>
      <c r="H468" s="105"/>
      <c r="I468" s="21"/>
      <c r="J468" s="5"/>
      <c r="K468" s="5"/>
      <c r="L468" s="27"/>
      <c r="M468" s="5"/>
      <c r="N468" s="5" t="s">
        <v>42</v>
      </c>
      <c r="O468" s="19"/>
      <c r="P468" s="19"/>
      <c r="Q468" s="19"/>
      <c r="R468" s="19"/>
      <c r="S468" s="19"/>
      <c r="T468" s="19"/>
      <c r="U468" s="19"/>
      <c r="V468" s="224"/>
      <c r="W468" s="5"/>
      <c r="X468" s="61"/>
      <c r="Y468" s="5"/>
      <c r="Z468" s="5"/>
      <c r="AA468" s="5"/>
      <c r="AB468" s="5"/>
      <c r="AC468" s="5"/>
      <c r="AD468" s="28"/>
    </row>
    <row r="469" spans="1:37" s="9" customFormat="1" x14ac:dyDescent="0.2">
      <c r="A469" s="328"/>
      <c r="B469" s="16"/>
      <c r="C469" s="16"/>
      <c r="D469" s="7"/>
      <c r="E469" s="7"/>
      <c r="F469" s="6"/>
      <c r="G469" s="6"/>
      <c r="H469" s="17"/>
      <c r="I469" s="17"/>
      <c r="J469" s="7"/>
      <c r="K469" s="7"/>
      <c r="L469" s="23"/>
      <c r="M469" s="6"/>
      <c r="N469" s="6"/>
      <c r="O469" s="6"/>
      <c r="P469" s="6"/>
      <c r="Q469" s="6"/>
      <c r="R469" s="6"/>
      <c r="S469" s="6"/>
      <c r="T469" s="6"/>
      <c r="U469" s="6"/>
      <c r="V469" s="138" t="s">
        <v>4293</v>
      </c>
      <c r="W469" s="6"/>
      <c r="X469" s="293"/>
      <c r="Y469" s="12"/>
      <c r="Z469" s="67"/>
      <c r="AA469" s="6"/>
      <c r="AB469" s="6"/>
      <c r="AC469" s="6"/>
      <c r="AD469" s="28"/>
    </row>
    <row r="470" spans="1:37" s="9" customFormat="1" x14ac:dyDescent="0.2">
      <c r="A470" s="328"/>
      <c r="B470" s="16" t="s">
        <v>4005</v>
      </c>
      <c r="C470" s="16" t="s">
        <v>4236</v>
      </c>
      <c r="D470" s="7" t="s">
        <v>4333</v>
      </c>
      <c r="E470" s="7"/>
      <c r="F470" s="6" t="s">
        <v>4334</v>
      </c>
      <c r="G470" s="6" t="s">
        <v>4299</v>
      </c>
      <c r="H470" s="17">
        <f>201978.98-81014</f>
        <v>120964.98000000001</v>
      </c>
      <c r="I470" s="39"/>
      <c r="J470" s="7">
        <v>38252</v>
      </c>
      <c r="K470" s="331">
        <v>60</v>
      </c>
      <c r="L470" s="23">
        <f>+J470+K470</f>
        <v>38312</v>
      </c>
      <c r="M470" s="18" t="s">
        <v>4147</v>
      </c>
      <c r="N470" s="6" t="s">
        <v>42</v>
      </c>
      <c r="O470" s="7">
        <v>38317</v>
      </c>
      <c r="P470" s="331">
        <f>IF(O470="","",+O470-L470)</f>
        <v>5</v>
      </c>
      <c r="Q470" s="331"/>
      <c r="R470" s="331"/>
      <c r="S470" s="175">
        <v>38332</v>
      </c>
      <c r="T470" s="7">
        <f>+S470+30</f>
        <v>38362</v>
      </c>
      <c r="U470" s="331">
        <f>IF(T470="","",+T470-J470)</f>
        <v>110</v>
      </c>
      <c r="V470" s="6" t="s">
        <v>4341</v>
      </c>
      <c r="W470" s="6">
        <v>1057</v>
      </c>
      <c r="X470" s="293"/>
      <c r="Y470" s="138" t="s">
        <v>47</v>
      </c>
      <c r="Z470" s="67">
        <v>6656007282</v>
      </c>
      <c r="AA470" s="6" t="s">
        <v>47</v>
      </c>
      <c r="AB470" s="6"/>
      <c r="AC470" s="6"/>
      <c r="AD470" s="30" t="str">
        <f>IF(O470&lt;=L470,"en término","atrasado")</f>
        <v>atrasado</v>
      </c>
    </row>
    <row r="471" spans="1:37" s="9" customFormat="1" ht="12" thickBot="1" x14ac:dyDescent="0.25">
      <c r="A471" s="328"/>
      <c r="B471" s="19"/>
      <c r="C471" s="19"/>
      <c r="D471" s="5"/>
      <c r="E471" s="5"/>
      <c r="F471" s="5"/>
      <c r="G471" s="5"/>
      <c r="H471" s="105"/>
      <c r="I471" s="21"/>
      <c r="J471" s="27"/>
      <c r="K471" s="27"/>
      <c r="L471" s="27" t="s">
        <v>4329</v>
      </c>
      <c r="M471" s="5"/>
      <c r="N471" s="5"/>
      <c r="O471" s="19"/>
      <c r="P471" s="19"/>
      <c r="Q471" s="19"/>
      <c r="R471" s="19"/>
      <c r="S471" s="19"/>
      <c r="T471" s="19"/>
      <c r="U471" s="19"/>
      <c r="V471" s="224" t="s">
        <v>1344</v>
      </c>
      <c r="W471" s="5"/>
      <c r="X471" s="294"/>
      <c r="Y471" s="5"/>
      <c r="Z471" s="68"/>
      <c r="AA471" s="5"/>
      <c r="AB471" s="5"/>
      <c r="AC471" s="5"/>
      <c r="AD471" s="28"/>
    </row>
    <row r="472" spans="1:37" s="9" customFormat="1" x14ac:dyDescent="0.2">
      <c r="A472" s="328"/>
      <c r="B472" s="16"/>
      <c r="C472" s="16"/>
      <c r="D472" s="7"/>
      <c r="E472" s="7"/>
      <c r="F472" s="6"/>
      <c r="G472" s="6"/>
      <c r="H472" s="17"/>
      <c r="I472" s="17"/>
      <c r="J472" s="7"/>
      <c r="K472" s="7"/>
      <c r="L472" s="23"/>
      <c r="M472" s="6"/>
      <c r="N472" s="6"/>
      <c r="O472" s="6"/>
      <c r="P472" s="6"/>
      <c r="Q472" s="6"/>
      <c r="R472" s="6"/>
      <c r="S472" s="6"/>
      <c r="T472" s="6"/>
      <c r="U472" s="6"/>
      <c r="V472" s="138" t="s">
        <v>4293</v>
      </c>
      <c r="W472" s="6"/>
      <c r="X472" s="293"/>
      <c r="Y472" s="12"/>
      <c r="Z472" s="67"/>
      <c r="AA472" s="6"/>
      <c r="AB472" s="6"/>
      <c r="AC472" s="6"/>
      <c r="AD472" s="28"/>
    </row>
    <row r="473" spans="1:37" s="9" customFormat="1" x14ac:dyDescent="0.2">
      <c r="A473" s="328"/>
      <c r="B473" s="16" t="s">
        <v>4005</v>
      </c>
      <c r="C473" s="16" t="s">
        <v>4236</v>
      </c>
      <c r="D473" s="7" t="s">
        <v>4337</v>
      </c>
      <c r="E473" s="7"/>
      <c r="F473" s="6" t="s">
        <v>4338</v>
      </c>
      <c r="G473" s="6" t="s">
        <v>4299</v>
      </c>
      <c r="H473" s="17">
        <f>196820-14255</f>
        <v>182565</v>
      </c>
      <c r="I473" s="39"/>
      <c r="J473" s="7">
        <v>38252</v>
      </c>
      <c r="K473" s="331">
        <v>60</v>
      </c>
      <c r="L473" s="23">
        <f>+J473+K473</f>
        <v>38312</v>
      </c>
      <c r="M473" s="18" t="s">
        <v>4147</v>
      </c>
      <c r="N473" s="6" t="s">
        <v>42</v>
      </c>
      <c r="O473" s="7">
        <v>38317</v>
      </c>
      <c r="P473" s="331">
        <f>IF(O473="","",+O473-L473)</f>
        <v>5</v>
      </c>
      <c r="Q473" s="331"/>
      <c r="R473" s="331"/>
      <c r="S473" s="175">
        <v>38332</v>
      </c>
      <c r="T473" s="7">
        <f>+S473+30</f>
        <v>38362</v>
      </c>
      <c r="U473" s="331">
        <f>IF(T473="","",+T473-J473)</f>
        <v>110</v>
      </c>
      <c r="V473" s="6" t="s">
        <v>4342</v>
      </c>
      <c r="W473" s="6">
        <v>1057</v>
      </c>
      <c r="X473" s="293"/>
      <c r="Y473" s="138" t="s">
        <v>47</v>
      </c>
      <c r="Z473" s="67">
        <v>6656007282</v>
      </c>
      <c r="AA473" s="6" t="s">
        <v>47</v>
      </c>
      <c r="AB473" s="6"/>
      <c r="AC473" s="6"/>
      <c r="AD473" s="30" t="str">
        <f>IF(O473&lt;=L473,"en término","atrasado")</f>
        <v>atrasado</v>
      </c>
    </row>
    <row r="474" spans="1:37" s="9" customFormat="1" ht="12" thickBot="1" x14ac:dyDescent="0.25">
      <c r="A474" s="328"/>
      <c r="B474" s="19"/>
      <c r="C474" s="19"/>
      <c r="D474" s="5"/>
      <c r="E474" s="5"/>
      <c r="F474" s="5"/>
      <c r="G474" s="5"/>
      <c r="H474" s="105"/>
      <c r="I474" s="21"/>
      <c r="J474" s="27"/>
      <c r="K474" s="27"/>
      <c r="L474" s="27" t="s">
        <v>4329</v>
      </c>
      <c r="M474" s="5"/>
      <c r="N474" s="5"/>
      <c r="O474" s="19"/>
      <c r="P474" s="19"/>
      <c r="Q474" s="19"/>
      <c r="R474" s="19"/>
      <c r="S474" s="19"/>
      <c r="T474" s="19"/>
      <c r="U474" s="19"/>
      <c r="V474" s="224" t="s">
        <v>1344</v>
      </c>
      <c r="W474" s="5"/>
      <c r="X474" s="294"/>
      <c r="Y474" s="5"/>
      <c r="Z474" s="68"/>
      <c r="AA474" s="5"/>
      <c r="AB474" s="5"/>
      <c r="AC474" s="5"/>
      <c r="AD474" s="28"/>
    </row>
    <row r="475" spans="1:37" ht="12.75" customHeight="1" x14ac:dyDescent="0.2">
      <c r="D475" s="2"/>
      <c r="E475" s="2"/>
      <c r="AA475" s="24"/>
      <c r="AB475" s="506"/>
      <c r="AC475" s="566"/>
    </row>
    <row r="476" spans="1:37" ht="12" thickBot="1" x14ac:dyDescent="0.25">
      <c r="AC476" s="38"/>
    </row>
    <row r="477" spans="1:37" s="556" customFormat="1" ht="39.950000000000003" customHeight="1" thickBot="1" x14ac:dyDescent="0.4">
      <c r="B477" s="1611">
        <v>2005</v>
      </c>
      <c r="C477" s="1612"/>
      <c r="D477" s="1612"/>
      <c r="E477" s="1612"/>
      <c r="F477" s="1612"/>
      <c r="G477" s="1612"/>
      <c r="H477" s="1612"/>
      <c r="I477" s="1612"/>
      <c r="J477" s="1612"/>
      <c r="K477" s="1612"/>
      <c r="L477" s="1612"/>
      <c r="M477" s="1612"/>
      <c r="N477" s="1612"/>
      <c r="O477" s="1612"/>
      <c r="P477" s="1612"/>
      <c r="Q477" s="1612"/>
      <c r="R477" s="1612"/>
      <c r="S477" s="1612"/>
      <c r="T477" s="1612"/>
      <c r="U477" s="1612"/>
      <c r="V477" s="1612"/>
      <c r="W477" s="1612"/>
      <c r="X477" s="1612"/>
      <c r="Y477" s="1612"/>
      <c r="Z477" s="1612"/>
      <c r="AA477" s="1612"/>
      <c r="AB477" s="1612"/>
      <c r="AC477" s="1613"/>
      <c r="AD477" s="560"/>
    </row>
    <row r="478" spans="1:37" s="441" customFormat="1" ht="60" customHeight="1" thickBot="1" x14ac:dyDescent="0.25">
      <c r="A478" s="438"/>
      <c r="B478" s="451" t="s">
        <v>130</v>
      </c>
      <c r="C478" s="451" t="s">
        <v>4</v>
      </c>
      <c r="D478" s="451" t="s">
        <v>5</v>
      </c>
      <c r="E478" s="451" t="s">
        <v>6</v>
      </c>
      <c r="F478" s="451" t="s">
        <v>7</v>
      </c>
      <c r="G478" s="451" t="s">
        <v>8</v>
      </c>
      <c r="H478" s="453" t="s">
        <v>9</v>
      </c>
      <c r="I478" s="453" t="s">
        <v>10</v>
      </c>
      <c r="J478" s="451" t="s">
        <v>11</v>
      </c>
      <c r="K478" s="451" t="s">
        <v>12</v>
      </c>
      <c r="L478" s="451" t="s">
        <v>13</v>
      </c>
      <c r="M478" s="451" t="s">
        <v>14</v>
      </c>
      <c r="N478" s="451" t="s">
        <v>15</v>
      </c>
      <c r="O478" s="452" t="s">
        <v>16</v>
      </c>
      <c r="P478" s="454" t="s">
        <v>17</v>
      </c>
      <c r="Q478" s="451" t="s">
        <v>18</v>
      </c>
      <c r="R478" s="452" t="s">
        <v>19</v>
      </c>
      <c r="S478" s="451" t="s">
        <v>20</v>
      </c>
      <c r="T478" s="451" t="s">
        <v>21</v>
      </c>
      <c r="U478" s="452" t="s">
        <v>22</v>
      </c>
      <c r="V478" s="451" t="s">
        <v>131</v>
      </c>
      <c r="W478" s="451" t="s">
        <v>24</v>
      </c>
      <c r="X478" s="451" t="s">
        <v>132</v>
      </c>
      <c r="Y478" s="451" t="s">
        <v>26</v>
      </c>
      <c r="Z478" s="451" t="s">
        <v>27</v>
      </c>
      <c r="AA478" s="451" t="s">
        <v>28</v>
      </c>
      <c r="AB478" s="451" t="s">
        <v>29</v>
      </c>
      <c r="AC478" s="451" t="s">
        <v>30</v>
      </c>
      <c r="AD478" s="439"/>
      <c r="AE478" s="440"/>
      <c r="AF478" s="440"/>
      <c r="AG478" s="440"/>
      <c r="AH478" s="440"/>
      <c r="AI478" s="440"/>
      <c r="AJ478" s="440"/>
      <c r="AK478" s="440"/>
    </row>
    <row r="479" spans="1:37" s="9" customFormat="1" x14ac:dyDescent="0.2">
      <c r="A479" s="328"/>
      <c r="B479" s="16"/>
      <c r="C479" s="16"/>
      <c r="D479" s="7"/>
      <c r="E479" s="7"/>
      <c r="F479" s="6"/>
      <c r="G479" s="6"/>
      <c r="H479" s="17"/>
      <c r="I479" s="17"/>
      <c r="J479" s="7"/>
      <c r="K479" s="7"/>
      <c r="L479" s="23"/>
      <c r="M479" s="6"/>
      <c r="N479" s="6"/>
      <c r="O479" s="6"/>
      <c r="P479" s="6"/>
      <c r="Q479" s="6"/>
      <c r="R479" s="6"/>
      <c r="S479" s="6" t="s">
        <v>4343</v>
      </c>
      <c r="T479" s="6"/>
      <c r="U479" s="6"/>
      <c r="V479" s="138" t="s">
        <v>4293</v>
      </c>
      <c r="W479" s="6"/>
      <c r="X479" s="293"/>
      <c r="Y479" s="6"/>
      <c r="Z479" s="67"/>
      <c r="AA479" s="6"/>
      <c r="AB479" s="6"/>
      <c r="AC479" s="6"/>
      <c r="AD479" s="28"/>
    </row>
    <row r="480" spans="1:37" s="9" customFormat="1" x14ac:dyDescent="0.2">
      <c r="A480" s="328"/>
      <c r="B480" s="16" t="s">
        <v>4005</v>
      </c>
      <c r="C480" s="16" t="s">
        <v>4236</v>
      </c>
      <c r="D480" s="7" t="s">
        <v>4333</v>
      </c>
      <c r="E480" s="7"/>
      <c r="F480" s="6" t="s">
        <v>4334</v>
      </c>
      <c r="G480" s="6" t="s">
        <v>4299</v>
      </c>
      <c r="H480" s="17">
        <f>201978.98-81014</f>
        <v>120964.98000000001</v>
      </c>
      <c r="I480" s="39"/>
      <c r="J480" s="7">
        <v>38252</v>
      </c>
      <c r="K480" s="331">
        <v>120</v>
      </c>
      <c r="L480" s="23">
        <v>38372</v>
      </c>
      <c r="M480" s="18" t="s">
        <v>4147</v>
      </c>
      <c r="N480" s="6" t="s">
        <v>42</v>
      </c>
      <c r="O480" s="7">
        <v>38380</v>
      </c>
      <c r="P480" s="331">
        <f>IF(O480="","",+O480-L480)</f>
        <v>8</v>
      </c>
      <c r="Q480" s="331"/>
      <c r="R480" s="331"/>
      <c r="S480" s="175">
        <v>38395</v>
      </c>
      <c r="T480" s="7">
        <f>+S480+30</f>
        <v>38425</v>
      </c>
      <c r="U480" s="331">
        <f>IF(T480="","",+T480-J480)</f>
        <v>173</v>
      </c>
      <c r="V480" s="6" t="s">
        <v>4341</v>
      </c>
      <c r="W480" s="340" t="s">
        <v>4344</v>
      </c>
      <c r="X480" s="293"/>
      <c r="Y480" s="138" t="s">
        <v>47</v>
      </c>
      <c r="Z480" s="67" t="s">
        <v>4345</v>
      </c>
      <c r="AA480" s="6" t="s">
        <v>2238</v>
      </c>
      <c r="AB480" s="6"/>
      <c r="AC480" s="6"/>
      <c r="AD480" s="30" t="str">
        <f>IF(O480&lt;=L480,"en término","atrasado")</f>
        <v>atrasado</v>
      </c>
    </row>
    <row r="481" spans="1:30" s="9" customFormat="1" ht="12" thickBot="1" x14ac:dyDescent="0.25">
      <c r="A481" s="328"/>
      <c r="B481" s="19"/>
      <c r="C481" s="19"/>
      <c r="D481" s="5"/>
      <c r="E481" s="5"/>
      <c r="F481" s="5"/>
      <c r="G481" s="5"/>
      <c r="H481" s="105"/>
      <c r="I481" s="21"/>
      <c r="J481" s="27"/>
      <c r="K481" s="27"/>
      <c r="L481" s="27" t="s">
        <v>4329</v>
      </c>
      <c r="M481" s="5"/>
      <c r="N481" s="5"/>
      <c r="O481" s="19"/>
      <c r="P481" s="19"/>
      <c r="Q481" s="19"/>
      <c r="R481" s="19"/>
      <c r="S481" s="19"/>
      <c r="T481" s="19"/>
      <c r="U481" s="19"/>
      <c r="V481" s="224" t="s">
        <v>1362</v>
      </c>
      <c r="W481" s="5"/>
      <c r="X481" s="294"/>
      <c r="Y481" s="5"/>
      <c r="Z481" s="68"/>
      <c r="AA481" s="27">
        <v>38421</v>
      </c>
      <c r="AB481" s="5"/>
      <c r="AC481" s="5"/>
      <c r="AD481" s="28"/>
    </row>
    <row r="482" spans="1:30" s="9" customFormat="1" x14ac:dyDescent="0.2">
      <c r="A482" s="328"/>
      <c r="B482" s="16"/>
      <c r="C482" s="16"/>
      <c r="D482" s="7"/>
      <c r="E482" s="7"/>
      <c r="F482" s="6"/>
      <c r="G482" s="6"/>
      <c r="H482" s="17"/>
      <c r="I482" s="17"/>
      <c r="J482" s="7"/>
      <c r="K482" s="7"/>
      <c r="L482" s="23"/>
      <c r="M482" s="6"/>
      <c r="N482" s="6"/>
      <c r="O482" s="6"/>
      <c r="P482" s="6"/>
      <c r="Q482" s="6"/>
      <c r="R482" s="6"/>
      <c r="S482" s="6" t="s">
        <v>4343</v>
      </c>
      <c r="T482" s="6"/>
      <c r="U482" s="6"/>
      <c r="V482" s="138" t="s">
        <v>4293</v>
      </c>
      <c r="W482" s="6"/>
      <c r="X482" s="293"/>
      <c r="Y482" s="12"/>
      <c r="Z482" s="67"/>
      <c r="AA482" s="6"/>
      <c r="AB482" s="6"/>
      <c r="AC482" s="6"/>
      <c r="AD482" s="28"/>
    </row>
    <row r="483" spans="1:30" s="9" customFormat="1" x14ac:dyDescent="0.2">
      <c r="A483" s="328"/>
      <c r="B483" s="16" t="s">
        <v>4005</v>
      </c>
      <c r="C483" s="16" t="s">
        <v>4236</v>
      </c>
      <c r="D483" s="7" t="s">
        <v>4337</v>
      </c>
      <c r="E483" s="7"/>
      <c r="F483" s="6" t="s">
        <v>4338</v>
      </c>
      <c r="G483" s="6" t="s">
        <v>4299</v>
      </c>
      <c r="H483" s="17">
        <f>196820-14255</f>
        <v>182565</v>
      </c>
      <c r="I483" s="39"/>
      <c r="J483" s="7">
        <v>38252</v>
      </c>
      <c r="K483" s="331">
        <v>120</v>
      </c>
      <c r="L483" s="23">
        <f>+J483+K483</f>
        <v>38372</v>
      </c>
      <c r="M483" s="18" t="s">
        <v>4147</v>
      </c>
      <c r="N483" s="6" t="s">
        <v>42</v>
      </c>
      <c r="O483" s="7">
        <v>38380</v>
      </c>
      <c r="P483" s="331">
        <f>IF(O483="","",+O483-L483)</f>
        <v>8</v>
      </c>
      <c r="Q483" s="331"/>
      <c r="R483" s="331"/>
      <c r="S483" s="175">
        <v>38395</v>
      </c>
      <c r="T483" s="7">
        <f>+S483+30</f>
        <v>38425</v>
      </c>
      <c r="U483" s="331">
        <f>IF(T483="","",+T483-J483)</f>
        <v>173</v>
      </c>
      <c r="V483" s="6" t="s">
        <v>4342</v>
      </c>
      <c r="W483" s="340" t="s">
        <v>4344</v>
      </c>
      <c r="X483" s="293"/>
      <c r="Y483" s="138" t="s">
        <v>47</v>
      </c>
      <c r="Z483" s="67" t="s">
        <v>4345</v>
      </c>
      <c r="AA483" s="6" t="s">
        <v>2238</v>
      </c>
      <c r="AB483" s="6"/>
      <c r="AC483" s="6"/>
      <c r="AD483" s="30" t="str">
        <f>IF(O483&lt;=L483,"en término","atrasado")</f>
        <v>atrasado</v>
      </c>
    </row>
    <row r="484" spans="1:30" s="9" customFormat="1" ht="12" thickBot="1" x14ac:dyDescent="0.25">
      <c r="A484" s="328"/>
      <c r="B484" s="19"/>
      <c r="C484" s="19"/>
      <c r="D484" s="5"/>
      <c r="E484" s="5"/>
      <c r="F484" s="5"/>
      <c r="G484" s="5"/>
      <c r="H484" s="105"/>
      <c r="I484" s="21"/>
      <c r="J484" s="27"/>
      <c r="K484" s="27"/>
      <c r="L484" s="27" t="s">
        <v>4329</v>
      </c>
      <c r="M484" s="5"/>
      <c r="N484" s="5"/>
      <c r="O484" s="19"/>
      <c r="P484" s="19"/>
      <c r="Q484" s="19"/>
      <c r="R484" s="19"/>
      <c r="S484" s="19"/>
      <c r="T484" s="19"/>
      <c r="U484" s="19"/>
      <c r="V484" s="224" t="s">
        <v>1362</v>
      </c>
      <c r="W484" s="5"/>
      <c r="X484" s="294"/>
      <c r="Y484" s="5"/>
      <c r="Z484" s="68"/>
      <c r="AA484" s="27">
        <v>38421</v>
      </c>
      <c r="AB484" s="5"/>
      <c r="AC484" s="5"/>
      <c r="AD484" s="28"/>
    </row>
    <row r="485" spans="1:30" s="9" customFormat="1" x14ac:dyDescent="0.2">
      <c r="A485" s="328"/>
      <c r="B485" s="16"/>
      <c r="C485" s="16"/>
      <c r="D485" s="7"/>
      <c r="E485" s="7"/>
      <c r="F485" s="6"/>
      <c r="G485" s="6"/>
      <c r="H485" s="17"/>
      <c r="I485" s="17"/>
      <c r="J485" s="7"/>
      <c r="K485" s="7"/>
      <c r="L485" s="23"/>
      <c r="M485" s="6"/>
      <c r="N485" s="6"/>
      <c r="O485" s="6"/>
      <c r="P485" s="6"/>
      <c r="Q485" s="6"/>
      <c r="R485" s="6"/>
      <c r="S485" s="6" t="s">
        <v>4343</v>
      </c>
      <c r="T485" s="6"/>
      <c r="U485" s="6"/>
      <c r="V485" s="138" t="s">
        <v>4293</v>
      </c>
      <c r="W485" s="6"/>
      <c r="X485" s="293"/>
      <c r="Y485" s="12"/>
      <c r="Z485" s="67"/>
      <c r="AA485" s="6"/>
      <c r="AB485" s="6"/>
      <c r="AC485" s="6"/>
      <c r="AD485" s="28"/>
    </row>
    <row r="486" spans="1:30" s="9" customFormat="1" x14ac:dyDescent="0.2">
      <c r="A486" s="328"/>
      <c r="B486" s="16" t="s">
        <v>4005</v>
      </c>
      <c r="C486" s="16" t="s">
        <v>4236</v>
      </c>
      <c r="D486" s="7" t="s">
        <v>4346</v>
      </c>
      <c r="E486" s="7"/>
      <c r="F486" s="6" t="s">
        <v>4347</v>
      </c>
      <c r="G486" s="6" t="s">
        <v>4299</v>
      </c>
      <c r="H486" s="17">
        <v>76156.5</v>
      </c>
      <c r="I486" s="39"/>
      <c r="J486" s="7">
        <v>38327</v>
      </c>
      <c r="K486" s="331"/>
      <c r="L486" s="23">
        <v>38443</v>
      </c>
      <c r="M486" s="18" t="s">
        <v>4147</v>
      </c>
      <c r="N486" s="6" t="s">
        <v>42</v>
      </c>
      <c r="O486" s="7">
        <v>38380</v>
      </c>
      <c r="P486" s="331">
        <f>IF(O486="","",+O486-L486)</f>
        <v>-63</v>
      </c>
      <c r="Q486" s="331"/>
      <c r="R486" s="331"/>
      <c r="S486" s="175">
        <v>38395</v>
      </c>
      <c r="T486" s="7">
        <f>+S486+30</f>
        <v>38425</v>
      </c>
      <c r="U486" s="331">
        <f>IF(T486="","",+T486-J486)</f>
        <v>98</v>
      </c>
      <c r="V486" s="6" t="s">
        <v>4348</v>
      </c>
      <c r="W486" s="340" t="s">
        <v>4344</v>
      </c>
      <c r="X486" s="293"/>
      <c r="Y486" s="138" t="s">
        <v>47</v>
      </c>
      <c r="Z486" s="67" t="s">
        <v>4345</v>
      </c>
      <c r="AA486" s="6" t="s">
        <v>2238</v>
      </c>
      <c r="AB486" s="6"/>
      <c r="AC486" s="6"/>
      <c r="AD486" s="30" t="str">
        <f>IF(O486&lt;=L486,"en término","atrasado")</f>
        <v>en término</v>
      </c>
    </row>
    <row r="487" spans="1:30" s="9" customFormat="1" ht="12" thickBot="1" x14ac:dyDescent="0.25">
      <c r="A487" s="328"/>
      <c r="B487" s="19"/>
      <c r="C487" s="19"/>
      <c r="D487" s="5"/>
      <c r="E487" s="5"/>
      <c r="F487" s="5"/>
      <c r="G487" s="5"/>
      <c r="H487" s="105"/>
      <c r="I487" s="21"/>
      <c r="J487" s="27"/>
      <c r="K487" s="27"/>
      <c r="L487" s="27" t="s">
        <v>4329</v>
      </c>
      <c r="M487" s="5"/>
      <c r="N487" s="5"/>
      <c r="O487" s="19"/>
      <c r="P487" s="19"/>
      <c r="Q487" s="19"/>
      <c r="R487" s="19"/>
      <c r="S487" s="19"/>
      <c r="T487" s="19"/>
      <c r="U487" s="19"/>
      <c r="V487" s="224" t="s">
        <v>1344</v>
      </c>
      <c r="W487" s="5"/>
      <c r="X487" s="294"/>
      <c r="Y487" s="5"/>
      <c r="Z487" s="68"/>
      <c r="AA487" s="27">
        <v>38421</v>
      </c>
      <c r="AB487" s="5"/>
      <c r="AC487" s="5"/>
      <c r="AD487" s="28"/>
    </row>
    <row r="488" spans="1:30" s="9" customFormat="1" x14ac:dyDescent="0.2">
      <c r="A488" s="328"/>
      <c r="B488" s="16"/>
      <c r="C488" s="16"/>
      <c r="D488" s="7"/>
      <c r="E488" s="7"/>
      <c r="F488" s="6"/>
      <c r="G488" s="6"/>
      <c r="H488" s="17"/>
      <c r="I488" s="17"/>
      <c r="J488" s="7"/>
      <c r="K488" s="7"/>
      <c r="L488" s="23"/>
      <c r="M488" s="6"/>
      <c r="N488" s="6"/>
      <c r="O488" s="6"/>
      <c r="P488" s="6"/>
      <c r="Q488" s="6"/>
      <c r="R488" s="6"/>
      <c r="S488" s="6" t="s">
        <v>4343</v>
      </c>
      <c r="T488" s="6"/>
      <c r="U488" s="6"/>
      <c r="V488" s="138" t="s">
        <v>4293</v>
      </c>
      <c r="W488" s="6"/>
      <c r="X488" s="293"/>
      <c r="Y488" s="12"/>
      <c r="Z488" s="67"/>
      <c r="AA488" s="6"/>
      <c r="AB488" s="6"/>
      <c r="AC488" s="6"/>
      <c r="AD488" s="28"/>
    </row>
    <row r="489" spans="1:30" s="9" customFormat="1" x14ac:dyDescent="0.2">
      <c r="A489" s="328"/>
      <c r="B489" s="16" t="s">
        <v>4005</v>
      </c>
      <c r="C489" s="16" t="s">
        <v>4236</v>
      </c>
      <c r="D489" s="7" t="s">
        <v>4349</v>
      </c>
      <c r="E489" s="7"/>
      <c r="F489" s="6" t="s">
        <v>4350</v>
      </c>
      <c r="G489" s="6" t="s">
        <v>4299</v>
      </c>
      <c r="H489" s="17">
        <v>73755.7</v>
      </c>
      <c r="I489" s="39"/>
      <c r="J489" s="7">
        <v>38327</v>
      </c>
      <c r="K489" s="331"/>
      <c r="L489" s="23">
        <v>38443</v>
      </c>
      <c r="M489" s="18" t="s">
        <v>4147</v>
      </c>
      <c r="N489" s="6" t="s">
        <v>42</v>
      </c>
      <c r="O489" s="7">
        <v>38380</v>
      </c>
      <c r="P489" s="331">
        <f>IF(O489="","",+O489-L489)</f>
        <v>-63</v>
      </c>
      <c r="Q489" s="331"/>
      <c r="R489" s="331"/>
      <c r="S489" s="175">
        <v>38395</v>
      </c>
      <c r="T489" s="7">
        <f>+S489+30</f>
        <v>38425</v>
      </c>
      <c r="U489" s="331">
        <f>IF(T489="","",+T489-J489)</f>
        <v>98</v>
      </c>
      <c r="V489" s="6" t="s">
        <v>4351</v>
      </c>
      <c r="W489" s="340" t="s">
        <v>4344</v>
      </c>
      <c r="X489" s="293"/>
      <c r="Y489" s="138" t="s">
        <v>47</v>
      </c>
      <c r="Z489" s="67" t="s">
        <v>4345</v>
      </c>
      <c r="AA489" s="6" t="s">
        <v>2238</v>
      </c>
      <c r="AB489" s="6"/>
      <c r="AC489" s="6"/>
      <c r="AD489" s="30" t="str">
        <f>IF(O489&lt;=L489,"en término","atrasado")</f>
        <v>en término</v>
      </c>
    </row>
    <row r="490" spans="1:30" s="9" customFormat="1" ht="12" thickBot="1" x14ac:dyDescent="0.25">
      <c r="A490" s="328"/>
      <c r="B490" s="19"/>
      <c r="C490" s="19"/>
      <c r="D490" s="5"/>
      <c r="E490" s="5"/>
      <c r="F490" s="5"/>
      <c r="G490" s="5"/>
      <c r="H490" s="105"/>
      <c r="I490" s="21"/>
      <c r="J490" s="27"/>
      <c r="K490" s="27"/>
      <c r="L490" s="27" t="s">
        <v>4329</v>
      </c>
      <c r="M490" s="5"/>
      <c r="N490" s="5"/>
      <c r="O490" s="19"/>
      <c r="P490" s="19"/>
      <c r="Q490" s="19"/>
      <c r="R490" s="19"/>
      <c r="S490" s="19"/>
      <c r="T490" s="19"/>
      <c r="U490" s="19"/>
      <c r="V490" s="224" t="s">
        <v>1344</v>
      </c>
      <c r="W490" s="5"/>
      <c r="X490" s="294"/>
      <c r="Y490" s="5"/>
      <c r="Z490" s="68"/>
      <c r="AA490" s="27">
        <v>38421</v>
      </c>
      <c r="AB490" s="5"/>
      <c r="AC490" s="5"/>
      <c r="AD490" s="28"/>
    </row>
    <row r="491" spans="1:30" s="9" customFormat="1" x14ac:dyDescent="0.2">
      <c r="A491" s="328"/>
      <c r="B491" s="16"/>
      <c r="C491" s="16"/>
      <c r="D491" s="7"/>
      <c r="E491" s="7"/>
      <c r="F491" s="6"/>
      <c r="G491" s="6"/>
      <c r="H491" s="17"/>
      <c r="I491" s="17"/>
      <c r="J491" s="7"/>
      <c r="K491" s="7"/>
      <c r="L491" s="23"/>
      <c r="M491" s="6"/>
      <c r="N491" s="6"/>
      <c r="O491" s="6"/>
      <c r="P491" s="6"/>
      <c r="Q491" s="6"/>
      <c r="R491" s="6"/>
      <c r="S491" s="6"/>
      <c r="T491" s="6"/>
      <c r="U491" s="6"/>
      <c r="V491" s="138" t="s">
        <v>4293</v>
      </c>
      <c r="W491" s="6"/>
      <c r="X491" s="293"/>
      <c r="Y491" s="12"/>
      <c r="Z491" s="67"/>
      <c r="AA491" s="6"/>
      <c r="AB491" s="6"/>
      <c r="AC491" s="6"/>
      <c r="AD491" s="28"/>
    </row>
    <row r="492" spans="1:30" s="9" customFormat="1" x14ac:dyDescent="0.2">
      <c r="A492" s="328"/>
      <c r="B492" s="16" t="s">
        <v>4005</v>
      </c>
      <c r="C492" s="16" t="s">
        <v>4236</v>
      </c>
      <c r="D492" s="7" t="s">
        <v>4346</v>
      </c>
      <c r="E492" s="7"/>
      <c r="F492" s="6" t="s">
        <v>4347</v>
      </c>
      <c r="G492" s="6" t="s">
        <v>4299</v>
      </c>
      <c r="H492" s="17">
        <v>117856.5</v>
      </c>
      <c r="I492" s="39"/>
      <c r="J492" s="18">
        <v>38327</v>
      </c>
      <c r="K492" s="331"/>
      <c r="L492" s="348">
        <v>38401</v>
      </c>
      <c r="M492" s="18" t="s">
        <v>4147</v>
      </c>
      <c r="N492" s="6" t="s">
        <v>42</v>
      </c>
      <c r="O492" s="18">
        <v>38458</v>
      </c>
      <c r="P492" s="331">
        <f>IF(O492="","",+O492-L492)</f>
        <v>57</v>
      </c>
      <c r="Q492" s="331"/>
      <c r="R492" s="331"/>
      <c r="S492" s="18">
        <v>38509</v>
      </c>
      <c r="T492" s="18">
        <v>38517</v>
      </c>
      <c r="U492" s="331">
        <f>IF(T492="","",+T492-J492)</f>
        <v>190</v>
      </c>
      <c r="V492" s="6" t="s">
        <v>4352</v>
      </c>
      <c r="W492" s="6" t="s">
        <v>4353</v>
      </c>
      <c r="X492" s="293"/>
      <c r="Y492" s="138" t="s">
        <v>47</v>
      </c>
      <c r="Z492" s="67"/>
      <c r="AA492" s="67" t="s">
        <v>47</v>
      </c>
      <c r="AB492" s="18"/>
      <c r="AC492" s="18"/>
      <c r="AD492" s="30"/>
    </row>
    <row r="493" spans="1:30" s="9" customFormat="1" ht="12" thickBot="1" x14ac:dyDescent="0.25">
      <c r="A493" s="328"/>
      <c r="B493" s="19"/>
      <c r="C493" s="19"/>
      <c r="D493" s="5"/>
      <c r="E493" s="5"/>
      <c r="F493" s="5"/>
      <c r="G493" s="5"/>
      <c r="H493" s="105"/>
      <c r="I493" s="21"/>
      <c r="J493" s="187"/>
      <c r="K493" s="27"/>
      <c r="L493" s="27" t="s">
        <v>4329</v>
      </c>
      <c r="M493" s="5"/>
      <c r="N493" s="5"/>
      <c r="O493" s="19"/>
      <c r="P493" s="19"/>
      <c r="Q493" s="19"/>
      <c r="R493" s="19"/>
      <c r="S493" s="19"/>
      <c r="T493" s="19"/>
      <c r="U493" s="19"/>
      <c r="V493" s="224" t="s">
        <v>4354</v>
      </c>
      <c r="W493" s="5"/>
      <c r="X493" s="294"/>
      <c r="Y493" s="5"/>
      <c r="Z493" s="68"/>
      <c r="AA493" s="68" t="s">
        <v>4355</v>
      </c>
      <c r="AB493" s="5"/>
      <c r="AC493" s="5"/>
      <c r="AD493" s="28"/>
    </row>
    <row r="494" spans="1:30" s="9" customFormat="1" x14ac:dyDescent="0.2">
      <c r="A494" s="328"/>
      <c r="B494" s="16"/>
      <c r="C494" s="16"/>
      <c r="D494" s="7"/>
      <c r="E494" s="7"/>
      <c r="F494" s="6"/>
      <c r="G494" s="6"/>
      <c r="H494" s="17"/>
      <c r="I494" s="17"/>
      <c r="J494" s="7"/>
      <c r="K494" s="7"/>
      <c r="L494" s="23"/>
      <c r="M494" s="6"/>
      <c r="N494" s="6"/>
      <c r="O494" s="6"/>
      <c r="P494" s="6"/>
      <c r="Q494" s="6"/>
      <c r="R494" s="6"/>
      <c r="S494" s="6"/>
      <c r="T494" s="6"/>
      <c r="U494" s="6"/>
      <c r="V494" s="138" t="s">
        <v>4293</v>
      </c>
      <c r="W494" s="6"/>
      <c r="X494" s="293"/>
      <c r="Y494" s="12"/>
      <c r="Z494" s="67"/>
      <c r="AA494" s="6"/>
      <c r="AB494" s="6"/>
      <c r="AC494" s="6"/>
      <c r="AD494" s="28"/>
    </row>
    <row r="495" spans="1:30" s="9" customFormat="1" x14ac:dyDescent="0.2">
      <c r="A495" s="328"/>
      <c r="B495" s="16" t="s">
        <v>4005</v>
      </c>
      <c r="C495" s="16" t="s">
        <v>4236</v>
      </c>
      <c r="D495" s="7" t="s">
        <v>4349</v>
      </c>
      <c r="E495" s="7"/>
      <c r="F495" s="6" t="s">
        <v>4350</v>
      </c>
      <c r="G495" s="6" t="s">
        <v>4299</v>
      </c>
      <c r="H495" s="17">
        <v>108194.2</v>
      </c>
      <c r="I495" s="39"/>
      <c r="J495" s="18">
        <v>38327</v>
      </c>
      <c r="K495" s="331"/>
      <c r="L495" s="348">
        <v>38401</v>
      </c>
      <c r="M495" s="18" t="s">
        <v>4147</v>
      </c>
      <c r="N495" s="6" t="s">
        <v>42</v>
      </c>
      <c r="O495" s="18">
        <v>38458</v>
      </c>
      <c r="P495" s="331">
        <f>IF(O495="","",+O495-L495)</f>
        <v>57</v>
      </c>
      <c r="Q495" s="331"/>
      <c r="R495" s="331"/>
      <c r="S495" s="18">
        <v>38517</v>
      </c>
      <c r="T495" s="18">
        <v>38525</v>
      </c>
      <c r="U495" s="331">
        <f>IF(T495="","",+T495-J495)</f>
        <v>198</v>
      </c>
      <c r="V495" s="6" t="s">
        <v>4356</v>
      </c>
      <c r="W495" s="6" t="s">
        <v>4357</v>
      </c>
      <c r="X495" s="293"/>
      <c r="Y495" s="138" t="s">
        <v>47</v>
      </c>
      <c r="Z495" s="67"/>
      <c r="AA495" s="67" t="s">
        <v>47</v>
      </c>
      <c r="AB495" s="18"/>
      <c r="AC495" s="18"/>
      <c r="AD495" s="30"/>
    </row>
    <row r="496" spans="1:30" s="9" customFormat="1" ht="12" thickBot="1" x14ac:dyDescent="0.25">
      <c r="A496" s="328"/>
      <c r="B496" s="19"/>
      <c r="C496" s="19"/>
      <c r="D496" s="5"/>
      <c r="E496" s="5"/>
      <c r="F496" s="5"/>
      <c r="G496" s="5"/>
      <c r="H496" s="105"/>
      <c r="I496" s="21"/>
      <c r="J496" s="27"/>
      <c r="K496" s="27"/>
      <c r="L496" s="27" t="s">
        <v>4329</v>
      </c>
      <c r="M496" s="5"/>
      <c r="N496" s="5"/>
      <c r="O496" s="19"/>
      <c r="P496" s="19"/>
      <c r="Q496" s="19"/>
      <c r="R496" s="19"/>
      <c r="S496" s="19"/>
      <c r="T496" s="19"/>
      <c r="U496" s="19"/>
      <c r="V496" s="224" t="s">
        <v>4354</v>
      </c>
      <c r="W496" s="5"/>
      <c r="X496" s="294"/>
      <c r="Y496" s="5"/>
      <c r="Z496" s="68"/>
      <c r="AA496" s="68" t="s">
        <v>4355</v>
      </c>
      <c r="AB496" s="5"/>
      <c r="AC496" s="5"/>
      <c r="AD496" s="28"/>
    </row>
    <row r="497" spans="1:30" s="9" customFormat="1" x14ac:dyDescent="0.2">
      <c r="A497" s="328"/>
      <c r="B497" s="16"/>
      <c r="C497" s="16"/>
      <c r="D497" s="7"/>
      <c r="E497" s="7"/>
      <c r="F497" s="6"/>
      <c r="G497" s="6"/>
      <c r="H497" s="17"/>
      <c r="I497" s="17"/>
      <c r="J497" s="7"/>
      <c r="K497" s="7"/>
      <c r="L497" s="23"/>
      <c r="M497" s="6"/>
      <c r="N497" s="6"/>
      <c r="O497" s="6"/>
      <c r="P497" s="6"/>
      <c r="Q497" s="6"/>
      <c r="R497" s="6"/>
      <c r="S497" s="6" t="s">
        <v>4358</v>
      </c>
      <c r="T497" s="18"/>
      <c r="U497" s="6"/>
      <c r="V497" s="138" t="s">
        <v>4293</v>
      </c>
      <c r="W497" s="6"/>
      <c r="X497" s="293"/>
      <c r="Y497" s="12"/>
      <c r="Z497" s="67"/>
      <c r="AA497" s="6"/>
      <c r="AB497" s="6"/>
      <c r="AC497" s="6"/>
      <c r="AD497" s="28"/>
    </row>
    <row r="498" spans="1:30" s="9" customFormat="1" x14ac:dyDescent="0.2">
      <c r="A498" s="328"/>
      <c r="B498" s="16" t="s">
        <v>4005</v>
      </c>
      <c r="C498" s="16" t="s">
        <v>4236</v>
      </c>
      <c r="D498" s="7" t="s">
        <v>4346</v>
      </c>
      <c r="E498" s="7"/>
      <c r="F498" s="6" t="s">
        <v>4347</v>
      </c>
      <c r="G498" s="6" t="s">
        <v>4299</v>
      </c>
      <c r="H498" s="17">
        <v>76156.5</v>
      </c>
      <c r="I498" s="39"/>
      <c r="J498" s="18">
        <v>38327</v>
      </c>
      <c r="K498" s="331"/>
      <c r="L498" s="348">
        <v>38473</v>
      </c>
      <c r="M498" s="18" t="s">
        <v>4147</v>
      </c>
      <c r="N498" s="6" t="s">
        <v>42</v>
      </c>
      <c r="O498" s="18">
        <v>38499</v>
      </c>
      <c r="P498" s="331">
        <f>IF(O498="","",+O498-L498)</f>
        <v>26</v>
      </c>
      <c r="Q498" s="331"/>
      <c r="R498" s="331"/>
      <c r="S498" s="349">
        <v>38508</v>
      </c>
      <c r="T498" s="18">
        <v>38520</v>
      </c>
      <c r="U498" s="331">
        <f>IF(T498="","",+T498-J498)</f>
        <v>193</v>
      </c>
      <c r="V498" s="6" t="s">
        <v>4348</v>
      </c>
      <c r="W498" s="340" t="s">
        <v>4359</v>
      </c>
      <c r="X498" s="293"/>
      <c r="Y498" s="138" t="s">
        <v>47</v>
      </c>
      <c r="Z498" s="67">
        <v>6671346592</v>
      </c>
      <c r="AA498" s="6" t="s">
        <v>47</v>
      </c>
      <c r="AB498" s="18"/>
      <c r="AC498" s="18"/>
      <c r="AD498" s="30" t="str">
        <f>IF(O498&lt;=L498,"en término","atrasado")</f>
        <v>atrasado</v>
      </c>
    </row>
    <row r="499" spans="1:30" s="9" customFormat="1" ht="12" thickBot="1" x14ac:dyDescent="0.25">
      <c r="A499" s="328"/>
      <c r="B499" s="19"/>
      <c r="C499" s="19"/>
      <c r="D499" s="5"/>
      <c r="E499" s="5"/>
      <c r="F499" s="5"/>
      <c r="G499" s="5"/>
      <c r="H499" s="105"/>
      <c r="I499" s="21"/>
      <c r="J499" s="27"/>
      <c r="K499" s="27"/>
      <c r="L499" s="27" t="s">
        <v>4329</v>
      </c>
      <c r="M499" s="5"/>
      <c r="N499" s="5"/>
      <c r="O499" s="19"/>
      <c r="P499" s="19"/>
      <c r="Q499" s="19"/>
      <c r="R499" s="19"/>
      <c r="S499" s="19" t="s">
        <v>4360</v>
      </c>
      <c r="T499" s="19"/>
      <c r="U499" s="19"/>
      <c r="V499" s="224" t="s">
        <v>4361</v>
      </c>
      <c r="W499" s="5"/>
      <c r="X499" s="294"/>
      <c r="Y499" s="5"/>
      <c r="Z499" s="68"/>
      <c r="AA499" s="27">
        <v>38540</v>
      </c>
      <c r="AB499" s="5"/>
      <c r="AC499" s="5"/>
      <c r="AD499" s="28"/>
    </row>
    <row r="500" spans="1:30" s="9" customFormat="1" x14ac:dyDescent="0.2">
      <c r="A500" s="328"/>
      <c r="B500" s="16"/>
      <c r="C500" s="16"/>
      <c r="D500" s="7"/>
      <c r="E500" s="7"/>
      <c r="F500" s="6"/>
      <c r="G500" s="6"/>
      <c r="H500" s="17"/>
      <c r="I500" s="17"/>
      <c r="J500" s="7"/>
      <c r="K500" s="7"/>
      <c r="L500" s="23"/>
      <c r="M500" s="6"/>
      <c r="N500" s="6"/>
      <c r="O500" s="6"/>
      <c r="P500" s="6"/>
      <c r="Q500" s="6"/>
      <c r="R500" s="6"/>
      <c r="S500" s="6" t="s">
        <v>4358</v>
      </c>
      <c r="T500" s="6"/>
      <c r="U500" s="6"/>
      <c r="V500" s="138" t="s">
        <v>4293</v>
      </c>
      <c r="W500" s="6"/>
      <c r="X500" s="293"/>
      <c r="Y500" s="12"/>
      <c r="Z500" s="67"/>
      <c r="AA500" s="6"/>
      <c r="AB500" s="6"/>
      <c r="AC500" s="6"/>
      <c r="AD500" s="28"/>
    </row>
    <row r="501" spans="1:30" s="9" customFormat="1" x14ac:dyDescent="0.2">
      <c r="A501" s="328"/>
      <c r="B501" s="16" t="s">
        <v>4005</v>
      </c>
      <c r="C501" s="16" t="s">
        <v>4236</v>
      </c>
      <c r="D501" s="7" t="s">
        <v>4349</v>
      </c>
      <c r="E501" s="7"/>
      <c r="F501" s="6" t="s">
        <v>4350</v>
      </c>
      <c r="G501" s="6" t="s">
        <v>4299</v>
      </c>
      <c r="H501" s="17">
        <v>73755.7</v>
      </c>
      <c r="I501" s="39"/>
      <c r="J501" s="18">
        <v>38327</v>
      </c>
      <c r="K501" s="331"/>
      <c r="L501" s="348">
        <v>38473</v>
      </c>
      <c r="M501" s="18" t="s">
        <v>4147</v>
      </c>
      <c r="N501" s="6" t="s">
        <v>42</v>
      </c>
      <c r="O501" s="18">
        <v>38499</v>
      </c>
      <c r="P501" s="331">
        <f>IF(O501="","",+O501-L501)</f>
        <v>26</v>
      </c>
      <c r="Q501" s="331"/>
      <c r="R501" s="331"/>
      <c r="S501" s="349">
        <v>38508</v>
      </c>
      <c r="T501" s="18">
        <v>38520</v>
      </c>
      <c r="U501" s="331">
        <f>IF(T501="","",+T501-J501)</f>
        <v>193</v>
      </c>
      <c r="V501" s="6" t="s">
        <v>4351</v>
      </c>
      <c r="W501" s="340" t="s">
        <v>4359</v>
      </c>
      <c r="X501" s="293"/>
      <c r="Y501" s="138" t="s">
        <v>47</v>
      </c>
      <c r="Z501" s="67">
        <v>6671346592</v>
      </c>
      <c r="AA501" s="6" t="s">
        <v>47</v>
      </c>
      <c r="AB501" s="18"/>
      <c r="AC501" s="18"/>
      <c r="AD501" s="30" t="str">
        <f>IF(O501&lt;=L501,"en término","atrasado")</f>
        <v>atrasado</v>
      </c>
    </row>
    <row r="502" spans="1:30" s="9" customFormat="1" ht="12" thickBot="1" x14ac:dyDescent="0.25">
      <c r="A502" s="328"/>
      <c r="B502" s="19"/>
      <c r="C502" s="19"/>
      <c r="D502" s="5"/>
      <c r="E502" s="5"/>
      <c r="F502" s="5"/>
      <c r="G502" s="5"/>
      <c r="H502" s="105"/>
      <c r="I502" s="21"/>
      <c r="J502" s="27"/>
      <c r="K502" s="27"/>
      <c r="L502" s="27" t="s">
        <v>4329</v>
      </c>
      <c r="M502" s="5"/>
      <c r="N502" s="5"/>
      <c r="O502" s="19"/>
      <c r="P502" s="19"/>
      <c r="Q502" s="19"/>
      <c r="R502" s="19"/>
      <c r="S502" s="19" t="s">
        <v>4360</v>
      </c>
      <c r="T502" s="19"/>
      <c r="U502" s="19"/>
      <c r="V502" s="224" t="s">
        <v>4361</v>
      </c>
      <c r="W502" s="5"/>
      <c r="X502" s="294"/>
      <c r="Y502" s="5"/>
      <c r="Z502" s="68"/>
      <c r="AA502" s="27">
        <v>38540</v>
      </c>
      <c r="AB502" s="5"/>
      <c r="AC502" s="5"/>
      <c r="AD502" s="28"/>
    </row>
    <row r="503" spans="1:30" s="9" customFormat="1" x14ac:dyDescent="0.2">
      <c r="A503" s="328"/>
      <c r="B503" s="16"/>
      <c r="C503" s="16"/>
      <c r="D503" s="7"/>
      <c r="E503" s="7"/>
      <c r="F503" s="6"/>
      <c r="G503" s="6"/>
      <c r="H503" s="17"/>
      <c r="I503" s="17"/>
      <c r="J503" s="7"/>
      <c r="K503" s="7"/>
      <c r="L503" s="23"/>
      <c r="M503" s="6"/>
      <c r="N503" s="6"/>
      <c r="O503" s="6"/>
      <c r="P503" s="6"/>
      <c r="Q503" s="6"/>
      <c r="R503" s="6"/>
      <c r="S503" s="6"/>
      <c r="T503" s="6"/>
      <c r="U503" s="6"/>
      <c r="V503" s="138" t="s">
        <v>4362</v>
      </c>
      <c r="W503" s="6"/>
      <c r="X503" s="293"/>
      <c r="Y503" s="12"/>
      <c r="Z503" s="67"/>
      <c r="AA503" s="6"/>
      <c r="AB503" s="6"/>
      <c r="AC503" s="6"/>
      <c r="AD503" s="28"/>
    </row>
    <row r="504" spans="1:30" s="9" customFormat="1" x14ac:dyDescent="0.2">
      <c r="A504" s="328"/>
      <c r="B504" s="16" t="s">
        <v>4005</v>
      </c>
      <c r="C504" s="16" t="s">
        <v>4236</v>
      </c>
      <c r="D504" s="7" t="s">
        <v>4363</v>
      </c>
      <c r="E504" s="7"/>
      <c r="F504" s="6" t="s">
        <v>4364</v>
      </c>
      <c r="G504" s="6" t="s">
        <v>4299</v>
      </c>
      <c r="H504" s="17">
        <v>71627.199999999997</v>
      </c>
      <c r="I504" s="39"/>
      <c r="J504" s="18">
        <v>38469</v>
      </c>
      <c r="K504" s="331"/>
      <c r="L504" s="348">
        <v>38515</v>
      </c>
      <c r="M504" s="18" t="s">
        <v>4147</v>
      </c>
      <c r="N504" s="6" t="s">
        <v>42</v>
      </c>
      <c r="O504" s="18">
        <v>38553</v>
      </c>
      <c r="P504" s="331">
        <f>IF(O504="","",+O504-L504)</f>
        <v>38</v>
      </c>
      <c r="Q504" s="331"/>
      <c r="R504" s="331"/>
      <c r="S504" s="18">
        <v>38573</v>
      </c>
      <c r="T504" s="18">
        <f>+S504+10</f>
        <v>38583</v>
      </c>
      <c r="U504" s="331">
        <f>IF(T504="","",+T504-J504)</f>
        <v>114</v>
      </c>
      <c r="V504" s="6" t="s">
        <v>4365</v>
      </c>
      <c r="W504" s="6" t="s">
        <v>4366</v>
      </c>
      <c r="X504" s="293"/>
      <c r="Y504" s="138" t="s">
        <v>47</v>
      </c>
      <c r="Z504" s="67"/>
      <c r="AA504" s="6" t="s">
        <v>47</v>
      </c>
      <c r="AB504" s="18"/>
      <c r="AC504" s="18"/>
      <c r="AD504" s="30"/>
    </row>
    <row r="505" spans="1:30" s="9" customFormat="1" ht="12" thickBot="1" x14ac:dyDescent="0.25">
      <c r="A505" s="328"/>
      <c r="B505" s="19"/>
      <c r="C505" s="19"/>
      <c r="D505" s="5"/>
      <c r="E505" s="5"/>
      <c r="F505" s="5"/>
      <c r="G505" s="5"/>
      <c r="H505" s="352"/>
      <c r="I505" s="21"/>
      <c r="J505" s="27"/>
      <c r="K505" s="27"/>
      <c r="L505" s="27" t="s">
        <v>4329</v>
      </c>
      <c r="M505" s="5"/>
      <c r="N505" s="5"/>
      <c r="O505" s="19"/>
      <c r="P505" s="19"/>
      <c r="Q505" s="19"/>
      <c r="R505" s="19"/>
      <c r="S505" s="19"/>
      <c r="T505" s="19"/>
      <c r="U505" s="19"/>
      <c r="V505" s="224" t="s">
        <v>4367</v>
      </c>
      <c r="W505" s="5"/>
      <c r="X505" s="294"/>
      <c r="Y505" s="5"/>
      <c r="Z505" s="68"/>
      <c r="AA505" s="27" t="s">
        <v>4368</v>
      </c>
      <c r="AB505" s="5"/>
      <c r="AC505" s="5"/>
      <c r="AD505" s="28"/>
    </row>
    <row r="506" spans="1:30" s="9" customFormat="1" x14ac:dyDescent="0.2">
      <c r="A506" s="328"/>
      <c r="B506" s="16"/>
      <c r="C506" s="16"/>
      <c r="D506" s="7"/>
      <c r="E506" s="7"/>
      <c r="F506" s="6"/>
      <c r="G506" s="6"/>
      <c r="H506" s="17"/>
      <c r="I506" s="17"/>
      <c r="J506" s="7"/>
      <c r="K506" s="7"/>
      <c r="L506" s="348"/>
      <c r="M506" s="6"/>
      <c r="N506" s="6"/>
      <c r="O506" s="6"/>
      <c r="P506" s="6"/>
      <c r="Q506" s="6"/>
      <c r="R506" s="6"/>
      <c r="S506" s="6"/>
      <c r="T506" s="6"/>
      <c r="U506" s="6"/>
      <c r="V506" s="138" t="s">
        <v>4362</v>
      </c>
      <c r="W506" s="6"/>
      <c r="X506" s="293"/>
      <c r="Y506" s="12"/>
      <c r="Z506" s="67"/>
      <c r="AA506" s="6"/>
      <c r="AB506" s="6"/>
      <c r="AC506" s="6"/>
      <c r="AD506" s="28"/>
    </row>
    <row r="507" spans="1:30" s="9" customFormat="1" x14ac:dyDescent="0.2">
      <c r="A507" s="328"/>
      <c r="B507" s="16" t="s">
        <v>4005</v>
      </c>
      <c r="C507" s="16" t="s">
        <v>4236</v>
      </c>
      <c r="D507" s="7" t="s">
        <v>4369</v>
      </c>
      <c r="E507" s="7"/>
      <c r="F507" s="6" t="s">
        <v>4370</v>
      </c>
      <c r="G507" s="6" t="s">
        <v>4299</v>
      </c>
      <c r="H507" s="17">
        <v>8846</v>
      </c>
      <c r="I507" s="39"/>
      <c r="J507" s="18">
        <v>38469</v>
      </c>
      <c r="K507" s="331"/>
      <c r="L507" s="348">
        <v>38515</v>
      </c>
      <c r="M507" s="18" t="s">
        <v>4147</v>
      </c>
      <c r="N507" s="6" t="s">
        <v>42</v>
      </c>
      <c r="O507" s="18">
        <v>38553</v>
      </c>
      <c r="P507" s="331">
        <f>IF(O507="","",+O507-L507)</f>
        <v>38</v>
      </c>
      <c r="Q507" s="331"/>
      <c r="R507" s="331"/>
      <c r="S507" s="18">
        <v>38573</v>
      </c>
      <c r="T507" s="18">
        <f>+S507+10</f>
        <v>38583</v>
      </c>
      <c r="U507" s="331">
        <f>IF(T507="","",+T507-J507)</f>
        <v>114</v>
      </c>
      <c r="V507" s="6" t="s">
        <v>4371</v>
      </c>
      <c r="W507" s="6" t="s">
        <v>4372</v>
      </c>
      <c r="X507" s="293"/>
      <c r="Y507" s="138" t="s">
        <v>47</v>
      </c>
      <c r="Z507" s="67"/>
      <c r="AA507" s="6" t="s">
        <v>47</v>
      </c>
      <c r="AB507" s="18"/>
      <c r="AC507" s="18"/>
      <c r="AD507" s="30"/>
    </row>
    <row r="508" spans="1:30" s="9" customFormat="1" ht="12" thickBot="1" x14ac:dyDescent="0.25">
      <c r="A508" s="328"/>
      <c r="B508" s="19"/>
      <c r="C508" s="19"/>
      <c r="D508" s="5"/>
      <c r="E508" s="5"/>
      <c r="F508" s="5"/>
      <c r="G508" s="5"/>
      <c r="H508" s="105"/>
      <c r="I508" s="21"/>
      <c r="J508" s="27"/>
      <c r="K508" s="27"/>
      <c r="L508" s="27" t="s">
        <v>4329</v>
      </c>
      <c r="M508" s="5"/>
      <c r="N508" s="5"/>
      <c r="O508" s="19"/>
      <c r="P508" s="19"/>
      <c r="Q508" s="19"/>
      <c r="R508" s="19"/>
      <c r="S508" s="19"/>
      <c r="T508" s="19"/>
      <c r="U508" s="19"/>
      <c r="V508" s="224" t="s">
        <v>4367</v>
      </c>
      <c r="W508" s="5"/>
      <c r="X508" s="294"/>
      <c r="Y508" s="5"/>
      <c r="Z508" s="68"/>
      <c r="AA508" s="27" t="s">
        <v>4368</v>
      </c>
      <c r="AB508" s="5"/>
      <c r="AC508" s="5"/>
      <c r="AD508" s="28"/>
    </row>
    <row r="509" spans="1:30" s="9" customFormat="1" x14ac:dyDescent="0.2">
      <c r="A509" s="328"/>
      <c r="B509" s="16"/>
      <c r="C509" s="16"/>
      <c r="D509" s="7"/>
      <c r="E509" s="7"/>
      <c r="F509" s="6"/>
      <c r="G509" s="6"/>
      <c r="H509" s="17"/>
      <c r="I509" s="17"/>
      <c r="J509" s="7"/>
      <c r="K509" s="7"/>
      <c r="L509" s="23"/>
      <c r="M509" s="6"/>
      <c r="N509" s="6"/>
      <c r="O509" s="6"/>
      <c r="P509" s="6"/>
      <c r="Q509" s="6"/>
      <c r="R509" s="6"/>
      <c r="S509" s="6" t="s">
        <v>4373</v>
      </c>
      <c r="T509" s="6"/>
      <c r="U509" s="6"/>
      <c r="V509" s="138" t="s">
        <v>4362</v>
      </c>
      <c r="W509" s="6"/>
      <c r="X509" s="293"/>
      <c r="Y509" s="12"/>
      <c r="Z509" s="67"/>
      <c r="AA509" s="6"/>
      <c r="AB509" s="6"/>
      <c r="AC509" s="6"/>
      <c r="AD509" s="28"/>
    </row>
    <row r="510" spans="1:30" s="9" customFormat="1" x14ac:dyDescent="0.2">
      <c r="A510" s="328"/>
      <c r="B510" s="16" t="s">
        <v>4005</v>
      </c>
      <c r="C510" s="16" t="s">
        <v>4236</v>
      </c>
      <c r="D510" s="7" t="s">
        <v>4346</v>
      </c>
      <c r="E510" s="7"/>
      <c r="F510" s="6" t="s">
        <v>4347</v>
      </c>
      <c r="G510" s="6" t="s">
        <v>4299</v>
      </c>
      <c r="H510" s="17">
        <v>41150</v>
      </c>
      <c r="I510" s="39"/>
      <c r="J510" s="18">
        <v>38327</v>
      </c>
      <c r="K510" s="331"/>
      <c r="L510" s="348">
        <v>38473</v>
      </c>
      <c r="M510" s="18" t="s">
        <v>4147</v>
      </c>
      <c r="N510" s="6" t="s">
        <v>42</v>
      </c>
      <c r="O510" s="18">
        <v>38538</v>
      </c>
      <c r="P510" s="331">
        <f>IF(O510="","",+O510-L510)</f>
        <v>65</v>
      </c>
      <c r="Q510" s="331"/>
      <c r="R510" s="331"/>
      <c r="S510" s="349">
        <v>38550</v>
      </c>
      <c r="T510" s="18">
        <v>38572</v>
      </c>
      <c r="U510" s="331">
        <f>IF(T510="","",+T510-J510)</f>
        <v>245</v>
      </c>
      <c r="V510" s="6" t="s">
        <v>4348</v>
      </c>
      <c r="W510" s="340" t="s">
        <v>4374</v>
      </c>
      <c r="X510" s="293"/>
      <c r="Y510" s="138" t="s">
        <v>47</v>
      </c>
      <c r="Z510" s="67">
        <v>6505563643</v>
      </c>
      <c r="AA510" s="6" t="s">
        <v>47</v>
      </c>
      <c r="AB510" s="18"/>
      <c r="AC510" s="18"/>
      <c r="AD510" s="30" t="str">
        <f>IF(O510&lt;=L510,"en término","atrasado")</f>
        <v>atrasado</v>
      </c>
    </row>
    <row r="511" spans="1:30" s="9" customFormat="1" ht="12" thickBot="1" x14ac:dyDescent="0.25">
      <c r="A511" s="328"/>
      <c r="B511" s="19"/>
      <c r="C511" s="19"/>
      <c r="D511" s="5"/>
      <c r="E511" s="5"/>
      <c r="F511" s="5"/>
      <c r="G511" s="5"/>
      <c r="H511" s="105"/>
      <c r="I511" s="21"/>
      <c r="J511" s="27"/>
      <c r="K511" s="27"/>
      <c r="L511" s="27" t="s">
        <v>4329</v>
      </c>
      <c r="M511" s="5"/>
      <c r="N511" s="5"/>
      <c r="O511" s="19"/>
      <c r="P511" s="19"/>
      <c r="Q511" s="19"/>
      <c r="R511" s="19"/>
      <c r="S511" s="351"/>
      <c r="T511" s="19"/>
      <c r="U511" s="19"/>
      <c r="V511" s="224" t="s">
        <v>4375</v>
      </c>
      <c r="W511" s="5"/>
      <c r="X511" s="294"/>
      <c r="Y511" s="5"/>
      <c r="Z511" s="68"/>
      <c r="AA511" s="27" t="s">
        <v>4376</v>
      </c>
      <c r="AB511" s="5"/>
      <c r="AC511" s="5"/>
      <c r="AD511" s="28"/>
    </row>
    <row r="512" spans="1:30" s="9" customFormat="1" x14ac:dyDescent="0.2">
      <c r="A512" s="328"/>
      <c r="B512" s="16"/>
      <c r="C512" s="16"/>
      <c r="D512" s="7"/>
      <c r="E512" s="7"/>
      <c r="F512" s="6"/>
      <c r="G512" s="6"/>
      <c r="H512" s="17"/>
      <c r="I512" s="17"/>
      <c r="J512" s="7"/>
      <c r="K512" s="7"/>
      <c r="L512" s="23"/>
      <c r="M512" s="6"/>
      <c r="N512" s="6"/>
      <c r="O512" s="6"/>
      <c r="P512" s="6"/>
      <c r="Q512" s="6"/>
      <c r="R512" s="6"/>
      <c r="S512" s="6" t="s">
        <v>4373</v>
      </c>
      <c r="T512" s="6"/>
      <c r="U512" s="6"/>
      <c r="V512" s="138" t="s">
        <v>4362</v>
      </c>
      <c r="W512" s="6"/>
      <c r="X512" s="293"/>
      <c r="Y512" s="12"/>
      <c r="Z512" s="67"/>
      <c r="AA512" s="6"/>
      <c r="AB512" s="6"/>
      <c r="AC512" s="6"/>
      <c r="AD512" s="28"/>
    </row>
    <row r="513" spans="1:30" s="9" customFormat="1" x14ac:dyDescent="0.2">
      <c r="A513" s="328"/>
      <c r="B513" s="16" t="s">
        <v>4005</v>
      </c>
      <c r="C513" s="16" t="s">
        <v>4236</v>
      </c>
      <c r="D513" s="7" t="s">
        <v>4349</v>
      </c>
      <c r="E513" s="7"/>
      <c r="F513" s="6" t="s">
        <v>4350</v>
      </c>
      <c r="G513" s="6" t="s">
        <v>4299</v>
      </c>
      <c r="H513" s="17">
        <v>51609.5</v>
      </c>
      <c r="I513" s="39"/>
      <c r="J513" s="18">
        <v>38327</v>
      </c>
      <c r="K513" s="331"/>
      <c r="L513" s="348">
        <v>38473</v>
      </c>
      <c r="M513" s="18" t="s">
        <v>4147</v>
      </c>
      <c r="N513" s="6" t="s">
        <v>42</v>
      </c>
      <c r="O513" s="18">
        <v>38538</v>
      </c>
      <c r="P513" s="331">
        <f>IF(O513="","",+O513-L513)</f>
        <v>65</v>
      </c>
      <c r="Q513" s="331"/>
      <c r="R513" s="331"/>
      <c r="S513" s="349">
        <v>38550</v>
      </c>
      <c r="T513" s="18">
        <v>38572</v>
      </c>
      <c r="U513" s="331">
        <f>IF(T513="","",+T513-J513)</f>
        <v>245</v>
      </c>
      <c r="V513" s="6" t="s">
        <v>4351</v>
      </c>
      <c r="W513" s="340" t="s">
        <v>4374</v>
      </c>
      <c r="X513" s="293"/>
      <c r="Y513" s="138" t="s">
        <v>47</v>
      </c>
      <c r="Z513" s="67">
        <v>6505563643</v>
      </c>
      <c r="AA513" s="6" t="s">
        <v>47</v>
      </c>
      <c r="AB513" s="18"/>
      <c r="AC513" s="18"/>
      <c r="AD513" s="30" t="str">
        <f>IF(O513&lt;=L513,"en término","atrasado")</f>
        <v>atrasado</v>
      </c>
    </row>
    <row r="514" spans="1:30" s="9" customFormat="1" ht="12" thickBot="1" x14ac:dyDescent="0.25">
      <c r="A514" s="328"/>
      <c r="B514" s="19"/>
      <c r="C514" s="19"/>
      <c r="D514" s="5"/>
      <c r="E514" s="5"/>
      <c r="F514" s="5"/>
      <c r="G514" s="5"/>
      <c r="H514" s="105"/>
      <c r="I514" s="21"/>
      <c r="J514" s="27"/>
      <c r="K514" s="27"/>
      <c r="L514" s="27" t="s">
        <v>4329</v>
      </c>
      <c r="M514" s="5"/>
      <c r="N514" s="5"/>
      <c r="O514" s="19"/>
      <c r="P514" s="19"/>
      <c r="Q514" s="19"/>
      <c r="R514" s="19"/>
      <c r="S514" s="351"/>
      <c r="T514" s="19"/>
      <c r="U514" s="19"/>
      <c r="V514" s="224" t="s">
        <v>4375</v>
      </c>
      <c r="W514" s="5"/>
      <c r="X514" s="294"/>
      <c r="Y514" s="5"/>
      <c r="Z514" s="68"/>
      <c r="AA514" s="27" t="s">
        <v>4376</v>
      </c>
      <c r="AB514" s="5"/>
      <c r="AC514" s="5"/>
      <c r="AD514" s="28"/>
    </row>
    <row r="515" spans="1:30" s="9" customFormat="1" x14ac:dyDescent="0.2">
      <c r="A515" s="328"/>
      <c r="B515" s="16"/>
      <c r="C515" s="16"/>
      <c r="D515" s="7"/>
      <c r="E515" s="7"/>
      <c r="F515" s="6"/>
      <c r="G515" s="6"/>
      <c r="H515" s="17"/>
      <c r="I515" s="17"/>
      <c r="J515" s="7"/>
      <c r="K515" s="7"/>
      <c r="L515" s="23"/>
      <c r="M515" s="6"/>
      <c r="N515" s="6"/>
      <c r="O515" s="6"/>
      <c r="P515" s="6"/>
      <c r="Q515" s="6"/>
      <c r="R515" s="6"/>
      <c r="S515" s="6" t="s">
        <v>4373</v>
      </c>
      <c r="T515" s="6"/>
      <c r="U515" s="6"/>
      <c r="V515" s="138" t="s">
        <v>4362</v>
      </c>
      <c r="W515" s="6"/>
      <c r="X515" s="293"/>
      <c r="Y515" s="12"/>
      <c r="Z515" s="67"/>
      <c r="AA515" s="6"/>
      <c r="AB515" s="6"/>
      <c r="AC515" s="6"/>
      <c r="AD515" s="28"/>
    </row>
    <row r="516" spans="1:30" s="9" customFormat="1" x14ac:dyDescent="0.2">
      <c r="A516" s="328"/>
      <c r="B516" s="16" t="s">
        <v>4005</v>
      </c>
      <c r="C516" s="16" t="s">
        <v>4236</v>
      </c>
      <c r="D516" s="7" t="s">
        <v>4363</v>
      </c>
      <c r="E516" s="7"/>
      <c r="F516" s="6" t="s">
        <v>4364</v>
      </c>
      <c r="G516" s="6" t="s">
        <v>4299</v>
      </c>
      <c r="H516" s="17">
        <v>281039.8</v>
      </c>
      <c r="I516" s="39"/>
      <c r="J516" s="18">
        <v>38469</v>
      </c>
      <c r="K516" s="331"/>
      <c r="L516" s="348">
        <v>38524</v>
      </c>
      <c r="M516" s="18" t="s">
        <v>4147</v>
      </c>
      <c r="N516" s="6" t="s">
        <v>42</v>
      </c>
      <c r="O516" s="18">
        <v>38538</v>
      </c>
      <c r="P516" s="331">
        <f>IF(O516="","",+O516-L516)</f>
        <v>14</v>
      </c>
      <c r="Q516" s="331"/>
      <c r="R516" s="331"/>
      <c r="S516" s="349">
        <v>38550</v>
      </c>
      <c r="T516" s="18">
        <v>38572</v>
      </c>
      <c r="U516" s="331">
        <f>IF(T516="","",+T516-J516)</f>
        <v>103</v>
      </c>
      <c r="V516" s="6" t="s">
        <v>4377</v>
      </c>
      <c r="W516" s="340" t="s">
        <v>4374</v>
      </c>
      <c r="X516" s="293"/>
      <c r="Y516" s="138" t="s">
        <v>47</v>
      </c>
      <c r="Z516" s="67">
        <v>6505563643</v>
      </c>
      <c r="AA516" s="6" t="s">
        <v>47</v>
      </c>
      <c r="AB516" s="18"/>
      <c r="AC516" s="18"/>
      <c r="AD516" s="30" t="str">
        <f>IF(O516&lt;=L516,"en término","atrasado")</f>
        <v>atrasado</v>
      </c>
    </row>
    <row r="517" spans="1:30" s="9" customFormat="1" ht="12" thickBot="1" x14ac:dyDescent="0.25">
      <c r="A517" s="328"/>
      <c r="B517" s="19"/>
      <c r="C517" s="19"/>
      <c r="D517" s="5"/>
      <c r="E517" s="5"/>
      <c r="F517" s="5"/>
      <c r="G517" s="5"/>
      <c r="H517" s="105"/>
      <c r="I517" s="21"/>
      <c r="J517" s="27"/>
      <c r="K517" s="27"/>
      <c r="L517" s="27" t="s">
        <v>4329</v>
      </c>
      <c r="M517" s="5"/>
      <c r="N517" s="5"/>
      <c r="O517" s="19"/>
      <c r="P517" s="19"/>
      <c r="Q517" s="19"/>
      <c r="R517" s="19"/>
      <c r="S517" s="19"/>
      <c r="T517" s="19"/>
      <c r="U517" s="19"/>
      <c r="V517" s="224" t="s">
        <v>4378</v>
      </c>
      <c r="W517" s="5"/>
      <c r="X517" s="294"/>
      <c r="Y517" s="5"/>
      <c r="Z517" s="68"/>
      <c r="AA517" s="27" t="s">
        <v>4376</v>
      </c>
      <c r="AB517" s="5"/>
      <c r="AC517" s="5"/>
      <c r="AD517" s="28"/>
    </row>
    <row r="518" spans="1:30" s="9" customFormat="1" x14ac:dyDescent="0.2">
      <c r="A518" s="328"/>
      <c r="B518" s="16"/>
      <c r="C518" s="16"/>
      <c r="D518" s="7"/>
      <c r="E518" s="7"/>
      <c r="F518" s="6"/>
      <c r="G518" s="6"/>
      <c r="H518" s="17"/>
      <c r="I518" s="17"/>
      <c r="J518" s="7"/>
      <c r="K518" s="7"/>
      <c r="L518" s="23"/>
      <c r="M518" s="6"/>
      <c r="N518" s="6"/>
      <c r="O518" s="6"/>
      <c r="P518" s="6"/>
      <c r="Q518" s="6"/>
      <c r="R518" s="6"/>
      <c r="S518" s="6" t="s">
        <v>4373</v>
      </c>
      <c r="T518" s="6"/>
      <c r="U518" s="6"/>
      <c r="V518" s="138" t="s">
        <v>4362</v>
      </c>
      <c r="W518" s="6"/>
      <c r="X518" s="293"/>
      <c r="Y518" s="12"/>
      <c r="Z518" s="67"/>
      <c r="AA518" s="6"/>
      <c r="AB518" s="6"/>
      <c r="AC518" s="6"/>
      <c r="AD518" s="28"/>
    </row>
    <row r="519" spans="1:30" s="9" customFormat="1" x14ac:dyDescent="0.2">
      <c r="A519" s="328"/>
      <c r="B519" s="16" t="s">
        <v>4005</v>
      </c>
      <c r="C519" s="16" t="s">
        <v>4236</v>
      </c>
      <c r="D519" s="7" t="s">
        <v>4369</v>
      </c>
      <c r="E519" s="7"/>
      <c r="F519" s="6" t="s">
        <v>4370</v>
      </c>
      <c r="G519" s="6" t="s">
        <v>4299</v>
      </c>
      <c r="H519" s="17">
        <v>75960.7</v>
      </c>
      <c r="I519" s="39"/>
      <c r="J519" s="18">
        <v>38469</v>
      </c>
      <c r="K519" s="331"/>
      <c r="L519" s="348">
        <v>38555</v>
      </c>
      <c r="M519" s="18" t="s">
        <v>4147</v>
      </c>
      <c r="N519" s="6" t="s">
        <v>42</v>
      </c>
      <c r="O519" s="18">
        <v>38538</v>
      </c>
      <c r="P519" s="331">
        <f>IF(O519="","",+O519-L519)</f>
        <v>-17</v>
      </c>
      <c r="Q519" s="331"/>
      <c r="R519" s="331"/>
      <c r="S519" s="349">
        <v>38550</v>
      </c>
      <c r="T519" s="18">
        <v>38572</v>
      </c>
      <c r="U519" s="331">
        <f>IF(T519="","",+T519-J519)</f>
        <v>103</v>
      </c>
      <c r="V519" s="6" t="s">
        <v>4379</v>
      </c>
      <c r="W519" s="340" t="s">
        <v>4374</v>
      </c>
      <c r="X519" s="293"/>
      <c r="Y519" s="138" t="s">
        <v>47</v>
      </c>
      <c r="Z519" s="67">
        <v>6505563643</v>
      </c>
      <c r="AA519" s="6" t="s">
        <v>47</v>
      </c>
      <c r="AB519" s="18"/>
      <c r="AC519" s="18"/>
      <c r="AD519" s="30" t="str">
        <f>IF(O519&lt;=L519,"en término","atrasado")</f>
        <v>en término</v>
      </c>
    </row>
    <row r="520" spans="1:30" s="9" customFormat="1" ht="12" thickBot="1" x14ac:dyDescent="0.25">
      <c r="A520" s="328"/>
      <c r="B520" s="19"/>
      <c r="C520" s="19"/>
      <c r="D520" s="5"/>
      <c r="E520" s="5"/>
      <c r="F520" s="5"/>
      <c r="G520" s="5"/>
      <c r="H520" s="105"/>
      <c r="I520" s="21"/>
      <c r="J520" s="27"/>
      <c r="K520" s="27"/>
      <c r="L520" s="27" t="s">
        <v>4329</v>
      </c>
      <c r="M520" s="5"/>
      <c r="N520" s="5"/>
      <c r="O520" s="19"/>
      <c r="P520" s="19"/>
      <c r="Q520" s="19"/>
      <c r="R520" s="19"/>
      <c r="S520" s="19"/>
      <c r="T520" s="19"/>
      <c r="U520" s="19"/>
      <c r="V520" s="224" t="s">
        <v>4378</v>
      </c>
      <c r="W520" s="5"/>
      <c r="X520" s="294"/>
      <c r="Y520" s="5"/>
      <c r="Z520" s="68"/>
      <c r="AA520" s="27" t="s">
        <v>4376</v>
      </c>
      <c r="AB520" s="5"/>
      <c r="AC520" s="5"/>
      <c r="AD520" s="28"/>
    </row>
    <row r="521" spans="1:30" s="9" customFormat="1" ht="12.75" customHeight="1" x14ac:dyDescent="0.2">
      <c r="A521" s="328"/>
      <c r="B521" s="16"/>
      <c r="C521" s="16"/>
      <c r="D521" s="7"/>
      <c r="E521" s="7"/>
      <c r="F521" s="6"/>
      <c r="G521" s="6"/>
      <c r="H521" s="17"/>
      <c r="I521" s="17"/>
      <c r="J521" s="7"/>
      <c r="K521" s="7"/>
      <c r="L521" s="23"/>
      <c r="M521" s="6"/>
      <c r="N521" s="6"/>
      <c r="O521" s="6"/>
      <c r="P521" s="6"/>
      <c r="Q521" s="6"/>
      <c r="R521" s="6"/>
      <c r="S521" s="6" t="s">
        <v>4380</v>
      </c>
      <c r="T521" s="6"/>
      <c r="U521" s="6"/>
      <c r="V521" s="138" t="s">
        <v>4362</v>
      </c>
      <c r="W521" s="6"/>
      <c r="X521" s="293"/>
      <c r="Y521" s="12"/>
      <c r="Z521" s="67"/>
      <c r="AA521" s="6"/>
      <c r="AB521" s="6"/>
      <c r="AC521" s="6"/>
      <c r="AD521" s="330"/>
    </row>
    <row r="522" spans="1:30" s="9" customFormat="1" x14ac:dyDescent="0.2">
      <c r="A522" s="328"/>
      <c r="B522" s="16" t="s">
        <v>4005</v>
      </c>
      <c r="C522" s="16" t="s">
        <v>4236</v>
      </c>
      <c r="D522" s="7" t="s">
        <v>4363</v>
      </c>
      <c r="E522" s="7"/>
      <c r="F522" s="6" t="s">
        <v>4364</v>
      </c>
      <c r="G522" s="6" t="s">
        <v>4299</v>
      </c>
      <c r="H522" s="17">
        <v>281039.8</v>
      </c>
      <c r="I522" s="39"/>
      <c r="J522" s="18">
        <v>38469</v>
      </c>
      <c r="K522" s="331"/>
      <c r="L522" s="348">
        <v>38555</v>
      </c>
      <c r="M522" s="18" t="s">
        <v>4147</v>
      </c>
      <c r="N522" s="6" t="s">
        <v>42</v>
      </c>
      <c r="O522" s="18">
        <v>38566</v>
      </c>
      <c r="P522" s="331">
        <f>IF(O522="","",+O522-L522)</f>
        <v>11</v>
      </c>
      <c r="Q522" s="331"/>
      <c r="R522" s="331"/>
      <c r="S522" s="349">
        <v>38576</v>
      </c>
      <c r="T522" s="18">
        <v>38590</v>
      </c>
      <c r="U522" s="331">
        <f>IF(T522="","",+T522-J522)</f>
        <v>121</v>
      </c>
      <c r="V522" s="6" t="s">
        <v>4377</v>
      </c>
      <c r="W522" s="340" t="s">
        <v>4381</v>
      </c>
      <c r="X522" s="293"/>
      <c r="Y522" s="138" t="s">
        <v>47</v>
      </c>
      <c r="Z522" s="67">
        <v>6505563702</v>
      </c>
      <c r="AA522" s="6" t="s">
        <v>47</v>
      </c>
      <c r="AB522" s="18"/>
      <c r="AC522" s="18"/>
      <c r="AD522" s="30" t="str">
        <f>IF(O522&lt;=L522,"en término","atrasado")</f>
        <v>atrasado</v>
      </c>
    </row>
    <row r="523" spans="1:30" s="9" customFormat="1" ht="12" thickBot="1" x14ac:dyDescent="0.25">
      <c r="A523" s="328"/>
      <c r="B523" s="19"/>
      <c r="C523" s="19"/>
      <c r="D523" s="5"/>
      <c r="E523" s="5"/>
      <c r="F523" s="5"/>
      <c r="G523" s="5"/>
      <c r="H523" s="105"/>
      <c r="I523" s="21"/>
      <c r="J523" s="27"/>
      <c r="K523" s="27"/>
      <c r="L523" s="27" t="s">
        <v>4329</v>
      </c>
      <c r="M523" s="5"/>
      <c r="N523" s="5"/>
      <c r="O523" s="19"/>
      <c r="P523" s="19"/>
      <c r="Q523" s="19"/>
      <c r="R523" s="19"/>
      <c r="S523" s="19"/>
      <c r="T523" s="19"/>
      <c r="U523" s="19"/>
      <c r="V523" s="224" t="s">
        <v>1362</v>
      </c>
      <c r="W523" s="5"/>
      <c r="X523" s="294"/>
      <c r="Y523" s="5"/>
      <c r="Z523" s="68"/>
      <c r="AA523" s="27">
        <v>38597</v>
      </c>
      <c r="AB523" s="5"/>
      <c r="AC523" s="5"/>
      <c r="AD523" s="330"/>
    </row>
    <row r="524" spans="1:30" s="9" customFormat="1" x14ac:dyDescent="0.2">
      <c r="A524" s="328"/>
      <c r="B524" s="16"/>
      <c r="C524" s="16"/>
      <c r="D524" s="7"/>
      <c r="E524" s="7"/>
      <c r="F524" s="6"/>
      <c r="G524" s="6"/>
      <c r="H524" s="17"/>
      <c r="I524" s="17"/>
      <c r="J524" s="7"/>
      <c r="K524" s="7"/>
      <c r="L524" s="23"/>
      <c r="M524" s="6"/>
      <c r="N524" s="6"/>
      <c r="O524" s="6"/>
      <c r="P524" s="6"/>
      <c r="Q524" s="6"/>
      <c r="R524" s="6"/>
      <c r="S524" s="6" t="s">
        <v>4380</v>
      </c>
      <c r="T524" s="6"/>
      <c r="U524" s="6"/>
      <c r="V524" s="138" t="s">
        <v>4362</v>
      </c>
      <c r="W524" s="6"/>
      <c r="X524" s="293"/>
      <c r="Y524" s="12"/>
      <c r="Z524" s="67"/>
      <c r="AA524" s="6"/>
      <c r="AB524" s="6"/>
      <c r="AC524" s="6"/>
      <c r="AD524" s="330"/>
    </row>
    <row r="525" spans="1:30" s="9" customFormat="1" x14ac:dyDescent="0.2">
      <c r="A525" s="328"/>
      <c r="B525" s="16" t="s">
        <v>4005</v>
      </c>
      <c r="C525" s="16" t="s">
        <v>4236</v>
      </c>
      <c r="D525" s="7" t="s">
        <v>4369</v>
      </c>
      <c r="E525" s="7"/>
      <c r="F525" s="6" t="s">
        <v>4370</v>
      </c>
      <c r="G525" s="6" t="s">
        <v>4299</v>
      </c>
      <c r="H525" s="17">
        <v>75960.7</v>
      </c>
      <c r="I525" s="39"/>
      <c r="J525" s="18">
        <v>38469</v>
      </c>
      <c r="K525" s="331"/>
      <c r="L525" s="348">
        <v>38555</v>
      </c>
      <c r="M525" s="18" t="s">
        <v>4147</v>
      </c>
      <c r="N525" s="6" t="s">
        <v>42</v>
      </c>
      <c r="O525" s="18">
        <v>38566</v>
      </c>
      <c r="P525" s="331">
        <f>IF(O525="","",+O525-L525)</f>
        <v>11</v>
      </c>
      <c r="Q525" s="331"/>
      <c r="R525" s="331"/>
      <c r="S525" s="349">
        <v>38576</v>
      </c>
      <c r="T525" s="18">
        <v>38590</v>
      </c>
      <c r="U525" s="331">
        <f>IF(T525="","",+T525-J525)</f>
        <v>121</v>
      </c>
      <c r="V525" s="6" t="s">
        <v>4379</v>
      </c>
      <c r="W525" s="340" t="s">
        <v>4381</v>
      </c>
      <c r="X525" s="293"/>
      <c r="Y525" s="138" t="s">
        <v>47</v>
      </c>
      <c r="Z525" s="67">
        <v>6505563702</v>
      </c>
      <c r="AA525" s="6" t="s">
        <v>47</v>
      </c>
      <c r="AB525" s="18"/>
      <c r="AC525" s="18"/>
      <c r="AD525" s="30" t="str">
        <f>IF(O525&lt;=L525,"en término","atrasado")</f>
        <v>atrasado</v>
      </c>
    </row>
    <row r="526" spans="1:30" s="9" customFormat="1" ht="12" thickBot="1" x14ac:dyDescent="0.25">
      <c r="A526" s="328"/>
      <c r="B526" s="19"/>
      <c r="C526" s="19"/>
      <c r="D526" s="5"/>
      <c r="E526" s="5"/>
      <c r="F526" s="5"/>
      <c r="G526" s="5"/>
      <c r="H526" s="105"/>
      <c r="I526" s="21"/>
      <c r="J526" s="27"/>
      <c r="K526" s="27"/>
      <c r="L526" s="27" t="s">
        <v>4329</v>
      </c>
      <c r="M526" s="5"/>
      <c r="N526" s="5"/>
      <c r="O526" s="19"/>
      <c r="P526" s="19"/>
      <c r="Q526" s="19"/>
      <c r="R526" s="19"/>
      <c r="S526" s="19"/>
      <c r="T526" s="19"/>
      <c r="U526" s="19"/>
      <c r="V526" s="224" t="s">
        <v>1362</v>
      </c>
      <c r="W526" s="5"/>
      <c r="X526" s="294"/>
      <c r="Y526" s="5"/>
      <c r="Z526" s="68"/>
      <c r="AA526" s="27">
        <v>38597</v>
      </c>
      <c r="AB526" s="5"/>
      <c r="AC526" s="5"/>
      <c r="AD526" s="330"/>
    </row>
    <row r="527" spans="1:30" s="9" customFormat="1" ht="12.75" customHeight="1" x14ac:dyDescent="0.2">
      <c r="A527" s="328"/>
      <c r="B527" s="16"/>
      <c r="C527" s="16"/>
      <c r="D527" s="7"/>
      <c r="E527" s="7"/>
      <c r="F527" s="6"/>
      <c r="G527" s="6"/>
      <c r="H527" s="17"/>
      <c r="I527" s="17"/>
      <c r="J527" s="7"/>
      <c r="K527" s="7"/>
      <c r="L527" s="23"/>
      <c r="M527" s="6"/>
      <c r="N527" s="6"/>
      <c r="O527" s="6"/>
      <c r="P527" s="6"/>
      <c r="Q527" s="6"/>
      <c r="R527" s="6"/>
      <c r="S527" s="6" t="s">
        <v>4382</v>
      </c>
      <c r="T527" s="6"/>
      <c r="U527" s="6"/>
      <c r="V527" s="138" t="s">
        <v>4362</v>
      </c>
      <c r="W527" s="6"/>
      <c r="X527" s="293"/>
      <c r="Y527" s="12"/>
      <c r="Z527" s="67"/>
      <c r="AA527" s="6"/>
      <c r="AB527" s="6"/>
      <c r="AC527" s="6"/>
      <c r="AD527" s="330"/>
    </row>
    <row r="528" spans="1:30" s="9" customFormat="1" x14ac:dyDescent="0.2">
      <c r="A528" s="328"/>
      <c r="B528" s="16" t="s">
        <v>4005</v>
      </c>
      <c r="C528" s="16" t="s">
        <v>4236</v>
      </c>
      <c r="D528" s="7" t="s">
        <v>4363</v>
      </c>
      <c r="E528" s="7"/>
      <c r="F528" s="6" t="s">
        <v>4364</v>
      </c>
      <c r="G528" s="6" t="s">
        <v>4299</v>
      </c>
      <c r="H528" s="17">
        <v>281039.8</v>
      </c>
      <c r="I528" s="39"/>
      <c r="J528" s="18">
        <v>38469</v>
      </c>
      <c r="K528" s="331"/>
      <c r="L528" s="348">
        <v>38555</v>
      </c>
      <c r="M528" s="18" t="s">
        <v>4147</v>
      </c>
      <c r="N528" s="6" t="s">
        <v>42</v>
      </c>
      <c r="O528" s="18">
        <v>38660</v>
      </c>
      <c r="P528" s="331">
        <f>IF(O528="","",+O528-L528)</f>
        <v>105</v>
      </c>
      <c r="Q528" s="331"/>
      <c r="R528" s="331"/>
      <c r="S528" s="349">
        <v>38669</v>
      </c>
      <c r="T528" s="18">
        <f>+S528+30</f>
        <v>38699</v>
      </c>
      <c r="U528" s="331">
        <f>IF(T528="","",+T528-J528)</f>
        <v>230</v>
      </c>
      <c r="V528" s="6" t="s">
        <v>4383</v>
      </c>
      <c r="W528" s="340" t="s">
        <v>4384</v>
      </c>
      <c r="X528" s="293"/>
      <c r="Y528" s="138" t="s">
        <v>47</v>
      </c>
      <c r="Z528" s="67">
        <v>6505563783</v>
      </c>
      <c r="AA528" s="6" t="s">
        <v>47</v>
      </c>
      <c r="AB528" s="18"/>
      <c r="AC528" s="18"/>
      <c r="AD528" s="30" t="str">
        <f>IF(O528&lt;=L528,"en término","atrasado")</f>
        <v>atrasado</v>
      </c>
    </row>
    <row r="529" spans="1:37" s="9" customFormat="1" ht="12" thickBot="1" x14ac:dyDescent="0.25">
      <c r="A529" s="328"/>
      <c r="B529" s="19"/>
      <c r="C529" s="19"/>
      <c r="D529" s="5"/>
      <c r="E529" s="5"/>
      <c r="F529" s="5"/>
      <c r="G529" s="5"/>
      <c r="H529" s="105">
        <f>3082.2+550.27+35280</f>
        <v>38912.47</v>
      </c>
      <c r="I529" s="21"/>
      <c r="J529" s="27"/>
      <c r="K529" s="27"/>
      <c r="L529" s="27" t="s">
        <v>4329</v>
      </c>
      <c r="M529" s="5"/>
      <c r="N529" s="5"/>
      <c r="O529" s="19"/>
      <c r="P529" s="19"/>
      <c r="Q529" s="19"/>
      <c r="R529" s="19"/>
      <c r="S529" s="5" t="s">
        <v>4385</v>
      </c>
      <c r="T529" s="19"/>
      <c r="U529" s="19"/>
      <c r="V529" s="224" t="s">
        <v>4386</v>
      </c>
      <c r="W529" s="5"/>
      <c r="X529" s="294"/>
      <c r="Y529" s="5"/>
      <c r="Z529" s="68"/>
      <c r="AA529" s="27">
        <v>38712</v>
      </c>
      <c r="AB529" s="5"/>
      <c r="AC529" s="5"/>
      <c r="AD529" s="330"/>
    </row>
    <row r="530" spans="1:37" s="9" customFormat="1" x14ac:dyDescent="0.2">
      <c r="A530" s="328"/>
      <c r="B530" s="16"/>
      <c r="C530" s="16"/>
      <c r="D530" s="7"/>
      <c r="E530" s="7"/>
      <c r="F530" s="6"/>
      <c r="G530" s="6"/>
      <c r="H530" s="17"/>
      <c r="I530" s="17"/>
      <c r="J530" s="7"/>
      <c r="K530" s="7"/>
      <c r="L530" s="23"/>
      <c r="M530" s="6"/>
      <c r="N530" s="6"/>
      <c r="O530" s="6"/>
      <c r="P530" s="6"/>
      <c r="Q530" s="6"/>
      <c r="R530" s="6"/>
      <c r="S530" s="6" t="s">
        <v>4382</v>
      </c>
      <c r="T530" s="6"/>
      <c r="U530" s="6"/>
      <c r="V530" s="138" t="s">
        <v>4362</v>
      </c>
      <c r="W530" s="6"/>
      <c r="X530" s="293"/>
      <c r="Y530" s="12"/>
      <c r="Z530" s="67"/>
      <c r="AA530" s="6"/>
      <c r="AB530" s="6"/>
      <c r="AC530" s="6"/>
      <c r="AD530" s="330"/>
    </row>
    <row r="531" spans="1:37" s="9" customFormat="1" x14ac:dyDescent="0.2">
      <c r="A531" s="328"/>
      <c r="B531" s="16" t="s">
        <v>4005</v>
      </c>
      <c r="C531" s="16" t="s">
        <v>4236</v>
      </c>
      <c r="D531" s="7" t="s">
        <v>4369</v>
      </c>
      <c r="E531" s="7"/>
      <c r="F531" s="6" t="s">
        <v>4370</v>
      </c>
      <c r="G531" s="6" t="s">
        <v>4299</v>
      </c>
      <c r="H531" s="17">
        <v>75960.7</v>
      </c>
      <c r="I531" s="39"/>
      <c r="J531" s="18">
        <v>38469</v>
      </c>
      <c r="K531" s="331"/>
      <c r="L531" s="348">
        <v>38555</v>
      </c>
      <c r="M531" s="18" t="s">
        <v>4147</v>
      </c>
      <c r="N531" s="6" t="s">
        <v>42</v>
      </c>
      <c r="O531" s="18">
        <v>38660</v>
      </c>
      <c r="P531" s="331">
        <f>IF(O531="","",+O531-L531)</f>
        <v>105</v>
      </c>
      <c r="Q531" s="331"/>
      <c r="R531" s="331"/>
      <c r="S531" s="349">
        <v>38669</v>
      </c>
      <c r="T531" s="18">
        <f>+S531+30</f>
        <v>38699</v>
      </c>
      <c r="U531" s="331">
        <f>IF(T531="","",+T531-J531)</f>
        <v>230</v>
      </c>
      <c r="V531" s="6" t="s">
        <v>4387</v>
      </c>
      <c r="W531" s="340" t="s">
        <v>4384</v>
      </c>
      <c r="X531" s="293"/>
      <c r="Y531" s="138" t="s">
        <v>47</v>
      </c>
      <c r="Z531" s="67">
        <v>6505563783</v>
      </c>
      <c r="AA531" s="6" t="s">
        <v>47</v>
      </c>
      <c r="AB531" s="18"/>
      <c r="AC531" s="18"/>
      <c r="AD531" s="30" t="str">
        <f>IF(O531&lt;=L531,"en término","atrasado")</f>
        <v>atrasado</v>
      </c>
    </row>
    <row r="532" spans="1:37" s="9" customFormat="1" ht="12" thickBot="1" x14ac:dyDescent="0.25">
      <c r="A532" s="328"/>
      <c r="B532" s="19"/>
      <c r="C532" s="19"/>
      <c r="D532" s="5"/>
      <c r="E532" s="5"/>
      <c r="F532" s="5"/>
      <c r="G532" s="5"/>
      <c r="H532" s="105">
        <v>5137</v>
      </c>
      <c r="I532" s="21"/>
      <c r="J532" s="27"/>
      <c r="K532" s="27"/>
      <c r="L532" s="27" t="s">
        <v>4329</v>
      </c>
      <c r="M532" s="5"/>
      <c r="N532" s="5"/>
      <c r="O532" s="19"/>
      <c r="P532" s="19"/>
      <c r="Q532" s="19"/>
      <c r="R532" s="19"/>
      <c r="S532" s="5" t="s">
        <v>4385</v>
      </c>
      <c r="T532" s="19"/>
      <c r="U532" s="19"/>
      <c r="V532" s="224" t="s">
        <v>4386</v>
      </c>
      <c r="W532" s="5"/>
      <c r="X532" s="294"/>
      <c r="Y532" s="5"/>
      <c r="Z532" s="68"/>
      <c r="AA532" s="27">
        <v>38712</v>
      </c>
      <c r="AB532" s="5"/>
      <c r="AC532" s="5"/>
      <c r="AD532" s="330"/>
    </row>
    <row r="533" spans="1:37" s="9" customFormat="1" x14ac:dyDescent="0.2">
      <c r="A533" s="328"/>
      <c r="B533" s="16"/>
      <c r="C533" s="16"/>
      <c r="D533" s="7"/>
      <c r="E533" s="7"/>
      <c r="F533" s="6"/>
      <c r="G533" s="6"/>
      <c r="H533" s="17"/>
      <c r="I533" s="17"/>
      <c r="J533" s="7"/>
      <c r="K533" s="7"/>
      <c r="L533" s="23"/>
      <c r="M533" s="6"/>
      <c r="N533" s="6"/>
      <c r="O533" s="6"/>
      <c r="P533" s="6"/>
      <c r="Q533" s="6"/>
      <c r="R533" s="6"/>
      <c r="S533" s="6" t="s">
        <v>4382</v>
      </c>
      <c r="T533" s="6"/>
      <c r="U533" s="6"/>
      <c r="V533" s="138" t="s">
        <v>4362</v>
      </c>
      <c r="W533" s="6"/>
      <c r="X533" s="293"/>
      <c r="Y533" s="12"/>
      <c r="Z533" s="67"/>
      <c r="AA533" s="6"/>
      <c r="AB533" s="6"/>
      <c r="AC533" s="6"/>
      <c r="AD533" s="330"/>
    </row>
    <row r="534" spans="1:37" s="9" customFormat="1" x14ac:dyDescent="0.2">
      <c r="A534" s="328"/>
      <c r="B534" s="16" t="s">
        <v>4005</v>
      </c>
      <c r="C534" s="16" t="s">
        <v>4236</v>
      </c>
      <c r="D534" s="7" t="s">
        <v>4388</v>
      </c>
      <c r="E534" s="7"/>
      <c r="F534" s="6" t="s">
        <v>4389</v>
      </c>
      <c r="G534" s="6" t="s">
        <v>4299</v>
      </c>
      <c r="H534" s="17">
        <v>175111.55</v>
      </c>
      <c r="I534" s="39"/>
      <c r="J534" s="18">
        <v>38608</v>
      </c>
      <c r="K534" s="331"/>
      <c r="L534" s="348">
        <v>38640</v>
      </c>
      <c r="M534" s="18" t="s">
        <v>4147</v>
      </c>
      <c r="N534" s="6" t="s">
        <v>42</v>
      </c>
      <c r="O534" s="18">
        <v>38660</v>
      </c>
      <c r="P534" s="331">
        <f>IF(O534="","",+O534-L534)</f>
        <v>20</v>
      </c>
      <c r="Q534" s="331"/>
      <c r="R534" s="331"/>
      <c r="S534" s="349">
        <v>38669</v>
      </c>
      <c r="T534" s="18">
        <f>+S534+30</f>
        <v>38699</v>
      </c>
      <c r="U534" s="331">
        <f>IF(T534="","",+T534-J534)</f>
        <v>91</v>
      </c>
      <c r="V534" s="6" t="s">
        <v>4390</v>
      </c>
      <c r="W534" s="340" t="s">
        <v>4384</v>
      </c>
      <c r="X534" s="293"/>
      <c r="Y534" s="138" t="s">
        <v>47</v>
      </c>
      <c r="Z534" s="67">
        <v>6505563783</v>
      </c>
      <c r="AA534" s="6" t="s">
        <v>47</v>
      </c>
      <c r="AB534" s="18"/>
      <c r="AC534" s="18"/>
      <c r="AD534" s="30" t="str">
        <f>IF(O534&lt;=L534,"en término","atrasado")</f>
        <v>atrasado</v>
      </c>
    </row>
    <row r="535" spans="1:37" s="9" customFormat="1" ht="12" thickBot="1" x14ac:dyDescent="0.25">
      <c r="A535" s="328"/>
      <c r="B535" s="19"/>
      <c r="C535" s="19"/>
      <c r="D535" s="5"/>
      <c r="E535" s="5"/>
      <c r="F535" s="5"/>
      <c r="G535" s="5"/>
      <c r="H535" s="105"/>
      <c r="I535" s="21"/>
      <c r="J535" s="27"/>
      <c r="K535" s="27"/>
      <c r="L535" s="27" t="s">
        <v>4329</v>
      </c>
      <c r="M535" s="5"/>
      <c r="N535" s="5"/>
      <c r="O535" s="19"/>
      <c r="P535" s="19"/>
      <c r="Q535" s="19"/>
      <c r="R535" s="19"/>
      <c r="S535" s="5" t="s">
        <v>4385</v>
      </c>
      <c r="T535" s="19"/>
      <c r="U535" s="19"/>
      <c r="V535" s="224" t="s">
        <v>4391</v>
      </c>
      <c r="W535" s="5"/>
      <c r="X535" s="294"/>
      <c r="Y535" s="5"/>
      <c r="Z535" s="68"/>
      <c r="AA535" s="27">
        <v>38712</v>
      </c>
      <c r="AB535" s="5"/>
      <c r="AC535" s="5"/>
      <c r="AD535" s="330"/>
    </row>
    <row r="536" spans="1:37" s="9" customFormat="1" x14ac:dyDescent="0.2">
      <c r="A536" s="328"/>
      <c r="B536" s="16"/>
      <c r="C536" s="16"/>
      <c r="D536" s="7"/>
      <c r="E536" s="7"/>
      <c r="F536" s="6"/>
      <c r="G536" s="6"/>
      <c r="H536" s="17"/>
      <c r="I536" s="17"/>
      <c r="J536" s="7"/>
      <c r="K536" s="7"/>
      <c r="L536" s="23"/>
      <c r="M536" s="6"/>
      <c r="N536" s="6"/>
      <c r="O536" s="6"/>
      <c r="P536" s="6"/>
      <c r="Q536" s="6"/>
      <c r="R536" s="6"/>
      <c r="S536" s="6"/>
      <c r="T536" s="6"/>
      <c r="U536" s="6"/>
      <c r="V536" s="138" t="s">
        <v>4362</v>
      </c>
      <c r="W536" s="6"/>
      <c r="X536" s="293"/>
      <c r="Y536" s="6"/>
      <c r="Z536" s="67"/>
      <c r="AA536" s="6"/>
      <c r="AB536" s="6"/>
      <c r="AC536" s="6"/>
      <c r="AD536" s="330"/>
    </row>
    <row r="537" spans="1:37" s="9" customFormat="1" x14ac:dyDescent="0.2">
      <c r="A537" s="328"/>
      <c r="B537" s="16" t="s">
        <v>4005</v>
      </c>
      <c r="C537" s="16" t="s">
        <v>4236</v>
      </c>
      <c r="D537" s="7" t="s">
        <v>4388</v>
      </c>
      <c r="E537" s="7"/>
      <c r="F537" s="6" t="s">
        <v>4392</v>
      </c>
      <c r="G537" s="6" t="s">
        <v>4299</v>
      </c>
      <c r="H537" s="17">
        <v>34766.6</v>
      </c>
      <c r="I537" s="39"/>
      <c r="J537" s="18">
        <v>38608</v>
      </c>
      <c r="K537" s="331"/>
      <c r="L537" s="348">
        <v>38700</v>
      </c>
      <c r="M537" s="18" t="s">
        <v>4147</v>
      </c>
      <c r="N537" s="6" t="s">
        <v>42</v>
      </c>
      <c r="O537" s="18">
        <v>38700</v>
      </c>
      <c r="P537" s="331">
        <f>IF(O537="","",+O537-L537)</f>
        <v>0</v>
      </c>
      <c r="Q537" s="331"/>
      <c r="R537" s="331"/>
      <c r="S537" s="349">
        <v>38707</v>
      </c>
      <c r="T537" s="18">
        <v>38715</v>
      </c>
      <c r="U537" s="331">
        <f>IF(T537="","",+T537-J537)</f>
        <v>107</v>
      </c>
      <c r="V537" s="6" t="s">
        <v>4393</v>
      </c>
      <c r="W537" s="6" t="s">
        <v>4394</v>
      </c>
      <c r="X537" s="293"/>
      <c r="Y537" s="138" t="s">
        <v>47</v>
      </c>
      <c r="Z537" s="150"/>
      <c r="AA537" s="7">
        <v>38735</v>
      </c>
      <c r="AB537" s="18"/>
      <c r="AC537" s="18"/>
      <c r="AD537" s="30"/>
    </row>
    <row r="538" spans="1:37" s="9" customFormat="1" ht="12" thickBot="1" x14ac:dyDescent="0.25">
      <c r="A538" s="328"/>
      <c r="B538" s="19"/>
      <c r="C538" s="19"/>
      <c r="D538" s="5"/>
      <c r="E538" s="5"/>
      <c r="F538" s="5"/>
      <c r="G538" s="5"/>
      <c r="H538" s="105"/>
      <c r="I538" s="21"/>
      <c r="J538" s="27"/>
      <c r="K538" s="27"/>
      <c r="L538" s="27" t="s">
        <v>4329</v>
      </c>
      <c r="M538" s="5"/>
      <c r="N538" s="5"/>
      <c r="O538" s="19"/>
      <c r="P538" s="19"/>
      <c r="Q538" s="19"/>
      <c r="R538" s="19"/>
      <c r="S538" s="19"/>
      <c r="T538" s="19"/>
      <c r="U538" s="19"/>
      <c r="V538" s="224" t="s">
        <v>4395</v>
      </c>
      <c r="W538" s="5"/>
      <c r="X538" s="294"/>
      <c r="Y538" s="5"/>
      <c r="Z538" s="68"/>
      <c r="AA538" s="5" t="s">
        <v>4396</v>
      </c>
      <c r="AB538" s="5"/>
      <c r="AC538" s="5"/>
      <c r="AD538" s="330"/>
    </row>
    <row r="539" spans="1:37" ht="12" thickBot="1" x14ac:dyDescent="0.25">
      <c r="AC539" s="38"/>
    </row>
    <row r="540" spans="1:37" s="556" customFormat="1" ht="39.950000000000003" customHeight="1" thickBot="1" x14ac:dyDescent="0.4">
      <c r="B540" s="1611">
        <v>2006</v>
      </c>
      <c r="C540" s="1612"/>
      <c r="D540" s="1612"/>
      <c r="E540" s="1612"/>
      <c r="F540" s="1612"/>
      <c r="G540" s="1612"/>
      <c r="H540" s="1612"/>
      <c r="I540" s="1612"/>
      <c r="J540" s="1612"/>
      <c r="K540" s="1612"/>
      <c r="L540" s="1612"/>
      <c r="M540" s="1612"/>
      <c r="N540" s="1612"/>
      <c r="O540" s="1612"/>
      <c r="P540" s="1612"/>
      <c r="Q540" s="1612"/>
      <c r="R540" s="1612"/>
      <c r="S540" s="1612"/>
      <c r="T540" s="1612"/>
      <c r="U540" s="1612"/>
      <c r="V540" s="1612"/>
      <c r="W540" s="1612"/>
      <c r="X540" s="1612"/>
      <c r="Y540" s="1612"/>
      <c r="Z540" s="1612"/>
      <c r="AA540" s="1612"/>
      <c r="AB540" s="1612"/>
      <c r="AC540" s="1613"/>
      <c r="AD540" s="560"/>
    </row>
    <row r="541" spans="1:37" s="441" customFormat="1" ht="60" customHeight="1" thickBot="1" x14ac:dyDescent="0.25">
      <c r="A541" s="438"/>
      <c r="B541" s="451" t="s">
        <v>130</v>
      </c>
      <c r="C541" s="451" t="s">
        <v>4</v>
      </c>
      <c r="D541" s="451" t="s">
        <v>5</v>
      </c>
      <c r="E541" s="451" t="s">
        <v>6</v>
      </c>
      <c r="F541" s="451" t="s">
        <v>7</v>
      </c>
      <c r="G541" s="451" t="s">
        <v>8</v>
      </c>
      <c r="H541" s="453" t="s">
        <v>9</v>
      </c>
      <c r="I541" s="453" t="s">
        <v>10</v>
      </c>
      <c r="J541" s="451" t="s">
        <v>11</v>
      </c>
      <c r="K541" s="451" t="s">
        <v>12</v>
      </c>
      <c r="L541" s="451" t="s">
        <v>13</v>
      </c>
      <c r="M541" s="451" t="s">
        <v>14</v>
      </c>
      <c r="N541" s="451" t="s">
        <v>15</v>
      </c>
      <c r="O541" s="452" t="s">
        <v>16</v>
      </c>
      <c r="P541" s="454" t="s">
        <v>17</v>
      </c>
      <c r="Q541" s="451" t="s">
        <v>18</v>
      </c>
      <c r="R541" s="452" t="s">
        <v>19</v>
      </c>
      <c r="S541" s="451" t="s">
        <v>20</v>
      </c>
      <c r="T541" s="451" t="s">
        <v>21</v>
      </c>
      <c r="U541" s="452" t="s">
        <v>22</v>
      </c>
      <c r="V541" s="451" t="s">
        <v>131</v>
      </c>
      <c r="W541" s="451" t="s">
        <v>24</v>
      </c>
      <c r="X541" s="451" t="s">
        <v>132</v>
      </c>
      <c r="Y541" s="451" t="s">
        <v>26</v>
      </c>
      <c r="Z541" s="451" t="s">
        <v>27</v>
      </c>
      <c r="AA541" s="451" t="s">
        <v>28</v>
      </c>
      <c r="AB541" s="451" t="s">
        <v>29</v>
      </c>
      <c r="AC541" s="451" t="s">
        <v>30</v>
      </c>
      <c r="AD541" s="439"/>
      <c r="AE541" s="440"/>
      <c r="AF541" s="440"/>
      <c r="AG541" s="440"/>
      <c r="AH541" s="440"/>
      <c r="AI541" s="440"/>
      <c r="AJ541" s="440"/>
      <c r="AK541" s="440"/>
    </row>
    <row r="542" spans="1:37" s="9" customFormat="1" x14ac:dyDescent="0.2">
      <c r="A542" s="328"/>
      <c r="B542" s="16"/>
      <c r="C542" s="16"/>
      <c r="D542" s="7"/>
      <c r="E542" s="7"/>
      <c r="F542" s="6"/>
      <c r="G542" s="6"/>
      <c r="H542" s="17"/>
      <c r="I542" s="17"/>
      <c r="J542" s="7"/>
      <c r="K542" s="7"/>
      <c r="L542" s="23"/>
      <c r="M542" s="6"/>
      <c r="N542" s="6"/>
      <c r="O542" s="6"/>
      <c r="P542" s="6"/>
      <c r="Q542" s="6"/>
      <c r="R542" s="6"/>
      <c r="S542" s="6" t="s">
        <v>4397</v>
      </c>
      <c r="T542" s="6"/>
      <c r="U542" s="6"/>
      <c r="V542" s="138" t="s">
        <v>4362</v>
      </c>
      <c r="W542" s="6"/>
      <c r="X542" s="293"/>
      <c r="Y542" s="12"/>
      <c r="Z542" s="67"/>
      <c r="AA542" s="7"/>
      <c r="AB542" s="6"/>
      <c r="AC542" s="6"/>
      <c r="AD542" s="28"/>
    </row>
    <row r="543" spans="1:37" s="9" customFormat="1" x14ac:dyDescent="0.2">
      <c r="A543" s="328"/>
      <c r="B543" s="16" t="s">
        <v>4005</v>
      </c>
      <c r="C543" s="16" t="s">
        <v>4236</v>
      </c>
      <c r="D543" s="7" t="s">
        <v>4398</v>
      </c>
      <c r="E543" s="7"/>
      <c r="F543" s="6" t="s">
        <v>4399</v>
      </c>
      <c r="G543" s="6" t="s">
        <v>4299</v>
      </c>
      <c r="H543" s="17">
        <v>55663.7</v>
      </c>
      <c r="I543" s="39"/>
      <c r="J543" s="18">
        <v>38705</v>
      </c>
      <c r="K543" s="331"/>
      <c r="L543" s="348">
        <v>38730</v>
      </c>
      <c r="M543" s="18" t="s">
        <v>4300</v>
      </c>
      <c r="N543" s="6" t="s">
        <v>42</v>
      </c>
      <c r="O543" s="18">
        <v>38730</v>
      </c>
      <c r="P543" s="331">
        <f>IF(O543="","",+O543-L543)</f>
        <v>0</v>
      </c>
      <c r="Q543" s="331"/>
      <c r="R543" s="331"/>
      <c r="S543" s="349">
        <v>38736</v>
      </c>
      <c r="T543" s="18">
        <f>+S543+30</f>
        <v>38766</v>
      </c>
      <c r="U543" s="331">
        <f>IF(T543="","",+T543-J543)</f>
        <v>61</v>
      </c>
      <c r="V543" s="6" t="s">
        <v>4400</v>
      </c>
      <c r="W543" s="340" t="s">
        <v>4401</v>
      </c>
      <c r="X543" s="293"/>
      <c r="Y543" s="138" t="s">
        <v>47</v>
      </c>
      <c r="Z543" s="67">
        <v>6505491694</v>
      </c>
      <c r="AA543" s="7">
        <v>38764</v>
      </c>
      <c r="AB543" s="18"/>
      <c r="AC543" s="18"/>
      <c r="AD543" s="30" t="str">
        <f>IF(O543&lt;=L543,"en término","atrasado")</f>
        <v>en término</v>
      </c>
    </row>
    <row r="544" spans="1:37" s="9" customFormat="1" ht="12" thickBot="1" x14ac:dyDescent="0.25">
      <c r="A544" s="328"/>
      <c r="B544" s="19"/>
      <c r="C544" s="19"/>
      <c r="D544" s="5"/>
      <c r="E544" s="5"/>
      <c r="F544" s="5"/>
      <c r="G544" s="5"/>
      <c r="H544" s="105"/>
      <c r="I544" s="21"/>
      <c r="J544" s="27"/>
      <c r="K544" s="27"/>
      <c r="L544" s="27" t="s">
        <v>4329</v>
      </c>
      <c r="M544" s="5"/>
      <c r="N544" s="5"/>
      <c r="O544" s="19"/>
      <c r="P544" s="19"/>
      <c r="Q544" s="19"/>
      <c r="R544" s="19"/>
      <c r="S544" s="5"/>
      <c r="T544" s="19"/>
      <c r="U544" s="19"/>
      <c r="V544" s="224"/>
      <c r="W544" s="5"/>
      <c r="X544" s="294"/>
      <c r="Y544" s="5"/>
      <c r="Z544" s="68"/>
      <c r="AA544" s="5" t="s">
        <v>4396</v>
      </c>
      <c r="AB544" s="5"/>
      <c r="AC544" s="5"/>
      <c r="AD544" s="28"/>
    </row>
    <row r="545" spans="1:30" s="9" customFormat="1" x14ac:dyDescent="0.2">
      <c r="A545" s="328"/>
      <c r="B545" s="16"/>
      <c r="C545" s="16"/>
      <c r="D545" s="7"/>
      <c r="E545" s="7"/>
      <c r="F545" s="6"/>
      <c r="G545" s="6"/>
      <c r="H545" s="17"/>
      <c r="I545" s="17"/>
      <c r="J545" s="7"/>
      <c r="K545" s="7"/>
      <c r="L545" s="348"/>
      <c r="M545" s="6"/>
      <c r="N545" s="6"/>
      <c r="O545" s="18"/>
      <c r="P545" s="7"/>
      <c r="Q545" s="7"/>
      <c r="R545" s="7"/>
      <c r="S545" s="7" t="s">
        <v>4402</v>
      </c>
      <c r="T545" s="18"/>
      <c r="U545" s="7"/>
      <c r="V545" s="220"/>
      <c r="W545" s="47"/>
      <c r="X545" s="12"/>
      <c r="Y545" s="177"/>
      <c r="Z545" s="6"/>
      <c r="AA545" s="6"/>
      <c r="AB545" s="6"/>
      <c r="AC545" s="6"/>
      <c r="AD545" s="28"/>
    </row>
    <row r="546" spans="1:30" s="9" customFormat="1" x14ac:dyDescent="0.2">
      <c r="A546" s="328"/>
      <c r="B546" s="16" t="s">
        <v>4005</v>
      </c>
      <c r="C546" s="16" t="s">
        <v>4236</v>
      </c>
      <c r="D546" s="7" t="s">
        <v>4403</v>
      </c>
      <c r="E546" s="7"/>
      <c r="F546" s="6" t="s">
        <v>4404</v>
      </c>
      <c r="G546" s="6" t="s">
        <v>4299</v>
      </c>
      <c r="H546" s="17">
        <v>189285.5</v>
      </c>
      <c r="I546" s="39" t="s">
        <v>4405</v>
      </c>
      <c r="J546" s="18">
        <v>38812</v>
      </c>
      <c r="K546" s="331">
        <v>12</v>
      </c>
      <c r="L546" s="348">
        <f>+J546+K546</f>
        <v>38824</v>
      </c>
      <c r="M546" s="18" t="s">
        <v>4300</v>
      </c>
      <c r="N546" s="6" t="s">
        <v>42</v>
      </c>
      <c r="O546" s="18">
        <v>38828</v>
      </c>
      <c r="P546" s="331">
        <f>IF(S546="","",+S546-L546)</f>
        <v>11</v>
      </c>
      <c r="Q546" s="331"/>
      <c r="R546" s="331"/>
      <c r="S546" s="349">
        <v>38835</v>
      </c>
      <c r="T546" s="18">
        <v>38860</v>
      </c>
      <c r="U546" s="331">
        <f>IF(T546="","",+T546-J546)</f>
        <v>48</v>
      </c>
      <c r="V546" s="6" t="s">
        <v>4406</v>
      </c>
      <c r="W546" s="47">
        <v>106</v>
      </c>
      <c r="X546" s="6" t="s">
        <v>4407</v>
      </c>
      <c r="Y546" s="177"/>
      <c r="Z546" s="6">
        <v>6505731761</v>
      </c>
      <c r="AA546" s="7">
        <v>38870</v>
      </c>
      <c r="AB546" s="358"/>
      <c r="AC546" s="358"/>
      <c r="AD546" s="30" t="str">
        <f>IF(O546&lt;=L546,"en término","atrasado")</f>
        <v>atrasado</v>
      </c>
    </row>
    <row r="547" spans="1:30" s="9" customFormat="1" ht="12" thickBot="1" x14ac:dyDescent="0.25">
      <c r="A547" s="328"/>
      <c r="B547" s="19"/>
      <c r="C547" s="19"/>
      <c r="D547" s="5"/>
      <c r="E547" s="5"/>
      <c r="F547" s="5"/>
      <c r="G547" s="5"/>
      <c r="H547" s="105"/>
      <c r="I547" s="21" t="s">
        <v>4408</v>
      </c>
      <c r="J547" s="27"/>
      <c r="K547" s="27"/>
      <c r="L547" s="187"/>
      <c r="M547" s="5"/>
      <c r="N547" s="5"/>
      <c r="O547" s="187"/>
      <c r="P547" s="5"/>
      <c r="Q547" s="5"/>
      <c r="R547" s="5"/>
      <c r="S547" s="5"/>
      <c r="T547" s="187"/>
      <c r="U547" s="5"/>
      <c r="V547" s="224"/>
      <c r="W547" s="36"/>
      <c r="X547" s="106" t="s">
        <v>4409</v>
      </c>
      <c r="Y547" s="182"/>
      <c r="Z547" s="5"/>
      <c r="AA547" s="27"/>
      <c r="AB547" s="5"/>
      <c r="AC547" s="5"/>
      <c r="AD547" s="28"/>
    </row>
    <row r="548" spans="1:30" s="9" customFormat="1" x14ac:dyDescent="0.2">
      <c r="A548" s="328"/>
      <c r="B548" s="16"/>
      <c r="C548" s="16"/>
      <c r="D548" s="7"/>
      <c r="E548" s="7"/>
      <c r="F548" s="6"/>
      <c r="G548" s="6"/>
      <c r="H548" s="17"/>
      <c r="I548" s="17"/>
      <c r="J548" s="7"/>
      <c r="K548" s="7"/>
      <c r="L548" s="348"/>
      <c r="M548" s="6"/>
      <c r="N548" s="6"/>
      <c r="O548" s="18"/>
      <c r="P548" s="7"/>
      <c r="Q548" s="7"/>
      <c r="R548" s="7"/>
      <c r="S548" s="7"/>
      <c r="T548" s="18"/>
      <c r="U548" s="7"/>
      <c r="V548" s="138" t="s">
        <v>4410</v>
      </c>
      <c r="W548" s="47"/>
      <c r="X548" s="12"/>
      <c r="Y548" s="177"/>
      <c r="Z548" s="6"/>
      <c r="AA548" s="6"/>
      <c r="AB548" s="6"/>
      <c r="AC548" s="6"/>
      <c r="AD548" s="28"/>
    </row>
    <row r="549" spans="1:30" s="9" customFormat="1" x14ac:dyDescent="0.2">
      <c r="A549" s="328"/>
      <c r="B549" s="16" t="s">
        <v>4005</v>
      </c>
      <c r="C549" s="16" t="s">
        <v>4236</v>
      </c>
      <c r="D549" s="7" t="s">
        <v>4411</v>
      </c>
      <c r="E549" s="7"/>
      <c r="F549" s="6" t="s">
        <v>4412</v>
      </c>
      <c r="G549" s="6" t="s">
        <v>4299</v>
      </c>
      <c r="H549" s="17">
        <v>21219.1</v>
      </c>
      <c r="I549" s="39"/>
      <c r="J549" s="18">
        <v>38782</v>
      </c>
      <c r="K549" s="331"/>
      <c r="L549" s="348">
        <v>38829</v>
      </c>
      <c r="M549" s="18" t="s">
        <v>4300</v>
      </c>
      <c r="N549" s="6" t="s">
        <v>110</v>
      </c>
      <c r="O549" s="18">
        <v>38829</v>
      </c>
      <c r="P549" s="331">
        <f>IF(S549="","",+S549-L549)</f>
        <v>13</v>
      </c>
      <c r="Q549" s="331"/>
      <c r="R549" s="331"/>
      <c r="S549" s="18">
        <v>38842</v>
      </c>
      <c r="T549" s="18">
        <v>38845</v>
      </c>
      <c r="U549" s="331">
        <f>IF(T549="","",+T549-J549)</f>
        <v>63</v>
      </c>
      <c r="V549" s="6" t="s">
        <v>4413</v>
      </c>
      <c r="W549" s="47" t="s">
        <v>4414</v>
      </c>
      <c r="X549" s="6" t="s">
        <v>4407</v>
      </c>
      <c r="Y549" s="177"/>
      <c r="Z549" s="6"/>
      <c r="AA549" s="7">
        <v>38853</v>
      </c>
      <c r="AB549" s="358"/>
      <c r="AC549" s="358"/>
      <c r="AD549" s="28"/>
    </row>
    <row r="550" spans="1:30" s="9" customFormat="1" ht="12" thickBot="1" x14ac:dyDescent="0.25">
      <c r="A550" s="328"/>
      <c r="B550" s="19"/>
      <c r="C550" s="19"/>
      <c r="D550" s="5"/>
      <c r="E550" s="5"/>
      <c r="F550" s="5"/>
      <c r="G550" s="5"/>
      <c r="H550" s="105">
        <v>9966.1299999999992</v>
      </c>
      <c r="I550" s="21"/>
      <c r="J550" s="27"/>
      <c r="K550" s="27"/>
      <c r="L550" s="187"/>
      <c r="M550" s="5"/>
      <c r="N550" s="5"/>
      <c r="O550" s="187"/>
      <c r="P550" s="5"/>
      <c r="Q550" s="5"/>
      <c r="R550" s="5"/>
      <c r="S550" s="5"/>
      <c r="T550" s="187"/>
      <c r="U550" s="5"/>
      <c r="V550" s="224" t="s">
        <v>1102</v>
      </c>
      <c r="W550" s="36"/>
      <c r="X550" s="106" t="s">
        <v>4415</v>
      </c>
      <c r="Y550" s="182"/>
      <c r="Z550" s="5"/>
      <c r="AA550" s="27"/>
      <c r="AB550" s="5"/>
      <c r="AC550" s="5"/>
      <c r="AD550" s="28"/>
    </row>
    <row r="551" spans="1:30" s="9" customFormat="1" x14ac:dyDescent="0.2">
      <c r="A551" s="328"/>
      <c r="B551" s="16"/>
      <c r="C551" s="16"/>
      <c r="D551" s="7"/>
      <c r="E551" s="7"/>
      <c r="F551" s="6"/>
      <c r="G551" s="6"/>
      <c r="H551" s="17"/>
      <c r="I551" s="17"/>
      <c r="J551" s="7"/>
      <c r="K551" s="7"/>
      <c r="L551" s="348"/>
      <c r="M551" s="6"/>
      <c r="N551" s="6"/>
      <c r="O551" s="18"/>
      <c r="P551" s="7"/>
      <c r="Q551" s="7"/>
      <c r="R551" s="7"/>
      <c r="S551" s="7" t="s">
        <v>4416</v>
      </c>
      <c r="T551" s="18"/>
      <c r="U551" s="7"/>
      <c r="V551" s="220"/>
      <c r="W551" s="47"/>
      <c r="X551" s="12"/>
      <c r="Y551" s="177"/>
      <c r="Z551" s="6"/>
      <c r="AA551" s="6"/>
      <c r="AB551" s="6"/>
      <c r="AC551" s="1608" t="s">
        <v>4417</v>
      </c>
      <c r="AD551" s="28"/>
    </row>
    <row r="552" spans="1:30" s="9" customFormat="1" x14ac:dyDescent="0.2">
      <c r="A552" s="328"/>
      <c r="B552" s="16" t="s">
        <v>4005</v>
      </c>
      <c r="C552" s="16" t="s">
        <v>4236</v>
      </c>
      <c r="D552" s="7" t="s">
        <v>4418</v>
      </c>
      <c r="E552" s="7"/>
      <c r="F552" s="6" t="s">
        <v>4419</v>
      </c>
      <c r="G552" s="6" t="s">
        <v>4299</v>
      </c>
      <c r="H552" s="17">
        <v>22209.4</v>
      </c>
      <c r="I552" s="39" t="s">
        <v>4405</v>
      </c>
      <c r="J552" s="18">
        <v>38842</v>
      </c>
      <c r="K552" s="331">
        <v>14</v>
      </c>
      <c r="L552" s="348">
        <f>+J552+K552</f>
        <v>38856</v>
      </c>
      <c r="M552" s="18" t="s">
        <v>4300</v>
      </c>
      <c r="N552" s="6" t="s">
        <v>42</v>
      </c>
      <c r="O552" s="18">
        <v>38856</v>
      </c>
      <c r="P552" s="331">
        <f>IF(S552="","",+S552-L552)</f>
        <v>7</v>
      </c>
      <c r="Q552" s="331"/>
      <c r="R552" s="331"/>
      <c r="S552" s="349">
        <v>38863</v>
      </c>
      <c r="T552" s="18">
        <v>38896</v>
      </c>
      <c r="U552" s="331">
        <f>IF(T552="","",+T552-J552)</f>
        <v>54</v>
      </c>
      <c r="V552" s="6" t="s">
        <v>4420</v>
      </c>
      <c r="W552" s="47">
        <v>121</v>
      </c>
      <c r="X552" s="6" t="s">
        <v>4407</v>
      </c>
      <c r="Y552" s="177"/>
      <c r="Z552" s="6">
        <v>6505731691</v>
      </c>
      <c r="AA552" s="7" t="s">
        <v>47</v>
      </c>
      <c r="AB552" s="358"/>
      <c r="AC552" s="1609"/>
      <c r="AD552" s="30" t="str">
        <f>IF(O552&lt;=L552,"en término","atrasado")</f>
        <v>en término</v>
      </c>
    </row>
    <row r="553" spans="1:30" s="9" customFormat="1" ht="12" thickBot="1" x14ac:dyDescent="0.25">
      <c r="A553" s="328"/>
      <c r="B553" s="19"/>
      <c r="C553" s="19"/>
      <c r="D553" s="5"/>
      <c r="E553" s="5"/>
      <c r="F553" s="5"/>
      <c r="G553" s="5"/>
      <c r="H553" s="105"/>
      <c r="I553" s="21" t="s">
        <v>4408</v>
      </c>
      <c r="J553" s="27"/>
      <c r="K553" s="27"/>
      <c r="L553" s="187"/>
      <c r="M553" s="5"/>
      <c r="N553" s="5"/>
      <c r="O553" s="187"/>
      <c r="P553" s="5"/>
      <c r="Q553" s="5"/>
      <c r="R553" s="5"/>
      <c r="S553" s="27"/>
      <c r="T553" s="187" t="s">
        <v>4421</v>
      </c>
      <c r="U553" s="5"/>
      <c r="V553" s="224"/>
      <c r="W553" s="36"/>
      <c r="X553" s="106" t="s">
        <v>4422</v>
      </c>
      <c r="Y553" s="182"/>
      <c r="Z553" s="5"/>
      <c r="AA553" s="27">
        <v>38908</v>
      </c>
      <c r="AB553" s="5"/>
      <c r="AC553" s="1610"/>
      <c r="AD553" s="28"/>
    </row>
    <row r="554" spans="1:30" s="9" customFormat="1" x14ac:dyDescent="0.2">
      <c r="A554" s="328"/>
      <c r="B554" s="16"/>
      <c r="C554" s="16"/>
      <c r="D554" s="7"/>
      <c r="E554" s="7"/>
      <c r="F554" s="6"/>
      <c r="G554" s="6"/>
      <c r="H554" s="17"/>
      <c r="I554" s="17"/>
      <c r="J554" s="7"/>
      <c r="K554" s="7"/>
      <c r="L554" s="348"/>
      <c r="M554" s="6"/>
      <c r="N554" s="6"/>
      <c r="O554" s="18"/>
      <c r="P554" s="7"/>
      <c r="Q554" s="7"/>
      <c r="R554" s="7"/>
      <c r="S554" s="7"/>
      <c r="T554" s="18"/>
      <c r="U554" s="7"/>
      <c r="V554" s="138" t="s">
        <v>4423</v>
      </c>
      <c r="W554" s="47"/>
      <c r="X554" s="12"/>
      <c r="Y554" s="177"/>
      <c r="Z554" s="6"/>
      <c r="AA554" s="6"/>
      <c r="AB554" s="6"/>
      <c r="AC554" s="6"/>
      <c r="AD554" s="28"/>
    </row>
    <row r="555" spans="1:30" s="9" customFormat="1" x14ac:dyDescent="0.2">
      <c r="A555" s="328"/>
      <c r="B555" s="16" t="s">
        <v>4005</v>
      </c>
      <c r="C555" s="16" t="s">
        <v>4236</v>
      </c>
      <c r="D555" s="7" t="s">
        <v>4411</v>
      </c>
      <c r="E555" s="7"/>
      <c r="F555" s="6" t="s">
        <v>4412</v>
      </c>
      <c r="G555" s="6" t="s">
        <v>4299</v>
      </c>
      <c r="H555" s="17">
        <v>21219</v>
      </c>
      <c r="I555" s="39"/>
      <c r="J555" s="18">
        <v>38782</v>
      </c>
      <c r="K555" s="331"/>
      <c r="L555" s="348">
        <v>38883</v>
      </c>
      <c r="M555" s="18" t="s">
        <v>4300</v>
      </c>
      <c r="N555" s="6" t="s">
        <v>110</v>
      </c>
      <c r="O555" s="18">
        <v>38880</v>
      </c>
      <c r="P555" s="331">
        <f>IF(S555="","",+S555-L555)</f>
        <v>1</v>
      </c>
      <c r="Q555" s="331"/>
      <c r="R555" s="331"/>
      <c r="S555" s="18">
        <v>38884</v>
      </c>
      <c r="T555" s="18">
        <f>+S555+7</f>
        <v>38891</v>
      </c>
      <c r="U555" s="331">
        <f>IF(T555="","",+T555-J555)</f>
        <v>109</v>
      </c>
      <c r="V555" s="6" t="s">
        <v>4413</v>
      </c>
      <c r="W555" s="47" t="s">
        <v>4424</v>
      </c>
      <c r="X555" s="6" t="s">
        <v>4407</v>
      </c>
      <c r="Y555" s="177"/>
      <c r="Z555" s="6"/>
      <c r="AA555" s="7" t="s">
        <v>47</v>
      </c>
      <c r="AB555" s="358"/>
      <c r="AC555" s="358"/>
      <c r="AD555" s="28"/>
    </row>
    <row r="556" spans="1:30" s="9" customFormat="1" ht="12" thickBot="1" x14ac:dyDescent="0.25">
      <c r="A556" s="328"/>
      <c r="B556" s="19"/>
      <c r="C556" s="19"/>
      <c r="D556" s="5"/>
      <c r="E556" s="5"/>
      <c r="F556" s="5"/>
      <c r="G556" s="5"/>
      <c r="H556" s="105">
        <v>149.18</v>
      </c>
      <c r="I556" s="21"/>
      <c r="J556" s="27"/>
      <c r="K556" s="27"/>
      <c r="L556" s="187"/>
      <c r="M556" s="5"/>
      <c r="N556" s="5"/>
      <c r="O556" s="187" t="s">
        <v>4425</v>
      </c>
      <c r="P556" s="5"/>
      <c r="Q556" s="5"/>
      <c r="R556" s="5"/>
      <c r="S556" s="5"/>
      <c r="T556" s="187"/>
      <c r="U556" s="5"/>
      <c r="V556" s="224" t="s">
        <v>1102</v>
      </c>
      <c r="W556" s="36"/>
      <c r="X556" s="106" t="s">
        <v>4415</v>
      </c>
      <c r="Y556" s="182"/>
      <c r="Z556" s="5"/>
      <c r="AA556" s="27">
        <v>38904</v>
      </c>
      <c r="AB556" s="5"/>
      <c r="AC556" s="5"/>
      <c r="AD556" s="28"/>
    </row>
    <row r="557" spans="1:30" s="9" customFormat="1" x14ac:dyDescent="0.2">
      <c r="A557" s="328"/>
      <c r="B557" s="16"/>
      <c r="C557" s="16"/>
      <c r="D557" s="7"/>
      <c r="E557" s="7"/>
      <c r="F557" s="6"/>
      <c r="G557" s="6"/>
      <c r="H557" s="17"/>
      <c r="I557" s="17"/>
      <c r="J557" s="7"/>
      <c r="K557" s="7"/>
      <c r="L557" s="348"/>
      <c r="M557" s="6"/>
      <c r="N557" s="6"/>
      <c r="O557" s="18"/>
      <c r="P557" s="7"/>
      <c r="Q557" s="7"/>
      <c r="R557" s="7"/>
      <c r="S557" s="7"/>
      <c r="T557" s="18"/>
      <c r="U557" s="7"/>
      <c r="V557" s="138" t="s">
        <v>4426</v>
      </c>
      <c r="W557" s="47"/>
      <c r="X557" s="12"/>
      <c r="Y557" s="177"/>
      <c r="Z557" s="6"/>
      <c r="AA557" s="6"/>
      <c r="AB557" s="6"/>
      <c r="AC557" s="6"/>
      <c r="AD557" s="28"/>
    </row>
    <row r="558" spans="1:30" s="9" customFormat="1" x14ac:dyDescent="0.2">
      <c r="A558" s="328"/>
      <c r="B558" s="16" t="s">
        <v>4005</v>
      </c>
      <c r="C558" s="16" t="s">
        <v>4236</v>
      </c>
      <c r="D558" s="7" t="s">
        <v>4411</v>
      </c>
      <c r="E558" s="7"/>
      <c r="F558" s="6" t="s">
        <v>4412</v>
      </c>
      <c r="G558" s="6" t="s">
        <v>4299</v>
      </c>
      <c r="H558" s="17">
        <v>21219</v>
      </c>
      <c r="I558" s="39"/>
      <c r="J558" s="18">
        <v>38782</v>
      </c>
      <c r="K558" s="331"/>
      <c r="L558" s="348">
        <v>38883</v>
      </c>
      <c r="M558" s="18" t="s">
        <v>4300</v>
      </c>
      <c r="N558" s="6" t="s">
        <v>42</v>
      </c>
      <c r="O558" s="18">
        <v>38887</v>
      </c>
      <c r="P558" s="331">
        <f>IF(S558="","",+S558-L558)</f>
        <v>4</v>
      </c>
      <c r="Q558" s="331"/>
      <c r="R558" s="331"/>
      <c r="S558" s="18">
        <v>38887</v>
      </c>
      <c r="T558" s="18">
        <f>+S558+15</f>
        <v>38902</v>
      </c>
      <c r="U558" s="331">
        <f>IF(T558="","",+T558-J558)</f>
        <v>120</v>
      </c>
      <c r="V558" s="6" t="s">
        <v>4413</v>
      </c>
      <c r="W558" s="47" t="s">
        <v>4427</v>
      </c>
      <c r="X558" s="6" t="s">
        <v>4407</v>
      </c>
      <c r="Y558" s="177"/>
      <c r="Z558" s="6"/>
      <c r="AA558" s="7" t="s">
        <v>47</v>
      </c>
      <c r="AB558" s="358"/>
      <c r="AC558" s="358"/>
      <c r="AD558" s="28"/>
    </row>
    <row r="559" spans="1:30" s="9" customFormat="1" ht="12" thickBot="1" x14ac:dyDescent="0.25">
      <c r="A559" s="328"/>
      <c r="B559" s="19"/>
      <c r="C559" s="19"/>
      <c r="D559" s="5"/>
      <c r="E559" s="5"/>
      <c r="F559" s="5"/>
      <c r="G559" s="5"/>
      <c r="H559" s="105">
        <v>11103.8</v>
      </c>
      <c r="I559" s="21"/>
      <c r="J559" s="27"/>
      <c r="K559" s="27"/>
      <c r="L559" s="187"/>
      <c r="M559" s="5"/>
      <c r="N559" s="5"/>
      <c r="O559" s="187" t="s">
        <v>4102</v>
      </c>
      <c r="P559" s="5"/>
      <c r="Q559" s="5"/>
      <c r="R559" s="5"/>
      <c r="S559" s="5"/>
      <c r="T559" s="187"/>
      <c r="U559" s="5"/>
      <c r="V559" s="224" t="s">
        <v>1102</v>
      </c>
      <c r="W559" s="36"/>
      <c r="X559" s="106" t="s">
        <v>4428</v>
      </c>
      <c r="Y559" s="182"/>
      <c r="Z559" s="5"/>
      <c r="AA559" s="27">
        <v>38930</v>
      </c>
      <c r="AB559" s="5"/>
      <c r="AC559" s="5"/>
      <c r="AD559" s="28"/>
    </row>
    <row r="560" spans="1:30" s="9" customFormat="1" ht="12.75" customHeight="1" x14ac:dyDescent="0.2">
      <c r="A560" s="328"/>
      <c r="B560" s="16"/>
      <c r="C560" s="16"/>
      <c r="D560" s="7"/>
      <c r="E560" s="7"/>
      <c r="F560" s="6"/>
      <c r="G560" s="6"/>
      <c r="H560" s="17"/>
      <c r="I560" s="17"/>
      <c r="J560" s="7"/>
      <c r="K560" s="7"/>
      <c r="L560" s="348"/>
      <c r="M560" s="6"/>
      <c r="N560" s="6"/>
      <c r="O560" s="18"/>
      <c r="P560" s="7"/>
      <c r="Q560" s="7"/>
      <c r="R560" s="7"/>
      <c r="S560" s="7" t="s">
        <v>4429</v>
      </c>
      <c r="T560" s="18"/>
      <c r="U560" s="7"/>
      <c r="V560" s="220"/>
      <c r="W560" s="47"/>
      <c r="X560" s="12"/>
      <c r="Y560" s="177"/>
      <c r="Z560" s="6"/>
      <c r="AA560" s="6"/>
      <c r="AB560" s="6"/>
      <c r="AC560" s="1608" t="s">
        <v>4430</v>
      </c>
      <c r="AD560" s="28"/>
    </row>
    <row r="561" spans="1:30" s="9" customFormat="1" x14ac:dyDescent="0.2">
      <c r="A561" s="328"/>
      <c r="B561" s="16" t="s">
        <v>4005</v>
      </c>
      <c r="C561" s="16" t="s">
        <v>4236</v>
      </c>
      <c r="D561" s="7" t="s">
        <v>4431</v>
      </c>
      <c r="E561" s="7"/>
      <c r="F561" s="6" t="s">
        <v>4432</v>
      </c>
      <c r="G561" s="6" t="s">
        <v>4299</v>
      </c>
      <c r="H561" s="17">
        <v>54755.7</v>
      </c>
      <c r="I561" s="39" t="s">
        <v>4405</v>
      </c>
      <c r="J561" s="18">
        <v>38883</v>
      </c>
      <c r="K561" s="331">
        <v>15</v>
      </c>
      <c r="L561" s="348">
        <f>+J561+K561</f>
        <v>38898</v>
      </c>
      <c r="M561" s="18" t="s">
        <v>4300</v>
      </c>
      <c r="N561" s="6" t="s">
        <v>42</v>
      </c>
      <c r="O561" s="18">
        <v>38902</v>
      </c>
      <c r="P561" s="331">
        <f>IF(S561="","",+S561-L561)</f>
        <v>21</v>
      </c>
      <c r="Q561" s="331"/>
      <c r="R561" s="331"/>
      <c r="S561" s="349">
        <v>38919</v>
      </c>
      <c r="T561" s="18">
        <v>38942</v>
      </c>
      <c r="U561" s="331">
        <f>IF(T561="","",+T561-J561)</f>
        <v>59</v>
      </c>
      <c r="V561" s="6" t="s">
        <v>4433</v>
      </c>
      <c r="W561" s="47">
        <v>137</v>
      </c>
      <c r="X561" s="6" t="s">
        <v>4407</v>
      </c>
      <c r="Y561" s="177"/>
      <c r="Z561" s="6">
        <v>6632322213</v>
      </c>
      <c r="AA561" s="7" t="s">
        <v>47</v>
      </c>
      <c r="AB561" s="358"/>
      <c r="AC561" s="1609"/>
      <c r="AD561" s="30" t="str">
        <f>IF(O561&lt;=L561,"en término","atrasado")</f>
        <v>atrasado</v>
      </c>
    </row>
    <row r="562" spans="1:30" s="9" customFormat="1" ht="12" thickBot="1" x14ac:dyDescent="0.25">
      <c r="A562" s="328"/>
      <c r="B562" s="19"/>
      <c r="C562" s="19"/>
      <c r="D562" s="5"/>
      <c r="E562" s="5"/>
      <c r="F562" s="5"/>
      <c r="G562" s="5"/>
      <c r="H562" s="105"/>
      <c r="I562" s="21" t="s">
        <v>4408</v>
      </c>
      <c r="J562" s="27"/>
      <c r="K562" s="27"/>
      <c r="L562" s="187"/>
      <c r="M562" s="5"/>
      <c r="N562" s="5"/>
      <c r="O562" s="187"/>
      <c r="P562" s="5"/>
      <c r="Q562" s="5"/>
      <c r="R562" s="5"/>
      <c r="S562" s="5"/>
      <c r="T562" s="187"/>
      <c r="U562" s="5"/>
      <c r="V562" s="224"/>
      <c r="W562" s="36"/>
      <c r="X562" s="106" t="s">
        <v>4434</v>
      </c>
      <c r="Y562" s="182"/>
      <c r="Z562" s="5"/>
      <c r="AA562" s="27">
        <v>38951</v>
      </c>
      <c r="AB562" s="5"/>
      <c r="AC562" s="1610"/>
      <c r="AD562" s="28"/>
    </row>
    <row r="563" spans="1:30" s="9" customFormat="1" x14ac:dyDescent="0.2">
      <c r="A563" s="328"/>
      <c r="B563" s="16"/>
      <c r="C563" s="16"/>
      <c r="D563" s="7"/>
      <c r="E563" s="7"/>
      <c r="F563" s="6"/>
      <c r="G563" s="6"/>
      <c r="H563" s="17"/>
      <c r="I563" s="17"/>
      <c r="J563" s="7"/>
      <c r="K563" s="7"/>
      <c r="L563" s="348"/>
      <c r="M563" s="6"/>
      <c r="N563" s="6"/>
      <c r="O563" s="18"/>
      <c r="P563" s="7"/>
      <c r="Q563" s="7"/>
      <c r="R563" s="7"/>
      <c r="S563" s="7"/>
      <c r="T563" s="18"/>
      <c r="U563" s="7"/>
      <c r="V563" s="220"/>
      <c r="W563" s="47"/>
      <c r="X563" s="12"/>
      <c r="Y563" s="177"/>
      <c r="Z563" s="6"/>
      <c r="AA563" s="6"/>
      <c r="AB563" s="6"/>
      <c r="AC563" s="6"/>
      <c r="AD563" s="330"/>
    </row>
    <row r="564" spans="1:30" s="9" customFormat="1" x14ac:dyDescent="0.2">
      <c r="A564" s="328"/>
      <c r="B564" s="16" t="s">
        <v>4005</v>
      </c>
      <c r="C564" s="16" t="s">
        <v>4236</v>
      </c>
      <c r="D564" s="7" t="s">
        <v>4435</v>
      </c>
      <c r="E564" s="7"/>
      <c r="F564" s="6" t="s">
        <v>4436</v>
      </c>
      <c r="G564" s="6" t="s">
        <v>4299</v>
      </c>
      <c r="H564" s="17">
        <v>10799.8</v>
      </c>
      <c r="I564" s="39"/>
      <c r="J564" s="18">
        <v>38916</v>
      </c>
      <c r="K564" s="331"/>
      <c r="L564" s="348">
        <v>38982</v>
      </c>
      <c r="M564" s="18" t="s">
        <v>4300</v>
      </c>
      <c r="N564" s="6" t="s">
        <v>42</v>
      </c>
      <c r="O564" s="18">
        <v>38964</v>
      </c>
      <c r="P564" s="331">
        <f>IF(S564="","",+S564-L564)</f>
        <v>17</v>
      </c>
      <c r="Q564" s="331"/>
      <c r="R564" s="331"/>
      <c r="S564" s="18">
        <v>38999</v>
      </c>
      <c r="T564" s="18">
        <v>39007</v>
      </c>
      <c r="U564" s="331">
        <f>IF(T564="","",+T564-J564)</f>
        <v>91</v>
      </c>
      <c r="V564" s="6" t="s">
        <v>4437</v>
      </c>
      <c r="W564" s="47" t="s">
        <v>4438</v>
      </c>
      <c r="X564" s="6" t="s">
        <v>4407</v>
      </c>
      <c r="Y564" s="177"/>
      <c r="Z564" s="6"/>
      <c r="AA564" s="7" t="s">
        <v>47</v>
      </c>
      <c r="AB564" s="358"/>
      <c r="AC564" s="358"/>
      <c r="AD564" s="330"/>
    </row>
    <row r="565" spans="1:30" s="9" customFormat="1" ht="12" thickBot="1" x14ac:dyDescent="0.25">
      <c r="A565" s="328"/>
      <c r="B565" s="19"/>
      <c r="C565" s="19"/>
      <c r="D565" s="5"/>
      <c r="E565" s="5"/>
      <c r="F565" s="5"/>
      <c r="G565" s="5"/>
      <c r="H565" s="105"/>
      <c r="I565" s="21"/>
      <c r="J565" s="27"/>
      <c r="K565" s="27"/>
      <c r="L565" s="187"/>
      <c r="M565" s="5"/>
      <c r="N565" s="5"/>
      <c r="O565" s="187"/>
      <c r="P565" s="5"/>
      <c r="Q565" s="5"/>
      <c r="R565" s="5"/>
      <c r="S565" s="5"/>
      <c r="T565" s="187"/>
      <c r="U565" s="5"/>
      <c r="V565" s="224" t="s">
        <v>1102</v>
      </c>
      <c r="W565" s="36"/>
      <c r="X565" s="106" t="s">
        <v>4439</v>
      </c>
      <c r="Y565" s="182"/>
      <c r="Z565" s="5"/>
      <c r="AA565" s="27">
        <v>39017</v>
      </c>
      <c r="AB565" s="5"/>
      <c r="AC565" s="5"/>
      <c r="AD565" s="330"/>
    </row>
    <row r="566" spans="1:30" s="9" customFormat="1" ht="15.75" customHeight="1" x14ac:dyDescent="0.2">
      <c r="A566" s="328"/>
      <c r="B566" s="16"/>
      <c r="C566" s="16"/>
      <c r="D566" s="7"/>
      <c r="E566" s="7"/>
      <c r="F566" s="6"/>
      <c r="G566" s="6"/>
      <c r="H566" s="17"/>
      <c r="I566" s="17"/>
      <c r="J566" s="7"/>
      <c r="K566" s="7"/>
      <c r="L566" s="348"/>
      <c r="M566" s="6"/>
      <c r="N566" s="6"/>
      <c r="O566" s="18"/>
      <c r="P566" s="7"/>
      <c r="Q566" s="7"/>
      <c r="R566" s="7"/>
      <c r="S566" s="7"/>
      <c r="T566" s="18"/>
      <c r="U566" s="7"/>
      <c r="V566" s="220"/>
      <c r="W566" s="47"/>
      <c r="X566" s="12"/>
      <c r="Y566" s="177"/>
      <c r="Z566" s="6"/>
      <c r="AA566" s="6"/>
      <c r="AB566" s="6"/>
      <c r="AC566" s="1608" t="s">
        <v>4440</v>
      </c>
      <c r="AD566" s="28"/>
    </row>
    <row r="567" spans="1:30" s="9" customFormat="1" ht="13.5" customHeight="1" x14ac:dyDescent="0.2">
      <c r="A567" s="328"/>
      <c r="B567" s="16" t="s">
        <v>4005</v>
      </c>
      <c r="C567" s="16" t="s">
        <v>4236</v>
      </c>
      <c r="D567" s="7" t="s">
        <v>4435</v>
      </c>
      <c r="E567" s="7"/>
      <c r="F567" s="6" t="s">
        <v>4441</v>
      </c>
      <c r="G567" s="6" t="s">
        <v>4299</v>
      </c>
      <c r="H567" s="17">
        <v>24779.1</v>
      </c>
      <c r="I567" s="39" t="s">
        <v>4405</v>
      </c>
      <c r="J567" s="18">
        <v>38916</v>
      </c>
      <c r="K567" s="331">
        <v>20</v>
      </c>
      <c r="L567" s="348">
        <f>+J567+K567</f>
        <v>38936</v>
      </c>
      <c r="M567" s="18" t="s">
        <v>4442</v>
      </c>
      <c r="N567" s="6" t="s">
        <v>42</v>
      </c>
      <c r="O567" s="18">
        <v>38944</v>
      </c>
      <c r="P567" s="331">
        <f>IF(S567="","",+S567-L567)</f>
        <v>13</v>
      </c>
      <c r="Q567" s="331"/>
      <c r="R567" s="331"/>
      <c r="S567" s="349">
        <v>38949</v>
      </c>
      <c r="T567" s="18">
        <f>+S567+30</f>
        <v>38979</v>
      </c>
      <c r="U567" s="331">
        <f>IF(T567="","",+T567-J567)</f>
        <v>63</v>
      </c>
      <c r="V567" s="6" t="s">
        <v>4443</v>
      </c>
      <c r="W567" s="47">
        <v>144</v>
      </c>
      <c r="X567" s="6" t="s">
        <v>4407</v>
      </c>
      <c r="Y567" s="177"/>
      <c r="Z567" s="6">
        <v>6619840032</v>
      </c>
      <c r="AA567" s="7" t="s">
        <v>47</v>
      </c>
      <c r="AB567" s="358"/>
      <c r="AC567" s="1609"/>
      <c r="AD567" s="30" t="str">
        <f>IF(O567&lt;=L567,"en término","atrasado")</f>
        <v>atrasado</v>
      </c>
    </row>
    <row r="568" spans="1:30" s="9" customFormat="1" ht="13.5" customHeight="1" x14ac:dyDescent="0.2">
      <c r="A568" s="328"/>
      <c r="B568" s="16"/>
      <c r="C568" s="16"/>
      <c r="D568" s="7"/>
      <c r="E568" s="7"/>
      <c r="F568" s="6"/>
      <c r="G568" s="6"/>
      <c r="H568" s="17"/>
      <c r="I568" s="39" t="s">
        <v>4408</v>
      </c>
      <c r="J568" s="18"/>
      <c r="K568" s="331"/>
      <c r="L568" s="348"/>
      <c r="M568" s="18"/>
      <c r="N568" s="6"/>
      <c r="O568" s="18"/>
      <c r="P568" s="331"/>
      <c r="Q568" s="331"/>
      <c r="R568" s="331"/>
      <c r="S568" s="349"/>
      <c r="T568" s="18"/>
      <c r="U568" s="331"/>
      <c r="V568" s="6"/>
      <c r="W568" s="47"/>
      <c r="X568" s="340" t="s">
        <v>4444</v>
      </c>
      <c r="Y568" s="177"/>
      <c r="Z568" s="6"/>
      <c r="AA568" s="7">
        <v>38993</v>
      </c>
      <c r="AB568" s="358"/>
      <c r="AC568" s="1609"/>
      <c r="AD568" s="28"/>
    </row>
    <row r="569" spans="1:30" s="9" customFormat="1" ht="4.5" customHeight="1" thickBot="1" x14ac:dyDescent="0.25">
      <c r="A569" s="328"/>
      <c r="B569" s="398"/>
      <c r="C569" s="19"/>
      <c r="D569" s="5"/>
      <c r="E569" s="5"/>
      <c r="F569" s="5"/>
      <c r="G569" s="5"/>
      <c r="H569" s="105"/>
      <c r="I569" s="21"/>
      <c r="J569" s="27"/>
      <c r="K569" s="27"/>
      <c r="L569" s="187"/>
      <c r="M569" s="5"/>
      <c r="N569" s="5"/>
      <c r="O569" s="187"/>
      <c r="P569" s="5"/>
      <c r="Q569" s="5"/>
      <c r="R569" s="5"/>
      <c r="S569" s="5"/>
      <c r="T569" s="187"/>
      <c r="U569" s="5"/>
      <c r="V569" s="22"/>
      <c r="W569" s="36"/>
      <c r="X569" s="106"/>
      <c r="Y569" s="182"/>
      <c r="Z569" s="5"/>
      <c r="AA569" s="27"/>
      <c r="AB569" s="5"/>
      <c r="AC569" s="5"/>
      <c r="AD569" s="28"/>
    </row>
    <row r="570" spans="1:30" s="9" customFormat="1" x14ac:dyDescent="0.2">
      <c r="A570" s="328"/>
      <c r="B570" s="16"/>
      <c r="C570" s="16"/>
      <c r="D570" s="7"/>
      <c r="E570" s="7"/>
      <c r="F570" s="6"/>
      <c r="G570" s="6"/>
      <c r="H570" s="17"/>
      <c r="I570" s="17"/>
      <c r="J570" s="7"/>
      <c r="K570" s="7"/>
      <c r="L570" s="348"/>
      <c r="M570" s="6"/>
      <c r="N570" s="6"/>
      <c r="O570" s="18"/>
      <c r="P570" s="7"/>
      <c r="Q570" s="7"/>
      <c r="R570" s="7"/>
      <c r="S570" s="7" t="s">
        <v>4445</v>
      </c>
      <c r="T570" s="18"/>
      <c r="U570" s="7"/>
      <c r="V570" s="220"/>
      <c r="W570" s="47"/>
      <c r="X570" s="12"/>
      <c r="Y570" s="177"/>
      <c r="Z570" s="6"/>
      <c r="AA570" s="6"/>
      <c r="AB570" s="6"/>
      <c r="AC570" s="1648" t="s">
        <v>4446</v>
      </c>
      <c r="AD570" s="28"/>
    </row>
    <row r="571" spans="1:30" s="9" customFormat="1" x14ac:dyDescent="0.2">
      <c r="A571" s="328"/>
      <c r="B571" s="16" t="s">
        <v>4005</v>
      </c>
      <c r="C571" s="16" t="s">
        <v>4236</v>
      </c>
      <c r="D571" s="7" t="s">
        <v>4447</v>
      </c>
      <c r="E571" s="7"/>
      <c r="F571" s="6" t="s">
        <v>4448</v>
      </c>
      <c r="G571" s="6" t="s">
        <v>4299</v>
      </c>
      <c r="H571" s="17">
        <v>168231.2</v>
      </c>
      <c r="I571" s="39" t="s">
        <v>4405</v>
      </c>
      <c r="J571" s="18">
        <v>38967</v>
      </c>
      <c r="K571" s="331">
        <v>22</v>
      </c>
      <c r="L571" s="348">
        <f>+J571+K571</f>
        <v>38989</v>
      </c>
      <c r="M571" s="39" t="s">
        <v>4405</v>
      </c>
      <c r="N571" s="6" t="s">
        <v>42</v>
      </c>
      <c r="O571" s="18">
        <v>38989</v>
      </c>
      <c r="P571" s="331">
        <f>IF(S571="","",+S571-L571)</f>
        <v>22</v>
      </c>
      <c r="Q571" s="331"/>
      <c r="R571" s="331"/>
      <c r="S571" s="349">
        <v>39011</v>
      </c>
      <c r="T571" s="18">
        <f>+S571+20</f>
        <v>39031</v>
      </c>
      <c r="U571" s="331">
        <f>IF(T571="","",+T571-J571)</f>
        <v>64</v>
      </c>
      <c r="V571" s="6" t="s">
        <v>4449</v>
      </c>
      <c r="W571" s="47">
        <v>163</v>
      </c>
      <c r="X571" s="6" t="s">
        <v>4407</v>
      </c>
      <c r="Y571" s="177"/>
      <c r="Z571" s="6">
        <v>6619840242</v>
      </c>
      <c r="AA571" s="7" t="s">
        <v>47</v>
      </c>
      <c r="AB571" s="358"/>
      <c r="AC571" s="1649"/>
      <c r="AD571" s="30" t="str">
        <f>IF(O571&lt;=L571,"en término","atrasado")</f>
        <v>en término</v>
      </c>
    </row>
    <row r="572" spans="1:30" s="9" customFormat="1" x14ac:dyDescent="0.2">
      <c r="A572" s="328"/>
      <c r="B572" s="16"/>
      <c r="C572" s="16"/>
      <c r="D572" s="7"/>
      <c r="E572" s="7"/>
      <c r="F572" s="6"/>
      <c r="G572" s="6"/>
      <c r="H572" s="17"/>
      <c r="I572" s="39" t="s">
        <v>4408</v>
      </c>
      <c r="J572" s="18"/>
      <c r="K572" s="331"/>
      <c r="L572" s="348"/>
      <c r="M572" s="18"/>
      <c r="N572" s="6"/>
      <c r="O572" s="18"/>
      <c r="P572" s="331"/>
      <c r="Q572" s="331"/>
      <c r="R572" s="331"/>
      <c r="S572" s="349"/>
      <c r="T572" s="18"/>
      <c r="U572" s="331"/>
      <c r="V572" s="6"/>
      <c r="W572" s="47"/>
      <c r="X572" s="340" t="s">
        <v>4450</v>
      </c>
      <c r="Y572" s="177"/>
      <c r="Z572" s="6"/>
      <c r="AA572" s="7">
        <v>39050</v>
      </c>
      <c r="AB572" s="358"/>
      <c r="AC572" s="1649"/>
      <c r="AD572" s="28"/>
    </row>
    <row r="573" spans="1:30" s="9" customFormat="1" ht="12" thickBot="1" x14ac:dyDescent="0.25">
      <c r="A573" s="328"/>
      <c r="B573" s="400"/>
      <c r="C573" s="19"/>
      <c r="D573" s="27"/>
      <c r="E573" s="27"/>
      <c r="F573" s="5"/>
      <c r="G573" s="5"/>
      <c r="H573" s="20"/>
      <c r="I573" s="21"/>
      <c r="J573" s="187"/>
      <c r="K573" s="354"/>
      <c r="L573" s="355"/>
      <c r="M573" s="187"/>
      <c r="N573" s="5"/>
      <c r="O573" s="187"/>
      <c r="P573" s="354"/>
      <c r="Q573" s="354"/>
      <c r="R573" s="354"/>
      <c r="S573" s="350"/>
      <c r="T573" s="187"/>
      <c r="U573" s="354"/>
      <c r="V573" s="5"/>
      <c r="W573" s="36"/>
      <c r="X573" s="106"/>
      <c r="Y573" s="182"/>
      <c r="Z573" s="5"/>
      <c r="AA573" s="27"/>
      <c r="AB573" s="401"/>
      <c r="AC573" s="1650"/>
      <c r="AD573" s="28"/>
    </row>
    <row r="574" spans="1:30" s="9" customFormat="1" x14ac:dyDescent="0.2">
      <c r="A574" s="328"/>
      <c r="B574" s="16"/>
      <c r="C574" s="16"/>
      <c r="D574" s="7"/>
      <c r="E574" s="7"/>
      <c r="F574" s="6"/>
      <c r="G574" s="6"/>
      <c r="H574" s="17"/>
      <c r="I574" s="17"/>
      <c r="J574" s="7"/>
      <c r="K574" s="7"/>
      <c r="L574" s="348"/>
      <c r="M574" s="6"/>
      <c r="N574" s="6"/>
      <c r="O574" s="18"/>
      <c r="P574" s="7"/>
      <c r="Q574" s="7"/>
      <c r="R574" s="7"/>
      <c r="S574" s="7" t="s">
        <v>4451</v>
      </c>
      <c r="T574" s="18"/>
      <c r="U574" s="7"/>
      <c r="V574" s="220"/>
      <c r="W574" s="47"/>
      <c r="X574" s="6"/>
      <c r="Y574" s="177"/>
      <c r="Z574" s="6"/>
      <c r="AA574" s="6"/>
      <c r="AB574" s="6"/>
      <c r="AC574" s="6"/>
      <c r="AD574" s="330"/>
    </row>
    <row r="575" spans="1:30" s="9" customFormat="1" x14ac:dyDescent="0.2">
      <c r="A575" s="328"/>
      <c r="B575" s="16" t="s">
        <v>4005</v>
      </c>
      <c r="C575" s="16" t="s">
        <v>4236</v>
      </c>
      <c r="D575" s="7" t="s">
        <v>4452</v>
      </c>
      <c r="E575" s="7"/>
      <c r="F575" s="6" t="s">
        <v>4453</v>
      </c>
      <c r="G575" s="6" t="s">
        <v>4299</v>
      </c>
      <c r="H575" s="17">
        <v>22856.400000000001</v>
      </c>
      <c r="I575" s="39" t="s">
        <v>4405</v>
      </c>
      <c r="J575" s="18">
        <v>39001</v>
      </c>
      <c r="K575" s="331">
        <v>20</v>
      </c>
      <c r="L575" s="348">
        <f>+J575+K575</f>
        <v>39021</v>
      </c>
      <c r="M575" s="39" t="s">
        <v>4405</v>
      </c>
      <c r="N575" s="6" t="s">
        <v>42</v>
      </c>
      <c r="O575" s="18">
        <v>39010</v>
      </c>
      <c r="P575" s="331">
        <f>IF(S575="","",+S575-L575)</f>
        <v>-1</v>
      </c>
      <c r="Q575" s="331"/>
      <c r="R575" s="331"/>
      <c r="S575" s="349">
        <v>39020</v>
      </c>
      <c r="T575" s="18">
        <v>39045</v>
      </c>
      <c r="U575" s="331">
        <f>IF(T575="","",+T575-J575)</f>
        <v>44</v>
      </c>
      <c r="V575" s="6" t="s">
        <v>4454</v>
      </c>
      <c r="W575" s="47">
        <v>169</v>
      </c>
      <c r="X575" s="6" t="s">
        <v>4407</v>
      </c>
      <c r="Y575" s="177"/>
      <c r="Z575" s="6">
        <v>6619840231</v>
      </c>
      <c r="AA575" s="7" t="s">
        <v>47</v>
      </c>
      <c r="AB575" s="358"/>
      <c r="AC575" s="358"/>
      <c r="AD575" s="30" t="str">
        <f>IF(O575&lt;=L575,"en término","atrasado")</f>
        <v>en término</v>
      </c>
    </row>
    <row r="576" spans="1:30" s="9" customFormat="1" ht="12" thickBot="1" x14ac:dyDescent="0.25">
      <c r="A576" s="328"/>
      <c r="B576" s="19"/>
      <c r="C576" s="19"/>
      <c r="D576" s="27"/>
      <c r="E576" s="27"/>
      <c r="F576" s="5"/>
      <c r="G576" s="5"/>
      <c r="H576" s="20"/>
      <c r="I576" s="21" t="s">
        <v>4408</v>
      </c>
      <c r="J576" s="187"/>
      <c r="K576" s="354"/>
      <c r="L576" s="355"/>
      <c r="M576" s="187"/>
      <c r="N576" s="5"/>
      <c r="O576" s="187"/>
      <c r="P576" s="354"/>
      <c r="Q576" s="354"/>
      <c r="R576" s="354"/>
      <c r="S576" s="350"/>
      <c r="T576" s="187"/>
      <c r="U576" s="354"/>
      <c r="V576" s="5"/>
      <c r="W576" s="36"/>
      <c r="X576" s="106" t="s">
        <v>4455</v>
      </c>
      <c r="Y576" s="182"/>
      <c r="Z576" s="5"/>
      <c r="AA576" s="27">
        <v>39054</v>
      </c>
      <c r="AB576" s="401"/>
      <c r="AC576" s="401"/>
      <c r="AD576" s="330"/>
    </row>
    <row r="577" spans="1:30" s="9" customFormat="1" x14ac:dyDescent="0.2">
      <c r="A577" s="328"/>
      <c r="B577" s="16"/>
      <c r="C577" s="16"/>
      <c r="D577" s="7"/>
      <c r="E577" s="7"/>
      <c r="F577" s="6"/>
      <c r="G577" s="6"/>
      <c r="H577" s="17"/>
      <c r="I577" s="17"/>
      <c r="J577" s="7"/>
      <c r="K577" s="7"/>
      <c r="L577" s="348"/>
      <c r="M577" s="6"/>
      <c r="N577" s="6"/>
      <c r="O577" s="18"/>
      <c r="P577" s="7"/>
      <c r="Q577" s="7"/>
      <c r="R577" s="7"/>
      <c r="S577" s="7"/>
      <c r="T577" s="18"/>
      <c r="U577" s="7"/>
      <c r="V577" s="220"/>
      <c r="W577" s="47"/>
      <c r="X577" s="57"/>
      <c r="Y577" s="177"/>
      <c r="Z577" s="6"/>
      <c r="AA577" s="6"/>
      <c r="AB577" s="6"/>
      <c r="AC577" s="6"/>
      <c r="AD577" s="28"/>
    </row>
    <row r="578" spans="1:30" s="9" customFormat="1" x14ac:dyDescent="0.2">
      <c r="A578" s="328"/>
      <c r="B578" s="16" t="s">
        <v>4005</v>
      </c>
      <c r="C578" s="16" t="s">
        <v>4236</v>
      </c>
      <c r="D578" s="7"/>
      <c r="E578" s="7"/>
      <c r="F578" s="6" t="s">
        <v>4456</v>
      </c>
      <c r="G578" s="6" t="s">
        <v>4299</v>
      </c>
      <c r="H578" s="17">
        <v>817.3</v>
      </c>
      <c r="I578" s="39"/>
      <c r="J578" s="18">
        <v>38967</v>
      </c>
      <c r="K578" s="331"/>
      <c r="L578" s="348">
        <v>38982</v>
      </c>
      <c r="M578" s="18" t="s">
        <v>4300</v>
      </c>
      <c r="N578" s="6" t="s">
        <v>110</v>
      </c>
      <c r="O578" s="18">
        <v>38993</v>
      </c>
      <c r="P578" s="331">
        <f>IF(S578="","",+S578-L578)</f>
        <v>18</v>
      </c>
      <c r="Q578" s="331"/>
      <c r="R578" s="331"/>
      <c r="S578" s="18">
        <v>39000</v>
      </c>
      <c r="T578" s="18">
        <f>+S578+10</f>
        <v>39010</v>
      </c>
      <c r="U578" s="331">
        <f>IF(T578="","",+T578-J578)</f>
        <v>43</v>
      </c>
      <c r="V578" s="6" t="s">
        <v>4457</v>
      </c>
      <c r="W578" s="47" t="s">
        <v>4458</v>
      </c>
      <c r="X578" s="59"/>
      <c r="Y578" s="177"/>
      <c r="Z578" s="6">
        <v>7786626234</v>
      </c>
      <c r="AA578" s="7" t="s">
        <v>47</v>
      </c>
      <c r="AB578" s="358"/>
      <c r="AC578" s="358"/>
      <c r="AD578" s="28"/>
    </row>
    <row r="579" spans="1:30" s="9" customFormat="1" ht="12" thickBot="1" x14ac:dyDescent="0.25">
      <c r="A579" s="328"/>
      <c r="B579" s="19"/>
      <c r="C579" s="19"/>
      <c r="D579" s="5"/>
      <c r="E579" s="5"/>
      <c r="F579" s="5"/>
      <c r="G579" s="5"/>
      <c r="H579" s="105"/>
      <c r="I579" s="21"/>
      <c r="J579" s="27"/>
      <c r="K579" s="27"/>
      <c r="L579" s="187"/>
      <c r="M579" s="5"/>
      <c r="N579" s="5"/>
      <c r="O579" s="187"/>
      <c r="P579" s="5"/>
      <c r="Q579" s="5"/>
      <c r="R579" s="5"/>
      <c r="S579" s="5"/>
      <c r="T579" s="187"/>
      <c r="U579" s="5"/>
      <c r="V579" s="224" t="s">
        <v>1102</v>
      </c>
      <c r="W579" s="36"/>
      <c r="X579" s="61"/>
      <c r="Y579" s="182"/>
      <c r="Z579" s="5"/>
      <c r="AA579" s="27">
        <v>39010</v>
      </c>
      <c r="AB579" s="5"/>
      <c r="AC579" s="5"/>
      <c r="AD579" s="28"/>
    </row>
    <row r="580" spans="1:30" s="9" customFormat="1" x14ac:dyDescent="0.2">
      <c r="A580" s="328"/>
      <c r="B580" s="16"/>
      <c r="C580" s="16"/>
      <c r="D580" s="7"/>
      <c r="E580" s="7"/>
      <c r="F580" s="6"/>
      <c r="G580" s="6"/>
      <c r="H580" s="17"/>
      <c r="I580" s="17"/>
      <c r="J580" s="7"/>
      <c r="K580" s="7"/>
      <c r="L580" s="348"/>
      <c r="M580" s="6"/>
      <c r="N580" s="6"/>
      <c r="O580" s="18"/>
      <c r="P580" s="7"/>
      <c r="Q580" s="7"/>
      <c r="R580" s="7"/>
      <c r="S580" s="7"/>
      <c r="T580" s="18"/>
      <c r="U580" s="7"/>
      <c r="V580" s="220"/>
      <c r="W580" s="47"/>
      <c r="X580" s="6"/>
      <c r="Y580" s="177"/>
      <c r="Z580" s="6"/>
      <c r="AA580" s="6"/>
      <c r="AB580" s="6"/>
      <c r="AC580" s="1608" t="s">
        <v>4459</v>
      </c>
      <c r="AD580" s="28"/>
    </row>
    <row r="581" spans="1:30" s="9" customFormat="1" x14ac:dyDescent="0.2">
      <c r="A581" s="328"/>
      <c r="B581" s="16" t="s">
        <v>4005</v>
      </c>
      <c r="C581" s="16" t="s">
        <v>4236</v>
      </c>
      <c r="D581" s="7" t="s">
        <v>4460</v>
      </c>
      <c r="E581" s="7"/>
      <c r="F581" s="6" t="s">
        <v>4461</v>
      </c>
      <c r="G581" s="6" t="s">
        <v>4299</v>
      </c>
      <c r="H581" s="17">
        <v>1349.14</v>
      </c>
      <c r="I581" s="39" t="s">
        <v>4405</v>
      </c>
      <c r="J581" s="18">
        <v>38987</v>
      </c>
      <c r="K581" s="331">
        <v>22</v>
      </c>
      <c r="L581" s="348">
        <f>+J581+K581</f>
        <v>39009</v>
      </c>
      <c r="M581" s="18" t="s">
        <v>4442</v>
      </c>
      <c r="N581" s="6" t="s">
        <v>110</v>
      </c>
      <c r="O581" s="18">
        <v>38996</v>
      </c>
      <c r="P581" s="331">
        <f>IF(S581="","",+S581-L581)</f>
        <v>2</v>
      </c>
      <c r="Q581" s="331"/>
      <c r="R581" s="331"/>
      <c r="S581" s="18">
        <v>39011</v>
      </c>
      <c r="T581" s="18">
        <v>39014</v>
      </c>
      <c r="U581" s="331">
        <f>IF(T581="","",+T581-J581)</f>
        <v>27</v>
      </c>
      <c r="V581" s="6" t="s">
        <v>4462</v>
      </c>
      <c r="W581" s="47">
        <v>167</v>
      </c>
      <c r="X581" s="6" t="s">
        <v>4407</v>
      </c>
      <c r="Y581" s="177"/>
      <c r="Z581" s="6" t="s">
        <v>4463</v>
      </c>
      <c r="AA581" s="7" t="s">
        <v>47</v>
      </c>
      <c r="AB581" s="358"/>
      <c r="AC581" s="1609"/>
      <c r="AD581" s="30" t="str">
        <f>IF(O581&lt;=L581,"en término","atrasado")</f>
        <v>en término</v>
      </c>
    </row>
    <row r="582" spans="1:30" s="9" customFormat="1" x14ac:dyDescent="0.2">
      <c r="A582" s="328"/>
      <c r="B582" s="16"/>
      <c r="C582" s="16"/>
      <c r="D582" s="7"/>
      <c r="E582" s="7"/>
      <c r="F582" s="6"/>
      <c r="G582" s="6"/>
      <c r="H582" s="17"/>
      <c r="I582" s="39" t="s">
        <v>4408</v>
      </c>
      <c r="J582" s="18"/>
      <c r="K582" s="331"/>
      <c r="L582" s="348"/>
      <c r="M582" s="18"/>
      <c r="N582" s="6"/>
      <c r="O582" s="18"/>
      <c r="P582" s="331"/>
      <c r="Q582" s="331"/>
      <c r="R582" s="331"/>
      <c r="S582" s="18"/>
      <c r="T582" s="18"/>
      <c r="U582" s="331"/>
      <c r="V582" s="6"/>
      <c r="W582" s="47"/>
      <c r="X582" s="340" t="s">
        <v>4464</v>
      </c>
      <c r="Y582" s="177"/>
      <c r="Z582" s="6" t="s">
        <v>4465</v>
      </c>
      <c r="AA582" s="7">
        <v>39014</v>
      </c>
      <c r="AB582" s="358"/>
      <c r="AC582" s="1609"/>
      <c r="AD582" s="28"/>
    </row>
    <row r="583" spans="1:30" s="9" customFormat="1" ht="9" customHeight="1" thickBot="1" x14ac:dyDescent="0.25">
      <c r="A583" s="328"/>
      <c r="B583" s="400"/>
      <c r="C583" s="19"/>
      <c r="D583" s="27"/>
      <c r="E583" s="27"/>
      <c r="F583" s="5"/>
      <c r="G583" s="5"/>
      <c r="H583" s="20"/>
      <c r="I583" s="21"/>
      <c r="J583" s="187"/>
      <c r="K583" s="354"/>
      <c r="L583" s="355"/>
      <c r="M583" s="187"/>
      <c r="N583" s="5"/>
      <c r="O583" s="187"/>
      <c r="P583" s="354"/>
      <c r="Q583" s="354"/>
      <c r="R583" s="354"/>
      <c r="S583" s="350"/>
      <c r="T583" s="187"/>
      <c r="U583" s="354"/>
      <c r="V583" s="5"/>
      <c r="W583" s="36"/>
      <c r="X583" s="106"/>
      <c r="Y583" s="182"/>
      <c r="Z583" s="5"/>
      <c r="AA583" s="27"/>
      <c r="AB583" s="401"/>
      <c r="AC583" s="1610"/>
      <c r="AD583" s="28"/>
    </row>
    <row r="584" spans="1:30" s="9" customFormat="1" x14ac:dyDescent="0.2">
      <c r="A584" s="328"/>
      <c r="B584" s="16"/>
      <c r="C584" s="16"/>
      <c r="D584" s="7"/>
      <c r="E584" s="7"/>
      <c r="F584" s="6"/>
      <c r="G584" s="6"/>
      <c r="H584" s="17"/>
      <c r="I584" s="17"/>
      <c r="J584" s="7"/>
      <c r="K584" s="7"/>
      <c r="L584" s="348"/>
      <c r="M584" s="6"/>
      <c r="N584" s="6"/>
      <c r="O584" s="18"/>
      <c r="P584" s="7"/>
      <c r="Q584" s="7"/>
      <c r="R584" s="7"/>
      <c r="S584" s="7"/>
      <c r="T584" s="18"/>
      <c r="U584" s="7"/>
      <c r="V584" s="220"/>
      <c r="W584" s="47"/>
      <c r="X584" s="12"/>
      <c r="Y584" s="177"/>
      <c r="Z584" s="6"/>
      <c r="AA584" s="6"/>
      <c r="AB584" s="6"/>
      <c r="AC584" s="6"/>
      <c r="AD584" s="330"/>
    </row>
    <row r="585" spans="1:30" s="9" customFormat="1" x14ac:dyDescent="0.2">
      <c r="A585" s="328"/>
      <c r="B585" s="16" t="s">
        <v>4005</v>
      </c>
      <c r="C585" s="16" t="s">
        <v>4236</v>
      </c>
      <c r="D585" s="7"/>
      <c r="E585" s="7"/>
      <c r="F585" s="6" t="s">
        <v>4466</v>
      </c>
      <c r="G585" s="6" t="s">
        <v>4299</v>
      </c>
      <c r="H585" s="17">
        <v>2248</v>
      </c>
      <c r="I585" s="39"/>
      <c r="J585" s="18">
        <v>38938</v>
      </c>
      <c r="K585" s="331"/>
      <c r="L585" s="348">
        <v>38989</v>
      </c>
      <c r="M585" s="18" t="s">
        <v>4300</v>
      </c>
      <c r="N585" s="6" t="s">
        <v>110</v>
      </c>
      <c r="O585" s="18">
        <v>39010</v>
      </c>
      <c r="P585" s="331">
        <f>IF(S585="","",+S585-L585)</f>
        <v>28</v>
      </c>
      <c r="Q585" s="331"/>
      <c r="R585" s="331"/>
      <c r="S585" s="18">
        <v>39017</v>
      </c>
      <c r="T585" s="18">
        <v>39020</v>
      </c>
      <c r="U585" s="331">
        <f>IF(T585="","",+T585-J585)</f>
        <v>82</v>
      </c>
      <c r="V585" s="6" t="s">
        <v>4467</v>
      </c>
      <c r="W585" s="47" t="s">
        <v>4468</v>
      </c>
      <c r="X585" s="6" t="s">
        <v>4407</v>
      </c>
      <c r="Y585" s="177"/>
      <c r="Z585" s="6" t="s">
        <v>4469</v>
      </c>
      <c r="AA585" s="7" t="s">
        <v>47</v>
      </c>
      <c r="AB585" s="358"/>
      <c r="AC585" s="358"/>
      <c r="AD585" s="330"/>
    </row>
    <row r="586" spans="1:30" s="9" customFormat="1" ht="12" thickBot="1" x14ac:dyDescent="0.25">
      <c r="A586" s="328"/>
      <c r="B586" s="19"/>
      <c r="C586" s="19"/>
      <c r="D586" s="5"/>
      <c r="E586" s="5"/>
      <c r="F586" s="5"/>
      <c r="G586" s="5"/>
      <c r="H586" s="105"/>
      <c r="I586" s="21"/>
      <c r="J586" s="27"/>
      <c r="K586" s="27"/>
      <c r="L586" s="187"/>
      <c r="M586" s="5"/>
      <c r="N586" s="5"/>
      <c r="O586" s="187"/>
      <c r="P586" s="5"/>
      <c r="Q586" s="5"/>
      <c r="R586" s="5"/>
      <c r="S586" s="5"/>
      <c r="T586" s="187"/>
      <c r="U586" s="5"/>
      <c r="V586" s="224" t="s">
        <v>1102</v>
      </c>
      <c r="W586" s="36"/>
      <c r="X586" s="106" t="s">
        <v>4470</v>
      </c>
      <c r="Y586" s="182"/>
      <c r="Z586" s="5"/>
      <c r="AA586" s="27"/>
      <c r="AB586" s="5"/>
      <c r="AC586" s="5"/>
      <c r="AD586" s="330"/>
    </row>
    <row r="587" spans="1:30" s="9" customFormat="1" x14ac:dyDescent="0.2">
      <c r="A587" s="328"/>
      <c r="B587" s="16"/>
      <c r="C587" s="16"/>
      <c r="D587" s="7"/>
      <c r="E587" s="7"/>
      <c r="F587" s="6"/>
      <c r="G587" s="6"/>
      <c r="H587" s="17"/>
      <c r="I587" s="17"/>
      <c r="J587" s="7"/>
      <c r="K587" s="7"/>
      <c r="L587" s="348"/>
      <c r="M587" s="6"/>
      <c r="N587" s="6"/>
      <c r="O587" s="18"/>
      <c r="P587" s="7"/>
      <c r="Q587" s="7"/>
      <c r="R587" s="7"/>
      <c r="S587" s="7" t="s">
        <v>4471</v>
      </c>
      <c r="T587" s="18"/>
      <c r="U587" s="7"/>
      <c r="V587" s="220"/>
      <c r="W587" s="47"/>
      <c r="X587" s="6"/>
      <c r="Y587" s="177"/>
      <c r="Z587" s="6"/>
      <c r="AA587" s="6"/>
      <c r="AB587" s="6"/>
      <c r="AC587" s="1608" t="s">
        <v>3635</v>
      </c>
      <c r="AD587" s="28"/>
    </row>
    <row r="588" spans="1:30" s="9" customFormat="1" x14ac:dyDescent="0.2">
      <c r="A588" s="328"/>
      <c r="B588" s="16" t="s">
        <v>4005</v>
      </c>
      <c r="C588" s="16" t="s">
        <v>4236</v>
      </c>
      <c r="D588" s="7" t="s">
        <v>4472</v>
      </c>
      <c r="E588" s="7"/>
      <c r="F588" s="6" t="s">
        <v>4473</v>
      </c>
      <c r="G588" s="6" t="s">
        <v>4299</v>
      </c>
      <c r="H588" s="17">
        <v>66508.800000000003</v>
      </c>
      <c r="I588" s="39" t="s">
        <v>4405</v>
      </c>
      <c r="J588" s="18">
        <v>39023</v>
      </c>
      <c r="K588" s="331">
        <v>20</v>
      </c>
      <c r="L588" s="348">
        <f>+J588+K588</f>
        <v>39043</v>
      </c>
      <c r="M588" s="39" t="s">
        <v>4405</v>
      </c>
      <c r="N588" s="6" t="s">
        <v>42</v>
      </c>
      <c r="O588" s="18">
        <v>39045</v>
      </c>
      <c r="P588" s="331">
        <f>IF(S588="","",+S588-L588)</f>
        <v>19</v>
      </c>
      <c r="Q588" s="331"/>
      <c r="R588" s="331"/>
      <c r="S588" s="349">
        <v>39062</v>
      </c>
      <c r="T588" s="18">
        <v>39086</v>
      </c>
      <c r="U588" s="331">
        <f>IF(T588="","",+T588-J588)</f>
        <v>63</v>
      </c>
      <c r="V588" s="6" t="s">
        <v>4474</v>
      </c>
      <c r="W588" s="47">
        <v>178</v>
      </c>
      <c r="X588" s="6" t="s">
        <v>4407</v>
      </c>
      <c r="Y588" s="177"/>
      <c r="Z588" s="6">
        <v>6619840183</v>
      </c>
      <c r="AA588" s="7" t="s">
        <v>47</v>
      </c>
      <c r="AB588" s="358"/>
      <c r="AC588" s="1609"/>
      <c r="AD588" s="30" t="str">
        <f>IF(O588&lt;=L588,"en término","atrasado")</f>
        <v>atrasado</v>
      </c>
    </row>
    <row r="589" spans="1:30" s="9" customFormat="1" x14ac:dyDescent="0.2">
      <c r="A589" s="328"/>
      <c r="B589" s="16"/>
      <c r="C589" s="16"/>
      <c r="D589" s="7"/>
      <c r="E589" s="7"/>
      <c r="F589" s="6"/>
      <c r="G589" s="6"/>
      <c r="H589" s="17"/>
      <c r="I589" s="39" t="s">
        <v>4408</v>
      </c>
      <c r="J589" s="18"/>
      <c r="K589" s="331"/>
      <c r="L589" s="348"/>
      <c r="M589" s="39"/>
      <c r="N589" s="6"/>
      <c r="O589" s="18"/>
      <c r="P589" s="331"/>
      <c r="Q589" s="331"/>
      <c r="R589" s="331"/>
      <c r="S589" s="349"/>
      <c r="T589" s="18"/>
      <c r="U589" s="331"/>
      <c r="V589" s="6"/>
      <c r="W589" s="47"/>
      <c r="X589" s="6" t="s">
        <v>4475</v>
      </c>
      <c r="Y589" s="177"/>
      <c r="Z589" s="6"/>
      <c r="AA589" s="7">
        <v>39084</v>
      </c>
      <c r="AB589" s="358"/>
      <c r="AC589" s="1609"/>
      <c r="AD589" s="28"/>
    </row>
    <row r="590" spans="1:30" s="9" customFormat="1" ht="21.75" customHeight="1" thickBot="1" x14ac:dyDescent="0.25">
      <c r="A590" s="328"/>
      <c r="B590" s="400" t="s">
        <v>4476</v>
      </c>
      <c r="C590" s="19"/>
      <c r="D590" s="27"/>
      <c r="E590" s="27"/>
      <c r="F590" s="5"/>
      <c r="G590" s="5"/>
      <c r="H590" s="20"/>
      <c r="I590" s="21"/>
      <c r="J590" s="187"/>
      <c r="K590" s="354"/>
      <c r="L590" s="355"/>
      <c r="M590" s="187"/>
      <c r="N590" s="5"/>
      <c r="O590" s="187"/>
      <c r="P590" s="354"/>
      <c r="Q590" s="354"/>
      <c r="R590" s="354"/>
      <c r="S590" s="350"/>
      <c r="T590" s="187"/>
      <c r="U590" s="354"/>
      <c r="V590" s="5"/>
      <c r="W590" s="36"/>
      <c r="X590" s="106"/>
      <c r="Y590" s="182"/>
      <c r="Z590" s="5"/>
      <c r="AA590" s="27"/>
      <c r="AB590" s="401"/>
      <c r="AC590" s="1610"/>
      <c r="AD590" s="28"/>
    </row>
    <row r="591" spans="1:30" s="9" customFormat="1" x14ac:dyDescent="0.2">
      <c r="A591" s="328"/>
      <c r="B591" s="16"/>
      <c r="C591" s="16"/>
      <c r="D591" s="7"/>
      <c r="E591" s="7"/>
      <c r="F591" s="6"/>
      <c r="G591" s="6"/>
      <c r="H591" s="17"/>
      <c r="I591" s="17"/>
      <c r="J591" s="7"/>
      <c r="K591" s="7"/>
      <c r="L591" s="348"/>
      <c r="M591" s="6"/>
      <c r="N591" s="6"/>
      <c r="O591" s="18"/>
      <c r="P591" s="7"/>
      <c r="Q591" s="7"/>
      <c r="R591" s="7"/>
      <c r="S591" s="7"/>
      <c r="T591" s="18"/>
      <c r="U591" s="7"/>
      <c r="V591" s="220"/>
      <c r="W591" s="47"/>
      <c r="X591" s="12"/>
      <c r="Y591" s="177"/>
      <c r="Z591" s="6"/>
      <c r="AA591" s="6"/>
      <c r="AB591" s="6"/>
      <c r="AC591" s="6"/>
      <c r="AD591" s="330"/>
    </row>
    <row r="592" spans="1:30" s="9" customFormat="1" x14ac:dyDescent="0.2">
      <c r="A592" s="328"/>
      <c r="B592" s="16" t="s">
        <v>4005</v>
      </c>
      <c r="C592" s="16" t="s">
        <v>4236</v>
      </c>
      <c r="D592" s="7"/>
      <c r="E592" s="7"/>
      <c r="F592" s="6" t="s">
        <v>4477</v>
      </c>
      <c r="G592" s="6" t="s">
        <v>4299</v>
      </c>
      <c r="H592" s="17">
        <v>5970.2</v>
      </c>
      <c r="I592" s="39"/>
      <c r="J592" s="18">
        <v>39023</v>
      </c>
      <c r="K592" s="331"/>
      <c r="L592" s="348">
        <v>39053</v>
      </c>
      <c r="M592" s="18" t="s">
        <v>4300</v>
      </c>
      <c r="N592" s="6" t="s">
        <v>110</v>
      </c>
      <c r="O592" s="18">
        <v>39076</v>
      </c>
      <c r="P592" s="331">
        <f>IF(S592="","",+S592-L592)</f>
        <v>27</v>
      </c>
      <c r="Q592" s="331"/>
      <c r="R592" s="331"/>
      <c r="S592" s="18">
        <v>39080</v>
      </c>
      <c r="T592" s="18">
        <v>39092</v>
      </c>
      <c r="U592" s="331">
        <f>IF(T592="","",+T592-J592)</f>
        <v>69</v>
      </c>
      <c r="V592" s="6" t="s">
        <v>4478</v>
      </c>
      <c r="W592" s="47" t="s">
        <v>4479</v>
      </c>
      <c r="X592" s="6"/>
      <c r="Y592" s="177"/>
      <c r="Z592" s="6"/>
      <c r="AA592" s="7" t="s">
        <v>47</v>
      </c>
      <c r="AB592" s="358"/>
      <c r="AC592" s="358"/>
      <c r="AD592" s="330"/>
    </row>
    <row r="593" spans="1:37" s="9" customFormat="1" ht="16.5" customHeight="1" thickBot="1" x14ac:dyDescent="0.25">
      <c r="A593" s="328"/>
      <c r="B593" s="400" t="s">
        <v>4480</v>
      </c>
      <c r="C593" s="19"/>
      <c r="D593" s="5"/>
      <c r="E593" s="5"/>
      <c r="F593" s="5"/>
      <c r="G593" s="5"/>
      <c r="H593" s="105"/>
      <c r="I593" s="21"/>
      <c r="J593" s="27"/>
      <c r="K593" s="27"/>
      <c r="L593" s="187"/>
      <c r="M593" s="5"/>
      <c r="N593" s="5"/>
      <c r="O593" s="187"/>
      <c r="P593" s="5"/>
      <c r="Q593" s="5"/>
      <c r="R593" s="5"/>
      <c r="S593" s="5"/>
      <c r="T593" s="187"/>
      <c r="U593" s="5"/>
      <c r="V593" s="224" t="s">
        <v>1102</v>
      </c>
      <c r="W593" s="36"/>
      <c r="X593" s="106"/>
      <c r="Y593" s="182"/>
      <c r="Z593" s="5"/>
      <c r="AA593" s="27"/>
      <c r="AB593" s="5"/>
      <c r="AC593" s="5"/>
      <c r="AD593" s="330"/>
    </row>
    <row r="594" spans="1:37" x14ac:dyDescent="0.2">
      <c r="AC594" s="38"/>
    </row>
    <row r="595" spans="1:37" x14ac:dyDescent="0.2">
      <c r="AC595" s="38"/>
    </row>
    <row r="596" spans="1:37" ht="12" thickBot="1" x14ac:dyDescent="0.25">
      <c r="AC596" s="38"/>
    </row>
    <row r="597" spans="1:37" s="556" customFormat="1" ht="39.950000000000003" customHeight="1" thickBot="1" x14ac:dyDescent="0.4">
      <c r="B597" s="1611">
        <v>2007</v>
      </c>
      <c r="C597" s="1612"/>
      <c r="D597" s="1612"/>
      <c r="E597" s="1612"/>
      <c r="F597" s="1612"/>
      <c r="G597" s="1612"/>
      <c r="H597" s="1612"/>
      <c r="I597" s="1612"/>
      <c r="J597" s="1612"/>
      <c r="K597" s="1612"/>
      <c r="L597" s="1612"/>
      <c r="M597" s="1612"/>
      <c r="N597" s="1612"/>
      <c r="O597" s="1612"/>
      <c r="P597" s="1612"/>
      <c r="Q597" s="1612"/>
      <c r="R597" s="1612"/>
      <c r="S597" s="1612"/>
      <c r="T597" s="1612"/>
      <c r="U597" s="1612"/>
      <c r="V597" s="1612"/>
      <c r="W597" s="1612"/>
      <c r="X597" s="1612"/>
      <c r="Y597" s="1612"/>
      <c r="Z597" s="1612"/>
      <c r="AA597" s="1612"/>
      <c r="AB597" s="1612"/>
      <c r="AC597" s="1613"/>
      <c r="AD597" s="560"/>
    </row>
    <row r="598" spans="1:37" s="441" customFormat="1" ht="60" customHeight="1" thickBot="1" x14ac:dyDescent="0.25">
      <c r="A598" s="438"/>
      <c r="B598" s="451" t="s">
        <v>130</v>
      </c>
      <c r="C598" s="451" t="s">
        <v>4</v>
      </c>
      <c r="D598" s="451" t="s">
        <v>5</v>
      </c>
      <c r="E598" s="451" t="s">
        <v>6</v>
      </c>
      <c r="F598" s="451" t="s">
        <v>7</v>
      </c>
      <c r="G598" s="451" t="s">
        <v>8</v>
      </c>
      <c r="H598" s="453" t="s">
        <v>9</v>
      </c>
      <c r="I598" s="453" t="s">
        <v>10</v>
      </c>
      <c r="J598" s="451" t="s">
        <v>11</v>
      </c>
      <c r="K598" s="451" t="s">
        <v>12</v>
      </c>
      <c r="L598" s="451" t="s">
        <v>13</v>
      </c>
      <c r="M598" s="451" t="s">
        <v>14</v>
      </c>
      <c r="N598" s="451" t="s">
        <v>15</v>
      </c>
      <c r="O598" s="452" t="s">
        <v>16</v>
      </c>
      <c r="P598" s="454" t="s">
        <v>17</v>
      </c>
      <c r="Q598" s="451" t="s">
        <v>18</v>
      </c>
      <c r="R598" s="452" t="s">
        <v>19</v>
      </c>
      <c r="S598" s="451" t="s">
        <v>20</v>
      </c>
      <c r="T598" s="451" t="s">
        <v>21</v>
      </c>
      <c r="U598" s="452" t="s">
        <v>22</v>
      </c>
      <c r="V598" s="451" t="s">
        <v>131</v>
      </c>
      <c r="W598" s="451" t="s">
        <v>24</v>
      </c>
      <c r="X598" s="451" t="s">
        <v>132</v>
      </c>
      <c r="Y598" s="451" t="s">
        <v>26</v>
      </c>
      <c r="Z598" s="451" t="s">
        <v>27</v>
      </c>
      <c r="AA598" s="451" t="s">
        <v>28</v>
      </c>
      <c r="AB598" s="451" t="s">
        <v>29</v>
      </c>
      <c r="AC598" s="451" t="s">
        <v>30</v>
      </c>
      <c r="AD598" s="439"/>
      <c r="AE598" s="440"/>
      <c r="AF598" s="440"/>
      <c r="AG598" s="440"/>
      <c r="AH598" s="440"/>
      <c r="AI598" s="440"/>
      <c r="AJ598" s="440"/>
      <c r="AK598" s="440"/>
    </row>
    <row r="599" spans="1:37" s="9" customFormat="1" ht="54.95" customHeight="1" thickBot="1" x14ac:dyDescent="0.25">
      <c r="A599" s="328"/>
      <c r="B599" s="455" t="s">
        <v>4005</v>
      </c>
      <c r="C599" s="455" t="s">
        <v>4236</v>
      </c>
      <c r="D599" s="456"/>
      <c r="E599" s="456"/>
      <c r="F599" s="457" t="s">
        <v>4481</v>
      </c>
      <c r="G599" s="457" t="s">
        <v>4299</v>
      </c>
      <c r="H599" s="458">
        <v>13593.1</v>
      </c>
      <c r="I599" s="459"/>
      <c r="J599" s="460">
        <v>39042</v>
      </c>
      <c r="K599" s="461"/>
      <c r="L599" s="462">
        <v>39085</v>
      </c>
      <c r="M599" s="460" t="s">
        <v>4300</v>
      </c>
      <c r="N599" s="457" t="s">
        <v>110</v>
      </c>
      <c r="O599" s="460">
        <v>39104</v>
      </c>
      <c r="P599" s="461">
        <f>IF(O599="","",+O599-L599)</f>
        <v>19</v>
      </c>
      <c r="Q599" s="461"/>
      <c r="R599" s="460"/>
      <c r="S599" s="460">
        <v>39107</v>
      </c>
      <c r="T599" s="460">
        <v>39115</v>
      </c>
      <c r="U599" s="461">
        <f t="shared" ref="U599:U608" si="0">IF(T599="","",+T599-J599)</f>
        <v>73</v>
      </c>
      <c r="V599" s="468" t="s">
        <v>4482</v>
      </c>
      <c r="W599" s="472" t="s">
        <v>4483</v>
      </c>
      <c r="X599" s="457" t="s">
        <v>4484</v>
      </c>
      <c r="Y599" s="465"/>
      <c r="Z599" s="457"/>
      <c r="AA599" s="456" t="s">
        <v>4485</v>
      </c>
      <c r="AB599" s="473"/>
      <c r="AC599" s="475" t="s">
        <v>4486</v>
      </c>
      <c r="AD599" s="28"/>
    </row>
    <row r="600" spans="1:37" s="9" customFormat="1" ht="54.95" customHeight="1" thickBot="1" x14ac:dyDescent="0.25">
      <c r="A600" s="328"/>
      <c r="B600" s="455" t="s">
        <v>4005</v>
      </c>
      <c r="C600" s="455" t="s">
        <v>4236</v>
      </c>
      <c r="D600" s="456" t="s">
        <v>4487</v>
      </c>
      <c r="E600" s="456"/>
      <c r="F600" s="457" t="s">
        <v>4488</v>
      </c>
      <c r="G600" s="457" t="s">
        <v>4299</v>
      </c>
      <c r="H600" s="458">
        <v>214979.20000000001</v>
      </c>
      <c r="I600" s="459" t="s">
        <v>4405</v>
      </c>
      <c r="J600" s="460">
        <v>39066</v>
      </c>
      <c r="K600" s="461">
        <v>20</v>
      </c>
      <c r="L600" s="462">
        <f>+J600+K600</f>
        <v>39086</v>
      </c>
      <c r="M600" s="459" t="s">
        <v>4405</v>
      </c>
      <c r="N600" s="457" t="s">
        <v>42</v>
      </c>
      <c r="O600" s="460">
        <v>39098</v>
      </c>
      <c r="P600" s="461">
        <f t="shared" ref="P600:P610" si="1">IF(O600="","",+O600-L600)</f>
        <v>12</v>
      </c>
      <c r="Q600" s="461"/>
      <c r="R600" s="460">
        <v>39106</v>
      </c>
      <c r="S600" s="471">
        <v>39115</v>
      </c>
      <c r="T600" s="460">
        <f>+S600+20</f>
        <v>39135</v>
      </c>
      <c r="U600" s="461">
        <f t="shared" si="0"/>
        <v>69</v>
      </c>
      <c r="V600" s="468" t="s">
        <v>4489</v>
      </c>
      <c r="W600" s="472">
        <v>187</v>
      </c>
      <c r="X600" s="457" t="s">
        <v>4490</v>
      </c>
      <c r="Y600" s="465"/>
      <c r="Z600" s="457">
        <v>6619840076</v>
      </c>
      <c r="AA600" s="456" t="s">
        <v>4491</v>
      </c>
      <c r="AB600" s="473"/>
      <c r="AC600" s="476" t="s">
        <v>4492</v>
      </c>
      <c r="AD600" s="330"/>
    </row>
    <row r="601" spans="1:37" s="9" customFormat="1" ht="54.95" customHeight="1" thickBot="1" x14ac:dyDescent="0.25">
      <c r="A601" s="328"/>
      <c r="B601" s="455" t="s">
        <v>4005</v>
      </c>
      <c r="C601" s="455" t="s">
        <v>4236</v>
      </c>
      <c r="D601" s="456"/>
      <c r="E601" s="456"/>
      <c r="F601" s="457" t="s">
        <v>4493</v>
      </c>
      <c r="G601" s="457" t="s">
        <v>4299</v>
      </c>
      <c r="H601" s="458">
        <v>21927</v>
      </c>
      <c r="I601" s="459" t="s">
        <v>4405</v>
      </c>
      <c r="J601" s="460">
        <v>39118</v>
      </c>
      <c r="K601" s="461">
        <v>30</v>
      </c>
      <c r="L601" s="462">
        <f>+J601+K601</f>
        <v>39148</v>
      </c>
      <c r="M601" s="459" t="s">
        <v>4405</v>
      </c>
      <c r="N601" s="457" t="s">
        <v>110</v>
      </c>
      <c r="O601" s="460">
        <v>39170</v>
      </c>
      <c r="P601" s="461">
        <f t="shared" si="1"/>
        <v>22</v>
      </c>
      <c r="Q601" s="461"/>
      <c r="R601" s="460"/>
      <c r="S601" s="471">
        <v>39177</v>
      </c>
      <c r="T601" s="460">
        <v>39181</v>
      </c>
      <c r="U601" s="461">
        <f t="shared" si="0"/>
        <v>63</v>
      </c>
      <c r="V601" s="561" t="s">
        <v>4494</v>
      </c>
      <c r="W601" s="472" t="s">
        <v>4495</v>
      </c>
      <c r="X601" s="457" t="s">
        <v>4496</v>
      </c>
      <c r="Y601" s="465"/>
      <c r="Z601" s="457"/>
      <c r="AA601" s="456" t="s">
        <v>4497</v>
      </c>
      <c r="AB601" s="473"/>
      <c r="AC601" s="477"/>
      <c r="AD601" s="330"/>
    </row>
    <row r="602" spans="1:37" s="9" customFormat="1" ht="54.95" customHeight="1" thickBot="1" x14ac:dyDescent="0.25">
      <c r="A602" s="328"/>
      <c r="B602" s="455" t="s">
        <v>4005</v>
      </c>
      <c r="C602" s="455" t="s">
        <v>4236</v>
      </c>
      <c r="D602" s="456" t="s">
        <v>4498</v>
      </c>
      <c r="E602" s="456"/>
      <c r="F602" s="457" t="s">
        <v>4499</v>
      </c>
      <c r="G602" s="457" t="s">
        <v>4299</v>
      </c>
      <c r="H602" s="458">
        <v>264301.3</v>
      </c>
      <c r="I602" s="459" t="s">
        <v>4405</v>
      </c>
      <c r="J602" s="460">
        <v>39149</v>
      </c>
      <c r="K602" s="461">
        <v>25</v>
      </c>
      <c r="L602" s="462">
        <f>+J602+K602</f>
        <v>39174</v>
      </c>
      <c r="M602" s="459" t="s">
        <v>4405</v>
      </c>
      <c r="N602" s="457" t="s">
        <v>42</v>
      </c>
      <c r="O602" s="460">
        <v>39176</v>
      </c>
      <c r="P602" s="461">
        <f t="shared" si="1"/>
        <v>2</v>
      </c>
      <c r="Q602" s="461"/>
      <c r="R602" s="460">
        <v>39180</v>
      </c>
      <c r="S602" s="471">
        <v>39183</v>
      </c>
      <c r="T602" s="460">
        <v>39213</v>
      </c>
      <c r="U602" s="461">
        <f t="shared" si="0"/>
        <v>64</v>
      </c>
      <c r="V602" s="468" t="s">
        <v>4500</v>
      </c>
      <c r="W602" s="472">
        <v>209</v>
      </c>
      <c r="X602" s="457" t="s">
        <v>4501</v>
      </c>
      <c r="Y602" s="465"/>
      <c r="Z602" s="457">
        <v>6631322880</v>
      </c>
      <c r="AA602" s="456" t="s">
        <v>4502</v>
      </c>
      <c r="AB602" s="473"/>
      <c r="AC602" s="477"/>
      <c r="AD602" s="330"/>
    </row>
    <row r="603" spans="1:37" s="9" customFormat="1" ht="54.95" customHeight="1" thickBot="1" x14ac:dyDescent="0.25">
      <c r="A603" s="328"/>
      <c r="B603" s="455" t="s">
        <v>4005</v>
      </c>
      <c r="C603" s="455" t="s">
        <v>4236</v>
      </c>
      <c r="D603" s="456"/>
      <c r="E603" s="456"/>
      <c r="F603" s="457" t="s">
        <v>4503</v>
      </c>
      <c r="G603" s="457" t="s">
        <v>4299</v>
      </c>
      <c r="H603" s="458">
        <v>1771</v>
      </c>
      <c r="I603" s="459" t="s">
        <v>4405</v>
      </c>
      <c r="J603" s="460">
        <v>39182</v>
      </c>
      <c r="K603" s="461">
        <v>15</v>
      </c>
      <c r="L603" s="462">
        <f>+J603+K603</f>
        <v>39197</v>
      </c>
      <c r="M603" s="459" t="s">
        <v>4405</v>
      </c>
      <c r="N603" s="457" t="s">
        <v>110</v>
      </c>
      <c r="O603" s="460">
        <v>39197</v>
      </c>
      <c r="P603" s="461">
        <f t="shared" si="1"/>
        <v>0</v>
      </c>
      <c r="Q603" s="461"/>
      <c r="R603" s="460"/>
      <c r="S603" s="471">
        <v>39212</v>
      </c>
      <c r="T603" s="460">
        <v>39216</v>
      </c>
      <c r="U603" s="461">
        <f t="shared" si="0"/>
        <v>34</v>
      </c>
      <c r="V603" s="468" t="s">
        <v>4504</v>
      </c>
      <c r="W603" s="472" t="s">
        <v>4505</v>
      </c>
      <c r="X603" s="457" t="s">
        <v>4506</v>
      </c>
      <c r="Y603" s="465"/>
      <c r="Z603" s="457"/>
      <c r="AA603" s="456" t="s">
        <v>4507</v>
      </c>
      <c r="AB603" s="473"/>
      <c r="AC603" s="477"/>
      <c r="AD603" s="330"/>
    </row>
    <row r="604" spans="1:37" s="9" customFormat="1" ht="54.95" customHeight="1" thickBot="1" x14ac:dyDescent="0.25">
      <c r="A604" s="328"/>
      <c r="B604" s="455" t="s">
        <v>4005</v>
      </c>
      <c r="C604" s="455" t="s">
        <v>4236</v>
      </c>
      <c r="D604" s="456" t="s">
        <v>4508</v>
      </c>
      <c r="E604" s="456"/>
      <c r="F604" s="457" t="s">
        <v>4509</v>
      </c>
      <c r="G604" s="457" t="s">
        <v>4299</v>
      </c>
      <c r="H604" s="458">
        <v>93676.800000000003</v>
      </c>
      <c r="I604" s="459" t="s">
        <v>4405</v>
      </c>
      <c r="J604" s="460">
        <v>39190</v>
      </c>
      <c r="K604" s="461">
        <v>12</v>
      </c>
      <c r="L604" s="462">
        <f>+J604+K604</f>
        <v>39202</v>
      </c>
      <c r="M604" s="459" t="s">
        <v>4405</v>
      </c>
      <c r="N604" s="457" t="s">
        <v>42</v>
      </c>
      <c r="O604" s="460">
        <v>39204</v>
      </c>
      <c r="P604" s="461">
        <f t="shared" si="1"/>
        <v>2</v>
      </c>
      <c r="Q604" s="461"/>
      <c r="R604" s="460">
        <v>39210</v>
      </c>
      <c r="S604" s="471">
        <v>39221</v>
      </c>
      <c r="T604" s="460">
        <v>39247</v>
      </c>
      <c r="U604" s="461">
        <f t="shared" si="0"/>
        <v>57</v>
      </c>
      <c r="V604" s="468" t="s">
        <v>4510</v>
      </c>
      <c r="W604" s="472">
        <v>214</v>
      </c>
      <c r="X604" s="457" t="s">
        <v>4511</v>
      </c>
      <c r="Y604" s="465"/>
      <c r="Z604" s="457">
        <v>6656529950</v>
      </c>
      <c r="AA604" s="456" t="s">
        <v>2772</v>
      </c>
      <c r="AB604" s="473"/>
      <c r="AC604" s="477"/>
      <c r="AD604" s="330"/>
    </row>
    <row r="605" spans="1:37" s="9" customFormat="1" ht="54.95" customHeight="1" thickBot="1" x14ac:dyDescent="0.25">
      <c r="A605" s="328"/>
      <c r="B605" s="455" t="s">
        <v>4005</v>
      </c>
      <c r="C605" s="455" t="s">
        <v>4236</v>
      </c>
      <c r="D605" s="456"/>
      <c r="E605" s="456"/>
      <c r="F605" s="457" t="s">
        <v>4493</v>
      </c>
      <c r="G605" s="457" t="s">
        <v>4299</v>
      </c>
      <c r="H605" s="458">
        <v>4450</v>
      </c>
      <c r="I605" s="459" t="s">
        <v>4405</v>
      </c>
      <c r="J605" s="460">
        <v>39118</v>
      </c>
      <c r="K605" s="461">
        <v>85</v>
      </c>
      <c r="L605" s="462">
        <v>39255</v>
      </c>
      <c r="M605" s="459" t="s">
        <v>4405</v>
      </c>
      <c r="N605" s="457" t="s">
        <v>110</v>
      </c>
      <c r="O605" s="460">
        <v>39254</v>
      </c>
      <c r="P605" s="461">
        <f t="shared" si="1"/>
        <v>-1</v>
      </c>
      <c r="Q605" s="461"/>
      <c r="R605" s="460"/>
      <c r="S605" s="471">
        <v>39336</v>
      </c>
      <c r="T605" s="460">
        <v>39355</v>
      </c>
      <c r="U605" s="461">
        <f t="shared" si="0"/>
        <v>237</v>
      </c>
      <c r="V605" s="561" t="s">
        <v>4512</v>
      </c>
      <c r="W605" s="472" t="s">
        <v>4513</v>
      </c>
      <c r="X605" s="457" t="s">
        <v>4514</v>
      </c>
      <c r="Y605" s="465"/>
      <c r="Z605" s="457"/>
      <c r="AA605" s="456" t="s">
        <v>47</v>
      </c>
      <c r="AB605" s="473"/>
      <c r="AC605" s="477"/>
      <c r="AD605" s="330"/>
    </row>
    <row r="606" spans="1:37" s="9" customFormat="1" ht="54.95" customHeight="1" thickBot="1" x14ac:dyDescent="0.25">
      <c r="A606" s="328"/>
      <c r="B606" s="455" t="s">
        <v>4005</v>
      </c>
      <c r="C606" s="455" t="s">
        <v>4236</v>
      </c>
      <c r="D606" s="456"/>
      <c r="E606" s="456"/>
      <c r="F606" s="457" t="s">
        <v>4515</v>
      </c>
      <c r="G606" s="457" t="s">
        <v>4299</v>
      </c>
      <c r="H606" s="458">
        <v>2519</v>
      </c>
      <c r="I606" s="459" t="s">
        <v>4405</v>
      </c>
      <c r="J606" s="460">
        <v>39219</v>
      </c>
      <c r="K606" s="461">
        <v>36</v>
      </c>
      <c r="L606" s="462">
        <f t="shared" ref="L606:L611" si="2">+J606+K606</f>
        <v>39255</v>
      </c>
      <c r="M606" s="459" t="s">
        <v>4405</v>
      </c>
      <c r="N606" s="457" t="s">
        <v>110</v>
      </c>
      <c r="O606" s="460">
        <v>39255</v>
      </c>
      <c r="P606" s="461">
        <f t="shared" si="1"/>
        <v>0</v>
      </c>
      <c r="Q606" s="461"/>
      <c r="R606" s="460"/>
      <c r="S606" s="471">
        <v>39318</v>
      </c>
      <c r="T606" s="460">
        <v>39321</v>
      </c>
      <c r="U606" s="461">
        <f t="shared" si="0"/>
        <v>102</v>
      </c>
      <c r="V606" s="561" t="s">
        <v>4516</v>
      </c>
      <c r="W606" s="472" t="s">
        <v>4517</v>
      </c>
      <c r="X606" s="457" t="s">
        <v>4518</v>
      </c>
      <c r="Y606" s="465"/>
      <c r="Z606" s="457"/>
      <c r="AA606" s="456" t="s">
        <v>1726</v>
      </c>
      <c r="AB606" s="473"/>
      <c r="AC606" s="477"/>
      <c r="AD606" s="330"/>
    </row>
    <row r="607" spans="1:37" s="9" customFormat="1" ht="54.95" customHeight="1" thickBot="1" x14ac:dyDescent="0.25">
      <c r="A607" s="328"/>
      <c r="B607" s="455" t="s">
        <v>4005</v>
      </c>
      <c r="C607" s="455" t="s">
        <v>4236</v>
      </c>
      <c r="D607" s="456" t="s">
        <v>4519</v>
      </c>
      <c r="E607" s="456"/>
      <c r="F607" s="457" t="s">
        <v>4520</v>
      </c>
      <c r="G607" s="457" t="s">
        <v>4299</v>
      </c>
      <c r="H607" s="458">
        <v>111684.4</v>
      </c>
      <c r="I607" s="459" t="s">
        <v>4405</v>
      </c>
      <c r="J607" s="460">
        <v>39234</v>
      </c>
      <c r="K607" s="461">
        <v>30</v>
      </c>
      <c r="L607" s="462">
        <f t="shared" si="2"/>
        <v>39264</v>
      </c>
      <c r="M607" s="459" t="s">
        <v>4405</v>
      </c>
      <c r="N607" s="457" t="s">
        <v>42</v>
      </c>
      <c r="O607" s="460">
        <v>39266</v>
      </c>
      <c r="P607" s="461">
        <f t="shared" si="1"/>
        <v>2</v>
      </c>
      <c r="Q607" s="461"/>
      <c r="R607" s="460">
        <v>39280</v>
      </c>
      <c r="S607" s="471">
        <v>39284</v>
      </c>
      <c r="T607" s="460">
        <v>39310</v>
      </c>
      <c r="U607" s="461">
        <f t="shared" si="0"/>
        <v>76</v>
      </c>
      <c r="V607" s="468" t="s">
        <v>4521</v>
      </c>
      <c r="W607" s="472">
        <v>231</v>
      </c>
      <c r="X607" s="457" t="s">
        <v>4522</v>
      </c>
      <c r="Y607" s="465"/>
      <c r="Z607" s="457">
        <v>6656529983</v>
      </c>
      <c r="AA607" s="456" t="s">
        <v>4523</v>
      </c>
      <c r="AB607" s="473"/>
      <c r="AC607" s="470" t="s">
        <v>4492</v>
      </c>
      <c r="AD607" s="330"/>
    </row>
    <row r="608" spans="1:37" s="9" customFormat="1" ht="54.95" customHeight="1" thickBot="1" x14ac:dyDescent="0.25">
      <c r="A608" s="328"/>
      <c r="B608" s="455" t="s">
        <v>4005</v>
      </c>
      <c r="C608" s="455" t="s">
        <v>4236</v>
      </c>
      <c r="D608" s="456"/>
      <c r="E608" s="456"/>
      <c r="F608" s="457" t="s">
        <v>4515</v>
      </c>
      <c r="G608" s="457" t="s">
        <v>4299</v>
      </c>
      <c r="H608" s="458">
        <v>3582</v>
      </c>
      <c r="I608" s="459" t="s">
        <v>4405</v>
      </c>
      <c r="J608" s="460">
        <v>39219</v>
      </c>
      <c r="K608" s="461">
        <v>85</v>
      </c>
      <c r="L608" s="462">
        <f t="shared" si="2"/>
        <v>39304</v>
      </c>
      <c r="M608" s="459" t="s">
        <v>4405</v>
      </c>
      <c r="N608" s="457" t="s">
        <v>42</v>
      </c>
      <c r="O608" s="460">
        <v>39304</v>
      </c>
      <c r="P608" s="461">
        <f t="shared" si="1"/>
        <v>0</v>
      </c>
      <c r="Q608" s="461"/>
      <c r="R608" s="460"/>
      <c r="S608" s="471">
        <v>39342</v>
      </c>
      <c r="T608" s="460">
        <v>39361</v>
      </c>
      <c r="U608" s="461">
        <f t="shared" si="0"/>
        <v>142</v>
      </c>
      <c r="V608" s="561" t="s">
        <v>4524</v>
      </c>
      <c r="W608" s="472" t="s">
        <v>4525</v>
      </c>
      <c r="X608" s="457" t="s">
        <v>4526</v>
      </c>
      <c r="Y608" s="465"/>
      <c r="Z608" s="457"/>
      <c r="AA608" s="456" t="s">
        <v>47</v>
      </c>
      <c r="AB608" s="473"/>
      <c r="AC608" s="477"/>
      <c r="AD608" s="330"/>
    </row>
    <row r="609" spans="1:37" s="587" customFormat="1" ht="54.95" customHeight="1" thickBot="1" x14ac:dyDescent="0.25">
      <c r="A609" s="584"/>
      <c r="B609" s="585" t="s">
        <v>4005</v>
      </c>
      <c r="C609" s="455" t="s">
        <v>4236</v>
      </c>
      <c r="D609" s="456" t="s">
        <v>4527</v>
      </c>
      <c r="E609" s="456"/>
      <c r="F609" s="457" t="s">
        <v>4528</v>
      </c>
      <c r="G609" s="457" t="s">
        <v>4299</v>
      </c>
      <c r="H609" s="458">
        <v>176741</v>
      </c>
      <c r="I609" s="459" t="s">
        <v>4405</v>
      </c>
      <c r="J609" s="460">
        <v>39279</v>
      </c>
      <c r="K609" s="461">
        <v>30</v>
      </c>
      <c r="L609" s="462">
        <f t="shared" si="2"/>
        <v>39309</v>
      </c>
      <c r="M609" s="459" t="s">
        <v>4405</v>
      </c>
      <c r="N609" s="457" t="s">
        <v>42</v>
      </c>
      <c r="O609" s="460">
        <v>39360</v>
      </c>
      <c r="P609" s="461">
        <v>0</v>
      </c>
      <c r="Q609" s="461"/>
      <c r="R609" s="460">
        <v>39371</v>
      </c>
      <c r="S609" s="471">
        <v>39377</v>
      </c>
      <c r="T609" s="462">
        <f>+S609+25</f>
        <v>39402</v>
      </c>
      <c r="U609" s="461">
        <f>IF(T609="","",+T609-J609)</f>
        <v>123</v>
      </c>
      <c r="V609" s="468" t="s">
        <v>4529</v>
      </c>
      <c r="W609" s="457">
        <v>257</v>
      </c>
      <c r="X609" s="457" t="s">
        <v>4530</v>
      </c>
      <c r="Y609" s="467"/>
      <c r="Z609" s="457">
        <v>6651418270</v>
      </c>
      <c r="AA609" s="456" t="s">
        <v>2713</v>
      </c>
      <c r="AB609" s="473"/>
      <c r="AC609" s="470" t="s">
        <v>4531</v>
      </c>
      <c r="AD609" s="586"/>
      <c r="AE609" s="412"/>
    </row>
    <row r="610" spans="1:37" s="587" customFormat="1" ht="54.95" customHeight="1" thickBot="1" x14ac:dyDescent="0.25">
      <c r="A610" s="584"/>
      <c r="B610" s="585" t="s">
        <v>4005</v>
      </c>
      <c r="C610" s="455" t="s">
        <v>4236</v>
      </c>
      <c r="D610" s="456"/>
      <c r="E610" s="456"/>
      <c r="F610" s="457" t="s">
        <v>4532</v>
      </c>
      <c r="G610" s="457" t="s">
        <v>4299</v>
      </c>
      <c r="H610" s="458">
        <v>2059</v>
      </c>
      <c r="I610" s="459" t="s">
        <v>4405</v>
      </c>
      <c r="J610" s="460">
        <v>39338</v>
      </c>
      <c r="K610" s="461">
        <v>85</v>
      </c>
      <c r="L610" s="462">
        <f t="shared" si="2"/>
        <v>39423</v>
      </c>
      <c r="M610" s="459" t="s">
        <v>4405</v>
      </c>
      <c r="N610" s="457" t="s">
        <v>110</v>
      </c>
      <c r="O610" s="460">
        <v>39377</v>
      </c>
      <c r="P610" s="461">
        <f t="shared" si="1"/>
        <v>-46</v>
      </c>
      <c r="Q610" s="591" t="s">
        <v>4533</v>
      </c>
      <c r="R610" s="460"/>
      <c r="S610" s="471">
        <v>39430</v>
      </c>
      <c r="T610" s="460">
        <v>39433</v>
      </c>
      <c r="U610" s="461">
        <f>IF(T610="","",+T610-J610)</f>
        <v>95</v>
      </c>
      <c r="V610" s="468" t="s">
        <v>4534</v>
      </c>
      <c r="W610" s="457" t="s">
        <v>4535</v>
      </c>
      <c r="X610" s="457" t="s">
        <v>4536</v>
      </c>
      <c r="Y610" s="467"/>
      <c r="Z610" s="457" t="s">
        <v>1708</v>
      </c>
      <c r="AA610" s="456" t="s">
        <v>4537</v>
      </c>
      <c r="AB610" s="473"/>
      <c r="AC610" s="470" t="s">
        <v>4538</v>
      </c>
      <c r="AD610" s="586"/>
    </row>
    <row r="611" spans="1:37" s="587" customFormat="1" ht="54.95" customHeight="1" thickBot="1" x14ac:dyDescent="0.25">
      <c r="A611" s="584"/>
      <c r="B611" s="585" t="s">
        <v>4005</v>
      </c>
      <c r="C611" s="455" t="s">
        <v>4236</v>
      </c>
      <c r="D611" s="456"/>
      <c r="E611" s="456"/>
      <c r="F611" s="457" t="s">
        <v>4532</v>
      </c>
      <c r="G611" s="457" t="s">
        <v>4299</v>
      </c>
      <c r="H611" s="458">
        <v>1190</v>
      </c>
      <c r="I611" s="459" t="s">
        <v>4405</v>
      </c>
      <c r="J611" s="460">
        <v>39338</v>
      </c>
      <c r="K611" s="461">
        <v>85</v>
      </c>
      <c r="L611" s="462">
        <f t="shared" si="2"/>
        <v>39423</v>
      </c>
      <c r="M611" s="459" t="s">
        <v>4405</v>
      </c>
      <c r="N611" s="457" t="s">
        <v>42</v>
      </c>
      <c r="O611" s="460">
        <v>39426</v>
      </c>
      <c r="P611" s="461">
        <v>0</v>
      </c>
      <c r="Q611" s="461"/>
      <c r="R611" s="588"/>
      <c r="S611" s="471">
        <v>39450</v>
      </c>
      <c r="T611" s="471">
        <f>+S611+20</f>
        <v>39470</v>
      </c>
      <c r="U611" s="461">
        <f>IF(T611="","",+T611-J611)</f>
        <v>132</v>
      </c>
      <c r="V611" s="468" t="s">
        <v>4539</v>
      </c>
      <c r="W611" s="457" t="s">
        <v>4540</v>
      </c>
      <c r="X611" s="457" t="s">
        <v>4541</v>
      </c>
      <c r="Y611" s="467"/>
      <c r="Z611" s="457" t="s">
        <v>1676</v>
      </c>
      <c r="AA611" s="456" t="s">
        <v>3889</v>
      </c>
      <c r="AB611" s="473"/>
      <c r="AC611" s="470" t="s">
        <v>4542</v>
      </c>
      <c r="AD611" s="586"/>
    </row>
    <row r="612" spans="1:37" s="587" customFormat="1" ht="54.95" customHeight="1" thickBot="1" x14ac:dyDescent="0.25">
      <c r="A612" s="584"/>
      <c r="B612" s="585" t="s">
        <v>4005</v>
      </c>
      <c r="C612" s="455" t="s">
        <v>4236</v>
      </c>
      <c r="D612" s="456" t="s">
        <v>4543</v>
      </c>
      <c r="E612" s="456"/>
      <c r="F612" s="457" t="s">
        <v>4544</v>
      </c>
      <c r="G612" s="457" t="s">
        <v>4299</v>
      </c>
      <c r="H612" s="458">
        <v>56235.7</v>
      </c>
      <c r="I612" s="459" t="s">
        <v>4405</v>
      </c>
      <c r="J612" s="460">
        <v>39385</v>
      </c>
      <c r="K612" s="461">
        <v>30</v>
      </c>
      <c r="L612" s="462">
        <f>+J612+K612</f>
        <v>39415</v>
      </c>
      <c r="M612" s="459" t="s">
        <v>4405</v>
      </c>
      <c r="N612" s="457" t="s">
        <v>42</v>
      </c>
      <c r="O612" s="460">
        <v>39434</v>
      </c>
      <c r="P612" s="461">
        <v>0</v>
      </c>
      <c r="Q612" s="461" t="s">
        <v>4545</v>
      </c>
      <c r="R612" s="460">
        <v>39437</v>
      </c>
      <c r="S612" s="471">
        <v>39446</v>
      </c>
      <c r="T612" s="471">
        <f>+S612+30</f>
        <v>39476</v>
      </c>
      <c r="U612" s="461">
        <f>IF(T612="","",+T612-J612)</f>
        <v>91</v>
      </c>
      <c r="V612" s="468" t="s">
        <v>4546</v>
      </c>
      <c r="W612" s="457">
        <v>280</v>
      </c>
      <c r="X612" s="457" t="s">
        <v>4547</v>
      </c>
      <c r="Y612" s="467"/>
      <c r="Z612" s="457">
        <v>6626518953</v>
      </c>
      <c r="AA612" s="456" t="s">
        <v>1835</v>
      </c>
      <c r="AB612" s="473"/>
      <c r="AC612" s="470" t="s">
        <v>4548</v>
      </c>
      <c r="AD612" s="412" t="str">
        <f>IF(O612&lt;=L612,"en término","atrasado")</f>
        <v>atrasado</v>
      </c>
    </row>
    <row r="613" spans="1:37" s="9" customFormat="1" ht="16.5" customHeight="1" x14ac:dyDescent="0.2">
      <c r="A613" s="328"/>
      <c r="AB613" s="311"/>
      <c r="AC613" s="311"/>
      <c r="AD613" s="330"/>
    </row>
    <row r="614" spans="1:37" ht="12" thickBot="1" x14ac:dyDescent="0.25"/>
    <row r="615" spans="1:37" s="556" customFormat="1" ht="39.950000000000003" customHeight="1" thickBot="1" x14ac:dyDescent="0.4">
      <c r="B615" s="1611">
        <v>2008</v>
      </c>
      <c r="C615" s="1612"/>
      <c r="D615" s="1612"/>
      <c r="E615" s="1612"/>
      <c r="F615" s="1612"/>
      <c r="G615" s="1612"/>
      <c r="H615" s="1612"/>
      <c r="I615" s="1612"/>
      <c r="J615" s="1612"/>
      <c r="K615" s="1612"/>
      <c r="L615" s="1612"/>
      <c r="M615" s="1612"/>
      <c r="N615" s="1612"/>
      <c r="O615" s="1612"/>
      <c r="P615" s="1612"/>
      <c r="Q615" s="1612"/>
      <c r="R615" s="1612"/>
      <c r="S615" s="1612"/>
      <c r="T615" s="1612"/>
      <c r="U615" s="1612"/>
      <c r="V615" s="1612"/>
      <c r="W615" s="1612"/>
      <c r="X615" s="1612"/>
      <c r="Y615" s="1612"/>
      <c r="Z615" s="1612"/>
      <c r="AA615" s="1612"/>
      <c r="AB615" s="1612"/>
      <c r="AC615" s="1613"/>
      <c r="AD615" s="560"/>
    </row>
    <row r="616" spans="1:37" s="441" customFormat="1" ht="60" customHeight="1" thickBot="1" x14ac:dyDescent="0.25">
      <c r="A616" s="438"/>
      <c r="B616" s="451" t="s">
        <v>130</v>
      </c>
      <c r="C616" s="451" t="s">
        <v>4</v>
      </c>
      <c r="D616" s="451" t="s">
        <v>5</v>
      </c>
      <c r="E616" s="451" t="s">
        <v>6</v>
      </c>
      <c r="F616" s="451" t="s">
        <v>7</v>
      </c>
      <c r="G616" s="451" t="s">
        <v>8</v>
      </c>
      <c r="H616" s="453" t="s">
        <v>9</v>
      </c>
      <c r="I616" s="453" t="s">
        <v>10</v>
      </c>
      <c r="J616" s="451" t="s">
        <v>11</v>
      </c>
      <c r="K616" s="451" t="s">
        <v>12</v>
      </c>
      <c r="L616" s="451" t="s">
        <v>13</v>
      </c>
      <c r="M616" s="451" t="s">
        <v>14</v>
      </c>
      <c r="N616" s="451" t="s">
        <v>15</v>
      </c>
      <c r="O616" s="452" t="s">
        <v>16</v>
      </c>
      <c r="P616" s="454" t="s">
        <v>17</v>
      </c>
      <c r="Q616" s="451" t="s">
        <v>18</v>
      </c>
      <c r="R616" s="452" t="s">
        <v>19</v>
      </c>
      <c r="S616" s="451" t="s">
        <v>20</v>
      </c>
      <c r="T616" s="451" t="s">
        <v>21</v>
      </c>
      <c r="U616" s="452" t="s">
        <v>22</v>
      </c>
      <c r="V616" s="451" t="s">
        <v>131</v>
      </c>
      <c r="W616" s="451" t="s">
        <v>24</v>
      </c>
      <c r="X616" s="451" t="s">
        <v>132</v>
      </c>
      <c r="Y616" s="451" t="s">
        <v>26</v>
      </c>
      <c r="Z616" s="451" t="s">
        <v>27</v>
      </c>
      <c r="AA616" s="451" t="s">
        <v>28</v>
      </c>
      <c r="AB616" s="451" t="s">
        <v>29</v>
      </c>
      <c r="AC616" s="451" t="s">
        <v>30</v>
      </c>
      <c r="AD616" s="439"/>
      <c r="AE616" s="440"/>
      <c r="AF616" s="440"/>
      <c r="AG616" s="440"/>
      <c r="AH616" s="440"/>
      <c r="AI616" s="440"/>
      <c r="AJ616" s="440"/>
      <c r="AK616" s="440"/>
    </row>
    <row r="617" spans="1:37" s="587" customFormat="1" ht="54.95" customHeight="1" thickBot="1" x14ac:dyDescent="0.25">
      <c r="A617" s="584"/>
      <c r="B617" s="585" t="s">
        <v>4005</v>
      </c>
      <c r="C617" s="455" t="s">
        <v>4236</v>
      </c>
      <c r="D617" s="456" t="s">
        <v>4549</v>
      </c>
      <c r="E617" s="456"/>
      <c r="F617" s="457" t="s">
        <v>4550</v>
      </c>
      <c r="G617" s="457" t="s">
        <v>4299</v>
      </c>
      <c r="H617" s="458">
        <v>615</v>
      </c>
      <c r="I617" s="459" t="s">
        <v>4405</v>
      </c>
      <c r="J617" s="460">
        <v>39484</v>
      </c>
      <c r="K617" s="461">
        <v>10</v>
      </c>
      <c r="L617" s="462">
        <f t="shared" ref="L617:L622" si="3">+J617+K617</f>
        <v>39494</v>
      </c>
      <c r="M617" s="459" t="s">
        <v>4405</v>
      </c>
      <c r="N617" s="457" t="s">
        <v>4551</v>
      </c>
      <c r="O617" s="460">
        <v>39484</v>
      </c>
      <c r="P617" s="461">
        <f>IF(O617="","",+O617-L617)</f>
        <v>-10</v>
      </c>
      <c r="Q617" s="461" t="s">
        <v>465</v>
      </c>
      <c r="R617" s="460"/>
      <c r="S617" s="471">
        <v>39484</v>
      </c>
      <c r="T617" s="471">
        <v>39491</v>
      </c>
      <c r="U617" s="461">
        <f t="shared" ref="U617:U622" si="4">IF(T617="","",+T617-J617)</f>
        <v>7</v>
      </c>
      <c r="V617" s="468" t="s">
        <v>4552</v>
      </c>
      <c r="W617" s="457">
        <v>298</v>
      </c>
      <c r="X617" s="467"/>
      <c r="Y617" s="467"/>
      <c r="Z617" s="468" t="s">
        <v>4553</v>
      </c>
      <c r="AA617" s="456" t="s">
        <v>1811</v>
      </c>
      <c r="AB617" s="473"/>
      <c r="AC617" s="470"/>
      <c r="AD617" s="586"/>
      <c r="AE617" s="412"/>
    </row>
    <row r="618" spans="1:37" s="587" customFormat="1" ht="54.95" customHeight="1" thickBot="1" x14ac:dyDescent="0.25">
      <c r="A618" s="584"/>
      <c r="B618" s="585" t="s">
        <v>4005</v>
      </c>
      <c r="C618" s="455" t="s">
        <v>4236</v>
      </c>
      <c r="D618" s="456" t="s">
        <v>4554</v>
      </c>
      <c r="E618" s="456"/>
      <c r="F618" s="457" t="s">
        <v>4555</v>
      </c>
      <c r="G618" s="457" t="s">
        <v>4299</v>
      </c>
      <c r="H618" s="458">
        <v>38111.4</v>
      </c>
      <c r="I618" s="459" t="s">
        <v>4405</v>
      </c>
      <c r="J618" s="460">
        <v>39479</v>
      </c>
      <c r="K618" s="461">
        <v>30</v>
      </c>
      <c r="L618" s="462">
        <f t="shared" si="3"/>
        <v>39509</v>
      </c>
      <c r="M618" s="459" t="s">
        <v>4405</v>
      </c>
      <c r="N618" s="457" t="s">
        <v>42</v>
      </c>
      <c r="O618" s="460">
        <v>39498</v>
      </c>
      <c r="P618" s="461">
        <f>IF(O618="","",+O618-L618)</f>
        <v>-11</v>
      </c>
      <c r="Q618" s="461"/>
      <c r="R618" s="460">
        <v>39505</v>
      </c>
      <c r="S618" s="471">
        <v>39510</v>
      </c>
      <c r="T618" s="471">
        <f>+S618+30</f>
        <v>39540</v>
      </c>
      <c r="U618" s="461">
        <f t="shared" si="4"/>
        <v>61</v>
      </c>
      <c r="V618" s="468" t="s">
        <v>4556</v>
      </c>
      <c r="W618" s="457">
        <v>300</v>
      </c>
      <c r="X618" s="457" t="s">
        <v>4557</v>
      </c>
      <c r="Y618" s="467"/>
      <c r="Z618" s="457">
        <v>6510425810</v>
      </c>
      <c r="AA618" s="456" t="s">
        <v>4558</v>
      </c>
      <c r="AB618" s="473"/>
      <c r="AC618" s="470"/>
      <c r="AD618" s="412" t="str">
        <f t="shared" ref="AD618:AD626" si="5">IF(O618&lt;=L618,"en término","atrasado")</f>
        <v>en término</v>
      </c>
    </row>
    <row r="619" spans="1:37" s="587" customFormat="1" ht="54.95" customHeight="1" thickBot="1" x14ac:dyDescent="0.25">
      <c r="A619" s="584"/>
      <c r="B619" s="585" t="s">
        <v>4005</v>
      </c>
      <c r="C619" s="455" t="s">
        <v>4236</v>
      </c>
      <c r="D619" s="456" t="s">
        <v>4559</v>
      </c>
      <c r="E619" s="456"/>
      <c r="F619" s="457" t="s">
        <v>4560</v>
      </c>
      <c r="G619" s="457" t="s">
        <v>4299</v>
      </c>
      <c r="H619" s="458">
        <v>49427.6</v>
      </c>
      <c r="I619" s="459" t="s">
        <v>4405</v>
      </c>
      <c r="J619" s="460">
        <v>39531</v>
      </c>
      <c r="K619" s="461">
        <v>30</v>
      </c>
      <c r="L619" s="462">
        <f t="shared" si="3"/>
        <v>39561</v>
      </c>
      <c r="M619" s="459" t="s">
        <v>4405</v>
      </c>
      <c r="N619" s="457" t="s">
        <v>42</v>
      </c>
      <c r="O619" s="460">
        <v>39556</v>
      </c>
      <c r="P619" s="461">
        <f>IF(O619="","",+O619-L619)</f>
        <v>-5</v>
      </c>
      <c r="Q619" s="461" t="s">
        <v>4561</v>
      </c>
      <c r="R619" s="460">
        <v>39562</v>
      </c>
      <c r="S619" s="471">
        <v>39575</v>
      </c>
      <c r="T619" s="471">
        <f>+S619+30</f>
        <v>39605</v>
      </c>
      <c r="U619" s="461">
        <f t="shared" si="4"/>
        <v>74</v>
      </c>
      <c r="V619" s="468" t="s">
        <v>4562</v>
      </c>
      <c r="W619" s="457">
        <v>314</v>
      </c>
      <c r="X619" s="457" t="s">
        <v>4563</v>
      </c>
      <c r="Y619" s="467"/>
      <c r="Z619" s="457">
        <v>6510425681</v>
      </c>
      <c r="AA619" s="456" t="s">
        <v>4564</v>
      </c>
      <c r="AB619" s="473"/>
      <c r="AC619" s="470"/>
      <c r="AD619" s="412" t="str">
        <f t="shared" si="5"/>
        <v>en término</v>
      </c>
    </row>
    <row r="620" spans="1:37" s="587" customFormat="1" ht="54.95" customHeight="1" thickBot="1" x14ac:dyDescent="0.25">
      <c r="A620" s="584"/>
      <c r="B620" s="585" t="s">
        <v>4005</v>
      </c>
      <c r="C620" s="455" t="s">
        <v>4236</v>
      </c>
      <c r="D620" s="456" t="s">
        <v>4565</v>
      </c>
      <c r="E620" s="456"/>
      <c r="F620" s="457" t="s">
        <v>4566</v>
      </c>
      <c r="G620" s="457" t="s">
        <v>4299</v>
      </c>
      <c r="H620" s="458">
        <v>53569</v>
      </c>
      <c r="I620" s="459" t="s">
        <v>4405</v>
      </c>
      <c r="J620" s="460">
        <v>39580</v>
      </c>
      <c r="K620" s="461">
        <v>30</v>
      </c>
      <c r="L620" s="462">
        <f t="shared" si="3"/>
        <v>39610</v>
      </c>
      <c r="M620" s="459" t="s">
        <v>4405</v>
      </c>
      <c r="N620" s="457" t="s">
        <v>1750</v>
      </c>
      <c r="O620" s="460">
        <v>39593</v>
      </c>
      <c r="P620" s="461">
        <f>IF(O620="","",+O620-L620)</f>
        <v>-17</v>
      </c>
      <c r="Q620" s="461" t="s">
        <v>4567</v>
      </c>
      <c r="R620" s="460">
        <v>39602</v>
      </c>
      <c r="S620" s="471">
        <v>39609</v>
      </c>
      <c r="T620" s="471">
        <f>+S620+30</f>
        <v>39639</v>
      </c>
      <c r="U620" s="461">
        <f t="shared" si="4"/>
        <v>59</v>
      </c>
      <c r="V620" s="468" t="s">
        <v>4568</v>
      </c>
      <c r="W620" s="457">
        <v>322</v>
      </c>
      <c r="X620" s="457" t="s">
        <v>4569</v>
      </c>
      <c r="Y620" s="467"/>
      <c r="Z620" s="457">
        <v>6510425703</v>
      </c>
      <c r="AA620" s="456" t="s">
        <v>1920</v>
      </c>
      <c r="AB620" s="473"/>
      <c r="AC620" s="470"/>
      <c r="AD620" s="412" t="str">
        <f t="shared" si="5"/>
        <v>en término</v>
      </c>
    </row>
    <row r="621" spans="1:37" s="587" customFormat="1" ht="54.95" customHeight="1" thickBot="1" x14ac:dyDescent="0.25">
      <c r="A621" s="584"/>
      <c r="B621" s="585" t="s">
        <v>4005</v>
      </c>
      <c r="C621" s="455" t="s">
        <v>4236</v>
      </c>
      <c r="D621" s="456"/>
      <c r="E621" s="456"/>
      <c r="F621" s="457" t="s">
        <v>4570</v>
      </c>
      <c r="G621" s="457" t="s">
        <v>4299</v>
      </c>
      <c r="H621" s="458">
        <v>10210</v>
      </c>
      <c r="I621" s="459" t="s">
        <v>4405</v>
      </c>
      <c r="J621" s="460">
        <v>39554</v>
      </c>
      <c r="K621" s="461">
        <v>30</v>
      </c>
      <c r="L621" s="462">
        <f t="shared" si="3"/>
        <v>39584</v>
      </c>
      <c r="M621" s="459" t="s">
        <v>4405</v>
      </c>
      <c r="N621" s="457" t="s">
        <v>1750</v>
      </c>
      <c r="O621" s="460">
        <v>39643</v>
      </c>
      <c r="P621" s="461">
        <f>IF(S621="","",+S621-L621)</f>
        <v>60</v>
      </c>
      <c r="Q621" s="461"/>
      <c r="R621" s="460"/>
      <c r="S621" s="471">
        <v>39644</v>
      </c>
      <c r="T621" s="471">
        <v>39646</v>
      </c>
      <c r="U621" s="461">
        <f t="shared" si="4"/>
        <v>92</v>
      </c>
      <c r="V621" s="468" t="s">
        <v>4571</v>
      </c>
      <c r="W621" s="457" t="s">
        <v>4572</v>
      </c>
      <c r="X621" s="457" t="s">
        <v>4573</v>
      </c>
      <c r="Y621" s="467"/>
      <c r="Z621" s="468" t="s">
        <v>4574</v>
      </c>
      <c r="AA621" s="456" t="s">
        <v>4575</v>
      </c>
      <c r="AB621" s="460" t="s">
        <v>4576</v>
      </c>
      <c r="AC621" s="470"/>
      <c r="AD621" s="412" t="str">
        <f t="shared" si="5"/>
        <v>atrasado</v>
      </c>
    </row>
    <row r="622" spans="1:37" s="587" customFormat="1" ht="54.95" customHeight="1" thickBot="1" x14ac:dyDescent="0.25">
      <c r="A622" s="584"/>
      <c r="B622" s="585" t="s">
        <v>4005</v>
      </c>
      <c r="C622" s="455" t="s">
        <v>4236</v>
      </c>
      <c r="D622" s="456" t="s">
        <v>4577</v>
      </c>
      <c r="E622" s="456"/>
      <c r="F622" s="457" t="s">
        <v>4578</v>
      </c>
      <c r="G622" s="457" t="s">
        <v>4299</v>
      </c>
      <c r="H622" s="458">
        <v>33032</v>
      </c>
      <c r="I622" s="459" t="s">
        <v>4405</v>
      </c>
      <c r="J622" s="460">
        <v>39665</v>
      </c>
      <c r="K622" s="461">
        <v>30</v>
      </c>
      <c r="L622" s="462">
        <f t="shared" si="3"/>
        <v>39695</v>
      </c>
      <c r="M622" s="459" t="s">
        <v>4405</v>
      </c>
      <c r="N622" s="457" t="s">
        <v>1750</v>
      </c>
      <c r="O622" s="460">
        <v>39686</v>
      </c>
      <c r="P622" s="461">
        <f>IF(O622="","",+O622-L622)</f>
        <v>-9</v>
      </c>
      <c r="Q622" s="461" t="s">
        <v>4579</v>
      </c>
      <c r="R622" s="460">
        <v>39688</v>
      </c>
      <c r="S622" s="471">
        <v>39700</v>
      </c>
      <c r="T622" s="471">
        <f>+S622+30</f>
        <v>39730</v>
      </c>
      <c r="U622" s="461">
        <f t="shared" si="4"/>
        <v>65</v>
      </c>
      <c r="V622" s="468" t="s">
        <v>4580</v>
      </c>
      <c r="W622" s="457">
        <v>349</v>
      </c>
      <c r="X622" s="457" t="s">
        <v>4581</v>
      </c>
      <c r="Y622" s="467"/>
      <c r="Z622" s="457">
        <v>6507661064</v>
      </c>
      <c r="AA622" s="456" t="s">
        <v>4582</v>
      </c>
      <c r="AB622" s="473"/>
      <c r="AC622" s="470"/>
      <c r="AD622" s="412" t="str">
        <f t="shared" si="5"/>
        <v>en término</v>
      </c>
    </row>
    <row r="623" spans="1:37" s="587" customFormat="1" ht="54.95" customHeight="1" thickBot="1" x14ac:dyDescent="0.25">
      <c r="A623" s="584"/>
      <c r="B623" s="585" t="s">
        <v>4005</v>
      </c>
      <c r="C623" s="455" t="s">
        <v>4236</v>
      </c>
      <c r="D623" s="456"/>
      <c r="E623" s="456"/>
      <c r="F623" s="457" t="s">
        <v>4570</v>
      </c>
      <c r="G623" s="457" t="s">
        <v>4299</v>
      </c>
      <c r="H623" s="458">
        <v>4480</v>
      </c>
      <c r="I623" s="459" t="s">
        <v>4405</v>
      </c>
      <c r="J623" s="460">
        <v>39554</v>
      </c>
      <c r="K623" s="461">
        <v>30</v>
      </c>
      <c r="L623" s="462">
        <f>+J623+K623</f>
        <v>39584</v>
      </c>
      <c r="M623" s="459" t="s">
        <v>4405</v>
      </c>
      <c r="N623" s="457" t="s">
        <v>1750</v>
      </c>
      <c r="O623" s="460">
        <v>39715</v>
      </c>
      <c r="P623" s="461">
        <f>IF(S623="","",+S623-L623)</f>
        <v>211</v>
      </c>
      <c r="Q623" s="461"/>
      <c r="R623" s="460"/>
      <c r="S623" s="471">
        <v>39795</v>
      </c>
      <c r="T623" s="471">
        <f>+S623+30</f>
        <v>39825</v>
      </c>
      <c r="U623" s="461">
        <f>IF(T623="","",+T623-J623)</f>
        <v>271</v>
      </c>
      <c r="V623" s="468" t="s">
        <v>4583</v>
      </c>
      <c r="W623" s="457" t="s">
        <v>4584</v>
      </c>
      <c r="X623" s="457">
        <v>2950171</v>
      </c>
      <c r="Y623" s="467"/>
      <c r="Z623" s="457" t="s">
        <v>1676</v>
      </c>
      <c r="AA623" s="456" t="s">
        <v>47</v>
      </c>
      <c r="AB623" s="460"/>
      <c r="AC623" s="470"/>
      <c r="AD623" s="645" t="str">
        <f t="shared" si="5"/>
        <v>atrasado</v>
      </c>
    </row>
    <row r="624" spans="1:37" s="587" customFormat="1" ht="54.95" customHeight="1" thickBot="1" x14ac:dyDescent="0.25">
      <c r="A624" s="584"/>
      <c r="B624" s="585" t="s">
        <v>4005</v>
      </c>
      <c r="C624" s="455" t="s">
        <v>4236</v>
      </c>
      <c r="D624" s="456"/>
      <c r="E624" s="456"/>
      <c r="F624" s="457" t="s">
        <v>4585</v>
      </c>
      <c r="G624" s="457" t="s">
        <v>4299</v>
      </c>
      <c r="H624" s="458">
        <v>14675</v>
      </c>
      <c r="I624" s="459" t="s">
        <v>4405</v>
      </c>
      <c r="J624" s="460">
        <v>39580</v>
      </c>
      <c r="K624" s="461">
        <v>90</v>
      </c>
      <c r="L624" s="462">
        <f>+J624+K624</f>
        <v>39670</v>
      </c>
      <c r="M624" s="459" t="s">
        <v>4405</v>
      </c>
      <c r="N624" s="457" t="s">
        <v>1750</v>
      </c>
      <c r="O624" s="460">
        <v>39701</v>
      </c>
      <c r="P624" s="461">
        <f>IF(S624="","",+S624-L624)</f>
        <v>125</v>
      </c>
      <c r="Q624" s="461"/>
      <c r="R624" s="460"/>
      <c r="S624" s="471">
        <v>39795</v>
      </c>
      <c r="T624" s="471">
        <f>+S624+30</f>
        <v>39825</v>
      </c>
      <c r="U624" s="461">
        <f>IF(T624="","",+T624-J624)</f>
        <v>245</v>
      </c>
      <c r="V624" s="468" t="s">
        <v>4387</v>
      </c>
      <c r="W624" s="457" t="s">
        <v>4584</v>
      </c>
      <c r="X624" s="457">
        <v>2950171</v>
      </c>
      <c r="Y624" s="467"/>
      <c r="Z624" s="457" t="s">
        <v>1676</v>
      </c>
      <c r="AA624" s="456" t="s">
        <v>47</v>
      </c>
      <c r="AB624" s="473"/>
      <c r="AC624" s="470"/>
      <c r="AD624" s="645" t="str">
        <f t="shared" si="5"/>
        <v>atrasado</v>
      </c>
    </row>
    <row r="625" spans="1:37" s="587" customFormat="1" ht="54.95" customHeight="1" thickBot="1" x14ac:dyDescent="0.25">
      <c r="A625" s="584"/>
      <c r="B625" s="1042" t="s">
        <v>4005</v>
      </c>
      <c r="C625" s="1043" t="s">
        <v>4236</v>
      </c>
      <c r="D625" s="1044" t="s">
        <v>4586</v>
      </c>
      <c r="E625" s="1044"/>
      <c r="F625" s="1028" t="s">
        <v>4587</v>
      </c>
      <c r="G625" s="1028" t="s">
        <v>4299</v>
      </c>
      <c r="H625" s="1029">
        <v>102581.8</v>
      </c>
      <c r="I625" s="1033" t="s">
        <v>4588</v>
      </c>
      <c r="J625" s="1032">
        <v>39636</v>
      </c>
      <c r="K625" s="1041">
        <v>30</v>
      </c>
      <c r="L625" s="641">
        <f>+J625+K625</f>
        <v>39666</v>
      </c>
      <c r="M625" s="1033" t="s">
        <v>4405</v>
      </c>
      <c r="N625" s="1028" t="s">
        <v>1750</v>
      </c>
      <c r="O625" s="1032">
        <v>39654</v>
      </c>
      <c r="P625" s="1041">
        <f>IF(O625="","",+O625-L625)</f>
        <v>-12</v>
      </c>
      <c r="Q625" s="1041"/>
      <c r="R625" s="1032">
        <v>39777</v>
      </c>
      <c r="S625" s="642">
        <v>39780</v>
      </c>
      <c r="T625" s="642">
        <f>+S625+25</f>
        <v>39805</v>
      </c>
      <c r="U625" s="1041">
        <f>IF(T625="","",+T625-J625)</f>
        <v>169</v>
      </c>
      <c r="V625" s="446" t="s">
        <v>4589</v>
      </c>
      <c r="W625" s="1028">
        <v>367</v>
      </c>
      <c r="X625" s="1028" t="s">
        <v>4590</v>
      </c>
      <c r="Y625" s="643"/>
      <c r="Z625" s="1028">
        <v>6682704335</v>
      </c>
      <c r="AA625" s="1044" t="s">
        <v>4591</v>
      </c>
      <c r="AB625" s="1032" t="s">
        <v>2671</v>
      </c>
      <c r="AC625" s="644" t="s">
        <v>4592</v>
      </c>
      <c r="AD625" s="645" t="str">
        <f t="shared" si="5"/>
        <v>en término</v>
      </c>
    </row>
    <row r="626" spans="1:37" s="587" customFormat="1" ht="54.95" customHeight="1" thickBot="1" x14ac:dyDescent="0.25">
      <c r="A626" s="584"/>
      <c r="B626" s="455" t="s">
        <v>4005</v>
      </c>
      <c r="C626" s="455" t="s">
        <v>4236</v>
      </c>
      <c r="D626" s="456" t="s">
        <v>4593</v>
      </c>
      <c r="E626" s="456"/>
      <c r="F626" s="457" t="s">
        <v>4594</v>
      </c>
      <c r="G626" s="457" t="s">
        <v>4299</v>
      </c>
      <c r="H626" s="458">
        <v>168064</v>
      </c>
      <c r="I626" s="459" t="s">
        <v>4588</v>
      </c>
      <c r="J626" s="460">
        <v>39771</v>
      </c>
      <c r="K626" s="461">
        <v>30</v>
      </c>
      <c r="L626" s="462">
        <f>+J626+K626</f>
        <v>39801</v>
      </c>
      <c r="M626" s="459" t="s">
        <v>4588</v>
      </c>
      <c r="N626" s="457" t="s">
        <v>1750</v>
      </c>
      <c r="O626" s="460">
        <v>39794</v>
      </c>
      <c r="P626" s="461">
        <f>IF(O626="","",+O626-L626)</f>
        <v>-7</v>
      </c>
      <c r="Q626" s="461" t="s">
        <v>4595</v>
      </c>
      <c r="R626" s="460">
        <v>39798</v>
      </c>
      <c r="S626" s="471">
        <v>39803</v>
      </c>
      <c r="T626" s="471">
        <f>+S626+25</f>
        <v>39828</v>
      </c>
      <c r="U626" s="461">
        <f>IF(T626="","",+T626-J626)</f>
        <v>57</v>
      </c>
      <c r="V626" s="468" t="s">
        <v>4596</v>
      </c>
      <c r="W626" s="457">
        <v>370</v>
      </c>
      <c r="X626" s="457" t="s">
        <v>4597</v>
      </c>
      <c r="Y626" s="467"/>
      <c r="Z626" s="457">
        <v>6510425401</v>
      </c>
      <c r="AA626" s="1044" t="s">
        <v>4591</v>
      </c>
      <c r="AB626" s="1032" t="s">
        <v>2671</v>
      </c>
      <c r="AC626" s="470"/>
      <c r="AD626" s="645" t="str">
        <f t="shared" si="5"/>
        <v>en término</v>
      </c>
    </row>
    <row r="630" spans="1:37" ht="12" thickBot="1" x14ac:dyDescent="0.25"/>
    <row r="631" spans="1:37" s="556" customFormat="1" ht="39.950000000000003" customHeight="1" thickBot="1" x14ac:dyDescent="0.4">
      <c r="B631" s="1611">
        <v>2009</v>
      </c>
      <c r="C631" s="1612"/>
      <c r="D631" s="1612"/>
      <c r="E631" s="1612"/>
      <c r="F631" s="1612"/>
      <c r="G631" s="1612"/>
      <c r="H631" s="1612"/>
      <c r="I631" s="1612"/>
      <c r="J631" s="1612"/>
      <c r="K631" s="1612"/>
      <c r="L631" s="1612"/>
      <c r="M631" s="1612"/>
      <c r="N631" s="1612"/>
      <c r="O631" s="1612"/>
      <c r="P631" s="1612"/>
      <c r="Q631" s="1612"/>
      <c r="R631" s="1612"/>
      <c r="S631" s="1612"/>
      <c r="T631" s="1612"/>
      <c r="U631" s="1612"/>
      <c r="V631" s="1612"/>
      <c r="W631" s="1612"/>
      <c r="X631" s="1612"/>
      <c r="Y631" s="1612"/>
      <c r="Z631" s="1612"/>
      <c r="AA631" s="1612"/>
      <c r="AB631" s="1612"/>
      <c r="AC631" s="1613"/>
      <c r="AD631" s="560"/>
    </row>
    <row r="632" spans="1:37" s="441" customFormat="1" ht="60" customHeight="1" thickBot="1" x14ac:dyDescent="0.25">
      <c r="A632" s="438"/>
      <c r="B632" s="451" t="s">
        <v>130</v>
      </c>
      <c r="C632" s="451" t="s">
        <v>4</v>
      </c>
      <c r="D632" s="451" t="s">
        <v>5</v>
      </c>
      <c r="E632" s="451" t="s">
        <v>6</v>
      </c>
      <c r="F632" s="451" t="s">
        <v>7</v>
      </c>
      <c r="G632" s="451" t="s">
        <v>8</v>
      </c>
      <c r="H632" s="453" t="s">
        <v>9</v>
      </c>
      <c r="I632" s="453" t="s">
        <v>10</v>
      </c>
      <c r="J632" s="451" t="s">
        <v>11</v>
      </c>
      <c r="K632" s="451" t="s">
        <v>12</v>
      </c>
      <c r="L632" s="451" t="s">
        <v>13</v>
      </c>
      <c r="M632" s="451" t="s">
        <v>14</v>
      </c>
      <c r="N632" s="451" t="s">
        <v>15</v>
      </c>
      <c r="O632" s="452" t="s">
        <v>16</v>
      </c>
      <c r="P632" s="454" t="s">
        <v>17</v>
      </c>
      <c r="Q632" s="451" t="s">
        <v>18</v>
      </c>
      <c r="R632" s="452" t="s">
        <v>19</v>
      </c>
      <c r="S632" s="451" t="s">
        <v>20</v>
      </c>
      <c r="T632" s="451" t="s">
        <v>21</v>
      </c>
      <c r="U632" s="452" t="s">
        <v>22</v>
      </c>
      <c r="V632" s="451" t="s">
        <v>131</v>
      </c>
      <c r="W632" s="451" t="s">
        <v>24</v>
      </c>
      <c r="X632" s="451" t="s">
        <v>132</v>
      </c>
      <c r="Y632" s="451" t="s">
        <v>26</v>
      </c>
      <c r="Z632" s="451" t="s">
        <v>27</v>
      </c>
      <c r="AA632" s="451" t="s">
        <v>28</v>
      </c>
      <c r="AB632" s="451" t="s">
        <v>29</v>
      </c>
      <c r="AC632" s="451" t="s">
        <v>30</v>
      </c>
      <c r="AD632" s="439"/>
      <c r="AE632" s="440"/>
      <c r="AF632" s="440"/>
      <c r="AG632" s="440"/>
      <c r="AH632" s="440"/>
      <c r="AI632" s="440"/>
      <c r="AJ632" s="440"/>
      <c r="AK632" s="440"/>
    </row>
    <row r="633" spans="1:37" s="587" customFormat="1" ht="54.95" customHeight="1" thickBot="1" x14ac:dyDescent="0.25">
      <c r="A633" s="584"/>
      <c r="B633" s="585" t="s">
        <v>4005</v>
      </c>
      <c r="C633" s="455" t="s">
        <v>4236</v>
      </c>
      <c r="D633" s="456"/>
      <c r="E633" s="456"/>
      <c r="F633" s="457" t="s">
        <v>4598</v>
      </c>
      <c r="G633" s="457" t="s">
        <v>4299</v>
      </c>
      <c r="H633" s="458">
        <v>13987.1</v>
      </c>
      <c r="I633" s="459" t="s">
        <v>4405</v>
      </c>
      <c r="J633" s="460">
        <v>39771</v>
      </c>
      <c r="K633" s="461">
        <v>90</v>
      </c>
      <c r="L633" s="462">
        <f>+J633+K633</f>
        <v>39861</v>
      </c>
      <c r="M633" s="459" t="s">
        <v>4405</v>
      </c>
      <c r="N633" s="457" t="s">
        <v>1750</v>
      </c>
      <c r="O633" s="460">
        <v>39826</v>
      </c>
      <c r="P633" s="461">
        <v>0</v>
      </c>
      <c r="Q633" s="461"/>
      <c r="R633" s="460"/>
      <c r="S633" s="471">
        <v>39906</v>
      </c>
      <c r="T633" s="471">
        <v>39910</v>
      </c>
      <c r="U633" s="461">
        <f>IF(T633="","",+T633-J633)</f>
        <v>139</v>
      </c>
      <c r="V633" s="468" t="s">
        <v>4599</v>
      </c>
      <c r="W633" s="457" t="s">
        <v>4600</v>
      </c>
      <c r="X633" s="457" t="s">
        <v>4601</v>
      </c>
      <c r="Y633" s="467"/>
      <c r="Z633" s="457"/>
      <c r="AA633" s="456" t="s">
        <v>4602</v>
      </c>
      <c r="AB633" s="460" t="s">
        <v>4603</v>
      </c>
      <c r="AC633" s="470" t="s">
        <v>4604</v>
      </c>
      <c r="AD633" s="645" t="str">
        <f>IF(O633&lt;=L633,"en término","atrasado")</f>
        <v>en término</v>
      </c>
    </row>
    <row r="634" spans="1:37" s="587" customFormat="1" ht="54.95" customHeight="1" thickBot="1" x14ac:dyDescent="0.25">
      <c r="A634" s="584"/>
      <c r="B634" s="585" t="s">
        <v>4005</v>
      </c>
      <c r="C634" s="455" t="s">
        <v>4236</v>
      </c>
      <c r="D634" s="456"/>
      <c r="E634" s="456"/>
      <c r="F634" s="457" t="s">
        <v>4585</v>
      </c>
      <c r="G634" s="457" t="s">
        <v>4299</v>
      </c>
      <c r="H634" s="458">
        <v>8146</v>
      </c>
      <c r="I634" s="459" t="s">
        <v>4405</v>
      </c>
      <c r="J634" s="460">
        <v>39580</v>
      </c>
      <c r="K634" s="461">
        <v>90</v>
      </c>
      <c r="L634" s="462">
        <f>+J634+K634</f>
        <v>39670</v>
      </c>
      <c r="M634" s="459" t="s">
        <v>4405</v>
      </c>
      <c r="N634" s="457" t="s">
        <v>1750</v>
      </c>
      <c r="O634" s="460">
        <v>39825</v>
      </c>
      <c r="P634" s="461">
        <v>0</v>
      </c>
      <c r="Q634" s="591" t="s">
        <v>4605</v>
      </c>
      <c r="R634" s="460"/>
      <c r="S634" s="471">
        <v>39936</v>
      </c>
      <c r="T634" s="471">
        <v>39944</v>
      </c>
      <c r="U634" s="461">
        <f>IF(T634="","",+T634-J634)</f>
        <v>364</v>
      </c>
      <c r="V634" s="468" t="s">
        <v>4606</v>
      </c>
      <c r="W634" s="457" t="s">
        <v>4607</v>
      </c>
      <c r="X634" s="457" t="s">
        <v>4608</v>
      </c>
      <c r="Y634" s="467"/>
      <c r="Z634" s="457" t="s">
        <v>1676</v>
      </c>
      <c r="AA634" s="456" t="s">
        <v>4609</v>
      </c>
      <c r="AB634" s="473"/>
      <c r="AC634" s="470" t="s">
        <v>4610</v>
      </c>
      <c r="AD634" s="645" t="str">
        <f>IF(O634&lt;=L634,"en término","atrasado")</f>
        <v>atrasado</v>
      </c>
    </row>
    <row r="635" spans="1:37" s="587" customFormat="1" ht="54.95" customHeight="1" thickBot="1" x14ac:dyDescent="0.25">
      <c r="A635" s="584"/>
      <c r="B635" s="455" t="s">
        <v>4005</v>
      </c>
      <c r="C635" s="455" t="s">
        <v>4236</v>
      </c>
      <c r="D635" s="456"/>
      <c r="E635" s="456"/>
      <c r="F635" s="457" t="s">
        <v>4611</v>
      </c>
      <c r="G635" s="457" t="s">
        <v>4299</v>
      </c>
      <c r="H635" s="458">
        <v>59754.45</v>
      </c>
      <c r="I635" s="459" t="s">
        <v>4405</v>
      </c>
      <c r="J635" s="460">
        <v>39896</v>
      </c>
      <c r="K635" s="461">
        <v>90</v>
      </c>
      <c r="L635" s="462">
        <f>+J635+K635</f>
        <v>39986</v>
      </c>
      <c r="M635" s="459" t="s">
        <v>4405</v>
      </c>
      <c r="N635" s="457" t="s">
        <v>1750</v>
      </c>
      <c r="O635" s="460">
        <v>39941</v>
      </c>
      <c r="P635" s="461">
        <f>IF(S635="","",+S635-L635)</f>
        <v>-43</v>
      </c>
      <c r="Q635" s="461" t="s">
        <v>4612</v>
      </c>
      <c r="R635" s="460">
        <v>39952</v>
      </c>
      <c r="S635" s="471">
        <v>39943</v>
      </c>
      <c r="T635" s="471">
        <f>+S635+30</f>
        <v>39973</v>
      </c>
      <c r="U635" s="461">
        <f>IF(T635="","",+T635-J635)</f>
        <v>77</v>
      </c>
      <c r="V635" s="468" t="s">
        <v>4613</v>
      </c>
      <c r="W635" s="457">
        <v>392</v>
      </c>
      <c r="X635" s="457" t="s">
        <v>4614</v>
      </c>
      <c r="Y635" s="467"/>
      <c r="Z635" s="457">
        <v>9009910582</v>
      </c>
      <c r="AA635" s="456" t="s">
        <v>3869</v>
      </c>
      <c r="AB635" s="1032" t="s">
        <v>2671</v>
      </c>
      <c r="AC635" s="470" t="s">
        <v>4615</v>
      </c>
      <c r="AD635" s="645" t="str">
        <f>IF(O635&lt;=L635,"en término","atrasado")</f>
        <v>en término</v>
      </c>
    </row>
    <row r="636" spans="1:37" s="587" customFormat="1" ht="54.95" customHeight="1" thickBot="1" x14ac:dyDescent="0.25">
      <c r="A636" s="584"/>
      <c r="B636" s="455" t="s">
        <v>4005</v>
      </c>
      <c r="C636" s="455" t="s">
        <v>4236</v>
      </c>
      <c r="D636" s="456" t="s">
        <v>4616</v>
      </c>
      <c r="E636" s="456"/>
      <c r="F636" s="457" t="s">
        <v>4617</v>
      </c>
      <c r="G636" s="457" t="s">
        <v>4299</v>
      </c>
      <c r="H636" s="458">
        <v>1590</v>
      </c>
      <c r="I636" s="611" t="s">
        <v>4405</v>
      </c>
      <c r="J636" s="460">
        <v>40058</v>
      </c>
      <c r="K636" s="461">
        <v>15</v>
      </c>
      <c r="L636" s="462">
        <f>+J636+K636</f>
        <v>40073</v>
      </c>
      <c r="M636" s="459" t="s">
        <v>4405</v>
      </c>
      <c r="N636" s="457" t="s">
        <v>4551</v>
      </c>
      <c r="O636" s="460">
        <v>40067</v>
      </c>
      <c r="P636" s="461">
        <f>IF(S636="","",+S636-L636)</f>
        <v>2</v>
      </c>
      <c r="Q636" s="461"/>
      <c r="R636" s="460">
        <v>40073</v>
      </c>
      <c r="S636" s="471">
        <v>40075</v>
      </c>
      <c r="T636" s="471">
        <f>+S636+7</f>
        <v>40082</v>
      </c>
      <c r="U636" s="461">
        <f>IF(T636="","",+T636-J636)</f>
        <v>24</v>
      </c>
      <c r="V636" s="468" t="s">
        <v>4618</v>
      </c>
      <c r="W636" s="457">
        <v>424</v>
      </c>
      <c r="X636" s="592"/>
      <c r="Y636" s="467"/>
      <c r="Z636" s="468" t="s">
        <v>4619</v>
      </c>
      <c r="AA636" s="456" t="s">
        <v>4620</v>
      </c>
      <c r="AB636" s="473" t="str">
        <f ca="1">IF(S636="","",IF('o.c.'!$Z$1&lt;(S636+60),(S636+60),"VENCIDA"))</f>
        <v>VENCIDA</v>
      </c>
      <c r="AC636" s="470"/>
      <c r="AD636" s="645" t="str">
        <f>IF(P636="","",IF(P636&lt;=0,"en término","atrasado"))</f>
        <v>atrasado</v>
      </c>
    </row>
    <row r="638" spans="1:37" ht="24.75" customHeight="1" x14ac:dyDescent="0.2"/>
    <row r="639" spans="1:37" ht="12" thickBot="1" x14ac:dyDescent="0.25"/>
    <row r="640" spans="1:37" s="556" customFormat="1" ht="39.950000000000003" customHeight="1" thickBot="1" x14ac:dyDescent="0.4">
      <c r="B640" s="1611">
        <v>2010</v>
      </c>
      <c r="C640" s="1612"/>
      <c r="D640" s="1612"/>
      <c r="E640" s="1612"/>
      <c r="F640" s="1612"/>
      <c r="G640" s="1612"/>
      <c r="H640" s="1612"/>
      <c r="I640" s="1612"/>
      <c r="J640" s="1612"/>
      <c r="K640" s="1612"/>
      <c r="L640" s="1612"/>
      <c r="M640" s="1612"/>
      <c r="N640" s="1612"/>
      <c r="O640" s="1612"/>
      <c r="P640" s="1612"/>
      <c r="Q640" s="1612"/>
      <c r="R640" s="1612"/>
      <c r="S640" s="1612"/>
      <c r="T640" s="1612"/>
      <c r="U640" s="1612"/>
      <c r="V640" s="1612"/>
      <c r="W640" s="1612"/>
      <c r="X640" s="1612"/>
      <c r="Y640" s="1612"/>
      <c r="Z640" s="1612"/>
      <c r="AA640" s="1612"/>
      <c r="AB640" s="1612"/>
      <c r="AC640" s="1613"/>
      <c r="AD640" s="560"/>
    </row>
    <row r="641" spans="1:40" s="441" customFormat="1" ht="60" customHeight="1" thickBot="1" x14ac:dyDescent="0.25">
      <c r="A641" s="438"/>
      <c r="B641" s="451" t="s">
        <v>130</v>
      </c>
      <c r="C641" s="451" t="s">
        <v>4</v>
      </c>
      <c r="D641" s="451" t="s">
        <v>5</v>
      </c>
      <c r="E641" s="451" t="s">
        <v>6</v>
      </c>
      <c r="F641" s="451" t="s">
        <v>7</v>
      </c>
      <c r="G641" s="451" t="s">
        <v>8</v>
      </c>
      <c r="H641" s="453" t="s">
        <v>9</v>
      </c>
      <c r="I641" s="453" t="s">
        <v>10</v>
      </c>
      <c r="J641" s="451" t="s">
        <v>11</v>
      </c>
      <c r="K641" s="451" t="s">
        <v>12</v>
      </c>
      <c r="L641" s="451" t="s">
        <v>13</v>
      </c>
      <c r="M641" s="451" t="s">
        <v>14</v>
      </c>
      <c r="N641" s="451" t="s">
        <v>15</v>
      </c>
      <c r="O641" s="452" t="s">
        <v>16</v>
      </c>
      <c r="P641" s="454" t="s">
        <v>17</v>
      </c>
      <c r="Q641" s="451" t="s">
        <v>18</v>
      </c>
      <c r="R641" s="452" t="s">
        <v>19</v>
      </c>
      <c r="S641" s="451" t="s">
        <v>20</v>
      </c>
      <c r="T641" s="451" t="s">
        <v>21</v>
      </c>
      <c r="U641" s="452" t="s">
        <v>22</v>
      </c>
      <c r="V641" s="451" t="s">
        <v>131</v>
      </c>
      <c r="W641" s="451" t="s">
        <v>24</v>
      </c>
      <c r="X641" s="451" t="s">
        <v>132</v>
      </c>
      <c r="Y641" s="451" t="s">
        <v>26</v>
      </c>
      <c r="Z641" s="451" t="s">
        <v>27</v>
      </c>
      <c r="AA641" s="451" t="s">
        <v>28</v>
      </c>
      <c r="AB641" s="451" t="s">
        <v>29</v>
      </c>
      <c r="AC641" s="451" t="s">
        <v>30</v>
      </c>
      <c r="AD641" s="439"/>
      <c r="AE641" s="440"/>
      <c r="AF641" s="440"/>
      <c r="AG641" s="440"/>
      <c r="AH641" s="440"/>
      <c r="AI641" s="440"/>
      <c r="AJ641" s="440"/>
      <c r="AK641" s="440"/>
    </row>
    <row r="642" spans="1:40" s="413" customFormat="1" ht="54.95" customHeight="1" thickBot="1" x14ac:dyDescent="0.25">
      <c r="A642" s="411"/>
      <c r="B642" s="768" t="s">
        <v>4005</v>
      </c>
      <c r="C642" s="768" t="s">
        <v>4621</v>
      </c>
      <c r="D642" s="769" t="s">
        <v>4622</v>
      </c>
      <c r="E642" s="769"/>
      <c r="F642" s="770">
        <v>5100079669</v>
      </c>
      <c r="G642" s="770" t="s">
        <v>39</v>
      </c>
      <c r="H642" s="771">
        <v>11993.6</v>
      </c>
      <c r="I642" s="772" t="s">
        <v>4408</v>
      </c>
      <c r="J642" s="773">
        <v>40289</v>
      </c>
      <c r="K642" s="774">
        <v>86</v>
      </c>
      <c r="L642" s="775">
        <f>+J642+K642</f>
        <v>40375</v>
      </c>
      <c r="M642" s="772" t="s">
        <v>124</v>
      </c>
      <c r="N642" s="776" t="s">
        <v>1750</v>
      </c>
      <c r="O642" s="773">
        <v>40367</v>
      </c>
      <c r="P642" s="774">
        <f>IF(S642="","",+S642-L642)</f>
        <v>143</v>
      </c>
      <c r="Q642" s="781" t="s">
        <v>4623</v>
      </c>
      <c r="R642" s="773">
        <v>40505</v>
      </c>
      <c r="S642" s="777">
        <v>40518</v>
      </c>
      <c r="T642" s="775">
        <f>+S642+50</f>
        <v>40568</v>
      </c>
      <c r="U642" s="774">
        <f>IF(T642="","",+T642-J642)</f>
        <v>279</v>
      </c>
      <c r="V642" s="776" t="s">
        <v>53</v>
      </c>
      <c r="W642" s="778" t="s">
        <v>2678</v>
      </c>
      <c r="X642" s="779"/>
      <c r="Y642" s="779"/>
      <c r="Z642" s="776">
        <v>3109968293</v>
      </c>
      <c r="AA642" s="769"/>
      <c r="AB642" s="782" t="s">
        <v>47</v>
      </c>
      <c r="AC642" s="783" t="s">
        <v>4624</v>
      </c>
      <c r="AD642" s="645" t="str">
        <f>IF(P642="","",IF(P642&lt;=0,"en término","atrasado"))</f>
        <v>atrasado</v>
      </c>
      <c r="AE642" s="646"/>
      <c r="AF642" s="410"/>
      <c r="AG642" s="410"/>
      <c r="AH642" s="410"/>
      <c r="AI642" s="410"/>
      <c r="AJ642" s="410"/>
      <c r="AK642" s="410"/>
      <c r="AL642" s="410"/>
      <c r="AM642" s="410"/>
      <c r="AN642" s="410"/>
    </row>
    <row r="644" spans="1:40" ht="29.25" customHeight="1" x14ac:dyDescent="0.2"/>
    <row r="645" spans="1:40" ht="12" thickBot="1" x14ac:dyDescent="0.25"/>
    <row r="646" spans="1:40" s="556" customFormat="1" ht="39.950000000000003" customHeight="1" thickBot="1" x14ac:dyDescent="0.4">
      <c r="B646" s="1611">
        <v>2011</v>
      </c>
      <c r="C646" s="1612"/>
      <c r="D646" s="1612"/>
      <c r="E646" s="1612"/>
      <c r="F646" s="1612"/>
      <c r="G646" s="1612"/>
      <c r="H646" s="1612"/>
      <c r="I646" s="1612"/>
      <c r="J646" s="1612"/>
      <c r="K646" s="1612"/>
      <c r="L646" s="1612"/>
      <c r="M646" s="1612"/>
      <c r="N646" s="1612"/>
      <c r="O646" s="1612"/>
      <c r="P646" s="1612"/>
      <c r="Q646" s="1612"/>
      <c r="R646" s="1612"/>
      <c r="S646" s="1612"/>
      <c r="T646" s="1612"/>
      <c r="U646" s="1612"/>
      <c r="V646" s="1612"/>
      <c r="W646" s="1612"/>
      <c r="X646" s="1612"/>
      <c r="Y646" s="1612"/>
      <c r="Z646" s="1612"/>
      <c r="AA646" s="1612"/>
      <c r="AB646" s="1612"/>
      <c r="AC646" s="1613"/>
      <c r="AD646" s="560"/>
    </row>
    <row r="647" spans="1:40" s="441" customFormat="1" ht="60" customHeight="1" thickBot="1" x14ac:dyDescent="0.25">
      <c r="A647" s="438"/>
      <c r="B647" s="451" t="s">
        <v>130</v>
      </c>
      <c r="C647" s="451" t="s">
        <v>4</v>
      </c>
      <c r="D647" s="451" t="s">
        <v>5</v>
      </c>
      <c r="E647" s="451" t="s">
        <v>6</v>
      </c>
      <c r="F647" s="451" t="s">
        <v>7</v>
      </c>
      <c r="G647" s="451" t="s">
        <v>8</v>
      </c>
      <c r="H647" s="453" t="s">
        <v>9</v>
      </c>
      <c r="I647" s="453" t="s">
        <v>10</v>
      </c>
      <c r="J647" s="451" t="s">
        <v>11</v>
      </c>
      <c r="K647" s="451" t="s">
        <v>12</v>
      </c>
      <c r="L647" s="451" t="s">
        <v>13</v>
      </c>
      <c r="M647" s="451" t="s">
        <v>14</v>
      </c>
      <c r="N647" s="451" t="s">
        <v>15</v>
      </c>
      <c r="O647" s="452" t="s">
        <v>16</v>
      </c>
      <c r="P647" s="454" t="s">
        <v>17</v>
      </c>
      <c r="Q647" s="451" t="s">
        <v>18</v>
      </c>
      <c r="R647" s="452" t="s">
        <v>19</v>
      </c>
      <c r="S647" s="451" t="s">
        <v>20</v>
      </c>
      <c r="T647" s="451" t="s">
        <v>21</v>
      </c>
      <c r="U647" s="452" t="s">
        <v>22</v>
      </c>
      <c r="V647" s="451" t="s">
        <v>131</v>
      </c>
      <c r="W647" s="451" t="s">
        <v>24</v>
      </c>
      <c r="X647" s="451" t="s">
        <v>132</v>
      </c>
      <c r="Y647" s="451" t="s">
        <v>26</v>
      </c>
      <c r="Z647" s="451" t="s">
        <v>27</v>
      </c>
      <c r="AA647" s="451" t="s">
        <v>28</v>
      </c>
      <c r="AB647" s="451" t="s">
        <v>29</v>
      </c>
      <c r="AC647" s="451" t="s">
        <v>30</v>
      </c>
      <c r="AD647" s="439"/>
      <c r="AE647" s="440"/>
      <c r="AF647" s="440"/>
      <c r="AG647" s="440"/>
      <c r="AH647" s="440"/>
      <c r="AI647" s="440"/>
      <c r="AJ647" s="440"/>
      <c r="AK647" s="440"/>
    </row>
    <row r="648" spans="1:40" s="587" customFormat="1" ht="54.95" customHeight="1" thickBot="1" x14ac:dyDescent="0.25">
      <c r="A648" s="584"/>
      <c r="B648" s="455" t="s">
        <v>4005</v>
      </c>
      <c r="C648" s="455" t="s">
        <v>4236</v>
      </c>
      <c r="D648" s="456" t="s">
        <v>4625</v>
      </c>
      <c r="E648" s="456"/>
      <c r="F648" s="457" t="s">
        <v>4626</v>
      </c>
      <c r="G648" s="457" t="s">
        <v>39</v>
      </c>
      <c r="H648" s="458">
        <v>551</v>
      </c>
      <c r="I648" s="611" t="s">
        <v>4408</v>
      </c>
      <c r="J648" s="460">
        <v>40620</v>
      </c>
      <c r="K648" s="461">
        <v>5</v>
      </c>
      <c r="L648" s="462">
        <f>+J648+K648</f>
        <v>40625</v>
      </c>
      <c r="M648" s="611" t="s">
        <v>124</v>
      </c>
      <c r="N648" s="468" t="s">
        <v>4627</v>
      </c>
      <c r="O648" s="460">
        <v>40624</v>
      </c>
      <c r="P648" s="461">
        <f>IF(S648="","",+S648-L648)</f>
        <v>0</v>
      </c>
      <c r="Q648" s="591"/>
      <c r="R648" s="460"/>
      <c r="S648" s="471">
        <v>40625</v>
      </c>
      <c r="T648" s="462">
        <f>+S648+7</f>
        <v>40632</v>
      </c>
      <c r="U648" s="461">
        <f>IF(T648="","",+T648-J648)</f>
        <v>12</v>
      </c>
      <c r="V648" s="468" t="s">
        <v>4628</v>
      </c>
      <c r="W648" s="493" t="s">
        <v>2267</v>
      </c>
      <c r="X648" s="467"/>
      <c r="Y648" s="467"/>
      <c r="Z648" s="468">
        <v>3110071392</v>
      </c>
      <c r="AA648" s="456" t="s">
        <v>47</v>
      </c>
      <c r="AB648" s="473" t="str">
        <f ca="1">IF(S648="","",IF('o.c.'!$Z$1&lt;(S648+60),(S648+60),"VENCIDA"))</f>
        <v>VENCIDA</v>
      </c>
      <c r="AC648" s="470"/>
      <c r="AD648" s="645" t="str">
        <f>IF(P648="","",IF(P648&lt;=0,"en término","atrasado"))</f>
        <v>en término</v>
      </c>
    </row>
    <row r="655" spans="1:40" ht="12" thickBot="1" x14ac:dyDescent="0.25"/>
    <row r="656" spans="1:40" s="556" customFormat="1" ht="39.950000000000003" customHeight="1" thickBot="1" x14ac:dyDescent="0.4">
      <c r="B656" s="1611">
        <v>2012</v>
      </c>
      <c r="C656" s="1612"/>
      <c r="D656" s="1612"/>
      <c r="E656" s="1612"/>
      <c r="F656" s="1612"/>
      <c r="G656" s="1612"/>
      <c r="H656" s="1612"/>
      <c r="I656" s="1612"/>
      <c r="J656" s="1612"/>
      <c r="K656" s="1612"/>
      <c r="L656" s="1612"/>
      <c r="M656" s="1612"/>
      <c r="N656" s="1612"/>
      <c r="O656" s="1612"/>
      <c r="P656" s="1612"/>
      <c r="Q656" s="1612"/>
      <c r="R656" s="1612"/>
      <c r="S656" s="1612"/>
      <c r="T656" s="1612"/>
      <c r="U656" s="1612"/>
      <c r="V656" s="1612"/>
      <c r="W656" s="1612"/>
      <c r="X656" s="1612"/>
      <c r="Y656" s="1612"/>
      <c r="Z656" s="1612"/>
      <c r="AA656" s="1612"/>
      <c r="AB656" s="1612"/>
      <c r="AC656" s="1613"/>
      <c r="AD656" s="560"/>
    </row>
    <row r="657" spans="1:37" s="441" customFormat="1" ht="60" customHeight="1" thickBot="1" x14ac:dyDescent="0.25">
      <c r="A657" s="438"/>
      <c r="B657" s="451" t="s">
        <v>130</v>
      </c>
      <c r="C657" s="451" t="s">
        <v>4</v>
      </c>
      <c r="D657" s="451" t="s">
        <v>5</v>
      </c>
      <c r="E657" s="451" t="s">
        <v>6</v>
      </c>
      <c r="F657" s="451" t="s">
        <v>7</v>
      </c>
      <c r="G657" s="451" t="s">
        <v>8</v>
      </c>
      <c r="H657" s="453" t="s">
        <v>9</v>
      </c>
      <c r="I657" s="453" t="s">
        <v>10</v>
      </c>
      <c r="J657" s="451" t="s">
        <v>11</v>
      </c>
      <c r="K657" s="451" t="s">
        <v>12</v>
      </c>
      <c r="L657" s="451" t="s">
        <v>13</v>
      </c>
      <c r="M657" s="451" t="s">
        <v>14</v>
      </c>
      <c r="N657" s="451" t="s">
        <v>15</v>
      </c>
      <c r="O657" s="452" t="s">
        <v>16</v>
      </c>
      <c r="P657" s="454" t="s">
        <v>17</v>
      </c>
      <c r="Q657" s="451" t="s">
        <v>18</v>
      </c>
      <c r="R657" s="452" t="s">
        <v>19</v>
      </c>
      <c r="S657" s="451" t="s">
        <v>20</v>
      </c>
      <c r="T657" s="451" t="s">
        <v>21</v>
      </c>
      <c r="U657" s="452" t="s">
        <v>22</v>
      </c>
      <c r="V657" s="451" t="s">
        <v>131</v>
      </c>
      <c r="W657" s="451" t="s">
        <v>24</v>
      </c>
      <c r="X657" s="451" t="s">
        <v>132</v>
      </c>
      <c r="Y657" s="451" t="s">
        <v>26</v>
      </c>
      <c r="Z657" s="451" t="s">
        <v>27</v>
      </c>
      <c r="AA657" s="451" t="s">
        <v>28</v>
      </c>
      <c r="AB657" s="451" t="s">
        <v>29</v>
      </c>
      <c r="AC657" s="451" t="s">
        <v>30</v>
      </c>
      <c r="AD657" s="439"/>
      <c r="AE657" s="440"/>
      <c r="AF657" s="440"/>
      <c r="AG657" s="440"/>
      <c r="AH657" s="440"/>
      <c r="AI657" s="440"/>
      <c r="AJ657" s="440"/>
      <c r="AK657" s="440"/>
    </row>
    <row r="658" spans="1:37" s="587" customFormat="1" ht="54.95" customHeight="1" thickBot="1" x14ac:dyDescent="0.25">
      <c r="A658" s="649"/>
      <c r="B658" s="455" t="s">
        <v>4629</v>
      </c>
      <c r="C658" s="457" t="s">
        <v>4630</v>
      </c>
      <c r="D658" s="456" t="s">
        <v>4631</v>
      </c>
      <c r="E658" s="456"/>
      <c r="F658" s="457" t="s">
        <v>4632</v>
      </c>
      <c r="G658" s="457" t="s">
        <v>4633</v>
      </c>
      <c r="H658" s="458">
        <v>869767.57</v>
      </c>
      <c r="I658" s="611" t="s">
        <v>4634</v>
      </c>
      <c r="J658" s="460">
        <v>40808</v>
      </c>
      <c r="K658" s="461">
        <v>126</v>
      </c>
      <c r="L658" s="462">
        <f>+J658+K658</f>
        <v>40934</v>
      </c>
      <c r="M658" s="611" t="s">
        <v>124</v>
      </c>
      <c r="N658" s="468" t="s">
        <v>42</v>
      </c>
      <c r="O658" s="460">
        <v>40997</v>
      </c>
      <c r="P658" s="461">
        <f>IF(S658="","",+S658-L658)</f>
        <v>151</v>
      </c>
      <c r="Q658" s="461" t="s">
        <v>4635</v>
      </c>
      <c r="R658" s="460">
        <v>41081</v>
      </c>
      <c r="S658" s="471">
        <v>41085</v>
      </c>
      <c r="T658" s="462">
        <f>+S658+25</f>
        <v>41110</v>
      </c>
      <c r="U658" s="461">
        <f>IF(T658="","",+T658-J658)</f>
        <v>302</v>
      </c>
      <c r="V658" s="468" t="s">
        <v>4636</v>
      </c>
      <c r="W658" s="493" t="s">
        <v>2327</v>
      </c>
      <c r="X658" s="592"/>
      <c r="Y658" s="592"/>
      <c r="Z658" s="468"/>
      <c r="AA658" s="456"/>
      <c r="AB658" s="477" t="s">
        <v>4637</v>
      </c>
      <c r="AC658" s="725" t="s">
        <v>4638</v>
      </c>
      <c r="AD658" s="645" t="str">
        <f>IF(P658="","",IF(P658&lt;=0,"en término","atrasado"))</f>
        <v>atrasado</v>
      </c>
    </row>
    <row r="659" spans="1:37" s="587" customFormat="1" ht="54.95" customHeight="1" thickBot="1" x14ac:dyDescent="0.25">
      <c r="A659" s="649"/>
      <c r="B659" s="455" t="s">
        <v>4005</v>
      </c>
      <c r="C659" s="494" t="s">
        <v>4639</v>
      </c>
      <c r="D659" s="456" t="s">
        <v>4640</v>
      </c>
      <c r="E659" s="456"/>
      <c r="F659" s="457">
        <v>652</v>
      </c>
      <c r="G659" s="457" t="s">
        <v>1535</v>
      </c>
      <c r="H659" s="807" t="s">
        <v>4641</v>
      </c>
      <c r="I659" s="611" t="s">
        <v>4408</v>
      </c>
      <c r="J659" s="460">
        <v>41057</v>
      </c>
      <c r="K659" s="461">
        <v>130</v>
      </c>
      <c r="L659" s="462">
        <v>41208</v>
      </c>
      <c r="M659" s="611" t="s">
        <v>124</v>
      </c>
      <c r="N659" s="468" t="s">
        <v>1750</v>
      </c>
      <c r="O659" s="460">
        <v>41180</v>
      </c>
      <c r="P659" s="461">
        <f>IF(S659="","",+S659-L659)</f>
        <v>7</v>
      </c>
      <c r="Q659" s="591" t="s">
        <v>4642</v>
      </c>
      <c r="R659" s="460">
        <v>41207</v>
      </c>
      <c r="S659" s="471">
        <v>41215</v>
      </c>
      <c r="T659" s="462"/>
      <c r="U659" s="461" t="str">
        <f>IF(T659="","",+T659-J659)</f>
        <v/>
      </c>
      <c r="V659" s="468" t="s">
        <v>4643</v>
      </c>
      <c r="W659" s="493">
        <v>117</v>
      </c>
      <c r="X659" s="467"/>
      <c r="Y659" s="467"/>
      <c r="Z659" s="468" t="s">
        <v>4644</v>
      </c>
      <c r="AA659" s="456"/>
      <c r="AB659" s="589" t="s">
        <v>4537</v>
      </c>
      <c r="AC659" s="470" t="s">
        <v>4645</v>
      </c>
      <c r="AD659" s="645" t="str">
        <f>IF(P659="","",IF(P659&lt;=0,"en término","atrasado"))</f>
        <v>atrasado</v>
      </c>
    </row>
    <row r="660" spans="1:37" s="587" customFormat="1" ht="54.95" customHeight="1" thickBot="1" x14ac:dyDescent="0.25">
      <c r="A660" s="649"/>
      <c r="B660" s="455" t="s">
        <v>4005</v>
      </c>
      <c r="C660" s="494" t="s">
        <v>4646</v>
      </c>
      <c r="D660" s="456" t="s">
        <v>4647</v>
      </c>
      <c r="E660" s="456"/>
      <c r="F660" s="457" t="s">
        <v>4648</v>
      </c>
      <c r="G660" s="457" t="s">
        <v>4633</v>
      </c>
      <c r="H660" s="458">
        <v>337650</v>
      </c>
      <c r="I660" s="611" t="s">
        <v>4634</v>
      </c>
      <c r="J660" s="460">
        <v>41108</v>
      </c>
      <c r="K660" s="461">
        <v>150</v>
      </c>
      <c r="L660" s="462">
        <f>+J660+K660</f>
        <v>41258</v>
      </c>
      <c r="M660" s="611" t="s">
        <v>124</v>
      </c>
      <c r="N660" s="468" t="s">
        <v>42</v>
      </c>
      <c r="O660" s="460">
        <v>41250</v>
      </c>
      <c r="P660" s="461">
        <f>IF(S660="","",+S660-L660)</f>
        <v>89</v>
      </c>
      <c r="Q660" s="461"/>
      <c r="R660" s="460">
        <v>41345</v>
      </c>
      <c r="S660" s="471">
        <v>41347</v>
      </c>
      <c r="T660" s="462">
        <v>41385</v>
      </c>
      <c r="U660" s="461">
        <f>IF(T660="","",+T660-J660)</f>
        <v>277</v>
      </c>
      <c r="V660" s="468" t="s">
        <v>4649</v>
      </c>
      <c r="W660" s="493" t="s">
        <v>94</v>
      </c>
      <c r="X660" s="467"/>
      <c r="Y660" s="467"/>
      <c r="Z660" s="468" t="s">
        <v>4650</v>
      </c>
      <c r="AA660" s="456"/>
      <c r="AB660" s="589" t="s">
        <v>47</v>
      </c>
      <c r="AC660" s="470" t="s">
        <v>4651</v>
      </c>
      <c r="AD660" s="645" t="str">
        <f>IF(P660="","",IF(P660&lt;=0,"en término","atrasado"))</f>
        <v>atrasado</v>
      </c>
    </row>
    <row r="665" spans="1:37" ht="12" thickBot="1" x14ac:dyDescent="0.25"/>
    <row r="666" spans="1:37" s="556" customFormat="1" ht="39.950000000000003" customHeight="1" thickBot="1" x14ac:dyDescent="0.4">
      <c r="B666" s="1611">
        <v>2013</v>
      </c>
      <c r="C666" s="1612"/>
      <c r="D666" s="1612"/>
      <c r="E666" s="1612"/>
      <c r="F666" s="1612"/>
      <c r="G666" s="1612"/>
      <c r="H666" s="1612"/>
      <c r="I666" s="1612"/>
      <c r="J666" s="1612"/>
      <c r="K666" s="1612"/>
      <c r="L666" s="1612"/>
      <c r="M666" s="1612"/>
      <c r="N666" s="1612"/>
      <c r="O666" s="1612"/>
      <c r="P666" s="1612"/>
      <c r="Q666" s="1612"/>
      <c r="R666" s="1612"/>
      <c r="S666" s="1612"/>
      <c r="T666" s="1612"/>
      <c r="U666" s="1612"/>
      <c r="V666" s="1612"/>
      <c r="W666" s="1612"/>
      <c r="X666" s="1612"/>
      <c r="Y666" s="1612"/>
      <c r="Z666" s="1612"/>
      <c r="AA666" s="1612"/>
      <c r="AB666" s="1612"/>
      <c r="AC666" s="1613"/>
      <c r="AD666" s="560"/>
    </row>
    <row r="667" spans="1:37" s="441" customFormat="1" ht="60" customHeight="1" thickBot="1" x14ac:dyDescent="0.25">
      <c r="A667" s="438"/>
      <c r="B667" s="451" t="s">
        <v>130</v>
      </c>
      <c r="C667" s="451" t="s">
        <v>4</v>
      </c>
      <c r="D667" s="451" t="s">
        <v>5</v>
      </c>
      <c r="E667" s="451" t="s">
        <v>6</v>
      </c>
      <c r="F667" s="451" t="s">
        <v>7</v>
      </c>
      <c r="G667" s="451" t="s">
        <v>8</v>
      </c>
      <c r="H667" s="453" t="s">
        <v>9</v>
      </c>
      <c r="I667" s="453" t="s">
        <v>10</v>
      </c>
      <c r="J667" s="451" t="s">
        <v>11</v>
      </c>
      <c r="K667" s="451" t="s">
        <v>12</v>
      </c>
      <c r="L667" s="451" t="s">
        <v>13</v>
      </c>
      <c r="M667" s="451" t="s">
        <v>14</v>
      </c>
      <c r="N667" s="451" t="s">
        <v>15</v>
      </c>
      <c r="O667" s="452" t="s">
        <v>16</v>
      </c>
      <c r="P667" s="454" t="s">
        <v>17</v>
      </c>
      <c r="Q667" s="451" t="s">
        <v>18</v>
      </c>
      <c r="R667" s="452" t="s">
        <v>19</v>
      </c>
      <c r="S667" s="451" t="s">
        <v>20</v>
      </c>
      <c r="T667" s="451" t="s">
        <v>21</v>
      </c>
      <c r="U667" s="452" t="s">
        <v>22</v>
      </c>
      <c r="V667" s="451" t="s">
        <v>131</v>
      </c>
      <c r="W667" s="451" t="s">
        <v>24</v>
      </c>
      <c r="X667" s="451" t="s">
        <v>132</v>
      </c>
      <c r="Y667" s="451" t="s">
        <v>26</v>
      </c>
      <c r="Z667" s="451" t="s">
        <v>27</v>
      </c>
      <c r="AA667" s="451" t="s">
        <v>28</v>
      </c>
      <c r="AB667" s="451" t="s">
        <v>29</v>
      </c>
      <c r="AC667" s="451" t="s">
        <v>30</v>
      </c>
      <c r="AD667" s="439"/>
      <c r="AE667" s="440"/>
      <c r="AF667" s="440"/>
      <c r="AG667" s="440"/>
      <c r="AH667" s="440"/>
      <c r="AI667" s="440"/>
      <c r="AJ667" s="440"/>
      <c r="AK667" s="440"/>
    </row>
    <row r="668" spans="1:37" s="587" customFormat="1" ht="54.95" customHeight="1" thickBot="1" x14ac:dyDescent="0.25">
      <c r="A668" s="649"/>
      <c r="B668" s="455" t="s">
        <v>4005</v>
      </c>
      <c r="C668" s="494" t="s">
        <v>4236</v>
      </c>
      <c r="D668" s="456" t="s">
        <v>4652</v>
      </c>
      <c r="E668" s="456"/>
      <c r="F668" s="457" t="s">
        <v>4653</v>
      </c>
      <c r="G668" s="457" t="s">
        <v>1535</v>
      </c>
      <c r="H668" s="458">
        <v>3776.28</v>
      </c>
      <c r="I668" s="611" t="s">
        <v>4408</v>
      </c>
      <c r="J668" s="460">
        <v>41345</v>
      </c>
      <c r="K668" s="461">
        <v>90</v>
      </c>
      <c r="L668" s="462">
        <f>+J668+K668</f>
        <v>41435</v>
      </c>
      <c r="M668" s="611" t="s">
        <v>124</v>
      </c>
      <c r="N668" s="468" t="s">
        <v>110</v>
      </c>
      <c r="O668" s="460">
        <v>41404</v>
      </c>
      <c r="P668" s="461">
        <f>IF(S668="","",+S668-L668)</f>
        <v>-14</v>
      </c>
      <c r="Q668" s="461"/>
      <c r="R668" s="460"/>
      <c r="S668" s="471">
        <v>41421</v>
      </c>
      <c r="T668" s="462">
        <v>41428</v>
      </c>
      <c r="U668" s="461">
        <f>IF(T668="","",+T668-J668)</f>
        <v>83</v>
      </c>
      <c r="V668" s="468" t="s">
        <v>4649</v>
      </c>
      <c r="W668" s="493" t="s">
        <v>2289</v>
      </c>
      <c r="X668" s="467"/>
      <c r="Y668" s="467"/>
      <c r="Z668" s="468" t="s">
        <v>1676</v>
      </c>
      <c r="AA668" s="456"/>
      <c r="AB668" s="589" t="s">
        <v>4654</v>
      </c>
      <c r="AC668" s="470"/>
      <c r="AD668" s="645" t="str">
        <f>IF(P668="","",IF(P668&lt;=0,"en término","atrasado"))</f>
        <v>en término</v>
      </c>
    </row>
    <row r="669" spans="1:37" s="587" customFormat="1" ht="54.95" customHeight="1" thickBot="1" x14ac:dyDescent="0.25">
      <c r="A669" s="649"/>
      <c r="B669" s="820" t="s">
        <v>4005</v>
      </c>
      <c r="C669" s="821" t="s">
        <v>4236</v>
      </c>
      <c r="D669" s="822" t="s">
        <v>4655</v>
      </c>
      <c r="E669" s="822"/>
      <c r="F669" s="823" t="s">
        <v>4656</v>
      </c>
      <c r="G669" s="823" t="s">
        <v>1535</v>
      </c>
      <c r="H669" s="837">
        <v>4849.5</v>
      </c>
      <c r="I669" s="824" t="s">
        <v>4408</v>
      </c>
      <c r="J669" s="825">
        <v>41421</v>
      </c>
      <c r="K669" s="826">
        <v>90</v>
      </c>
      <c r="L669" s="827">
        <f>+J669+K669</f>
        <v>41511</v>
      </c>
      <c r="M669" s="828" t="s">
        <v>124</v>
      </c>
      <c r="N669" s="829" t="s">
        <v>110</v>
      </c>
      <c r="O669" s="825">
        <v>41492</v>
      </c>
      <c r="P669" s="826" t="str">
        <f>IF(S669="","",+S669-L669)</f>
        <v/>
      </c>
      <c r="Q669" s="830"/>
      <c r="R669" s="825"/>
      <c r="S669" s="831"/>
      <c r="T669" s="827"/>
      <c r="U669" s="826" t="str">
        <f>IF(T669="","",+T669-J669)</f>
        <v/>
      </c>
      <c r="V669" s="832" t="s">
        <v>4657</v>
      </c>
      <c r="W669" s="833"/>
      <c r="X669" s="834"/>
      <c r="Y669" s="834"/>
      <c r="Z669" s="832"/>
      <c r="AA669" s="822"/>
      <c r="AB669" s="840" t="str">
        <f>IF(S669="","",IF('o.c.'!$Z$1&lt;(S669+15),(S669+15),"VENCIDA"))</f>
        <v/>
      </c>
      <c r="AC669" s="843" t="s">
        <v>4658</v>
      </c>
      <c r="AD669" s="649"/>
      <c r="AE669" s="646" t="str">
        <f>IF(P669="","",IF(P669&lt;=0,"en término","atrasado"))</f>
        <v/>
      </c>
    </row>
    <row r="674" spans="1:37" ht="12" thickBot="1" x14ac:dyDescent="0.25"/>
    <row r="675" spans="1:37" s="556" customFormat="1" ht="39.950000000000003" customHeight="1" thickBot="1" x14ac:dyDescent="0.4">
      <c r="B675" s="1611">
        <v>2018</v>
      </c>
      <c r="C675" s="1612"/>
      <c r="D675" s="1612"/>
      <c r="E675" s="1612"/>
      <c r="F675" s="1612"/>
      <c r="G675" s="1612"/>
      <c r="H675" s="1612"/>
      <c r="I675" s="1612"/>
      <c r="J675" s="1612"/>
      <c r="K675" s="1612"/>
      <c r="L675" s="1612"/>
      <c r="M675" s="1612"/>
      <c r="N675" s="1612"/>
      <c r="O675" s="1612"/>
      <c r="P675" s="1612"/>
      <c r="Q675" s="1612"/>
      <c r="R675" s="1612"/>
      <c r="S675" s="1612"/>
      <c r="T675" s="1612"/>
      <c r="U675" s="1612"/>
      <c r="V675" s="1612"/>
      <c r="W675" s="1612"/>
      <c r="X675" s="1612"/>
      <c r="Y675" s="1612"/>
      <c r="Z675" s="1612"/>
      <c r="AA675" s="1612"/>
      <c r="AB675" s="1612"/>
      <c r="AC675" s="1613"/>
      <c r="AD675" s="560"/>
    </row>
    <row r="676" spans="1:37" s="441" customFormat="1" ht="60" customHeight="1" thickBot="1" x14ac:dyDescent="0.25">
      <c r="A676" s="438"/>
      <c r="B676" s="451" t="s">
        <v>130</v>
      </c>
      <c r="C676" s="451" t="s">
        <v>4</v>
      </c>
      <c r="D676" s="451" t="s">
        <v>5</v>
      </c>
      <c r="E676" s="451" t="s">
        <v>6</v>
      </c>
      <c r="F676" s="451" t="s">
        <v>7</v>
      </c>
      <c r="G676" s="451" t="s">
        <v>8</v>
      </c>
      <c r="H676" s="453" t="s">
        <v>9</v>
      </c>
      <c r="I676" s="453" t="s">
        <v>10</v>
      </c>
      <c r="J676" s="451" t="s">
        <v>11</v>
      </c>
      <c r="K676" s="451" t="s">
        <v>12</v>
      </c>
      <c r="L676" s="451" t="s">
        <v>13</v>
      </c>
      <c r="M676" s="451" t="s">
        <v>14</v>
      </c>
      <c r="N676" s="451" t="s">
        <v>15</v>
      </c>
      <c r="O676" s="452" t="s">
        <v>16</v>
      </c>
      <c r="P676" s="454" t="s">
        <v>17</v>
      </c>
      <c r="Q676" s="451" t="s">
        <v>18</v>
      </c>
      <c r="R676" s="452" t="s">
        <v>19</v>
      </c>
      <c r="S676" s="451" t="s">
        <v>20</v>
      </c>
      <c r="T676" s="451" t="s">
        <v>21</v>
      </c>
      <c r="U676" s="452" t="s">
        <v>22</v>
      </c>
      <c r="V676" s="451" t="s">
        <v>131</v>
      </c>
      <c r="W676" s="451" t="s">
        <v>24</v>
      </c>
      <c r="X676" s="451" t="s">
        <v>132</v>
      </c>
      <c r="Y676" s="451" t="s">
        <v>26</v>
      </c>
      <c r="Z676" s="451" t="s">
        <v>27</v>
      </c>
      <c r="AA676" s="451" t="s">
        <v>28</v>
      </c>
      <c r="AB676" s="451" t="s">
        <v>29</v>
      </c>
      <c r="AC676" s="451" t="s">
        <v>30</v>
      </c>
      <c r="AD676" s="439"/>
      <c r="AE676" s="440"/>
      <c r="AF676" s="440"/>
      <c r="AG676" s="440"/>
      <c r="AH676" s="440"/>
      <c r="AI676" s="440"/>
      <c r="AJ676" s="440"/>
      <c r="AK676" s="440"/>
    </row>
    <row r="677" spans="1:37" s="649" customFormat="1" ht="54.95" customHeight="1" thickBot="1" x14ac:dyDescent="0.25">
      <c r="B677" s="1022" t="s">
        <v>4005</v>
      </c>
      <c r="C677" s="1022" t="s">
        <v>6535</v>
      </c>
      <c r="D677" s="901" t="s">
        <v>6589</v>
      </c>
      <c r="E677" s="901"/>
      <c r="F677" s="1077" t="s">
        <v>6536</v>
      </c>
      <c r="G677" s="889" t="s">
        <v>39</v>
      </c>
      <c r="H677" s="890">
        <v>25070</v>
      </c>
      <c r="I677" s="902" t="s">
        <v>4408</v>
      </c>
      <c r="J677" s="892">
        <v>43391</v>
      </c>
      <c r="K677" s="893">
        <v>120</v>
      </c>
      <c r="L677" s="892">
        <f>+J677+K677</f>
        <v>43511</v>
      </c>
      <c r="M677" s="892" t="s">
        <v>4408</v>
      </c>
      <c r="N677" s="889" t="s">
        <v>42</v>
      </c>
      <c r="O677" s="892">
        <v>43524</v>
      </c>
      <c r="P677" s="893" t="str">
        <f>IF(S677="","",+S677-L677)</f>
        <v/>
      </c>
      <c r="Q677" s="901"/>
      <c r="R677" s="903"/>
      <c r="S677" s="904"/>
      <c r="T677" s="904"/>
      <c r="U677" s="893" t="str">
        <f>IF(T677="","",+T677-J677)</f>
        <v/>
      </c>
      <c r="V677" s="901" t="s">
        <v>53</v>
      </c>
      <c r="W677" s="897" t="s">
        <v>100</v>
      </c>
      <c r="X677" s="905"/>
      <c r="Y677" s="905"/>
      <c r="Z677" s="889"/>
      <c r="AA677" s="889"/>
      <c r="AB677" s="948" t="s">
        <v>6668</v>
      </c>
      <c r="AC677" s="476" t="s">
        <v>7819</v>
      </c>
      <c r="AE677" s="645" t="str">
        <f>IF(P677="","",IF(P677&lt;=0,"en término","atrasado"))</f>
        <v/>
      </c>
      <c r="AF677" s="468"/>
      <c r="AG677" s="468"/>
    </row>
  </sheetData>
  <customSheetViews>
    <customSheetView guid="{4C4B61E0-A90E-11D1-A823-006097B607DD}" showPageBreaks="1" showRuler="0">
      <pageMargins left="0" right="0" top="0" bottom="0" header="0" footer="0"/>
      <printOptions gridLines="1"/>
      <pageSetup orientation="portrait" horizontalDpi="300" verticalDpi="300" r:id="rId1"/>
      <headerFooter alignWithMargins="0">
        <oddHeader>&amp;A</oddHeader>
        <oddFooter>Página &amp;P</oddFooter>
      </headerFooter>
    </customSheetView>
  </customSheetViews>
  <mergeCells count="23">
    <mergeCell ref="B675:AC675"/>
    <mergeCell ref="B666:AC666"/>
    <mergeCell ref="B656:AC656"/>
    <mergeCell ref="B640:AC640"/>
    <mergeCell ref="B646:AC646"/>
    <mergeCell ref="B597:AC597"/>
    <mergeCell ref="B631:AC631"/>
    <mergeCell ref="B615:AC615"/>
    <mergeCell ref="AC587:AC590"/>
    <mergeCell ref="AC551:AC553"/>
    <mergeCell ref="B540:AC540"/>
    <mergeCell ref="AC580:AC583"/>
    <mergeCell ref="AC566:AC568"/>
    <mergeCell ref="AC560:AC562"/>
    <mergeCell ref="B249:AC249"/>
    <mergeCell ref="B295:AC295"/>
    <mergeCell ref="AC570:AC573"/>
    <mergeCell ref="B477:AC477"/>
    <mergeCell ref="B5:AC5"/>
    <mergeCell ref="B29:AC29"/>
    <mergeCell ref="B35:AC35"/>
    <mergeCell ref="B130:AC130"/>
    <mergeCell ref="B359:AC359"/>
  </mergeCells>
  <phoneticPr fontId="0" type="noConversion"/>
  <printOptions horizontalCentered="1"/>
  <pageMargins left="0.19685039370078741" right="0.74803149606299213" top="0.28000000000000003" bottom="0.68" header="0" footer="0.19685039370078741"/>
  <pageSetup paperSize="5" scale="35" orientation="landscape" r:id="rId2"/>
  <headerFooter alignWithMargins="0">
    <oddFooter>&amp;LBNDF 3.1085 Rev. _ 3/11/00&amp;CINFORME O/C ENTREGADAS
- &amp;D&amp;R&amp;"Tahoma,Normal"&amp;9Venezuela &amp;P de &amp;N</oddFooter>
  </headerFooter>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7">
    <pageSetUpPr fitToPage="1"/>
  </sheetPr>
  <dimension ref="A1:AK43"/>
  <sheetViews>
    <sheetView topLeftCell="G28"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30" width="2.5703125" style="2" customWidth="1"/>
    <col min="31" max="16384" width="11.42578125" style="2"/>
  </cols>
  <sheetData>
    <row r="1" spans="1:37" ht="25.5" x14ac:dyDescent="0.35">
      <c r="B1" s="558" t="s">
        <v>126</v>
      </c>
      <c r="Z1" s="546" t="s">
        <v>127</v>
      </c>
      <c r="AA1" s="547">
        <f ca="1">TODAY()</f>
        <v>45457</v>
      </c>
    </row>
    <row r="2" spans="1:37" ht="23.25" x14ac:dyDescent="0.35">
      <c r="B2" s="559" t="s">
        <v>128</v>
      </c>
    </row>
    <row r="3" spans="1:37" ht="6" customHeight="1" x14ac:dyDescent="0.2"/>
    <row r="4" spans="1:37" ht="6" customHeight="1" thickBot="1" x14ac:dyDescent="0.25"/>
    <row r="5" spans="1:37" s="556" customFormat="1" ht="39.950000000000003" customHeight="1" thickBot="1" x14ac:dyDescent="0.4">
      <c r="B5" s="1611">
        <v>2000</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7"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c r="R6" s="452"/>
      <c r="S6" s="451" t="s">
        <v>4659</v>
      </c>
      <c r="T6" s="451" t="s">
        <v>4660</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c r="AK6" s="440"/>
    </row>
    <row r="7" spans="1:37" s="76" customFormat="1" ht="54.95" customHeight="1" thickBot="1" x14ac:dyDescent="0.25">
      <c r="B7" s="455" t="s">
        <v>4661</v>
      </c>
      <c r="C7" s="455" t="s">
        <v>4662</v>
      </c>
      <c r="D7" s="456" t="s">
        <v>4663</v>
      </c>
      <c r="E7" s="456"/>
      <c r="F7" s="457" t="s">
        <v>4664</v>
      </c>
      <c r="G7" s="457"/>
      <c r="H7" s="458">
        <v>3860</v>
      </c>
      <c r="I7" s="459"/>
      <c r="J7" s="456">
        <v>36517</v>
      </c>
      <c r="K7" s="456"/>
      <c r="L7" s="478" t="s">
        <v>470</v>
      </c>
      <c r="M7" s="460" t="s">
        <v>4665</v>
      </c>
      <c r="N7" s="457" t="s">
        <v>4666</v>
      </c>
      <c r="O7" s="457"/>
      <c r="P7" s="457"/>
      <c r="Q7" s="457"/>
      <c r="R7" s="457" t="s">
        <v>1665</v>
      </c>
      <c r="S7" s="456">
        <v>36522</v>
      </c>
      <c r="T7" s="456">
        <v>36522</v>
      </c>
      <c r="U7" s="456"/>
      <c r="V7" s="457" t="s">
        <v>4667</v>
      </c>
      <c r="W7" s="479">
        <v>552</v>
      </c>
      <c r="X7" s="480"/>
      <c r="Y7" s="480"/>
      <c r="Z7" s="479"/>
      <c r="AA7" s="479"/>
      <c r="AB7" s="479"/>
      <c r="AC7" s="479"/>
    </row>
    <row r="8" spans="1:37" s="9" customFormat="1" ht="54.95" customHeight="1" thickBot="1" x14ac:dyDescent="0.25">
      <c r="B8" s="455" t="s">
        <v>4661</v>
      </c>
      <c r="C8" s="455" t="s">
        <v>4668</v>
      </c>
      <c r="D8" s="457" t="s">
        <v>4669</v>
      </c>
      <c r="E8" s="457"/>
      <c r="F8" s="457">
        <v>900778</v>
      </c>
      <c r="G8" s="457"/>
      <c r="H8" s="458">
        <v>3020</v>
      </c>
      <c r="I8" s="459"/>
      <c r="J8" s="456">
        <v>36861</v>
      </c>
      <c r="K8" s="456"/>
      <c r="L8" s="478" t="s">
        <v>4670</v>
      </c>
      <c r="M8" s="457" t="s">
        <v>124</v>
      </c>
      <c r="N8" s="457" t="s">
        <v>4666</v>
      </c>
      <c r="O8" s="457"/>
      <c r="P8" s="457"/>
      <c r="Q8" s="457"/>
      <c r="R8" s="457" t="s">
        <v>4671</v>
      </c>
      <c r="S8" s="456">
        <v>36882</v>
      </c>
      <c r="T8" s="456">
        <v>36896</v>
      </c>
      <c r="U8" s="456"/>
      <c r="V8" s="481" t="s">
        <v>4672</v>
      </c>
      <c r="W8" s="457">
        <v>681</v>
      </c>
      <c r="X8" s="482"/>
      <c r="Y8" s="482"/>
      <c r="Z8" s="457">
        <v>6667111500</v>
      </c>
      <c r="AA8" s="455"/>
      <c r="AB8" s="457"/>
      <c r="AC8" s="457"/>
    </row>
    <row r="9" spans="1:37" s="9" customFormat="1" x14ac:dyDescent="0.2">
      <c r="B9" s="310"/>
      <c r="C9" s="2"/>
      <c r="D9" s="41"/>
      <c r="E9" s="41"/>
      <c r="F9" s="3"/>
      <c r="G9" s="3"/>
      <c r="H9" s="223"/>
      <c r="I9" s="3"/>
      <c r="J9" s="2"/>
      <c r="K9" s="2"/>
      <c r="L9" s="2"/>
      <c r="M9" s="2"/>
      <c r="N9" s="2"/>
      <c r="O9" s="2"/>
      <c r="P9" s="2"/>
      <c r="Q9" s="2"/>
      <c r="R9" s="2"/>
      <c r="S9" s="310"/>
      <c r="T9" s="2"/>
      <c r="U9" s="2"/>
      <c r="V9" s="2"/>
      <c r="W9" s="10"/>
      <c r="X9" s="10"/>
      <c r="Y9" s="10"/>
      <c r="AA9" s="2"/>
      <c r="AB9" s="10"/>
      <c r="AC9" s="10"/>
    </row>
    <row r="12" spans="1:37" ht="12" thickBot="1" x14ac:dyDescent="0.25"/>
    <row r="13" spans="1:37" s="556" customFormat="1" ht="39.950000000000003" customHeight="1" thickBot="1" x14ac:dyDescent="0.4">
      <c r="B13" s="1611">
        <v>2002</v>
      </c>
      <c r="C13" s="1612"/>
      <c r="D13" s="1612"/>
      <c r="E13" s="1612"/>
      <c r="F13" s="1612"/>
      <c r="G13" s="1612"/>
      <c r="H13" s="1612"/>
      <c r="I13" s="1612"/>
      <c r="J13" s="1612"/>
      <c r="K13" s="1612"/>
      <c r="L13" s="1612"/>
      <c r="M13" s="1612"/>
      <c r="N13" s="1612"/>
      <c r="O13" s="1612"/>
      <c r="P13" s="1612"/>
      <c r="Q13" s="1612"/>
      <c r="R13" s="1612"/>
      <c r="S13" s="1612"/>
      <c r="T13" s="1612"/>
      <c r="U13" s="1612"/>
      <c r="V13" s="1612"/>
      <c r="W13" s="1612"/>
      <c r="X13" s="1612"/>
      <c r="Y13" s="1612"/>
      <c r="Z13" s="1612"/>
      <c r="AA13" s="1612"/>
      <c r="AB13" s="1612"/>
      <c r="AC13" s="1613"/>
    </row>
    <row r="14" spans="1:37" s="441" customFormat="1" ht="60" customHeight="1" thickBot="1" x14ac:dyDescent="0.25">
      <c r="A14" s="438"/>
      <c r="B14" s="451" t="s">
        <v>130</v>
      </c>
      <c r="C14" s="451" t="s">
        <v>4</v>
      </c>
      <c r="D14" s="451" t="s">
        <v>5</v>
      </c>
      <c r="E14" s="451" t="s">
        <v>6</v>
      </c>
      <c r="F14" s="451" t="s">
        <v>7</v>
      </c>
      <c r="G14" s="451" t="s">
        <v>8</v>
      </c>
      <c r="H14" s="453" t="s">
        <v>9</v>
      </c>
      <c r="I14" s="453" t="s">
        <v>10</v>
      </c>
      <c r="J14" s="451" t="s">
        <v>11</v>
      </c>
      <c r="K14" s="451" t="s">
        <v>12</v>
      </c>
      <c r="L14" s="451" t="s">
        <v>13</v>
      </c>
      <c r="M14" s="451" t="s">
        <v>14</v>
      </c>
      <c r="N14" s="451" t="s">
        <v>15</v>
      </c>
      <c r="O14" s="452" t="s">
        <v>16</v>
      </c>
      <c r="P14" s="454" t="s">
        <v>17</v>
      </c>
      <c r="Q14" s="451"/>
      <c r="R14" s="452"/>
      <c r="S14" s="451" t="s">
        <v>4659</v>
      </c>
      <c r="T14" s="451" t="s">
        <v>4660</v>
      </c>
      <c r="U14" s="452" t="s">
        <v>22</v>
      </c>
      <c r="V14" s="451" t="s">
        <v>131</v>
      </c>
      <c r="W14" s="451" t="s">
        <v>24</v>
      </c>
      <c r="X14" s="451" t="s">
        <v>132</v>
      </c>
      <c r="Y14" s="451" t="s">
        <v>26</v>
      </c>
      <c r="Z14" s="451" t="s">
        <v>27</v>
      </c>
      <c r="AA14" s="451" t="s">
        <v>28</v>
      </c>
      <c r="AB14" s="451" t="s">
        <v>29</v>
      </c>
      <c r="AC14" s="451" t="s">
        <v>30</v>
      </c>
      <c r="AD14" s="439"/>
      <c r="AE14" s="440"/>
      <c r="AF14" s="440"/>
      <c r="AG14" s="440"/>
      <c r="AH14" s="440"/>
      <c r="AI14" s="440"/>
      <c r="AJ14" s="440"/>
      <c r="AK14" s="440"/>
    </row>
    <row r="15" spans="1:37" s="483" customFormat="1" ht="54.95" customHeight="1" thickBot="1" x14ac:dyDescent="0.25">
      <c r="B15" s="455" t="s">
        <v>4661</v>
      </c>
      <c r="C15" s="455" t="s">
        <v>4673</v>
      </c>
      <c r="D15" s="457" t="s">
        <v>4674</v>
      </c>
      <c r="E15" s="457"/>
      <c r="F15" s="457" t="s">
        <v>4675</v>
      </c>
      <c r="G15" s="457"/>
      <c r="H15" s="458">
        <v>3985</v>
      </c>
      <c r="I15" s="459"/>
      <c r="J15" s="456">
        <v>37336</v>
      </c>
      <c r="K15" s="456"/>
      <c r="L15" s="478">
        <f>30+J15</f>
        <v>37366</v>
      </c>
      <c r="M15" s="460" t="s">
        <v>124</v>
      </c>
      <c r="N15" s="457" t="s">
        <v>42</v>
      </c>
      <c r="O15" s="457"/>
      <c r="P15" s="457"/>
      <c r="Q15" s="457"/>
      <c r="R15" s="457"/>
      <c r="S15" s="478">
        <v>37358</v>
      </c>
      <c r="T15" s="456">
        <v>37368</v>
      </c>
      <c r="U15" s="456"/>
      <c r="V15" s="457" t="s">
        <v>4676</v>
      </c>
      <c r="W15" s="479">
        <v>787</v>
      </c>
      <c r="X15" s="480"/>
      <c r="Y15" s="480"/>
      <c r="Z15" s="457">
        <v>6558378820</v>
      </c>
      <c r="AA15" s="484" t="s">
        <v>318</v>
      </c>
      <c r="AB15" s="479" t="s">
        <v>4677</v>
      </c>
      <c r="AC15" s="474" t="s">
        <v>4678</v>
      </c>
      <c r="AE15" s="412" t="str">
        <f>IF(T15&lt;=L15,"en término","atrasado")</f>
        <v>atrasado</v>
      </c>
    </row>
    <row r="18" spans="1:37" x14ac:dyDescent="0.2">
      <c r="AA18" s="44">
        <v>2002</v>
      </c>
    </row>
    <row r="19" spans="1:37" x14ac:dyDescent="0.2">
      <c r="AA19" s="24" t="s">
        <v>813</v>
      </c>
      <c r="AB19" s="3">
        <f>COUNTA(AE10:AE15)</f>
        <v>1</v>
      </c>
      <c r="AC19" s="2"/>
    </row>
    <row r="20" spans="1:37" x14ac:dyDescent="0.2">
      <c r="AA20" s="24" t="s">
        <v>815</v>
      </c>
      <c r="AB20" s="3">
        <f>COUNTIF(AE15:AE15,"en término")</f>
        <v>0</v>
      </c>
      <c r="AC20" s="2"/>
    </row>
    <row r="21" spans="1:37" ht="12" x14ac:dyDescent="0.2">
      <c r="AA21" s="24" t="s">
        <v>817</v>
      </c>
      <c r="AB21" s="201">
        <f>+AB20/AB19</f>
        <v>0</v>
      </c>
      <c r="AC21" s="2"/>
    </row>
    <row r="22" spans="1:37" ht="12" thickBot="1" x14ac:dyDescent="0.25"/>
    <row r="23" spans="1:37" s="556" customFormat="1" ht="39.950000000000003" customHeight="1" thickBot="1" x14ac:dyDescent="0.4">
      <c r="B23" s="1611">
        <v>2008</v>
      </c>
      <c r="C23" s="1612"/>
      <c r="D23" s="1612"/>
      <c r="E23" s="1612"/>
      <c r="F23" s="1612"/>
      <c r="G23" s="1612"/>
      <c r="H23" s="1612"/>
      <c r="I23" s="1612"/>
      <c r="J23" s="1612"/>
      <c r="K23" s="1612"/>
      <c r="L23" s="1612"/>
      <c r="M23" s="1612"/>
      <c r="N23" s="1612"/>
      <c r="O23" s="1612"/>
      <c r="P23" s="1612"/>
      <c r="Q23" s="1612"/>
      <c r="R23" s="1612"/>
      <c r="S23" s="1612"/>
      <c r="T23" s="1612"/>
      <c r="U23" s="1612"/>
      <c r="V23" s="1612"/>
      <c r="W23" s="1612"/>
      <c r="X23" s="1612"/>
      <c r="Y23" s="1612"/>
      <c r="Z23" s="1612"/>
      <c r="AA23" s="1612"/>
      <c r="AB23" s="1612"/>
      <c r="AC23" s="1613"/>
    </row>
    <row r="24" spans="1:37" s="441" customFormat="1" ht="60" customHeight="1" thickBot="1" x14ac:dyDescent="0.25">
      <c r="A24" s="438"/>
      <c r="B24" s="451" t="s">
        <v>130</v>
      </c>
      <c r="C24" s="451" t="s">
        <v>4</v>
      </c>
      <c r="D24" s="451" t="s">
        <v>5</v>
      </c>
      <c r="E24" s="451" t="s">
        <v>6</v>
      </c>
      <c r="F24" s="451" t="s">
        <v>7</v>
      </c>
      <c r="G24" s="451" t="s">
        <v>8</v>
      </c>
      <c r="H24" s="453" t="s">
        <v>9</v>
      </c>
      <c r="I24" s="453" t="s">
        <v>10</v>
      </c>
      <c r="J24" s="451" t="s">
        <v>11</v>
      </c>
      <c r="K24" s="451" t="s">
        <v>12</v>
      </c>
      <c r="L24" s="451" t="s">
        <v>13</v>
      </c>
      <c r="M24" s="451" t="s">
        <v>14</v>
      </c>
      <c r="N24" s="451" t="s">
        <v>15</v>
      </c>
      <c r="O24" s="452" t="s">
        <v>16</v>
      </c>
      <c r="P24" s="454" t="s">
        <v>17</v>
      </c>
      <c r="Q24" s="451"/>
      <c r="R24" s="452"/>
      <c r="S24" s="451" t="s">
        <v>4659</v>
      </c>
      <c r="T24" s="451" t="s">
        <v>4660</v>
      </c>
      <c r="U24" s="452" t="s">
        <v>22</v>
      </c>
      <c r="V24" s="451" t="s">
        <v>131</v>
      </c>
      <c r="W24" s="451" t="s">
        <v>24</v>
      </c>
      <c r="X24" s="451" t="s">
        <v>132</v>
      </c>
      <c r="Y24" s="451" t="s">
        <v>26</v>
      </c>
      <c r="Z24" s="451" t="s">
        <v>27</v>
      </c>
      <c r="AA24" s="451" t="s">
        <v>28</v>
      </c>
      <c r="AB24" s="451" t="s">
        <v>29</v>
      </c>
      <c r="AC24" s="451" t="s">
        <v>30</v>
      </c>
      <c r="AD24" s="439"/>
      <c r="AE24" s="440"/>
      <c r="AF24" s="440"/>
      <c r="AG24" s="440"/>
      <c r="AH24" s="440"/>
      <c r="AI24" s="440"/>
      <c r="AJ24" s="440"/>
      <c r="AK24" s="440"/>
    </row>
    <row r="25" spans="1:37" s="587" customFormat="1" ht="54.95" customHeight="1" thickBot="1" x14ac:dyDescent="0.25">
      <c r="A25" s="584"/>
      <c r="B25" s="585" t="s">
        <v>4661</v>
      </c>
      <c r="C25" s="455" t="s">
        <v>4679</v>
      </c>
      <c r="D25" s="456" t="s">
        <v>4680</v>
      </c>
      <c r="E25" s="456"/>
      <c r="F25" s="457">
        <v>8020001</v>
      </c>
      <c r="G25" s="457" t="s">
        <v>1535</v>
      </c>
      <c r="H25" s="458">
        <v>1081.8499999999999</v>
      </c>
      <c r="I25" s="611" t="s">
        <v>4681</v>
      </c>
      <c r="J25" s="460">
        <v>39479</v>
      </c>
      <c r="K25" s="461">
        <v>30</v>
      </c>
      <c r="L25" s="462">
        <f>+J25+K25</f>
        <v>39509</v>
      </c>
      <c r="M25" s="611" t="s">
        <v>4682</v>
      </c>
      <c r="N25" s="468" t="s">
        <v>110</v>
      </c>
      <c r="O25" s="460">
        <v>39507</v>
      </c>
      <c r="P25" s="461">
        <f>IF(S25="","",+S25-L25)</f>
        <v>12</v>
      </c>
      <c r="Q25" s="461"/>
      <c r="R25" s="460"/>
      <c r="S25" s="471">
        <v>39521</v>
      </c>
      <c r="T25" s="462">
        <v>39524</v>
      </c>
      <c r="U25" s="461"/>
      <c r="V25" s="468" t="s">
        <v>4683</v>
      </c>
      <c r="W25" s="457">
        <v>302</v>
      </c>
      <c r="X25" s="592"/>
      <c r="Y25" s="467"/>
      <c r="Z25" s="457" t="s">
        <v>4684</v>
      </c>
      <c r="AA25" s="456"/>
      <c r="AB25" s="473"/>
      <c r="AC25" s="470"/>
      <c r="AD25" s="586"/>
      <c r="AE25" s="645" t="str">
        <f>IF(P25="","",IF(P25&lt;=0,"en término","atrasado"))</f>
        <v>atrasado</v>
      </c>
    </row>
    <row r="26" spans="1:37" s="587" customFormat="1" ht="54.95" customHeight="1" thickBot="1" x14ac:dyDescent="0.25">
      <c r="A26" s="584"/>
      <c r="B26" s="455" t="s">
        <v>4661</v>
      </c>
      <c r="C26" s="455" t="s">
        <v>4679</v>
      </c>
      <c r="D26" s="456" t="s">
        <v>4685</v>
      </c>
      <c r="E26" s="456"/>
      <c r="F26" s="457">
        <v>8110004</v>
      </c>
      <c r="G26" s="457" t="s">
        <v>1535</v>
      </c>
      <c r="H26" s="458">
        <v>1750</v>
      </c>
      <c r="I26" s="459" t="s">
        <v>4681</v>
      </c>
      <c r="J26" s="460">
        <v>39766</v>
      </c>
      <c r="K26" s="461">
        <v>30</v>
      </c>
      <c r="L26" s="462">
        <f>+J26+K26</f>
        <v>39796</v>
      </c>
      <c r="M26" s="459" t="s">
        <v>4686</v>
      </c>
      <c r="N26" s="457" t="s">
        <v>110</v>
      </c>
      <c r="O26" s="460">
        <v>39794</v>
      </c>
      <c r="P26" s="461">
        <f>IF(S26="","",+S26-L26)</f>
        <v>29</v>
      </c>
      <c r="Q26" s="461"/>
      <c r="R26" s="460"/>
      <c r="S26" s="471">
        <v>39825</v>
      </c>
      <c r="T26" s="471">
        <f>+S26+10</f>
        <v>39835</v>
      </c>
      <c r="U26" s="461">
        <f>IF(T26="","",+T26-J26)</f>
        <v>69</v>
      </c>
      <c r="V26" s="468" t="s">
        <v>4683</v>
      </c>
      <c r="W26" s="457">
        <v>373</v>
      </c>
      <c r="X26" s="467"/>
      <c r="Y26" s="467"/>
      <c r="Z26" s="457" t="s">
        <v>1676</v>
      </c>
      <c r="AA26" s="456" t="s">
        <v>4687</v>
      </c>
      <c r="AB26" s="473"/>
      <c r="AC26" s="470"/>
      <c r="AD26" s="586"/>
      <c r="AE26" s="645" t="str">
        <f>IF(P26="","",IF(P26&lt;=0,"en término","atrasado"))</f>
        <v>atrasado</v>
      </c>
    </row>
    <row r="28" spans="1:37" x14ac:dyDescent="0.2">
      <c r="AA28" s="44">
        <v>2008</v>
      </c>
    </row>
    <row r="29" spans="1:37" x14ac:dyDescent="0.2">
      <c r="AA29" s="24" t="s">
        <v>813</v>
      </c>
      <c r="AB29" s="3">
        <f>COUNTA(AE25:AE26)</f>
        <v>2</v>
      </c>
    </row>
    <row r="30" spans="1:37" x14ac:dyDescent="0.2">
      <c r="AA30" s="24" t="s">
        <v>815</v>
      </c>
      <c r="AB30" s="3">
        <f>COUNTIF(AE25:AE26,"en término")</f>
        <v>0</v>
      </c>
    </row>
    <row r="31" spans="1:37" ht="12" x14ac:dyDescent="0.2">
      <c r="AA31" s="24" t="s">
        <v>817</v>
      </c>
      <c r="AB31" s="201">
        <f>+AB30/AB29</f>
        <v>0</v>
      </c>
    </row>
    <row r="34" spans="1:37" ht="12" thickBot="1" x14ac:dyDescent="0.25"/>
    <row r="35" spans="1:37" s="556" customFormat="1" ht="39.950000000000003" customHeight="1" thickBot="1" x14ac:dyDescent="0.4">
      <c r="B35" s="1611">
        <v>2014</v>
      </c>
      <c r="C35" s="1612"/>
      <c r="D35" s="1612"/>
      <c r="E35" s="1612"/>
      <c r="F35" s="1612"/>
      <c r="G35" s="1612"/>
      <c r="H35" s="1612"/>
      <c r="I35" s="1612"/>
      <c r="J35" s="1612"/>
      <c r="K35" s="1612"/>
      <c r="L35" s="1612"/>
      <c r="M35" s="1612"/>
      <c r="N35" s="1612"/>
      <c r="O35" s="1612"/>
      <c r="P35" s="1612"/>
      <c r="Q35" s="1612"/>
      <c r="R35" s="1612"/>
      <c r="S35" s="1612"/>
      <c r="T35" s="1612"/>
      <c r="U35" s="1612"/>
      <c r="V35" s="1612"/>
      <c r="W35" s="1612"/>
      <c r="X35" s="1612"/>
      <c r="Y35" s="1612"/>
      <c r="Z35" s="1612"/>
      <c r="AA35" s="1612"/>
      <c r="AB35" s="1612"/>
      <c r="AC35" s="1613"/>
      <c r="AD35" s="560"/>
    </row>
    <row r="36" spans="1:37" s="441" customFormat="1" ht="60" customHeight="1" thickBot="1" x14ac:dyDescent="0.25">
      <c r="A36" s="438"/>
      <c r="B36" s="451" t="s">
        <v>130</v>
      </c>
      <c r="C36" s="451" t="s">
        <v>4</v>
      </c>
      <c r="D36" s="451" t="s">
        <v>5</v>
      </c>
      <c r="E36" s="451" t="s">
        <v>6</v>
      </c>
      <c r="F36" s="451" t="s">
        <v>7</v>
      </c>
      <c r="G36" s="451" t="s">
        <v>8</v>
      </c>
      <c r="H36" s="453" t="s">
        <v>9</v>
      </c>
      <c r="I36" s="453" t="s">
        <v>10</v>
      </c>
      <c r="J36" s="451" t="s">
        <v>11</v>
      </c>
      <c r="K36" s="451" t="s">
        <v>12</v>
      </c>
      <c r="L36" s="451" t="s">
        <v>13</v>
      </c>
      <c r="M36" s="451" t="s">
        <v>14</v>
      </c>
      <c r="N36" s="451" t="s">
        <v>15</v>
      </c>
      <c r="O36" s="452" t="s">
        <v>16</v>
      </c>
      <c r="P36" s="454" t="s">
        <v>17</v>
      </c>
      <c r="Q36" s="451" t="s">
        <v>18</v>
      </c>
      <c r="R36" s="452" t="s">
        <v>19</v>
      </c>
      <c r="S36" s="451" t="s">
        <v>20</v>
      </c>
      <c r="T36" s="451" t="s">
        <v>21</v>
      </c>
      <c r="U36" s="452" t="s">
        <v>22</v>
      </c>
      <c r="V36" s="451" t="s">
        <v>131</v>
      </c>
      <c r="W36" s="451" t="s">
        <v>24</v>
      </c>
      <c r="X36" s="451" t="s">
        <v>132</v>
      </c>
      <c r="Y36" s="451" t="s">
        <v>26</v>
      </c>
      <c r="Z36" s="451" t="s">
        <v>27</v>
      </c>
      <c r="AA36" s="451" t="s">
        <v>28</v>
      </c>
      <c r="AB36" s="451" t="s">
        <v>29</v>
      </c>
      <c r="AC36" s="451" t="s">
        <v>30</v>
      </c>
      <c r="AD36" s="439"/>
      <c r="AE36" s="440"/>
      <c r="AF36" s="440"/>
      <c r="AG36" s="440"/>
      <c r="AH36" s="440"/>
      <c r="AI36" s="440"/>
      <c r="AJ36" s="440"/>
      <c r="AK36" s="440"/>
    </row>
    <row r="37" spans="1:37" s="587" customFormat="1" ht="54.95" customHeight="1" thickBot="1" x14ac:dyDescent="0.25">
      <c r="A37" s="649"/>
      <c r="B37" s="887" t="s">
        <v>4661</v>
      </c>
      <c r="C37" s="911" t="s">
        <v>4679</v>
      </c>
      <c r="D37" s="888" t="s">
        <v>4688</v>
      </c>
      <c r="E37" s="888"/>
      <c r="F37" s="889">
        <v>14060001</v>
      </c>
      <c r="G37" s="889" t="s">
        <v>1535</v>
      </c>
      <c r="H37" s="890">
        <v>3120</v>
      </c>
      <c r="I37" s="891" t="s">
        <v>4681</v>
      </c>
      <c r="J37" s="892">
        <v>41788</v>
      </c>
      <c r="K37" s="893">
        <v>40</v>
      </c>
      <c r="L37" s="894">
        <f>+J37+K37</f>
        <v>41828</v>
      </c>
      <c r="M37" s="891" t="s">
        <v>124</v>
      </c>
      <c r="N37" s="895" t="s">
        <v>4666</v>
      </c>
      <c r="O37" s="892">
        <v>41824</v>
      </c>
      <c r="P37" s="893">
        <f>IF(S37="","",+S37-L37)</f>
        <v>35</v>
      </c>
      <c r="Q37" s="893"/>
      <c r="R37" s="892"/>
      <c r="S37" s="896">
        <v>41863</v>
      </c>
      <c r="T37" s="894">
        <v>41869</v>
      </c>
      <c r="U37" s="893">
        <f>IF(T37="","",+T37-J37)</f>
        <v>81</v>
      </c>
      <c r="V37" s="895" t="s">
        <v>4689</v>
      </c>
      <c r="W37" s="897" t="s">
        <v>2291</v>
      </c>
      <c r="X37" s="905"/>
      <c r="Y37" s="905"/>
      <c r="Z37" s="895" t="s">
        <v>4690</v>
      </c>
      <c r="AA37" s="888" t="s">
        <v>3859</v>
      </c>
      <c r="AB37" s="892" t="s">
        <v>2941</v>
      </c>
      <c r="AC37" s="899" t="s">
        <v>4691</v>
      </c>
      <c r="AD37" s="649"/>
      <c r="AE37" s="645" t="str">
        <f>IF(P37="","",IF(P37&lt;=0,"en término","atrasado"))</f>
        <v>atrasado</v>
      </c>
      <c r="AF37" s="468"/>
      <c r="AG37" s="468" t="s">
        <v>2957</v>
      </c>
    </row>
    <row r="40" spans="1:37" x14ac:dyDescent="0.2">
      <c r="AA40" s="44">
        <v>2014</v>
      </c>
    </row>
    <row r="41" spans="1:37" x14ac:dyDescent="0.2">
      <c r="AA41" s="24" t="s">
        <v>813</v>
      </c>
      <c r="AB41" s="3">
        <f>COUNTA(AE37:AE38)</f>
        <v>1</v>
      </c>
    </row>
    <row r="42" spans="1:37" x14ac:dyDescent="0.2">
      <c r="AA42" s="24" t="s">
        <v>815</v>
      </c>
      <c r="AB42" s="3">
        <f>COUNTIF(AE37:AE38,"en término")</f>
        <v>0</v>
      </c>
    </row>
    <row r="43" spans="1:37" ht="12" x14ac:dyDescent="0.2">
      <c r="AA43" s="24" t="s">
        <v>817</v>
      </c>
      <c r="AB43" s="201">
        <f>+AB42/AB41</f>
        <v>0</v>
      </c>
    </row>
  </sheetData>
  <mergeCells count="4">
    <mergeCell ref="B5:AC5"/>
    <mergeCell ref="B13:AC13"/>
    <mergeCell ref="B23:AC23"/>
    <mergeCell ref="B35:AC35"/>
  </mergeCells>
  <phoneticPr fontId="0" type="noConversion"/>
  <printOptions horizontalCentered="1"/>
  <pageMargins left="0.19685039370078741" right="0.75" top="0.19685039370078741" bottom="0.55118110236220474" header="0" footer="0.19685039370078741"/>
  <pageSetup paperSize="5" scale="36" orientation="landscape" r:id="rId1"/>
  <headerFooter alignWithMargins="0">
    <oddFooter>&amp;LBNDF 3.1085 Rev. _ 3/11/00&amp;CINFORME O/C ENTREGADAS
&amp;8- &amp;D&amp;R
&amp;"Tahoma,Normal"&amp;9Bolivia &amp;P de &amp;N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9"/>
  <dimension ref="A1:AK197"/>
  <sheetViews>
    <sheetView topLeftCell="H194" zoomScaleNormal="100" workbookViewId="0">
      <selection activeCell="B8" sqref="B8:AC8"/>
    </sheetView>
  </sheetViews>
  <sheetFormatPr baseColWidth="10" defaultColWidth="11.42578125" defaultRowHeight="12.75" x14ac:dyDescent="0.2"/>
  <cols>
    <col min="2" max="2" width="11" style="323" customWidth="1"/>
    <col min="3" max="3" width="22.28515625" customWidth="1"/>
    <col min="4" max="4" width="10.42578125" customWidth="1"/>
    <col min="5" max="5" width="24.28515625" customWidth="1"/>
    <col min="6" max="6" width="21.5703125" customWidth="1"/>
    <col min="8" max="8" width="11.28515625" customWidth="1"/>
    <col min="9" max="9" width="10.5703125" customWidth="1"/>
    <col min="10" max="10" width="12.7109375" customWidth="1"/>
    <col min="11" max="11" width="9.42578125" customWidth="1"/>
    <col min="12" max="12" width="14.5703125" customWidth="1"/>
    <col min="13" max="13" width="16.7109375" customWidth="1"/>
    <col min="14" max="14" width="15.5703125" customWidth="1"/>
    <col min="15" max="15" width="14.140625" customWidth="1"/>
    <col min="16" max="16" width="11.140625" customWidth="1"/>
    <col min="17" max="17" width="14.7109375" customWidth="1"/>
    <col min="18" max="18" width="17.5703125" customWidth="1"/>
    <col min="19" max="19" width="16.5703125" style="323" customWidth="1"/>
    <col min="20" max="20" width="16" customWidth="1"/>
    <col min="21" max="21" width="11" customWidth="1"/>
    <col min="22" max="22" width="32" customWidth="1"/>
    <col min="23" max="23" width="10.140625" customWidth="1"/>
    <col min="24" max="24" width="13.140625" customWidth="1"/>
    <col min="25" max="25" width="10.42578125" customWidth="1"/>
    <col min="26" max="26" width="14.28515625" customWidth="1"/>
    <col min="27" max="27" width="16.42578125" customWidth="1"/>
    <col min="28" max="28" width="12.28515625" customWidth="1"/>
    <col min="29" max="29" width="68.85546875" customWidth="1"/>
  </cols>
  <sheetData>
    <row r="1" spans="1:36" s="2" customFormat="1" ht="25.5" x14ac:dyDescent="0.35">
      <c r="B1" s="558" t="s">
        <v>126</v>
      </c>
      <c r="D1" s="41"/>
      <c r="E1" s="41"/>
      <c r="F1" s="3"/>
      <c r="G1" s="3"/>
      <c r="I1" s="3"/>
      <c r="S1" s="310"/>
      <c r="X1" s="3"/>
      <c r="Y1" s="3"/>
      <c r="Z1" s="945" t="s">
        <v>127</v>
      </c>
      <c r="AA1" s="1058">
        <f ca="1">TODAY()</f>
        <v>45457</v>
      </c>
      <c r="AB1" s="3"/>
      <c r="AC1" s="3"/>
    </row>
    <row r="2" spans="1:36" s="2" customFormat="1" ht="23.25" x14ac:dyDescent="0.35">
      <c r="B2" s="559" t="s">
        <v>128</v>
      </c>
      <c r="D2" s="41"/>
      <c r="E2" s="41"/>
      <c r="F2" s="3"/>
      <c r="G2" s="3"/>
      <c r="I2" s="3"/>
      <c r="S2" s="310"/>
      <c r="W2" s="3"/>
      <c r="X2" s="3"/>
      <c r="Y2" s="3"/>
      <c r="AB2" s="3"/>
      <c r="AC2" s="3"/>
    </row>
    <row r="3" spans="1:36" s="2" customFormat="1" ht="6" customHeight="1" x14ac:dyDescent="0.2">
      <c r="B3" s="310"/>
      <c r="D3" s="41"/>
      <c r="E3" s="41"/>
      <c r="F3" s="3"/>
      <c r="G3" s="3"/>
      <c r="I3" s="3"/>
      <c r="S3" s="310"/>
      <c r="W3" s="3"/>
      <c r="X3" s="3"/>
      <c r="Y3" s="3"/>
      <c r="AB3" s="3"/>
      <c r="AC3" s="3"/>
    </row>
    <row r="4" spans="1:36" s="2" customFormat="1" ht="6" customHeight="1" x14ac:dyDescent="0.2">
      <c r="B4" s="310"/>
      <c r="D4" s="41"/>
      <c r="E4" s="41"/>
      <c r="F4" s="3"/>
      <c r="G4" s="3"/>
      <c r="I4" s="3"/>
      <c r="S4" s="310"/>
      <c r="W4" s="3"/>
      <c r="X4" s="3"/>
      <c r="Y4" s="3"/>
      <c r="AB4" s="3"/>
      <c r="AC4" s="3"/>
    </row>
    <row r="5" spans="1:36" s="2" customFormat="1" ht="11.25" x14ac:dyDescent="0.2">
      <c r="B5" s="310"/>
      <c r="D5" s="41"/>
      <c r="E5" s="41"/>
      <c r="F5" s="3"/>
      <c r="G5" s="3"/>
      <c r="I5" s="3"/>
      <c r="S5" s="310"/>
      <c r="W5" s="3"/>
      <c r="X5" s="3"/>
      <c r="Y5" s="3"/>
      <c r="AB5" s="3"/>
      <c r="AC5" s="3"/>
    </row>
    <row r="6" spans="1:36" s="9" customFormat="1" ht="12" thickBot="1" x14ac:dyDescent="0.25">
      <c r="B6" s="311"/>
      <c r="D6" s="42"/>
      <c r="E6" s="42"/>
      <c r="F6" s="10"/>
      <c r="G6" s="10"/>
      <c r="I6" s="10"/>
      <c r="S6" s="311"/>
      <c r="W6" s="10"/>
      <c r="X6" s="10"/>
      <c r="Y6" s="10"/>
      <c r="AB6" s="10"/>
      <c r="AC6" s="10"/>
    </row>
    <row r="7" spans="1:36" s="556" customFormat="1" ht="39.950000000000003" customHeight="1" thickBot="1" x14ac:dyDescent="0.4">
      <c r="B7" s="1611">
        <v>1999</v>
      </c>
      <c r="C7" s="1612"/>
      <c r="D7" s="1612"/>
      <c r="E7" s="1612"/>
      <c r="F7" s="1612"/>
      <c r="G7" s="1612"/>
      <c r="H7" s="1612"/>
      <c r="I7" s="1612"/>
      <c r="J7" s="1612"/>
      <c r="K7" s="1612"/>
      <c r="L7" s="1612"/>
      <c r="M7" s="1612"/>
      <c r="N7" s="1612"/>
      <c r="O7" s="1612"/>
      <c r="P7" s="1612"/>
      <c r="Q7" s="1612"/>
      <c r="R7" s="1612"/>
      <c r="S7" s="1612"/>
      <c r="T7" s="1612"/>
      <c r="U7" s="1612"/>
      <c r="V7" s="1612"/>
      <c r="W7" s="1612"/>
      <c r="X7" s="1612"/>
      <c r="Y7" s="1612"/>
      <c r="Z7" s="1612"/>
      <c r="AA7" s="1612"/>
      <c r="AB7" s="1612"/>
      <c r="AC7" s="1613"/>
      <c r="AD7" s="555"/>
    </row>
    <row r="8" spans="1:36" s="441" customFormat="1" ht="60" customHeight="1" thickBot="1" x14ac:dyDescent="0.25">
      <c r="A8" s="438"/>
      <c r="B8" s="451" t="s">
        <v>130</v>
      </c>
      <c r="C8" s="451" t="s">
        <v>4</v>
      </c>
      <c r="D8" s="451" t="s">
        <v>5</v>
      </c>
      <c r="E8" s="451" t="s">
        <v>6</v>
      </c>
      <c r="F8" s="451" t="s">
        <v>7</v>
      </c>
      <c r="G8" s="451" t="s">
        <v>8</v>
      </c>
      <c r="H8" s="453" t="s">
        <v>9</v>
      </c>
      <c r="I8" s="453" t="s">
        <v>10</v>
      </c>
      <c r="J8" s="451" t="s">
        <v>11</v>
      </c>
      <c r="K8" s="451" t="s">
        <v>12</v>
      </c>
      <c r="L8" s="451" t="s">
        <v>13</v>
      </c>
      <c r="M8" s="451" t="s">
        <v>14</v>
      </c>
      <c r="N8" s="451" t="s">
        <v>15</v>
      </c>
      <c r="O8" s="452" t="s">
        <v>16</v>
      </c>
      <c r="P8" s="454" t="s">
        <v>17</v>
      </c>
      <c r="Q8" s="451"/>
      <c r="R8" s="452"/>
      <c r="S8" s="451" t="s">
        <v>4659</v>
      </c>
      <c r="T8" s="451" t="s">
        <v>4660</v>
      </c>
      <c r="U8" s="452" t="s">
        <v>22</v>
      </c>
      <c r="V8" s="451" t="s">
        <v>131</v>
      </c>
      <c r="W8" s="451" t="s">
        <v>24</v>
      </c>
      <c r="X8" s="451" t="s">
        <v>132</v>
      </c>
      <c r="Y8" s="451" t="s">
        <v>26</v>
      </c>
      <c r="Z8" s="451" t="s">
        <v>27</v>
      </c>
      <c r="AA8" s="451" t="s">
        <v>28</v>
      </c>
      <c r="AB8" s="451" t="s">
        <v>29</v>
      </c>
      <c r="AC8" s="451" t="s">
        <v>30</v>
      </c>
      <c r="AD8" s="439"/>
      <c r="AE8" s="440"/>
      <c r="AF8" s="440"/>
      <c r="AG8" s="440"/>
      <c r="AH8" s="440"/>
      <c r="AI8" s="440"/>
      <c r="AJ8" s="440"/>
    </row>
    <row r="9" spans="1:36" s="76" customFormat="1" ht="54.95" customHeight="1" thickBot="1" x14ac:dyDescent="0.25">
      <c r="B9" s="455" t="s">
        <v>114</v>
      </c>
      <c r="C9" s="455" t="s">
        <v>115</v>
      </c>
      <c r="D9" s="456" t="s">
        <v>4692</v>
      </c>
      <c r="E9" s="456"/>
      <c r="F9" s="457" t="s">
        <v>4693</v>
      </c>
      <c r="G9" s="457"/>
      <c r="H9" s="458">
        <v>24875</v>
      </c>
      <c r="I9" s="459"/>
      <c r="J9" s="456">
        <v>36439</v>
      </c>
      <c r="K9" s="456"/>
      <c r="L9" s="478">
        <v>36470</v>
      </c>
      <c r="M9" s="460" t="s">
        <v>135</v>
      </c>
      <c r="N9" s="457" t="s">
        <v>42</v>
      </c>
      <c r="O9" s="457"/>
      <c r="P9" s="457"/>
      <c r="Q9" s="457"/>
      <c r="R9" s="456" t="s">
        <v>270</v>
      </c>
      <c r="S9" s="456">
        <v>36470</v>
      </c>
      <c r="T9" s="456">
        <v>36482</v>
      </c>
      <c r="U9" s="456"/>
      <c r="V9" s="468" t="s">
        <v>4694</v>
      </c>
      <c r="W9" s="479">
        <v>538</v>
      </c>
      <c r="X9" s="480"/>
      <c r="Y9" s="479" t="s">
        <v>4695</v>
      </c>
      <c r="Z9" s="457">
        <v>6582985113</v>
      </c>
      <c r="AA9" s="479" t="s">
        <v>318</v>
      </c>
      <c r="AB9" s="479"/>
      <c r="AC9" s="479"/>
    </row>
    <row r="10" spans="1:36" s="9" customFormat="1" ht="12" thickBot="1" x14ac:dyDescent="0.25">
      <c r="B10" s="311"/>
      <c r="D10" s="42"/>
      <c r="E10" s="42"/>
      <c r="F10" s="10"/>
      <c r="G10" s="10"/>
      <c r="I10" s="10"/>
      <c r="S10" s="311"/>
      <c r="W10" s="10"/>
      <c r="X10" s="10"/>
      <c r="Y10" s="10"/>
      <c r="AB10" s="10"/>
      <c r="AC10" s="10"/>
    </row>
    <row r="11" spans="1:36" s="556" customFormat="1" ht="39.950000000000003" customHeight="1" thickBot="1" x14ac:dyDescent="0.4">
      <c r="B11" s="1611">
        <v>2001</v>
      </c>
      <c r="C11" s="1612"/>
      <c r="D11" s="1612"/>
      <c r="E11" s="1612"/>
      <c r="F11" s="1612"/>
      <c r="G11" s="1612"/>
      <c r="H11" s="1612"/>
      <c r="I11" s="1612"/>
      <c r="J11" s="1612"/>
      <c r="K11" s="1612"/>
      <c r="L11" s="1612"/>
      <c r="M11" s="1612"/>
      <c r="N11" s="1612"/>
      <c r="O11" s="1612"/>
      <c r="P11" s="1612"/>
      <c r="Q11" s="1612"/>
      <c r="R11" s="1612"/>
      <c r="S11" s="1612"/>
      <c r="T11" s="1612"/>
      <c r="U11" s="1612"/>
      <c r="V11" s="1612"/>
      <c r="W11" s="1612"/>
      <c r="X11" s="1612"/>
      <c r="Y11" s="1612"/>
      <c r="Z11" s="1612"/>
      <c r="AA11" s="1612"/>
      <c r="AB11" s="1612"/>
      <c r="AC11" s="1613"/>
      <c r="AD11" s="555"/>
    </row>
    <row r="12" spans="1:36" s="441" customFormat="1" ht="60" customHeight="1" thickBot="1" x14ac:dyDescent="0.25">
      <c r="A12" s="438"/>
      <c r="B12" s="451" t="s">
        <v>130</v>
      </c>
      <c r="C12" s="451" t="s">
        <v>4</v>
      </c>
      <c r="D12" s="451" t="s">
        <v>5</v>
      </c>
      <c r="E12" s="451" t="s">
        <v>6</v>
      </c>
      <c r="F12" s="451" t="s">
        <v>7</v>
      </c>
      <c r="G12" s="451" t="s">
        <v>8</v>
      </c>
      <c r="H12" s="453" t="s">
        <v>9</v>
      </c>
      <c r="I12" s="453" t="s">
        <v>10</v>
      </c>
      <c r="J12" s="451" t="s">
        <v>11</v>
      </c>
      <c r="K12" s="451" t="s">
        <v>12</v>
      </c>
      <c r="L12" s="451" t="s">
        <v>13</v>
      </c>
      <c r="M12" s="451" t="s">
        <v>14</v>
      </c>
      <c r="N12" s="451" t="s">
        <v>15</v>
      </c>
      <c r="O12" s="452" t="s">
        <v>16</v>
      </c>
      <c r="P12" s="454" t="s">
        <v>17</v>
      </c>
      <c r="Q12" s="451"/>
      <c r="R12" s="452"/>
      <c r="S12" s="451" t="s">
        <v>4659</v>
      </c>
      <c r="T12" s="451" t="s">
        <v>4660</v>
      </c>
      <c r="U12" s="452" t="s">
        <v>22</v>
      </c>
      <c r="V12" s="451" t="s">
        <v>131</v>
      </c>
      <c r="W12" s="451" t="s">
        <v>24</v>
      </c>
      <c r="X12" s="451" t="s">
        <v>132</v>
      </c>
      <c r="Y12" s="451" t="s">
        <v>26</v>
      </c>
      <c r="Z12" s="451" t="s">
        <v>27</v>
      </c>
      <c r="AA12" s="451" t="s">
        <v>28</v>
      </c>
      <c r="AB12" s="451" t="s">
        <v>29</v>
      </c>
      <c r="AC12" s="451" t="s">
        <v>30</v>
      </c>
      <c r="AD12" s="439"/>
      <c r="AE12" s="440"/>
      <c r="AF12" s="440"/>
      <c r="AG12" s="440"/>
      <c r="AH12" s="440"/>
      <c r="AI12" s="440"/>
      <c r="AJ12" s="440"/>
    </row>
    <row r="13" spans="1:36" s="9" customFormat="1" ht="54.95" customHeight="1" thickBot="1" x14ac:dyDescent="0.25">
      <c r="B13" s="455" t="s">
        <v>114</v>
      </c>
      <c r="C13" s="455" t="s">
        <v>115</v>
      </c>
      <c r="D13" s="457" t="s">
        <v>4696</v>
      </c>
      <c r="E13" s="457"/>
      <c r="F13" s="457" t="s">
        <v>4697</v>
      </c>
      <c r="G13" s="457"/>
      <c r="H13" s="485">
        <v>7990</v>
      </c>
      <c r="I13" s="459"/>
      <c r="J13" s="456">
        <v>37155</v>
      </c>
      <c r="K13" s="456"/>
      <c r="L13" s="486">
        <v>37203</v>
      </c>
      <c r="M13" s="457" t="s">
        <v>4090</v>
      </c>
      <c r="N13" s="457" t="s">
        <v>110</v>
      </c>
      <c r="O13" s="487"/>
      <c r="P13" s="487"/>
      <c r="Q13" s="487"/>
      <c r="R13" s="457" t="s">
        <v>647</v>
      </c>
      <c r="S13" s="456">
        <v>37183</v>
      </c>
      <c r="T13" s="456">
        <v>37199</v>
      </c>
      <c r="U13" s="456"/>
      <c r="V13" s="481" t="s">
        <v>4698</v>
      </c>
      <c r="W13" s="455">
        <v>765</v>
      </c>
      <c r="X13" s="482"/>
      <c r="Y13" s="482"/>
      <c r="Z13" s="468" t="s">
        <v>4699</v>
      </c>
      <c r="AA13" s="455"/>
      <c r="AB13" s="457" t="s">
        <v>47</v>
      </c>
      <c r="AC13" s="457"/>
    </row>
    <row r="15" spans="1:36" ht="13.5" thickBot="1" x14ac:dyDescent="0.25"/>
    <row r="16" spans="1:36" s="556" customFormat="1" ht="39.950000000000003" customHeight="1" thickBot="1" x14ac:dyDescent="0.4">
      <c r="B16" s="1611">
        <v>2002</v>
      </c>
      <c r="C16" s="1612"/>
      <c r="D16" s="1612"/>
      <c r="E16" s="1612"/>
      <c r="F16" s="1612"/>
      <c r="G16" s="1612"/>
      <c r="H16" s="1612"/>
      <c r="I16" s="1612"/>
      <c r="J16" s="1612"/>
      <c r="K16" s="1612"/>
      <c r="L16" s="1612"/>
      <c r="M16" s="1612"/>
      <c r="N16" s="1612"/>
      <c r="O16" s="1612"/>
      <c r="P16" s="1612"/>
      <c r="Q16" s="1612"/>
      <c r="R16" s="1612"/>
      <c r="S16" s="1612"/>
      <c r="T16" s="1612"/>
      <c r="U16" s="1612"/>
      <c r="V16" s="1612"/>
      <c r="W16" s="1612"/>
      <c r="X16" s="1612"/>
      <c r="Y16" s="1612"/>
      <c r="Z16" s="1612"/>
      <c r="AA16" s="1612"/>
      <c r="AB16" s="1612"/>
      <c r="AC16" s="1613"/>
      <c r="AD16" s="555"/>
    </row>
    <row r="17" spans="1:36" s="441" customFormat="1" ht="60" customHeight="1" thickBot="1" x14ac:dyDescent="0.25">
      <c r="A17" s="438"/>
      <c r="B17" s="451" t="s">
        <v>130</v>
      </c>
      <c r="C17" s="451" t="s">
        <v>4</v>
      </c>
      <c r="D17" s="451" t="s">
        <v>5</v>
      </c>
      <c r="E17" s="451" t="s">
        <v>6</v>
      </c>
      <c r="F17" s="451" t="s">
        <v>7</v>
      </c>
      <c r="G17" s="451" t="s">
        <v>8</v>
      </c>
      <c r="H17" s="453" t="s">
        <v>9</v>
      </c>
      <c r="I17" s="453" t="s">
        <v>10</v>
      </c>
      <c r="J17" s="451" t="s">
        <v>11</v>
      </c>
      <c r="K17" s="451" t="s">
        <v>12</v>
      </c>
      <c r="L17" s="451" t="s">
        <v>13</v>
      </c>
      <c r="M17" s="451" t="s">
        <v>14</v>
      </c>
      <c r="N17" s="451" t="s">
        <v>15</v>
      </c>
      <c r="O17" s="452" t="s">
        <v>16</v>
      </c>
      <c r="P17" s="454" t="s">
        <v>17</v>
      </c>
      <c r="Q17" s="451" t="s">
        <v>18</v>
      </c>
      <c r="R17" s="452" t="s">
        <v>19</v>
      </c>
      <c r="S17" s="451" t="s">
        <v>20</v>
      </c>
      <c r="T17" s="451" t="s">
        <v>21</v>
      </c>
      <c r="U17" s="452" t="s">
        <v>22</v>
      </c>
      <c r="V17" s="451" t="s">
        <v>131</v>
      </c>
      <c r="W17" s="451" t="s">
        <v>24</v>
      </c>
      <c r="X17" s="451" t="s">
        <v>132</v>
      </c>
      <c r="Y17" s="451" t="s">
        <v>26</v>
      </c>
      <c r="Z17" s="451" t="s">
        <v>27</v>
      </c>
      <c r="AA17" s="451" t="s">
        <v>28</v>
      </c>
      <c r="AB17" s="451" t="s">
        <v>29</v>
      </c>
      <c r="AC17" s="451" t="s">
        <v>30</v>
      </c>
      <c r="AD17" s="439"/>
      <c r="AE17" s="440"/>
      <c r="AF17" s="440"/>
      <c r="AG17" s="440"/>
      <c r="AH17" s="440"/>
      <c r="AI17" s="440"/>
      <c r="AJ17" s="440"/>
    </row>
    <row r="18" spans="1:36" s="76" customFormat="1" ht="54.95" customHeight="1" thickBot="1" x14ac:dyDescent="0.25">
      <c r="B18" s="455" t="s">
        <v>114</v>
      </c>
      <c r="C18" s="455" t="s">
        <v>115</v>
      </c>
      <c r="D18" s="457" t="s">
        <v>4700</v>
      </c>
      <c r="E18" s="457"/>
      <c r="F18" s="457" t="s">
        <v>4701</v>
      </c>
      <c r="G18" s="457"/>
      <c r="H18" s="458">
        <v>3070</v>
      </c>
      <c r="I18" s="459" t="s">
        <v>114</v>
      </c>
      <c r="J18" s="456">
        <v>37545</v>
      </c>
      <c r="K18" s="456"/>
      <c r="L18" s="478">
        <f>7+J18</f>
        <v>37552</v>
      </c>
      <c r="M18" s="460" t="s">
        <v>124</v>
      </c>
      <c r="N18" s="457" t="s">
        <v>110</v>
      </c>
      <c r="O18" s="456">
        <v>37545</v>
      </c>
      <c r="P18" s="457"/>
      <c r="Q18" s="457"/>
      <c r="R18" s="456">
        <v>37554</v>
      </c>
      <c r="S18" s="478">
        <v>37557</v>
      </c>
      <c r="T18" s="478"/>
      <c r="U18" s="478"/>
      <c r="V18" s="481" t="s">
        <v>4702</v>
      </c>
      <c r="W18" s="479">
        <v>831</v>
      </c>
      <c r="X18" s="480"/>
      <c r="Y18" s="480"/>
      <c r="Z18" s="468" t="s">
        <v>4703</v>
      </c>
      <c r="AA18" s="484"/>
      <c r="AB18" s="479" t="s">
        <v>47</v>
      </c>
      <c r="AC18" s="479"/>
      <c r="AD18" s="10" t="str">
        <f>IF(T18&lt;=L18,"en término","atrasado")</f>
        <v>en término</v>
      </c>
    </row>
    <row r="19" spans="1:36" s="76" customFormat="1" ht="54.95" customHeight="1" thickBot="1" x14ac:dyDescent="0.25">
      <c r="B19" s="455" t="s">
        <v>114</v>
      </c>
      <c r="C19" s="455" t="s">
        <v>4704</v>
      </c>
      <c r="D19" s="457" t="s">
        <v>4705</v>
      </c>
      <c r="E19" s="457"/>
      <c r="F19" s="457" t="s">
        <v>4706</v>
      </c>
      <c r="G19" s="457"/>
      <c r="H19" s="458">
        <v>2970</v>
      </c>
      <c r="I19" s="459" t="s">
        <v>114</v>
      </c>
      <c r="J19" s="456">
        <v>37586</v>
      </c>
      <c r="K19" s="456"/>
      <c r="L19" s="478">
        <f>15+J19</f>
        <v>37601</v>
      </c>
      <c r="M19" s="460" t="s">
        <v>124</v>
      </c>
      <c r="N19" s="457" t="s">
        <v>110</v>
      </c>
      <c r="O19" s="456">
        <v>37596</v>
      </c>
      <c r="P19" s="457"/>
      <c r="Q19" s="457"/>
      <c r="R19" s="457"/>
      <c r="S19" s="478">
        <v>37601</v>
      </c>
      <c r="T19" s="456">
        <v>37610</v>
      </c>
      <c r="U19" s="456"/>
      <c r="V19" s="488" t="s">
        <v>4707</v>
      </c>
      <c r="W19" s="479">
        <v>844</v>
      </c>
      <c r="X19" s="480"/>
      <c r="Y19" s="480"/>
      <c r="Z19" s="457" t="s">
        <v>1708</v>
      </c>
      <c r="AA19" s="484"/>
      <c r="AB19" s="479" t="s">
        <v>47</v>
      </c>
      <c r="AC19" s="474" t="s">
        <v>4708</v>
      </c>
      <c r="AD19" s="10" t="str">
        <f>IF(T19&lt;=L19,"en término","atrasado")</f>
        <v>atrasado</v>
      </c>
    </row>
    <row r="20" spans="1:36" s="98" customFormat="1" ht="11.25" x14ac:dyDescent="0.2">
      <c r="B20" s="315"/>
      <c r="C20" s="28"/>
      <c r="D20" s="30"/>
      <c r="E20" s="30"/>
      <c r="F20" s="30"/>
      <c r="G20" s="30"/>
      <c r="H20" s="116"/>
      <c r="I20" s="31"/>
      <c r="J20" s="48"/>
      <c r="K20" s="48"/>
      <c r="L20" s="140"/>
      <c r="M20" s="30"/>
      <c r="N20" s="30"/>
      <c r="O20" s="30"/>
      <c r="P20" s="30"/>
      <c r="Q20" s="30"/>
      <c r="R20" s="30"/>
      <c r="S20" s="219"/>
      <c r="T20" s="29"/>
      <c r="U20" s="29"/>
      <c r="V20" s="226"/>
      <c r="W20" s="99"/>
      <c r="X20" s="99"/>
      <c r="Y20" s="99"/>
      <c r="Z20" s="120"/>
      <c r="AA20" s="99"/>
      <c r="AB20" s="99"/>
      <c r="AC20" s="99"/>
    </row>
    <row r="21" spans="1:36" s="98" customFormat="1" x14ac:dyDescent="0.2">
      <c r="B21" s="315"/>
      <c r="C21" s="28"/>
      <c r="D21" s="30"/>
      <c r="E21" s="30"/>
      <c r="F21" s="30"/>
      <c r="G21" s="30"/>
      <c r="H21" s="116"/>
      <c r="I21" s="31"/>
      <c r="J21" s="48"/>
      <c r="K21" s="48"/>
      <c r="L21" s="140"/>
      <c r="M21" s="30"/>
      <c r="N21" s="30"/>
      <c r="O21" s="30"/>
      <c r="P21" s="30"/>
      <c r="Q21" s="30"/>
      <c r="R21" s="30"/>
      <c r="S21" s="219"/>
      <c r="T21" s="29"/>
      <c r="U21" s="29"/>
      <c r="V21" s="226"/>
      <c r="W21" s="99"/>
      <c r="X21" s="99"/>
      <c r="Y21" s="99"/>
      <c r="Z21" s="120"/>
      <c r="AA21" s="568">
        <v>2002</v>
      </c>
      <c r="AB21" s="569"/>
      <c r="AC21" s="99"/>
    </row>
    <row r="22" spans="1:36" s="98" customFormat="1" x14ac:dyDescent="0.2">
      <c r="B22" s="315"/>
      <c r="C22" s="28"/>
      <c r="D22" s="30"/>
      <c r="E22" s="30"/>
      <c r="F22" s="30"/>
      <c r="G22" s="30"/>
      <c r="H22" s="116"/>
      <c r="I22" s="31"/>
      <c r="J22" s="48"/>
      <c r="K22" s="48"/>
      <c r="L22" s="140"/>
      <c r="M22" s="30"/>
      <c r="N22" s="30"/>
      <c r="O22" s="30"/>
      <c r="P22" s="30"/>
      <c r="Q22" s="30"/>
      <c r="R22" s="30"/>
      <c r="S22" s="219"/>
      <c r="T22" s="29"/>
      <c r="U22" s="29"/>
      <c r="V22" s="226"/>
      <c r="W22" s="99"/>
      <c r="X22" s="99"/>
      <c r="Y22" s="99"/>
      <c r="Z22" s="120"/>
      <c r="AA22" s="945" t="s">
        <v>813</v>
      </c>
      <c r="AB22" s="1048">
        <f>COUNTA(AD18:AD19)</f>
        <v>2</v>
      </c>
    </row>
    <row r="23" spans="1:36" s="98" customFormat="1" x14ac:dyDescent="0.2">
      <c r="B23" s="315"/>
      <c r="C23" s="28"/>
      <c r="D23" s="30"/>
      <c r="E23" s="30"/>
      <c r="F23" s="30"/>
      <c r="G23" s="30"/>
      <c r="H23" s="116"/>
      <c r="I23" s="31"/>
      <c r="J23" s="48"/>
      <c r="K23" s="48"/>
      <c r="L23" s="140"/>
      <c r="M23" s="30"/>
      <c r="N23" s="30"/>
      <c r="O23" s="30"/>
      <c r="P23" s="30"/>
      <c r="Q23" s="30"/>
      <c r="R23" s="30"/>
      <c r="S23" s="219"/>
      <c r="T23" s="29"/>
      <c r="U23" s="29"/>
      <c r="V23" s="226"/>
      <c r="W23" s="99"/>
      <c r="X23" s="99"/>
      <c r="Y23" s="99"/>
      <c r="Z23" s="120"/>
      <c r="AA23" s="945" t="s">
        <v>4709</v>
      </c>
      <c r="AB23" s="1048">
        <f>COUNTIF(AD18:AD19,"en término")</f>
        <v>1</v>
      </c>
    </row>
    <row r="24" spans="1:36" s="98" customFormat="1" x14ac:dyDescent="0.2">
      <c r="B24" s="315"/>
      <c r="C24" s="28"/>
      <c r="D24" s="30"/>
      <c r="E24" s="30"/>
      <c r="F24" s="30"/>
      <c r="G24" s="30"/>
      <c r="H24" s="116"/>
      <c r="I24" s="31"/>
      <c r="J24" s="48"/>
      <c r="K24" s="48"/>
      <c r="L24" s="140"/>
      <c r="M24" s="30"/>
      <c r="N24" s="30"/>
      <c r="O24" s="30"/>
      <c r="P24" s="30"/>
      <c r="Q24" s="30"/>
      <c r="R24" s="30"/>
      <c r="S24" s="219"/>
      <c r="T24" s="29"/>
      <c r="U24" s="29"/>
      <c r="V24" s="226"/>
      <c r="W24" s="99"/>
      <c r="X24" s="99"/>
      <c r="Y24" s="99"/>
      <c r="Z24" s="120"/>
      <c r="AA24" s="945" t="s">
        <v>817</v>
      </c>
      <c r="AB24" s="557">
        <f>+AB23/AB22</f>
        <v>0.5</v>
      </c>
    </row>
    <row r="25" spans="1:36" s="98" customFormat="1" ht="12" thickBot="1" x14ac:dyDescent="0.25">
      <c r="B25" s="324"/>
      <c r="C25" s="49"/>
      <c r="D25" s="50"/>
      <c r="E25" s="50"/>
      <c r="F25" s="50"/>
      <c r="G25" s="50"/>
      <c r="H25" s="247"/>
      <c r="I25" s="52"/>
      <c r="J25" s="54"/>
      <c r="K25" s="54"/>
      <c r="L25" s="248"/>
      <c r="M25" s="50"/>
      <c r="N25" s="50"/>
      <c r="O25" s="50"/>
      <c r="P25" s="50"/>
      <c r="Q25" s="50"/>
      <c r="R25" s="50"/>
      <c r="S25" s="249"/>
      <c r="T25" s="124"/>
      <c r="U25" s="124"/>
      <c r="V25" s="254"/>
      <c r="W25" s="229"/>
      <c r="X25" s="229"/>
      <c r="Y25" s="229"/>
      <c r="Z25" s="252"/>
      <c r="AA25" s="229"/>
      <c r="AB25" s="229"/>
      <c r="AC25" s="229"/>
    </row>
    <row r="26" spans="1:36" s="556" customFormat="1" ht="39.950000000000003" customHeight="1" thickBot="1" x14ac:dyDescent="0.4">
      <c r="B26" s="1611">
        <v>2003</v>
      </c>
      <c r="C26" s="1612"/>
      <c r="D26" s="1612"/>
      <c r="E26" s="1612"/>
      <c r="F26" s="1612"/>
      <c r="G26" s="1612"/>
      <c r="H26" s="1612"/>
      <c r="I26" s="1612"/>
      <c r="J26" s="1612"/>
      <c r="K26" s="1612"/>
      <c r="L26" s="1612"/>
      <c r="M26" s="1612"/>
      <c r="N26" s="1612"/>
      <c r="O26" s="1612"/>
      <c r="P26" s="1612"/>
      <c r="Q26" s="1612"/>
      <c r="R26" s="1612"/>
      <c r="S26" s="1612"/>
      <c r="T26" s="1612"/>
      <c r="U26" s="1612"/>
      <c r="V26" s="1612"/>
      <c r="W26" s="1612"/>
      <c r="X26" s="1612"/>
      <c r="Y26" s="1612"/>
      <c r="Z26" s="1612"/>
      <c r="AA26" s="1612"/>
      <c r="AB26" s="1612"/>
      <c r="AC26" s="1613"/>
      <c r="AD26" s="555"/>
    </row>
    <row r="27" spans="1:36" s="441" customFormat="1" ht="60" customHeight="1" thickBot="1" x14ac:dyDescent="0.25">
      <c r="A27" s="438"/>
      <c r="B27" s="451" t="s">
        <v>130</v>
      </c>
      <c r="C27" s="451" t="s">
        <v>4</v>
      </c>
      <c r="D27" s="451" t="s">
        <v>5</v>
      </c>
      <c r="E27" s="451" t="s">
        <v>6</v>
      </c>
      <c r="F27" s="451" t="s">
        <v>7</v>
      </c>
      <c r="G27" s="451" t="s">
        <v>8</v>
      </c>
      <c r="H27" s="453" t="s">
        <v>9</v>
      </c>
      <c r="I27" s="453" t="s">
        <v>10</v>
      </c>
      <c r="J27" s="451" t="s">
        <v>11</v>
      </c>
      <c r="K27" s="451" t="s">
        <v>12</v>
      </c>
      <c r="L27" s="451" t="s">
        <v>13</v>
      </c>
      <c r="M27" s="451" t="s">
        <v>14</v>
      </c>
      <c r="N27" s="451" t="s">
        <v>15</v>
      </c>
      <c r="O27" s="452" t="s">
        <v>16</v>
      </c>
      <c r="P27" s="454" t="s">
        <v>17</v>
      </c>
      <c r="Q27" s="451" t="s">
        <v>18</v>
      </c>
      <c r="R27" s="452" t="s">
        <v>19</v>
      </c>
      <c r="S27" s="451" t="s">
        <v>20</v>
      </c>
      <c r="T27" s="451" t="s">
        <v>21</v>
      </c>
      <c r="U27" s="452" t="s">
        <v>22</v>
      </c>
      <c r="V27" s="451" t="s">
        <v>131</v>
      </c>
      <c r="W27" s="451" t="s">
        <v>24</v>
      </c>
      <c r="X27" s="451" t="s">
        <v>132</v>
      </c>
      <c r="Y27" s="451" t="s">
        <v>26</v>
      </c>
      <c r="Z27" s="451" t="s">
        <v>27</v>
      </c>
      <c r="AA27" s="451" t="s">
        <v>28</v>
      </c>
      <c r="AB27" s="451" t="s">
        <v>29</v>
      </c>
      <c r="AC27" s="451" t="s">
        <v>30</v>
      </c>
      <c r="AD27" s="439"/>
      <c r="AE27" s="440"/>
      <c r="AF27" s="440"/>
      <c r="AG27" s="440"/>
      <c r="AH27" s="440"/>
      <c r="AI27" s="440"/>
      <c r="AJ27" s="440"/>
    </row>
    <row r="28" spans="1:36" s="76" customFormat="1" ht="54.95" customHeight="1" thickBot="1" x14ac:dyDescent="0.25">
      <c r="B28" s="455" t="s">
        <v>114</v>
      </c>
      <c r="C28" s="455" t="s">
        <v>4710</v>
      </c>
      <c r="D28" s="457" t="s">
        <v>4711</v>
      </c>
      <c r="E28" s="457"/>
      <c r="F28" s="457" t="s">
        <v>4712</v>
      </c>
      <c r="G28" s="457"/>
      <c r="H28" s="458">
        <v>4605</v>
      </c>
      <c r="I28" s="459"/>
      <c r="J28" s="456">
        <v>37701</v>
      </c>
      <c r="K28" s="456"/>
      <c r="L28" s="478">
        <v>37732</v>
      </c>
      <c r="M28" s="460" t="s">
        <v>124</v>
      </c>
      <c r="N28" s="457" t="s">
        <v>42</v>
      </c>
      <c r="O28" s="478">
        <v>37722</v>
      </c>
      <c r="P28" s="457"/>
      <c r="Q28" s="457"/>
      <c r="R28" s="460">
        <v>37726</v>
      </c>
      <c r="S28" s="478">
        <v>37731</v>
      </c>
      <c r="T28" s="478">
        <v>37748</v>
      </c>
      <c r="U28" s="478"/>
      <c r="V28" s="481" t="s">
        <v>4713</v>
      </c>
      <c r="W28" s="479">
        <v>870</v>
      </c>
      <c r="X28" s="480"/>
      <c r="Y28" s="480"/>
      <c r="Z28" s="457">
        <v>9051564244</v>
      </c>
      <c r="AA28" s="484"/>
      <c r="AB28" s="567" t="s">
        <v>47</v>
      </c>
      <c r="AC28" s="567"/>
      <c r="AD28" s="10" t="str">
        <f>IF(S28&lt;=L28,"en término","atrasado")</f>
        <v>en término</v>
      </c>
    </row>
    <row r="29" spans="1:36" s="76" customFormat="1" ht="54.95" customHeight="1" thickBot="1" x14ac:dyDescent="0.25">
      <c r="B29" s="455" t="s">
        <v>114</v>
      </c>
      <c r="C29" s="455" t="s">
        <v>115</v>
      </c>
      <c r="D29" s="457" t="s">
        <v>4714</v>
      </c>
      <c r="E29" s="457"/>
      <c r="F29" s="457" t="s">
        <v>4715</v>
      </c>
      <c r="G29" s="457"/>
      <c r="H29" s="458">
        <v>1122</v>
      </c>
      <c r="I29" s="459" t="s">
        <v>118</v>
      </c>
      <c r="J29" s="456">
        <v>37827</v>
      </c>
      <c r="K29" s="456"/>
      <c r="L29" s="478">
        <v>37846</v>
      </c>
      <c r="M29" s="460" t="s">
        <v>124</v>
      </c>
      <c r="N29" s="457" t="s">
        <v>42</v>
      </c>
      <c r="O29" s="478">
        <v>37841</v>
      </c>
      <c r="P29" s="457"/>
      <c r="Q29" s="457"/>
      <c r="R29" s="460">
        <v>37847</v>
      </c>
      <c r="S29" s="478">
        <v>37854</v>
      </c>
      <c r="T29" s="478">
        <v>37871</v>
      </c>
      <c r="U29" s="478"/>
      <c r="V29" s="488" t="s">
        <v>4716</v>
      </c>
      <c r="W29" s="479">
        <v>912</v>
      </c>
      <c r="X29" s="480"/>
      <c r="Y29" s="480"/>
      <c r="Z29" s="457">
        <v>9025376990</v>
      </c>
      <c r="AA29" s="484"/>
      <c r="AB29" s="567" t="s">
        <v>47</v>
      </c>
      <c r="AC29" s="567"/>
      <c r="AD29" s="10" t="str">
        <f>IF(T29&lt;=L29,"en término","atrasado")</f>
        <v>atrasado</v>
      </c>
    </row>
    <row r="30" spans="1:36" s="76" customFormat="1" ht="54.95" customHeight="1" thickBot="1" x14ac:dyDescent="0.25">
      <c r="B30" s="455" t="s">
        <v>114</v>
      </c>
      <c r="C30" s="455" t="s">
        <v>115</v>
      </c>
      <c r="D30" s="457" t="s">
        <v>4717</v>
      </c>
      <c r="E30" s="457"/>
      <c r="F30" s="457" t="s">
        <v>4718</v>
      </c>
      <c r="G30" s="457"/>
      <c r="H30" s="458">
        <v>6190</v>
      </c>
      <c r="I30" s="459" t="s">
        <v>118</v>
      </c>
      <c r="J30" s="456">
        <v>37839</v>
      </c>
      <c r="K30" s="456"/>
      <c r="L30" s="478">
        <v>37846</v>
      </c>
      <c r="M30" s="460" t="s">
        <v>124</v>
      </c>
      <c r="N30" s="457" t="s">
        <v>42</v>
      </c>
      <c r="O30" s="478">
        <v>37841</v>
      </c>
      <c r="P30" s="457"/>
      <c r="Q30" s="457"/>
      <c r="R30" s="460">
        <v>37847</v>
      </c>
      <c r="S30" s="478">
        <v>37854</v>
      </c>
      <c r="T30" s="478">
        <v>37871</v>
      </c>
      <c r="U30" s="478"/>
      <c r="V30" s="488" t="s">
        <v>4719</v>
      </c>
      <c r="W30" s="479">
        <v>913</v>
      </c>
      <c r="X30" s="480"/>
      <c r="Y30" s="480"/>
      <c r="Z30" s="457">
        <v>9025376990</v>
      </c>
      <c r="AA30" s="484"/>
      <c r="AB30" s="567" t="s">
        <v>47</v>
      </c>
      <c r="AC30" s="567"/>
      <c r="AD30" s="10" t="str">
        <f>IF(T30&lt;=L30,"en término","atrasado")</f>
        <v>atrasado</v>
      </c>
    </row>
    <row r="31" spans="1:36" s="9" customFormat="1" ht="54.95" customHeight="1" thickBot="1" x14ac:dyDescent="0.25">
      <c r="B31" s="455" t="s">
        <v>4720</v>
      </c>
      <c r="C31" s="455" t="s">
        <v>115</v>
      </c>
      <c r="D31" s="456" t="s">
        <v>4721</v>
      </c>
      <c r="E31" s="456"/>
      <c r="F31" s="457" t="s">
        <v>4722</v>
      </c>
      <c r="G31" s="457"/>
      <c r="H31" s="458">
        <v>6650</v>
      </c>
      <c r="I31" s="459" t="s">
        <v>118</v>
      </c>
      <c r="J31" s="456">
        <v>37952</v>
      </c>
      <c r="K31" s="456"/>
      <c r="L31" s="478">
        <v>37973</v>
      </c>
      <c r="M31" s="460" t="s">
        <v>124</v>
      </c>
      <c r="N31" s="457" t="s">
        <v>42</v>
      </c>
      <c r="O31" s="478">
        <v>38330</v>
      </c>
      <c r="P31" s="457"/>
      <c r="Q31" s="457"/>
      <c r="R31" s="457"/>
      <c r="S31" s="478">
        <v>37989</v>
      </c>
      <c r="T31" s="478">
        <v>38007</v>
      </c>
      <c r="U31" s="478"/>
      <c r="V31" s="468" t="s">
        <v>4723</v>
      </c>
      <c r="W31" s="457">
        <v>945</v>
      </c>
      <c r="X31" s="467"/>
      <c r="Y31" s="489" t="s">
        <v>47</v>
      </c>
      <c r="Z31" s="457">
        <v>6626629881</v>
      </c>
      <c r="AA31" s="457"/>
      <c r="AB31" s="457" t="s">
        <v>47</v>
      </c>
      <c r="AC31" s="474" t="s">
        <v>4724</v>
      </c>
      <c r="AD31" s="10" t="str">
        <f>IF(T31&lt;=L31,"en término","atrasado")</f>
        <v>atrasado</v>
      </c>
    </row>
    <row r="33" spans="1:36" x14ac:dyDescent="0.2">
      <c r="AA33" s="1">
        <v>2003</v>
      </c>
      <c r="AB33" s="1047"/>
    </row>
    <row r="34" spans="1:36" x14ac:dyDescent="0.2">
      <c r="H34" s="230"/>
      <c r="J34" s="278"/>
      <c r="K34" s="278"/>
      <c r="AA34" s="945" t="s">
        <v>813</v>
      </c>
      <c r="AB34" s="1048">
        <f>COUNTA(AD25:AD31)</f>
        <v>4</v>
      </c>
    </row>
    <row r="35" spans="1:36" x14ac:dyDescent="0.2">
      <c r="AA35" s="945" t="s">
        <v>4709</v>
      </c>
      <c r="AB35" s="1048">
        <f>COUNTIF(AD25:AD31,"en término")</f>
        <v>1</v>
      </c>
    </row>
    <row r="36" spans="1:36" x14ac:dyDescent="0.2">
      <c r="AA36" s="945" t="s">
        <v>817</v>
      </c>
      <c r="AB36" s="557">
        <f>+AB35/AB34</f>
        <v>0.25</v>
      </c>
    </row>
    <row r="37" spans="1:36" ht="13.5" thickBot="1" x14ac:dyDescent="0.25"/>
    <row r="38" spans="1:36" s="556" customFormat="1" ht="39.950000000000003" customHeight="1" thickBot="1" x14ac:dyDescent="0.4">
      <c r="B38" s="1611">
        <v>2004</v>
      </c>
      <c r="C38" s="1612"/>
      <c r="D38" s="1612"/>
      <c r="E38" s="1612"/>
      <c r="F38" s="1612"/>
      <c r="G38" s="1612"/>
      <c r="H38" s="1612"/>
      <c r="I38" s="1612"/>
      <c r="J38" s="1612"/>
      <c r="K38" s="1612"/>
      <c r="L38" s="1612"/>
      <c r="M38" s="1612"/>
      <c r="N38" s="1612"/>
      <c r="O38" s="1612"/>
      <c r="P38" s="1612"/>
      <c r="Q38" s="1612"/>
      <c r="R38" s="1612"/>
      <c r="S38" s="1612"/>
      <c r="T38" s="1612"/>
      <c r="U38" s="1612"/>
      <c r="V38" s="1612"/>
      <c r="W38" s="1612"/>
      <c r="X38" s="1612"/>
      <c r="Y38" s="1612"/>
      <c r="Z38" s="1612"/>
      <c r="AA38" s="1612"/>
      <c r="AB38" s="1612"/>
      <c r="AC38" s="1613"/>
      <c r="AD38" s="555"/>
    </row>
    <row r="39" spans="1:36" s="441" customFormat="1" ht="60" customHeight="1" thickBot="1" x14ac:dyDescent="0.25">
      <c r="A39" s="438"/>
      <c r="B39" s="451" t="s">
        <v>130</v>
      </c>
      <c r="C39" s="451" t="s">
        <v>4</v>
      </c>
      <c r="D39" s="451" t="s">
        <v>5</v>
      </c>
      <c r="E39" s="451" t="s">
        <v>6</v>
      </c>
      <c r="F39" s="451" t="s">
        <v>7</v>
      </c>
      <c r="G39" s="451" t="s">
        <v>8</v>
      </c>
      <c r="H39" s="453" t="s">
        <v>9</v>
      </c>
      <c r="I39" s="453" t="s">
        <v>10</v>
      </c>
      <c r="J39" s="451" t="s">
        <v>11</v>
      </c>
      <c r="K39" s="451" t="s">
        <v>12</v>
      </c>
      <c r="L39" s="451" t="s">
        <v>13</v>
      </c>
      <c r="M39" s="451" t="s">
        <v>14</v>
      </c>
      <c r="N39" s="451" t="s">
        <v>15</v>
      </c>
      <c r="O39" s="452" t="s">
        <v>16</v>
      </c>
      <c r="P39" s="454" t="s">
        <v>17</v>
      </c>
      <c r="Q39" s="451" t="s">
        <v>18</v>
      </c>
      <c r="R39" s="452" t="s">
        <v>19</v>
      </c>
      <c r="S39" s="451" t="s">
        <v>20</v>
      </c>
      <c r="T39" s="451" t="s">
        <v>21</v>
      </c>
      <c r="U39" s="452" t="s">
        <v>22</v>
      </c>
      <c r="V39" s="451" t="s">
        <v>131</v>
      </c>
      <c r="W39" s="451" t="s">
        <v>24</v>
      </c>
      <c r="X39" s="451" t="s">
        <v>132</v>
      </c>
      <c r="Y39" s="451" t="s">
        <v>26</v>
      </c>
      <c r="Z39" s="451" t="s">
        <v>27</v>
      </c>
      <c r="AA39" s="451" t="s">
        <v>28</v>
      </c>
      <c r="AB39" s="451" t="s">
        <v>29</v>
      </c>
      <c r="AC39" s="451" t="s">
        <v>30</v>
      </c>
      <c r="AD39" s="439"/>
      <c r="AE39" s="440"/>
      <c r="AF39" s="440"/>
      <c r="AG39" s="440"/>
      <c r="AH39" s="440"/>
      <c r="AI39" s="440"/>
      <c r="AJ39" s="440"/>
    </row>
    <row r="40" spans="1:36" s="9" customFormat="1" ht="54.95" customHeight="1" thickBot="1" x14ac:dyDescent="0.25">
      <c r="B40" s="455" t="s">
        <v>114</v>
      </c>
      <c r="C40" s="455" t="s">
        <v>4710</v>
      </c>
      <c r="D40" s="456" t="s">
        <v>4725</v>
      </c>
      <c r="E40" s="456"/>
      <c r="F40" s="457" t="s">
        <v>4726</v>
      </c>
      <c r="G40" s="457" t="s">
        <v>1535</v>
      </c>
      <c r="H40" s="458">
        <v>6870</v>
      </c>
      <c r="I40" s="459" t="s">
        <v>118</v>
      </c>
      <c r="J40" s="456">
        <v>38133</v>
      </c>
      <c r="K40" s="456"/>
      <c r="L40" s="478">
        <f>+J40+30</f>
        <v>38163</v>
      </c>
      <c r="M40" s="460" t="s">
        <v>124</v>
      </c>
      <c r="N40" s="457" t="s">
        <v>110</v>
      </c>
      <c r="O40" s="456">
        <v>38167</v>
      </c>
      <c r="P40" s="456"/>
      <c r="Q40" s="456"/>
      <c r="R40" s="456"/>
      <c r="S40" s="478">
        <v>38170</v>
      </c>
      <c r="T40" s="478">
        <v>38174</v>
      </c>
      <c r="U40" s="478"/>
      <c r="V40" s="468" t="s">
        <v>4727</v>
      </c>
      <c r="W40" s="457">
        <v>1008</v>
      </c>
      <c r="X40" s="467"/>
      <c r="Y40" s="489" t="s">
        <v>47</v>
      </c>
      <c r="Z40" s="457" t="s">
        <v>4728</v>
      </c>
      <c r="AA40" s="456">
        <v>38175</v>
      </c>
      <c r="AB40" s="567" t="s">
        <v>47</v>
      </c>
      <c r="AC40" s="492" t="s">
        <v>4729</v>
      </c>
      <c r="AD40" s="10" t="str">
        <f>IF(S40&lt;=L40,"en término","atrasado")</f>
        <v>atrasado</v>
      </c>
    </row>
    <row r="41" spans="1:36" s="9" customFormat="1" ht="54.95" customHeight="1" thickBot="1" x14ac:dyDescent="0.25">
      <c r="A41" s="328"/>
      <c r="B41" s="455" t="s">
        <v>114</v>
      </c>
      <c r="C41" s="455" t="s">
        <v>4710</v>
      </c>
      <c r="D41" s="456" t="s">
        <v>4730</v>
      </c>
      <c r="E41" s="456"/>
      <c r="F41" s="457" t="s">
        <v>4731</v>
      </c>
      <c r="G41" s="457" t="s">
        <v>1535</v>
      </c>
      <c r="H41" s="458">
        <v>8100</v>
      </c>
      <c r="I41" s="459" t="s">
        <v>118</v>
      </c>
      <c r="J41" s="456">
        <v>38287</v>
      </c>
      <c r="K41" s="461">
        <v>30</v>
      </c>
      <c r="L41" s="478">
        <f>+J41+K41</f>
        <v>38317</v>
      </c>
      <c r="M41" s="460" t="s">
        <v>124</v>
      </c>
      <c r="N41" s="457" t="s">
        <v>110</v>
      </c>
      <c r="O41" s="456">
        <v>38303</v>
      </c>
      <c r="P41" s="461">
        <f>IF(O41="","",+O41-L41)</f>
        <v>-14</v>
      </c>
      <c r="Q41" s="461"/>
      <c r="R41" s="461"/>
      <c r="S41" s="490">
        <v>38313</v>
      </c>
      <c r="T41" s="490">
        <v>38315</v>
      </c>
      <c r="U41" s="461">
        <f>IF(T41="","",+T41-J41)</f>
        <v>28</v>
      </c>
      <c r="V41" s="468" t="s">
        <v>4732</v>
      </c>
      <c r="W41" s="457">
        <v>1059</v>
      </c>
      <c r="X41" s="491"/>
      <c r="Y41" s="491"/>
      <c r="Z41" s="457" t="s">
        <v>4733</v>
      </c>
      <c r="AA41" s="457" t="s">
        <v>47</v>
      </c>
      <c r="AB41" s="567" t="s">
        <v>47</v>
      </c>
      <c r="AC41" s="567"/>
      <c r="AD41" s="10" t="str">
        <f>IF(S41&lt;=L41,"en término","atrasado")</f>
        <v>en término</v>
      </c>
    </row>
    <row r="43" spans="1:36" x14ac:dyDescent="0.2">
      <c r="AA43" s="1">
        <v>2004</v>
      </c>
      <c r="AB43" s="1047"/>
    </row>
    <row r="44" spans="1:36" x14ac:dyDescent="0.2">
      <c r="AA44" s="945" t="s">
        <v>813</v>
      </c>
      <c r="AB44" s="1048">
        <f>COUNTA(AD40:AD41)</f>
        <v>2</v>
      </c>
    </row>
    <row r="45" spans="1:36" x14ac:dyDescent="0.2">
      <c r="AA45" s="945" t="s">
        <v>4709</v>
      </c>
      <c r="AB45" s="1048">
        <f>COUNTIF(AD40:AD41,"en término")</f>
        <v>1</v>
      </c>
    </row>
    <row r="46" spans="1:36" x14ac:dyDescent="0.2">
      <c r="AA46" s="945" t="s">
        <v>817</v>
      </c>
      <c r="AB46" s="557">
        <f>+AB45/AB44</f>
        <v>0.5</v>
      </c>
    </row>
    <row r="48" spans="1:36" ht="13.5" thickBot="1" x14ac:dyDescent="0.25"/>
    <row r="49" spans="1:36" s="556" customFormat="1" ht="39.950000000000003" customHeight="1" thickBot="1" x14ac:dyDescent="0.4">
      <c r="B49" s="1611">
        <v>2005</v>
      </c>
      <c r="C49" s="1612"/>
      <c r="D49" s="1612"/>
      <c r="E49" s="1612"/>
      <c r="F49" s="1612"/>
      <c r="G49" s="1612"/>
      <c r="H49" s="1612"/>
      <c r="I49" s="1612"/>
      <c r="J49" s="1612"/>
      <c r="K49" s="1612"/>
      <c r="L49" s="1612"/>
      <c r="M49" s="1612"/>
      <c r="N49" s="1612"/>
      <c r="O49" s="1612"/>
      <c r="P49" s="1612"/>
      <c r="Q49" s="1612"/>
      <c r="R49" s="1612"/>
      <c r="S49" s="1612"/>
      <c r="T49" s="1612"/>
      <c r="U49" s="1612"/>
      <c r="V49" s="1612"/>
      <c r="W49" s="1612"/>
      <c r="X49" s="1612"/>
      <c r="Y49" s="1612"/>
      <c r="Z49" s="1612"/>
      <c r="AA49" s="1612"/>
      <c r="AB49" s="1612"/>
      <c r="AC49" s="1613"/>
      <c r="AD49" s="555"/>
    </row>
    <row r="50" spans="1:36" s="441" customFormat="1" ht="60" customHeight="1" thickBot="1" x14ac:dyDescent="0.25">
      <c r="A50" s="438"/>
      <c r="B50" s="451" t="s">
        <v>130</v>
      </c>
      <c r="C50" s="451" t="s">
        <v>4</v>
      </c>
      <c r="D50" s="451" t="s">
        <v>5</v>
      </c>
      <c r="E50" s="451" t="s">
        <v>6</v>
      </c>
      <c r="F50" s="451" t="s">
        <v>7</v>
      </c>
      <c r="G50" s="451" t="s">
        <v>8</v>
      </c>
      <c r="H50" s="453" t="s">
        <v>9</v>
      </c>
      <c r="I50" s="453" t="s">
        <v>10</v>
      </c>
      <c r="J50" s="451" t="s">
        <v>11</v>
      </c>
      <c r="K50" s="451" t="s">
        <v>12</v>
      </c>
      <c r="L50" s="451" t="s">
        <v>13</v>
      </c>
      <c r="M50" s="451" t="s">
        <v>14</v>
      </c>
      <c r="N50" s="451" t="s">
        <v>15</v>
      </c>
      <c r="O50" s="452" t="s">
        <v>16</v>
      </c>
      <c r="P50" s="454" t="s">
        <v>17</v>
      </c>
      <c r="Q50" s="451" t="s">
        <v>18</v>
      </c>
      <c r="R50" s="452" t="s">
        <v>19</v>
      </c>
      <c r="S50" s="451" t="s">
        <v>20</v>
      </c>
      <c r="T50" s="451" t="s">
        <v>21</v>
      </c>
      <c r="U50" s="452" t="s">
        <v>22</v>
      </c>
      <c r="V50" s="451" t="s">
        <v>131</v>
      </c>
      <c r="W50" s="451" t="s">
        <v>24</v>
      </c>
      <c r="X50" s="451" t="s">
        <v>132</v>
      </c>
      <c r="Y50" s="451" t="s">
        <v>26</v>
      </c>
      <c r="Z50" s="451" t="s">
        <v>27</v>
      </c>
      <c r="AA50" s="451" t="s">
        <v>28</v>
      </c>
      <c r="AB50" s="451" t="s">
        <v>29</v>
      </c>
      <c r="AC50" s="451" t="s">
        <v>30</v>
      </c>
      <c r="AD50" s="439"/>
      <c r="AE50" s="440"/>
      <c r="AF50" s="440"/>
      <c r="AG50" s="440"/>
      <c r="AH50" s="440"/>
      <c r="AI50" s="440"/>
      <c r="AJ50" s="440"/>
    </row>
    <row r="51" spans="1:36" s="9" customFormat="1" ht="54.95" customHeight="1" thickBot="1" x14ac:dyDescent="0.25">
      <c r="A51" s="328"/>
      <c r="B51" s="455" t="s">
        <v>114</v>
      </c>
      <c r="C51" s="455" t="s">
        <v>4710</v>
      </c>
      <c r="D51" s="456" t="s">
        <v>4734</v>
      </c>
      <c r="E51" s="456"/>
      <c r="F51" s="457" t="s">
        <v>4735</v>
      </c>
      <c r="G51" s="457" t="s">
        <v>39</v>
      </c>
      <c r="H51" s="458">
        <v>6520</v>
      </c>
      <c r="I51" s="459" t="s">
        <v>114</v>
      </c>
      <c r="J51" s="460">
        <v>38503</v>
      </c>
      <c r="K51" s="461">
        <v>30</v>
      </c>
      <c r="L51" s="462">
        <f>+J51+K51</f>
        <v>38533</v>
      </c>
      <c r="M51" s="460" t="s">
        <v>124</v>
      </c>
      <c r="N51" s="457" t="s">
        <v>42</v>
      </c>
      <c r="O51" s="460">
        <v>38531</v>
      </c>
      <c r="P51" s="461">
        <f>IF(S51="","",+S51-L51)</f>
        <v>30</v>
      </c>
      <c r="Q51" s="461"/>
      <c r="R51" s="460">
        <v>38562</v>
      </c>
      <c r="S51" s="471">
        <v>38563</v>
      </c>
      <c r="T51" s="471">
        <f>+S51+17</f>
        <v>38580</v>
      </c>
      <c r="U51" s="461">
        <f>IF(T51="","",+T51-J51)</f>
        <v>77</v>
      </c>
      <c r="V51" s="468" t="s">
        <v>4736</v>
      </c>
      <c r="W51" s="466" t="s">
        <v>4737</v>
      </c>
      <c r="X51" s="467"/>
      <c r="Y51" s="489" t="s">
        <v>47</v>
      </c>
      <c r="Z51" s="457">
        <v>6505563691</v>
      </c>
      <c r="AA51" s="457" t="s">
        <v>4738</v>
      </c>
      <c r="AB51" s="460" t="s">
        <v>4739</v>
      </c>
      <c r="AC51" s="460"/>
      <c r="AD51" s="10" t="str">
        <f>IF(S51&lt;=L51,"en término","atrasado")</f>
        <v>atrasado</v>
      </c>
    </row>
    <row r="52" spans="1:36" s="28" customFormat="1" ht="11.25" x14ac:dyDescent="0.2">
      <c r="D52" s="30"/>
      <c r="E52" s="30"/>
      <c r="F52" s="30"/>
      <c r="G52" s="30"/>
      <c r="H52" s="217"/>
      <c r="I52" s="31"/>
      <c r="J52" s="48"/>
      <c r="K52" s="48"/>
      <c r="L52" s="48"/>
      <c r="M52" s="30"/>
      <c r="N52" s="30"/>
      <c r="O52" s="30"/>
      <c r="P52" s="30"/>
      <c r="Q52" s="30"/>
      <c r="R52" s="30"/>
      <c r="S52" s="364"/>
      <c r="T52" s="30"/>
      <c r="U52" s="30"/>
      <c r="V52" s="365"/>
      <c r="W52" s="30"/>
      <c r="X52" s="30"/>
      <c r="Y52" s="30"/>
      <c r="Z52" s="29"/>
      <c r="AA52" s="48"/>
      <c r="AB52" s="48"/>
      <c r="AC52" s="48"/>
    </row>
    <row r="53" spans="1:36" s="28" customFormat="1" ht="11.25" x14ac:dyDescent="0.2">
      <c r="D53" s="30"/>
      <c r="E53" s="30"/>
      <c r="F53" s="30"/>
      <c r="G53" s="30"/>
      <c r="H53" s="217"/>
      <c r="I53" s="31"/>
      <c r="J53" s="48"/>
      <c r="K53" s="48"/>
      <c r="L53" s="48"/>
      <c r="M53" s="30"/>
      <c r="N53" s="30"/>
      <c r="O53" s="30"/>
      <c r="P53" s="30"/>
      <c r="Q53" s="30"/>
      <c r="R53" s="30"/>
      <c r="S53" s="364"/>
      <c r="T53" s="30"/>
      <c r="U53" s="30"/>
      <c r="V53" s="365"/>
      <c r="W53" s="30"/>
      <c r="X53" s="30"/>
      <c r="Y53" s="30"/>
      <c r="Z53" s="29"/>
      <c r="AA53" s="48"/>
      <c r="AB53" s="48"/>
      <c r="AC53" s="48"/>
    </row>
    <row r="54" spans="1:36" s="28" customFormat="1" x14ac:dyDescent="0.2">
      <c r="D54" s="30"/>
      <c r="E54" s="30"/>
      <c r="F54" s="30"/>
      <c r="G54" s="30"/>
      <c r="H54" s="217"/>
      <c r="I54" s="31"/>
      <c r="J54" s="48"/>
      <c r="K54" s="48"/>
      <c r="L54" s="48"/>
      <c r="M54" s="30"/>
      <c r="N54" s="30"/>
      <c r="O54" s="30"/>
      <c r="P54" s="30"/>
      <c r="Q54" s="30"/>
      <c r="R54" s="30"/>
      <c r="S54" s="364"/>
      <c r="T54" s="30"/>
      <c r="U54" s="30"/>
      <c r="V54" s="365"/>
      <c r="W54" s="30"/>
      <c r="X54" s="30"/>
      <c r="Y54" s="30"/>
      <c r="Z54" s="29"/>
      <c r="AA54" s="1">
        <v>2005</v>
      </c>
      <c r="AB54" s="1047"/>
      <c r="AC54"/>
    </row>
    <row r="55" spans="1:36" s="28" customFormat="1" x14ac:dyDescent="0.2">
      <c r="D55" s="30"/>
      <c r="E55" s="30"/>
      <c r="F55" s="30"/>
      <c r="G55" s="30"/>
      <c r="H55" s="217"/>
      <c r="I55" s="31"/>
      <c r="J55" s="48"/>
      <c r="K55" s="48"/>
      <c r="L55" s="48"/>
      <c r="M55" s="30"/>
      <c r="N55" s="30"/>
      <c r="O55" s="30"/>
      <c r="P55" s="30"/>
      <c r="Q55" s="30"/>
      <c r="R55" s="30"/>
      <c r="S55" s="364"/>
      <c r="T55" s="30"/>
      <c r="U55" s="30"/>
      <c r="V55" s="365"/>
      <c r="W55" s="30"/>
      <c r="X55" s="30"/>
      <c r="Y55" s="30"/>
      <c r="Z55" s="29"/>
      <c r="AA55" s="945" t="s">
        <v>813</v>
      </c>
      <c r="AB55" s="1048">
        <f>COUNTA(AD51:AD51)</f>
        <v>1</v>
      </c>
    </row>
    <row r="56" spans="1:36" s="28" customFormat="1" x14ac:dyDescent="0.2">
      <c r="D56" s="30"/>
      <c r="E56" s="30"/>
      <c r="F56" s="30"/>
      <c r="G56" s="30"/>
      <c r="H56" s="217"/>
      <c r="I56" s="31"/>
      <c r="J56" s="48"/>
      <c r="K56" s="48"/>
      <c r="L56" s="48"/>
      <c r="M56" s="30"/>
      <c r="N56" s="30"/>
      <c r="O56" s="30"/>
      <c r="P56" s="30"/>
      <c r="Q56" s="30"/>
      <c r="R56" s="30"/>
      <c r="S56" s="364"/>
      <c r="T56" s="30"/>
      <c r="U56" s="30"/>
      <c r="V56" s="365"/>
      <c r="W56" s="30"/>
      <c r="X56" s="30"/>
      <c r="Y56" s="30"/>
      <c r="Z56" s="29"/>
      <c r="AA56" s="945" t="s">
        <v>4709</v>
      </c>
      <c r="AB56" s="1048">
        <f>COUNTIF(AD51:AD51,"en término")</f>
        <v>0</v>
      </c>
    </row>
    <row r="57" spans="1:36" s="28" customFormat="1" x14ac:dyDescent="0.2">
      <c r="D57" s="30"/>
      <c r="E57" s="30"/>
      <c r="F57" s="30"/>
      <c r="G57" s="30"/>
      <c r="H57" s="217"/>
      <c r="I57" s="31"/>
      <c r="J57" s="48"/>
      <c r="K57" s="48"/>
      <c r="L57" s="48"/>
      <c r="M57" s="30"/>
      <c r="N57" s="30"/>
      <c r="O57" s="30"/>
      <c r="P57" s="30"/>
      <c r="Q57" s="30"/>
      <c r="R57" s="30"/>
      <c r="S57" s="364"/>
      <c r="T57" s="30"/>
      <c r="U57" s="30"/>
      <c r="V57" s="365"/>
      <c r="W57" s="30"/>
      <c r="X57" s="30"/>
      <c r="Y57" s="30"/>
      <c r="Z57" s="29"/>
      <c r="AA57" s="945" t="s">
        <v>817</v>
      </c>
      <c r="AB57" s="557">
        <f>+AB56/AB55</f>
        <v>0</v>
      </c>
    </row>
    <row r="58" spans="1:36" s="28" customFormat="1" ht="11.25" x14ac:dyDescent="0.2">
      <c r="D58" s="30"/>
      <c r="E58" s="30"/>
      <c r="F58" s="30"/>
      <c r="G58" s="30"/>
      <c r="H58" s="217"/>
      <c r="I58" s="31"/>
      <c r="J58" s="48"/>
      <c r="K58" s="48"/>
      <c r="L58" s="48"/>
      <c r="M58" s="30"/>
      <c r="N58" s="30"/>
      <c r="O58" s="30"/>
      <c r="P58" s="30"/>
      <c r="Q58" s="30"/>
      <c r="R58" s="30"/>
      <c r="S58" s="364"/>
      <c r="T58" s="30"/>
      <c r="U58" s="30"/>
      <c r="V58" s="365"/>
      <c r="W58" s="30"/>
      <c r="X58" s="30"/>
      <c r="Y58" s="30"/>
      <c r="Z58" s="29"/>
      <c r="AA58" s="48"/>
      <c r="AB58" s="48"/>
      <c r="AC58" s="48"/>
    </row>
    <row r="59" spans="1:36" s="28" customFormat="1" ht="12" thickBot="1" x14ac:dyDescent="0.25">
      <c r="B59" s="49"/>
      <c r="C59" s="49"/>
      <c r="D59" s="50"/>
      <c r="E59" s="50"/>
      <c r="F59" s="50"/>
      <c r="G59" s="50"/>
      <c r="H59" s="242"/>
      <c r="I59" s="52"/>
      <c r="J59" s="54"/>
      <c r="K59" s="54"/>
      <c r="L59" s="54"/>
      <c r="M59" s="50"/>
      <c r="N59" s="50"/>
      <c r="O59" s="50"/>
      <c r="P59" s="50"/>
      <c r="Q59" s="50"/>
      <c r="R59" s="50"/>
      <c r="S59" s="362"/>
      <c r="T59" s="50"/>
      <c r="U59" s="50"/>
      <c r="V59" s="363"/>
      <c r="W59" s="50"/>
      <c r="X59" s="50"/>
      <c r="Y59" s="50"/>
      <c r="Z59" s="124"/>
      <c r="AA59" s="54"/>
      <c r="AB59" s="54"/>
      <c r="AC59" s="54"/>
    </row>
    <row r="60" spans="1:36" s="556" customFormat="1" ht="39.950000000000003" customHeight="1" thickBot="1" x14ac:dyDescent="0.4">
      <c r="B60" s="1611">
        <v>2006</v>
      </c>
      <c r="C60" s="1612"/>
      <c r="D60" s="1612"/>
      <c r="E60" s="1612"/>
      <c r="F60" s="1612"/>
      <c r="G60" s="1612"/>
      <c r="H60" s="1612"/>
      <c r="I60" s="1612"/>
      <c r="J60" s="1612"/>
      <c r="K60" s="1612"/>
      <c r="L60" s="1612"/>
      <c r="M60" s="1612"/>
      <c r="N60" s="1612"/>
      <c r="O60" s="1612"/>
      <c r="P60" s="1612"/>
      <c r="Q60" s="1612"/>
      <c r="R60" s="1612"/>
      <c r="S60" s="1612"/>
      <c r="T60" s="1612"/>
      <c r="U60" s="1612"/>
      <c r="V60" s="1612"/>
      <c r="W60" s="1612"/>
      <c r="X60" s="1612"/>
      <c r="Y60" s="1612"/>
      <c r="Z60" s="1612"/>
      <c r="AA60" s="1612"/>
      <c r="AB60" s="1612"/>
      <c r="AC60" s="1613"/>
      <c r="AD60" s="555"/>
    </row>
    <row r="61" spans="1:36" s="441" customFormat="1" ht="60" customHeight="1" thickBot="1" x14ac:dyDescent="0.25">
      <c r="A61" s="438"/>
      <c r="B61" s="451" t="s">
        <v>130</v>
      </c>
      <c r="C61" s="451" t="s">
        <v>4</v>
      </c>
      <c r="D61" s="451" t="s">
        <v>5</v>
      </c>
      <c r="E61" s="451" t="s">
        <v>6</v>
      </c>
      <c r="F61" s="451" t="s">
        <v>7</v>
      </c>
      <c r="G61" s="451" t="s">
        <v>8</v>
      </c>
      <c r="H61" s="453" t="s">
        <v>9</v>
      </c>
      <c r="I61" s="453" t="s">
        <v>10</v>
      </c>
      <c r="J61" s="451" t="s">
        <v>11</v>
      </c>
      <c r="K61" s="451" t="s">
        <v>12</v>
      </c>
      <c r="L61" s="451" t="s">
        <v>13</v>
      </c>
      <c r="M61" s="451" t="s">
        <v>14</v>
      </c>
      <c r="N61" s="451" t="s">
        <v>15</v>
      </c>
      <c r="O61" s="452" t="s">
        <v>16</v>
      </c>
      <c r="P61" s="454" t="s">
        <v>17</v>
      </c>
      <c r="Q61" s="451" t="s">
        <v>18</v>
      </c>
      <c r="R61" s="452" t="s">
        <v>19</v>
      </c>
      <c r="S61" s="451" t="s">
        <v>20</v>
      </c>
      <c r="T61" s="451" t="s">
        <v>21</v>
      </c>
      <c r="U61" s="452" t="s">
        <v>22</v>
      </c>
      <c r="V61" s="451" t="s">
        <v>131</v>
      </c>
      <c r="W61" s="451" t="s">
        <v>24</v>
      </c>
      <c r="X61" s="451" t="s">
        <v>132</v>
      </c>
      <c r="Y61" s="451" t="s">
        <v>26</v>
      </c>
      <c r="Z61" s="451" t="s">
        <v>27</v>
      </c>
      <c r="AA61" s="451" t="s">
        <v>28</v>
      </c>
      <c r="AB61" s="451" t="s">
        <v>29</v>
      </c>
      <c r="AC61" s="451" t="s">
        <v>30</v>
      </c>
      <c r="AD61" s="439"/>
      <c r="AE61" s="440"/>
      <c r="AF61" s="440"/>
      <c r="AG61" s="440"/>
      <c r="AH61" s="440"/>
      <c r="AI61" s="440"/>
      <c r="AJ61" s="440"/>
    </row>
    <row r="62" spans="1:36" s="9" customFormat="1" ht="54.95" customHeight="1" thickBot="1" x14ac:dyDescent="0.25">
      <c r="A62" s="328"/>
      <c r="B62" s="455" t="s">
        <v>114</v>
      </c>
      <c r="C62" s="455" t="s">
        <v>115</v>
      </c>
      <c r="D62" s="456" t="s">
        <v>4740</v>
      </c>
      <c r="E62" s="456"/>
      <c r="F62" s="493" t="s">
        <v>4741</v>
      </c>
      <c r="G62" s="457" t="s">
        <v>1535</v>
      </c>
      <c r="H62" s="458">
        <v>8400</v>
      </c>
      <c r="I62" s="459" t="s">
        <v>4742</v>
      </c>
      <c r="J62" s="460">
        <v>38819</v>
      </c>
      <c r="K62" s="461">
        <v>44</v>
      </c>
      <c r="L62" s="462">
        <f>+J62+K62</f>
        <v>38863</v>
      </c>
      <c r="M62" s="460" t="s">
        <v>124</v>
      </c>
      <c r="N62" s="457" t="s">
        <v>42</v>
      </c>
      <c r="O62" s="460">
        <v>38856</v>
      </c>
      <c r="P62" s="461">
        <f>IF(S62="","",+S62-L62)</f>
        <v>5</v>
      </c>
      <c r="Q62" s="461"/>
      <c r="R62" s="460">
        <v>38863</v>
      </c>
      <c r="S62" s="471">
        <v>38868</v>
      </c>
      <c r="T62" s="460">
        <v>38888</v>
      </c>
      <c r="U62" s="461">
        <f>IF(T62="","",+T62-J62)</f>
        <v>69</v>
      </c>
      <c r="V62" s="468" t="s">
        <v>4743</v>
      </c>
      <c r="W62" s="457">
        <v>118</v>
      </c>
      <c r="X62" s="467"/>
      <c r="Y62" s="461">
        <v>1497</v>
      </c>
      <c r="Z62" s="457">
        <v>6505731680</v>
      </c>
      <c r="AA62" s="456" t="s">
        <v>47</v>
      </c>
      <c r="AB62" s="456" t="s">
        <v>4744</v>
      </c>
      <c r="AC62" s="494" t="s">
        <v>4745</v>
      </c>
      <c r="AD62" s="10" t="str">
        <f>IF(S62&lt;=L62,"en término","atrasado")</f>
        <v>atrasado</v>
      </c>
    </row>
    <row r="65" spans="1:36" x14ac:dyDescent="0.2">
      <c r="AA65" s="1">
        <v>2006</v>
      </c>
      <c r="AB65" s="1047"/>
    </row>
    <row r="66" spans="1:36" x14ac:dyDescent="0.2">
      <c r="AA66" s="945" t="s">
        <v>813</v>
      </c>
      <c r="AB66" s="1048">
        <f>COUNTA(AD62:AD62)</f>
        <v>1</v>
      </c>
    </row>
    <row r="67" spans="1:36" x14ac:dyDescent="0.2">
      <c r="AA67" s="945" t="s">
        <v>4709</v>
      </c>
      <c r="AB67" s="1048">
        <f>COUNTIF(AD62:AD62,"en término")</f>
        <v>0</v>
      </c>
    </row>
    <row r="68" spans="1:36" x14ac:dyDescent="0.2">
      <c r="AA68" s="945" t="s">
        <v>817</v>
      </c>
      <c r="AB68" s="557">
        <f>+AB67/AB66</f>
        <v>0</v>
      </c>
    </row>
    <row r="70" spans="1:36" ht="13.5" thickBot="1" x14ac:dyDescent="0.25"/>
    <row r="71" spans="1:36" s="556" customFormat="1" ht="39.950000000000003" customHeight="1" thickBot="1" x14ac:dyDescent="0.4">
      <c r="B71" s="1611">
        <v>2007</v>
      </c>
      <c r="C71" s="1612"/>
      <c r="D71" s="1612"/>
      <c r="E71" s="1612"/>
      <c r="F71" s="1612"/>
      <c r="G71" s="1612"/>
      <c r="H71" s="1612"/>
      <c r="I71" s="1612"/>
      <c r="J71" s="1612"/>
      <c r="K71" s="1612"/>
      <c r="L71" s="1612"/>
      <c r="M71" s="1612"/>
      <c r="N71" s="1612"/>
      <c r="O71" s="1612"/>
      <c r="P71" s="1612"/>
      <c r="Q71" s="1612"/>
      <c r="R71" s="1612"/>
      <c r="S71" s="1612"/>
      <c r="T71" s="1612"/>
      <c r="U71" s="1612"/>
      <c r="V71" s="1612"/>
      <c r="W71" s="1612"/>
      <c r="X71" s="1612"/>
      <c r="Y71" s="1612"/>
      <c r="Z71" s="1612"/>
      <c r="AA71" s="1612"/>
      <c r="AB71" s="1612"/>
      <c r="AC71" s="1613"/>
      <c r="AD71" s="555"/>
    </row>
    <row r="72" spans="1:36" s="441" customFormat="1" ht="60" customHeight="1" thickBot="1" x14ac:dyDescent="0.25">
      <c r="A72" s="438"/>
      <c r="B72" s="451" t="s">
        <v>130</v>
      </c>
      <c r="C72" s="451" t="s">
        <v>4</v>
      </c>
      <c r="D72" s="451" t="s">
        <v>5</v>
      </c>
      <c r="E72" s="451" t="s">
        <v>6</v>
      </c>
      <c r="F72" s="451" t="s">
        <v>7</v>
      </c>
      <c r="G72" s="451" t="s">
        <v>8</v>
      </c>
      <c r="H72" s="453" t="s">
        <v>9</v>
      </c>
      <c r="I72" s="453" t="s">
        <v>10</v>
      </c>
      <c r="J72" s="451" t="s">
        <v>11</v>
      </c>
      <c r="K72" s="451" t="s">
        <v>12</v>
      </c>
      <c r="L72" s="451" t="s">
        <v>13</v>
      </c>
      <c r="M72" s="451" t="s">
        <v>14</v>
      </c>
      <c r="N72" s="451" t="s">
        <v>15</v>
      </c>
      <c r="O72" s="452" t="s">
        <v>16</v>
      </c>
      <c r="P72" s="454" t="s">
        <v>17</v>
      </c>
      <c r="Q72" s="451" t="s">
        <v>18</v>
      </c>
      <c r="R72" s="452" t="s">
        <v>19</v>
      </c>
      <c r="S72" s="451" t="s">
        <v>20</v>
      </c>
      <c r="T72" s="451" t="s">
        <v>21</v>
      </c>
      <c r="U72" s="452" t="s">
        <v>22</v>
      </c>
      <c r="V72" s="451" t="s">
        <v>131</v>
      </c>
      <c r="W72" s="451" t="s">
        <v>24</v>
      </c>
      <c r="X72" s="451" t="s">
        <v>132</v>
      </c>
      <c r="Y72" s="451" t="s">
        <v>26</v>
      </c>
      <c r="Z72" s="451" t="s">
        <v>27</v>
      </c>
      <c r="AA72" s="451" t="s">
        <v>28</v>
      </c>
      <c r="AB72" s="451" t="s">
        <v>29</v>
      </c>
      <c r="AC72" s="451" t="s">
        <v>30</v>
      </c>
      <c r="AD72" s="439"/>
      <c r="AE72" s="440"/>
      <c r="AF72" s="440"/>
      <c r="AG72" s="440"/>
      <c r="AH72" s="440"/>
      <c r="AI72" s="440"/>
      <c r="AJ72" s="440"/>
    </row>
    <row r="73" spans="1:36" s="500" customFormat="1" ht="69.95" customHeight="1" thickBot="1" x14ac:dyDescent="0.25">
      <c r="A73" s="495"/>
      <c r="B73" s="474" t="s">
        <v>114</v>
      </c>
      <c r="C73" s="474" t="s">
        <v>115</v>
      </c>
      <c r="D73" s="456" t="s">
        <v>4746</v>
      </c>
      <c r="E73" s="496"/>
      <c r="F73" s="493">
        <v>15502583</v>
      </c>
      <c r="G73" s="457" t="s">
        <v>1535</v>
      </c>
      <c r="H73" s="485">
        <v>7280</v>
      </c>
      <c r="I73" s="459" t="s">
        <v>4742</v>
      </c>
      <c r="J73" s="460">
        <v>39101</v>
      </c>
      <c r="K73" s="461">
        <v>65</v>
      </c>
      <c r="L73" s="462">
        <f>+J73+K73</f>
        <v>39166</v>
      </c>
      <c r="M73" s="460" t="s">
        <v>124</v>
      </c>
      <c r="N73" s="457" t="s">
        <v>42</v>
      </c>
      <c r="O73" s="460">
        <v>39156</v>
      </c>
      <c r="P73" s="461">
        <v>0</v>
      </c>
      <c r="Q73" s="497"/>
      <c r="R73" s="460">
        <v>39192</v>
      </c>
      <c r="S73" s="462">
        <v>39199</v>
      </c>
      <c r="T73" s="460">
        <f>+S73+30</f>
        <v>39229</v>
      </c>
      <c r="U73" s="461">
        <f>IF(T73="","",+T73-J73)</f>
        <v>128</v>
      </c>
      <c r="V73" s="476" t="s">
        <v>4747</v>
      </c>
      <c r="W73" s="472">
        <v>203</v>
      </c>
      <c r="X73" s="498"/>
      <c r="Y73" s="457" t="s">
        <v>4748</v>
      </c>
      <c r="Z73" s="457">
        <v>6631322692</v>
      </c>
      <c r="AA73" s="456" t="s">
        <v>47</v>
      </c>
      <c r="AB73" s="456" t="s">
        <v>4749</v>
      </c>
      <c r="AC73" s="499" t="s">
        <v>4750</v>
      </c>
      <c r="AD73" s="500" t="str">
        <f>IF(S73&lt;=L73,"en término","atrasado")</f>
        <v>atrasado</v>
      </c>
    </row>
    <row r="74" spans="1:36" s="500" customFormat="1" ht="69.95" customHeight="1" thickBot="1" x14ac:dyDescent="0.25">
      <c r="A74" s="495"/>
      <c r="B74" s="474" t="s">
        <v>114</v>
      </c>
      <c r="C74" s="474" t="s">
        <v>115</v>
      </c>
      <c r="D74" s="456" t="s">
        <v>4751</v>
      </c>
      <c r="E74" s="496"/>
      <c r="F74" s="493">
        <v>15502612</v>
      </c>
      <c r="G74" s="457" t="s">
        <v>1535</v>
      </c>
      <c r="H74" s="485">
        <v>7280</v>
      </c>
      <c r="I74" s="459" t="s">
        <v>4742</v>
      </c>
      <c r="J74" s="460">
        <v>39150</v>
      </c>
      <c r="K74" s="461">
        <v>16</v>
      </c>
      <c r="L74" s="462">
        <f>+J74+K74</f>
        <v>39166</v>
      </c>
      <c r="M74" s="460" t="s">
        <v>124</v>
      </c>
      <c r="N74" s="457" t="s">
        <v>42</v>
      </c>
      <c r="O74" s="460">
        <v>39156</v>
      </c>
      <c r="P74" s="461">
        <v>0</v>
      </c>
      <c r="Q74" s="497"/>
      <c r="R74" s="460">
        <v>39192</v>
      </c>
      <c r="S74" s="462">
        <v>39199</v>
      </c>
      <c r="T74" s="460">
        <f>+S74+30</f>
        <v>39229</v>
      </c>
      <c r="U74" s="461">
        <f>IF(T74="","",+T74-J74)</f>
        <v>79</v>
      </c>
      <c r="V74" s="476" t="s">
        <v>4747</v>
      </c>
      <c r="W74" s="472">
        <v>203</v>
      </c>
      <c r="X74" s="498"/>
      <c r="Y74" s="457" t="s">
        <v>4748</v>
      </c>
      <c r="Z74" s="457">
        <v>6631322692</v>
      </c>
      <c r="AA74" s="456" t="s">
        <v>47</v>
      </c>
      <c r="AB74" s="456" t="s">
        <v>4749</v>
      </c>
      <c r="AC74" s="499" t="s">
        <v>4750</v>
      </c>
      <c r="AD74" s="500" t="str">
        <f>IF(S74&lt;=L74,"en término","atrasado")</f>
        <v>atrasado</v>
      </c>
    </row>
    <row r="75" spans="1:36" s="587" customFormat="1" ht="54.95" customHeight="1" thickBot="1" x14ac:dyDescent="0.25">
      <c r="A75" s="584"/>
      <c r="B75" s="585" t="s">
        <v>114</v>
      </c>
      <c r="C75" s="455" t="s">
        <v>115</v>
      </c>
      <c r="D75" s="456" t="s">
        <v>4752</v>
      </c>
      <c r="E75" s="456"/>
      <c r="F75" s="457" t="s">
        <v>4753</v>
      </c>
      <c r="G75" s="457" t="s">
        <v>1535</v>
      </c>
      <c r="H75" s="458">
        <v>12410.04</v>
      </c>
      <c r="I75" s="459" t="s">
        <v>118</v>
      </c>
      <c r="J75" s="460">
        <v>39405</v>
      </c>
      <c r="K75" s="461">
        <v>30</v>
      </c>
      <c r="L75" s="462">
        <f>+J75+K75</f>
        <v>39435</v>
      </c>
      <c r="M75" s="460" t="s">
        <v>124</v>
      </c>
      <c r="N75" s="457" t="s">
        <v>42</v>
      </c>
      <c r="O75" s="460">
        <v>39434</v>
      </c>
      <c r="P75" s="461">
        <f>IF(S75="","",+S75-L75)</f>
        <v>14</v>
      </c>
      <c r="Q75" s="591" t="s">
        <v>4754</v>
      </c>
      <c r="R75" s="460">
        <v>39442</v>
      </c>
      <c r="S75" s="471">
        <v>39449</v>
      </c>
      <c r="T75" s="462">
        <f>+S75+20</f>
        <v>39469</v>
      </c>
      <c r="U75" s="461">
        <f>IF(T75="","",+T75-J75)</f>
        <v>64</v>
      </c>
      <c r="V75" s="468" t="s">
        <v>4755</v>
      </c>
      <c r="W75" s="457">
        <v>279</v>
      </c>
      <c r="X75" s="468" t="s">
        <v>4756</v>
      </c>
      <c r="Y75" s="468" t="s">
        <v>4757</v>
      </c>
      <c r="Z75" s="457">
        <v>6626518942</v>
      </c>
      <c r="AA75" s="456" t="s">
        <v>47</v>
      </c>
      <c r="AB75" s="460" t="s">
        <v>2881</v>
      </c>
      <c r="AC75" s="499"/>
      <c r="AD75" s="500" t="str">
        <f>IF(S75&lt;=L75,"en término","atrasado")</f>
        <v>atrasado</v>
      </c>
      <c r="AE75" s="412"/>
    </row>
    <row r="77" spans="1:36" x14ac:dyDescent="0.2">
      <c r="AA77" s="1">
        <v>2007</v>
      </c>
      <c r="AB77" s="1047"/>
    </row>
    <row r="78" spans="1:36" x14ac:dyDescent="0.2">
      <c r="AA78" s="945" t="s">
        <v>813</v>
      </c>
      <c r="AB78" s="1048">
        <f>COUNTA(AD73:AD75)</f>
        <v>3</v>
      </c>
    </row>
    <row r="79" spans="1:36" x14ac:dyDescent="0.2">
      <c r="AA79" s="945" t="s">
        <v>4709</v>
      </c>
      <c r="AB79" s="1048">
        <f>COUNTIF(AD73:AD75,"en término")</f>
        <v>0</v>
      </c>
    </row>
    <row r="80" spans="1:36" x14ac:dyDescent="0.2">
      <c r="AA80" s="945" t="s">
        <v>817</v>
      </c>
      <c r="AB80" s="557">
        <f>+AB79/AB78</f>
        <v>0</v>
      </c>
    </row>
    <row r="84" spans="1:36" ht="13.5" thickBot="1" x14ac:dyDescent="0.25"/>
    <row r="85" spans="1:36" s="556" customFormat="1" ht="39.950000000000003" customHeight="1" thickBot="1" x14ac:dyDescent="0.4">
      <c r="B85" s="1611">
        <v>2008</v>
      </c>
      <c r="C85" s="1612"/>
      <c r="D85" s="1612"/>
      <c r="E85" s="1612"/>
      <c r="F85" s="1612"/>
      <c r="G85" s="1612"/>
      <c r="H85" s="1612"/>
      <c r="I85" s="1612"/>
      <c r="J85" s="1612"/>
      <c r="K85" s="1612"/>
      <c r="L85" s="1612"/>
      <c r="M85" s="1612"/>
      <c r="N85" s="1612"/>
      <c r="O85" s="1612"/>
      <c r="P85" s="1612"/>
      <c r="Q85" s="1612"/>
      <c r="R85" s="1612"/>
      <c r="S85" s="1612"/>
      <c r="T85" s="1612"/>
      <c r="U85" s="1612"/>
      <c r="V85" s="1612"/>
      <c r="W85" s="1612"/>
      <c r="X85" s="1612"/>
      <c r="Y85" s="1612"/>
      <c r="Z85" s="1612"/>
      <c r="AA85" s="1612"/>
      <c r="AB85" s="1612"/>
      <c r="AC85" s="1613"/>
      <c r="AD85" s="555"/>
    </row>
    <row r="86" spans="1:36" s="441" customFormat="1" ht="60" customHeight="1" thickBot="1" x14ac:dyDescent="0.25">
      <c r="A86" s="438"/>
      <c r="B86" s="451" t="s">
        <v>130</v>
      </c>
      <c r="C86" s="451" t="s">
        <v>4</v>
      </c>
      <c r="D86" s="451" t="s">
        <v>5</v>
      </c>
      <c r="E86" s="451" t="s">
        <v>6</v>
      </c>
      <c r="F86" s="451" t="s">
        <v>7</v>
      </c>
      <c r="G86" s="451" t="s">
        <v>8</v>
      </c>
      <c r="H86" s="453" t="s">
        <v>9</v>
      </c>
      <c r="I86" s="453" t="s">
        <v>10</v>
      </c>
      <c r="J86" s="451" t="s">
        <v>11</v>
      </c>
      <c r="K86" s="451" t="s">
        <v>12</v>
      </c>
      <c r="L86" s="451" t="s">
        <v>13</v>
      </c>
      <c r="M86" s="451" t="s">
        <v>14</v>
      </c>
      <c r="N86" s="451" t="s">
        <v>15</v>
      </c>
      <c r="O86" s="452" t="s">
        <v>16</v>
      </c>
      <c r="P86" s="454" t="s">
        <v>17</v>
      </c>
      <c r="Q86" s="451" t="s">
        <v>18</v>
      </c>
      <c r="R86" s="452" t="s">
        <v>19</v>
      </c>
      <c r="S86" s="451" t="s">
        <v>20</v>
      </c>
      <c r="T86" s="451" t="s">
        <v>21</v>
      </c>
      <c r="U86" s="452" t="s">
        <v>22</v>
      </c>
      <c r="V86" s="451" t="s">
        <v>131</v>
      </c>
      <c r="W86" s="451" t="s">
        <v>24</v>
      </c>
      <c r="X86" s="451" t="s">
        <v>132</v>
      </c>
      <c r="Y86" s="451" t="s">
        <v>26</v>
      </c>
      <c r="Z86" s="451" t="s">
        <v>27</v>
      </c>
      <c r="AA86" s="451" t="s">
        <v>28</v>
      </c>
      <c r="AB86" s="451" t="s">
        <v>29</v>
      </c>
      <c r="AC86" s="451" t="s">
        <v>30</v>
      </c>
      <c r="AD86" s="439"/>
      <c r="AE86" s="440"/>
      <c r="AF86" s="440"/>
      <c r="AG86" s="440"/>
      <c r="AH86" s="440"/>
      <c r="AI86" s="440"/>
      <c r="AJ86" s="440"/>
    </row>
    <row r="87" spans="1:36" s="587" customFormat="1" ht="54.95" customHeight="1" thickBot="1" x14ac:dyDescent="0.25">
      <c r="A87" s="584"/>
      <c r="B87" s="585" t="s">
        <v>114</v>
      </c>
      <c r="C87" s="455" t="s">
        <v>115</v>
      </c>
      <c r="D87" s="456" t="s">
        <v>4758</v>
      </c>
      <c r="E87" s="456"/>
      <c r="F87" s="457" t="s">
        <v>4759</v>
      </c>
      <c r="G87" s="457" t="s">
        <v>1535</v>
      </c>
      <c r="H87" s="458">
        <v>74764.92</v>
      </c>
      <c r="I87" s="611" t="s">
        <v>4760</v>
      </c>
      <c r="J87" s="460">
        <v>39682</v>
      </c>
      <c r="K87" s="461">
        <v>60</v>
      </c>
      <c r="L87" s="462">
        <f>+J87+K87</f>
        <v>39742</v>
      </c>
      <c r="M87" s="611" t="s">
        <v>124</v>
      </c>
      <c r="N87" s="468" t="s">
        <v>1750</v>
      </c>
      <c r="O87" s="460">
        <v>39721</v>
      </c>
      <c r="P87" s="461">
        <f>IF(S87="","",+S87-L87)</f>
        <v>0</v>
      </c>
      <c r="Q87" s="461" t="s">
        <v>4761</v>
      </c>
      <c r="R87" s="460">
        <v>39735</v>
      </c>
      <c r="S87" s="471">
        <v>39742</v>
      </c>
      <c r="T87" s="471">
        <f>+S87+30</f>
        <v>39772</v>
      </c>
      <c r="U87" s="461">
        <f>IF(T87="","",+T87-J87)</f>
        <v>90</v>
      </c>
      <c r="V87" s="468" t="s">
        <v>4762</v>
      </c>
      <c r="W87" s="457">
        <v>355</v>
      </c>
      <c r="X87" s="467"/>
      <c r="Y87" s="467"/>
      <c r="Z87" s="457">
        <v>6682704394</v>
      </c>
      <c r="AA87" s="456" t="s">
        <v>47</v>
      </c>
      <c r="AB87" s="456" t="s">
        <v>47</v>
      </c>
      <c r="AC87" s="470" t="s">
        <v>4763</v>
      </c>
      <c r="AD87" s="645" t="str">
        <f>IF(P87="","",IF(P87&lt;=0,"en término","atrasado"))</f>
        <v>en término</v>
      </c>
    </row>
    <row r="90" spans="1:36" x14ac:dyDescent="0.2">
      <c r="AA90" s="1">
        <v>2008</v>
      </c>
      <c r="AB90" s="1047"/>
    </row>
    <row r="91" spans="1:36" x14ac:dyDescent="0.2">
      <c r="AA91" s="945" t="s">
        <v>813</v>
      </c>
      <c r="AB91" s="1048">
        <f>COUNTA(AD86:AD88)</f>
        <v>1</v>
      </c>
    </row>
    <row r="92" spans="1:36" x14ac:dyDescent="0.2">
      <c r="AA92" s="945" t="s">
        <v>4709</v>
      </c>
      <c r="AB92" s="1048">
        <f>COUNTIF(AD86:AD88,"en término")</f>
        <v>1</v>
      </c>
    </row>
    <row r="93" spans="1:36" x14ac:dyDescent="0.2">
      <c r="AA93" s="945" t="s">
        <v>817</v>
      </c>
      <c r="AB93" s="557">
        <f>+AB92/AB91</f>
        <v>1</v>
      </c>
    </row>
    <row r="95" spans="1:36" ht="13.5" thickBot="1" x14ac:dyDescent="0.25"/>
    <row r="96" spans="1:36" s="556" customFormat="1" ht="39.950000000000003" customHeight="1" thickBot="1" x14ac:dyDescent="0.4">
      <c r="B96" s="1611">
        <v>2009</v>
      </c>
      <c r="C96" s="1612"/>
      <c r="D96" s="1612"/>
      <c r="E96" s="1612"/>
      <c r="F96" s="1612"/>
      <c r="G96" s="1612"/>
      <c r="H96" s="1612"/>
      <c r="I96" s="1612"/>
      <c r="J96" s="1612"/>
      <c r="K96" s="1612"/>
      <c r="L96" s="1612"/>
      <c r="M96" s="1612"/>
      <c r="N96" s="1612"/>
      <c r="O96" s="1612"/>
      <c r="P96" s="1612"/>
      <c r="Q96" s="1612"/>
      <c r="R96" s="1612"/>
      <c r="S96" s="1612"/>
      <c r="T96" s="1612"/>
      <c r="U96" s="1612"/>
      <c r="V96" s="1612"/>
      <c r="W96" s="1612"/>
      <c r="X96" s="1612"/>
      <c r="Y96" s="1612"/>
      <c r="Z96" s="1612"/>
      <c r="AA96" s="1612"/>
      <c r="AB96" s="1612"/>
      <c r="AC96" s="1613"/>
      <c r="AD96" s="560"/>
    </row>
    <row r="97" spans="1:37" s="441" customFormat="1" ht="60" customHeight="1" thickBot="1" x14ac:dyDescent="0.25">
      <c r="A97" s="438"/>
      <c r="B97" s="451" t="s">
        <v>130</v>
      </c>
      <c r="C97" s="451" t="s">
        <v>4</v>
      </c>
      <c r="D97" s="451" t="s">
        <v>5</v>
      </c>
      <c r="E97" s="451" t="s">
        <v>6</v>
      </c>
      <c r="F97" s="451" t="s">
        <v>7</v>
      </c>
      <c r="G97" s="451" t="s">
        <v>8</v>
      </c>
      <c r="H97" s="453" t="s">
        <v>9</v>
      </c>
      <c r="I97" s="453" t="s">
        <v>10</v>
      </c>
      <c r="J97" s="451" t="s">
        <v>11</v>
      </c>
      <c r="K97" s="451" t="s">
        <v>12</v>
      </c>
      <c r="L97" s="451" t="s">
        <v>13</v>
      </c>
      <c r="M97" s="451" t="s">
        <v>14</v>
      </c>
      <c r="N97" s="451" t="s">
        <v>15</v>
      </c>
      <c r="O97" s="452" t="s">
        <v>16</v>
      </c>
      <c r="P97" s="454" t="s">
        <v>17</v>
      </c>
      <c r="Q97" s="451" t="s">
        <v>18</v>
      </c>
      <c r="R97" s="452" t="s">
        <v>19</v>
      </c>
      <c r="S97" s="451" t="s">
        <v>20</v>
      </c>
      <c r="T97" s="451" t="s">
        <v>21</v>
      </c>
      <c r="U97" s="452" t="s">
        <v>22</v>
      </c>
      <c r="V97" s="451" t="s">
        <v>131</v>
      </c>
      <c r="W97" s="451" t="s">
        <v>24</v>
      </c>
      <c r="X97" s="451" t="s">
        <v>132</v>
      </c>
      <c r="Y97" s="451" t="s">
        <v>26</v>
      </c>
      <c r="Z97" s="451" t="s">
        <v>27</v>
      </c>
      <c r="AA97" s="451" t="s">
        <v>28</v>
      </c>
      <c r="AB97" s="451" t="s">
        <v>29</v>
      </c>
      <c r="AC97" s="451" t="s">
        <v>30</v>
      </c>
      <c r="AD97" s="439"/>
      <c r="AE97" s="440"/>
      <c r="AF97" s="440"/>
      <c r="AG97" s="440"/>
      <c r="AH97" s="440"/>
      <c r="AI97" s="440"/>
      <c r="AJ97" s="440"/>
      <c r="AK97" s="440"/>
    </row>
    <row r="98" spans="1:37" s="587" customFormat="1" ht="58.9" customHeight="1" thickBot="1" x14ac:dyDescent="0.25">
      <c r="A98" s="584"/>
      <c r="B98" s="1043" t="s">
        <v>114</v>
      </c>
      <c r="C98" s="1043" t="s">
        <v>115</v>
      </c>
      <c r="D98" s="1044" t="s">
        <v>4764</v>
      </c>
      <c r="E98" s="1044"/>
      <c r="F98" s="1028" t="s">
        <v>4765</v>
      </c>
      <c r="G98" s="1028" t="s">
        <v>39</v>
      </c>
      <c r="H98" s="1029">
        <v>2650</v>
      </c>
      <c r="I98" s="640" t="s">
        <v>4760</v>
      </c>
      <c r="J98" s="1032">
        <v>40032</v>
      </c>
      <c r="K98" s="1041">
        <v>7</v>
      </c>
      <c r="L98" s="641">
        <f>+J98+K98</f>
        <v>40039</v>
      </c>
      <c r="M98" s="1033" t="s">
        <v>124</v>
      </c>
      <c r="N98" s="1028" t="s">
        <v>42</v>
      </c>
      <c r="O98" s="1032">
        <v>40032</v>
      </c>
      <c r="P98" s="1041">
        <f>IF(S98="","",+S98-L98)</f>
        <v>4</v>
      </c>
      <c r="Q98" s="1041" t="s">
        <v>4761</v>
      </c>
      <c r="R98" s="1032">
        <v>40036</v>
      </c>
      <c r="S98" s="642">
        <v>40043</v>
      </c>
      <c r="T98" s="642">
        <v>40061</v>
      </c>
      <c r="U98" s="1041">
        <f>IF(T98="","",+T98-J98)</f>
        <v>29</v>
      </c>
      <c r="V98" s="446" t="s">
        <v>53</v>
      </c>
      <c r="W98" s="1028">
        <v>412</v>
      </c>
      <c r="X98" s="1037"/>
      <c r="Y98" s="643"/>
      <c r="Z98" s="446">
        <v>9003876475</v>
      </c>
      <c r="AA98" s="1044" t="s">
        <v>2671</v>
      </c>
      <c r="AB98" s="1039" t="s">
        <v>4766</v>
      </c>
      <c r="AC98" s="644" t="s">
        <v>4767</v>
      </c>
      <c r="AD98" s="645" t="str">
        <f>IF(P98="","",IF(P98&lt;=0,"en término","atrasado"))</f>
        <v>atrasado</v>
      </c>
    </row>
    <row r="99" spans="1:37" s="587" customFormat="1" ht="54.95" customHeight="1" thickBot="1" x14ac:dyDescent="0.25">
      <c r="A99" s="584"/>
      <c r="B99" s="455" t="s">
        <v>114</v>
      </c>
      <c r="C99" s="455" t="s">
        <v>115</v>
      </c>
      <c r="D99" s="456" t="s">
        <v>4768</v>
      </c>
      <c r="E99" s="456"/>
      <c r="F99" s="457" t="s">
        <v>4769</v>
      </c>
      <c r="G99" s="457" t="s">
        <v>39</v>
      </c>
      <c r="H99" s="458">
        <v>10100</v>
      </c>
      <c r="I99" s="611" t="s">
        <v>4760</v>
      </c>
      <c r="J99" s="460">
        <v>40106</v>
      </c>
      <c r="K99" s="461">
        <v>2</v>
      </c>
      <c r="L99" s="462">
        <f>+J99+K99</f>
        <v>40108</v>
      </c>
      <c r="M99" s="459" t="s">
        <v>124</v>
      </c>
      <c r="N99" s="457" t="s">
        <v>42</v>
      </c>
      <c r="O99" s="460">
        <v>40106</v>
      </c>
      <c r="P99" s="461">
        <f>IF(S99="","",+S99-L99)</f>
        <v>6</v>
      </c>
      <c r="Q99" s="461"/>
      <c r="R99" s="460">
        <v>40109</v>
      </c>
      <c r="S99" s="471">
        <v>40114</v>
      </c>
      <c r="T99" s="471">
        <f>+S99+1</f>
        <v>40115</v>
      </c>
      <c r="U99" s="461">
        <f>IF(T99="","",+T99-J99)</f>
        <v>9</v>
      </c>
      <c r="V99" s="468" t="s">
        <v>4770</v>
      </c>
      <c r="W99" s="457">
        <v>430</v>
      </c>
      <c r="X99" s="592"/>
      <c r="Y99" s="467"/>
      <c r="Z99" s="468" t="s">
        <v>1676</v>
      </c>
      <c r="AA99" s="456"/>
      <c r="AB99" s="460" t="s">
        <v>4771</v>
      </c>
      <c r="AC99" s="470"/>
      <c r="AD99" s="645" t="str">
        <f>IF(P99="","",IF(P99&lt;=0,"en término","atrasado"))</f>
        <v>atrasado</v>
      </c>
    </row>
    <row r="101" spans="1:37" x14ac:dyDescent="0.2">
      <c r="AA101" s="1">
        <v>2009</v>
      </c>
      <c r="AB101" s="1047"/>
    </row>
    <row r="102" spans="1:37" x14ac:dyDescent="0.2">
      <c r="AA102" s="945" t="s">
        <v>813</v>
      </c>
      <c r="AB102" s="1048">
        <f>COUNTA(AD96:AD100)</f>
        <v>2</v>
      </c>
    </row>
    <row r="103" spans="1:37" x14ac:dyDescent="0.2">
      <c r="AA103" s="945" t="s">
        <v>4709</v>
      </c>
      <c r="AB103" s="1048">
        <f>COUNTIF(AD96:AD101,"en término")</f>
        <v>0</v>
      </c>
    </row>
    <row r="104" spans="1:37" x14ac:dyDescent="0.2">
      <c r="AA104" s="945" t="s">
        <v>817</v>
      </c>
      <c r="AB104" s="557">
        <f>+AB103/AB102</f>
        <v>0</v>
      </c>
    </row>
    <row r="108" spans="1:37" ht="13.5" thickBot="1" x14ac:dyDescent="0.25"/>
    <row r="109" spans="1:37" s="556" customFormat="1" ht="39.950000000000003" customHeight="1" thickBot="1" x14ac:dyDescent="0.4">
      <c r="B109" s="1611">
        <v>2010</v>
      </c>
      <c r="C109" s="1612"/>
      <c r="D109" s="1612"/>
      <c r="E109" s="1612"/>
      <c r="F109" s="1612"/>
      <c r="G109" s="1612"/>
      <c r="H109" s="1612"/>
      <c r="I109" s="1612"/>
      <c r="J109" s="1612"/>
      <c r="K109" s="1612"/>
      <c r="L109" s="1612"/>
      <c r="M109" s="1612"/>
      <c r="N109" s="1612"/>
      <c r="O109" s="1612"/>
      <c r="P109" s="1612"/>
      <c r="Q109" s="1612"/>
      <c r="R109" s="1612"/>
      <c r="S109" s="1612"/>
      <c r="T109" s="1612"/>
      <c r="U109" s="1612"/>
      <c r="V109" s="1612"/>
      <c r="W109" s="1612"/>
      <c r="X109" s="1612"/>
      <c r="Y109" s="1612"/>
      <c r="Z109" s="1612"/>
      <c r="AA109" s="1612"/>
      <c r="AB109" s="1612"/>
      <c r="AC109" s="1613"/>
      <c r="AD109" s="560"/>
    </row>
    <row r="110" spans="1:37" s="441" customFormat="1" ht="60" customHeight="1" thickBot="1" x14ac:dyDescent="0.25">
      <c r="A110" s="438"/>
      <c r="B110" s="451" t="s">
        <v>130</v>
      </c>
      <c r="C110" s="451" t="s">
        <v>4</v>
      </c>
      <c r="D110" s="451" t="s">
        <v>5</v>
      </c>
      <c r="E110" s="451" t="s">
        <v>6</v>
      </c>
      <c r="F110" s="451" t="s">
        <v>7</v>
      </c>
      <c r="G110" s="451" t="s">
        <v>8</v>
      </c>
      <c r="H110" s="453" t="s">
        <v>9</v>
      </c>
      <c r="I110" s="453" t="s">
        <v>10</v>
      </c>
      <c r="J110" s="451" t="s">
        <v>11</v>
      </c>
      <c r="K110" s="451" t="s">
        <v>12</v>
      </c>
      <c r="L110" s="451" t="s">
        <v>13</v>
      </c>
      <c r="M110" s="451" t="s">
        <v>14</v>
      </c>
      <c r="N110" s="451" t="s">
        <v>15</v>
      </c>
      <c r="O110" s="452" t="s">
        <v>16</v>
      </c>
      <c r="P110" s="454" t="s">
        <v>17</v>
      </c>
      <c r="Q110" s="451" t="s">
        <v>18</v>
      </c>
      <c r="R110" s="452" t="s">
        <v>19</v>
      </c>
      <c r="S110" s="451" t="s">
        <v>20</v>
      </c>
      <c r="T110" s="451" t="s">
        <v>21</v>
      </c>
      <c r="U110" s="452" t="s">
        <v>22</v>
      </c>
      <c r="V110" s="451" t="s">
        <v>131</v>
      </c>
      <c r="W110" s="451" t="s">
        <v>24</v>
      </c>
      <c r="X110" s="451" t="s">
        <v>132</v>
      </c>
      <c r="Y110" s="451" t="s">
        <v>26</v>
      </c>
      <c r="Z110" s="451" t="s">
        <v>27</v>
      </c>
      <c r="AA110" s="451" t="s">
        <v>28</v>
      </c>
      <c r="AB110" s="451" t="s">
        <v>29</v>
      </c>
      <c r="AC110" s="451" t="s">
        <v>30</v>
      </c>
      <c r="AD110" s="439"/>
      <c r="AE110" s="440"/>
      <c r="AF110" s="440"/>
      <c r="AG110" s="440"/>
      <c r="AH110" s="440"/>
      <c r="AI110" s="440"/>
      <c r="AJ110" s="440"/>
      <c r="AK110" s="440"/>
    </row>
    <row r="111" spans="1:37" s="587" customFormat="1" ht="54.95" customHeight="1" thickBot="1" x14ac:dyDescent="0.25">
      <c r="A111" s="584"/>
      <c r="B111" s="455" t="s">
        <v>114</v>
      </c>
      <c r="C111" s="455" t="s">
        <v>115</v>
      </c>
      <c r="D111" s="456" t="s">
        <v>4772</v>
      </c>
      <c r="E111" s="456"/>
      <c r="F111" s="457" t="s">
        <v>4773</v>
      </c>
      <c r="G111" s="457" t="s">
        <v>3703</v>
      </c>
      <c r="H111" s="458">
        <v>495</v>
      </c>
      <c r="I111" s="611" t="s">
        <v>118</v>
      </c>
      <c r="J111" s="460">
        <v>40248</v>
      </c>
      <c r="K111" s="461">
        <v>20</v>
      </c>
      <c r="L111" s="462">
        <f>+J111+K111</f>
        <v>40268</v>
      </c>
      <c r="M111" s="611" t="s">
        <v>124</v>
      </c>
      <c r="N111" s="468" t="s">
        <v>110</v>
      </c>
      <c r="O111" s="460">
        <v>40253</v>
      </c>
      <c r="P111" s="461">
        <f>IF(S111="","",+S111-L111)</f>
        <v>-10</v>
      </c>
      <c r="Q111" s="461"/>
      <c r="R111" s="460">
        <v>40255</v>
      </c>
      <c r="S111" s="471">
        <v>40258</v>
      </c>
      <c r="T111" s="471">
        <f>+S111+5</f>
        <v>40263</v>
      </c>
      <c r="U111" s="461">
        <f>IF(T111="","",+T111-J111)</f>
        <v>15</v>
      </c>
      <c r="V111" s="468" t="s">
        <v>4774</v>
      </c>
      <c r="W111" s="493" t="s">
        <v>2758</v>
      </c>
      <c r="X111" s="467"/>
      <c r="Y111" s="467"/>
      <c r="Z111" s="468" t="s">
        <v>4775</v>
      </c>
      <c r="AA111" s="456" t="s">
        <v>47</v>
      </c>
      <c r="AB111" s="460" t="s">
        <v>1869</v>
      </c>
      <c r="AC111" s="470"/>
      <c r="AD111" s="645" t="str">
        <f>IF(P111="","",IF(P111&lt;=0,"en término","atrasado"))</f>
        <v>en término</v>
      </c>
    </row>
    <row r="112" spans="1:37" s="587" customFormat="1" ht="54.95" customHeight="1" thickBot="1" x14ac:dyDescent="0.25">
      <c r="A112" s="584"/>
      <c r="B112" s="455" t="s">
        <v>114</v>
      </c>
      <c r="C112" s="455" t="s">
        <v>4776</v>
      </c>
      <c r="D112" s="456" t="s">
        <v>4777</v>
      </c>
      <c r="E112" s="456"/>
      <c r="F112" s="457" t="s">
        <v>4778</v>
      </c>
      <c r="G112" s="457" t="s">
        <v>39</v>
      </c>
      <c r="H112" s="458">
        <v>2725</v>
      </c>
      <c r="I112" s="611" t="s">
        <v>118</v>
      </c>
      <c r="J112" s="460">
        <v>40428</v>
      </c>
      <c r="K112" s="461">
        <v>30</v>
      </c>
      <c r="L112" s="462">
        <f>+J112+K112</f>
        <v>40458</v>
      </c>
      <c r="M112" s="611" t="s">
        <v>124</v>
      </c>
      <c r="N112" s="468" t="s">
        <v>1750</v>
      </c>
      <c r="O112" s="460">
        <v>40452</v>
      </c>
      <c r="P112" s="461">
        <f>IF(S112="","",+S112-L112)</f>
        <v>22</v>
      </c>
      <c r="Q112" s="461" t="s">
        <v>4779</v>
      </c>
      <c r="R112" s="460">
        <v>40464</v>
      </c>
      <c r="S112" s="471">
        <v>40480</v>
      </c>
      <c r="T112" s="471">
        <f>+S112+25</f>
        <v>40505</v>
      </c>
      <c r="U112" s="461">
        <f>IF(T112="","",+T112-J112)</f>
        <v>77</v>
      </c>
      <c r="V112" s="468" t="s">
        <v>4780</v>
      </c>
      <c r="W112" s="493" t="s">
        <v>2858</v>
      </c>
      <c r="X112" s="467"/>
      <c r="Y112" s="467"/>
      <c r="Z112" s="468">
        <v>3109968245</v>
      </c>
      <c r="AA112" s="456"/>
      <c r="AB112" s="460" t="s">
        <v>4781</v>
      </c>
      <c r="AC112" s="470" t="s">
        <v>4782</v>
      </c>
      <c r="AD112" s="645" t="str">
        <f>IF(P112="","",IF(P112&lt;=0,"en término","atrasado"))</f>
        <v>atrasado</v>
      </c>
    </row>
    <row r="114" spans="1:37" x14ac:dyDescent="0.2">
      <c r="AA114" s="1">
        <v>2010</v>
      </c>
      <c r="AB114" s="1047"/>
    </row>
    <row r="115" spans="1:37" x14ac:dyDescent="0.2">
      <c r="AA115" s="945" t="s">
        <v>813</v>
      </c>
      <c r="AB115" s="1048">
        <f>COUNTA(AD108:AD113)</f>
        <v>2</v>
      </c>
    </row>
    <row r="116" spans="1:37" x14ac:dyDescent="0.2">
      <c r="AA116" s="945" t="s">
        <v>4709</v>
      </c>
      <c r="AB116" s="1048">
        <f>COUNTIF(AD108:AD114,"en término")</f>
        <v>1</v>
      </c>
    </row>
    <row r="117" spans="1:37" x14ac:dyDescent="0.2">
      <c r="AA117" s="945" t="s">
        <v>817</v>
      </c>
      <c r="AB117" s="557">
        <f>+AB116/AB115</f>
        <v>0.5</v>
      </c>
    </row>
    <row r="119" spans="1:37" ht="13.5" thickBot="1" x14ac:dyDescent="0.25"/>
    <row r="120" spans="1:37" s="556" customFormat="1" ht="39.950000000000003" customHeight="1" thickBot="1" x14ac:dyDescent="0.4">
      <c r="B120" s="1611">
        <v>2012</v>
      </c>
      <c r="C120" s="1612"/>
      <c r="D120" s="1612"/>
      <c r="E120" s="1612"/>
      <c r="F120" s="1612"/>
      <c r="G120" s="1612"/>
      <c r="H120" s="1612"/>
      <c r="I120" s="1612"/>
      <c r="J120" s="1612"/>
      <c r="K120" s="1612"/>
      <c r="L120" s="1612"/>
      <c r="M120" s="1612"/>
      <c r="N120" s="1612"/>
      <c r="O120" s="1612"/>
      <c r="P120" s="1612"/>
      <c r="Q120" s="1612"/>
      <c r="R120" s="1612"/>
      <c r="S120" s="1612"/>
      <c r="T120" s="1612"/>
      <c r="U120" s="1612"/>
      <c r="V120" s="1612"/>
      <c r="W120" s="1612"/>
      <c r="X120" s="1612"/>
      <c r="Y120" s="1612"/>
      <c r="Z120" s="1612"/>
      <c r="AA120" s="1612"/>
      <c r="AB120" s="1612"/>
      <c r="AC120" s="1613"/>
      <c r="AD120" s="560"/>
    </row>
    <row r="121" spans="1:37" s="441" customFormat="1" ht="60" customHeight="1" thickBot="1" x14ac:dyDescent="0.25">
      <c r="A121" s="438"/>
      <c r="B121" s="451" t="s">
        <v>130</v>
      </c>
      <c r="C121" s="451" t="s">
        <v>4</v>
      </c>
      <c r="D121" s="451" t="s">
        <v>5</v>
      </c>
      <c r="E121" s="451" t="s">
        <v>6</v>
      </c>
      <c r="F121" s="451" t="s">
        <v>7</v>
      </c>
      <c r="G121" s="451" t="s">
        <v>8</v>
      </c>
      <c r="H121" s="453" t="s">
        <v>9</v>
      </c>
      <c r="I121" s="453" t="s">
        <v>10</v>
      </c>
      <c r="J121" s="451" t="s">
        <v>11</v>
      </c>
      <c r="K121" s="451" t="s">
        <v>12</v>
      </c>
      <c r="L121" s="451" t="s">
        <v>13</v>
      </c>
      <c r="M121" s="451" t="s">
        <v>14</v>
      </c>
      <c r="N121" s="451" t="s">
        <v>15</v>
      </c>
      <c r="O121" s="452" t="s">
        <v>16</v>
      </c>
      <c r="P121" s="454" t="s">
        <v>17</v>
      </c>
      <c r="Q121" s="451" t="s">
        <v>18</v>
      </c>
      <c r="R121" s="452" t="s">
        <v>19</v>
      </c>
      <c r="S121" s="451" t="s">
        <v>20</v>
      </c>
      <c r="T121" s="451" t="s">
        <v>21</v>
      </c>
      <c r="U121" s="452" t="s">
        <v>22</v>
      </c>
      <c r="V121" s="451" t="s">
        <v>131</v>
      </c>
      <c r="W121" s="451" t="s">
        <v>24</v>
      </c>
      <c r="X121" s="451" t="s">
        <v>132</v>
      </c>
      <c r="Y121" s="451" t="s">
        <v>26</v>
      </c>
      <c r="Z121" s="451" t="s">
        <v>27</v>
      </c>
      <c r="AA121" s="451" t="s">
        <v>28</v>
      </c>
      <c r="AB121" s="451" t="s">
        <v>29</v>
      </c>
      <c r="AC121" s="451" t="s">
        <v>30</v>
      </c>
      <c r="AD121" s="439"/>
      <c r="AE121" s="440"/>
      <c r="AF121" s="440"/>
      <c r="AG121" s="440"/>
      <c r="AH121" s="440"/>
      <c r="AI121" s="440"/>
      <c r="AJ121" s="440"/>
      <c r="AK121" s="440"/>
    </row>
    <row r="122" spans="1:37" s="587" customFormat="1" ht="54.95" customHeight="1" thickBot="1" x14ac:dyDescent="0.25">
      <c r="A122" s="649"/>
      <c r="B122" s="455" t="s">
        <v>114</v>
      </c>
      <c r="C122" s="455" t="s">
        <v>115</v>
      </c>
      <c r="D122" s="456" t="s">
        <v>4783</v>
      </c>
      <c r="E122" s="456"/>
      <c r="F122" s="457" t="s">
        <v>4784</v>
      </c>
      <c r="G122" s="457" t="s">
        <v>39</v>
      </c>
      <c r="H122" s="458">
        <v>10370</v>
      </c>
      <c r="I122" s="611" t="s">
        <v>118</v>
      </c>
      <c r="J122" s="460">
        <v>40899</v>
      </c>
      <c r="K122" s="461">
        <v>120</v>
      </c>
      <c r="L122" s="462">
        <f>+J122+K122</f>
        <v>41019</v>
      </c>
      <c r="M122" s="611" t="s">
        <v>124</v>
      </c>
      <c r="N122" s="468" t="s">
        <v>110</v>
      </c>
      <c r="O122" s="460">
        <v>40991</v>
      </c>
      <c r="P122" s="461">
        <f>IF(S122="","",+S122-L122)</f>
        <v>-19</v>
      </c>
      <c r="Q122" s="461"/>
      <c r="R122" s="460">
        <v>40994</v>
      </c>
      <c r="S122" s="471">
        <v>41000</v>
      </c>
      <c r="T122" s="471">
        <f>+S122+5</f>
        <v>41005</v>
      </c>
      <c r="U122" s="461">
        <f>IF(T122="","",+T122-J122)</f>
        <v>106</v>
      </c>
      <c r="V122" s="468" t="s">
        <v>4785</v>
      </c>
      <c r="W122" s="493" t="s">
        <v>2267</v>
      </c>
      <c r="X122" s="592"/>
      <c r="Y122" s="592"/>
      <c r="Z122" s="468" t="s">
        <v>1676</v>
      </c>
      <c r="AA122" s="456"/>
      <c r="AB122" s="460" t="s">
        <v>3791</v>
      </c>
      <c r="AC122" s="470"/>
      <c r="AD122" s="645" t="str">
        <f>IF(P122="","",IF(P122&lt;=0,"en término","atrasado"))</f>
        <v>en término</v>
      </c>
    </row>
    <row r="123" spans="1:37" s="587" customFormat="1" ht="54.95" customHeight="1" thickBot="1" x14ac:dyDescent="0.25">
      <c r="A123" s="649"/>
      <c r="B123" s="455" t="s">
        <v>114</v>
      </c>
      <c r="C123" s="455" t="s">
        <v>115</v>
      </c>
      <c r="D123" s="456" t="s">
        <v>4783</v>
      </c>
      <c r="E123" s="456"/>
      <c r="F123" s="457" t="s">
        <v>4786</v>
      </c>
      <c r="G123" s="457" t="s">
        <v>39</v>
      </c>
      <c r="H123" s="458">
        <v>38840</v>
      </c>
      <c r="I123" s="611" t="s">
        <v>118</v>
      </c>
      <c r="J123" s="460">
        <v>40899</v>
      </c>
      <c r="K123" s="461">
        <v>120</v>
      </c>
      <c r="L123" s="462">
        <f>+J123+K123</f>
        <v>41019</v>
      </c>
      <c r="M123" s="611" t="s">
        <v>124</v>
      </c>
      <c r="N123" s="468" t="s">
        <v>42</v>
      </c>
      <c r="O123" s="460">
        <v>41012</v>
      </c>
      <c r="P123" s="461">
        <f>IF(S123="","",+S123-L123)</f>
        <v>17</v>
      </c>
      <c r="Q123" s="461" t="s">
        <v>4787</v>
      </c>
      <c r="R123" s="460">
        <v>41022</v>
      </c>
      <c r="S123" s="471">
        <v>41036</v>
      </c>
      <c r="T123" s="462">
        <f>+S123+15</f>
        <v>41051</v>
      </c>
      <c r="U123" s="461">
        <f>IF(T123="","",+T123-J123)</f>
        <v>152</v>
      </c>
      <c r="V123" s="468" t="s">
        <v>4788</v>
      </c>
      <c r="W123" s="493" t="s">
        <v>2286</v>
      </c>
      <c r="X123" s="592"/>
      <c r="Y123" s="592"/>
      <c r="Z123" s="468" t="s">
        <v>4789</v>
      </c>
      <c r="AA123" s="456"/>
      <c r="AB123" s="460" t="s">
        <v>3791</v>
      </c>
      <c r="AC123" s="470"/>
      <c r="AD123" s="645" t="str">
        <f>IF(P123="","",IF(P123&lt;=0,"en término","atrasado"))</f>
        <v>atrasado</v>
      </c>
    </row>
    <row r="124" spans="1:37" s="587" customFormat="1" ht="54.95" customHeight="1" thickBot="1" x14ac:dyDescent="0.25">
      <c r="A124" s="649"/>
      <c r="B124" s="455" t="s">
        <v>114</v>
      </c>
      <c r="C124" s="455" t="s">
        <v>115</v>
      </c>
      <c r="D124" s="456" t="s">
        <v>4790</v>
      </c>
      <c r="E124" s="456"/>
      <c r="F124" s="457" t="s">
        <v>4791</v>
      </c>
      <c r="G124" s="457" t="s">
        <v>39</v>
      </c>
      <c r="H124" s="458">
        <v>5930</v>
      </c>
      <c r="I124" s="611" t="s">
        <v>118</v>
      </c>
      <c r="J124" s="460">
        <v>40899</v>
      </c>
      <c r="K124" s="461">
        <v>120</v>
      </c>
      <c r="L124" s="462">
        <f>+J124+K124</f>
        <v>41019</v>
      </c>
      <c r="M124" s="611" t="s">
        <v>124</v>
      </c>
      <c r="N124" s="468" t="s">
        <v>42</v>
      </c>
      <c r="O124" s="460">
        <v>41012</v>
      </c>
      <c r="P124" s="461">
        <f>IF(S124="","",+S124-L124)</f>
        <v>17</v>
      </c>
      <c r="Q124" s="461" t="s">
        <v>4787</v>
      </c>
      <c r="R124" s="460">
        <v>41022</v>
      </c>
      <c r="S124" s="471">
        <v>41036</v>
      </c>
      <c r="T124" s="462">
        <f>+S124+15</f>
        <v>41051</v>
      </c>
      <c r="U124" s="461">
        <f>IF(T124="","",+T124-J124)</f>
        <v>152</v>
      </c>
      <c r="V124" s="468" t="s">
        <v>73</v>
      </c>
      <c r="W124" s="493" t="s">
        <v>2293</v>
      </c>
      <c r="X124" s="592"/>
      <c r="Y124" s="592"/>
      <c r="Z124" s="468" t="s">
        <v>4789</v>
      </c>
      <c r="AA124" s="456"/>
      <c r="AB124" s="460" t="s">
        <v>3791</v>
      </c>
      <c r="AC124" s="470"/>
      <c r="AD124" s="645" t="str">
        <f>IF(P124="","",IF(P124&lt;=0,"en término","atrasado"))</f>
        <v>atrasado</v>
      </c>
    </row>
    <row r="125" spans="1:37" s="587" customFormat="1" ht="54.95" customHeight="1" thickBot="1" x14ac:dyDescent="0.25">
      <c r="A125" s="649"/>
      <c r="B125" s="455" t="s">
        <v>114</v>
      </c>
      <c r="C125" s="455" t="s">
        <v>115</v>
      </c>
      <c r="D125" s="456" t="s">
        <v>4790</v>
      </c>
      <c r="E125" s="456"/>
      <c r="F125" s="457" t="s">
        <v>4792</v>
      </c>
      <c r="G125" s="457" t="s">
        <v>39</v>
      </c>
      <c r="H125" s="458">
        <v>9180</v>
      </c>
      <c r="I125" s="611" t="s">
        <v>118</v>
      </c>
      <c r="J125" s="460">
        <v>40899</v>
      </c>
      <c r="K125" s="461">
        <v>120</v>
      </c>
      <c r="L125" s="462">
        <f>+J125+K125</f>
        <v>41019</v>
      </c>
      <c r="M125" s="611" t="s">
        <v>124</v>
      </c>
      <c r="N125" s="468" t="s">
        <v>42</v>
      </c>
      <c r="O125" s="460">
        <v>41012</v>
      </c>
      <c r="P125" s="461">
        <f>IF(S125="","",+S125-L125)</f>
        <v>17</v>
      </c>
      <c r="Q125" s="461" t="s">
        <v>4787</v>
      </c>
      <c r="R125" s="460">
        <v>41022</v>
      </c>
      <c r="S125" s="471">
        <v>41036</v>
      </c>
      <c r="T125" s="462">
        <f>+S125+15</f>
        <v>41051</v>
      </c>
      <c r="U125" s="461">
        <f>IF(T125="","",+T125-J125)</f>
        <v>152</v>
      </c>
      <c r="V125" s="468" t="s">
        <v>1988</v>
      </c>
      <c r="W125" s="493" t="s">
        <v>2289</v>
      </c>
      <c r="X125" s="592"/>
      <c r="Y125" s="592"/>
      <c r="Z125" s="468" t="s">
        <v>4789</v>
      </c>
      <c r="AA125" s="456"/>
      <c r="AB125" s="460" t="s">
        <v>3791</v>
      </c>
      <c r="AC125" s="470"/>
      <c r="AD125" s="645" t="str">
        <f>IF(P125="","",IF(P125&lt;=0,"en término","atrasado"))</f>
        <v>atrasado</v>
      </c>
    </row>
    <row r="128" spans="1:37" x14ac:dyDescent="0.2">
      <c r="AA128" s="1">
        <v>2012</v>
      </c>
      <c r="AB128" s="1047"/>
    </row>
    <row r="129" spans="1:37" x14ac:dyDescent="0.2">
      <c r="AA129" s="945" t="s">
        <v>813</v>
      </c>
      <c r="AB129" s="1048">
        <f>COUNTA(AD122:AD127)</f>
        <v>4</v>
      </c>
    </row>
    <row r="130" spans="1:37" x14ac:dyDescent="0.2">
      <c r="AA130" s="945" t="s">
        <v>4709</v>
      </c>
      <c r="AB130" s="1048">
        <f>COUNTIF(AD122:AD128,"en término")</f>
        <v>1</v>
      </c>
    </row>
    <row r="131" spans="1:37" x14ac:dyDescent="0.2">
      <c r="AA131" s="945" t="s">
        <v>817</v>
      </c>
      <c r="AB131" s="557">
        <f>+AB130/AB129</f>
        <v>0.25</v>
      </c>
    </row>
    <row r="132" spans="1:37" x14ac:dyDescent="0.2">
      <c r="AA132" s="945"/>
      <c r="AB132" s="557"/>
    </row>
    <row r="133" spans="1:37" ht="13.5" thickBot="1" x14ac:dyDescent="0.25"/>
    <row r="134" spans="1:37" s="556" customFormat="1" ht="39.950000000000003" customHeight="1" thickBot="1" x14ac:dyDescent="0.4">
      <c r="B134" s="1611">
        <v>2013</v>
      </c>
      <c r="C134" s="1612"/>
      <c r="D134" s="1612"/>
      <c r="E134" s="1612"/>
      <c r="F134" s="1612"/>
      <c r="G134" s="1612"/>
      <c r="H134" s="1612"/>
      <c r="I134" s="1612"/>
      <c r="J134" s="1612"/>
      <c r="K134" s="1612"/>
      <c r="L134" s="1612"/>
      <c r="M134" s="1612"/>
      <c r="N134" s="1612"/>
      <c r="O134" s="1612"/>
      <c r="P134" s="1612"/>
      <c r="Q134" s="1612"/>
      <c r="R134" s="1612"/>
      <c r="S134" s="1612"/>
      <c r="T134" s="1612"/>
      <c r="U134" s="1612"/>
      <c r="V134" s="1612"/>
      <c r="W134" s="1612"/>
      <c r="X134" s="1612"/>
      <c r="Y134" s="1612"/>
      <c r="Z134" s="1612"/>
      <c r="AA134" s="1612"/>
      <c r="AB134" s="1612"/>
      <c r="AC134" s="1613"/>
      <c r="AD134" s="560"/>
    </row>
    <row r="135" spans="1:37" s="441" customFormat="1" ht="60" customHeight="1" thickBot="1" x14ac:dyDescent="0.25">
      <c r="A135" s="438"/>
      <c r="B135" s="451" t="s">
        <v>130</v>
      </c>
      <c r="C135" s="451" t="s">
        <v>4</v>
      </c>
      <c r="D135" s="451" t="s">
        <v>5</v>
      </c>
      <c r="E135" s="451" t="s">
        <v>6</v>
      </c>
      <c r="F135" s="451" t="s">
        <v>7</v>
      </c>
      <c r="G135" s="451" t="s">
        <v>8</v>
      </c>
      <c r="H135" s="453" t="s">
        <v>9</v>
      </c>
      <c r="I135" s="453" t="s">
        <v>10</v>
      </c>
      <c r="J135" s="451" t="s">
        <v>11</v>
      </c>
      <c r="K135" s="451" t="s">
        <v>12</v>
      </c>
      <c r="L135" s="451" t="s">
        <v>13</v>
      </c>
      <c r="M135" s="451" t="s">
        <v>14</v>
      </c>
      <c r="N135" s="451" t="s">
        <v>15</v>
      </c>
      <c r="O135" s="452" t="s">
        <v>16</v>
      </c>
      <c r="P135" s="454" t="s">
        <v>17</v>
      </c>
      <c r="Q135" s="451" t="s">
        <v>18</v>
      </c>
      <c r="R135" s="452" t="s">
        <v>19</v>
      </c>
      <c r="S135" s="451" t="s">
        <v>20</v>
      </c>
      <c r="T135" s="451" t="s">
        <v>21</v>
      </c>
      <c r="U135" s="452" t="s">
        <v>22</v>
      </c>
      <c r="V135" s="451" t="s">
        <v>131</v>
      </c>
      <c r="W135" s="451" t="s">
        <v>24</v>
      </c>
      <c r="X135" s="451" t="s">
        <v>132</v>
      </c>
      <c r="Y135" s="451" t="s">
        <v>26</v>
      </c>
      <c r="Z135" s="451" t="s">
        <v>27</v>
      </c>
      <c r="AA135" s="451" t="s">
        <v>28</v>
      </c>
      <c r="AB135" s="451" t="s">
        <v>29</v>
      </c>
      <c r="AC135" s="451" t="s">
        <v>30</v>
      </c>
      <c r="AD135" s="439"/>
      <c r="AE135" s="440"/>
      <c r="AF135" s="440"/>
      <c r="AG135" s="440"/>
      <c r="AH135" s="440"/>
      <c r="AI135" s="440"/>
      <c r="AJ135" s="440"/>
      <c r="AK135" s="440"/>
    </row>
    <row r="136" spans="1:37" s="587" customFormat="1" ht="54.95" customHeight="1" thickBot="1" x14ac:dyDescent="0.25">
      <c r="A136" s="649"/>
      <c r="B136" s="455" t="s">
        <v>114</v>
      </c>
      <c r="C136" s="455" t="s">
        <v>4793</v>
      </c>
      <c r="D136" s="456" t="s">
        <v>4794</v>
      </c>
      <c r="E136" s="456"/>
      <c r="F136" s="842" t="s">
        <v>4795</v>
      </c>
      <c r="G136" s="457" t="s">
        <v>3763</v>
      </c>
      <c r="H136" s="458">
        <v>6900</v>
      </c>
      <c r="I136" s="611" t="s">
        <v>4796</v>
      </c>
      <c r="J136" s="460">
        <v>41299</v>
      </c>
      <c r="K136" s="461">
        <v>90</v>
      </c>
      <c r="L136" s="462">
        <f>+J136+K136</f>
        <v>41389</v>
      </c>
      <c r="M136" s="611" t="s">
        <v>124</v>
      </c>
      <c r="N136" s="468" t="s">
        <v>4797</v>
      </c>
      <c r="O136" s="460">
        <v>41380</v>
      </c>
      <c r="P136" s="461">
        <f>IF(S136="","",+S136-L136)</f>
        <v>10</v>
      </c>
      <c r="Q136" s="461"/>
      <c r="R136" s="460">
        <v>41387</v>
      </c>
      <c r="S136" s="836">
        <v>41399</v>
      </c>
      <c r="T136" s="462">
        <v>41432</v>
      </c>
      <c r="U136" s="461">
        <f>IF(T136="","",+T136-J136)</f>
        <v>133</v>
      </c>
      <c r="V136" s="468" t="s">
        <v>4798</v>
      </c>
      <c r="W136" s="493" t="s">
        <v>2265</v>
      </c>
      <c r="X136" s="592"/>
      <c r="Y136" s="592"/>
      <c r="Z136" s="468" t="s">
        <v>4799</v>
      </c>
      <c r="AA136" s="456"/>
      <c r="AB136" s="589" t="s">
        <v>47</v>
      </c>
      <c r="AC136" s="470" t="s">
        <v>4800</v>
      </c>
      <c r="AD136" s="645" t="str">
        <f>IF(P136="","",IF(P136&lt;=0,"en término","atrasado"))</f>
        <v>atrasado</v>
      </c>
    </row>
    <row r="137" spans="1:37" s="587" customFormat="1" ht="54.95" customHeight="1" thickBot="1" x14ac:dyDescent="0.25">
      <c r="A137" s="649"/>
      <c r="B137" s="455" t="s">
        <v>114</v>
      </c>
      <c r="C137" s="455" t="s">
        <v>4801</v>
      </c>
      <c r="D137" s="456" t="s">
        <v>4802</v>
      </c>
      <c r="E137" s="456"/>
      <c r="F137" s="842">
        <v>30500204</v>
      </c>
      <c r="G137" s="457" t="s">
        <v>3763</v>
      </c>
      <c r="H137" s="458">
        <v>22465</v>
      </c>
      <c r="I137" s="611" t="s">
        <v>4796</v>
      </c>
      <c r="J137" s="460">
        <v>41422</v>
      </c>
      <c r="K137" s="461">
        <v>90</v>
      </c>
      <c r="L137" s="462">
        <v>41511</v>
      </c>
      <c r="M137" s="611" t="s">
        <v>124</v>
      </c>
      <c r="N137" s="468" t="s">
        <v>110</v>
      </c>
      <c r="O137" s="460">
        <v>41513</v>
      </c>
      <c r="P137" s="461">
        <f>IF(S137="","",+S137-L137)</f>
        <v>25</v>
      </c>
      <c r="Q137" s="461"/>
      <c r="R137" s="460">
        <v>41530</v>
      </c>
      <c r="S137" s="836">
        <v>41536</v>
      </c>
      <c r="T137" s="462">
        <v>41539</v>
      </c>
      <c r="U137" s="461">
        <f>IF(T137="","",+T137-J137)</f>
        <v>117</v>
      </c>
      <c r="V137" s="468" t="s">
        <v>4803</v>
      </c>
      <c r="W137" s="493" t="s">
        <v>2653</v>
      </c>
      <c r="X137" s="592"/>
      <c r="Y137" s="592"/>
      <c r="Z137" s="468">
        <v>9449631505</v>
      </c>
      <c r="AA137" s="456"/>
      <c r="AB137" s="589" t="s">
        <v>4804</v>
      </c>
      <c r="AC137" s="470" t="s">
        <v>4805</v>
      </c>
      <c r="AD137" s="645" t="str">
        <f>IF(P137="","",IF(P137&lt;=0,"en término","atrasado"))</f>
        <v>atrasado</v>
      </c>
      <c r="AF137" s="656"/>
    </row>
    <row r="138" spans="1:37" s="587" customFormat="1" ht="54.95" customHeight="1" thickBot="1" x14ac:dyDescent="0.25">
      <c r="A138" s="649"/>
      <c r="B138" s="455" t="s">
        <v>114</v>
      </c>
      <c r="C138" s="455" t="s">
        <v>4806</v>
      </c>
      <c r="D138" s="456" t="s">
        <v>4807</v>
      </c>
      <c r="E138" s="456"/>
      <c r="F138" s="844" t="s">
        <v>4808</v>
      </c>
      <c r="G138" s="457" t="s">
        <v>3763</v>
      </c>
      <c r="H138" s="458">
        <v>12260</v>
      </c>
      <c r="I138" s="611" t="s">
        <v>4796</v>
      </c>
      <c r="J138" s="460">
        <v>41453</v>
      </c>
      <c r="K138" s="461">
        <f>+L138-J138</f>
        <v>63</v>
      </c>
      <c r="L138" s="462">
        <v>41516</v>
      </c>
      <c r="M138" s="611" t="s">
        <v>124</v>
      </c>
      <c r="N138" s="468" t="s">
        <v>42</v>
      </c>
      <c r="O138" s="460">
        <v>41513</v>
      </c>
      <c r="P138" s="461">
        <f>IF(S138="","",+S138-L138)</f>
        <v>20</v>
      </c>
      <c r="Q138" s="461"/>
      <c r="R138" s="460">
        <v>41530</v>
      </c>
      <c r="S138" s="836">
        <v>41536</v>
      </c>
      <c r="T138" s="462">
        <v>41539</v>
      </c>
      <c r="U138" s="461">
        <f>IF(T138="","",+T138-J138)</f>
        <v>86</v>
      </c>
      <c r="V138" s="468" t="s">
        <v>4809</v>
      </c>
      <c r="W138" s="493" t="s">
        <v>2655</v>
      </c>
      <c r="X138" s="592"/>
      <c r="Y138" s="592"/>
      <c r="Z138" s="468">
        <v>9449624520</v>
      </c>
      <c r="AA138" s="456"/>
      <c r="AB138" s="589" t="s">
        <v>2844</v>
      </c>
      <c r="AC138" s="470" t="s">
        <v>4810</v>
      </c>
      <c r="AD138" s="645" t="str">
        <f>IF(P138="","",IF(P138&lt;=0,"en término","atrasado"))</f>
        <v>atrasado</v>
      </c>
      <c r="AF138" s="656"/>
    </row>
    <row r="140" spans="1:37" x14ac:dyDescent="0.2">
      <c r="AA140" s="1">
        <v>2013</v>
      </c>
      <c r="AB140" s="1047"/>
    </row>
    <row r="141" spans="1:37" x14ac:dyDescent="0.2">
      <c r="AA141" s="945" t="s">
        <v>813</v>
      </c>
      <c r="AB141" s="1048">
        <f>COUNTA(AD134:AD139)</f>
        <v>3</v>
      </c>
    </row>
    <row r="142" spans="1:37" x14ac:dyDescent="0.2">
      <c r="AA142" s="945" t="s">
        <v>4709</v>
      </c>
      <c r="AB142" s="1048">
        <f>COUNTIF(AD134:AD140,"en término")</f>
        <v>0</v>
      </c>
    </row>
    <row r="143" spans="1:37" x14ac:dyDescent="0.2">
      <c r="AA143" s="945" t="s">
        <v>817</v>
      </c>
      <c r="AB143" s="557">
        <f>+AB142/AB141</f>
        <v>0</v>
      </c>
    </row>
    <row r="145" spans="1:37" ht="13.5" thickBot="1" x14ac:dyDescent="0.25"/>
    <row r="146" spans="1:37" s="556" customFormat="1" ht="39.950000000000003" customHeight="1" thickBot="1" x14ac:dyDescent="0.4">
      <c r="B146" s="1611">
        <v>2014</v>
      </c>
      <c r="C146" s="1612"/>
      <c r="D146" s="1612"/>
      <c r="E146" s="1612"/>
      <c r="F146" s="1612"/>
      <c r="G146" s="1612"/>
      <c r="H146" s="1612"/>
      <c r="I146" s="1612"/>
      <c r="J146" s="1612"/>
      <c r="K146" s="1612"/>
      <c r="L146" s="1612"/>
      <c r="M146" s="1612"/>
      <c r="N146" s="1612"/>
      <c r="O146" s="1612"/>
      <c r="P146" s="1612"/>
      <c r="Q146" s="1612"/>
      <c r="R146" s="1612"/>
      <c r="S146" s="1612"/>
      <c r="T146" s="1612"/>
      <c r="U146" s="1612"/>
      <c r="V146" s="1612"/>
      <c r="W146" s="1612"/>
      <c r="X146" s="1612"/>
      <c r="Y146" s="1612"/>
      <c r="Z146" s="1612"/>
      <c r="AA146" s="1612"/>
      <c r="AB146" s="1612"/>
      <c r="AC146" s="1613"/>
      <c r="AD146" s="560"/>
    </row>
    <row r="147" spans="1:37" s="441" customFormat="1" ht="60" customHeight="1" thickBot="1" x14ac:dyDescent="0.25">
      <c r="A147" s="438"/>
      <c r="B147" s="451" t="s">
        <v>130</v>
      </c>
      <c r="C147" s="451" t="s">
        <v>4</v>
      </c>
      <c r="D147" s="451" t="s">
        <v>5</v>
      </c>
      <c r="E147" s="451" t="s">
        <v>6</v>
      </c>
      <c r="F147" s="451" t="s">
        <v>7</v>
      </c>
      <c r="G147" s="451" t="s">
        <v>8</v>
      </c>
      <c r="H147" s="453" t="s">
        <v>9</v>
      </c>
      <c r="I147" s="453" t="s">
        <v>10</v>
      </c>
      <c r="J147" s="451" t="s">
        <v>11</v>
      </c>
      <c r="K147" s="451" t="s">
        <v>12</v>
      </c>
      <c r="L147" s="451" t="s">
        <v>13</v>
      </c>
      <c r="M147" s="451" t="s">
        <v>14</v>
      </c>
      <c r="N147" s="451" t="s">
        <v>15</v>
      </c>
      <c r="O147" s="452" t="s">
        <v>16</v>
      </c>
      <c r="P147" s="454" t="s">
        <v>17</v>
      </c>
      <c r="Q147" s="451" t="s">
        <v>18</v>
      </c>
      <c r="R147" s="452" t="s">
        <v>19</v>
      </c>
      <c r="S147" s="451" t="s">
        <v>20</v>
      </c>
      <c r="T147" s="451" t="s">
        <v>21</v>
      </c>
      <c r="U147" s="452" t="s">
        <v>22</v>
      </c>
      <c r="V147" s="451" t="s">
        <v>131</v>
      </c>
      <c r="W147" s="451" t="s">
        <v>24</v>
      </c>
      <c r="X147" s="451" t="s">
        <v>132</v>
      </c>
      <c r="Y147" s="451" t="s">
        <v>26</v>
      </c>
      <c r="Z147" s="451" t="s">
        <v>27</v>
      </c>
      <c r="AA147" s="451" t="s">
        <v>28</v>
      </c>
      <c r="AB147" s="451" t="s">
        <v>29</v>
      </c>
      <c r="AC147" s="451" t="s">
        <v>30</v>
      </c>
      <c r="AD147" s="439"/>
      <c r="AE147" s="440"/>
      <c r="AF147" s="440"/>
      <c r="AG147" s="440"/>
      <c r="AH147" s="440"/>
      <c r="AI147" s="440"/>
      <c r="AJ147" s="440"/>
      <c r="AK147" s="440"/>
    </row>
    <row r="148" spans="1:37" s="587" customFormat="1" ht="54.95" customHeight="1" thickBot="1" x14ac:dyDescent="0.25">
      <c r="A148" s="649"/>
      <c r="B148" s="887" t="s">
        <v>114</v>
      </c>
      <c r="C148" s="887" t="s">
        <v>115</v>
      </c>
      <c r="D148" s="888" t="s">
        <v>4811</v>
      </c>
      <c r="E148" s="888"/>
      <c r="F148" s="908" t="s">
        <v>4812</v>
      </c>
      <c r="G148" s="889" t="s">
        <v>3763</v>
      </c>
      <c r="H148" s="890">
        <v>19300</v>
      </c>
      <c r="I148" s="891" t="s">
        <v>4813</v>
      </c>
      <c r="J148" s="892">
        <v>41604</v>
      </c>
      <c r="K148" s="893">
        <f>+L148-J148</f>
        <v>101</v>
      </c>
      <c r="L148" s="894">
        <v>41705</v>
      </c>
      <c r="M148" s="891" t="s">
        <v>124</v>
      </c>
      <c r="N148" s="895" t="s">
        <v>42</v>
      </c>
      <c r="O148" s="892">
        <v>41670</v>
      </c>
      <c r="P148" s="893">
        <f>IF(S148="","",+S148-L148)</f>
        <v>-18</v>
      </c>
      <c r="Q148" s="893"/>
      <c r="R148" s="892">
        <v>41677</v>
      </c>
      <c r="S148" s="904">
        <v>41687</v>
      </c>
      <c r="T148" s="894">
        <f>+S148+30</f>
        <v>41717</v>
      </c>
      <c r="U148" s="893">
        <f>IF(T148="","",+T148-J148)</f>
        <v>113</v>
      </c>
      <c r="V148" s="895" t="s">
        <v>965</v>
      </c>
      <c r="W148" s="897">
        <v>114</v>
      </c>
      <c r="X148" s="905"/>
      <c r="Y148" s="905"/>
      <c r="Z148" s="895">
        <v>7622493826</v>
      </c>
      <c r="AA148" s="888"/>
      <c r="AB148" s="909" t="s">
        <v>4814</v>
      </c>
      <c r="AC148" s="899"/>
      <c r="AD148" s="645" t="str">
        <f>IF(P148="","",IF(P148&lt;=0,"en término","atrasado"))</f>
        <v>en término</v>
      </c>
      <c r="AF148" s="656"/>
    </row>
    <row r="149" spans="1:37" s="587" customFormat="1" ht="54.95" customHeight="1" thickBot="1" x14ac:dyDescent="0.25">
      <c r="A149" s="649"/>
      <c r="B149" s="887" t="s">
        <v>114</v>
      </c>
      <c r="C149" s="887" t="s">
        <v>115</v>
      </c>
      <c r="D149" s="888" t="s">
        <v>4815</v>
      </c>
      <c r="E149" s="888"/>
      <c r="F149" s="908" t="s">
        <v>4816</v>
      </c>
      <c r="G149" s="889" t="s">
        <v>3763</v>
      </c>
      <c r="H149" s="890">
        <v>38495.4</v>
      </c>
      <c r="I149" s="891" t="s">
        <v>118</v>
      </c>
      <c r="J149" s="892">
        <v>41830</v>
      </c>
      <c r="K149" s="893">
        <v>90</v>
      </c>
      <c r="L149" s="894">
        <f>+J149+K149</f>
        <v>41920</v>
      </c>
      <c r="M149" s="891" t="s">
        <v>124</v>
      </c>
      <c r="N149" s="895" t="s">
        <v>42</v>
      </c>
      <c r="O149" s="892">
        <v>41912</v>
      </c>
      <c r="P149" s="893">
        <f>IF(S149="","",+S149-L149)</f>
        <v>34</v>
      </c>
      <c r="Q149" s="901" t="s">
        <v>4817</v>
      </c>
      <c r="R149" s="892">
        <v>41942</v>
      </c>
      <c r="S149" s="904">
        <v>41954</v>
      </c>
      <c r="T149" s="894">
        <f>+S149+25</f>
        <v>41979</v>
      </c>
      <c r="U149" s="893">
        <f>IF(T149="","",+T149-J149)</f>
        <v>149</v>
      </c>
      <c r="V149" s="895" t="s">
        <v>1193</v>
      </c>
      <c r="W149" s="897" t="s">
        <v>2634</v>
      </c>
      <c r="X149" s="905"/>
      <c r="Y149" s="905"/>
      <c r="Z149" s="895"/>
      <c r="AA149" s="888"/>
      <c r="AB149" s="909" t="s">
        <v>4818</v>
      </c>
      <c r="AC149" s="899"/>
      <c r="AD149" s="645" t="str">
        <f>IF(P149="","",IF(P149&lt;=0,"en término","atrasado"))</f>
        <v>atrasado</v>
      </c>
      <c r="AE149" s="468"/>
      <c r="AF149" s="468" t="s">
        <v>4819</v>
      </c>
    </row>
    <row r="150" spans="1:37" s="587" customFormat="1" ht="54.95" customHeight="1" thickBot="1" x14ac:dyDescent="0.25">
      <c r="A150" s="649"/>
      <c r="B150" s="887" t="s">
        <v>114</v>
      </c>
      <c r="C150" s="911" t="s">
        <v>4820</v>
      </c>
      <c r="D150" s="888" t="s">
        <v>4821</v>
      </c>
      <c r="E150" s="888"/>
      <c r="F150" s="908" t="s">
        <v>4822</v>
      </c>
      <c r="G150" s="889" t="s">
        <v>3763</v>
      </c>
      <c r="H150" s="891" t="s">
        <v>4823</v>
      </c>
      <c r="I150" s="891" t="s">
        <v>4824</v>
      </c>
      <c r="J150" s="892">
        <v>42156</v>
      </c>
      <c r="K150" s="893">
        <v>60</v>
      </c>
      <c r="L150" s="894">
        <f>+J150+K150</f>
        <v>42216</v>
      </c>
      <c r="M150" s="891" t="s">
        <v>124</v>
      </c>
      <c r="N150" s="895" t="s">
        <v>110</v>
      </c>
      <c r="O150" s="892">
        <v>42282</v>
      </c>
      <c r="P150" s="893">
        <f>IF(S150="","",+S150-L150)</f>
        <v>77</v>
      </c>
      <c r="Q150" s="893"/>
      <c r="R150" s="892">
        <v>42290</v>
      </c>
      <c r="S150" s="904">
        <v>42293</v>
      </c>
      <c r="T150" s="894">
        <f>+S150+5</f>
        <v>42298</v>
      </c>
      <c r="U150" s="893">
        <f>IF(T150="","",+T150-J150)</f>
        <v>142</v>
      </c>
      <c r="V150" s="895" t="s">
        <v>4825</v>
      </c>
      <c r="W150" s="897" t="s">
        <v>2441</v>
      </c>
      <c r="X150" s="905"/>
      <c r="Y150" s="905"/>
      <c r="Z150" s="895"/>
      <c r="AA150" s="888"/>
      <c r="AB150" s="948" t="s">
        <v>4004</v>
      </c>
      <c r="AC150" s="899" t="s">
        <v>4826</v>
      </c>
      <c r="AD150" s="645" t="str">
        <f>IF(P150="","",IF(P150&lt;=0,"en término","atrasado"))</f>
        <v>atrasado</v>
      </c>
      <c r="AE150" s="468" t="s">
        <v>4827</v>
      </c>
      <c r="AF150" s="468" t="s">
        <v>2949</v>
      </c>
    </row>
    <row r="153" spans="1:37" x14ac:dyDescent="0.2">
      <c r="AA153" s="1">
        <v>2014</v>
      </c>
      <c r="AB153" s="1047"/>
    </row>
    <row r="154" spans="1:37" x14ac:dyDescent="0.2">
      <c r="AA154" s="945" t="s">
        <v>813</v>
      </c>
      <c r="AB154" s="1048">
        <f>COUNTA(AD146:AD152)</f>
        <v>3</v>
      </c>
    </row>
    <row r="155" spans="1:37" x14ac:dyDescent="0.2">
      <c r="AA155" s="945" t="s">
        <v>4709</v>
      </c>
      <c r="AB155" s="1048">
        <f>COUNTIF(AD146:AD153,"en término")</f>
        <v>1</v>
      </c>
    </row>
    <row r="156" spans="1:37" x14ac:dyDescent="0.2">
      <c r="AA156" s="945" t="s">
        <v>817</v>
      </c>
      <c r="AB156" s="557">
        <f>+AB155/AB154</f>
        <v>0.33333333333333331</v>
      </c>
    </row>
    <row r="161" spans="1:37" ht="13.5" thickBot="1" x14ac:dyDescent="0.25"/>
    <row r="162" spans="1:37" s="556" customFormat="1" ht="39.950000000000003" customHeight="1" thickBot="1" x14ac:dyDescent="0.4">
      <c r="B162" s="1611">
        <v>2015</v>
      </c>
      <c r="C162" s="1612"/>
      <c r="D162" s="1612"/>
      <c r="E162" s="1612"/>
      <c r="F162" s="1612"/>
      <c r="G162" s="1612"/>
      <c r="H162" s="1612"/>
      <c r="I162" s="1612"/>
      <c r="J162" s="1612"/>
      <c r="K162" s="1612"/>
      <c r="L162" s="1612"/>
      <c r="M162" s="1612"/>
      <c r="N162" s="1612"/>
      <c r="O162" s="1612"/>
      <c r="P162" s="1612"/>
      <c r="Q162" s="1612"/>
      <c r="R162" s="1612"/>
      <c r="S162" s="1612"/>
      <c r="T162" s="1612"/>
      <c r="U162" s="1612"/>
      <c r="V162" s="1612"/>
      <c r="W162" s="1612"/>
      <c r="X162" s="1612"/>
      <c r="Y162" s="1612"/>
      <c r="Z162" s="1612"/>
      <c r="AA162" s="1612"/>
      <c r="AB162" s="1612"/>
      <c r="AC162" s="1613"/>
      <c r="AD162" s="560"/>
    </row>
    <row r="163" spans="1:37" s="441" customFormat="1" ht="60" customHeight="1" thickBot="1" x14ac:dyDescent="0.25">
      <c r="A163" s="438"/>
      <c r="B163" s="451" t="s">
        <v>130</v>
      </c>
      <c r="C163" s="451" t="s">
        <v>4</v>
      </c>
      <c r="D163" s="451" t="s">
        <v>5</v>
      </c>
      <c r="E163" s="451" t="s">
        <v>6</v>
      </c>
      <c r="F163" s="451" t="s">
        <v>7</v>
      </c>
      <c r="G163" s="451" t="s">
        <v>8</v>
      </c>
      <c r="H163" s="453" t="s">
        <v>9</v>
      </c>
      <c r="I163" s="453" t="s">
        <v>10</v>
      </c>
      <c r="J163" s="451" t="s">
        <v>11</v>
      </c>
      <c r="K163" s="451" t="s">
        <v>12</v>
      </c>
      <c r="L163" s="451" t="s">
        <v>13</v>
      </c>
      <c r="M163" s="451" t="s">
        <v>14</v>
      </c>
      <c r="N163" s="451" t="s">
        <v>15</v>
      </c>
      <c r="O163" s="452" t="s">
        <v>16</v>
      </c>
      <c r="P163" s="454" t="s">
        <v>17</v>
      </c>
      <c r="Q163" s="451" t="s">
        <v>18</v>
      </c>
      <c r="R163" s="452" t="s">
        <v>19</v>
      </c>
      <c r="S163" s="451" t="s">
        <v>20</v>
      </c>
      <c r="T163" s="451" t="s">
        <v>21</v>
      </c>
      <c r="U163" s="452" t="s">
        <v>22</v>
      </c>
      <c r="V163" s="451" t="s">
        <v>131</v>
      </c>
      <c r="W163" s="451" t="s">
        <v>24</v>
      </c>
      <c r="X163" s="451" t="s">
        <v>132</v>
      </c>
      <c r="Y163" s="451" t="s">
        <v>26</v>
      </c>
      <c r="Z163" s="451" t="s">
        <v>27</v>
      </c>
      <c r="AA163" s="451" t="s">
        <v>28</v>
      </c>
      <c r="AB163" s="451" t="s">
        <v>29</v>
      </c>
      <c r="AC163" s="451" t="s">
        <v>30</v>
      </c>
      <c r="AD163" s="439"/>
      <c r="AE163" s="440"/>
      <c r="AF163" s="440"/>
      <c r="AG163" s="440"/>
      <c r="AH163" s="440"/>
      <c r="AI163" s="440"/>
      <c r="AJ163" s="440"/>
      <c r="AK163" s="440"/>
    </row>
    <row r="164" spans="1:37" s="587" customFormat="1" ht="54.95" customHeight="1" thickBot="1" x14ac:dyDescent="0.25">
      <c r="A164" s="649"/>
      <c r="B164" s="887" t="s">
        <v>114</v>
      </c>
      <c r="C164" s="911" t="s">
        <v>4820</v>
      </c>
      <c r="D164" s="888" t="s">
        <v>4821</v>
      </c>
      <c r="E164" s="888"/>
      <c r="F164" s="908" t="s">
        <v>4822</v>
      </c>
      <c r="G164" s="889" t="s">
        <v>3763</v>
      </c>
      <c r="H164" s="890">
        <v>19169.7</v>
      </c>
      <c r="I164" s="891" t="s">
        <v>4824</v>
      </c>
      <c r="J164" s="892">
        <v>42156</v>
      </c>
      <c r="K164" s="893">
        <v>60</v>
      </c>
      <c r="L164" s="894">
        <f>+J164+K164</f>
        <v>42216</v>
      </c>
      <c r="M164" s="891" t="s">
        <v>124</v>
      </c>
      <c r="N164" s="895" t="s">
        <v>110</v>
      </c>
      <c r="O164" s="892">
        <v>42198</v>
      </c>
      <c r="P164" s="893">
        <f>IF(S164="","",+S164-L164)</f>
        <v>-9</v>
      </c>
      <c r="Q164" s="893"/>
      <c r="R164" s="892"/>
      <c r="S164" s="904">
        <v>42207</v>
      </c>
      <c r="T164" s="894">
        <f>+S164+5</f>
        <v>42212</v>
      </c>
      <c r="U164" s="893">
        <f>IF(T164="","",+T164-J164)</f>
        <v>56</v>
      </c>
      <c r="V164" s="895" t="s">
        <v>2183</v>
      </c>
      <c r="W164" s="897" t="s">
        <v>2443</v>
      </c>
      <c r="X164" s="905"/>
      <c r="Y164" s="905"/>
      <c r="Z164" s="895"/>
      <c r="AA164" s="888"/>
      <c r="AB164" s="948" t="str">
        <f ca="1">IF(S164="","",IF('o.c.'!$Z$1&lt;(S164+30),(S164+30),"VENCIDA"))</f>
        <v>VENCIDA</v>
      </c>
      <c r="AC164" s="899" t="s">
        <v>4828</v>
      </c>
      <c r="AD164" s="645" t="str">
        <f>IF(P164="","",IF(P164&lt;=0,"en término","atrasado"))</f>
        <v>en término</v>
      </c>
      <c r="AE164" s="468" t="s">
        <v>4827</v>
      </c>
      <c r="AF164" s="468" t="s">
        <v>2949</v>
      </c>
    </row>
    <row r="175" spans="1:37" ht="13.5" thickBot="1" x14ac:dyDescent="0.25"/>
    <row r="176" spans="1:37" s="556" customFormat="1" ht="39.950000000000003" customHeight="1" thickBot="1" x14ac:dyDescent="0.4">
      <c r="B176" s="1611">
        <v>2016</v>
      </c>
      <c r="C176" s="1612"/>
      <c r="D176" s="1612"/>
      <c r="E176" s="1612"/>
      <c r="F176" s="1612"/>
      <c r="G176" s="1612"/>
      <c r="H176" s="1612"/>
      <c r="I176" s="1612"/>
      <c r="J176" s="1612"/>
      <c r="K176" s="1612"/>
      <c r="L176" s="1612"/>
      <c r="M176" s="1612"/>
      <c r="N176" s="1612"/>
      <c r="O176" s="1612"/>
      <c r="P176" s="1612"/>
      <c r="Q176" s="1612"/>
      <c r="R176" s="1612"/>
      <c r="S176" s="1612"/>
      <c r="T176" s="1612"/>
      <c r="U176" s="1612"/>
      <c r="V176" s="1612"/>
      <c r="W176" s="1612"/>
      <c r="X176" s="1612"/>
      <c r="Y176" s="1612"/>
      <c r="Z176" s="1612"/>
      <c r="AA176" s="1612"/>
      <c r="AB176" s="1612"/>
      <c r="AC176" s="1613"/>
      <c r="AD176" s="560"/>
    </row>
    <row r="177" spans="1:37" s="441" customFormat="1" ht="60" customHeight="1" thickBot="1" x14ac:dyDescent="0.25">
      <c r="A177" s="438"/>
      <c r="B177" s="451" t="s">
        <v>130</v>
      </c>
      <c r="C177" s="451" t="s">
        <v>4</v>
      </c>
      <c r="D177" s="451" t="s">
        <v>5</v>
      </c>
      <c r="E177" s="451" t="s">
        <v>6</v>
      </c>
      <c r="F177" s="451" t="s">
        <v>7</v>
      </c>
      <c r="G177" s="451" t="s">
        <v>8</v>
      </c>
      <c r="H177" s="453" t="s">
        <v>9</v>
      </c>
      <c r="I177" s="453" t="s">
        <v>10</v>
      </c>
      <c r="J177" s="451" t="s">
        <v>11</v>
      </c>
      <c r="K177" s="451" t="s">
        <v>12</v>
      </c>
      <c r="L177" s="451" t="s">
        <v>13</v>
      </c>
      <c r="M177" s="451" t="s">
        <v>14</v>
      </c>
      <c r="N177" s="451" t="s">
        <v>15</v>
      </c>
      <c r="O177" s="452" t="s">
        <v>16</v>
      </c>
      <c r="P177" s="454" t="s">
        <v>17</v>
      </c>
      <c r="Q177" s="451" t="s">
        <v>18</v>
      </c>
      <c r="R177" s="452" t="s">
        <v>19</v>
      </c>
      <c r="S177" s="451" t="s">
        <v>20</v>
      </c>
      <c r="T177" s="451" t="s">
        <v>21</v>
      </c>
      <c r="U177" s="452" t="s">
        <v>22</v>
      </c>
      <c r="V177" s="451" t="s">
        <v>131</v>
      </c>
      <c r="W177" s="451" t="s">
        <v>24</v>
      </c>
      <c r="X177" s="451" t="s">
        <v>132</v>
      </c>
      <c r="Y177" s="451" t="s">
        <v>26</v>
      </c>
      <c r="Z177" s="451" t="s">
        <v>27</v>
      </c>
      <c r="AA177" s="451" t="s">
        <v>28</v>
      </c>
      <c r="AB177" s="451" t="s">
        <v>29</v>
      </c>
      <c r="AC177" s="451" t="s">
        <v>30</v>
      </c>
      <c r="AD177" s="439"/>
      <c r="AE177" s="440"/>
      <c r="AF177" s="440"/>
      <c r="AG177" s="440"/>
      <c r="AH177" s="440"/>
      <c r="AI177" s="440"/>
      <c r="AJ177" s="440"/>
      <c r="AK177" s="440"/>
    </row>
    <row r="178" spans="1:37" s="649" customFormat="1" ht="54.95" customHeight="1" thickBot="1" x14ac:dyDescent="0.25">
      <c r="B178" s="1022" t="s">
        <v>114</v>
      </c>
      <c r="C178" s="1022" t="s">
        <v>4710</v>
      </c>
      <c r="D178" s="901" t="s">
        <v>4829</v>
      </c>
      <c r="E178" s="901"/>
      <c r="F178" s="913" t="s">
        <v>4830</v>
      </c>
      <c r="G178" s="889" t="s">
        <v>39</v>
      </c>
      <c r="H178" s="890">
        <v>39245.08</v>
      </c>
      <c r="I178" s="902"/>
      <c r="J178" s="892">
        <v>42522</v>
      </c>
      <c r="K178" s="893">
        <f>+L178-J178</f>
        <v>87</v>
      </c>
      <c r="L178" s="892">
        <v>42609</v>
      </c>
      <c r="M178" s="892" t="s">
        <v>118</v>
      </c>
      <c r="N178" s="889" t="s">
        <v>110</v>
      </c>
      <c r="O178" s="892">
        <v>42604</v>
      </c>
      <c r="P178" s="893">
        <f>IF(S178="","",+S178-L178)</f>
        <v>26</v>
      </c>
      <c r="Q178" s="901"/>
      <c r="R178" s="903">
        <v>42633</v>
      </c>
      <c r="S178" s="904">
        <v>42635</v>
      </c>
      <c r="T178" s="894">
        <v>42642</v>
      </c>
      <c r="U178" s="893">
        <f>IF(T178="","",+T178-J178)</f>
        <v>120</v>
      </c>
      <c r="V178" s="901" t="s">
        <v>925</v>
      </c>
      <c r="W178" s="897" t="s">
        <v>2213</v>
      </c>
      <c r="X178" s="905"/>
      <c r="Y178" s="905"/>
      <c r="Z178" s="895">
        <v>7603005432</v>
      </c>
      <c r="AA178" s="889"/>
      <c r="AB178" s="892" t="s">
        <v>1640</v>
      </c>
      <c r="AC178" s="476"/>
      <c r="AD178" s="645" t="str">
        <f>IF(P178="","",IF(P178&lt;=0,"en término","atrasado"))</f>
        <v>atrasado</v>
      </c>
      <c r="AE178" s="468" t="s">
        <v>4831</v>
      </c>
      <c r="AF178" s="468" t="s">
        <v>3129</v>
      </c>
    </row>
    <row r="184" spans="1:37" ht="13.5" thickBot="1" x14ac:dyDescent="0.25"/>
    <row r="185" spans="1:37" s="556" customFormat="1" ht="39.950000000000003" customHeight="1" thickBot="1" x14ac:dyDescent="0.4">
      <c r="B185" s="1611">
        <v>2018</v>
      </c>
      <c r="C185" s="1612"/>
      <c r="D185" s="1612"/>
      <c r="E185" s="1612"/>
      <c r="F185" s="1612"/>
      <c r="G185" s="1612"/>
      <c r="H185" s="1612"/>
      <c r="I185" s="1612"/>
      <c r="J185" s="1612"/>
      <c r="K185" s="1612"/>
      <c r="L185" s="1612"/>
      <c r="M185" s="1612"/>
      <c r="N185" s="1612"/>
      <c r="O185" s="1612"/>
      <c r="P185" s="1612"/>
      <c r="Q185" s="1612"/>
      <c r="R185" s="1612"/>
      <c r="S185" s="1612"/>
      <c r="T185" s="1612"/>
      <c r="U185" s="1612"/>
      <c r="V185" s="1612"/>
      <c r="W185" s="1612"/>
      <c r="X185" s="1612"/>
      <c r="Y185" s="1612"/>
      <c r="Z185" s="1612"/>
      <c r="AA185" s="1612"/>
      <c r="AB185" s="1612"/>
      <c r="AC185" s="1613"/>
      <c r="AD185" s="560"/>
    </row>
    <row r="186" spans="1:37" s="441" customFormat="1" ht="60" customHeight="1" thickBot="1" x14ac:dyDescent="0.25">
      <c r="A186" s="438"/>
      <c r="B186" s="451" t="s">
        <v>130</v>
      </c>
      <c r="C186" s="451" t="s">
        <v>4</v>
      </c>
      <c r="D186" s="451" t="s">
        <v>5</v>
      </c>
      <c r="E186" s="451" t="s">
        <v>6</v>
      </c>
      <c r="F186" s="451" t="s">
        <v>7</v>
      </c>
      <c r="G186" s="451" t="s">
        <v>8</v>
      </c>
      <c r="H186" s="453" t="s">
        <v>9</v>
      </c>
      <c r="I186" s="453" t="s">
        <v>10</v>
      </c>
      <c r="J186" s="451" t="s">
        <v>11</v>
      </c>
      <c r="K186" s="451" t="s">
        <v>12</v>
      </c>
      <c r="L186" s="451" t="s">
        <v>13</v>
      </c>
      <c r="M186" s="451" t="s">
        <v>14</v>
      </c>
      <c r="N186" s="451" t="s">
        <v>15</v>
      </c>
      <c r="O186" s="452" t="s">
        <v>16</v>
      </c>
      <c r="P186" s="454" t="s">
        <v>17</v>
      </c>
      <c r="Q186" s="451" t="s">
        <v>18</v>
      </c>
      <c r="R186" s="452" t="s">
        <v>19</v>
      </c>
      <c r="S186" s="451" t="s">
        <v>20</v>
      </c>
      <c r="T186" s="451" t="s">
        <v>21</v>
      </c>
      <c r="U186" s="452" t="s">
        <v>22</v>
      </c>
      <c r="V186" s="451" t="s">
        <v>131</v>
      </c>
      <c r="W186" s="451" t="s">
        <v>24</v>
      </c>
      <c r="X186" s="451" t="s">
        <v>132</v>
      </c>
      <c r="Y186" s="451" t="s">
        <v>26</v>
      </c>
      <c r="Z186" s="451" t="s">
        <v>27</v>
      </c>
      <c r="AA186" s="451" t="s">
        <v>28</v>
      </c>
      <c r="AB186" s="451" t="s">
        <v>29</v>
      </c>
      <c r="AC186" s="451" t="s">
        <v>30</v>
      </c>
      <c r="AD186" s="439"/>
      <c r="AE186" s="440"/>
      <c r="AF186" s="440"/>
      <c r="AG186" s="440"/>
      <c r="AH186" s="440"/>
      <c r="AI186" s="440"/>
      <c r="AJ186" s="440"/>
      <c r="AK186" s="440"/>
    </row>
    <row r="187" spans="1:37" s="649" customFormat="1" ht="54.95" customHeight="1" thickBot="1" x14ac:dyDescent="0.25">
      <c r="B187" s="1022" t="s">
        <v>114</v>
      </c>
      <c r="C187" s="1022" t="s">
        <v>115</v>
      </c>
      <c r="D187" s="901" t="s">
        <v>116</v>
      </c>
      <c r="E187" s="901"/>
      <c r="F187" s="913" t="s">
        <v>117</v>
      </c>
      <c r="G187" s="889" t="s">
        <v>39</v>
      </c>
      <c r="H187" s="890">
        <v>10180</v>
      </c>
      <c r="I187" s="902"/>
      <c r="J187" s="892">
        <v>43173</v>
      </c>
      <c r="K187" s="893">
        <f>+L187-J187</f>
        <v>108</v>
      </c>
      <c r="L187" s="892">
        <v>43281</v>
      </c>
      <c r="M187" s="892" t="s">
        <v>118</v>
      </c>
      <c r="N187" s="889" t="s">
        <v>42</v>
      </c>
      <c r="O187" s="892">
        <v>43238</v>
      </c>
      <c r="P187" s="893">
        <f>IF(S187="","",+S187-L187)</f>
        <v>-10</v>
      </c>
      <c r="Q187" s="901" t="s">
        <v>6522</v>
      </c>
      <c r="R187" s="903"/>
      <c r="S187" s="904">
        <v>43271</v>
      </c>
      <c r="T187" s="894">
        <f>+S187+30</f>
        <v>43301</v>
      </c>
      <c r="U187" s="893">
        <f>IF(T187="","",+T187-J187)</f>
        <v>128</v>
      </c>
      <c r="V187" s="901" t="s">
        <v>119</v>
      </c>
      <c r="W187" s="897" t="s">
        <v>2224</v>
      </c>
      <c r="X187" s="889"/>
      <c r="Y187" s="905"/>
      <c r="Z187" s="889">
        <v>2259918032</v>
      </c>
      <c r="AA187" s="889"/>
      <c r="AB187" s="1025" t="str">
        <f>IF(S187="","",IF($Z$1&lt;(S187+30),(S187+30),"VENCIDA"))</f>
        <v>VENCIDA</v>
      </c>
      <c r="AC187" s="476"/>
      <c r="AD187" s="645" t="str">
        <f>IF(P187="","",IF(P187&lt;=0,"en término","atrasado"))</f>
        <v>en término</v>
      </c>
      <c r="AE187" s="468" t="s">
        <v>86</v>
      </c>
      <c r="AF187" s="468" t="s">
        <v>87</v>
      </c>
    </row>
    <row r="188" spans="1:37" s="649" customFormat="1" ht="54.95" customHeight="1" thickBot="1" x14ac:dyDescent="0.25">
      <c r="B188" s="1022" t="s">
        <v>114</v>
      </c>
      <c r="C188" s="1022" t="s">
        <v>6430</v>
      </c>
      <c r="D188" s="901" t="s">
        <v>6520</v>
      </c>
      <c r="E188" s="901"/>
      <c r="F188" s="913">
        <v>58</v>
      </c>
      <c r="G188" s="889" t="s">
        <v>39</v>
      </c>
      <c r="H188" s="890">
        <v>2040</v>
      </c>
      <c r="I188" s="902"/>
      <c r="J188" s="892">
        <v>43201</v>
      </c>
      <c r="K188" s="893">
        <f>+L188-J188</f>
        <v>58</v>
      </c>
      <c r="L188" s="892">
        <v>43259</v>
      </c>
      <c r="M188" s="892" t="s">
        <v>118</v>
      </c>
      <c r="N188" s="889" t="s">
        <v>42</v>
      </c>
      <c r="O188" s="892">
        <v>43251</v>
      </c>
      <c r="P188" s="893">
        <f>IF(S188="","",+S188-L188)</f>
        <v>38</v>
      </c>
      <c r="Q188" s="901" t="s">
        <v>6521</v>
      </c>
      <c r="R188" s="903"/>
      <c r="S188" s="904">
        <v>43297</v>
      </c>
      <c r="T188" s="894">
        <f>+S188+30</f>
        <v>43327</v>
      </c>
      <c r="U188" s="893">
        <f>IF(T188="","",+T188-J188)</f>
        <v>126</v>
      </c>
      <c r="V188" s="901" t="s">
        <v>119</v>
      </c>
      <c r="W188" s="897" t="s">
        <v>2758</v>
      </c>
      <c r="X188" s="889"/>
      <c r="Y188" s="905"/>
      <c r="Z188" s="889">
        <v>9678519690</v>
      </c>
      <c r="AA188" s="889"/>
      <c r="AB188" s="1025" t="str">
        <f>IF(S188="","",IF($Z$1&lt;(S188+30),(S188+30),"VENCIDA"))</f>
        <v>VENCIDA</v>
      </c>
      <c r="AC188" s="476"/>
      <c r="AD188" s="645" t="str">
        <f>IF(P188="","",IF(P188&lt;=0,"en término","atrasado"))</f>
        <v>atrasado</v>
      </c>
      <c r="AE188" s="468" t="s">
        <v>86</v>
      </c>
      <c r="AF188" s="468" t="s">
        <v>87</v>
      </c>
    </row>
    <row r="194" spans="1:37" ht="13.5" thickBot="1" x14ac:dyDescent="0.25"/>
    <row r="195" spans="1:37" s="556" customFormat="1" ht="39.950000000000003" customHeight="1" thickBot="1" x14ac:dyDescent="0.4">
      <c r="B195" s="1611">
        <v>2019</v>
      </c>
      <c r="C195" s="1612"/>
      <c r="D195" s="1612"/>
      <c r="E195" s="1612"/>
      <c r="F195" s="1612"/>
      <c r="G195" s="1612"/>
      <c r="H195" s="1612"/>
      <c r="I195" s="1612"/>
      <c r="J195" s="1612"/>
      <c r="K195" s="1612"/>
      <c r="L195" s="1612"/>
      <c r="M195" s="1612"/>
      <c r="N195" s="1612"/>
      <c r="O195" s="1612"/>
      <c r="P195" s="1612"/>
      <c r="Q195" s="1612"/>
      <c r="R195" s="1612"/>
      <c r="S195" s="1612"/>
      <c r="T195" s="1612"/>
      <c r="U195" s="1612"/>
      <c r="V195" s="1612"/>
      <c r="W195" s="1612"/>
      <c r="X195" s="1612"/>
      <c r="Y195" s="1612"/>
      <c r="Z195" s="1612"/>
      <c r="AA195" s="1612"/>
      <c r="AB195" s="1612"/>
      <c r="AC195" s="1613"/>
      <c r="AD195" s="560"/>
    </row>
    <row r="196" spans="1:37" s="441" customFormat="1" ht="60" customHeight="1" thickBot="1" x14ac:dyDescent="0.25">
      <c r="A196" s="438"/>
      <c r="B196" s="451" t="s">
        <v>130</v>
      </c>
      <c r="C196" s="451" t="s">
        <v>4</v>
      </c>
      <c r="D196" s="451" t="s">
        <v>5</v>
      </c>
      <c r="E196" s="451" t="s">
        <v>6</v>
      </c>
      <c r="F196" s="451" t="s">
        <v>7</v>
      </c>
      <c r="G196" s="451" t="s">
        <v>8</v>
      </c>
      <c r="H196" s="453" t="s">
        <v>9</v>
      </c>
      <c r="I196" s="453" t="s">
        <v>10</v>
      </c>
      <c r="J196" s="451" t="s">
        <v>11</v>
      </c>
      <c r="K196" s="451" t="s">
        <v>12</v>
      </c>
      <c r="L196" s="451" t="s">
        <v>13</v>
      </c>
      <c r="M196" s="451" t="s">
        <v>14</v>
      </c>
      <c r="N196" s="451" t="s">
        <v>15</v>
      </c>
      <c r="O196" s="452" t="s">
        <v>16</v>
      </c>
      <c r="P196" s="454" t="s">
        <v>17</v>
      </c>
      <c r="Q196" s="451" t="s">
        <v>18</v>
      </c>
      <c r="R196" s="452" t="s">
        <v>19</v>
      </c>
      <c r="S196" s="451" t="s">
        <v>20</v>
      </c>
      <c r="T196" s="451" t="s">
        <v>21</v>
      </c>
      <c r="U196" s="452" t="s">
        <v>22</v>
      </c>
      <c r="V196" s="451" t="s">
        <v>131</v>
      </c>
      <c r="W196" s="451" t="s">
        <v>24</v>
      </c>
      <c r="X196" s="451" t="s">
        <v>132</v>
      </c>
      <c r="Y196" s="451" t="s">
        <v>26</v>
      </c>
      <c r="Z196" s="451" t="s">
        <v>27</v>
      </c>
      <c r="AA196" s="451" t="s">
        <v>28</v>
      </c>
      <c r="AB196" s="451" t="s">
        <v>29</v>
      </c>
      <c r="AC196" s="451" t="s">
        <v>30</v>
      </c>
      <c r="AD196" s="439"/>
      <c r="AE196" s="440"/>
      <c r="AF196" s="440"/>
      <c r="AG196" s="440"/>
      <c r="AH196" s="440"/>
      <c r="AI196" s="440"/>
      <c r="AJ196" s="440"/>
      <c r="AK196" s="440"/>
    </row>
    <row r="197" spans="1:37" s="649" customFormat="1" ht="54.95" customHeight="1" thickBot="1" x14ac:dyDescent="0.25">
      <c r="B197" s="1022" t="s">
        <v>114</v>
      </c>
      <c r="C197" s="1022" t="s">
        <v>6430</v>
      </c>
      <c r="D197" s="901" t="s">
        <v>6635</v>
      </c>
      <c r="E197" s="901"/>
      <c r="F197" s="913">
        <v>122</v>
      </c>
      <c r="G197" s="889" t="s">
        <v>39</v>
      </c>
      <c r="H197" s="890">
        <v>3400</v>
      </c>
      <c r="I197" s="902"/>
      <c r="J197" s="892">
        <v>43533</v>
      </c>
      <c r="K197" s="893">
        <v>75</v>
      </c>
      <c r="L197" s="892">
        <f>+J197+K197</f>
        <v>43608</v>
      </c>
      <c r="M197" s="892" t="s">
        <v>124</v>
      </c>
      <c r="N197" s="889" t="s">
        <v>42</v>
      </c>
      <c r="O197" s="892">
        <v>43602</v>
      </c>
      <c r="P197" s="893">
        <f>IF(S197="","",+S197-L197)</f>
        <v>16</v>
      </c>
      <c r="Q197" s="901" t="s">
        <v>6693</v>
      </c>
      <c r="R197" s="903">
        <v>43609</v>
      </c>
      <c r="S197" s="904">
        <v>43624</v>
      </c>
      <c r="T197" s="894">
        <v>43633</v>
      </c>
      <c r="U197" s="893">
        <f>IF(T197="","",+T197-J197)</f>
        <v>100</v>
      </c>
      <c r="V197" s="901" t="s">
        <v>2618</v>
      </c>
      <c r="W197" s="897" t="s">
        <v>2582</v>
      </c>
      <c r="X197" s="889"/>
      <c r="Y197" s="905"/>
      <c r="Z197" s="889" t="s">
        <v>6666</v>
      </c>
      <c r="AA197" s="889"/>
      <c r="AB197" s="892">
        <v>43549</v>
      </c>
      <c r="AC197" s="476"/>
      <c r="AD197" s="645" t="str">
        <f>IF(P197="","",IF(P197&lt;=0,"en término","atrasado"))</f>
        <v>atrasado</v>
      </c>
      <c r="AE197" s="468" t="s">
        <v>6687</v>
      </c>
      <c r="AF197" s="468" t="s">
        <v>187</v>
      </c>
      <c r="AG197" s="1101">
        <v>43549</v>
      </c>
      <c r="AH197" s="649">
        <f>IF(AB197="","",+AB197-AG197)</f>
        <v>0</v>
      </c>
      <c r="AI197" s="649" t="str">
        <f>IF(AH197="","",IF(AH197&lt;=0,"en término","atrasado"))</f>
        <v>en término</v>
      </c>
    </row>
  </sheetData>
  <mergeCells count="18">
    <mergeCell ref="B7:AC7"/>
    <mergeCell ref="B38:AC38"/>
    <mergeCell ref="B26:AC26"/>
    <mergeCell ref="B16:AC16"/>
    <mergeCell ref="B11:AC11"/>
    <mergeCell ref="B49:AC49"/>
    <mergeCell ref="B176:AC176"/>
    <mergeCell ref="B162:AC162"/>
    <mergeCell ref="B96:AC96"/>
    <mergeCell ref="B85:AC85"/>
    <mergeCell ref="B71:AC71"/>
    <mergeCell ref="B146:AC146"/>
    <mergeCell ref="B134:AC134"/>
    <mergeCell ref="B195:AC195"/>
    <mergeCell ref="B120:AC120"/>
    <mergeCell ref="B109:AC109"/>
    <mergeCell ref="B185:AC185"/>
    <mergeCell ref="B60:AC60"/>
  </mergeCells>
  <phoneticPr fontId="0" type="noConversion"/>
  <printOptions horizontalCentered="1"/>
  <pageMargins left="0.19685039370078741" right="0.19685039370078741" top="0.19685039370078741" bottom="0.55118110236220474" header="0" footer="0"/>
  <pageSetup paperSize="5" scale="37" orientation="landscape" r:id="rId1"/>
  <headerFooter alignWithMargins="0">
    <oddFooter>&amp;LBNDF 3.1085 Rev. _ 3/11/00&amp;CINFORME O/C ENTREGADAS
- &amp;D&amp;REcuador &amp;P de &amp;N</oddFooter>
  </headerFooter>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AK187"/>
  <sheetViews>
    <sheetView view="pageBreakPreview" topLeftCell="N180" zoomScaleNormal="100" zoomScaleSheetLayoutView="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6" customHeight="1" thickBot="1" x14ac:dyDescent="0.25"/>
    <row r="5" spans="1:36" ht="39.950000000000003" customHeight="1" thickBot="1" x14ac:dyDescent="0.25">
      <c r="B5" s="1611">
        <v>1999</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c r="AD5" s="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c r="R6" s="452"/>
      <c r="S6" s="451" t="s">
        <v>4659</v>
      </c>
      <c r="T6" s="451" t="s">
        <v>4660</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9" customFormat="1" x14ac:dyDescent="0.2">
      <c r="B7" s="314"/>
      <c r="C7" s="11"/>
      <c r="D7" s="91"/>
      <c r="E7" s="91"/>
      <c r="F7" s="12"/>
      <c r="G7" s="12"/>
      <c r="H7" s="13"/>
      <c r="I7" s="13"/>
      <c r="J7" s="12"/>
      <c r="K7" s="12"/>
      <c r="L7" s="15"/>
      <c r="M7" s="12"/>
      <c r="N7" s="12"/>
      <c r="O7" s="12"/>
      <c r="P7" s="12"/>
      <c r="Q7" s="12"/>
      <c r="R7" s="12"/>
      <c r="S7" s="12"/>
      <c r="T7" s="12"/>
      <c r="U7" s="12"/>
      <c r="V7" s="12"/>
      <c r="W7" s="57"/>
      <c r="X7" s="57"/>
      <c r="Y7" s="57"/>
      <c r="Z7" s="57"/>
      <c r="AA7" s="12"/>
      <c r="AB7" s="12"/>
      <c r="AC7" s="12"/>
    </row>
    <row r="8" spans="1:36" s="9" customFormat="1" x14ac:dyDescent="0.2">
      <c r="B8" s="312" t="s">
        <v>4832</v>
      </c>
      <c r="C8" s="16" t="s">
        <v>4833</v>
      </c>
      <c r="D8" s="7" t="s">
        <v>4834</v>
      </c>
      <c r="E8" s="7"/>
      <c r="F8" s="6" t="s">
        <v>4835</v>
      </c>
      <c r="G8" s="6"/>
      <c r="H8" s="17">
        <v>2109.2800000000002</v>
      </c>
      <c r="I8" s="39"/>
      <c r="J8" s="7">
        <v>36354</v>
      </c>
      <c r="K8" s="7"/>
      <c r="L8" s="23">
        <f>J8+14</f>
        <v>36368</v>
      </c>
      <c r="M8" s="18" t="s">
        <v>280</v>
      </c>
      <c r="N8" s="6" t="s">
        <v>110</v>
      </c>
      <c r="O8" s="6"/>
      <c r="P8" s="6"/>
      <c r="Q8" s="6"/>
      <c r="R8" s="6"/>
      <c r="S8" s="7">
        <v>36360</v>
      </c>
      <c r="T8" s="7">
        <v>36364</v>
      </c>
      <c r="U8" s="7"/>
      <c r="V8" s="6" t="s">
        <v>4836</v>
      </c>
      <c r="W8" s="59"/>
      <c r="X8" s="59"/>
      <c r="Y8" s="59"/>
      <c r="Z8" s="59"/>
      <c r="AA8" s="6" t="s">
        <v>195</v>
      </c>
      <c r="AB8" s="6"/>
      <c r="AC8" s="6"/>
    </row>
    <row r="9" spans="1:36" s="9" customFormat="1" ht="12" thickBot="1" x14ac:dyDescent="0.25">
      <c r="B9" s="313"/>
      <c r="C9" s="19"/>
      <c r="D9" s="5"/>
      <c r="E9" s="5"/>
      <c r="F9" s="5"/>
      <c r="G9" s="5"/>
      <c r="H9" s="26"/>
      <c r="I9" s="21"/>
      <c r="J9" s="5"/>
      <c r="K9" s="5"/>
      <c r="L9" s="22" t="s">
        <v>4837</v>
      </c>
      <c r="M9" s="5"/>
      <c r="N9" s="5" t="s">
        <v>4838</v>
      </c>
      <c r="O9" s="5"/>
      <c r="P9" s="5"/>
      <c r="Q9" s="5"/>
      <c r="R9" s="5"/>
      <c r="S9" s="27" t="s">
        <v>4839</v>
      </c>
      <c r="T9" s="19"/>
      <c r="U9" s="19"/>
      <c r="V9" s="5"/>
      <c r="W9" s="61"/>
      <c r="X9" s="61"/>
      <c r="Y9" s="61"/>
      <c r="Z9" s="61"/>
      <c r="AA9" s="5"/>
      <c r="AB9" s="5"/>
      <c r="AC9" s="5"/>
    </row>
    <row r="10" spans="1:36" s="9" customFormat="1" x14ac:dyDescent="0.2">
      <c r="B10" s="314"/>
      <c r="C10" s="11"/>
      <c r="D10" s="91"/>
      <c r="E10" s="91"/>
      <c r="F10" s="12"/>
      <c r="G10" s="12"/>
      <c r="H10" s="13"/>
      <c r="I10" s="13"/>
      <c r="J10" s="12"/>
      <c r="K10" s="12"/>
      <c r="L10" s="15"/>
      <c r="M10" s="12"/>
      <c r="N10" s="12"/>
      <c r="O10" s="12"/>
      <c r="P10" s="12"/>
      <c r="Q10" s="12"/>
      <c r="R10" s="12"/>
      <c r="S10" s="12"/>
      <c r="T10" s="12"/>
      <c r="U10" s="12"/>
      <c r="V10" s="12"/>
      <c r="W10" s="12"/>
      <c r="X10" s="57"/>
      <c r="Y10" s="12"/>
      <c r="Z10" s="57"/>
      <c r="AA10" s="12"/>
      <c r="AB10" s="12"/>
      <c r="AC10" s="12"/>
    </row>
    <row r="11" spans="1:36" s="9" customFormat="1" x14ac:dyDescent="0.2">
      <c r="B11" s="312" t="s">
        <v>4832</v>
      </c>
      <c r="C11" s="16" t="s">
        <v>4833</v>
      </c>
      <c r="D11" s="7" t="s">
        <v>4834</v>
      </c>
      <c r="E11" s="7"/>
      <c r="F11" s="6" t="s">
        <v>4840</v>
      </c>
      <c r="G11" s="6"/>
      <c r="H11" s="17">
        <v>10233.15</v>
      </c>
      <c r="I11" s="39"/>
      <c r="J11" s="7">
        <v>36354</v>
      </c>
      <c r="K11" s="7"/>
      <c r="L11" s="23">
        <f>J11+60</f>
        <v>36414</v>
      </c>
      <c r="M11" s="18" t="s">
        <v>4841</v>
      </c>
      <c r="N11" s="92" t="s">
        <v>42</v>
      </c>
      <c r="O11" s="92"/>
      <c r="P11" s="92"/>
      <c r="Q11" s="92"/>
      <c r="R11" s="92"/>
      <c r="S11" s="7">
        <v>36394</v>
      </c>
      <c r="T11" s="7">
        <v>36418</v>
      </c>
      <c r="U11" s="7"/>
      <c r="V11" s="40" t="s">
        <v>4842</v>
      </c>
      <c r="W11" s="6">
        <v>525</v>
      </c>
      <c r="X11" s="59"/>
      <c r="Y11" s="6" t="s">
        <v>47</v>
      </c>
      <c r="Z11" s="59"/>
      <c r="AA11" s="6" t="s">
        <v>195</v>
      </c>
      <c r="AB11" s="6"/>
      <c r="AC11" s="6"/>
    </row>
    <row r="12" spans="1:36" s="9" customFormat="1" ht="12" thickBot="1" x14ac:dyDescent="0.25">
      <c r="B12" s="313"/>
      <c r="C12" s="19"/>
      <c r="D12" s="5"/>
      <c r="E12" s="5"/>
      <c r="F12" s="5"/>
      <c r="G12" s="5"/>
      <c r="H12" s="26"/>
      <c r="I12" s="21"/>
      <c r="J12" s="5"/>
      <c r="K12" s="5"/>
      <c r="L12" s="22" t="s">
        <v>4843</v>
      </c>
      <c r="M12" s="5"/>
      <c r="N12" s="5" t="s">
        <v>110</v>
      </c>
      <c r="O12" s="5"/>
      <c r="P12" s="5"/>
      <c r="Q12" s="5"/>
      <c r="R12" s="5"/>
      <c r="S12" s="27"/>
      <c r="T12" s="93">
        <v>36412</v>
      </c>
      <c r="U12" s="93"/>
      <c r="V12" s="5" t="s">
        <v>4844</v>
      </c>
      <c r="W12" s="5"/>
      <c r="X12" s="61"/>
      <c r="Y12" s="5" t="s">
        <v>4845</v>
      </c>
      <c r="Z12" s="61"/>
      <c r="AA12" s="27">
        <v>36430</v>
      </c>
      <c r="AB12" s="5"/>
      <c r="AC12" s="5"/>
    </row>
    <row r="13" spans="1:36" s="28" customFormat="1" ht="12" thickBot="1" x14ac:dyDescent="0.25">
      <c r="B13" s="315"/>
      <c r="D13" s="30"/>
      <c r="E13" s="30"/>
      <c r="F13" s="30"/>
      <c r="G13" s="30"/>
      <c r="H13" s="119"/>
      <c r="I13" s="31"/>
      <c r="J13" s="30"/>
      <c r="K13" s="30"/>
      <c r="L13" s="32"/>
      <c r="M13" s="30"/>
      <c r="N13" s="30"/>
      <c r="O13" s="30"/>
      <c r="P13" s="30"/>
      <c r="Q13" s="30"/>
      <c r="R13" s="30"/>
      <c r="S13" s="48"/>
      <c r="T13" s="131"/>
      <c r="U13" s="131"/>
      <c r="V13" s="30"/>
      <c r="W13" s="30"/>
      <c r="X13" s="30"/>
      <c r="Y13" s="30"/>
      <c r="Z13" s="30"/>
      <c r="AA13" s="48"/>
      <c r="AB13" s="30"/>
      <c r="AC13" s="30"/>
    </row>
    <row r="14" spans="1:36" s="556" customFormat="1" ht="39.950000000000003" customHeight="1" thickBot="1" x14ac:dyDescent="0.4">
      <c r="B14" s="1611">
        <v>2000</v>
      </c>
      <c r="C14" s="1612"/>
      <c r="D14" s="1612"/>
      <c r="E14" s="1612"/>
      <c r="F14" s="1612"/>
      <c r="G14" s="1612"/>
      <c r="H14" s="1612"/>
      <c r="I14" s="1612"/>
      <c r="J14" s="1612"/>
      <c r="K14" s="1612"/>
      <c r="L14" s="1612"/>
      <c r="M14" s="1612"/>
      <c r="N14" s="1612"/>
      <c r="O14" s="1612"/>
      <c r="P14" s="1612"/>
      <c r="Q14" s="1612"/>
      <c r="R14" s="1612"/>
      <c r="S14" s="1612"/>
      <c r="T14" s="1612"/>
      <c r="U14" s="1612"/>
      <c r="V14" s="1612"/>
      <c r="W14" s="1612"/>
      <c r="X14" s="1612"/>
      <c r="Y14" s="1612"/>
      <c r="Z14" s="1612"/>
      <c r="AA14" s="1612"/>
      <c r="AB14" s="1612"/>
      <c r="AC14" s="1613"/>
      <c r="AD14" s="555"/>
    </row>
    <row r="15" spans="1:36" s="441" customFormat="1" ht="60" customHeight="1" thickBot="1" x14ac:dyDescent="0.25">
      <c r="A15" s="438"/>
      <c r="B15" s="451" t="s">
        <v>130</v>
      </c>
      <c r="C15" s="451" t="s">
        <v>4</v>
      </c>
      <c r="D15" s="451" t="s">
        <v>5</v>
      </c>
      <c r="E15" s="451" t="s">
        <v>6</v>
      </c>
      <c r="F15" s="451" t="s">
        <v>7</v>
      </c>
      <c r="G15" s="451" t="s">
        <v>8</v>
      </c>
      <c r="H15" s="453" t="s">
        <v>9</v>
      </c>
      <c r="I15" s="453" t="s">
        <v>10</v>
      </c>
      <c r="J15" s="451" t="s">
        <v>11</v>
      </c>
      <c r="K15" s="451" t="s">
        <v>12</v>
      </c>
      <c r="L15" s="451" t="s">
        <v>13</v>
      </c>
      <c r="M15" s="451" t="s">
        <v>14</v>
      </c>
      <c r="N15" s="451" t="s">
        <v>15</v>
      </c>
      <c r="O15" s="452" t="s">
        <v>16</v>
      </c>
      <c r="P15" s="454" t="s">
        <v>17</v>
      </c>
      <c r="Q15" s="451"/>
      <c r="R15" s="452"/>
      <c r="S15" s="451" t="s">
        <v>4659</v>
      </c>
      <c r="T15" s="451" t="s">
        <v>4660</v>
      </c>
      <c r="U15" s="452" t="s">
        <v>22</v>
      </c>
      <c r="V15" s="451" t="s">
        <v>131</v>
      </c>
      <c r="W15" s="451" t="s">
        <v>24</v>
      </c>
      <c r="X15" s="451" t="s">
        <v>132</v>
      </c>
      <c r="Y15" s="451" t="s">
        <v>26</v>
      </c>
      <c r="Z15" s="451" t="s">
        <v>27</v>
      </c>
      <c r="AA15" s="451" t="s">
        <v>28</v>
      </c>
      <c r="AB15" s="451" t="s">
        <v>29</v>
      </c>
      <c r="AC15" s="451" t="s">
        <v>30</v>
      </c>
      <c r="AD15" s="439"/>
      <c r="AE15" s="440"/>
      <c r="AF15" s="440"/>
      <c r="AG15" s="440"/>
      <c r="AH15" s="440"/>
      <c r="AI15" s="440"/>
      <c r="AJ15" s="440"/>
    </row>
    <row r="16" spans="1:36" s="76" customFormat="1" x14ac:dyDescent="0.2">
      <c r="B16" s="314"/>
      <c r="C16" s="11"/>
      <c r="D16" s="91"/>
      <c r="E16" s="91"/>
      <c r="F16" s="12"/>
      <c r="G16" s="12"/>
      <c r="H16" s="13"/>
      <c r="I16" s="13"/>
      <c r="J16" s="12"/>
      <c r="K16" s="12"/>
      <c r="L16" s="15"/>
      <c r="M16" s="12"/>
      <c r="N16" s="12"/>
      <c r="O16" s="12"/>
      <c r="P16" s="12"/>
      <c r="Q16" s="12"/>
      <c r="R16" s="12"/>
      <c r="S16" s="12"/>
      <c r="T16" s="12"/>
      <c r="U16" s="12"/>
      <c r="V16" s="80"/>
      <c r="W16" s="80"/>
      <c r="X16" s="82"/>
      <c r="Y16" s="80"/>
      <c r="Z16" s="80"/>
      <c r="AA16" s="80"/>
      <c r="AB16" s="80"/>
      <c r="AC16" s="80"/>
    </row>
    <row r="17" spans="1:36" s="76" customFormat="1" x14ac:dyDescent="0.2">
      <c r="B17" s="312" t="s">
        <v>4832</v>
      </c>
      <c r="C17" s="16" t="s">
        <v>4846</v>
      </c>
      <c r="D17" s="7" t="s">
        <v>4847</v>
      </c>
      <c r="E17" s="7"/>
      <c r="F17" s="6" t="s">
        <v>4848</v>
      </c>
      <c r="G17" s="6"/>
      <c r="H17" s="17">
        <v>6024</v>
      </c>
      <c r="I17" s="39"/>
      <c r="J17" s="7">
        <v>36531</v>
      </c>
      <c r="K17" s="7"/>
      <c r="L17" s="23">
        <f>J17+15</f>
        <v>36546</v>
      </c>
      <c r="M17" s="18" t="s">
        <v>135</v>
      </c>
      <c r="N17" s="6" t="s">
        <v>42</v>
      </c>
      <c r="O17" s="6"/>
      <c r="P17" s="6"/>
      <c r="Q17" s="6"/>
      <c r="R17" s="6"/>
      <c r="S17" s="7">
        <v>36539</v>
      </c>
      <c r="T17" s="7" t="s">
        <v>4849</v>
      </c>
      <c r="U17" s="7"/>
      <c r="V17" s="6" t="s">
        <v>4850</v>
      </c>
      <c r="W17" s="70">
        <v>557</v>
      </c>
      <c r="X17" s="75"/>
      <c r="Y17" s="70" t="s">
        <v>318</v>
      </c>
      <c r="Z17" s="70"/>
      <c r="AA17" s="70"/>
      <c r="AB17" s="70" t="s">
        <v>211</v>
      </c>
      <c r="AC17" s="70" t="s">
        <v>211</v>
      </c>
    </row>
    <row r="18" spans="1:36" s="76" customFormat="1" ht="12" thickBot="1" x14ac:dyDescent="0.25">
      <c r="B18" s="313"/>
      <c r="C18" s="19"/>
      <c r="D18" s="5"/>
      <c r="E18" s="5"/>
      <c r="F18" s="5"/>
      <c r="G18" s="5"/>
      <c r="H18" s="26"/>
      <c r="I18" s="21"/>
      <c r="J18" s="5"/>
      <c r="K18" s="5"/>
      <c r="L18" s="22"/>
      <c r="M18" s="5"/>
      <c r="N18" s="5"/>
      <c r="O18" s="5"/>
      <c r="P18" s="5"/>
      <c r="Q18" s="5"/>
      <c r="R18" s="5"/>
      <c r="S18" s="27" t="s">
        <v>647</v>
      </c>
      <c r="T18" s="5" t="s">
        <v>3359</v>
      </c>
      <c r="U18" s="5"/>
      <c r="V18" s="87" t="s">
        <v>4851</v>
      </c>
      <c r="W18" s="87"/>
      <c r="X18" s="90"/>
      <c r="Y18" s="87"/>
      <c r="Z18" s="87"/>
      <c r="AA18" s="87"/>
      <c r="AB18" s="87"/>
      <c r="AC18" s="87"/>
    </row>
    <row r="19" spans="1:36" s="76" customFormat="1" x14ac:dyDescent="0.2">
      <c r="B19" s="314"/>
      <c r="C19" s="11"/>
      <c r="D19" s="91"/>
      <c r="E19" s="91"/>
      <c r="F19" s="12"/>
      <c r="G19" s="12"/>
      <c r="H19" s="13"/>
      <c r="I19" s="14"/>
      <c r="J19" s="12"/>
      <c r="K19" s="12"/>
      <c r="L19" s="15"/>
      <c r="M19" s="12"/>
      <c r="N19" s="34"/>
      <c r="O19" s="34"/>
      <c r="P19" s="34"/>
      <c r="Q19" s="34"/>
      <c r="R19" s="34"/>
      <c r="S19" s="12"/>
      <c r="T19" s="12"/>
      <c r="U19" s="94"/>
      <c r="V19" s="108"/>
      <c r="W19" s="82"/>
      <c r="X19" s="82"/>
      <c r="Y19" s="80"/>
      <c r="Z19" s="82"/>
      <c r="AA19" s="80"/>
      <c r="AB19" s="80"/>
      <c r="AC19" s="80"/>
    </row>
    <row r="20" spans="1:36" s="76" customFormat="1" x14ac:dyDescent="0.2">
      <c r="B20" s="312" t="s">
        <v>4832</v>
      </c>
      <c r="C20" s="16" t="s">
        <v>4846</v>
      </c>
      <c r="D20" s="7" t="s">
        <v>4852</v>
      </c>
      <c r="E20" s="7"/>
      <c r="F20" s="6" t="s">
        <v>4853</v>
      </c>
      <c r="G20" s="6"/>
      <c r="H20" s="17">
        <v>6048.6</v>
      </c>
      <c r="I20" s="39"/>
      <c r="J20" s="7">
        <v>36580</v>
      </c>
      <c r="K20" s="7"/>
      <c r="L20" s="23">
        <f>J20+30</f>
        <v>36610</v>
      </c>
      <c r="M20" s="18" t="s">
        <v>287</v>
      </c>
      <c r="N20" s="47" t="s">
        <v>110</v>
      </c>
      <c r="O20" s="47"/>
      <c r="P20" s="47"/>
      <c r="Q20" s="47"/>
      <c r="R20" s="47"/>
      <c r="S20" s="7">
        <v>36616</v>
      </c>
      <c r="T20" s="7">
        <v>36622</v>
      </c>
      <c r="U20" s="150"/>
      <c r="V20" s="109" t="s">
        <v>347</v>
      </c>
      <c r="W20" s="75"/>
      <c r="X20" s="75"/>
      <c r="Y20" s="70"/>
      <c r="Z20" s="75"/>
      <c r="AA20" s="70"/>
      <c r="AB20" s="70"/>
      <c r="AC20" s="70"/>
    </row>
    <row r="21" spans="1:36" s="76" customFormat="1" ht="13.5" customHeight="1" thickBot="1" x14ac:dyDescent="0.25">
      <c r="B21" s="313"/>
      <c r="C21" s="19"/>
      <c r="D21" s="5"/>
      <c r="E21" s="5"/>
      <c r="F21" s="5"/>
      <c r="G21" s="5"/>
      <c r="H21" s="105"/>
      <c r="I21" s="21"/>
      <c r="J21" s="5"/>
      <c r="K21" s="5"/>
      <c r="L21" s="22"/>
      <c r="M21" s="5"/>
      <c r="N21" s="36"/>
      <c r="O21" s="36"/>
      <c r="P21" s="36"/>
      <c r="Q21" s="36"/>
      <c r="R21" s="36"/>
      <c r="S21" s="5"/>
      <c r="T21" s="5"/>
      <c r="U21" s="68"/>
      <c r="V21" s="68"/>
      <c r="W21" s="90"/>
      <c r="X21" s="90"/>
      <c r="Y21" s="87"/>
      <c r="Z21" s="90"/>
      <c r="AA21" s="87"/>
      <c r="AB21" s="87"/>
      <c r="AC21" s="87"/>
    </row>
    <row r="22" spans="1:36" s="76" customFormat="1" x14ac:dyDescent="0.2">
      <c r="B22" s="314"/>
      <c r="C22" s="11"/>
      <c r="D22" s="91"/>
      <c r="E22" s="91"/>
      <c r="F22" s="12"/>
      <c r="G22" s="12"/>
      <c r="H22" s="13"/>
      <c r="I22" s="14"/>
      <c r="J22" s="12"/>
      <c r="K22" s="12"/>
      <c r="L22" s="15"/>
      <c r="M22" s="12"/>
      <c r="N22" s="34"/>
      <c r="O22" s="34"/>
      <c r="P22" s="34"/>
      <c r="Q22" s="34"/>
      <c r="R22" s="34"/>
      <c r="S22" s="12"/>
      <c r="T22" s="12"/>
      <c r="U22" s="94"/>
      <c r="V22" s="108"/>
      <c r="W22" s="80"/>
      <c r="X22" s="82"/>
      <c r="Y22" s="80"/>
      <c r="Z22" s="80"/>
      <c r="AA22" s="80"/>
      <c r="AB22" s="80"/>
      <c r="AC22" s="80"/>
    </row>
    <row r="23" spans="1:36" s="76" customFormat="1" x14ac:dyDescent="0.2">
      <c r="B23" s="312" t="s">
        <v>4832</v>
      </c>
      <c r="C23" s="16" t="s">
        <v>4846</v>
      </c>
      <c r="D23" s="7" t="s">
        <v>4852</v>
      </c>
      <c r="E23" s="7"/>
      <c r="F23" s="6" t="s">
        <v>4854</v>
      </c>
      <c r="G23" s="6"/>
      <c r="H23" s="17">
        <v>27328.400000000001</v>
      </c>
      <c r="I23" s="39"/>
      <c r="J23" s="7">
        <v>36580</v>
      </c>
      <c r="K23" s="7"/>
      <c r="L23" s="23">
        <f>J23+60</f>
        <v>36640</v>
      </c>
      <c r="M23" s="18" t="s">
        <v>4855</v>
      </c>
      <c r="N23" s="47" t="s">
        <v>42</v>
      </c>
      <c r="O23" s="47"/>
      <c r="P23" s="47"/>
      <c r="Q23" s="47"/>
      <c r="R23" s="47"/>
      <c r="S23" s="7">
        <v>36626</v>
      </c>
      <c r="T23" s="7">
        <v>36672</v>
      </c>
      <c r="U23" s="150"/>
      <c r="V23" s="67" t="s">
        <v>4856</v>
      </c>
      <c r="W23" s="70">
        <v>595</v>
      </c>
      <c r="X23" s="75"/>
      <c r="Y23" s="70" t="s">
        <v>211</v>
      </c>
      <c r="Z23" s="70">
        <v>6640171952</v>
      </c>
      <c r="AA23" s="70"/>
      <c r="AB23" s="70"/>
      <c r="AC23" s="70"/>
    </row>
    <row r="24" spans="1:36" s="76" customFormat="1" ht="13.5" customHeight="1" thickBot="1" x14ac:dyDescent="0.25">
      <c r="B24" s="313"/>
      <c r="C24" s="19"/>
      <c r="D24" s="5"/>
      <c r="E24" s="5"/>
      <c r="F24" s="5"/>
      <c r="G24" s="5"/>
      <c r="H24" s="105"/>
      <c r="I24" s="21"/>
      <c r="J24" s="5"/>
      <c r="K24" s="5"/>
      <c r="L24" s="22"/>
      <c r="M24" s="5" t="s">
        <v>4857</v>
      </c>
      <c r="N24" s="36"/>
      <c r="O24" s="36"/>
      <c r="P24" s="36"/>
      <c r="Q24" s="36"/>
      <c r="R24" s="36"/>
      <c r="S24" s="5" t="s">
        <v>309</v>
      </c>
      <c r="T24" s="5"/>
      <c r="U24" s="68"/>
      <c r="V24" s="68"/>
      <c r="W24" s="87"/>
      <c r="X24" s="90"/>
      <c r="Y24" s="87"/>
      <c r="Z24" s="87"/>
      <c r="AA24" s="87"/>
      <c r="AB24" s="87"/>
      <c r="AC24" s="87"/>
    </row>
    <row r="25" spans="1:36" s="9" customFormat="1" ht="12" thickBot="1" x14ac:dyDescent="0.25">
      <c r="B25" s="310"/>
      <c r="C25" s="2"/>
      <c r="D25" s="41"/>
      <c r="E25" s="41"/>
      <c r="F25" s="3"/>
      <c r="G25" s="3"/>
      <c r="H25" s="223"/>
      <c r="I25" s="3"/>
      <c r="J25" s="2"/>
      <c r="K25" s="2"/>
      <c r="L25" s="2"/>
      <c r="M25" s="2"/>
      <c r="N25" s="2"/>
      <c r="O25" s="2"/>
      <c r="P25" s="2"/>
      <c r="Q25" s="2"/>
      <c r="R25" s="2"/>
      <c r="S25" s="310"/>
      <c r="T25" s="2"/>
      <c r="U25" s="2"/>
      <c r="V25" s="2"/>
      <c r="W25" s="10"/>
      <c r="X25" s="10"/>
      <c r="Y25" s="10"/>
      <c r="AA25" s="2"/>
      <c r="AB25" s="10"/>
      <c r="AC25" s="10"/>
    </row>
    <row r="26" spans="1:36" s="556" customFormat="1" ht="32.25" customHeight="1" thickBot="1" x14ac:dyDescent="0.4">
      <c r="B26" s="1611">
        <v>2001</v>
      </c>
      <c r="C26" s="1612"/>
      <c r="D26" s="1612"/>
      <c r="E26" s="1612"/>
      <c r="F26" s="1612"/>
      <c r="G26" s="1612"/>
      <c r="H26" s="1612"/>
      <c r="I26" s="1612"/>
      <c r="J26" s="1612"/>
      <c r="K26" s="1612"/>
      <c r="L26" s="1612"/>
      <c r="M26" s="1612"/>
      <c r="N26" s="1612"/>
      <c r="O26" s="1612"/>
      <c r="P26" s="1612"/>
      <c r="Q26" s="1612"/>
      <c r="R26" s="1612"/>
      <c r="S26" s="1612"/>
      <c r="T26" s="1612"/>
      <c r="U26" s="1612"/>
      <c r="V26" s="1612"/>
      <c r="W26" s="1612"/>
      <c r="X26" s="1612"/>
      <c r="Y26" s="1612"/>
      <c r="Z26" s="1612"/>
      <c r="AA26" s="1612"/>
      <c r="AB26" s="1612"/>
      <c r="AC26" s="1613"/>
      <c r="AD26" s="555"/>
    </row>
    <row r="27" spans="1:36" s="441" customFormat="1" ht="60" customHeight="1" thickBot="1" x14ac:dyDescent="0.25">
      <c r="A27" s="438"/>
      <c r="B27" s="451" t="s">
        <v>130</v>
      </c>
      <c r="C27" s="451" t="s">
        <v>4</v>
      </c>
      <c r="D27" s="451" t="s">
        <v>5</v>
      </c>
      <c r="E27" s="451" t="s">
        <v>6</v>
      </c>
      <c r="F27" s="451" t="s">
        <v>7</v>
      </c>
      <c r="G27" s="451" t="s">
        <v>8</v>
      </c>
      <c r="H27" s="453" t="s">
        <v>9</v>
      </c>
      <c r="I27" s="453" t="s">
        <v>10</v>
      </c>
      <c r="J27" s="451" t="s">
        <v>11</v>
      </c>
      <c r="K27" s="451" t="s">
        <v>12</v>
      </c>
      <c r="L27" s="451" t="s">
        <v>13</v>
      </c>
      <c r="M27" s="451" t="s">
        <v>14</v>
      </c>
      <c r="N27" s="451" t="s">
        <v>15</v>
      </c>
      <c r="O27" s="452" t="s">
        <v>16</v>
      </c>
      <c r="P27" s="454" t="s">
        <v>17</v>
      </c>
      <c r="Q27" s="451"/>
      <c r="R27" s="452"/>
      <c r="S27" s="451" t="s">
        <v>4659</v>
      </c>
      <c r="T27" s="451" t="s">
        <v>4660</v>
      </c>
      <c r="U27" s="452" t="s">
        <v>22</v>
      </c>
      <c r="V27" s="451" t="s">
        <v>131</v>
      </c>
      <c r="W27" s="451" t="s">
        <v>24</v>
      </c>
      <c r="X27" s="451" t="s">
        <v>132</v>
      </c>
      <c r="Y27" s="451" t="s">
        <v>26</v>
      </c>
      <c r="Z27" s="451" t="s">
        <v>27</v>
      </c>
      <c r="AA27" s="451" t="s">
        <v>28</v>
      </c>
      <c r="AB27" s="451" t="s">
        <v>29</v>
      </c>
      <c r="AC27" s="451" t="s">
        <v>30</v>
      </c>
      <c r="AD27" s="439"/>
      <c r="AE27" s="440"/>
      <c r="AF27" s="440"/>
      <c r="AG27" s="440"/>
      <c r="AH27" s="440"/>
      <c r="AI27" s="440"/>
      <c r="AJ27" s="440"/>
    </row>
    <row r="28" spans="1:36" s="9" customFormat="1" x14ac:dyDescent="0.2">
      <c r="B28" s="314"/>
      <c r="C28" s="11"/>
      <c r="D28" s="12"/>
      <c r="E28" s="12"/>
      <c r="F28" s="12"/>
      <c r="G28" s="12"/>
      <c r="H28" s="13"/>
      <c r="I28" s="14"/>
      <c r="J28" s="12"/>
      <c r="K28" s="12"/>
      <c r="L28" s="12"/>
      <c r="M28" s="12"/>
      <c r="N28" s="12"/>
      <c r="O28" s="12"/>
      <c r="P28" s="12"/>
      <c r="Q28" s="12"/>
      <c r="R28" s="12"/>
      <c r="S28" s="12"/>
      <c r="T28" s="12"/>
      <c r="U28" s="12"/>
      <c r="V28" s="12"/>
      <c r="W28" s="11"/>
      <c r="X28" s="58"/>
      <c r="Y28" s="12"/>
      <c r="Z28" s="12"/>
      <c r="AA28" s="11"/>
      <c r="AB28" s="12"/>
      <c r="AC28" s="12"/>
    </row>
    <row r="29" spans="1:36" s="9" customFormat="1" x14ac:dyDescent="0.2">
      <c r="B29" s="312" t="s">
        <v>4832</v>
      </c>
      <c r="C29" s="16" t="s">
        <v>4846</v>
      </c>
      <c r="D29" s="6"/>
      <c r="E29" s="6"/>
      <c r="F29" s="6" t="s">
        <v>4858</v>
      </c>
      <c r="G29" s="6"/>
      <c r="H29" s="17">
        <v>5350</v>
      </c>
      <c r="I29" s="39"/>
      <c r="J29" s="7">
        <v>36901</v>
      </c>
      <c r="K29" s="7"/>
      <c r="L29" s="7">
        <f>56+J29</f>
        <v>36957</v>
      </c>
      <c r="M29" s="6" t="s">
        <v>280</v>
      </c>
      <c r="N29" s="6" t="s">
        <v>110</v>
      </c>
      <c r="O29" s="6"/>
      <c r="P29" s="6"/>
      <c r="Q29" s="6"/>
      <c r="R29" s="6"/>
      <c r="S29" s="7">
        <v>36927</v>
      </c>
      <c r="T29" s="7">
        <v>36951</v>
      </c>
      <c r="U29" s="7"/>
      <c r="V29" s="40" t="s">
        <v>4859</v>
      </c>
      <c r="W29" s="6" t="s">
        <v>4860</v>
      </c>
      <c r="X29" s="60"/>
      <c r="Y29" s="6" t="s">
        <v>4845</v>
      </c>
      <c r="Z29" s="6"/>
      <c r="AA29" s="16"/>
      <c r="AB29" s="6"/>
      <c r="AC29" s="6"/>
    </row>
    <row r="30" spans="1:36" s="9" customFormat="1" ht="12" thickBot="1" x14ac:dyDescent="0.25">
      <c r="B30" s="313"/>
      <c r="C30" s="19"/>
      <c r="D30" s="5"/>
      <c r="E30" s="5"/>
      <c r="F30" s="5"/>
      <c r="G30" s="5"/>
      <c r="H30" s="26"/>
      <c r="I30" s="21"/>
      <c r="J30" s="5"/>
      <c r="K30" s="5"/>
      <c r="L30" s="5"/>
      <c r="M30" s="5"/>
      <c r="N30" s="5"/>
      <c r="O30" s="5"/>
      <c r="P30" s="5"/>
      <c r="Q30" s="5"/>
      <c r="R30" s="5"/>
      <c r="S30" s="5"/>
      <c r="T30" s="5"/>
      <c r="U30" s="5"/>
      <c r="V30" s="5" t="s">
        <v>4861</v>
      </c>
      <c r="W30" s="19"/>
      <c r="X30" s="62"/>
      <c r="Y30" s="19"/>
      <c r="Z30" s="5"/>
      <c r="AA30" s="19"/>
      <c r="AB30" s="5"/>
      <c r="AC30" s="5"/>
    </row>
    <row r="31" spans="1:36" s="9" customFormat="1" x14ac:dyDescent="0.2">
      <c r="B31" s="314"/>
      <c r="C31" s="11"/>
      <c r="D31" s="12"/>
      <c r="E31" s="12"/>
      <c r="F31" s="12"/>
      <c r="G31" s="12"/>
      <c r="H31" s="13"/>
      <c r="I31" s="14"/>
      <c r="J31" s="12"/>
      <c r="K31" s="12"/>
      <c r="L31" s="12"/>
      <c r="M31" s="12"/>
      <c r="N31" s="12"/>
      <c r="O31" s="12"/>
      <c r="P31" s="12"/>
      <c r="Q31" s="12"/>
      <c r="R31" s="12"/>
      <c r="S31" s="12"/>
      <c r="T31" s="12"/>
      <c r="U31" s="12"/>
      <c r="V31" s="12" t="s">
        <v>4862</v>
      </c>
      <c r="W31" s="11"/>
      <c r="X31" s="58"/>
      <c r="Y31" s="11"/>
      <c r="Z31" s="12"/>
      <c r="AA31" s="11"/>
      <c r="AB31" s="12"/>
      <c r="AC31" s="12"/>
    </row>
    <row r="32" spans="1:36" s="9" customFormat="1" x14ac:dyDescent="0.2">
      <c r="B32" s="312" t="s">
        <v>4832</v>
      </c>
      <c r="C32" s="16" t="s">
        <v>4846</v>
      </c>
      <c r="D32" s="6" t="s">
        <v>4863</v>
      </c>
      <c r="E32" s="6"/>
      <c r="F32" s="6" t="s">
        <v>4864</v>
      </c>
      <c r="G32" s="6"/>
      <c r="H32" s="17">
        <v>28252.6</v>
      </c>
      <c r="I32" s="39"/>
      <c r="J32" s="7">
        <v>36901</v>
      </c>
      <c r="K32" s="7"/>
      <c r="L32" s="40" t="s">
        <v>4865</v>
      </c>
      <c r="M32" s="6" t="s">
        <v>124</v>
      </c>
      <c r="N32" s="6" t="s">
        <v>42</v>
      </c>
      <c r="O32" s="6"/>
      <c r="P32" s="6"/>
      <c r="Q32" s="6"/>
      <c r="R32" s="6"/>
      <c r="S32" s="7">
        <v>36973</v>
      </c>
      <c r="T32" s="7">
        <v>37001</v>
      </c>
      <c r="U32" s="7"/>
      <c r="V32" s="40" t="s">
        <v>3329</v>
      </c>
      <c r="W32" s="6">
        <v>705</v>
      </c>
      <c r="X32" s="60"/>
      <c r="Y32" s="6" t="s">
        <v>4845</v>
      </c>
      <c r="Z32" s="6"/>
      <c r="AA32" s="16"/>
      <c r="AB32" s="6"/>
      <c r="AC32" s="6"/>
    </row>
    <row r="33" spans="1:36" s="9" customFormat="1" ht="12" thickBot="1" x14ac:dyDescent="0.25">
      <c r="B33" s="313"/>
      <c r="C33" s="19"/>
      <c r="D33" s="5"/>
      <c r="E33" s="5"/>
      <c r="F33" s="5" t="s">
        <v>4866</v>
      </c>
      <c r="G33" s="5"/>
      <c r="H33" s="26"/>
      <c r="I33" s="21"/>
      <c r="J33" s="5"/>
      <c r="K33" s="5"/>
      <c r="L33" s="5"/>
      <c r="M33" s="5"/>
      <c r="N33" s="5"/>
      <c r="O33" s="5"/>
      <c r="P33" s="5"/>
      <c r="Q33" s="5"/>
      <c r="R33" s="5"/>
      <c r="S33" s="5"/>
      <c r="T33" s="5" t="s">
        <v>3413</v>
      </c>
      <c r="U33" s="5"/>
      <c r="V33" s="22" t="s">
        <v>4867</v>
      </c>
      <c r="W33" s="19"/>
      <c r="X33" s="62"/>
      <c r="Y33" s="5"/>
      <c r="Z33" s="5"/>
      <c r="AA33" s="19"/>
      <c r="AB33" s="5"/>
      <c r="AC33" s="5"/>
    </row>
    <row r="34" spans="1:36" s="9" customFormat="1" x14ac:dyDescent="0.2">
      <c r="B34" s="314"/>
      <c r="C34" s="11"/>
      <c r="D34" s="12"/>
      <c r="E34" s="12"/>
      <c r="F34" s="12"/>
      <c r="G34" s="12"/>
      <c r="H34" s="13"/>
      <c r="I34" s="14"/>
      <c r="J34" s="12"/>
      <c r="K34" s="12"/>
      <c r="L34" s="12"/>
      <c r="M34" s="12"/>
      <c r="N34" s="12"/>
      <c r="O34" s="12"/>
      <c r="P34" s="12"/>
      <c r="Q34" s="12"/>
      <c r="R34" s="12"/>
      <c r="S34" s="12"/>
      <c r="T34" s="12"/>
      <c r="U34" s="12"/>
      <c r="V34" s="12"/>
      <c r="W34" s="11"/>
      <c r="X34" s="58"/>
      <c r="Y34" s="58"/>
      <c r="Z34" s="12"/>
      <c r="AA34" s="11"/>
      <c r="AB34" s="12"/>
      <c r="AC34" s="12"/>
    </row>
    <row r="35" spans="1:36" s="9" customFormat="1" x14ac:dyDescent="0.2">
      <c r="B35" s="312" t="s">
        <v>4832</v>
      </c>
      <c r="C35" s="16" t="s">
        <v>4846</v>
      </c>
      <c r="D35" s="6" t="s">
        <v>4868</v>
      </c>
      <c r="E35" s="6"/>
      <c r="F35" s="6" t="s">
        <v>4869</v>
      </c>
      <c r="G35" s="6"/>
      <c r="H35" s="193">
        <v>432</v>
      </c>
      <c r="I35" s="39"/>
      <c r="J35" s="7">
        <v>37041</v>
      </c>
      <c r="K35" s="7"/>
      <c r="L35" s="40"/>
      <c r="M35" s="6" t="s">
        <v>124</v>
      </c>
      <c r="N35" s="6" t="s">
        <v>110</v>
      </c>
      <c r="O35" s="6"/>
      <c r="P35" s="6"/>
      <c r="Q35" s="6"/>
      <c r="R35" s="6"/>
      <c r="S35" s="7" t="s">
        <v>3580</v>
      </c>
      <c r="T35" s="7">
        <v>37056</v>
      </c>
      <c r="U35" s="7"/>
      <c r="V35" s="40" t="s">
        <v>4870</v>
      </c>
      <c r="W35" s="16"/>
      <c r="X35" s="60"/>
      <c r="Y35" s="60"/>
      <c r="Z35" s="6"/>
      <c r="AA35" s="16"/>
      <c r="AB35" s="6"/>
      <c r="AC35" s="6"/>
    </row>
    <row r="36" spans="1:36" s="9" customFormat="1" ht="12" thickBot="1" x14ac:dyDescent="0.25">
      <c r="B36" s="313"/>
      <c r="C36" s="19"/>
      <c r="D36" s="5"/>
      <c r="E36" s="5"/>
      <c r="F36" s="5"/>
      <c r="G36" s="5"/>
      <c r="H36" s="26"/>
      <c r="I36" s="21"/>
      <c r="J36" s="5"/>
      <c r="K36" s="5"/>
      <c r="L36" s="5"/>
      <c r="M36" s="5"/>
      <c r="N36" s="5"/>
      <c r="O36" s="5"/>
      <c r="P36" s="5"/>
      <c r="Q36" s="5"/>
      <c r="R36" s="5"/>
      <c r="S36" s="5"/>
      <c r="T36" s="5" t="s">
        <v>4871</v>
      </c>
      <c r="U36" s="5"/>
      <c r="V36" s="5" t="s">
        <v>4872</v>
      </c>
      <c r="W36" s="19"/>
      <c r="X36" s="62"/>
      <c r="Y36" s="62"/>
      <c r="Z36" s="5"/>
      <c r="AA36" s="19"/>
      <c r="AB36" s="5"/>
      <c r="AC36" s="5"/>
    </row>
    <row r="37" spans="1:36" ht="12" thickBot="1" x14ac:dyDescent="0.25"/>
    <row r="38" spans="1:36" s="556" customFormat="1" ht="39.950000000000003" customHeight="1" thickBot="1" x14ac:dyDescent="0.4">
      <c r="B38" s="1611">
        <v>2002</v>
      </c>
      <c r="C38" s="1612"/>
      <c r="D38" s="1612"/>
      <c r="E38" s="1612"/>
      <c r="F38" s="1612"/>
      <c r="G38" s="1612"/>
      <c r="H38" s="1612"/>
      <c r="I38" s="1612"/>
      <c r="J38" s="1612"/>
      <c r="K38" s="1612"/>
      <c r="L38" s="1612"/>
      <c r="M38" s="1612"/>
      <c r="N38" s="1612"/>
      <c r="O38" s="1612"/>
      <c r="P38" s="1612"/>
      <c r="Q38" s="1612"/>
      <c r="R38" s="1612"/>
      <c r="S38" s="1612"/>
      <c r="T38" s="1612"/>
      <c r="U38" s="1612"/>
      <c r="V38" s="1612"/>
      <c r="W38" s="1612"/>
      <c r="X38" s="1612"/>
      <c r="Y38" s="1612"/>
      <c r="Z38" s="1612"/>
      <c r="AA38" s="1612"/>
      <c r="AB38" s="1612"/>
      <c r="AC38" s="1613"/>
      <c r="AD38" s="555"/>
    </row>
    <row r="39" spans="1:36" s="441" customFormat="1" ht="60" customHeight="1" thickBot="1" x14ac:dyDescent="0.25">
      <c r="A39" s="438"/>
      <c r="B39" s="451" t="s">
        <v>130</v>
      </c>
      <c r="C39" s="451" t="s">
        <v>4</v>
      </c>
      <c r="D39" s="451" t="s">
        <v>5</v>
      </c>
      <c r="E39" s="451" t="s">
        <v>6</v>
      </c>
      <c r="F39" s="451" t="s">
        <v>7</v>
      </c>
      <c r="G39" s="451" t="s">
        <v>8</v>
      </c>
      <c r="H39" s="453" t="s">
        <v>9</v>
      </c>
      <c r="I39" s="453" t="s">
        <v>10</v>
      </c>
      <c r="J39" s="451" t="s">
        <v>11</v>
      </c>
      <c r="K39" s="451" t="s">
        <v>12</v>
      </c>
      <c r="L39" s="451" t="s">
        <v>13</v>
      </c>
      <c r="M39" s="451" t="s">
        <v>14</v>
      </c>
      <c r="N39" s="451" t="s">
        <v>15</v>
      </c>
      <c r="O39" s="452" t="s">
        <v>16</v>
      </c>
      <c r="P39" s="454" t="s">
        <v>17</v>
      </c>
      <c r="Q39" s="451"/>
      <c r="R39" s="452"/>
      <c r="S39" s="451" t="s">
        <v>4659</v>
      </c>
      <c r="T39" s="451" t="s">
        <v>4660</v>
      </c>
      <c r="U39" s="452" t="s">
        <v>22</v>
      </c>
      <c r="V39" s="451" t="s">
        <v>131</v>
      </c>
      <c r="W39" s="451" t="s">
        <v>24</v>
      </c>
      <c r="X39" s="451" t="s">
        <v>132</v>
      </c>
      <c r="Y39" s="451" t="s">
        <v>26</v>
      </c>
      <c r="Z39" s="451" t="s">
        <v>27</v>
      </c>
      <c r="AA39" s="451" t="s">
        <v>28</v>
      </c>
      <c r="AB39" s="451" t="s">
        <v>29</v>
      </c>
      <c r="AC39" s="451" t="s">
        <v>30</v>
      </c>
      <c r="AD39" s="439"/>
      <c r="AE39" s="440"/>
      <c r="AF39" s="440"/>
      <c r="AG39" s="440"/>
      <c r="AH39" s="440"/>
      <c r="AI39" s="440"/>
      <c r="AJ39" s="440"/>
    </row>
    <row r="40" spans="1:36" s="76" customFormat="1" x14ac:dyDescent="0.2">
      <c r="B40" s="314"/>
      <c r="C40" s="11"/>
      <c r="D40" s="12"/>
      <c r="E40" s="12"/>
      <c r="F40" s="12"/>
      <c r="G40" s="12"/>
      <c r="H40" s="504"/>
      <c r="I40" s="14"/>
      <c r="J40" s="12"/>
      <c r="K40" s="12"/>
      <c r="L40" s="15"/>
      <c r="M40" s="12"/>
      <c r="N40" s="12"/>
      <c r="O40" s="12"/>
      <c r="P40" s="12"/>
      <c r="Q40" s="12"/>
      <c r="R40" s="12"/>
      <c r="S40" s="141"/>
      <c r="T40" s="12" t="s">
        <v>4873</v>
      </c>
      <c r="U40" s="12"/>
      <c r="V40" s="12"/>
      <c r="W40" s="80"/>
      <c r="X40" s="82"/>
      <c r="Y40" s="82"/>
      <c r="Z40" s="80"/>
      <c r="AA40" s="80"/>
      <c r="AB40" s="80"/>
      <c r="AC40" s="80"/>
    </row>
    <row r="41" spans="1:36" s="76" customFormat="1" x14ac:dyDescent="0.2">
      <c r="B41" s="312" t="s">
        <v>4832</v>
      </c>
      <c r="C41" s="16" t="s">
        <v>4846</v>
      </c>
      <c r="D41" s="6" t="s">
        <v>4874</v>
      </c>
      <c r="E41" s="6"/>
      <c r="F41" s="6" t="s">
        <v>4875</v>
      </c>
      <c r="G41" s="6"/>
      <c r="H41" s="17">
        <v>3691</v>
      </c>
      <c r="I41" s="39"/>
      <c r="J41" s="7">
        <v>37329</v>
      </c>
      <c r="K41" s="7"/>
      <c r="L41" s="23">
        <v>37369</v>
      </c>
      <c r="M41" s="18" t="s">
        <v>124</v>
      </c>
      <c r="N41" s="6" t="s">
        <v>42</v>
      </c>
      <c r="O41" s="6"/>
      <c r="P41" s="6"/>
      <c r="Q41" s="6"/>
      <c r="R41" s="6"/>
      <c r="S41" s="23">
        <v>37354</v>
      </c>
      <c r="T41" s="7">
        <v>37364</v>
      </c>
      <c r="U41" s="7"/>
      <c r="V41" s="6" t="s">
        <v>4876</v>
      </c>
      <c r="W41" s="70">
        <v>785</v>
      </c>
      <c r="X41" s="75"/>
      <c r="Y41" s="75"/>
      <c r="Z41" s="6">
        <v>6558378831</v>
      </c>
      <c r="AA41" s="74" t="s">
        <v>195</v>
      </c>
      <c r="AB41" s="74" t="s">
        <v>211</v>
      </c>
      <c r="AC41" s="74" t="s">
        <v>211</v>
      </c>
      <c r="AD41" s="10" t="str">
        <f>IF(T41&lt;=L41,"en término","atrasado")</f>
        <v>en término</v>
      </c>
    </row>
    <row r="42" spans="1:36" s="76" customFormat="1" ht="12" thickBot="1" x14ac:dyDescent="0.25">
      <c r="B42" s="313"/>
      <c r="C42" s="19"/>
      <c r="D42" s="5"/>
      <c r="E42" s="5"/>
      <c r="F42" s="5"/>
      <c r="G42" s="5"/>
      <c r="H42" s="105"/>
      <c r="I42" s="21"/>
      <c r="J42" s="5"/>
      <c r="K42" s="5"/>
      <c r="L42" s="127"/>
      <c r="M42" s="5"/>
      <c r="N42" s="5"/>
      <c r="O42" s="5"/>
      <c r="P42" s="5"/>
      <c r="Q42" s="5"/>
      <c r="R42" s="5"/>
      <c r="S42" s="127"/>
      <c r="T42" s="5"/>
      <c r="U42" s="5"/>
      <c r="V42" s="183" t="s">
        <v>4877</v>
      </c>
      <c r="W42" s="87"/>
      <c r="X42" s="90"/>
      <c r="Y42" s="90"/>
      <c r="Z42" s="87"/>
      <c r="AA42" s="87"/>
      <c r="AB42" s="87"/>
      <c r="AC42" s="87"/>
      <c r="AD42" s="10"/>
    </row>
    <row r="43" spans="1:36" s="98" customFormat="1" x14ac:dyDescent="0.2">
      <c r="B43" s="315"/>
      <c r="C43" s="28"/>
      <c r="D43" s="30"/>
      <c r="E43" s="30"/>
      <c r="F43" s="30"/>
      <c r="G43" s="30"/>
      <c r="H43" s="116"/>
      <c r="I43" s="31"/>
      <c r="J43" s="30"/>
      <c r="K43" s="30"/>
      <c r="L43" s="140"/>
      <c r="M43" s="30"/>
      <c r="N43" s="30"/>
      <c r="O43" s="30"/>
      <c r="P43" s="30"/>
      <c r="Q43" s="30"/>
      <c r="R43" s="30"/>
      <c r="S43" s="219"/>
      <c r="T43" s="29"/>
      <c r="U43" s="29"/>
      <c r="V43" s="253"/>
      <c r="W43" s="99"/>
      <c r="X43" s="99"/>
      <c r="Y43" s="99"/>
      <c r="Z43" s="120"/>
      <c r="AA43" s="99"/>
      <c r="AB43" s="99"/>
      <c r="AC43" s="99"/>
      <c r="AD43" s="30"/>
    </row>
    <row r="44" spans="1:36" s="98" customFormat="1" ht="12.75" x14ac:dyDescent="0.2">
      <c r="B44" s="315"/>
      <c r="C44" s="28"/>
      <c r="D44" s="30"/>
      <c r="E44" s="30"/>
      <c r="F44" s="30"/>
      <c r="G44" s="30"/>
      <c r="H44" s="116"/>
      <c r="I44" s="31"/>
      <c r="J44" s="30"/>
      <c r="K44" s="30"/>
      <c r="L44" s="140"/>
      <c r="M44" s="30"/>
      <c r="N44" s="30"/>
      <c r="O44" s="30"/>
      <c r="P44" s="30"/>
      <c r="Q44" s="30"/>
      <c r="R44" s="30"/>
      <c r="S44" s="219"/>
      <c r="T44" s="29"/>
      <c r="U44" s="29"/>
      <c r="V44" s="253"/>
      <c r="W44" s="99"/>
      <c r="X44" s="99"/>
      <c r="Y44" s="99"/>
      <c r="Z44" s="120"/>
      <c r="AA44" s="1">
        <v>2002</v>
      </c>
      <c r="AB44" s="1048"/>
      <c r="AC44" s="3"/>
      <c r="AD44" s="30"/>
    </row>
    <row r="45" spans="1:36" s="98" customFormat="1" ht="12.75" x14ac:dyDescent="0.2">
      <c r="B45" s="315"/>
      <c r="C45" s="28"/>
      <c r="D45" s="30"/>
      <c r="E45" s="30"/>
      <c r="F45" s="30"/>
      <c r="G45" s="30"/>
      <c r="H45" s="116"/>
      <c r="I45" s="31"/>
      <c r="J45" s="30"/>
      <c r="K45" s="30"/>
      <c r="L45" s="140"/>
      <c r="M45" s="30"/>
      <c r="N45" s="30"/>
      <c r="O45" s="30"/>
      <c r="P45" s="30"/>
      <c r="Q45" s="30"/>
      <c r="R45" s="30"/>
      <c r="S45" s="219"/>
      <c r="T45" s="29"/>
      <c r="U45" s="29"/>
      <c r="V45" s="253"/>
      <c r="W45" s="99"/>
      <c r="X45" s="99"/>
      <c r="Y45" s="99"/>
      <c r="Z45" s="120"/>
      <c r="AA45" s="945" t="s">
        <v>813</v>
      </c>
      <c r="AB45" s="1048">
        <f>COUNTA(AD41:AD41)</f>
        <v>1</v>
      </c>
      <c r="AD45" s="30"/>
    </row>
    <row r="46" spans="1:36" s="98" customFormat="1" ht="12.75" x14ac:dyDescent="0.2">
      <c r="B46" s="315"/>
      <c r="C46" s="28"/>
      <c r="D46" s="30"/>
      <c r="E46" s="30"/>
      <c r="F46" s="30"/>
      <c r="G46" s="30"/>
      <c r="H46" s="116"/>
      <c r="I46" s="31"/>
      <c r="J46" s="30"/>
      <c r="K46" s="30"/>
      <c r="L46" s="140"/>
      <c r="M46" s="30"/>
      <c r="N46" s="30"/>
      <c r="O46" s="30"/>
      <c r="P46" s="30"/>
      <c r="Q46" s="30"/>
      <c r="R46" s="30"/>
      <c r="S46" s="219"/>
      <c r="T46" s="29"/>
      <c r="U46" s="29"/>
      <c r="V46" s="253"/>
      <c r="W46" s="99"/>
      <c r="X46" s="99"/>
      <c r="Y46" s="99"/>
      <c r="Z46" s="120"/>
      <c r="AA46" s="945" t="s">
        <v>815</v>
      </c>
      <c r="AB46" s="1048">
        <f>COUNTIF(AD41:AD41,"en término")</f>
        <v>1</v>
      </c>
      <c r="AD46" s="30"/>
    </row>
    <row r="47" spans="1:36" s="98" customFormat="1" ht="12.75" x14ac:dyDescent="0.2">
      <c r="B47" s="315"/>
      <c r="C47" s="28"/>
      <c r="D47" s="30"/>
      <c r="E47" s="30"/>
      <c r="F47" s="30"/>
      <c r="G47" s="30"/>
      <c r="H47" s="116"/>
      <c r="I47" s="31"/>
      <c r="J47" s="30"/>
      <c r="K47" s="30"/>
      <c r="L47" s="140"/>
      <c r="M47" s="30"/>
      <c r="N47" s="30"/>
      <c r="O47" s="30"/>
      <c r="P47" s="30"/>
      <c r="Q47" s="30"/>
      <c r="R47" s="30"/>
      <c r="S47" s="219"/>
      <c r="T47" s="29"/>
      <c r="U47" s="29"/>
      <c r="V47" s="253"/>
      <c r="W47" s="99"/>
      <c r="X47" s="99"/>
      <c r="Y47" s="99"/>
      <c r="Z47" s="120"/>
      <c r="AA47" s="945" t="s">
        <v>817</v>
      </c>
      <c r="AB47" s="557">
        <f>+AB46/AB45</f>
        <v>1</v>
      </c>
      <c r="AD47" s="30"/>
    </row>
    <row r="48" spans="1:36" s="98" customFormat="1" ht="6.75" customHeight="1" x14ac:dyDescent="0.2">
      <c r="B48" s="315"/>
      <c r="C48" s="28"/>
      <c r="D48" s="30"/>
      <c r="E48" s="30"/>
      <c r="F48" s="30"/>
      <c r="G48" s="30"/>
      <c r="H48" s="116"/>
      <c r="I48" s="31"/>
      <c r="J48" s="30"/>
      <c r="K48" s="30"/>
      <c r="L48" s="140"/>
      <c r="M48" s="30"/>
      <c r="N48" s="30"/>
      <c r="O48" s="30"/>
      <c r="P48" s="30"/>
      <c r="Q48" s="30"/>
      <c r="R48" s="30"/>
      <c r="S48" s="219"/>
      <c r="T48" s="29"/>
      <c r="U48" s="29"/>
      <c r="V48" s="253"/>
      <c r="W48" s="99"/>
      <c r="X48" s="99"/>
      <c r="Y48" s="99"/>
      <c r="Z48" s="120"/>
      <c r="AA48" s="99"/>
      <c r="AB48" s="99"/>
      <c r="AC48" s="99"/>
      <c r="AD48" s="30"/>
    </row>
    <row r="49" spans="1:36" s="98" customFormat="1" ht="6.75" customHeight="1" thickBot="1" x14ac:dyDescent="0.25">
      <c r="B49" s="324"/>
      <c r="C49" s="49"/>
      <c r="D49" s="50"/>
      <c r="E49" s="50"/>
      <c r="F49" s="50"/>
      <c r="G49" s="50"/>
      <c r="H49" s="247"/>
      <c r="I49" s="52"/>
      <c r="J49" s="50"/>
      <c r="K49" s="50"/>
      <c r="L49" s="248"/>
      <c r="M49" s="50"/>
      <c r="N49" s="50"/>
      <c r="O49" s="50"/>
      <c r="P49" s="50"/>
      <c r="Q49" s="50"/>
      <c r="R49" s="50"/>
      <c r="S49" s="249"/>
      <c r="T49" s="124"/>
      <c r="U49" s="124"/>
      <c r="V49" s="250"/>
      <c r="W49" s="229"/>
      <c r="X49" s="229"/>
      <c r="Y49" s="229"/>
      <c r="Z49" s="252"/>
      <c r="AA49" s="229"/>
      <c r="AB49" s="229"/>
      <c r="AC49" s="229"/>
      <c r="AD49" s="30"/>
    </row>
    <row r="50" spans="1:36" s="556" customFormat="1" ht="39.950000000000003" customHeight="1" thickBot="1" x14ac:dyDescent="0.4">
      <c r="B50" s="1611">
        <v>2003</v>
      </c>
      <c r="C50" s="1612"/>
      <c r="D50" s="1612"/>
      <c r="E50" s="1612"/>
      <c r="F50" s="1612"/>
      <c r="G50" s="1612"/>
      <c r="H50" s="1612"/>
      <c r="I50" s="1612"/>
      <c r="J50" s="1612"/>
      <c r="K50" s="1612"/>
      <c r="L50" s="1612"/>
      <c r="M50" s="1612"/>
      <c r="N50" s="1612"/>
      <c r="O50" s="1612"/>
      <c r="P50" s="1612"/>
      <c r="Q50" s="1612"/>
      <c r="R50" s="1612"/>
      <c r="S50" s="1612"/>
      <c r="T50" s="1612"/>
      <c r="U50" s="1612"/>
      <c r="V50" s="1612"/>
      <c r="W50" s="1612"/>
      <c r="X50" s="1612"/>
      <c r="Y50" s="1612"/>
      <c r="Z50" s="1612"/>
      <c r="AA50" s="1612"/>
      <c r="AB50" s="1612"/>
      <c r="AC50" s="1613"/>
      <c r="AD50" s="555"/>
    </row>
    <row r="51" spans="1:36" s="441" customFormat="1" ht="60" customHeight="1" thickBot="1" x14ac:dyDescent="0.25">
      <c r="A51" s="438"/>
      <c r="B51" s="451" t="s">
        <v>130</v>
      </c>
      <c r="C51" s="451" t="s">
        <v>4</v>
      </c>
      <c r="D51" s="451" t="s">
        <v>5</v>
      </c>
      <c r="E51" s="451" t="s">
        <v>6</v>
      </c>
      <c r="F51" s="451" t="s">
        <v>7</v>
      </c>
      <c r="G51" s="451" t="s">
        <v>8</v>
      </c>
      <c r="H51" s="453" t="s">
        <v>9</v>
      </c>
      <c r="I51" s="453" t="s">
        <v>10</v>
      </c>
      <c r="J51" s="451" t="s">
        <v>11</v>
      </c>
      <c r="K51" s="451" t="s">
        <v>12</v>
      </c>
      <c r="L51" s="451" t="s">
        <v>13</v>
      </c>
      <c r="M51" s="451" t="s">
        <v>14</v>
      </c>
      <c r="N51" s="451" t="s">
        <v>15</v>
      </c>
      <c r="O51" s="452" t="s">
        <v>16</v>
      </c>
      <c r="P51" s="454" t="s">
        <v>17</v>
      </c>
      <c r="Q51" s="451"/>
      <c r="R51" s="452"/>
      <c r="S51" s="451" t="s">
        <v>4659</v>
      </c>
      <c r="T51" s="451" t="s">
        <v>4660</v>
      </c>
      <c r="U51" s="452" t="s">
        <v>22</v>
      </c>
      <c r="V51" s="451" t="s">
        <v>131</v>
      </c>
      <c r="W51" s="451" t="s">
        <v>24</v>
      </c>
      <c r="X51" s="451" t="s">
        <v>132</v>
      </c>
      <c r="Y51" s="451" t="s">
        <v>26</v>
      </c>
      <c r="Z51" s="451" t="s">
        <v>27</v>
      </c>
      <c r="AA51" s="451" t="s">
        <v>28</v>
      </c>
      <c r="AB51" s="451" t="s">
        <v>29</v>
      </c>
      <c r="AC51" s="451" t="s">
        <v>30</v>
      </c>
      <c r="AD51" s="439"/>
      <c r="AE51" s="440"/>
      <c r="AF51" s="440"/>
      <c r="AG51" s="440"/>
      <c r="AH51" s="440"/>
      <c r="AI51" s="440"/>
      <c r="AJ51" s="440"/>
    </row>
    <row r="52" spans="1:36" s="76" customFormat="1" x14ac:dyDescent="0.2">
      <c r="B52" s="314"/>
      <c r="C52" s="11"/>
      <c r="D52" s="12"/>
      <c r="E52" s="12"/>
      <c r="F52" s="12"/>
      <c r="G52" s="12"/>
      <c r="H52" s="504"/>
      <c r="I52" s="14"/>
      <c r="J52" s="12"/>
      <c r="K52" s="12"/>
      <c r="L52" s="15"/>
      <c r="M52" s="12"/>
      <c r="N52" s="12"/>
      <c r="O52" s="12"/>
      <c r="P52" s="12"/>
      <c r="Q52" s="12"/>
      <c r="R52" s="12"/>
      <c r="S52" s="141"/>
      <c r="T52" s="12"/>
      <c r="U52" s="12"/>
      <c r="V52" s="245" t="s">
        <v>4878</v>
      </c>
      <c r="W52" s="80"/>
      <c r="X52" s="82"/>
      <c r="Y52" s="82"/>
      <c r="Z52" s="80"/>
      <c r="AA52" s="80"/>
      <c r="AB52" s="80"/>
      <c r="AC52" s="80"/>
      <c r="AD52" s="10"/>
    </row>
    <row r="53" spans="1:36" s="76" customFormat="1" x14ac:dyDescent="0.2">
      <c r="B53" s="312" t="s">
        <v>4832</v>
      </c>
      <c r="C53" s="16" t="s">
        <v>4879</v>
      </c>
      <c r="D53" s="6" t="s">
        <v>4880</v>
      </c>
      <c r="E53" s="6"/>
      <c r="F53" s="6" t="s">
        <v>4881</v>
      </c>
      <c r="G53" s="6"/>
      <c r="H53" s="17">
        <v>11480</v>
      </c>
      <c r="I53" s="39"/>
      <c r="J53" s="7">
        <v>37698</v>
      </c>
      <c r="K53" s="7"/>
      <c r="L53" s="23">
        <v>37729</v>
      </c>
      <c r="M53" s="18" t="s">
        <v>124</v>
      </c>
      <c r="N53" s="6" t="s">
        <v>42</v>
      </c>
      <c r="O53" s="6"/>
      <c r="P53" s="6"/>
      <c r="Q53" s="6"/>
      <c r="R53" s="6"/>
      <c r="S53" s="23">
        <v>37722</v>
      </c>
      <c r="T53" s="7">
        <v>37726</v>
      </c>
      <c r="U53" s="7"/>
      <c r="V53" s="40" t="s">
        <v>2683</v>
      </c>
      <c r="W53" s="70">
        <v>869</v>
      </c>
      <c r="X53" s="75"/>
      <c r="Y53" s="75"/>
      <c r="Z53" s="6">
        <v>9051564211</v>
      </c>
      <c r="AA53" s="74"/>
      <c r="AB53" s="70" t="s">
        <v>47</v>
      </c>
      <c r="AC53" s="70" t="s">
        <v>47</v>
      </c>
      <c r="AD53" s="10" t="str">
        <f>IF(T53&lt;=L53,"en término","atrasado")</f>
        <v>en término</v>
      </c>
    </row>
    <row r="54" spans="1:36" s="76" customFormat="1" ht="12" thickBot="1" x14ac:dyDescent="0.25">
      <c r="B54" s="313"/>
      <c r="C54" s="19"/>
      <c r="D54" s="5"/>
      <c r="E54" s="5"/>
      <c r="F54" s="5"/>
      <c r="G54" s="5"/>
      <c r="H54" s="105"/>
      <c r="I54" s="21"/>
      <c r="J54" s="5"/>
      <c r="K54" s="5"/>
      <c r="L54" s="127"/>
      <c r="M54" s="5"/>
      <c r="N54" s="5"/>
      <c r="O54" s="5"/>
      <c r="P54" s="5"/>
      <c r="Q54" s="5"/>
      <c r="R54" s="5"/>
      <c r="S54" s="127"/>
      <c r="T54" s="570" t="s">
        <v>4882</v>
      </c>
      <c r="U54" s="570"/>
      <c r="V54" s="224" t="s">
        <v>3538</v>
      </c>
      <c r="W54" s="87"/>
      <c r="X54" s="90"/>
      <c r="Y54" s="90"/>
      <c r="Z54" s="87"/>
      <c r="AA54" s="87"/>
      <c r="AB54" s="87"/>
      <c r="AC54" s="87"/>
    </row>
    <row r="55" spans="1:36" s="76" customFormat="1" x14ac:dyDescent="0.2">
      <c r="B55" s="314"/>
      <c r="C55" s="11"/>
      <c r="D55" s="12"/>
      <c r="E55" s="12"/>
      <c r="F55" s="12"/>
      <c r="G55" s="12"/>
      <c r="H55" s="504"/>
      <c r="I55" s="14"/>
      <c r="J55" s="12"/>
      <c r="K55" s="12"/>
      <c r="L55" s="15"/>
      <c r="M55" s="12"/>
      <c r="N55" s="12"/>
      <c r="O55" s="12"/>
      <c r="P55" s="12"/>
      <c r="Q55" s="12"/>
      <c r="R55" s="12"/>
      <c r="S55" s="141"/>
      <c r="T55" s="15" t="s">
        <v>4883</v>
      </c>
      <c r="U55" s="15"/>
      <c r="V55" s="244" t="s">
        <v>4884</v>
      </c>
      <c r="W55" s="80"/>
      <c r="X55" s="82"/>
      <c r="Y55" s="80"/>
      <c r="Z55" s="80"/>
      <c r="AA55" s="80"/>
      <c r="AB55" s="80"/>
      <c r="AC55" s="80"/>
    </row>
    <row r="56" spans="1:36" s="76" customFormat="1" x14ac:dyDescent="0.2">
      <c r="B56" s="312" t="s">
        <v>4832</v>
      </c>
      <c r="C56" s="16" t="s">
        <v>4879</v>
      </c>
      <c r="D56" s="6" t="s">
        <v>4885</v>
      </c>
      <c r="E56" s="6"/>
      <c r="F56" s="6" t="s">
        <v>4886</v>
      </c>
      <c r="G56" s="6"/>
      <c r="H56" s="17">
        <v>14390</v>
      </c>
      <c r="I56" s="39" t="s">
        <v>4887</v>
      </c>
      <c r="J56" s="7">
        <v>37770</v>
      </c>
      <c r="K56" s="7"/>
      <c r="L56" s="23">
        <v>37816</v>
      </c>
      <c r="M56" s="18" t="s">
        <v>124</v>
      </c>
      <c r="N56" s="6" t="s">
        <v>42</v>
      </c>
      <c r="O56" s="6"/>
      <c r="P56" s="6"/>
      <c r="Q56" s="6"/>
      <c r="R56" s="6"/>
      <c r="S56" s="23">
        <v>37806</v>
      </c>
      <c r="T56" s="23">
        <v>37812</v>
      </c>
      <c r="U56" s="23"/>
      <c r="V56" s="40" t="s">
        <v>4888</v>
      </c>
      <c r="W56" s="70">
        <v>902</v>
      </c>
      <c r="X56" s="75"/>
      <c r="Y56" s="40" t="s">
        <v>47</v>
      </c>
      <c r="Z56" s="6">
        <v>9025376931</v>
      </c>
      <c r="AA56" s="74"/>
      <c r="AB56" s="70" t="s">
        <v>47</v>
      </c>
      <c r="AC56" s="70" t="s">
        <v>47</v>
      </c>
      <c r="AD56" s="10" t="str">
        <f>IF(T56&lt;=L56,"en término","atrasado")</f>
        <v>en término</v>
      </c>
    </row>
    <row r="57" spans="1:36" s="76" customFormat="1" ht="12" thickBot="1" x14ac:dyDescent="0.25">
      <c r="B57" s="313"/>
      <c r="C57" s="19"/>
      <c r="D57" s="5"/>
      <c r="E57" s="5"/>
      <c r="F57" s="5"/>
      <c r="G57" s="5"/>
      <c r="H57" s="105"/>
      <c r="I57" s="21"/>
      <c r="J57" s="5"/>
      <c r="K57" s="5"/>
      <c r="L57" s="127"/>
      <c r="M57" s="5"/>
      <c r="N57" s="5"/>
      <c r="O57" s="5"/>
      <c r="P57" s="5"/>
      <c r="Q57" s="5"/>
      <c r="R57" s="5"/>
      <c r="S57" s="127"/>
      <c r="T57" s="22" t="s">
        <v>4889</v>
      </c>
      <c r="U57" s="22"/>
      <c r="V57" s="224" t="s">
        <v>3538</v>
      </c>
      <c r="W57" s="87"/>
      <c r="X57" s="90"/>
      <c r="Y57" s="87"/>
      <c r="Z57" s="87"/>
      <c r="AA57" s="87"/>
      <c r="AB57" s="87"/>
      <c r="AC57" s="87"/>
    </row>
    <row r="58" spans="1:36" s="76" customFormat="1" x14ac:dyDescent="0.2">
      <c r="B58" s="314"/>
      <c r="C58" s="11"/>
      <c r="D58" s="12"/>
      <c r="E58" s="12"/>
      <c r="F58" s="12"/>
      <c r="G58" s="12"/>
      <c r="H58" s="504"/>
      <c r="I58" s="14"/>
      <c r="J58" s="12"/>
      <c r="K58" s="12"/>
      <c r="L58" s="15"/>
      <c r="M58" s="12"/>
      <c r="N58" s="12"/>
      <c r="O58" s="12"/>
      <c r="P58" s="12"/>
      <c r="Q58" s="12"/>
      <c r="R58" s="12"/>
      <c r="S58" s="141"/>
      <c r="T58" s="12"/>
      <c r="U58" s="12"/>
      <c r="V58" s="244" t="s">
        <v>3538</v>
      </c>
      <c r="W58" s="80"/>
      <c r="X58" s="82"/>
      <c r="Y58" s="82"/>
      <c r="Z58" s="80"/>
      <c r="AA58" s="80"/>
      <c r="AB58" s="80"/>
      <c r="AC58" s="80"/>
    </row>
    <row r="59" spans="1:36" s="76" customFormat="1" x14ac:dyDescent="0.2">
      <c r="B59" s="312" t="s">
        <v>4832</v>
      </c>
      <c r="C59" s="16" t="s">
        <v>4890</v>
      </c>
      <c r="D59" s="6" t="s">
        <v>4891</v>
      </c>
      <c r="E59" s="6"/>
      <c r="F59" s="6" t="s">
        <v>4892</v>
      </c>
      <c r="G59" s="6"/>
      <c r="H59" s="17">
        <v>1280</v>
      </c>
      <c r="I59" s="39" t="s">
        <v>4893</v>
      </c>
      <c r="J59" s="7">
        <v>37823</v>
      </c>
      <c r="K59" s="7"/>
      <c r="L59" s="23">
        <v>37851</v>
      </c>
      <c r="M59" s="18" t="s">
        <v>124</v>
      </c>
      <c r="N59" s="6" t="s">
        <v>42</v>
      </c>
      <c r="O59" s="6"/>
      <c r="P59" s="6"/>
      <c r="Q59" s="6"/>
      <c r="R59" s="6"/>
      <c r="S59" s="23">
        <v>37841</v>
      </c>
      <c r="T59" s="23">
        <v>37847</v>
      </c>
      <c r="U59" s="23"/>
      <c r="V59" s="40" t="s">
        <v>2998</v>
      </c>
      <c r="W59" s="70">
        <v>914</v>
      </c>
      <c r="X59" s="75"/>
      <c r="Y59" s="75"/>
      <c r="Z59" s="6">
        <v>9025377001</v>
      </c>
      <c r="AA59" s="74"/>
      <c r="AB59" s="70" t="s">
        <v>47</v>
      </c>
      <c r="AC59" s="70" t="s">
        <v>47</v>
      </c>
      <c r="AD59" s="10" t="str">
        <f>IF(T59&lt;=L59,"en término","atrasado")</f>
        <v>en término</v>
      </c>
    </row>
    <row r="60" spans="1:36" s="76" customFormat="1" ht="12" thickBot="1" x14ac:dyDescent="0.25">
      <c r="B60" s="313"/>
      <c r="C60" s="19"/>
      <c r="D60" s="5"/>
      <c r="E60" s="5"/>
      <c r="F60" s="5"/>
      <c r="G60" s="5"/>
      <c r="H60" s="105"/>
      <c r="I60" s="21"/>
      <c r="J60" s="5"/>
      <c r="K60" s="5"/>
      <c r="L60" s="127"/>
      <c r="M60" s="5"/>
      <c r="N60" s="5"/>
      <c r="O60" s="5"/>
      <c r="P60" s="5"/>
      <c r="Q60" s="5"/>
      <c r="R60" s="5"/>
      <c r="S60" s="127"/>
      <c r="T60" s="5" t="s">
        <v>4894</v>
      </c>
      <c r="U60" s="5"/>
      <c r="V60" s="224"/>
      <c r="W60" s="87"/>
      <c r="X60" s="90"/>
      <c r="Y60" s="90"/>
      <c r="Z60" s="87"/>
      <c r="AA60" s="87"/>
      <c r="AB60" s="87"/>
      <c r="AC60" s="87"/>
    </row>
    <row r="61" spans="1:36" ht="6.75" customHeight="1" x14ac:dyDescent="0.2"/>
    <row r="62" spans="1:36" ht="15.75" customHeight="1" x14ac:dyDescent="0.2">
      <c r="AA62" s="1">
        <v>2003</v>
      </c>
      <c r="AB62" s="1048"/>
    </row>
    <row r="63" spans="1:36" ht="12.75" x14ac:dyDescent="0.2">
      <c r="AA63" s="945" t="s">
        <v>813</v>
      </c>
      <c r="AB63" s="1048">
        <f>COUNTA(AD53:AD59)</f>
        <v>3</v>
      </c>
    </row>
    <row r="64" spans="1:36" ht="10.5" customHeight="1" x14ac:dyDescent="0.2">
      <c r="AA64" s="945" t="s">
        <v>815</v>
      </c>
      <c r="AB64" s="1048">
        <f>COUNTIF(AD53:AD59,"en término")</f>
        <v>3</v>
      </c>
    </row>
    <row r="65" spans="1:35" ht="12.75" x14ac:dyDescent="0.2">
      <c r="AA65" s="945" t="s">
        <v>817</v>
      </c>
      <c r="AB65" s="557">
        <f>+AB64/AB63</f>
        <v>1</v>
      </c>
    </row>
    <row r="66" spans="1:35" ht="12" thickBot="1" x14ac:dyDescent="0.25">
      <c r="AB66" s="2"/>
      <c r="AC66" s="2"/>
    </row>
    <row r="67" spans="1:35" s="556" customFormat="1" ht="39.950000000000003" customHeight="1" thickBot="1" x14ac:dyDescent="0.4">
      <c r="B67" s="1611">
        <v>2004</v>
      </c>
      <c r="C67" s="1612"/>
      <c r="D67" s="1612"/>
      <c r="E67" s="1612"/>
      <c r="F67" s="1612"/>
      <c r="G67" s="1612"/>
      <c r="H67" s="1612"/>
      <c r="I67" s="1612"/>
      <c r="J67" s="1612"/>
      <c r="K67" s="1612"/>
      <c r="L67" s="1612"/>
      <c r="M67" s="1612"/>
      <c r="N67" s="1612"/>
      <c r="O67" s="1612"/>
      <c r="P67" s="1612"/>
      <c r="Q67" s="1612"/>
      <c r="R67" s="1612"/>
      <c r="S67" s="1612"/>
      <c r="T67" s="1612"/>
      <c r="U67" s="1612"/>
      <c r="V67" s="1612"/>
      <c r="W67" s="1612"/>
      <c r="X67" s="1612"/>
      <c r="Y67" s="1612"/>
      <c r="Z67" s="1612"/>
      <c r="AA67" s="1612"/>
      <c r="AB67" s="1612"/>
      <c r="AC67" s="1613"/>
      <c r="AD67" s="555"/>
    </row>
    <row r="68" spans="1:35" s="441" customFormat="1" ht="60" customHeight="1" thickBot="1" x14ac:dyDescent="0.25">
      <c r="A68" s="438"/>
      <c r="B68" s="451" t="s">
        <v>130</v>
      </c>
      <c r="C68" s="451" t="s">
        <v>4</v>
      </c>
      <c r="D68" s="451" t="s">
        <v>5</v>
      </c>
      <c r="E68" s="451" t="s">
        <v>6</v>
      </c>
      <c r="F68" s="451" t="s">
        <v>7</v>
      </c>
      <c r="G68" s="451" t="s">
        <v>8</v>
      </c>
      <c r="H68" s="453" t="s">
        <v>9</v>
      </c>
      <c r="I68" s="453" t="s">
        <v>10</v>
      </c>
      <c r="J68" s="451" t="s">
        <v>11</v>
      </c>
      <c r="K68" s="451" t="s">
        <v>12</v>
      </c>
      <c r="L68" s="451" t="s">
        <v>13</v>
      </c>
      <c r="M68" s="451" t="s">
        <v>14</v>
      </c>
      <c r="N68" s="451" t="s">
        <v>15</v>
      </c>
      <c r="O68" s="452" t="s">
        <v>16</v>
      </c>
      <c r="P68" s="454" t="s">
        <v>17</v>
      </c>
      <c r="Q68" s="451" t="s">
        <v>18</v>
      </c>
      <c r="R68" s="452" t="s">
        <v>19</v>
      </c>
      <c r="S68" s="451" t="s">
        <v>20</v>
      </c>
      <c r="T68" s="451" t="s">
        <v>21</v>
      </c>
      <c r="U68" s="452" t="s">
        <v>22</v>
      </c>
      <c r="V68" s="451" t="s">
        <v>131</v>
      </c>
      <c r="W68" s="451" t="s">
        <v>24</v>
      </c>
      <c r="X68" s="451" t="s">
        <v>132</v>
      </c>
      <c r="Y68" s="451" t="s">
        <v>26</v>
      </c>
      <c r="Z68" s="451" t="s">
        <v>27</v>
      </c>
      <c r="AA68" s="451" t="s">
        <v>28</v>
      </c>
      <c r="AB68" s="451" t="s">
        <v>29</v>
      </c>
      <c r="AC68" s="451" t="s">
        <v>30</v>
      </c>
      <c r="AD68" s="439"/>
      <c r="AE68" s="440"/>
      <c r="AF68" s="440"/>
      <c r="AG68" s="440"/>
      <c r="AH68" s="440"/>
      <c r="AI68" s="440"/>
    </row>
    <row r="69" spans="1:35" s="9" customFormat="1" x14ac:dyDescent="0.2">
      <c r="B69" s="314"/>
      <c r="C69" s="11"/>
      <c r="D69" s="91"/>
      <c r="E69" s="91"/>
      <c r="F69" s="12"/>
      <c r="G69" s="12"/>
      <c r="H69" s="13"/>
      <c r="I69" s="13"/>
      <c r="J69" s="91"/>
      <c r="K69" s="91"/>
      <c r="L69" s="134"/>
      <c r="M69" s="12"/>
      <c r="N69" s="12"/>
      <c r="O69" s="12"/>
      <c r="P69" s="12"/>
      <c r="Q69" s="12"/>
      <c r="R69" s="12"/>
      <c r="S69" s="12" t="s">
        <v>4895</v>
      </c>
      <c r="T69" s="12"/>
      <c r="U69" s="12"/>
      <c r="V69" s="244" t="s">
        <v>4896</v>
      </c>
      <c r="W69" s="12"/>
      <c r="X69" s="57"/>
      <c r="Y69" s="12"/>
      <c r="Z69" s="12"/>
      <c r="AA69" s="12"/>
      <c r="AB69" s="12"/>
      <c r="AC69" s="12"/>
    </row>
    <row r="70" spans="1:35" s="9" customFormat="1" x14ac:dyDescent="0.2">
      <c r="B70" s="312" t="s">
        <v>4832</v>
      </c>
      <c r="C70" s="16" t="s">
        <v>4897</v>
      </c>
      <c r="D70" s="7" t="s">
        <v>4898</v>
      </c>
      <c r="E70" s="7"/>
      <c r="F70" s="6" t="s">
        <v>4899</v>
      </c>
      <c r="G70" s="6" t="s">
        <v>1535</v>
      </c>
      <c r="H70" s="17">
        <v>11902</v>
      </c>
      <c r="I70" s="39" t="s">
        <v>4900</v>
      </c>
      <c r="J70" s="7">
        <v>37965</v>
      </c>
      <c r="K70" s="7"/>
      <c r="L70" s="23">
        <v>38012</v>
      </c>
      <c r="M70" s="18" t="s">
        <v>124</v>
      </c>
      <c r="N70" s="6" t="s">
        <v>42</v>
      </c>
      <c r="O70" s="23">
        <v>38006</v>
      </c>
      <c r="P70" s="23"/>
      <c r="Q70" s="23"/>
      <c r="R70" s="23"/>
      <c r="S70" s="23">
        <v>38017</v>
      </c>
      <c r="T70" s="23"/>
      <c r="U70" s="23"/>
      <c r="V70" s="6" t="s">
        <v>4901</v>
      </c>
      <c r="W70" s="6">
        <v>953</v>
      </c>
      <c r="X70" s="59"/>
      <c r="Y70" s="138" t="s">
        <v>47</v>
      </c>
      <c r="Z70" s="6">
        <v>6642683132</v>
      </c>
      <c r="AA70" s="6"/>
      <c r="AB70" s="507" t="s">
        <v>47</v>
      </c>
      <c r="AC70" s="507" t="s">
        <v>47</v>
      </c>
      <c r="AD70" s="10" t="str">
        <f>IF(S70&lt;=L70,"en término","atrasado")</f>
        <v>atrasado</v>
      </c>
    </row>
    <row r="71" spans="1:35" s="9" customFormat="1" ht="12" thickBot="1" x14ac:dyDescent="0.25">
      <c r="B71" s="313"/>
      <c r="C71" s="19"/>
      <c r="D71" s="5"/>
      <c r="E71" s="5"/>
      <c r="F71" s="5"/>
      <c r="G71" s="5"/>
      <c r="H71" s="105"/>
      <c r="I71" s="21"/>
      <c r="J71" s="5"/>
      <c r="K71" s="5"/>
      <c r="L71" s="127"/>
      <c r="M71" s="5"/>
      <c r="N71" s="5"/>
      <c r="O71" s="27"/>
      <c r="P71" s="27"/>
      <c r="Q71" s="27"/>
      <c r="R71" s="27"/>
      <c r="S71" s="27"/>
      <c r="T71" s="19"/>
      <c r="U71" s="19"/>
      <c r="V71" s="224" t="s">
        <v>4884</v>
      </c>
      <c r="W71" s="5"/>
      <c r="X71" s="61"/>
      <c r="Y71" s="5"/>
      <c r="Z71" s="5"/>
      <c r="AA71" s="5"/>
      <c r="AB71" s="5"/>
      <c r="AC71" s="5"/>
    </row>
    <row r="72" spans="1:35" s="9" customFormat="1" x14ac:dyDescent="0.2">
      <c r="B72" s="314"/>
      <c r="C72" s="16"/>
      <c r="D72" s="7"/>
      <c r="E72" s="7"/>
      <c r="F72" s="6"/>
      <c r="G72" s="6"/>
      <c r="H72" s="13"/>
      <c r="I72" s="13"/>
      <c r="J72" s="91"/>
      <c r="K72" s="91"/>
      <c r="L72" s="134"/>
      <c r="M72" s="12"/>
      <c r="N72" s="12"/>
      <c r="O72" s="12"/>
      <c r="P72" s="12"/>
      <c r="Q72" s="12"/>
      <c r="R72" s="12"/>
      <c r="S72" s="91">
        <v>38061</v>
      </c>
      <c r="T72" s="12"/>
      <c r="U72" s="12"/>
      <c r="V72" s="244" t="s">
        <v>4896</v>
      </c>
      <c r="W72" s="12"/>
      <c r="X72" s="57"/>
      <c r="Y72" s="12"/>
      <c r="Z72" s="12"/>
      <c r="AA72" s="12"/>
      <c r="AB72" s="12"/>
      <c r="AC72" s="12"/>
    </row>
    <row r="73" spans="1:35" s="9" customFormat="1" x14ac:dyDescent="0.2">
      <c r="B73" s="312" t="s">
        <v>4832</v>
      </c>
      <c r="C73" s="16" t="s">
        <v>4897</v>
      </c>
      <c r="D73" s="7" t="s">
        <v>4898</v>
      </c>
      <c r="E73" s="7"/>
      <c r="F73" s="6" t="s">
        <v>4899</v>
      </c>
      <c r="G73" s="6" t="s">
        <v>1535</v>
      </c>
      <c r="H73" s="17">
        <v>11902</v>
      </c>
      <c r="I73" s="39" t="s">
        <v>4900</v>
      </c>
      <c r="J73" s="7">
        <v>37965</v>
      </c>
      <c r="K73" s="7"/>
      <c r="L73" s="23">
        <v>38061</v>
      </c>
      <c r="M73" s="18" t="s">
        <v>124</v>
      </c>
      <c r="N73" s="6" t="s">
        <v>42</v>
      </c>
      <c r="O73" s="23">
        <v>38058</v>
      </c>
      <c r="P73" s="23"/>
      <c r="Q73" s="23"/>
      <c r="R73" s="23"/>
      <c r="S73" s="23">
        <v>38067</v>
      </c>
      <c r="T73" s="23"/>
      <c r="U73" s="23"/>
      <c r="V73" s="6" t="s">
        <v>4901</v>
      </c>
      <c r="W73" s="6">
        <v>964</v>
      </c>
      <c r="X73" s="59"/>
      <c r="Y73" s="138" t="s">
        <v>47</v>
      </c>
      <c r="Z73" s="6">
        <v>6642683283</v>
      </c>
      <c r="AA73" s="6"/>
      <c r="AB73" s="507" t="s">
        <v>47</v>
      </c>
      <c r="AC73" s="507" t="s">
        <v>47</v>
      </c>
      <c r="AD73" s="10" t="str">
        <f>IF(S73&lt;=L73,"en término","atrasado")</f>
        <v>atrasado</v>
      </c>
    </row>
    <row r="74" spans="1:35" s="9" customFormat="1" ht="12" thickBot="1" x14ac:dyDescent="0.25">
      <c r="B74" s="313"/>
      <c r="C74" s="19"/>
      <c r="D74" s="5"/>
      <c r="E74" s="5"/>
      <c r="F74" s="5"/>
      <c r="G74" s="5"/>
      <c r="H74" s="105"/>
      <c r="I74" s="21"/>
      <c r="J74" s="5"/>
      <c r="K74" s="5"/>
      <c r="L74" s="127"/>
      <c r="M74" s="5"/>
      <c r="N74" s="5"/>
      <c r="O74" s="27"/>
      <c r="P74" s="27"/>
      <c r="Q74" s="27"/>
      <c r="R74" s="27"/>
      <c r="S74" s="27"/>
      <c r="T74" s="5"/>
      <c r="U74" s="5"/>
      <c r="V74" s="224" t="s">
        <v>4884</v>
      </c>
      <c r="W74" s="5"/>
      <c r="X74" s="61"/>
      <c r="Y74" s="5"/>
      <c r="Z74" s="5"/>
      <c r="AA74" s="5"/>
      <c r="AB74" s="5"/>
      <c r="AC74" s="5"/>
    </row>
    <row r="75" spans="1:35" s="9" customFormat="1" x14ac:dyDescent="0.2">
      <c r="B75" s="314"/>
      <c r="C75" s="11"/>
      <c r="D75" s="91"/>
      <c r="E75" s="91"/>
      <c r="F75" s="12"/>
      <c r="G75" s="12"/>
      <c r="H75" s="13"/>
      <c r="I75" s="13"/>
      <c r="J75" s="91"/>
      <c r="K75" s="91"/>
      <c r="L75" s="134"/>
      <c r="M75" s="12"/>
      <c r="N75" s="12"/>
      <c r="O75" s="12"/>
      <c r="P75" s="12"/>
      <c r="Q75" s="12"/>
      <c r="R75" s="12"/>
      <c r="S75" s="12" t="s">
        <v>4902</v>
      </c>
      <c r="T75" s="12"/>
      <c r="U75" s="12"/>
      <c r="V75" s="245" t="s">
        <v>4896</v>
      </c>
      <c r="W75" s="12"/>
      <c r="X75" s="57"/>
      <c r="Y75" s="12"/>
      <c r="Z75" s="12"/>
      <c r="AA75" s="12"/>
      <c r="AB75" s="12"/>
      <c r="AC75" s="12"/>
    </row>
    <row r="76" spans="1:35" s="9" customFormat="1" x14ac:dyDescent="0.2">
      <c r="B76" s="312" t="s">
        <v>4832</v>
      </c>
      <c r="C76" s="16" t="s">
        <v>4897</v>
      </c>
      <c r="D76" s="7" t="s">
        <v>4898</v>
      </c>
      <c r="E76" s="7"/>
      <c r="F76" s="6" t="s">
        <v>4899</v>
      </c>
      <c r="G76" s="6" t="s">
        <v>1535</v>
      </c>
      <c r="H76" s="17">
        <v>12052</v>
      </c>
      <c r="I76" s="39" t="s">
        <v>4900</v>
      </c>
      <c r="J76" s="7">
        <v>37965</v>
      </c>
      <c r="K76" s="7"/>
      <c r="L76" s="23">
        <v>37756</v>
      </c>
      <c r="M76" s="18" t="s">
        <v>124</v>
      </c>
      <c r="N76" s="6" t="s">
        <v>42</v>
      </c>
      <c r="O76" s="23">
        <v>38128</v>
      </c>
      <c r="P76" s="23"/>
      <c r="Q76" s="23"/>
      <c r="R76" s="23"/>
      <c r="S76" s="23">
        <v>38144</v>
      </c>
      <c r="T76" s="23">
        <v>38156</v>
      </c>
      <c r="U76" s="23"/>
      <c r="V76" s="6" t="s">
        <v>4901</v>
      </c>
      <c r="W76" s="6">
        <v>986</v>
      </c>
      <c r="X76" s="59"/>
      <c r="Y76" s="138" t="s">
        <v>47</v>
      </c>
      <c r="Z76" s="6">
        <v>6651603280</v>
      </c>
      <c r="AA76" s="6"/>
      <c r="AB76" s="507" t="s">
        <v>47</v>
      </c>
      <c r="AC76" s="507" t="s">
        <v>47</v>
      </c>
      <c r="AD76" s="10" t="str">
        <f>IF(S76&lt;=L76,"en término","atrasado")</f>
        <v>atrasado</v>
      </c>
    </row>
    <row r="77" spans="1:35" s="9" customFormat="1" ht="12" thickBot="1" x14ac:dyDescent="0.25">
      <c r="B77" s="313"/>
      <c r="C77" s="19"/>
      <c r="D77" s="5"/>
      <c r="E77" s="5"/>
      <c r="F77" s="5"/>
      <c r="G77" s="5"/>
      <c r="H77" s="105"/>
      <c r="I77" s="21"/>
      <c r="J77" s="5"/>
      <c r="K77" s="5"/>
      <c r="L77" s="127"/>
      <c r="M77" s="5"/>
      <c r="N77" s="5"/>
      <c r="O77" s="5"/>
      <c r="P77" s="5"/>
      <c r="Q77" s="5"/>
      <c r="R77" s="5"/>
      <c r="S77" s="27"/>
      <c r="T77" s="5"/>
      <c r="U77" s="5"/>
      <c r="V77" s="224" t="s">
        <v>4884</v>
      </c>
      <c r="W77" s="5"/>
      <c r="X77" s="61"/>
      <c r="Y77" s="5"/>
      <c r="Z77" s="5"/>
      <c r="AA77" s="5"/>
      <c r="AB77" s="5"/>
      <c r="AC77" s="5"/>
    </row>
    <row r="78" spans="1:35" s="9" customFormat="1" x14ac:dyDescent="0.2">
      <c r="A78" s="328"/>
      <c r="B78" s="16"/>
      <c r="C78" s="16"/>
      <c r="D78" s="7"/>
      <c r="E78" s="7"/>
      <c r="F78" s="6"/>
      <c r="G78" s="6"/>
      <c r="H78" s="17"/>
      <c r="I78" s="17"/>
      <c r="J78" s="7"/>
      <c r="K78" s="7"/>
      <c r="L78" s="23"/>
      <c r="M78" s="6"/>
      <c r="N78" s="6"/>
      <c r="O78" s="6"/>
      <c r="P78" s="6"/>
      <c r="Q78" s="6"/>
      <c r="R78" s="6"/>
      <c r="S78" s="6"/>
      <c r="T78" s="6"/>
      <c r="U78" s="6"/>
      <c r="V78" s="138"/>
      <c r="W78" s="6"/>
      <c r="X78" s="293"/>
      <c r="Y78" s="293"/>
      <c r="Z78" s="12"/>
      <c r="AA78" s="6"/>
      <c r="AB78" s="6"/>
      <c r="AC78" s="6"/>
      <c r="AD78" s="330"/>
    </row>
    <row r="79" spans="1:35" s="9" customFormat="1" x14ac:dyDescent="0.2">
      <c r="A79" s="328"/>
      <c r="B79" s="16" t="s">
        <v>4832</v>
      </c>
      <c r="C79" s="16" t="s">
        <v>4903</v>
      </c>
      <c r="D79" s="7" t="s">
        <v>4904</v>
      </c>
      <c r="E79" s="7"/>
      <c r="F79" s="6" t="s">
        <v>4905</v>
      </c>
      <c r="G79" s="6" t="s">
        <v>1173</v>
      </c>
      <c r="H79" s="17">
        <v>860</v>
      </c>
      <c r="I79" s="39" t="s">
        <v>4900</v>
      </c>
      <c r="J79" s="7">
        <v>38274</v>
      </c>
      <c r="K79" s="331">
        <v>30</v>
      </c>
      <c r="L79" s="23">
        <f>+J79+K79</f>
        <v>38304</v>
      </c>
      <c r="M79" s="18" t="s">
        <v>4893</v>
      </c>
      <c r="N79" s="6" t="s">
        <v>110</v>
      </c>
      <c r="O79" s="7">
        <v>38300</v>
      </c>
      <c r="P79" s="331">
        <f>IF(O79="","",+O79-L79)</f>
        <v>-4</v>
      </c>
      <c r="Q79" s="331"/>
      <c r="R79" s="331"/>
      <c r="S79" s="175">
        <v>38307</v>
      </c>
      <c r="T79" s="7">
        <f>+S79+3</f>
        <v>38310</v>
      </c>
      <c r="U79" s="331">
        <f>IF(T79="","",+T79-J79)</f>
        <v>36</v>
      </c>
      <c r="V79" s="6" t="s">
        <v>4906</v>
      </c>
      <c r="W79" s="6">
        <v>1060</v>
      </c>
      <c r="X79" s="293"/>
      <c r="Y79" s="293"/>
      <c r="Z79" s="6">
        <v>6656007735</v>
      </c>
      <c r="AA79" s="6" t="s">
        <v>47</v>
      </c>
      <c r="AB79" s="6" t="s">
        <v>47</v>
      </c>
      <c r="AC79" s="6" t="s">
        <v>47</v>
      </c>
      <c r="AD79" s="10" t="str">
        <f>IF(S79&lt;=L79,"en término","atrasado")</f>
        <v>atrasado</v>
      </c>
    </row>
    <row r="80" spans="1:35" s="9" customFormat="1" ht="12" thickBot="1" x14ac:dyDescent="0.25">
      <c r="A80" s="328"/>
      <c r="B80" s="19"/>
      <c r="C80" s="19"/>
      <c r="D80" s="5"/>
      <c r="E80" s="5"/>
      <c r="F80" s="5"/>
      <c r="G80" s="5"/>
      <c r="H80" s="105"/>
      <c r="I80" s="21"/>
      <c r="J80" s="27"/>
      <c r="K80" s="5"/>
      <c r="L80" s="27"/>
      <c r="M80" s="5"/>
      <c r="N80" s="5" t="s">
        <v>465</v>
      </c>
      <c r="O80" s="27"/>
      <c r="P80" s="27"/>
      <c r="Q80" s="27"/>
      <c r="R80" s="27"/>
      <c r="S80" s="5"/>
      <c r="T80" s="5"/>
      <c r="U80" s="5"/>
      <c r="V80" s="224" t="s">
        <v>4907</v>
      </c>
      <c r="W80" s="5"/>
      <c r="X80" s="294"/>
      <c r="Y80" s="294"/>
      <c r="Z80" s="5"/>
      <c r="AA80" s="5"/>
      <c r="AB80" s="5"/>
      <c r="AC80" s="5"/>
      <c r="AD80" s="330"/>
    </row>
    <row r="81" spans="1:35" s="9" customFormat="1" x14ac:dyDescent="0.2">
      <c r="A81" s="328"/>
      <c r="B81" s="16"/>
      <c r="C81" s="16"/>
      <c r="D81" s="7"/>
      <c r="E81" s="7"/>
      <c r="F81" s="6"/>
      <c r="G81" s="6"/>
      <c r="H81" s="17"/>
      <c r="I81" s="17"/>
      <c r="J81" s="7"/>
      <c r="K81" s="7"/>
      <c r="L81" s="23"/>
      <c r="M81" s="6"/>
      <c r="N81" s="6"/>
      <c r="O81" s="6"/>
      <c r="P81" s="6"/>
      <c r="Q81" s="6"/>
      <c r="R81" s="6"/>
      <c r="S81" s="6" t="s">
        <v>4908</v>
      </c>
      <c r="T81" s="6"/>
      <c r="U81" s="6"/>
      <c r="V81" s="138" t="s">
        <v>4909</v>
      </c>
      <c r="W81" s="6"/>
      <c r="X81" s="293"/>
      <c r="Y81" s="293"/>
      <c r="Z81" s="12"/>
      <c r="AA81" s="6"/>
      <c r="AB81" s="6"/>
      <c r="AC81" s="6"/>
      <c r="AD81" s="330"/>
    </row>
    <row r="82" spans="1:35" s="9" customFormat="1" x14ac:dyDescent="0.2">
      <c r="A82" s="328"/>
      <c r="B82" s="16" t="s">
        <v>4832</v>
      </c>
      <c r="C82" s="16" t="s">
        <v>4910</v>
      </c>
      <c r="D82" s="7" t="s">
        <v>4911</v>
      </c>
      <c r="E82" s="7"/>
      <c r="F82" s="6" t="s">
        <v>4912</v>
      </c>
      <c r="G82" s="6" t="s">
        <v>1535</v>
      </c>
      <c r="H82" s="17">
        <v>33319</v>
      </c>
      <c r="I82" s="39" t="s">
        <v>4900</v>
      </c>
      <c r="J82" s="7">
        <v>38274</v>
      </c>
      <c r="K82" s="331">
        <v>80</v>
      </c>
      <c r="L82" s="23">
        <f>+J82+K82</f>
        <v>38354</v>
      </c>
      <c r="M82" s="18" t="s">
        <v>124</v>
      </c>
      <c r="N82" s="6" t="s">
        <v>42</v>
      </c>
      <c r="O82" s="7">
        <v>38314</v>
      </c>
      <c r="P82" s="331">
        <f>IF(O82="","",+O82-L82)</f>
        <v>-40</v>
      </c>
      <c r="Q82" s="331"/>
      <c r="R82" s="331"/>
      <c r="S82" s="175">
        <v>38336</v>
      </c>
      <c r="T82" s="7">
        <v>38352</v>
      </c>
      <c r="U82" s="331">
        <f>IF(T82="","",+T82-J82)</f>
        <v>78</v>
      </c>
      <c r="V82" s="6" t="s">
        <v>4913</v>
      </c>
      <c r="W82" s="6">
        <v>1069</v>
      </c>
      <c r="X82" s="293"/>
      <c r="Y82" s="293"/>
      <c r="Z82" s="6">
        <v>6656007293</v>
      </c>
      <c r="AA82" s="6" t="s">
        <v>47</v>
      </c>
      <c r="AB82" s="7" t="s">
        <v>47</v>
      </c>
      <c r="AC82" s="7" t="s">
        <v>47</v>
      </c>
      <c r="AD82" s="10" t="str">
        <f>IF(S82&lt;=L82,"en término","atrasado")</f>
        <v>en término</v>
      </c>
    </row>
    <row r="83" spans="1:35" s="9" customFormat="1" ht="13.5" customHeight="1" thickBot="1" x14ac:dyDescent="0.25">
      <c r="A83" s="328"/>
      <c r="B83" s="19"/>
      <c r="C83" s="19"/>
      <c r="D83" s="5"/>
      <c r="E83" s="5"/>
      <c r="F83" s="5"/>
      <c r="G83" s="5"/>
      <c r="H83" s="105"/>
      <c r="I83" s="21"/>
      <c r="J83" s="27"/>
      <c r="K83" s="5"/>
      <c r="L83" s="27"/>
      <c r="M83" s="5"/>
      <c r="N83" s="5"/>
      <c r="O83" s="27"/>
      <c r="P83" s="27"/>
      <c r="Q83" s="27"/>
      <c r="R83" s="27"/>
      <c r="S83" s="5"/>
      <c r="T83" s="5"/>
      <c r="U83" s="5"/>
      <c r="V83" s="224" t="s">
        <v>4914</v>
      </c>
      <c r="W83" s="5"/>
      <c r="X83" s="294"/>
      <c r="Y83" s="294"/>
      <c r="Z83" s="5"/>
      <c r="AA83" s="5"/>
      <c r="AB83" s="5"/>
      <c r="AC83" s="5"/>
      <c r="AD83" s="330"/>
    </row>
    <row r="85" spans="1:35" ht="12.75" x14ac:dyDescent="0.2">
      <c r="AA85" s="1">
        <v>2004</v>
      </c>
      <c r="AB85" s="1048"/>
    </row>
    <row r="86" spans="1:35" ht="12.75" x14ac:dyDescent="0.2">
      <c r="AA86" s="945" t="s">
        <v>813</v>
      </c>
      <c r="AB86" s="1048">
        <f>COUNTA(AD67:AD82)</f>
        <v>5</v>
      </c>
    </row>
    <row r="87" spans="1:35" ht="12.75" x14ac:dyDescent="0.2">
      <c r="AA87" s="945" t="s">
        <v>815</v>
      </c>
      <c r="AB87" s="1048">
        <f>COUNTIF(AD67:AD82,"en término")</f>
        <v>1</v>
      </c>
    </row>
    <row r="88" spans="1:35" ht="12.75" x14ac:dyDescent="0.2">
      <c r="AA88" s="945" t="s">
        <v>817</v>
      </c>
      <c r="AB88" s="557">
        <f>+AB87/AB86</f>
        <v>0.2</v>
      </c>
    </row>
    <row r="89" spans="1:35" ht="12" x14ac:dyDescent="0.2">
      <c r="AA89" s="24"/>
      <c r="AB89" s="201"/>
      <c r="AC89" s="201"/>
    </row>
    <row r="90" spans="1:35" ht="12.75" thickBot="1" x14ac:dyDescent="0.25">
      <c r="AA90" s="24"/>
      <c r="AB90" s="201"/>
      <c r="AC90" s="201"/>
    </row>
    <row r="91" spans="1:35" s="556" customFormat="1" ht="39.950000000000003" customHeight="1" thickBot="1" x14ac:dyDescent="0.4">
      <c r="B91" s="1611">
        <v>2005</v>
      </c>
      <c r="C91" s="1612"/>
      <c r="D91" s="1612"/>
      <c r="E91" s="1612"/>
      <c r="F91" s="1612"/>
      <c r="G91" s="1612"/>
      <c r="H91" s="1612"/>
      <c r="I91" s="1612"/>
      <c r="J91" s="1612"/>
      <c r="K91" s="1612"/>
      <c r="L91" s="1612"/>
      <c r="M91" s="1612"/>
      <c r="N91" s="1612"/>
      <c r="O91" s="1612"/>
      <c r="P91" s="1612"/>
      <c r="Q91" s="1612"/>
      <c r="R91" s="1612"/>
      <c r="S91" s="1612"/>
      <c r="T91" s="1612"/>
      <c r="U91" s="1612"/>
      <c r="V91" s="1612"/>
      <c r="W91" s="1612"/>
      <c r="X91" s="1612"/>
      <c r="Y91" s="1612"/>
      <c r="Z91" s="1612"/>
      <c r="AA91" s="1612"/>
      <c r="AB91" s="1612"/>
      <c r="AC91" s="1613"/>
      <c r="AD91" s="555"/>
    </row>
    <row r="92" spans="1:35" s="441" customFormat="1" ht="60" customHeight="1" thickBot="1" x14ac:dyDescent="0.25">
      <c r="A92" s="438"/>
      <c r="B92" s="451" t="s">
        <v>130</v>
      </c>
      <c r="C92" s="451" t="s">
        <v>4</v>
      </c>
      <c r="D92" s="451" t="s">
        <v>5</v>
      </c>
      <c r="E92" s="451" t="s">
        <v>6</v>
      </c>
      <c r="F92" s="451" t="s">
        <v>7</v>
      </c>
      <c r="G92" s="451" t="s">
        <v>8</v>
      </c>
      <c r="H92" s="453" t="s">
        <v>9</v>
      </c>
      <c r="I92" s="453" t="s">
        <v>10</v>
      </c>
      <c r="J92" s="451" t="s">
        <v>11</v>
      </c>
      <c r="K92" s="451" t="s">
        <v>12</v>
      </c>
      <c r="L92" s="451" t="s">
        <v>13</v>
      </c>
      <c r="M92" s="451" t="s">
        <v>14</v>
      </c>
      <c r="N92" s="451" t="s">
        <v>15</v>
      </c>
      <c r="O92" s="452" t="s">
        <v>16</v>
      </c>
      <c r="P92" s="454" t="s">
        <v>17</v>
      </c>
      <c r="Q92" s="451" t="s">
        <v>18</v>
      </c>
      <c r="R92" s="452" t="s">
        <v>19</v>
      </c>
      <c r="S92" s="451" t="s">
        <v>20</v>
      </c>
      <c r="T92" s="451" t="s">
        <v>21</v>
      </c>
      <c r="U92" s="452" t="s">
        <v>22</v>
      </c>
      <c r="V92" s="451" t="s">
        <v>131</v>
      </c>
      <c r="W92" s="451" t="s">
        <v>24</v>
      </c>
      <c r="X92" s="451" t="s">
        <v>132</v>
      </c>
      <c r="Y92" s="451" t="s">
        <v>26</v>
      </c>
      <c r="Z92" s="451" t="s">
        <v>27</v>
      </c>
      <c r="AA92" s="451" t="s">
        <v>28</v>
      </c>
      <c r="AB92" s="451" t="s">
        <v>29</v>
      </c>
      <c r="AC92" s="451" t="s">
        <v>30</v>
      </c>
      <c r="AD92" s="439"/>
      <c r="AE92" s="440"/>
      <c r="AF92" s="440"/>
      <c r="AG92" s="440"/>
      <c r="AH92" s="440"/>
      <c r="AI92" s="440"/>
    </row>
    <row r="93" spans="1:35" s="9" customFormat="1" x14ac:dyDescent="0.2">
      <c r="A93" s="328"/>
      <c r="B93" s="16"/>
      <c r="C93" s="16"/>
      <c r="D93" s="7"/>
      <c r="E93" s="7"/>
      <c r="F93" s="6"/>
      <c r="G93" s="6"/>
      <c r="H93" s="17"/>
      <c r="I93" s="17"/>
      <c r="J93" s="7"/>
      <c r="K93" s="7"/>
      <c r="L93" s="23"/>
      <c r="M93" s="6"/>
      <c r="N93" s="6"/>
      <c r="O93" s="6"/>
      <c r="P93" s="6"/>
      <c r="Q93" s="6"/>
      <c r="R93" s="6"/>
      <c r="S93" s="6"/>
      <c r="T93" s="6"/>
      <c r="U93" s="6"/>
      <c r="V93" s="138" t="s">
        <v>4909</v>
      </c>
      <c r="W93" s="6"/>
      <c r="X93" s="293"/>
      <c r="Y93" s="293"/>
      <c r="Z93" s="12"/>
      <c r="AA93" s="6"/>
      <c r="AB93" s="6"/>
      <c r="AC93" s="6"/>
      <c r="AD93" s="28"/>
    </row>
    <row r="94" spans="1:35" s="9" customFormat="1" x14ac:dyDescent="0.2">
      <c r="A94" s="328"/>
      <c r="B94" s="16" t="s">
        <v>4832</v>
      </c>
      <c r="C94" s="16" t="s">
        <v>4910</v>
      </c>
      <c r="D94" s="7" t="s">
        <v>4915</v>
      </c>
      <c r="E94" s="7"/>
      <c r="F94" s="6" t="s">
        <v>4916</v>
      </c>
      <c r="G94" s="6" t="s">
        <v>1535</v>
      </c>
      <c r="H94" s="17">
        <v>16115</v>
      </c>
      <c r="I94" s="39" t="s">
        <v>4900</v>
      </c>
      <c r="J94" s="7">
        <v>38289</v>
      </c>
      <c r="K94" s="331">
        <v>80</v>
      </c>
      <c r="L94" s="23">
        <f>+J94+K94</f>
        <v>38369</v>
      </c>
      <c r="M94" s="18" t="s">
        <v>124</v>
      </c>
      <c r="N94" s="6" t="s">
        <v>42</v>
      </c>
      <c r="O94" s="7">
        <v>38370</v>
      </c>
      <c r="P94" s="331">
        <f>IF(O94="","",+O94-L94)</f>
        <v>1</v>
      </c>
      <c r="Q94" s="331"/>
      <c r="R94" s="331"/>
      <c r="S94" s="175">
        <v>38387</v>
      </c>
      <c r="T94" s="7">
        <f>+S94+20</f>
        <v>38407</v>
      </c>
      <c r="U94" s="331">
        <f>IF(T94="","",+T94-J94)</f>
        <v>118</v>
      </c>
      <c r="V94" s="6" t="s">
        <v>2790</v>
      </c>
      <c r="W94" s="340" t="s">
        <v>4917</v>
      </c>
      <c r="X94" s="293"/>
      <c r="Y94" s="293"/>
      <c r="Z94" s="6">
        <v>6673533985</v>
      </c>
      <c r="AA94" s="6" t="s">
        <v>47</v>
      </c>
      <c r="AB94" s="7" t="s">
        <v>47</v>
      </c>
      <c r="AC94" s="7" t="s">
        <v>47</v>
      </c>
      <c r="AD94" s="10" t="str">
        <f>IF(S94&lt;=L94,"en término","atrasado")</f>
        <v>atrasado</v>
      </c>
    </row>
    <row r="95" spans="1:35" s="9" customFormat="1" ht="14.25" customHeight="1" thickBot="1" x14ac:dyDescent="0.25">
      <c r="A95" s="328"/>
      <c r="B95" s="19"/>
      <c r="C95" s="19"/>
      <c r="D95" s="5"/>
      <c r="E95" s="5"/>
      <c r="F95" s="5"/>
      <c r="G95" s="5"/>
      <c r="H95" s="105"/>
      <c r="I95" s="21"/>
      <c r="J95" s="27"/>
      <c r="K95" s="5"/>
      <c r="L95" s="27"/>
      <c r="M95" s="5"/>
      <c r="N95" s="5"/>
      <c r="O95" s="27"/>
      <c r="P95" s="27"/>
      <c r="Q95" s="27"/>
      <c r="R95" s="27"/>
      <c r="S95" s="5"/>
      <c r="T95" s="5"/>
      <c r="U95" s="5"/>
      <c r="V95" s="224"/>
      <c r="W95" s="5"/>
      <c r="X95" s="294"/>
      <c r="Y95" s="294"/>
      <c r="Z95" s="5"/>
      <c r="AA95" s="27">
        <v>38408</v>
      </c>
      <c r="AB95" s="5"/>
      <c r="AC95" s="5"/>
      <c r="AD95" s="28"/>
    </row>
    <row r="96" spans="1:35" s="9" customFormat="1" x14ac:dyDescent="0.2">
      <c r="A96" s="328"/>
      <c r="B96" s="16"/>
      <c r="C96" s="16"/>
      <c r="D96" s="7"/>
      <c r="E96" s="7"/>
      <c r="F96" s="6"/>
      <c r="G96" s="6"/>
      <c r="H96" s="17"/>
      <c r="I96" s="17"/>
      <c r="J96" s="7"/>
      <c r="K96" s="7"/>
      <c r="L96" s="23"/>
      <c r="M96" s="6"/>
      <c r="N96" s="6"/>
      <c r="O96" s="6"/>
      <c r="P96" s="6"/>
      <c r="Q96" s="6"/>
      <c r="R96" s="6"/>
      <c r="S96" s="6"/>
      <c r="T96" s="6"/>
      <c r="U96" s="6"/>
      <c r="V96" s="138" t="s">
        <v>1102</v>
      </c>
      <c r="W96" s="6"/>
      <c r="X96" s="293"/>
      <c r="Y96" s="293"/>
      <c r="Z96" s="6"/>
      <c r="AA96" s="6"/>
      <c r="AB96" s="6"/>
      <c r="AC96" s="6"/>
      <c r="AD96" s="28"/>
    </row>
    <row r="97" spans="1:30" s="9" customFormat="1" x14ac:dyDescent="0.2">
      <c r="A97" s="328"/>
      <c r="B97" s="16" t="s">
        <v>4832</v>
      </c>
      <c r="C97" s="16" t="s">
        <v>4918</v>
      </c>
      <c r="D97" s="7" t="s">
        <v>4919</v>
      </c>
      <c r="E97" s="7"/>
      <c r="F97" s="6" t="s">
        <v>4920</v>
      </c>
      <c r="G97" s="6" t="s">
        <v>1535</v>
      </c>
      <c r="H97" s="17">
        <v>1520</v>
      </c>
      <c r="I97" s="39" t="s">
        <v>4900</v>
      </c>
      <c r="J97" s="7">
        <v>38373</v>
      </c>
      <c r="K97" s="331">
        <v>20</v>
      </c>
      <c r="L97" s="23">
        <f>+J97+K97</f>
        <v>38393</v>
      </c>
      <c r="M97" s="18" t="s">
        <v>280</v>
      </c>
      <c r="N97" s="6" t="s">
        <v>110</v>
      </c>
      <c r="O97" s="7">
        <v>38390</v>
      </c>
      <c r="P97" s="331">
        <f>IF(O97="","",+O97-L97)</f>
        <v>-3</v>
      </c>
      <c r="Q97" s="331"/>
      <c r="R97" s="331"/>
      <c r="S97" s="175">
        <v>38394</v>
      </c>
      <c r="T97" s="7">
        <v>38399</v>
      </c>
      <c r="U97" s="331">
        <f>IF(T97="","",+T97-J97)</f>
        <v>26</v>
      </c>
      <c r="V97" s="6" t="s">
        <v>4921</v>
      </c>
      <c r="W97" s="6" t="s">
        <v>4922</v>
      </c>
      <c r="X97" s="293"/>
      <c r="Y97" s="293"/>
      <c r="Z97" s="6"/>
      <c r="AA97" s="6" t="s">
        <v>47</v>
      </c>
      <c r="AB97" s="6" t="s">
        <v>47</v>
      </c>
      <c r="AC97" s="6" t="s">
        <v>47</v>
      </c>
      <c r="AD97" s="28"/>
    </row>
    <row r="98" spans="1:30" s="9" customFormat="1" ht="14.25" customHeight="1" thickBot="1" x14ac:dyDescent="0.25">
      <c r="A98" s="328"/>
      <c r="B98" s="19"/>
      <c r="C98" s="19"/>
      <c r="D98" s="5"/>
      <c r="E98" s="5"/>
      <c r="F98" s="5"/>
      <c r="G98" s="5"/>
      <c r="H98" s="105"/>
      <c r="I98" s="21"/>
      <c r="J98" s="27"/>
      <c r="K98" s="5"/>
      <c r="L98" s="27"/>
      <c r="M98" s="5"/>
      <c r="N98" s="5"/>
      <c r="O98" s="27"/>
      <c r="P98" s="27"/>
      <c r="Q98" s="27"/>
      <c r="R98" s="27"/>
      <c r="S98" s="5"/>
      <c r="T98" s="5"/>
      <c r="U98" s="5"/>
      <c r="V98" s="224"/>
      <c r="W98" s="5"/>
      <c r="X98" s="294"/>
      <c r="Y98" s="294"/>
      <c r="Z98" s="5"/>
      <c r="AA98" s="27">
        <v>38400</v>
      </c>
      <c r="AB98" s="5"/>
      <c r="AC98" s="5"/>
      <c r="AD98" s="28"/>
    </row>
    <row r="99" spans="1:30" s="9" customFormat="1" x14ac:dyDescent="0.2">
      <c r="A99" s="328"/>
      <c r="B99" s="16"/>
      <c r="C99" s="16"/>
      <c r="D99" s="7"/>
      <c r="E99" s="7"/>
      <c r="F99" s="6"/>
      <c r="G99" s="6"/>
      <c r="H99" s="17"/>
      <c r="I99" s="17"/>
      <c r="J99" s="7"/>
      <c r="K99" s="7"/>
      <c r="L99" s="23"/>
      <c r="M99" s="6"/>
      <c r="N99" s="6"/>
      <c r="O99" s="7"/>
      <c r="P99" s="7"/>
      <c r="Q99" s="7"/>
      <c r="R99" s="7"/>
      <c r="S99" s="7" t="s">
        <v>4923</v>
      </c>
      <c r="T99" s="7"/>
      <c r="U99" s="7"/>
      <c r="V99" s="220" t="s">
        <v>4924</v>
      </c>
      <c r="W99" s="47"/>
      <c r="X99" s="59"/>
      <c r="Y99" s="177"/>
      <c r="Z99" s="6"/>
      <c r="AA99" s="6"/>
      <c r="AB99" s="6"/>
      <c r="AC99" s="6"/>
      <c r="AD99" s="28"/>
    </row>
    <row r="100" spans="1:30" s="9" customFormat="1" x14ac:dyDescent="0.2">
      <c r="A100" s="328"/>
      <c r="B100" s="16" t="s">
        <v>4832</v>
      </c>
      <c r="C100" s="16" t="s">
        <v>4846</v>
      </c>
      <c r="D100" s="7" t="s">
        <v>4925</v>
      </c>
      <c r="E100" s="7"/>
      <c r="F100" s="340" t="s">
        <v>4926</v>
      </c>
      <c r="G100" s="6" t="s">
        <v>39</v>
      </c>
      <c r="H100" s="17">
        <v>4695</v>
      </c>
      <c r="I100" s="39" t="s">
        <v>4927</v>
      </c>
      <c r="J100" s="18">
        <v>38559</v>
      </c>
      <c r="K100" s="331">
        <v>35</v>
      </c>
      <c r="L100" s="348">
        <f>+J100+K100</f>
        <v>38594</v>
      </c>
      <c r="M100" s="18" t="s">
        <v>124</v>
      </c>
      <c r="N100" s="6" t="s">
        <v>42</v>
      </c>
      <c r="O100" s="18">
        <v>38590</v>
      </c>
      <c r="P100" s="331">
        <f>IF(S100="","",+S100-L100)</f>
        <v>11</v>
      </c>
      <c r="Q100" s="331"/>
      <c r="R100" s="331"/>
      <c r="S100" s="349">
        <v>38605</v>
      </c>
      <c r="T100" s="349">
        <f>+S100+18</f>
        <v>38623</v>
      </c>
      <c r="U100" s="331">
        <f>IF(T100="","",+T100-J100)</f>
        <v>64</v>
      </c>
      <c r="V100" s="6" t="s">
        <v>419</v>
      </c>
      <c r="W100" s="341" t="s">
        <v>4928</v>
      </c>
      <c r="X100" s="59"/>
      <c r="Y100" s="177"/>
      <c r="Z100" s="6" t="s">
        <v>4929</v>
      </c>
      <c r="AA100" s="6"/>
      <c r="AB100" s="18" t="s">
        <v>47</v>
      </c>
      <c r="AC100" s="18" t="s">
        <v>47</v>
      </c>
      <c r="AD100" s="10" t="str">
        <f>IF(S100&lt;=L100,"en término","atrasado")</f>
        <v>atrasado</v>
      </c>
    </row>
    <row r="101" spans="1:30" s="9" customFormat="1" ht="12" thickBot="1" x14ac:dyDescent="0.25">
      <c r="A101" s="328"/>
      <c r="B101" s="19"/>
      <c r="C101" s="19"/>
      <c r="D101" s="5"/>
      <c r="E101" s="5"/>
      <c r="F101" s="5"/>
      <c r="G101" s="5"/>
      <c r="H101" s="105"/>
      <c r="I101" s="21"/>
      <c r="J101" s="27"/>
      <c r="K101" s="27"/>
      <c r="L101" s="27"/>
      <c r="M101" s="5"/>
      <c r="N101" s="5"/>
      <c r="O101" s="5"/>
      <c r="P101" s="5"/>
      <c r="Q101" s="5"/>
      <c r="R101" s="5"/>
      <c r="S101" s="5"/>
      <c r="T101" s="5"/>
      <c r="U101" s="5"/>
      <c r="V101" s="224"/>
      <c r="W101" s="36"/>
      <c r="X101" s="61"/>
      <c r="Y101" s="182"/>
      <c r="Z101" s="5" t="s">
        <v>4930</v>
      </c>
      <c r="AA101" s="27"/>
      <c r="AB101" s="5"/>
      <c r="AC101" s="5"/>
      <c r="AD101" s="28"/>
    </row>
    <row r="102" spans="1:30" s="9" customFormat="1" x14ac:dyDescent="0.2">
      <c r="A102" s="328"/>
      <c r="B102" s="16"/>
      <c r="C102" s="16"/>
      <c r="D102" s="7"/>
      <c r="E102" s="7"/>
      <c r="F102" s="6"/>
      <c r="G102" s="6"/>
      <c r="H102" s="17"/>
      <c r="I102" s="17"/>
      <c r="J102" s="7"/>
      <c r="K102" s="7"/>
      <c r="L102" s="23"/>
      <c r="M102" s="6"/>
      <c r="N102" s="6"/>
      <c r="O102" s="7"/>
      <c r="P102" s="7"/>
      <c r="Q102" s="7"/>
      <c r="R102" s="7"/>
      <c r="S102" s="7" t="s">
        <v>4931</v>
      </c>
      <c r="T102" s="7"/>
      <c r="U102" s="7"/>
      <c r="V102" s="220" t="s">
        <v>4932</v>
      </c>
      <c r="W102" s="47"/>
      <c r="X102" s="59"/>
      <c r="Y102" s="177"/>
      <c r="Z102" s="6"/>
      <c r="AA102" s="6"/>
      <c r="AB102" s="6"/>
      <c r="AC102" s="6"/>
      <c r="AD102" s="28"/>
    </row>
    <row r="103" spans="1:30" s="9" customFormat="1" x14ac:dyDescent="0.2">
      <c r="A103" s="328"/>
      <c r="B103" s="16" t="s">
        <v>4832</v>
      </c>
      <c r="C103" s="16" t="s">
        <v>4910</v>
      </c>
      <c r="D103" s="7" t="s">
        <v>4933</v>
      </c>
      <c r="E103" s="7"/>
      <c r="F103" s="6" t="s">
        <v>4934</v>
      </c>
      <c r="G103" s="6" t="s">
        <v>1535</v>
      </c>
      <c r="H103" s="17">
        <v>7040</v>
      </c>
      <c r="I103" s="39" t="s">
        <v>4900</v>
      </c>
      <c r="J103" s="18">
        <v>38574</v>
      </c>
      <c r="K103" s="331">
        <v>26</v>
      </c>
      <c r="L103" s="348">
        <f>+J103+K103</f>
        <v>38600</v>
      </c>
      <c r="M103" s="18" t="s">
        <v>124</v>
      </c>
      <c r="N103" s="6" t="s">
        <v>42</v>
      </c>
      <c r="O103" s="18">
        <v>38597</v>
      </c>
      <c r="P103" s="331">
        <f>IF(S103="","",+S103-L103)</f>
        <v>9</v>
      </c>
      <c r="Q103" s="331"/>
      <c r="R103" s="331"/>
      <c r="S103" s="349">
        <v>38609</v>
      </c>
      <c r="T103" s="349">
        <f>+S103+18</f>
        <v>38627</v>
      </c>
      <c r="U103" s="331">
        <f>IF(T103="","",+T103-J103)</f>
        <v>53</v>
      </c>
      <c r="V103" s="6" t="s">
        <v>4935</v>
      </c>
      <c r="W103" s="341" t="s">
        <v>4936</v>
      </c>
      <c r="X103" s="59"/>
      <c r="Y103" s="177"/>
      <c r="Z103" s="6">
        <v>6505563816</v>
      </c>
      <c r="AA103" s="6" t="s">
        <v>47</v>
      </c>
      <c r="AB103" s="18" t="s">
        <v>47</v>
      </c>
      <c r="AC103" s="18" t="s">
        <v>47</v>
      </c>
      <c r="AD103" s="10" t="str">
        <f>IF(S103&lt;=L103,"en término","atrasado")</f>
        <v>atrasado</v>
      </c>
    </row>
    <row r="104" spans="1:30" s="9" customFormat="1" ht="12" thickBot="1" x14ac:dyDescent="0.25">
      <c r="A104" s="328"/>
      <c r="B104" s="19"/>
      <c r="C104" s="19"/>
      <c r="D104" s="5"/>
      <c r="E104" s="5"/>
      <c r="F104" s="5"/>
      <c r="G104" s="5"/>
      <c r="H104" s="105"/>
      <c r="I104" s="21"/>
      <c r="J104" s="27"/>
      <c r="K104" s="354"/>
      <c r="L104" s="355"/>
      <c r="M104" s="5"/>
      <c r="N104" s="5"/>
      <c r="O104" s="5"/>
      <c r="P104" s="5"/>
      <c r="Q104" s="5"/>
      <c r="R104" s="5"/>
      <c r="S104" s="5"/>
      <c r="T104" s="5"/>
      <c r="U104" s="5"/>
      <c r="V104" s="224"/>
      <c r="W104" s="36"/>
      <c r="X104" s="61"/>
      <c r="Y104" s="182"/>
      <c r="Z104" s="5"/>
      <c r="AA104" s="27"/>
      <c r="AB104" s="5"/>
      <c r="AC104" s="5"/>
      <c r="AD104" s="28"/>
    </row>
    <row r="105" spans="1:30" s="9" customFormat="1" x14ac:dyDescent="0.2">
      <c r="A105" s="328"/>
      <c r="B105" s="16"/>
      <c r="C105" s="16"/>
      <c r="D105" s="7"/>
      <c r="E105" s="7"/>
      <c r="F105" s="6"/>
      <c r="G105" s="6"/>
      <c r="H105" s="17"/>
      <c r="I105" s="17"/>
      <c r="J105" s="7"/>
      <c r="K105" s="7"/>
      <c r="L105" s="23"/>
      <c r="M105" s="6"/>
      <c r="N105" s="6"/>
      <c r="O105" s="7"/>
      <c r="P105" s="7"/>
      <c r="Q105" s="7"/>
      <c r="R105" s="7"/>
      <c r="S105" s="7" t="s">
        <v>4937</v>
      </c>
      <c r="T105" s="7"/>
      <c r="U105" s="7"/>
      <c r="V105" s="220" t="s">
        <v>4932</v>
      </c>
      <c r="W105" s="47"/>
      <c r="X105" s="59"/>
      <c r="Y105" s="177"/>
      <c r="Z105" s="6"/>
      <c r="AA105" s="6"/>
      <c r="AB105" s="6"/>
      <c r="AC105" s="6"/>
      <c r="AD105" s="28"/>
    </row>
    <row r="106" spans="1:30" s="9" customFormat="1" x14ac:dyDescent="0.2">
      <c r="A106" s="328"/>
      <c r="B106" s="16" t="s">
        <v>4832</v>
      </c>
      <c r="C106" s="16" t="s">
        <v>4910</v>
      </c>
      <c r="D106" s="7" t="s">
        <v>4938</v>
      </c>
      <c r="E106" s="7"/>
      <c r="F106" s="6" t="s">
        <v>4939</v>
      </c>
      <c r="G106" s="6" t="s">
        <v>1535</v>
      </c>
      <c r="H106" s="17">
        <v>49099.4</v>
      </c>
      <c r="I106" s="39" t="s">
        <v>4900</v>
      </c>
      <c r="J106" s="18">
        <v>38610</v>
      </c>
      <c r="K106" s="331">
        <v>62</v>
      </c>
      <c r="L106" s="348">
        <f>+J106+K106</f>
        <v>38672</v>
      </c>
      <c r="M106" s="18" t="s">
        <v>124</v>
      </c>
      <c r="N106" s="6" t="s">
        <v>42</v>
      </c>
      <c r="O106" s="18">
        <v>38653</v>
      </c>
      <c r="P106" s="331">
        <f>IF(S106="","",+S106-L106)</f>
        <v>-7</v>
      </c>
      <c r="Q106" s="331"/>
      <c r="R106" s="331"/>
      <c r="S106" s="349">
        <v>38665</v>
      </c>
      <c r="T106" s="349">
        <v>38685</v>
      </c>
      <c r="U106" s="331">
        <f>IF(T106="","",+T106-J106)</f>
        <v>75</v>
      </c>
      <c r="V106" s="6" t="s">
        <v>2725</v>
      </c>
      <c r="W106" s="341" t="s">
        <v>4940</v>
      </c>
      <c r="X106" s="59"/>
      <c r="Y106" s="177"/>
      <c r="Z106" s="6">
        <v>6505563772</v>
      </c>
      <c r="AA106" s="7">
        <v>38695</v>
      </c>
      <c r="AB106" s="18" t="s">
        <v>47</v>
      </c>
      <c r="AC106" s="18" t="s">
        <v>47</v>
      </c>
      <c r="AD106" s="10" t="str">
        <f>IF(S106&lt;=L106,"en término","atrasado")</f>
        <v>en término</v>
      </c>
    </row>
    <row r="107" spans="1:30" s="9" customFormat="1" ht="14.25" customHeight="1" thickBot="1" x14ac:dyDescent="0.25">
      <c r="A107" s="328"/>
      <c r="B107" s="19"/>
      <c r="C107" s="19"/>
      <c r="D107" s="5"/>
      <c r="E107" s="5"/>
      <c r="F107" s="5"/>
      <c r="G107" s="5"/>
      <c r="H107" s="105"/>
      <c r="I107" s="21"/>
      <c r="J107" s="27"/>
      <c r="K107" s="354"/>
      <c r="L107" s="355"/>
      <c r="M107" s="5"/>
      <c r="N107" s="5"/>
      <c r="O107" s="5"/>
      <c r="P107" s="5"/>
      <c r="Q107" s="5"/>
      <c r="R107" s="5"/>
      <c r="S107" s="5" t="s">
        <v>4941</v>
      </c>
      <c r="T107" s="187"/>
      <c r="U107" s="5"/>
      <c r="V107" s="224"/>
      <c r="W107" s="36"/>
      <c r="X107" s="61"/>
      <c r="Y107" s="182"/>
      <c r="Z107" s="5"/>
      <c r="AA107" s="27"/>
      <c r="AB107" s="5"/>
      <c r="AC107" s="5"/>
      <c r="AD107" s="28"/>
    </row>
    <row r="108" spans="1:30" ht="12" x14ac:dyDescent="0.2">
      <c r="AA108" s="24"/>
      <c r="AB108" s="201"/>
      <c r="AC108" s="201"/>
    </row>
    <row r="109" spans="1:30" ht="12.75" x14ac:dyDescent="0.2">
      <c r="AA109" s="1">
        <v>2005</v>
      </c>
      <c r="AB109" s="1048"/>
    </row>
    <row r="110" spans="1:30" ht="12.75" x14ac:dyDescent="0.2">
      <c r="AA110" s="945" t="s">
        <v>813</v>
      </c>
      <c r="AB110" s="1048">
        <f>COUNTA(AD93:AD107)</f>
        <v>4</v>
      </c>
    </row>
    <row r="111" spans="1:30" ht="12.75" x14ac:dyDescent="0.2">
      <c r="AA111" s="945" t="s">
        <v>815</v>
      </c>
      <c r="AB111" s="1048">
        <f>COUNTIF(AD93:AD106,"en término")</f>
        <v>1</v>
      </c>
    </row>
    <row r="112" spans="1:30" ht="12.75" x14ac:dyDescent="0.2">
      <c r="AA112" s="945" t="s">
        <v>817</v>
      </c>
      <c r="AB112" s="557">
        <f>+AB111/AB110</f>
        <v>0.25</v>
      </c>
    </row>
    <row r="113" spans="1:35" ht="12" x14ac:dyDescent="0.2">
      <c r="AA113" s="24"/>
      <c r="AB113" s="201"/>
      <c r="AC113" s="201"/>
    </row>
    <row r="114" spans="1:35" ht="12.75" thickBot="1" x14ac:dyDescent="0.25">
      <c r="AA114" s="24"/>
      <c r="AB114" s="201"/>
      <c r="AC114" s="201"/>
    </row>
    <row r="115" spans="1:35" s="556" customFormat="1" ht="39.950000000000003" customHeight="1" thickBot="1" x14ac:dyDescent="0.4">
      <c r="B115" s="1611">
        <v>2006</v>
      </c>
      <c r="C115" s="1612"/>
      <c r="D115" s="1612"/>
      <c r="E115" s="1612"/>
      <c r="F115" s="1612"/>
      <c r="G115" s="1612"/>
      <c r="H115" s="1612"/>
      <c r="I115" s="1612"/>
      <c r="J115" s="1612"/>
      <c r="K115" s="1612"/>
      <c r="L115" s="1612"/>
      <c r="M115" s="1612"/>
      <c r="N115" s="1612"/>
      <c r="O115" s="1612"/>
      <c r="P115" s="1612"/>
      <c r="Q115" s="1612"/>
      <c r="R115" s="1612"/>
      <c r="S115" s="1612"/>
      <c r="T115" s="1612"/>
      <c r="U115" s="1612"/>
      <c r="V115" s="1612"/>
      <c r="W115" s="1612"/>
      <c r="X115" s="1612"/>
      <c r="Y115" s="1612"/>
      <c r="Z115" s="1612"/>
      <c r="AA115" s="1612"/>
      <c r="AB115" s="1612"/>
      <c r="AC115" s="1613"/>
      <c r="AD115" s="555"/>
    </row>
    <row r="116" spans="1:35" s="441" customFormat="1" ht="60" customHeight="1" thickBot="1" x14ac:dyDescent="0.25">
      <c r="A116" s="438"/>
      <c r="B116" s="451" t="s">
        <v>130</v>
      </c>
      <c r="C116" s="451" t="s">
        <v>4</v>
      </c>
      <c r="D116" s="451" t="s">
        <v>5</v>
      </c>
      <c r="E116" s="451" t="s">
        <v>6</v>
      </c>
      <c r="F116" s="451" t="s">
        <v>7</v>
      </c>
      <c r="G116" s="451" t="s">
        <v>8</v>
      </c>
      <c r="H116" s="453" t="s">
        <v>9</v>
      </c>
      <c r="I116" s="453" t="s">
        <v>10</v>
      </c>
      <c r="J116" s="451" t="s">
        <v>11</v>
      </c>
      <c r="K116" s="451" t="s">
        <v>12</v>
      </c>
      <c r="L116" s="451" t="s">
        <v>13</v>
      </c>
      <c r="M116" s="451" t="s">
        <v>14</v>
      </c>
      <c r="N116" s="451" t="s">
        <v>15</v>
      </c>
      <c r="O116" s="452" t="s">
        <v>16</v>
      </c>
      <c r="P116" s="454" t="s">
        <v>17</v>
      </c>
      <c r="Q116" s="451" t="s">
        <v>18</v>
      </c>
      <c r="R116" s="452" t="s">
        <v>19</v>
      </c>
      <c r="S116" s="451" t="s">
        <v>20</v>
      </c>
      <c r="T116" s="451" t="s">
        <v>21</v>
      </c>
      <c r="U116" s="452" t="s">
        <v>22</v>
      </c>
      <c r="V116" s="451" t="s">
        <v>131</v>
      </c>
      <c r="W116" s="451" t="s">
        <v>24</v>
      </c>
      <c r="X116" s="451" t="s">
        <v>132</v>
      </c>
      <c r="Y116" s="451" t="s">
        <v>26</v>
      </c>
      <c r="Z116" s="451" t="s">
        <v>27</v>
      </c>
      <c r="AA116" s="451" t="s">
        <v>28</v>
      </c>
      <c r="AB116" s="451" t="s">
        <v>29</v>
      </c>
      <c r="AC116" s="451" t="s">
        <v>30</v>
      </c>
      <c r="AD116" s="439"/>
      <c r="AE116" s="440"/>
      <c r="AF116" s="440"/>
      <c r="AG116" s="440"/>
      <c r="AH116" s="440"/>
      <c r="AI116" s="440"/>
    </row>
    <row r="117" spans="1:35" s="9" customFormat="1" x14ac:dyDescent="0.2">
      <c r="A117" s="328"/>
      <c r="B117" s="16"/>
      <c r="C117" s="16"/>
      <c r="D117" s="7"/>
      <c r="E117" s="7"/>
      <c r="F117" s="6"/>
      <c r="G117" s="6"/>
      <c r="H117" s="17"/>
      <c r="I117" s="17"/>
      <c r="J117" s="7"/>
      <c r="K117" s="7"/>
      <c r="L117" s="348"/>
      <c r="M117" s="6"/>
      <c r="N117" s="6"/>
      <c r="O117" s="18"/>
      <c r="P117" s="7"/>
      <c r="Q117" s="7"/>
      <c r="R117" s="7"/>
      <c r="S117" s="7" t="s">
        <v>4942</v>
      </c>
      <c r="T117" s="18"/>
      <c r="U117" s="7"/>
      <c r="V117" s="220"/>
      <c r="W117" s="47"/>
      <c r="X117" s="59"/>
      <c r="Y117" s="177"/>
      <c r="Z117" s="6"/>
      <c r="AA117" s="6"/>
      <c r="AB117" s="6"/>
      <c r="AC117" s="1608" t="s">
        <v>1550</v>
      </c>
      <c r="AD117" s="28"/>
    </row>
    <row r="118" spans="1:35" s="9" customFormat="1" x14ac:dyDescent="0.2">
      <c r="A118" s="328"/>
      <c r="B118" s="16" t="s">
        <v>4832</v>
      </c>
      <c r="C118" s="16" t="s">
        <v>4943</v>
      </c>
      <c r="D118" s="7" t="s">
        <v>4944</v>
      </c>
      <c r="E118" s="7"/>
      <c r="F118" s="340" t="s">
        <v>4945</v>
      </c>
      <c r="G118" s="6" t="s">
        <v>1535</v>
      </c>
      <c r="H118" s="17">
        <v>108400</v>
      </c>
      <c r="I118" s="39" t="s">
        <v>4946</v>
      </c>
      <c r="J118" s="18">
        <v>38841</v>
      </c>
      <c r="K118" s="331">
        <v>60</v>
      </c>
      <c r="L118" s="348">
        <f>+J118+K118</f>
        <v>38901</v>
      </c>
      <c r="M118" s="18" t="s">
        <v>124</v>
      </c>
      <c r="N118" s="6" t="s">
        <v>42</v>
      </c>
      <c r="O118" s="18">
        <v>38895</v>
      </c>
      <c r="P118" s="331">
        <f>IF(S118="","",+S118-L118)</f>
        <v>12</v>
      </c>
      <c r="Q118" s="331"/>
      <c r="R118" s="331"/>
      <c r="S118" s="349">
        <v>38913</v>
      </c>
      <c r="T118" s="18">
        <f>+S118+15</f>
        <v>38928</v>
      </c>
      <c r="U118" s="331">
        <f>IF(T118="","",+T118-J118)</f>
        <v>87</v>
      </c>
      <c r="V118" s="6" t="s">
        <v>4947</v>
      </c>
      <c r="W118" s="47">
        <v>134</v>
      </c>
      <c r="X118" s="59"/>
      <c r="Y118" s="177"/>
      <c r="Z118" s="6">
        <v>6631322191</v>
      </c>
      <c r="AA118" s="7" t="s">
        <v>47</v>
      </c>
      <c r="AB118" s="7" t="s">
        <v>47</v>
      </c>
      <c r="AC118" s="1609"/>
      <c r="AD118" s="10" t="str">
        <f>IF(S118&lt;=L118,"en término","atrasado")</f>
        <v>atrasado</v>
      </c>
    </row>
    <row r="119" spans="1:35" s="9" customFormat="1" ht="12" thickBot="1" x14ac:dyDescent="0.25">
      <c r="A119" s="328"/>
      <c r="B119" s="19"/>
      <c r="C119" s="19"/>
      <c r="D119" s="5"/>
      <c r="E119" s="5"/>
      <c r="F119" s="5"/>
      <c r="G119" s="5"/>
      <c r="H119" s="105"/>
      <c r="I119" s="21" t="s">
        <v>4900</v>
      </c>
      <c r="J119" s="27"/>
      <c r="K119" s="27"/>
      <c r="L119" s="187"/>
      <c r="M119" s="5"/>
      <c r="N119" s="5"/>
      <c r="O119" s="187"/>
      <c r="P119" s="5"/>
      <c r="Q119" s="5"/>
      <c r="R119" s="5"/>
      <c r="S119" s="27"/>
      <c r="T119" s="187"/>
      <c r="U119" s="5"/>
      <c r="V119" s="224"/>
      <c r="W119" s="36"/>
      <c r="X119" s="61"/>
      <c r="Y119" s="182"/>
      <c r="Z119" s="5"/>
      <c r="AA119" s="27">
        <v>38925</v>
      </c>
      <c r="AB119" s="27">
        <v>38985</v>
      </c>
      <c r="AC119" s="1610"/>
      <c r="AD119" s="28"/>
    </row>
    <row r="120" spans="1:35" s="9" customFormat="1" x14ac:dyDescent="0.2">
      <c r="A120" s="328"/>
      <c r="B120" s="11"/>
      <c r="C120" s="11"/>
      <c r="D120" s="91"/>
      <c r="E120" s="91"/>
      <c r="F120" s="12"/>
      <c r="G120" s="12"/>
      <c r="H120" s="13"/>
      <c r="I120" s="13"/>
      <c r="J120" s="91"/>
      <c r="K120" s="91"/>
      <c r="L120" s="403"/>
      <c r="M120" s="12"/>
      <c r="N120" s="12"/>
      <c r="O120" s="189"/>
      <c r="P120" s="91"/>
      <c r="Q120" s="91"/>
      <c r="R120" s="91"/>
      <c r="S120" s="91"/>
      <c r="T120" s="189"/>
      <c r="U120" s="91"/>
      <c r="V120" s="244" t="s">
        <v>4907</v>
      </c>
      <c r="W120" s="34"/>
      <c r="X120" s="57"/>
      <c r="Y120" s="200"/>
      <c r="Z120" s="12"/>
      <c r="AA120" s="12"/>
      <c r="AB120" s="12"/>
      <c r="AC120" s="12"/>
      <c r="AD120" s="330"/>
    </row>
    <row r="121" spans="1:35" s="9" customFormat="1" x14ac:dyDescent="0.2">
      <c r="A121" s="328"/>
      <c r="B121" s="16" t="s">
        <v>4832</v>
      </c>
      <c r="C121" s="16" t="s">
        <v>4918</v>
      </c>
      <c r="D121" s="7" t="s">
        <v>4948</v>
      </c>
      <c r="E121" s="7"/>
      <c r="F121" s="6" t="s">
        <v>4949</v>
      </c>
      <c r="G121" s="6" t="s">
        <v>1535</v>
      </c>
      <c r="H121" s="17">
        <v>980</v>
      </c>
      <c r="I121" s="39" t="s">
        <v>4950</v>
      </c>
      <c r="J121" s="18">
        <v>39008</v>
      </c>
      <c r="K121" s="331">
        <v>15</v>
      </c>
      <c r="L121" s="348">
        <f>+J121+K121</f>
        <v>39023</v>
      </c>
      <c r="M121" s="18" t="s">
        <v>280</v>
      </c>
      <c r="N121" s="6" t="s">
        <v>110</v>
      </c>
      <c r="O121" s="18">
        <v>39022</v>
      </c>
      <c r="P121" s="331">
        <f>IF(S121="","",+S121-L121)</f>
        <v>4</v>
      </c>
      <c r="Q121" s="331"/>
      <c r="R121" s="331"/>
      <c r="S121" s="349">
        <v>39027</v>
      </c>
      <c r="T121" s="18">
        <f>+S121+3</f>
        <v>39030</v>
      </c>
      <c r="U121" s="331">
        <f>IF(T121="","",+T121-J121)</f>
        <v>22</v>
      </c>
      <c r="V121" s="6" t="s">
        <v>4921</v>
      </c>
      <c r="W121" s="47" t="s">
        <v>4951</v>
      </c>
      <c r="X121" s="59"/>
      <c r="Y121" s="177"/>
      <c r="Z121" s="6">
        <v>7786626142</v>
      </c>
      <c r="AA121" s="7" t="s">
        <v>47</v>
      </c>
      <c r="AB121" s="7" t="s">
        <v>47</v>
      </c>
      <c r="AC121" s="7"/>
      <c r="AD121" s="10"/>
    </row>
    <row r="122" spans="1:35" s="9" customFormat="1" ht="12" thickBot="1" x14ac:dyDescent="0.25">
      <c r="A122" s="328"/>
      <c r="B122" s="19"/>
      <c r="C122" s="19"/>
      <c r="D122" s="5"/>
      <c r="E122" s="5"/>
      <c r="F122" s="5"/>
      <c r="G122" s="5"/>
      <c r="H122" s="105"/>
      <c r="I122" s="21"/>
      <c r="J122" s="27"/>
      <c r="K122" s="27"/>
      <c r="L122" s="187"/>
      <c r="M122" s="5"/>
      <c r="N122" s="5"/>
      <c r="O122" s="187"/>
      <c r="P122" s="5"/>
      <c r="Q122" s="5"/>
      <c r="R122" s="5"/>
      <c r="S122" s="27"/>
      <c r="T122" s="187"/>
      <c r="U122" s="5"/>
      <c r="V122" s="224" t="s">
        <v>1102</v>
      </c>
      <c r="W122" s="36"/>
      <c r="X122" s="61"/>
      <c r="Y122" s="182"/>
      <c r="Z122" s="5"/>
      <c r="AA122" s="27"/>
      <c r="AB122" s="27"/>
      <c r="AC122" s="27"/>
      <c r="AD122" s="330"/>
    </row>
    <row r="123" spans="1:35" ht="12" x14ac:dyDescent="0.2">
      <c r="AA123" s="24"/>
      <c r="AB123" s="201"/>
      <c r="AC123" s="201"/>
      <c r="AD123" s="37"/>
    </row>
    <row r="124" spans="1:35" ht="12.75" x14ac:dyDescent="0.2">
      <c r="AA124" s="1">
        <v>2006</v>
      </c>
      <c r="AB124" s="1048"/>
    </row>
    <row r="125" spans="1:35" ht="12.75" x14ac:dyDescent="0.2">
      <c r="AA125" s="945" t="s">
        <v>813</v>
      </c>
      <c r="AB125" s="1048">
        <f>COUNTA(AD117:AD123)</f>
        <v>1</v>
      </c>
    </row>
    <row r="126" spans="1:35" ht="12.75" x14ac:dyDescent="0.2">
      <c r="AA126" s="945" t="s">
        <v>815</v>
      </c>
      <c r="AB126" s="1048">
        <f>COUNTIF(AD117:AD123,"en término")</f>
        <v>0</v>
      </c>
    </row>
    <row r="127" spans="1:35" ht="12.75" x14ac:dyDescent="0.2">
      <c r="AA127" s="945" t="s">
        <v>817</v>
      </c>
      <c r="AB127" s="557">
        <f>+AB126/AB125</f>
        <v>0</v>
      </c>
    </row>
    <row r="128" spans="1:35" ht="12" x14ac:dyDescent="0.2">
      <c r="AA128" s="24"/>
      <c r="AB128" s="201"/>
      <c r="AC128" s="201"/>
    </row>
    <row r="129" spans="1:35" ht="12.75" thickBot="1" x14ac:dyDescent="0.25">
      <c r="AA129" s="24"/>
      <c r="AB129" s="201"/>
      <c r="AC129" s="201"/>
    </row>
    <row r="130" spans="1:35" s="556" customFormat="1" ht="39.950000000000003" customHeight="1" thickBot="1" x14ac:dyDescent="0.4">
      <c r="B130" s="1611">
        <v>2007</v>
      </c>
      <c r="C130" s="1612"/>
      <c r="D130" s="1612"/>
      <c r="E130" s="1612"/>
      <c r="F130" s="1612"/>
      <c r="G130" s="1612"/>
      <c r="H130" s="1612"/>
      <c r="I130" s="1612"/>
      <c r="J130" s="1612"/>
      <c r="K130" s="1612"/>
      <c r="L130" s="1612"/>
      <c r="M130" s="1612"/>
      <c r="N130" s="1612"/>
      <c r="O130" s="1612"/>
      <c r="P130" s="1612"/>
      <c r="Q130" s="1612"/>
      <c r="R130" s="1612"/>
      <c r="S130" s="1612"/>
      <c r="T130" s="1612"/>
      <c r="U130" s="1612"/>
      <c r="V130" s="1612"/>
      <c r="W130" s="1612"/>
      <c r="X130" s="1612"/>
      <c r="Y130" s="1612"/>
      <c r="Z130" s="1612"/>
      <c r="AA130" s="1612"/>
      <c r="AB130" s="1612"/>
      <c r="AC130" s="1613"/>
      <c r="AD130" s="555"/>
    </row>
    <row r="131" spans="1:35" s="441" customFormat="1" ht="60" customHeight="1" thickBot="1" x14ac:dyDescent="0.25">
      <c r="A131" s="438"/>
      <c r="B131" s="451" t="s">
        <v>130</v>
      </c>
      <c r="C131" s="451" t="s">
        <v>4</v>
      </c>
      <c r="D131" s="451" t="s">
        <v>5</v>
      </c>
      <c r="E131" s="451" t="s">
        <v>6</v>
      </c>
      <c r="F131" s="451" t="s">
        <v>7</v>
      </c>
      <c r="G131" s="451" t="s">
        <v>8</v>
      </c>
      <c r="H131" s="453" t="s">
        <v>9</v>
      </c>
      <c r="I131" s="453" t="s">
        <v>10</v>
      </c>
      <c r="J131" s="451" t="s">
        <v>11</v>
      </c>
      <c r="K131" s="451" t="s">
        <v>12</v>
      </c>
      <c r="L131" s="451" t="s">
        <v>13</v>
      </c>
      <c r="M131" s="451" t="s">
        <v>14</v>
      </c>
      <c r="N131" s="451" t="s">
        <v>15</v>
      </c>
      <c r="O131" s="452" t="s">
        <v>16</v>
      </c>
      <c r="P131" s="454" t="s">
        <v>17</v>
      </c>
      <c r="Q131" s="451" t="s">
        <v>18</v>
      </c>
      <c r="R131" s="452" t="s">
        <v>19</v>
      </c>
      <c r="S131" s="451" t="s">
        <v>20</v>
      </c>
      <c r="T131" s="451" t="s">
        <v>21</v>
      </c>
      <c r="U131" s="452" t="s">
        <v>22</v>
      </c>
      <c r="V131" s="451" t="s">
        <v>131</v>
      </c>
      <c r="W131" s="451" t="s">
        <v>24</v>
      </c>
      <c r="X131" s="451" t="s">
        <v>132</v>
      </c>
      <c r="Y131" s="451" t="s">
        <v>26</v>
      </c>
      <c r="Z131" s="451" t="s">
        <v>27</v>
      </c>
      <c r="AA131" s="451" t="s">
        <v>28</v>
      </c>
      <c r="AB131" s="451" t="s">
        <v>29</v>
      </c>
      <c r="AC131" s="451" t="s">
        <v>30</v>
      </c>
      <c r="AD131" s="439"/>
      <c r="AE131" s="440"/>
      <c r="AF131" s="440"/>
      <c r="AG131" s="440"/>
      <c r="AH131" s="440"/>
      <c r="AI131" s="440"/>
    </row>
    <row r="132" spans="1:35" s="9" customFormat="1" ht="54.95" customHeight="1" thickBot="1" x14ac:dyDescent="0.25">
      <c r="A132" s="328"/>
      <c r="B132" s="455" t="s">
        <v>4832</v>
      </c>
      <c r="C132" s="455" t="s">
        <v>4910</v>
      </c>
      <c r="D132" s="456" t="s">
        <v>4952</v>
      </c>
      <c r="E132" s="456"/>
      <c r="F132" s="457" t="s">
        <v>4953</v>
      </c>
      <c r="G132" s="457" t="s">
        <v>39</v>
      </c>
      <c r="H132" s="458">
        <v>36690</v>
      </c>
      <c r="I132" s="459" t="s">
        <v>4900</v>
      </c>
      <c r="J132" s="460">
        <v>39043</v>
      </c>
      <c r="K132" s="461">
        <v>64</v>
      </c>
      <c r="L132" s="462">
        <f t="shared" ref="L132:L137" si="0">+J132+K132</f>
        <v>39107</v>
      </c>
      <c r="M132" s="460" t="s">
        <v>124</v>
      </c>
      <c r="N132" s="457" t="s">
        <v>42</v>
      </c>
      <c r="O132" s="460">
        <v>39094</v>
      </c>
      <c r="P132" s="461">
        <f t="shared" ref="P132:P137" si="1">IF(S132="","",+S132-L132)</f>
        <v>-3</v>
      </c>
      <c r="Q132" s="461"/>
      <c r="R132" s="463">
        <v>39100</v>
      </c>
      <c r="S132" s="464">
        <v>39104</v>
      </c>
      <c r="T132" s="463">
        <f>+S132+20</f>
        <v>39124</v>
      </c>
      <c r="U132" s="461">
        <f t="shared" ref="U132:U137" si="2">IF(T132="","",+T132-J132)</f>
        <v>81</v>
      </c>
      <c r="V132" s="457" t="s">
        <v>4954</v>
      </c>
      <c r="W132" s="466">
        <v>189</v>
      </c>
      <c r="X132" s="467"/>
      <c r="Y132" s="465"/>
      <c r="Z132" s="457">
        <v>6619840124</v>
      </c>
      <c r="AA132" s="457" t="s">
        <v>4955</v>
      </c>
      <c r="AB132" s="460" t="s">
        <v>4956</v>
      </c>
      <c r="AC132" s="460"/>
      <c r="AD132" s="10" t="str">
        <f>IF(S132&lt;=L132,"en término","atrasado")</f>
        <v>en término</v>
      </c>
    </row>
    <row r="133" spans="1:35" s="9" customFormat="1" ht="54.95" customHeight="1" thickBot="1" x14ac:dyDescent="0.25">
      <c r="A133" s="328"/>
      <c r="B133" s="455" t="s">
        <v>4832</v>
      </c>
      <c r="C133" s="455" t="s">
        <v>4910</v>
      </c>
      <c r="D133" s="456" t="s">
        <v>4957</v>
      </c>
      <c r="E133" s="456"/>
      <c r="F133" s="457" t="s">
        <v>4958</v>
      </c>
      <c r="G133" s="457" t="s">
        <v>39</v>
      </c>
      <c r="H133" s="458">
        <v>9620</v>
      </c>
      <c r="I133" s="459" t="s">
        <v>4900</v>
      </c>
      <c r="J133" s="460">
        <v>39045</v>
      </c>
      <c r="K133" s="461">
        <v>62</v>
      </c>
      <c r="L133" s="462">
        <f t="shared" si="0"/>
        <v>39107</v>
      </c>
      <c r="M133" s="460" t="s">
        <v>124</v>
      </c>
      <c r="N133" s="457" t="s">
        <v>42</v>
      </c>
      <c r="O133" s="460">
        <v>39094</v>
      </c>
      <c r="P133" s="461">
        <f t="shared" si="1"/>
        <v>-3</v>
      </c>
      <c r="Q133" s="461"/>
      <c r="R133" s="463">
        <v>39100</v>
      </c>
      <c r="S133" s="464">
        <v>39104</v>
      </c>
      <c r="T133" s="463">
        <f>+S133+20</f>
        <v>39124</v>
      </c>
      <c r="U133" s="461">
        <f t="shared" si="2"/>
        <v>79</v>
      </c>
      <c r="V133" s="457" t="s">
        <v>2683</v>
      </c>
      <c r="W133" s="466">
        <v>188</v>
      </c>
      <c r="X133" s="467"/>
      <c r="Y133" s="465"/>
      <c r="Z133" s="457">
        <v>6619840124</v>
      </c>
      <c r="AA133" s="457" t="s">
        <v>4955</v>
      </c>
      <c r="AB133" s="460" t="s">
        <v>4956</v>
      </c>
      <c r="AC133" s="460"/>
      <c r="AD133" s="10" t="str">
        <f>IF(S133&lt;=L133,"en término","atrasado")</f>
        <v>en término</v>
      </c>
    </row>
    <row r="134" spans="1:35" s="587" customFormat="1" ht="54.95" customHeight="1" thickBot="1" x14ac:dyDescent="0.25">
      <c r="A134" s="584"/>
      <c r="B134" s="585" t="s">
        <v>4832</v>
      </c>
      <c r="C134" s="455" t="s">
        <v>4918</v>
      </c>
      <c r="D134" s="456" t="s">
        <v>4959</v>
      </c>
      <c r="E134" s="456"/>
      <c r="F134" s="457" t="s">
        <v>4960</v>
      </c>
      <c r="G134" s="457" t="s">
        <v>532</v>
      </c>
      <c r="H134" s="458">
        <v>1075</v>
      </c>
      <c r="I134" s="459" t="s">
        <v>4900</v>
      </c>
      <c r="J134" s="460">
        <v>39288</v>
      </c>
      <c r="K134" s="461">
        <v>35</v>
      </c>
      <c r="L134" s="462">
        <f t="shared" si="0"/>
        <v>39323</v>
      </c>
      <c r="M134" s="460" t="s">
        <v>124</v>
      </c>
      <c r="N134" s="457" t="s">
        <v>110</v>
      </c>
      <c r="O134" s="460">
        <v>39301</v>
      </c>
      <c r="P134" s="461">
        <f t="shared" si="1"/>
        <v>-6</v>
      </c>
      <c r="Q134" s="461"/>
      <c r="R134" s="588"/>
      <c r="S134" s="471">
        <v>39317</v>
      </c>
      <c r="T134" s="460">
        <f>+S134+5</f>
        <v>39322</v>
      </c>
      <c r="U134" s="461">
        <f t="shared" si="2"/>
        <v>34</v>
      </c>
      <c r="V134" s="468" t="s">
        <v>4961</v>
      </c>
      <c r="W134" s="457" t="s">
        <v>4962</v>
      </c>
      <c r="X134" s="467"/>
      <c r="Y134" s="467"/>
      <c r="Z134" s="457">
        <v>8153279643</v>
      </c>
      <c r="AA134" s="456" t="s">
        <v>4963</v>
      </c>
      <c r="AB134" s="456" t="s">
        <v>47</v>
      </c>
      <c r="AC134" s="499"/>
      <c r="AD134" s="586"/>
    </row>
    <row r="135" spans="1:35" s="587" customFormat="1" ht="54.95" customHeight="1" thickBot="1" x14ac:dyDescent="0.25">
      <c r="A135" s="584"/>
      <c r="B135" s="585" t="s">
        <v>4832</v>
      </c>
      <c r="C135" s="455" t="s">
        <v>4846</v>
      </c>
      <c r="D135" s="456" t="s">
        <v>4964</v>
      </c>
      <c r="E135" s="456"/>
      <c r="F135" s="457" t="s">
        <v>4965</v>
      </c>
      <c r="G135" s="457" t="s">
        <v>532</v>
      </c>
      <c r="H135" s="458">
        <v>6387.4</v>
      </c>
      <c r="I135" s="459" t="s">
        <v>4900</v>
      </c>
      <c r="J135" s="460">
        <v>39304</v>
      </c>
      <c r="K135" s="461">
        <v>35</v>
      </c>
      <c r="L135" s="462">
        <f t="shared" si="0"/>
        <v>39339</v>
      </c>
      <c r="M135" s="460" t="s">
        <v>124</v>
      </c>
      <c r="N135" s="457" t="s">
        <v>42</v>
      </c>
      <c r="O135" s="460">
        <v>39329</v>
      </c>
      <c r="P135" s="461">
        <f t="shared" si="1"/>
        <v>-3</v>
      </c>
      <c r="Q135" s="461"/>
      <c r="R135" s="460">
        <v>39332</v>
      </c>
      <c r="S135" s="471">
        <v>39336</v>
      </c>
      <c r="T135" s="460">
        <v>39346</v>
      </c>
      <c r="U135" s="461">
        <f t="shared" si="2"/>
        <v>42</v>
      </c>
      <c r="V135" s="468" t="s">
        <v>4966</v>
      </c>
      <c r="W135" s="457">
        <v>248</v>
      </c>
      <c r="X135" s="467"/>
      <c r="Y135" s="467"/>
      <c r="Z135" s="457">
        <v>6651418233</v>
      </c>
      <c r="AA135" s="456">
        <v>39380</v>
      </c>
      <c r="AB135" s="456" t="s">
        <v>4967</v>
      </c>
      <c r="AC135" s="499"/>
      <c r="AD135" s="10" t="str">
        <f>IF(S135&lt;=L135,"en término","atrasado")</f>
        <v>en término</v>
      </c>
      <c r="AE135" s="412"/>
    </row>
    <row r="136" spans="1:35" s="587" customFormat="1" ht="54.95" customHeight="1" thickBot="1" x14ac:dyDescent="0.25">
      <c r="A136" s="584"/>
      <c r="B136" s="585" t="s">
        <v>4832</v>
      </c>
      <c r="C136" s="455" t="s">
        <v>4846</v>
      </c>
      <c r="D136" s="456" t="s">
        <v>4964</v>
      </c>
      <c r="E136" s="456"/>
      <c r="F136" s="457" t="s">
        <v>4968</v>
      </c>
      <c r="G136" s="457" t="s">
        <v>532</v>
      </c>
      <c r="H136" s="458">
        <v>2184</v>
      </c>
      <c r="I136" s="459" t="s">
        <v>4900</v>
      </c>
      <c r="J136" s="460">
        <v>39304</v>
      </c>
      <c r="K136" s="461">
        <v>35</v>
      </c>
      <c r="L136" s="462">
        <f t="shared" si="0"/>
        <v>39339</v>
      </c>
      <c r="M136" s="460" t="s">
        <v>124</v>
      </c>
      <c r="N136" s="457" t="s">
        <v>110</v>
      </c>
      <c r="O136" s="460">
        <v>39335</v>
      </c>
      <c r="P136" s="461">
        <f t="shared" si="1"/>
        <v>-1</v>
      </c>
      <c r="Q136" s="461"/>
      <c r="R136" s="588"/>
      <c r="S136" s="471">
        <v>39338</v>
      </c>
      <c r="T136" s="460">
        <v>39341</v>
      </c>
      <c r="U136" s="461">
        <f t="shared" si="2"/>
        <v>37</v>
      </c>
      <c r="V136" s="468" t="s">
        <v>4969</v>
      </c>
      <c r="W136" s="457" t="s">
        <v>4970</v>
      </c>
      <c r="X136" s="467"/>
      <c r="Y136" s="467"/>
      <c r="Z136" s="457"/>
      <c r="AA136" s="456" t="s">
        <v>1683</v>
      </c>
      <c r="AB136" s="456" t="s">
        <v>2685</v>
      </c>
      <c r="AC136" s="499"/>
      <c r="AD136" s="586"/>
    </row>
    <row r="137" spans="1:35" s="587" customFormat="1" ht="54.95" customHeight="1" thickBot="1" x14ac:dyDescent="0.25">
      <c r="A137" s="584"/>
      <c r="B137" s="585" t="s">
        <v>4832</v>
      </c>
      <c r="C137" s="455" t="s">
        <v>4918</v>
      </c>
      <c r="D137" s="456" t="s">
        <v>4971</v>
      </c>
      <c r="E137" s="456"/>
      <c r="F137" s="457" t="s">
        <v>4972</v>
      </c>
      <c r="G137" s="457" t="s">
        <v>1535</v>
      </c>
      <c r="H137" s="458">
        <v>1210</v>
      </c>
      <c r="I137" s="459" t="s">
        <v>4900</v>
      </c>
      <c r="J137" s="460">
        <v>39444</v>
      </c>
      <c r="K137" s="461">
        <v>45</v>
      </c>
      <c r="L137" s="462">
        <f t="shared" si="0"/>
        <v>39489</v>
      </c>
      <c r="M137" s="460" t="s">
        <v>280</v>
      </c>
      <c r="N137" s="457" t="s">
        <v>465</v>
      </c>
      <c r="O137" s="460"/>
      <c r="P137" s="461">
        <f t="shared" si="1"/>
        <v>-27</v>
      </c>
      <c r="Q137" s="591" t="s">
        <v>465</v>
      </c>
      <c r="R137" s="460"/>
      <c r="S137" s="471">
        <v>39462</v>
      </c>
      <c r="T137" s="460">
        <f>+S137+2</f>
        <v>39464</v>
      </c>
      <c r="U137" s="461">
        <f t="shared" si="2"/>
        <v>20</v>
      </c>
      <c r="V137" s="468" t="s">
        <v>4973</v>
      </c>
      <c r="W137" s="457" t="s">
        <v>4974</v>
      </c>
      <c r="X137" s="592"/>
      <c r="Y137" s="592"/>
      <c r="Z137" s="457" t="s">
        <v>1676</v>
      </c>
      <c r="AA137" s="456" t="s">
        <v>4975</v>
      </c>
      <c r="AB137" s="460" t="s">
        <v>4537</v>
      </c>
      <c r="AC137" s="499"/>
      <c r="AD137" s="586"/>
    </row>
    <row r="138" spans="1:35" s="9" customFormat="1" x14ac:dyDescent="0.2">
      <c r="A138" s="28"/>
      <c r="B138" s="28"/>
      <c r="C138" s="28"/>
      <c r="D138" s="30"/>
      <c r="E138" s="30"/>
      <c r="F138" s="30"/>
      <c r="G138" s="30"/>
      <c r="H138" s="217"/>
      <c r="I138" s="31"/>
      <c r="J138" s="48"/>
      <c r="K138" s="48"/>
      <c r="L138" s="364"/>
      <c r="M138" s="30"/>
      <c r="N138" s="30"/>
      <c r="O138" s="364"/>
      <c r="P138" s="30"/>
      <c r="Q138" s="30"/>
      <c r="R138" s="30"/>
      <c r="S138" s="30"/>
      <c r="T138" s="364"/>
      <c r="U138" s="30"/>
      <c r="V138" s="226"/>
      <c r="W138" s="30"/>
      <c r="X138" s="30"/>
      <c r="Y138" s="30"/>
      <c r="Z138" s="30"/>
      <c r="AA138" s="48"/>
      <c r="AB138" s="48"/>
      <c r="AC138" s="48"/>
      <c r="AD138" s="28"/>
    </row>
    <row r="139" spans="1:35" ht="12.75" x14ac:dyDescent="0.2">
      <c r="AA139" s="1">
        <v>2007</v>
      </c>
      <c r="AB139" s="1048"/>
    </row>
    <row r="140" spans="1:35" ht="12.75" x14ac:dyDescent="0.2">
      <c r="AA140" s="945" t="s">
        <v>813</v>
      </c>
      <c r="AB140" s="1048">
        <f>COUNTA(AD132:AD138)</f>
        <v>3</v>
      </c>
    </row>
    <row r="141" spans="1:35" ht="12.75" x14ac:dyDescent="0.2">
      <c r="AA141" s="945" t="s">
        <v>815</v>
      </c>
      <c r="AB141" s="1048">
        <f>COUNTIF(AD132:AD138,"en término")</f>
        <v>3</v>
      </c>
    </row>
    <row r="142" spans="1:35" ht="12.75" x14ac:dyDescent="0.2">
      <c r="AA142" s="945" t="s">
        <v>817</v>
      </c>
      <c r="AB142" s="557">
        <f>+AB141/AB140</f>
        <v>1</v>
      </c>
    </row>
    <row r="143" spans="1:35" ht="13.5" thickBot="1" x14ac:dyDescent="0.25">
      <c r="AA143" s="945"/>
      <c r="AB143" s="557"/>
    </row>
    <row r="144" spans="1:35" s="556" customFormat="1" ht="39.950000000000003" customHeight="1" thickBot="1" x14ac:dyDescent="0.4">
      <c r="B144" s="1611">
        <v>2008</v>
      </c>
      <c r="C144" s="1612"/>
      <c r="D144" s="1612"/>
      <c r="E144" s="1612"/>
      <c r="F144" s="1612"/>
      <c r="G144" s="1612"/>
      <c r="H144" s="1612"/>
      <c r="I144" s="1612"/>
      <c r="J144" s="1612"/>
      <c r="K144" s="1612"/>
      <c r="L144" s="1612"/>
      <c r="M144" s="1612"/>
      <c r="N144" s="1612"/>
      <c r="O144" s="1612"/>
      <c r="P144" s="1612"/>
      <c r="Q144" s="1612"/>
      <c r="R144" s="1612"/>
      <c r="S144" s="1612"/>
      <c r="T144" s="1612"/>
      <c r="U144" s="1612"/>
      <c r="V144" s="1612"/>
      <c r="W144" s="1612"/>
      <c r="X144" s="1612"/>
      <c r="Y144" s="1612"/>
      <c r="Z144" s="1612"/>
      <c r="AA144" s="1612"/>
      <c r="AB144" s="1612"/>
      <c r="AC144" s="1613"/>
      <c r="AD144" s="555"/>
    </row>
    <row r="145" spans="1:35" s="441" customFormat="1" ht="60" customHeight="1" thickBot="1" x14ac:dyDescent="0.25">
      <c r="A145" s="438"/>
      <c r="B145" s="451" t="s">
        <v>130</v>
      </c>
      <c r="C145" s="451" t="s">
        <v>4</v>
      </c>
      <c r="D145" s="451" t="s">
        <v>5</v>
      </c>
      <c r="E145" s="451" t="s">
        <v>6</v>
      </c>
      <c r="F145" s="451" t="s">
        <v>7</v>
      </c>
      <c r="G145" s="451" t="s">
        <v>8</v>
      </c>
      <c r="H145" s="453" t="s">
        <v>9</v>
      </c>
      <c r="I145" s="453" t="s">
        <v>10</v>
      </c>
      <c r="J145" s="451" t="s">
        <v>11</v>
      </c>
      <c r="K145" s="451" t="s">
        <v>12</v>
      </c>
      <c r="L145" s="451" t="s">
        <v>13</v>
      </c>
      <c r="M145" s="451" t="s">
        <v>14</v>
      </c>
      <c r="N145" s="451" t="s">
        <v>15</v>
      </c>
      <c r="O145" s="452" t="s">
        <v>16</v>
      </c>
      <c r="P145" s="454" t="s">
        <v>17</v>
      </c>
      <c r="Q145" s="451" t="s">
        <v>18</v>
      </c>
      <c r="R145" s="452" t="s">
        <v>19</v>
      </c>
      <c r="S145" s="451" t="s">
        <v>20</v>
      </c>
      <c r="T145" s="451" t="s">
        <v>21</v>
      </c>
      <c r="U145" s="452" t="s">
        <v>22</v>
      </c>
      <c r="V145" s="451" t="s">
        <v>131</v>
      </c>
      <c r="W145" s="451" t="s">
        <v>24</v>
      </c>
      <c r="X145" s="451" t="s">
        <v>132</v>
      </c>
      <c r="Y145" s="451" t="s">
        <v>26</v>
      </c>
      <c r="Z145" s="451" t="s">
        <v>27</v>
      </c>
      <c r="AA145" s="451" t="s">
        <v>28</v>
      </c>
      <c r="AB145" s="451" t="s">
        <v>29</v>
      </c>
      <c r="AC145" s="451" t="s">
        <v>30</v>
      </c>
      <c r="AD145" s="439"/>
      <c r="AE145" s="440"/>
      <c r="AF145" s="440"/>
      <c r="AG145" s="440"/>
      <c r="AH145" s="440"/>
      <c r="AI145" s="440"/>
    </row>
    <row r="146" spans="1:35" s="587" customFormat="1" ht="54.95" customHeight="1" thickBot="1" x14ac:dyDescent="0.25">
      <c r="A146" s="584"/>
      <c r="B146" s="585" t="s">
        <v>4832</v>
      </c>
      <c r="C146" s="455" t="s">
        <v>4846</v>
      </c>
      <c r="D146" s="456" t="s">
        <v>4976</v>
      </c>
      <c r="E146" s="456"/>
      <c r="F146" s="457" t="s">
        <v>4977</v>
      </c>
      <c r="G146" s="457" t="s">
        <v>1535</v>
      </c>
      <c r="H146" s="458">
        <v>18236.099999999999</v>
      </c>
      <c r="I146" s="611" t="s">
        <v>4900</v>
      </c>
      <c r="J146" s="460">
        <v>39520</v>
      </c>
      <c r="K146" s="461">
        <v>60</v>
      </c>
      <c r="L146" s="462">
        <f t="shared" ref="L146:L152" si="3">+J146+K146</f>
        <v>39580</v>
      </c>
      <c r="M146" s="611" t="s">
        <v>124</v>
      </c>
      <c r="N146" s="468" t="s">
        <v>42</v>
      </c>
      <c r="O146" s="460">
        <v>39563</v>
      </c>
      <c r="P146" s="461">
        <f t="shared" ref="P146:P152" si="4">IF(S146="","",+S146-L146)</f>
        <v>-3</v>
      </c>
      <c r="Q146" s="461" t="s">
        <v>4978</v>
      </c>
      <c r="R146" s="460"/>
      <c r="S146" s="471">
        <v>39577</v>
      </c>
      <c r="T146" s="471">
        <v>39589</v>
      </c>
      <c r="U146" s="461"/>
      <c r="V146" s="468" t="s">
        <v>4979</v>
      </c>
      <c r="W146" s="457">
        <v>315</v>
      </c>
      <c r="X146" s="592"/>
      <c r="Y146" s="467"/>
      <c r="Z146" s="457">
        <v>6510425692</v>
      </c>
      <c r="AA146" s="501" t="s">
        <v>4980</v>
      </c>
      <c r="AB146" s="460" t="s">
        <v>2931</v>
      </c>
      <c r="AC146" s="470"/>
      <c r="AD146" s="412" t="str">
        <f t="shared" ref="AD146:AD151" si="5">IF(P146="","",IF(P146&lt;=0,"en término","atrasado"))</f>
        <v>en término</v>
      </c>
      <c r="AE146" s="412"/>
    </row>
    <row r="147" spans="1:35" s="587" customFormat="1" ht="54.95" customHeight="1" thickBot="1" x14ac:dyDescent="0.25">
      <c r="A147" s="584"/>
      <c r="B147" s="585" t="s">
        <v>4832</v>
      </c>
      <c r="C147" s="455" t="s">
        <v>4981</v>
      </c>
      <c r="D147" s="456" t="s">
        <v>4982</v>
      </c>
      <c r="E147" s="456"/>
      <c r="F147" s="457">
        <v>573</v>
      </c>
      <c r="G147" s="457" t="s">
        <v>1535</v>
      </c>
      <c r="H147" s="458">
        <v>2882</v>
      </c>
      <c r="I147" s="611" t="s">
        <v>4900</v>
      </c>
      <c r="J147" s="460">
        <v>39526</v>
      </c>
      <c r="K147" s="461">
        <v>40</v>
      </c>
      <c r="L147" s="462">
        <f t="shared" si="3"/>
        <v>39566</v>
      </c>
      <c r="M147" s="611" t="s">
        <v>124</v>
      </c>
      <c r="N147" s="468" t="s">
        <v>110</v>
      </c>
      <c r="O147" s="460">
        <v>39583</v>
      </c>
      <c r="P147" s="461">
        <f t="shared" si="4"/>
        <v>22</v>
      </c>
      <c r="Q147" s="461"/>
      <c r="R147" s="460"/>
      <c r="S147" s="471">
        <v>39588</v>
      </c>
      <c r="T147" s="471">
        <f>+S147+20</f>
        <v>39608</v>
      </c>
      <c r="U147" s="461"/>
      <c r="V147" s="468" t="s">
        <v>4983</v>
      </c>
      <c r="W147" s="457" t="s">
        <v>4984</v>
      </c>
      <c r="X147" s="592"/>
      <c r="Y147" s="467"/>
      <c r="Z147" s="457" t="s">
        <v>1676</v>
      </c>
      <c r="AA147" s="456" t="s">
        <v>4985</v>
      </c>
      <c r="AB147" s="460" t="s">
        <v>4986</v>
      </c>
      <c r="AC147" s="470" t="s">
        <v>4987</v>
      </c>
      <c r="AD147" s="412"/>
      <c r="AE147" s="412"/>
    </row>
    <row r="148" spans="1:35" s="587" customFormat="1" ht="54.95" customHeight="1" thickBot="1" x14ac:dyDescent="0.25">
      <c r="A148" s="584"/>
      <c r="B148" s="585" t="s">
        <v>4832</v>
      </c>
      <c r="C148" s="455" t="s">
        <v>4981</v>
      </c>
      <c r="D148" s="456" t="s">
        <v>4982</v>
      </c>
      <c r="E148" s="456"/>
      <c r="F148" s="457">
        <v>563</v>
      </c>
      <c r="G148" s="457" t="s">
        <v>1535</v>
      </c>
      <c r="H148" s="458">
        <v>33048.71</v>
      </c>
      <c r="I148" s="611" t="s">
        <v>4900</v>
      </c>
      <c r="J148" s="460">
        <v>39552</v>
      </c>
      <c r="K148" s="461">
        <v>60</v>
      </c>
      <c r="L148" s="462">
        <f t="shared" si="3"/>
        <v>39612</v>
      </c>
      <c r="M148" s="611" t="s">
        <v>124</v>
      </c>
      <c r="N148" s="468" t="s">
        <v>42</v>
      </c>
      <c r="O148" s="460">
        <v>39594</v>
      </c>
      <c r="P148" s="461">
        <f t="shared" si="4"/>
        <v>1</v>
      </c>
      <c r="Q148" s="461" t="s">
        <v>4988</v>
      </c>
      <c r="R148" s="460">
        <v>39601</v>
      </c>
      <c r="S148" s="471">
        <v>39613</v>
      </c>
      <c r="T148" s="471">
        <v>39629</v>
      </c>
      <c r="U148" s="461"/>
      <c r="V148" s="468" t="s">
        <v>4989</v>
      </c>
      <c r="W148" s="457">
        <v>321</v>
      </c>
      <c r="X148" s="592"/>
      <c r="Y148" s="467"/>
      <c r="Z148" s="457">
        <v>6510425526</v>
      </c>
      <c r="AA148" s="456" t="s">
        <v>47</v>
      </c>
      <c r="AB148" s="460" t="s">
        <v>4990</v>
      </c>
      <c r="AC148" s="470" t="s">
        <v>4991</v>
      </c>
      <c r="AD148" s="412" t="str">
        <f t="shared" si="5"/>
        <v>atrasado</v>
      </c>
      <c r="AE148" s="412"/>
    </row>
    <row r="149" spans="1:35" s="587" customFormat="1" ht="54.95" customHeight="1" thickBot="1" x14ac:dyDescent="0.25">
      <c r="A149" s="584"/>
      <c r="B149" s="585" t="s">
        <v>4832</v>
      </c>
      <c r="C149" s="455" t="s">
        <v>4918</v>
      </c>
      <c r="D149" s="456" t="s">
        <v>4992</v>
      </c>
      <c r="E149" s="456"/>
      <c r="F149" s="457" t="s">
        <v>4993</v>
      </c>
      <c r="G149" s="457" t="s">
        <v>1535</v>
      </c>
      <c r="H149" s="458">
        <v>1135</v>
      </c>
      <c r="I149" s="611" t="s">
        <v>4994</v>
      </c>
      <c r="J149" s="460">
        <v>39636</v>
      </c>
      <c r="K149" s="461">
        <v>42</v>
      </c>
      <c r="L149" s="462">
        <f t="shared" si="3"/>
        <v>39678</v>
      </c>
      <c r="M149" s="611" t="s">
        <v>124</v>
      </c>
      <c r="N149" s="468" t="s">
        <v>656</v>
      </c>
      <c r="O149" s="460"/>
      <c r="P149" s="461">
        <f t="shared" si="4"/>
        <v>-11</v>
      </c>
      <c r="Q149" s="461"/>
      <c r="R149" s="460"/>
      <c r="S149" s="471">
        <v>39667</v>
      </c>
      <c r="T149" s="471">
        <f>+S149+5</f>
        <v>39672</v>
      </c>
      <c r="U149" s="461">
        <f>IF(T149="","",+T149-J149)</f>
        <v>36</v>
      </c>
      <c r="V149" s="468" t="s">
        <v>4995</v>
      </c>
      <c r="W149" s="457" t="s">
        <v>4996</v>
      </c>
      <c r="X149" s="592"/>
      <c r="Y149" s="467"/>
      <c r="Z149" s="468" t="s">
        <v>4997</v>
      </c>
      <c r="AA149" s="456" t="s">
        <v>4998</v>
      </c>
      <c r="AB149" s="460" t="s">
        <v>47</v>
      </c>
      <c r="AC149" s="470"/>
      <c r="AD149" s="412"/>
      <c r="AE149" s="412"/>
    </row>
    <row r="150" spans="1:35" s="587" customFormat="1" ht="54.95" customHeight="1" thickBot="1" x14ac:dyDescent="0.25">
      <c r="A150" s="584"/>
      <c r="B150" s="585" t="s">
        <v>4832</v>
      </c>
      <c r="C150" s="455" t="s">
        <v>4910</v>
      </c>
      <c r="D150" s="456" t="s">
        <v>4999</v>
      </c>
      <c r="E150" s="456"/>
      <c r="F150" s="457" t="s">
        <v>5000</v>
      </c>
      <c r="G150" s="457" t="s">
        <v>1535</v>
      </c>
      <c r="H150" s="458">
        <v>2660</v>
      </c>
      <c r="I150" s="611" t="s">
        <v>4994</v>
      </c>
      <c r="J150" s="460">
        <v>39645</v>
      </c>
      <c r="K150" s="461">
        <v>19</v>
      </c>
      <c r="L150" s="462">
        <f t="shared" si="3"/>
        <v>39664</v>
      </c>
      <c r="M150" s="611" t="s">
        <v>124</v>
      </c>
      <c r="N150" s="468" t="s">
        <v>1750</v>
      </c>
      <c r="O150" s="460">
        <v>39654</v>
      </c>
      <c r="P150" s="461">
        <f t="shared" si="4"/>
        <v>15</v>
      </c>
      <c r="Q150" s="461" t="s">
        <v>5001</v>
      </c>
      <c r="R150" s="460">
        <v>39666</v>
      </c>
      <c r="S150" s="471">
        <v>39679</v>
      </c>
      <c r="T150" s="471">
        <f>+S150+12</f>
        <v>39691</v>
      </c>
      <c r="U150" s="461">
        <f>IF(T150="","",+T150-J150)</f>
        <v>46</v>
      </c>
      <c r="V150" s="468" t="s">
        <v>5002</v>
      </c>
      <c r="W150" s="457">
        <v>344</v>
      </c>
      <c r="X150" s="592"/>
      <c r="Y150" s="467"/>
      <c r="Z150" s="457">
        <v>6507661090</v>
      </c>
      <c r="AA150" s="456" t="s">
        <v>47</v>
      </c>
      <c r="AB150" s="460" t="s">
        <v>2248</v>
      </c>
      <c r="AC150" s="470" t="s">
        <v>5003</v>
      </c>
      <c r="AD150" s="412" t="str">
        <f t="shared" si="5"/>
        <v>atrasado</v>
      </c>
      <c r="AE150" s="412"/>
    </row>
    <row r="151" spans="1:35" s="587" customFormat="1" ht="54.95" customHeight="1" thickBot="1" x14ac:dyDescent="0.25">
      <c r="A151" s="584"/>
      <c r="B151" s="1042" t="s">
        <v>4832</v>
      </c>
      <c r="C151" s="1043" t="s">
        <v>4910</v>
      </c>
      <c r="D151" s="1044" t="s">
        <v>5004</v>
      </c>
      <c r="E151" s="1044"/>
      <c r="F151" s="1028" t="s">
        <v>5005</v>
      </c>
      <c r="G151" s="1028" t="s">
        <v>1535</v>
      </c>
      <c r="H151" s="1029">
        <v>66700</v>
      </c>
      <c r="I151" s="640" t="s">
        <v>4994</v>
      </c>
      <c r="J151" s="1032">
        <v>39688</v>
      </c>
      <c r="K151" s="1041">
        <v>53</v>
      </c>
      <c r="L151" s="641">
        <f t="shared" si="3"/>
        <v>39741</v>
      </c>
      <c r="M151" s="640" t="s">
        <v>124</v>
      </c>
      <c r="N151" s="446" t="s">
        <v>1750</v>
      </c>
      <c r="O151" s="1032">
        <v>39724</v>
      </c>
      <c r="P151" s="1041">
        <f t="shared" si="4"/>
        <v>24</v>
      </c>
      <c r="Q151" s="1041" t="s">
        <v>5006</v>
      </c>
      <c r="R151" s="1032">
        <v>39730</v>
      </c>
      <c r="S151" s="642">
        <v>39765</v>
      </c>
      <c r="T151" s="641">
        <f>+S151+20</f>
        <v>39785</v>
      </c>
      <c r="U151" s="461">
        <f>IF(T151="","",+T151-J151)</f>
        <v>97</v>
      </c>
      <c r="V151" s="446" t="s">
        <v>5007</v>
      </c>
      <c r="W151" s="1028">
        <v>358</v>
      </c>
      <c r="X151" s="1037"/>
      <c r="Y151" s="643"/>
      <c r="Z151" s="1028">
        <v>6682704383</v>
      </c>
      <c r="AA151" s="1044"/>
      <c r="AB151" s="1032" t="s">
        <v>2852</v>
      </c>
      <c r="AC151" s="644" t="s">
        <v>5008</v>
      </c>
      <c r="AD151" s="412" t="str">
        <f t="shared" si="5"/>
        <v>atrasado</v>
      </c>
      <c r="AE151" s="412"/>
    </row>
    <row r="152" spans="1:35" s="587" customFormat="1" ht="54.95" customHeight="1" thickBot="1" x14ac:dyDescent="0.25">
      <c r="A152" s="584"/>
      <c r="B152" s="455" t="s">
        <v>4832</v>
      </c>
      <c r="C152" s="455" t="s">
        <v>4910</v>
      </c>
      <c r="D152" s="456" t="s">
        <v>5009</v>
      </c>
      <c r="E152" s="456"/>
      <c r="F152" s="457" t="s">
        <v>5010</v>
      </c>
      <c r="G152" s="457" t="s">
        <v>1535</v>
      </c>
      <c r="H152" s="458">
        <v>17362</v>
      </c>
      <c r="I152" s="611" t="s">
        <v>4994</v>
      </c>
      <c r="J152" s="460">
        <v>39700</v>
      </c>
      <c r="K152" s="461">
        <v>41</v>
      </c>
      <c r="L152" s="462">
        <f t="shared" si="3"/>
        <v>39741</v>
      </c>
      <c r="M152" s="611" t="s">
        <v>124</v>
      </c>
      <c r="N152" s="468" t="s">
        <v>1750</v>
      </c>
      <c r="O152" s="460">
        <v>39724</v>
      </c>
      <c r="P152" s="461">
        <f t="shared" si="4"/>
        <v>24</v>
      </c>
      <c r="Q152" s="461" t="s">
        <v>5006</v>
      </c>
      <c r="R152" s="460">
        <v>39730</v>
      </c>
      <c r="S152" s="471">
        <v>39765</v>
      </c>
      <c r="T152" s="462">
        <f>+S152+20</f>
        <v>39785</v>
      </c>
      <c r="U152" s="461">
        <f>IF(T152="","",+T152-J152)</f>
        <v>85</v>
      </c>
      <c r="V152" s="468" t="s">
        <v>5011</v>
      </c>
      <c r="W152" s="457">
        <v>359</v>
      </c>
      <c r="X152" s="592"/>
      <c r="Y152" s="467"/>
      <c r="Z152" s="457">
        <v>6682704383</v>
      </c>
      <c r="AA152" s="456"/>
      <c r="AB152" s="460" t="s">
        <v>2852</v>
      </c>
      <c r="AC152" s="470" t="s">
        <v>5012</v>
      </c>
      <c r="AD152" s="412" t="str">
        <f>IF(P152="","",IF(P152&lt;=0,"en término","atrasado"))</f>
        <v>atrasado</v>
      </c>
      <c r="AE152" s="412"/>
    </row>
    <row r="153" spans="1:35" ht="12" x14ac:dyDescent="0.2">
      <c r="AA153" s="24"/>
      <c r="AB153" s="201"/>
      <c r="AC153" s="201"/>
    </row>
    <row r="154" spans="1:35" ht="12" x14ac:dyDescent="0.2">
      <c r="AA154" s="24"/>
      <c r="AB154" s="201"/>
      <c r="AC154" s="201"/>
    </row>
    <row r="155" spans="1:35" ht="12" x14ac:dyDescent="0.2">
      <c r="AA155" s="24"/>
      <c r="AB155" s="201"/>
      <c r="AC155" s="201"/>
    </row>
    <row r="156" spans="1:35" ht="12.75" x14ac:dyDescent="0.2">
      <c r="AA156" s="1">
        <v>2008</v>
      </c>
      <c r="AB156" s="1048"/>
      <c r="AC156" s="201"/>
    </row>
    <row r="157" spans="1:35" ht="12.75" x14ac:dyDescent="0.2">
      <c r="AA157" s="945" t="s">
        <v>813</v>
      </c>
      <c r="AB157" s="1048">
        <f>COUNTA(AD142:AD155)</f>
        <v>5</v>
      </c>
      <c r="AC157" s="201"/>
    </row>
    <row r="158" spans="1:35" ht="12.75" x14ac:dyDescent="0.2">
      <c r="AA158" s="945" t="s">
        <v>815</v>
      </c>
      <c r="AB158" s="1048">
        <f>COUNTIF(AD142:AD155,"en término")</f>
        <v>1</v>
      </c>
      <c r="AC158" s="201"/>
    </row>
    <row r="159" spans="1:35" ht="12.75" x14ac:dyDescent="0.2">
      <c r="AA159" s="945" t="s">
        <v>817</v>
      </c>
      <c r="AB159" s="557">
        <f>+AB158/AB157</f>
        <v>0.2</v>
      </c>
      <c r="AC159" s="201"/>
    </row>
    <row r="160" spans="1:35" ht="12" x14ac:dyDescent="0.2">
      <c r="AA160" s="24"/>
      <c r="AB160" s="201"/>
      <c r="AC160" s="201"/>
    </row>
    <row r="161" spans="1:37" ht="12.75" thickBot="1" x14ac:dyDescent="0.25">
      <c r="AA161" s="24"/>
      <c r="AB161" s="201"/>
      <c r="AC161" s="201"/>
    </row>
    <row r="162" spans="1:37" s="556" customFormat="1" ht="39.950000000000003" customHeight="1" thickBot="1" x14ac:dyDescent="0.4">
      <c r="B162" s="1611">
        <v>2009</v>
      </c>
      <c r="C162" s="1612"/>
      <c r="D162" s="1612"/>
      <c r="E162" s="1612"/>
      <c r="F162" s="1612"/>
      <c r="G162" s="1612"/>
      <c r="H162" s="1612"/>
      <c r="I162" s="1612"/>
      <c r="J162" s="1612"/>
      <c r="K162" s="1612"/>
      <c r="L162" s="1612"/>
      <c r="M162" s="1612"/>
      <c r="N162" s="1612"/>
      <c r="O162" s="1612"/>
      <c r="P162" s="1612"/>
      <c r="Q162" s="1612"/>
      <c r="R162" s="1612"/>
      <c r="S162" s="1612"/>
      <c r="T162" s="1612"/>
      <c r="U162" s="1612"/>
      <c r="V162" s="1612"/>
      <c r="W162" s="1612"/>
      <c r="X162" s="1612"/>
      <c r="Y162" s="1612"/>
      <c r="Z162" s="1612"/>
      <c r="AA162" s="1612"/>
      <c r="AB162" s="1612"/>
      <c r="AC162" s="1613"/>
      <c r="AD162" s="560"/>
    </row>
    <row r="163" spans="1:37" s="441" customFormat="1" ht="60" customHeight="1" thickBot="1" x14ac:dyDescent="0.25">
      <c r="A163" s="438"/>
      <c r="B163" s="451" t="s">
        <v>130</v>
      </c>
      <c r="C163" s="451" t="s">
        <v>4</v>
      </c>
      <c r="D163" s="451" t="s">
        <v>5</v>
      </c>
      <c r="E163" s="451" t="s">
        <v>6</v>
      </c>
      <c r="F163" s="451" t="s">
        <v>7</v>
      </c>
      <c r="G163" s="451" t="s">
        <v>8</v>
      </c>
      <c r="H163" s="453" t="s">
        <v>9</v>
      </c>
      <c r="I163" s="453" t="s">
        <v>10</v>
      </c>
      <c r="J163" s="451" t="s">
        <v>11</v>
      </c>
      <c r="K163" s="451" t="s">
        <v>12</v>
      </c>
      <c r="L163" s="451" t="s">
        <v>13</v>
      </c>
      <c r="M163" s="451" t="s">
        <v>14</v>
      </c>
      <c r="N163" s="451" t="s">
        <v>15</v>
      </c>
      <c r="O163" s="452" t="s">
        <v>16</v>
      </c>
      <c r="P163" s="454" t="s">
        <v>17</v>
      </c>
      <c r="Q163" s="451" t="s">
        <v>18</v>
      </c>
      <c r="R163" s="452" t="s">
        <v>19</v>
      </c>
      <c r="S163" s="451" t="s">
        <v>20</v>
      </c>
      <c r="T163" s="451" t="s">
        <v>21</v>
      </c>
      <c r="U163" s="452" t="s">
        <v>22</v>
      </c>
      <c r="V163" s="451" t="s">
        <v>131</v>
      </c>
      <c r="W163" s="451" t="s">
        <v>24</v>
      </c>
      <c r="X163" s="451" t="s">
        <v>132</v>
      </c>
      <c r="Y163" s="451" t="s">
        <v>26</v>
      </c>
      <c r="Z163" s="451" t="s">
        <v>27</v>
      </c>
      <c r="AA163" s="451" t="s">
        <v>28</v>
      </c>
      <c r="AB163" s="451" t="s">
        <v>29</v>
      </c>
      <c r="AC163" s="451" t="s">
        <v>30</v>
      </c>
      <c r="AD163" s="439"/>
      <c r="AE163" s="440"/>
      <c r="AF163" s="440"/>
      <c r="AG163" s="440"/>
      <c r="AH163" s="440"/>
      <c r="AI163" s="440"/>
      <c r="AJ163" s="440"/>
      <c r="AK163" s="440"/>
    </row>
    <row r="164" spans="1:37" s="587" customFormat="1" ht="54.95" customHeight="1" thickBot="1" x14ac:dyDescent="0.25">
      <c r="A164" s="584"/>
      <c r="B164" s="455" t="s">
        <v>4832</v>
      </c>
      <c r="C164" s="455" t="s">
        <v>4918</v>
      </c>
      <c r="D164" s="456" t="s">
        <v>5013</v>
      </c>
      <c r="E164" s="456"/>
      <c r="F164" s="457" t="s">
        <v>5014</v>
      </c>
      <c r="G164" s="457" t="s">
        <v>1535</v>
      </c>
      <c r="H164" s="458">
        <v>1180</v>
      </c>
      <c r="I164" s="611" t="s">
        <v>4900</v>
      </c>
      <c r="J164" s="460">
        <v>39850</v>
      </c>
      <c r="K164" s="461">
        <v>42</v>
      </c>
      <c r="L164" s="462">
        <f>+J164+K164</f>
        <v>39892</v>
      </c>
      <c r="M164" s="611" t="s">
        <v>124</v>
      </c>
      <c r="N164" s="468" t="s">
        <v>110</v>
      </c>
      <c r="O164" s="460">
        <v>39888</v>
      </c>
      <c r="P164" s="461">
        <f>IF(S164="","",+S164-L164)</f>
        <v>-2</v>
      </c>
      <c r="Q164" s="461" t="s">
        <v>465</v>
      </c>
      <c r="R164" s="460"/>
      <c r="S164" s="471">
        <v>39890</v>
      </c>
      <c r="T164" s="471">
        <f>+S164+5</f>
        <v>39895</v>
      </c>
      <c r="U164" s="461">
        <f>IF(T164="","",+T164-J164)</f>
        <v>45</v>
      </c>
      <c r="V164" s="468" t="s">
        <v>5015</v>
      </c>
      <c r="W164" s="457" t="s">
        <v>5016</v>
      </c>
      <c r="X164" s="467"/>
      <c r="Y164" s="467"/>
      <c r="Z164" s="457" t="s">
        <v>1676</v>
      </c>
      <c r="AA164" s="456" t="s">
        <v>47</v>
      </c>
      <c r="AB164" s="456" t="s">
        <v>1639</v>
      </c>
      <c r="AC164" s="470"/>
      <c r="AD164" s="645" t="str">
        <f>IF(P164="","",IF(P164&lt;=0,"en término","atrasado"))</f>
        <v>en término</v>
      </c>
    </row>
    <row r="165" spans="1:37" s="587" customFormat="1" ht="54.95" customHeight="1" thickBot="1" x14ac:dyDescent="0.25">
      <c r="A165" s="584"/>
      <c r="B165" s="455" t="s">
        <v>4832</v>
      </c>
      <c r="C165" s="455" t="s">
        <v>5017</v>
      </c>
      <c r="D165" s="456" t="s">
        <v>5018</v>
      </c>
      <c r="E165" s="456"/>
      <c r="F165" s="457" t="s">
        <v>5019</v>
      </c>
      <c r="G165" s="457" t="s">
        <v>1535</v>
      </c>
      <c r="H165" s="458">
        <v>9750</v>
      </c>
      <c r="I165" s="611" t="s">
        <v>5020</v>
      </c>
      <c r="J165" s="460">
        <v>39819</v>
      </c>
      <c r="K165" s="461">
        <v>15</v>
      </c>
      <c r="L165" s="462">
        <f>+J165+K165</f>
        <v>39834</v>
      </c>
      <c r="M165" s="611" t="s">
        <v>124</v>
      </c>
      <c r="N165" s="468" t="s">
        <v>1750</v>
      </c>
      <c r="O165" s="460">
        <v>39829</v>
      </c>
      <c r="P165" s="461">
        <f>IF(S165="","",+S165-L165)</f>
        <v>16</v>
      </c>
      <c r="Q165" s="461" t="s">
        <v>5001</v>
      </c>
      <c r="R165" s="460">
        <v>39849</v>
      </c>
      <c r="S165" s="471">
        <v>39850</v>
      </c>
      <c r="T165" s="471">
        <v>39863</v>
      </c>
      <c r="U165" s="461">
        <f>IF(T165="","",+T165-J165)</f>
        <v>44</v>
      </c>
      <c r="V165" s="468" t="s">
        <v>5021</v>
      </c>
      <c r="W165" s="457">
        <v>377</v>
      </c>
      <c r="X165" s="467"/>
      <c r="Y165" s="467"/>
      <c r="Z165" s="457" t="s">
        <v>5022</v>
      </c>
      <c r="AA165" s="456" t="s">
        <v>5023</v>
      </c>
      <c r="AB165" s="501" t="s">
        <v>5024</v>
      </c>
      <c r="AC165" s="470"/>
      <c r="AD165" s="645" t="str">
        <f>IF(P165="","",IF(P165&lt;=0,"en término","atrasado"))</f>
        <v>atrasado</v>
      </c>
    </row>
    <row r="166" spans="1:37" s="587" customFormat="1" ht="54.95" customHeight="1" thickBot="1" x14ac:dyDescent="0.25">
      <c r="A166" s="584"/>
      <c r="B166" s="1043" t="s">
        <v>4832</v>
      </c>
      <c r="C166" s="1043" t="s">
        <v>5017</v>
      </c>
      <c r="D166" s="1044" t="s">
        <v>5025</v>
      </c>
      <c r="E166" s="1044"/>
      <c r="F166" s="1028" t="s">
        <v>5026</v>
      </c>
      <c r="G166" s="1028" t="s">
        <v>1535</v>
      </c>
      <c r="H166" s="1029">
        <v>13880</v>
      </c>
      <c r="I166" s="640" t="s">
        <v>5020</v>
      </c>
      <c r="J166" s="1032">
        <v>39819</v>
      </c>
      <c r="K166" s="1041">
        <v>60</v>
      </c>
      <c r="L166" s="641">
        <f>+J166+K166</f>
        <v>39879</v>
      </c>
      <c r="M166" s="640" t="s">
        <v>124</v>
      </c>
      <c r="N166" s="446" t="s">
        <v>1750</v>
      </c>
      <c r="O166" s="1032">
        <v>39875</v>
      </c>
      <c r="P166" s="1041">
        <f>IF(S166="","",+S166-L166)</f>
        <v>20</v>
      </c>
      <c r="Q166" s="1041"/>
      <c r="R166" s="1032">
        <v>39889</v>
      </c>
      <c r="S166" s="642">
        <v>39899</v>
      </c>
      <c r="T166" s="642">
        <f>+S166+15</f>
        <v>39914</v>
      </c>
      <c r="U166" s="1041">
        <f>IF(T166="","",+T166-J166)</f>
        <v>95</v>
      </c>
      <c r="V166" s="446" t="s">
        <v>5027</v>
      </c>
      <c r="W166" s="1028">
        <v>381</v>
      </c>
      <c r="X166" s="643"/>
      <c r="Y166" s="643"/>
      <c r="Z166" s="1028">
        <v>6210425460</v>
      </c>
      <c r="AA166" s="1044" t="s">
        <v>5028</v>
      </c>
      <c r="AB166" s="1039" t="s">
        <v>5029</v>
      </c>
      <c r="AC166" s="644" t="s">
        <v>5030</v>
      </c>
      <c r="AD166" s="645" t="str">
        <f>IF(P166="","",IF(P166&lt;=0,"en término","atrasado"))</f>
        <v>atrasado</v>
      </c>
    </row>
    <row r="167" spans="1:37" s="587" customFormat="1" ht="54.95" customHeight="1" thickBot="1" x14ac:dyDescent="0.25">
      <c r="A167" s="584"/>
      <c r="B167" s="455" t="s">
        <v>4832</v>
      </c>
      <c r="C167" s="455" t="s">
        <v>5017</v>
      </c>
      <c r="D167" s="456" t="s">
        <v>5031</v>
      </c>
      <c r="E167" s="456"/>
      <c r="F167" s="457" t="s">
        <v>5032</v>
      </c>
      <c r="G167" s="457" t="s">
        <v>1535</v>
      </c>
      <c r="H167" s="458">
        <v>5900</v>
      </c>
      <c r="I167" s="611" t="s">
        <v>5020</v>
      </c>
      <c r="J167" s="460">
        <v>39932</v>
      </c>
      <c r="K167" s="461">
        <v>30</v>
      </c>
      <c r="L167" s="462">
        <f>+J167+K167</f>
        <v>39962</v>
      </c>
      <c r="M167" s="611" t="s">
        <v>124</v>
      </c>
      <c r="N167" s="468" t="s">
        <v>1750</v>
      </c>
      <c r="O167" s="460">
        <v>39952</v>
      </c>
      <c r="P167" s="461">
        <f>IF(S167="","",+S167-L167)</f>
        <v>4</v>
      </c>
      <c r="Q167" s="461" t="s">
        <v>5033</v>
      </c>
      <c r="R167" s="460">
        <v>39959</v>
      </c>
      <c r="S167" s="471">
        <v>39966</v>
      </c>
      <c r="T167" s="471">
        <v>39980</v>
      </c>
      <c r="U167" s="461">
        <f>IF(T167="","",+T167-J167)</f>
        <v>48</v>
      </c>
      <c r="V167" s="468" t="s">
        <v>752</v>
      </c>
      <c r="W167" s="457">
        <v>395</v>
      </c>
      <c r="X167" s="467"/>
      <c r="Y167" s="467"/>
      <c r="Z167" s="457">
        <v>9009910560</v>
      </c>
      <c r="AA167" s="456" t="s">
        <v>47</v>
      </c>
      <c r="AB167" s="460" t="s">
        <v>5034</v>
      </c>
      <c r="AC167" s="470"/>
      <c r="AD167" s="645" t="str">
        <f>IF(P167="","",IF(P167&lt;=0,"en término","atrasado"))</f>
        <v>atrasado</v>
      </c>
      <c r="AE167" s="645"/>
    </row>
    <row r="168" spans="1:37" s="587" customFormat="1" ht="18" customHeight="1" x14ac:dyDescent="0.2">
      <c r="A168" s="649"/>
      <c r="B168" s="649"/>
      <c r="C168" s="649"/>
      <c r="D168" s="650"/>
      <c r="E168" s="650"/>
      <c r="F168" s="645"/>
      <c r="G168" s="645"/>
      <c r="H168" s="651"/>
      <c r="I168" s="652"/>
      <c r="J168" s="653"/>
      <c r="K168" s="654"/>
      <c r="L168" s="655"/>
      <c r="M168" s="652"/>
      <c r="N168" s="656"/>
      <c r="O168" s="653"/>
      <c r="P168" s="654"/>
      <c r="Q168" s="654"/>
      <c r="R168" s="653"/>
      <c r="S168" s="657"/>
      <c r="T168" s="657"/>
      <c r="U168" s="654"/>
      <c r="V168" s="656"/>
      <c r="W168" s="645"/>
      <c r="X168" s="645"/>
      <c r="Y168" s="645"/>
      <c r="Z168" s="645"/>
      <c r="AA168" s="650"/>
      <c r="AB168" s="650"/>
      <c r="AC168" s="658"/>
      <c r="AD168" s="645"/>
    </row>
    <row r="169" spans="1:37" s="587" customFormat="1" ht="15" customHeight="1" x14ac:dyDescent="0.2">
      <c r="A169" s="649"/>
      <c r="B169" s="649"/>
      <c r="C169" s="649"/>
      <c r="D169" s="650"/>
      <c r="E169" s="650"/>
      <c r="F169" s="645"/>
      <c r="G169" s="645"/>
      <c r="H169" s="651"/>
      <c r="I169" s="652"/>
      <c r="J169" s="653"/>
      <c r="K169" s="654"/>
      <c r="L169" s="655"/>
      <c r="M169" s="652"/>
      <c r="N169" s="656"/>
      <c r="O169" s="653"/>
      <c r="P169" s="654"/>
      <c r="Q169" s="654"/>
      <c r="R169" s="653"/>
      <c r="S169" s="657"/>
      <c r="T169" s="657"/>
      <c r="U169" s="654"/>
      <c r="V169" s="656"/>
      <c r="W169" s="645"/>
      <c r="X169" s="645"/>
      <c r="Y169" s="645"/>
      <c r="Z169" s="645"/>
      <c r="AA169" s="650"/>
      <c r="AB169" s="650"/>
      <c r="AC169" s="658"/>
      <c r="AD169" s="645"/>
    </row>
    <row r="170" spans="1:37" ht="12.75" x14ac:dyDescent="0.2">
      <c r="AA170" s="1">
        <v>2009</v>
      </c>
      <c r="AB170" s="1048"/>
      <c r="AC170" s="201"/>
    </row>
    <row r="171" spans="1:37" ht="12.75" x14ac:dyDescent="0.2">
      <c r="AA171" s="945" t="s">
        <v>813</v>
      </c>
      <c r="AB171" s="1048">
        <f>COUNTA(AD163:AD167)</f>
        <v>4</v>
      </c>
      <c r="AC171" s="201"/>
    </row>
    <row r="172" spans="1:37" ht="12.75" x14ac:dyDescent="0.2">
      <c r="AA172" s="945" t="s">
        <v>815</v>
      </c>
      <c r="AB172" s="1048">
        <f>COUNTIF(AD164:AD167,"en término")</f>
        <v>1</v>
      </c>
      <c r="AC172" s="201"/>
    </row>
    <row r="173" spans="1:37" ht="12.75" x14ac:dyDescent="0.2">
      <c r="AA173" s="945" t="s">
        <v>817</v>
      </c>
      <c r="AB173" s="557">
        <f>+AB172/AB171</f>
        <v>0.25</v>
      </c>
      <c r="AC173" s="201"/>
    </row>
    <row r="174" spans="1:37" ht="12.75" thickBot="1" x14ac:dyDescent="0.25">
      <c r="AA174" s="24"/>
      <c r="AB174" s="201"/>
      <c r="AC174" s="201"/>
    </row>
    <row r="175" spans="1:37" s="556" customFormat="1" ht="39.950000000000003" customHeight="1" thickBot="1" x14ac:dyDescent="0.4">
      <c r="B175" s="1611">
        <v>2010</v>
      </c>
      <c r="C175" s="1612"/>
      <c r="D175" s="1612"/>
      <c r="E175" s="1612"/>
      <c r="F175" s="1612"/>
      <c r="G175" s="1612"/>
      <c r="H175" s="1612"/>
      <c r="I175" s="1612"/>
      <c r="J175" s="1612"/>
      <c r="K175" s="1612"/>
      <c r="L175" s="1612"/>
      <c r="M175" s="1612"/>
      <c r="N175" s="1612"/>
      <c r="O175" s="1612"/>
      <c r="P175" s="1612"/>
      <c r="Q175" s="1612"/>
      <c r="R175" s="1612"/>
      <c r="S175" s="1612"/>
      <c r="T175" s="1612"/>
      <c r="U175" s="1612"/>
      <c r="V175" s="1612"/>
      <c r="W175" s="1612"/>
      <c r="X175" s="1612"/>
      <c r="Y175" s="1612"/>
      <c r="Z175" s="1612"/>
      <c r="AA175" s="1612"/>
      <c r="AB175" s="1612"/>
      <c r="AC175" s="1613"/>
      <c r="AD175" s="560"/>
    </row>
    <row r="176" spans="1:37" s="441" customFormat="1" ht="60" customHeight="1" thickBot="1" x14ac:dyDescent="0.25">
      <c r="A176" s="438"/>
      <c r="B176" s="451" t="s">
        <v>130</v>
      </c>
      <c r="C176" s="451" t="s">
        <v>4</v>
      </c>
      <c r="D176" s="451" t="s">
        <v>5</v>
      </c>
      <c r="E176" s="451" t="s">
        <v>6</v>
      </c>
      <c r="F176" s="451" t="s">
        <v>7</v>
      </c>
      <c r="G176" s="451" t="s">
        <v>8</v>
      </c>
      <c r="H176" s="453" t="s">
        <v>9</v>
      </c>
      <c r="I176" s="453" t="s">
        <v>10</v>
      </c>
      <c r="J176" s="451" t="s">
        <v>11</v>
      </c>
      <c r="K176" s="451" t="s">
        <v>12</v>
      </c>
      <c r="L176" s="451" t="s">
        <v>13</v>
      </c>
      <c r="M176" s="451" t="s">
        <v>14</v>
      </c>
      <c r="N176" s="451" t="s">
        <v>15</v>
      </c>
      <c r="O176" s="452" t="s">
        <v>16</v>
      </c>
      <c r="P176" s="454" t="s">
        <v>17</v>
      </c>
      <c r="Q176" s="451" t="s">
        <v>18</v>
      </c>
      <c r="R176" s="452" t="s">
        <v>19</v>
      </c>
      <c r="S176" s="451" t="s">
        <v>20</v>
      </c>
      <c r="T176" s="451" t="s">
        <v>21</v>
      </c>
      <c r="U176" s="452" t="s">
        <v>22</v>
      </c>
      <c r="V176" s="451" t="s">
        <v>131</v>
      </c>
      <c r="W176" s="451" t="s">
        <v>24</v>
      </c>
      <c r="X176" s="451" t="s">
        <v>132</v>
      </c>
      <c r="Y176" s="451" t="s">
        <v>26</v>
      </c>
      <c r="Z176" s="451" t="s">
        <v>27</v>
      </c>
      <c r="AA176" s="451" t="s">
        <v>28</v>
      </c>
      <c r="AB176" s="451" t="s">
        <v>29</v>
      </c>
      <c r="AC176" s="451" t="s">
        <v>30</v>
      </c>
      <c r="AD176" s="439"/>
      <c r="AE176" s="440"/>
      <c r="AF176" s="440"/>
      <c r="AG176" s="440"/>
      <c r="AH176" s="440"/>
      <c r="AI176" s="440"/>
      <c r="AJ176" s="440"/>
      <c r="AK176" s="440"/>
    </row>
    <row r="177" spans="1:37" s="587" customFormat="1" ht="54.95" customHeight="1" thickBot="1" x14ac:dyDescent="0.25">
      <c r="A177" s="584"/>
      <c r="B177" s="455" t="s">
        <v>4832</v>
      </c>
      <c r="C177" s="455" t="s">
        <v>5035</v>
      </c>
      <c r="D177" s="456" t="s">
        <v>5036</v>
      </c>
      <c r="E177" s="456"/>
      <c r="F177" s="457" t="s">
        <v>5037</v>
      </c>
      <c r="G177" s="457" t="s">
        <v>39</v>
      </c>
      <c r="H177" s="458">
        <v>71175.3</v>
      </c>
      <c r="I177" s="611" t="s">
        <v>4900</v>
      </c>
      <c r="J177" s="460">
        <v>40236</v>
      </c>
      <c r="K177" s="461">
        <v>60</v>
      </c>
      <c r="L177" s="462">
        <f>+J177+K177</f>
        <v>40296</v>
      </c>
      <c r="M177" s="611" t="s">
        <v>124</v>
      </c>
      <c r="N177" s="468" t="s">
        <v>5038</v>
      </c>
      <c r="O177" s="460">
        <v>40291</v>
      </c>
      <c r="P177" s="461">
        <f>IF(S177="","",+S177-L177)</f>
        <v>-1</v>
      </c>
      <c r="Q177" s="461"/>
      <c r="R177" s="460">
        <v>40294</v>
      </c>
      <c r="S177" s="471">
        <v>40295</v>
      </c>
      <c r="T177" s="471">
        <v>40304</v>
      </c>
      <c r="U177" s="461">
        <f>IF(T177="","",+T177-J177)</f>
        <v>68</v>
      </c>
      <c r="V177" s="468" t="s">
        <v>5039</v>
      </c>
      <c r="W177" s="493" t="s">
        <v>2449</v>
      </c>
      <c r="X177" s="467"/>
      <c r="Y177" s="467"/>
      <c r="Z177" s="468">
        <v>2192839106</v>
      </c>
      <c r="AA177" s="456" t="s">
        <v>47</v>
      </c>
      <c r="AB177" s="460" t="s">
        <v>2995</v>
      </c>
      <c r="AC177" s="470" t="s">
        <v>5040</v>
      </c>
      <c r="AD177" s="645" t="str">
        <f>IF(P177="","",IF(P177&lt;=0,"en término","atrasado"))</f>
        <v>en término</v>
      </c>
    </row>
    <row r="178" spans="1:37" s="587" customFormat="1" ht="54.95" customHeight="1" thickBot="1" x14ac:dyDescent="0.25">
      <c r="A178" s="584"/>
      <c r="B178" s="1043" t="s">
        <v>4832</v>
      </c>
      <c r="C178" s="1043" t="s">
        <v>4918</v>
      </c>
      <c r="D178" s="1044" t="s">
        <v>5041</v>
      </c>
      <c r="E178" s="1044"/>
      <c r="F178" s="1028" t="s">
        <v>5042</v>
      </c>
      <c r="G178" s="1028" t="s">
        <v>39</v>
      </c>
      <c r="H178" s="1029">
        <v>2290</v>
      </c>
      <c r="I178" s="640" t="s">
        <v>4900</v>
      </c>
      <c r="J178" s="1032">
        <v>40380</v>
      </c>
      <c r="K178" s="1041">
        <v>21</v>
      </c>
      <c r="L178" s="641">
        <f>+J178+K178</f>
        <v>40401</v>
      </c>
      <c r="M178" s="640" t="s">
        <v>280</v>
      </c>
      <c r="N178" s="446" t="s">
        <v>110</v>
      </c>
      <c r="O178" s="1032">
        <v>40420</v>
      </c>
      <c r="P178" s="1041">
        <f>IF(S178="","",+S178-L178)</f>
        <v>65</v>
      </c>
      <c r="Q178" s="1041" t="s">
        <v>465</v>
      </c>
      <c r="R178" s="1032"/>
      <c r="S178" s="642">
        <v>40466</v>
      </c>
      <c r="T178" s="642">
        <v>40471</v>
      </c>
      <c r="U178" s="1041">
        <f>IF(T178="","",+T178-J178)</f>
        <v>91</v>
      </c>
      <c r="V178" s="446" t="s">
        <v>5043</v>
      </c>
      <c r="W178" s="1028" t="s">
        <v>5044</v>
      </c>
      <c r="X178" s="643"/>
      <c r="Y178" s="643"/>
      <c r="Z178" s="446" t="s">
        <v>1676</v>
      </c>
      <c r="AA178" s="1044" t="s">
        <v>47</v>
      </c>
      <c r="AB178" s="1032" t="str">
        <f ca="1">IF(S178="","",IF('o.c.'!$Z$1&lt;(S178+60),(S178+60),"VENCIDA"))</f>
        <v>VENCIDA</v>
      </c>
      <c r="AC178" s="644"/>
      <c r="AD178" s="645" t="str">
        <f>IF(P178="","",IF(P178&lt;=0,"en término","atrasado"))</f>
        <v>atrasado</v>
      </c>
    </row>
    <row r="179" spans="1:37" s="587" customFormat="1" ht="54.95" customHeight="1" thickBot="1" x14ac:dyDescent="0.25">
      <c r="A179" s="584"/>
      <c r="B179" s="455" t="s">
        <v>4832</v>
      </c>
      <c r="C179" s="455" t="s">
        <v>5045</v>
      </c>
      <c r="D179" s="456" t="s">
        <v>5046</v>
      </c>
      <c r="E179" s="456"/>
      <c r="F179" s="457" t="s">
        <v>5047</v>
      </c>
      <c r="G179" s="457" t="s">
        <v>39</v>
      </c>
      <c r="H179" s="458">
        <v>6050</v>
      </c>
      <c r="I179" s="611" t="s">
        <v>4994</v>
      </c>
      <c r="J179" s="460">
        <v>40442</v>
      </c>
      <c r="K179" s="461">
        <v>40</v>
      </c>
      <c r="L179" s="462">
        <f>+J179+K179</f>
        <v>40482</v>
      </c>
      <c r="M179" s="611" t="s">
        <v>124</v>
      </c>
      <c r="N179" s="468" t="s">
        <v>1750</v>
      </c>
      <c r="O179" s="460">
        <v>40477</v>
      </c>
      <c r="P179" s="461">
        <f>IF(S179="","",+S179-L179)</f>
        <v>10</v>
      </c>
      <c r="Q179" s="461"/>
      <c r="R179" s="460">
        <v>40490</v>
      </c>
      <c r="S179" s="471">
        <v>40492</v>
      </c>
      <c r="T179" s="471">
        <f>+S179+9</f>
        <v>40501</v>
      </c>
      <c r="U179" s="461">
        <f>IF(T179="","",+T179-J179)</f>
        <v>59</v>
      </c>
      <c r="V179" s="468" t="s">
        <v>5048</v>
      </c>
      <c r="W179" s="493" t="s">
        <v>2692</v>
      </c>
      <c r="X179" s="467"/>
      <c r="Y179" s="467"/>
      <c r="Z179" s="468">
        <v>3109968326</v>
      </c>
      <c r="AA179" s="456" t="s">
        <v>3729</v>
      </c>
      <c r="AB179" s="460" t="s">
        <v>2879</v>
      </c>
      <c r="AC179" s="470"/>
      <c r="AD179" s="645" t="str">
        <f>IF(P179="","",IF(P179&lt;=0,"en término","atrasado"))</f>
        <v>atrasado</v>
      </c>
    </row>
    <row r="181" spans="1:37" ht="12.75" x14ac:dyDescent="0.2">
      <c r="AA181" s="1">
        <v>2010</v>
      </c>
      <c r="AB181" s="1048"/>
      <c r="AC181" s="201"/>
    </row>
    <row r="182" spans="1:37" ht="12.75" x14ac:dyDescent="0.2">
      <c r="H182" s="223"/>
      <c r="AA182" s="945" t="s">
        <v>813</v>
      </c>
      <c r="AB182" s="1048">
        <f>COUNTA(AD176:AD182)</f>
        <v>3</v>
      </c>
      <c r="AC182" s="201"/>
    </row>
    <row r="183" spans="1:37" ht="12.75" x14ac:dyDescent="0.2">
      <c r="AA183" s="945" t="s">
        <v>815</v>
      </c>
      <c r="AB183" s="1048">
        <f>COUNTIF(AD175:AD180,"en término")</f>
        <v>1</v>
      </c>
      <c r="AC183" s="201"/>
    </row>
    <row r="184" spans="1:37" ht="12.75" x14ac:dyDescent="0.2">
      <c r="AA184" s="945" t="s">
        <v>817</v>
      </c>
      <c r="AB184" s="557">
        <f>+AB183/AB182</f>
        <v>0.33333333333333331</v>
      </c>
      <c r="AC184" s="201"/>
    </row>
    <row r="185" spans="1:37" ht="12" thickBot="1" x14ac:dyDescent="0.25"/>
    <row r="186" spans="1:37" s="556" customFormat="1" ht="39.950000000000003" customHeight="1" thickBot="1" x14ac:dyDescent="0.4">
      <c r="B186" s="1611">
        <v>2011</v>
      </c>
      <c r="C186" s="1612"/>
      <c r="D186" s="1612"/>
      <c r="E186" s="1612"/>
      <c r="F186" s="1612"/>
      <c r="G186" s="1612"/>
      <c r="H186" s="1612"/>
      <c r="I186" s="1612"/>
      <c r="J186" s="1612"/>
      <c r="K186" s="1612"/>
      <c r="L186" s="1612"/>
      <c r="M186" s="1612"/>
      <c r="N186" s="1612"/>
      <c r="O186" s="1612"/>
      <c r="P186" s="1612"/>
      <c r="Q186" s="1612"/>
      <c r="R186" s="1612"/>
      <c r="S186" s="1612"/>
      <c r="T186" s="1612"/>
      <c r="U186" s="1612"/>
      <c r="V186" s="1612"/>
      <c r="W186" s="1612"/>
      <c r="X186" s="1612"/>
      <c r="Y186" s="1612"/>
      <c r="Z186" s="1612"/>
      <c r="AA186" s="1612"/>
      <c r="AB186" s="1612"/>
      <c r="AC186" s="1613"/>
      <c r="AD186" s="560"/>
    </row>
    <row r="187" spans="1:37" s="441" customFormat="1" ht="60" customHeight="1" thickBot="1" x14ac:dyDescent="0.25">
      <c r="A187" s="438"/>
      <c r="B187" s="451" t="s">
        <v>130</v>
      </c>
      <c r="C187" s="451" t="s">
        <v>4</v>
      </c>
      <c r="D187" s="451" t="s">
        <v>5</v>
      </c>
      <c r="E187" s="451" t="s">
        <v>6</v>
      </c>
      <c r="F187" s="451" t="s">
        <v>7</v>
      </c>
      <c r="G187" s="451" t="s">
        <v>8</v>
      </c>
      <c r="H187" s="453" t="s">
        <v>9</v>
      </c>
      <c r="I187" s="453" t="s">
        <v>10</v>
      </c>
      <c r="J187" s="451" t="s">
        <v>11</v>
      </c>
      <c r="K187" s="451" t="s">
        <v>12</v>
      </c>
      <c r="L187" s="451" t="s">
        <v>13</v>
      </c>
      <c r="M187" s="451" t="s">
        <v>14</v>
      </c>
      <c r="N187" s="451" t="s">
        <v>15</v>
      </c>
      <c r="O187" s="452" t="s">
        <v>16</v>
      </c>
      <c r="P187" s="454" t="s">
        <v>17</v>
      </c>
      <c r="Q187" s="451" t="s">
        <v>18</v>
      </c>
      <c r="R187" s="452" t="s">
        <v>19</v>
      </c>
      <c r="S187" s="451" t="s">
        <v>20</v>
      </c>
      <c r="T187" s="451" t="s">
        <v>21</v>
      </c>
      <c r="U187" s="452" t="s">
        <v>22</v>
      </c>
      <c r="V187" s="451" t="s">
        <v>131</v>
      </c>
      <c r="W187" s="451" t="s">
        <v>24</v>
      </c>
      <c r="X187" s="451" t="s">
        <v>132</v>
      </c>
      <c r="Y187" s="451" t="s">
        <v>26</v>
      </c>
      <c r="Z187" s="451" t="s">
        <v>27</v>
      </c>
      <c r="AA187" s="451" t="s">
        <v>28</v>
      </c>
      <c r="AB187" s="451" t="s">
        <v>29</v>
      </c>
      <c r="AC187" s="451" t="s">
        <v>30</v>
      </c>
      <c r="AD187" s="439"/>
      <c r="AE187" s="440"/>
      <c r="AF187" s="440"/>
      <c r="AG187" s="440"/>
      <c r="AH187" s="440"/>
      <c r="AI187" s="440"/>
      <c r="AJ187" s="440"/>
      <c r="AK187" s="440"/>
    </row>
  </sheetData>
  <mergeCells count="14">
    <mergeCell ref="B186:AC186"/>
    <mergeCell ref="B144:AC144"/>
    <mergeCell ref="B130:AC130"/>
    <mergeCell ref="B175:AC175"/>
    <mergeCell ref="B162:AC162"/>
    <mergeCell ref="AC117:AC119"/>
    <mergeCell ref="B115:AC115"/>
    <mergeCell ref="B91:AC91"/>
    <mergeCell ref="B5:AC5"/>
    <mergeCell ref="B14:AC14"/>
    <mergeCell ref="B67:AC67"/>
    <mergeCell ref="B50:AC50"/>
    <mergeCell ref="B38:AC38"/>
    <mergeCell ref="B26:AC26"/>
  </mergeCells>
  <phoneticPr fontId="0" type="noConversion"/>
  <printOptions horizontalCentered="1"/>
  <pageMargins left="0.19685039370078741" right="0.74803149606299213" top="0.31496062992125984" bottom="0.55118110236220474" header="0" footer="0.19685039370078741"/>
  <pageSetup paperSize="5" scale="35" orientation="landscape" horizontalDpi="300" verticalDpi="300" r:id="rId1"/>
  <headerFooter alignWithMargins="0">
    <oddFooter>&amp;LBNDF 3.1085 Rev. _ 3/11/00&amp;CINFORME O/C ENTREGADAS
- &amp;D&amp;RPerú &amp;P de &amp;N</oddFooter>
  </headerFooter>
  <rowBreaks count="1" manualBreakCount="1">
    <brk id="129" min="1" max="2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3"/>
  <dimension ref="A1:AJ14"/>
  <sheetViews>
    <sheetView topLeftCell="F7"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16384" width="11.42578125" style="2"/>
  </cols>
  <sheetData>
    <row r="1" spans="1:36" ht="25.5" x14ac:dyDescent="0.35">
      <c r="B1" s="558" t="s">
        <v>126</v>
      </c>
      <c r="Z1" s="945" t="s">
        <v>127</v>
      </c>
      <c r="AA1" s="1058">
        <f ca="1">TODAY()</f>
        <v>45457</v>
      </c>
      <c r="AB1" s="1058"/>
    </row>
    <row r="2" spans="1:36" ht="23.25" x14ac:dyDescent="0.35">
      <c r="B2" s="559" t="s">
        <v>128</v>
      </c>
    </row>
    <row r="3" spans="1:36" ht="6" customHeight="1" x14ac:dyDescent="0.2"/>
    <row r="4" spans="1:36" ht="12" thickBot="1" x14ac:dyDescent="0.25"/>
    <row r="5" spans="1:36" s="556" customFormat="1" ht="39.950000000000003" customHeight="1" thickBot="1" x14ac:dyDescent="0.4">
      <c r="B5" s="1611">
        <v>2010</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587" customFormat="1" ht="54.95" customHeight="1" thickBot="1" x14ac:dyDescent="0.25">
      <c r="A7" s="584"/>
      <c r="B7" s="455" t="s">
        <v>5049</v>
      </c>
      <c r="C7" s="455" t="s">
        <v>4776</v>
      </c>
      <c r="D7" s="456" t="s">
        <v>5050</v>
      </c>
      <c r="E7" s="456"/>
      <c r="F7" s="457" t="s">
        <v>5051</v>
      </c>
      <c r="G7" s="457" t="s">
        <v>39</v>
      </c>
      <c r="H7" s="458">
        <v>11400</v>
      </c>
      <c r="I7" s="611" t="s">
        <v>5052</v>
      </c>
      <c r="J7" s="460">
        <v>40521</v>
      </c>
      <c r="K7" s="461">
        <f>+L7-J7</f>
        <v>6</v>
      </c>
      <c r="L7" s="462">
        <v>40527</v>
      </c>
      <c r="M7" s="611" t="s">
        <v>124</v>
      </c>
      <c r="N7" s="468" t="s">
        <v>110</v>
      </c>
      <c r="O7" s="460">
        <v>40529</v>
      </c>
      <c r="P7" s="461">
        <f>IF(S7="","",+S7-L7)</f>
        <v>20</v>
      </c>
      <c r="Q7" s="591"/>
      <c r="R7" s="460"/>
      <c r="S7" s="471">
        <v>40547</v>
      </c>
      <c r="T7" s="462">
        <f>+S7+2</f>
        <v>40549</v>
      </c>
      <c r="U7" s="461">
        <f>IF(T7="","",+T7-J7)</f>
        <v>28</v>
      </c>
      <c r="V7" s="468" t="s">
        <v>419</v>
      </c>
      <c r="W7" s="457">
        <v>128</v>
      </c>
      <c r="X7" s="467"/>
      <c r="Y7" s="467"/>
      <c r="Z7" s="468" t="s">
        <v>1676</v>
      </c>
      <c r="AA7" s="456"/>
      <c r="AB7" s="460" t="s">
        <v>2404</v>
      </c>
      <c r="AC7" s="470"/>
      <c r="AD7" s="645" t="str">
        <f>IF(P7="","",IF(P7&lt;=0,"en término","atrasado"))</f>
        <v>atrasado</v>
      </c>
    </row>
    <row r="11" spans="1:36" ht="12" thickBot="1" x14ac:dyDescent="0.25"/>
    <row r="12" spans="1:36" s="556" customFormat="1" ht="39.950000000000003" customHeight="1" thickBot="1" x14ac:dyDescent="0.4">
      <c r="B12" s="1611">
        <v>2011</v>
      </c>
      <c r="C12" s="1612"/>
      <c r="D12" s="1612"/>
      <c r="E12" s="1612"/>
      <c r="F12" s="1612"/>
      <c r="G12" s="1612"/>
      <c r="H12" s="1612"/>
      <c r="I12" s="1612"/>
      <c r="J12" s="1612"/>
      <c r="K12" s="1612"/>
      <c r="L12" s="1612"/>
      <c r="M12" s="1612"/>
      <c r="N12" s="1612"/>
      <c r="O12" s="1612"/>
      <c r="P12" s="1612"/>
      <c r="Q12" s="1612"/>
      <c r="R12" s="1612"/>
      <c r="S12" s="1612"/>
      <c r="T12" s="1612"/>
      <c r="U12" s="1612"/>
      <c r="V12" s="1612"/>
      <c r="W12" s="1612"/>
      <c r="X12" s="1612"/>
      <c r="Y12" s="1612"/>
      <c r="Z12" s="1612"/>
      <c r="AA12" s="1612"/>
      <c r="AB12" s="1612"/>
      <c r="AC12" s="1613"/>
    </row>
    <row r="13" spans="1:36" s="441" customFormat="1" ht="60" customHeight="1" thickBot="1" x14ac:dyDescent="0.25">
      <c r="A13" s="438"/>
      <c r="B13" s="451" t="s">
        <v>130</v>
      </c>
      <c r="C13" s="451" t="s">
        <v>4</v>
      </c>
      <c r="D13" s="451" t="s">
        <v>5</v>
      </c>
      <c r="E13" s="451" t="s">
        <v>6</v>
      </c>
      <c r="F13" s="451" t="s">
        <v>7</v>
      </c>
      <c r="G13" s="451" t="s">
        <v>8</v>
      </c>
      <c r="H13" s="453" t="s">
        <v>9</v>
      </c>
      <c r="I13" s="453" t="s">
        <v>10</v>
      </c>
      <c r="J13" s="451" t="s">
        <v>11</v>
      </c>
      <c r="K13" s="451" t="s">
        <v>12</v>
      </c>
      <c r="L13" s="451" t="s">
        <v>13</v>
      </c>
      <c r="M13" s="451" t="s">
        <v>14</v>
      </c>
      <c r="N13" s="451" t="s">
        <v>15</v>
      </c>
      <c r="O13" s="452" t="s">
        <v>16</v>
      </c>
      <c r="P13" s="454" t="s">
        <v>17</v>
      </c>
      <c r="Q13" s="451" t="s">
        <v>18</v>
      </c>
      <c r="R13" s="452" t="s">
        <v>19</v>
      </c>
      <c r="S13" s="451" t="s">
        <v>20</v>
      </c>
      <c r="T13" s="451" t="s">
        <v>21</v>
      </c>
      <c r="U13" s="452" t="s">
        <v>22</v>
      </c>
      <c r="V13" s="451" t="s">
        <v>131</v>
      </c>
      <c r="W13" s="451" t="s">
        <v>24</v>
      </c>
      <c r="X13" s="451" t="s">
        <v>132</v>
      </c>
      <c r="Y13" s="451" t="s">
        <v>26</v>
      </c>
      <c r="Z13" s="451" t="s">
        <v>27</v>
      </c>
      <c r="AA13" s="451" t="s">
        <v>28</v>
      </c>
      <c r="AB13" s="451" t="s">
        <v>29</v>
      </c>
      <c r="AC13" s="451" t="s">
        <v>30</v>
      </c>
      <c r="AD13" s="439"/>
      <c r="AE13" s="440"/>
      <c r="AF13" s="440"/>
      <c r="AG13" s="440"/>
      <c r="AH13" s="440"/>
      <c r="AI13" s="440"/>
      <c r="AJ13" s="440"/>
    </row>
    <row r="14" spans="1:36" s="587" customFormat="1" ht="54.95" customHeight="1" thickBot="1" x14ac:dyDescent="0.25">
      <c r="A14" s="584"/>
      <c r="B14" s="455" t="s">
        <v>5049</v>
      </c>
      <c r="C14" s="455" t="s">
        <v>5053</v>
      </c>
      <c r="D14" s="456" t="s">
        <v>5054</v>
      </c>
      <c r="E14" s="456"/>
      <c r="F14" s="493" t="s">
        <v>5055</v>
      </c>
      <c r="G14" s="457" t="s">
        <v>39</v>
      </c>
      <c r="H14" s="458">
        <v>5990</v>
      </c>
      <c r="I14" s="611" t="s">
        <v>5052</v>
      </c>
      <c r="J14" s="460">
        <v>40603</v>
      </c>
      <c r="K14" s="461">
        <v>30</v>
      </c>
      <c r="L14" s="462">
        <f>+J14+K14</f>
        <v>40633</v>
      </c>
      <c r="M14" s="611" t="s">
        <v>124</v>
      </c>
      <c r="N14" s="468" t="s">
        <v>5056</v>
      </c>
      <c r="O14" s="460">
        <v>40631</v>
      </c>
      <c r="P14" s="461">
        <f>IF(S14="","",+S14-L14)</f>
        <v>29</v>
      </c>
      <c r="Q14" s="591"/>
      <c r="R14" s="460"/>
      <c r="S14" s="471">
        <v>40662</v>
      </c>
      <c r="T14" s="462">
        <f>+S14+5</f>
        <v>40667</v>
      </c>
      <c r="U14" s="461">
        <f>IF(T14="","",+T14-J14)</f>
        <v>64</v>
      </c>
      <c r="V14" s="468" t="s">
        <v>5057</v>
      </c>
      <c r="W14" s="493" t="s">
        <v>2275</v>
      </c>
      <c r="X14" s="467"/>
      <c r="Y14" s="467"/>
      <c r="Z14" s="468" t="s">
        <v>1676</v>
      </c>
      <c r="AA14" s="456" t="s">
        <v>5058</v>
      </c>
      <c r="AB14" s="460" t="s">
        <v>5059</v>
      </c>
      <c r="AC14" s="470" t="s">
        <v>5060</v>
      </c>
      <c r="AD14" s="645" t="str">
        <f>IF(P14="","",IF(P14&lt;=0,"en término","atrasado"))</f>
        <v>atrasado</v>
      </c>
    </row>
  </sheetData>
  <mergeCells count="2">
    <mergeCell ref="B5:AC5"/>
    <mergeCell ref="B12:AC12"/>
  </mergeCells>
  <phoneticPr fontId="0" type="noConversion"/>
  <printOptions horizontalCentered="1"/>
  <pageMargins left="0.19685039370078741" right="0.35" top="0.19685039370078741" bottom="0.55118110236220474" header="0" footer="0.19685039370078741"/>
  <pageSetup paperSize="5" scale="37" orientation="landscape" r:id="rId1"/>
  <headerFooter alignWithMargins="0">
    <oddFooter>&amp;LBNDF 3.1085 Rev. _ 3/11/00&amp;CINFORME O/C ENTREGADAS
- &amp;D&amp;R&amp;"Tahoma,Normal"&amp;9&amp;A &amp;P de &amp;N</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6"/>
  <dimension ref="A1:AN352"/>
  <sheetViews>
    <sheetView topLeftCell="F343"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30" width="11.42578125" style="2"/>
    <col min="31" max="31" width="17.7109375" style="2" customWidth="1"/>
    <col min="32"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6" customHeight="1" x14ac:dyDescent="0.2"/>
    <row r="5" spans="1:36" ht="13.5" customHeight="1" thickBot="1" x14ac:dyDescent="0.25"/>
    <row r="6" spans="1:36" s="556" customFormat="1" ht="39.950000000000003" customHeight="1" thickBot="1" x14ac:dyDescent="0.4">
      <c r="B6" s="1654">
        <v>1998</v>
      </c>
      <c r="C6" s="1655"/>
      <c r="D6" s="1655"/>
      <c r="E6" s="1655"/>
      <c r="F6" s="1655"/>
      <c r="G6" s="1655"/>
      <c r="H6" s="1655"/>
      <c r="I6" s="1655"/>
      <c r="J6" s="1655"/>
      <c r="K6" s="1655"/>
      <c r="L6" s="1655"/>
      <c r="M6" s="1655"/>
      <c r="N6" s="1655"/>
      <c r="O6" s="1655"/>
      <c r="P6" s="1655"/>
      <c r="Q6" s="1655"/>
      <c r="R6" s="1655"/>
      <c r="S6" s="1655"/>
      <c r="T6" s="1655"/>
      <c r="U6" s="1655"/>
      <c r="V6" s="1655"/>
      <c r="W6" s="1655"/>
      <c r="X6" s="1655"/>
      <c r="Y6" s="1655"/>
      <c r="Z6" s="1655"/>
      <c r="AA6" s="1655"/>
      <c r="AB6" s="1655"/>
      <c r="AC6" s="1656"/>
    </row>
    <row r="7" spans="1:36" s="441" customFormat="1" ht="60" customHeight="1" thickBot="1" x14ac:dyDescent="0.25">
      <c r="A7" s="438"/>
      <c r="B7" s="451" t="s">
        <v>130</v>
      </c>
      <c r="C7" s="451" t="s">
        <v>4</v>
      </c>
      <c r="D7" s="451" t="s">
        <v>5</v>
      </c>
      <c r="E7" s="451" t="s">
        <v>6</v>
      </c>
      <c r="F7" s="451" t="s">
        <v>7</v>
      </c>
      <c r="G7" s="451" t="s">
        <v>8</v>
      </c>
      <c r="H7" s="453" t="s">
        <v>9</v>
      </c>
      <c r="I7" s="453" t="s">
        <v>10</v>
      </c>
      <c r="J7" s="451" t="s">
        <v>11</v>
      </c>
      <c r="K7" s="451" t="s">
        <v>12</v>
      </c>
      <c r="L7" s="451" t="s">
        <v>13</v>
      </c>
      <c r="M7" s="451" t="s">
        <v>14</v>
      </c>
      <c r="N7" s="451" t="s">
        <v>15</v>
      </c>
      <c r="O7" s="452" t="s">
        <v>16</v>
      </c>
      <c r="P7" s="454" t="s">
        <v>17</v>
      </c>
      <c r="Q7" s="451"/>
      <c r="R7" s="452"/>
      <c r="S7" s="451" t="s">
        <v>4659</v>
      </c>
      <c r="T7" s="451" t="s">
        <v>4660</v>
      </c>
      <c r="U7" s="452" t="s">
        <v>22</v>
      </c>
      <c r="V7" s="451" t="s">
        <v>131</v>
      </c>
      <c r="W7" s="451" t="s">
        <v>24</v>
      </c>
      <c r="X7" s="451" t="s">
        <v>132</v>
      </c>
      <c r="Y7" s="451" t="s">
        <v>26</v>
      </c>
      <c r="Z7" s="451" t="s">
        <v>27</v>
      </c>
      <c r="AA7" s="451" t="s">
        <v>28</v>
      </c>
      <c r="AB7" s="451" t="s">
        <v>29</v>
      </c>
      <c r="AC7" s="451" t="s">
        <v>30</v>
      </c>
      <c r="AD7" s="439"/>
      <c r="AE7" s="440"/>
      <c r="AF7" s="440"/>
      <c r="AG7" s="440"/>
      <c r="AH7" s="440"/>
      <c r="AI7" s="440"/>
      <c r="AJ7" s="440"/>
    </row>
    <row r="8" spans="1:36" s="9" customFormat="1" x14ac:dyDescent="0.2">
      <c r="B8" s="314"/>
      <c r="C8" s="11"/>
      <c r="D8" s="12"/>
      <c r="E8" s="12"/>
      <c r="F8" s="12"/>
      <c r="G8" s="12"/>
      <c r="H8" s="13"/>
      <c r="I8" s="14"/>
      <c r="J8" s="12"/>
      <c r="K8" s="12"/>
      <c r="L8" s="15"/>
      <c r="M8" s="12"/>
      <c r="N8" s="12"/>
      <c r="O8" s="12"/>
      <c r="P8" s="12"/>
      <c r="Q8" s="12"/>
      <c r="R8" s="12"/>
      <c r="S8" s="12"/>
      <c r="T8" s="11"/>
      <c r="U8" s="11"/>
      <c r="V8" s="12" t="s">
        <v>5061</v>
      </c>
      <c r="W8" s="12"/>
      <c r="X8" s="57"/>
      <c r="Y8" s="57"/>
      <c r="Z8" s="58"/>
      <c r="AA8" s="34"/>
      <c r="AB8" s="12"/>
      <c r="AC8" s="12"/>
    </row>
    <row r="9" spans="1:36" s="9" customFormat="1" x14ac:dyDescent="0.2">
      <c r="B9" s="312" t="s">
        <v>120</v>
      </c>
      <c r="C9" s="16" t="s">
        <v>121</v>
      </c>
      <c r="D9" s="6"/>
      <c r="E9" s="6"/>
      <c r="F9" s="6" t="s">
        <v>5062</v>
      </c>
      <c r="G9" s="6"/>
      <c r="H9" s="17">
        <v>8574</v>
      </c>
      <c r="I9" s="6"/>
      <c r="J9" s="7">
        <v>35838</v>
      </c>
      <c r="K9" s="7"/>
      <c r="L9" s="23" t="s">
        <v>5063</v>
      </c>
      <c r="M9" s="18" t="s">
        <v>3177</v>
      </c>
      <c r="N9" s="6" t="s">
        <v>42</v>
      </c>
      <c r="O9" s="6"/>
      <c r="P9" s="6"/>
      <c r="Q9" s="6"/>
      <c r="R9" s="6"/>
      <c r="S9" s="7">
        <v>35905</v>
      </c>
      <c r="T9" s="7">
        <v>37369</v>
      </c>
      <c r="U9" s="7"/>
      <c r="V9" s="6" t="s">
        <v>3182</v>
      </c>
      <c r="W9" s="6">
        <v>390</v>
      </c>
      <c r="X9" s="59"/>
      <c r="Y9" s="59"/>
      <c r="Z9" s="60"/>
      <c r="AA9" s="35" t="s">
        <v>195</v>
      </c>
      <c r="AB9" s="6" t="s">
        <v>211</v>
      </c>
      <c r="AC9" s="6"/>
    </row>
    <row r="10" spans="1:36" s="9" customFormat="1" ht="12" thickBot="1" x14ac:dyDescent="0.25">
      <c r="B10" s="313"/>
      <c r="C10" s="19"/>
      <c r="D10" s="5"/>
      <c r="E10" s="5"/>
      <c r="F10" s="5"/>
      <c r="G10" s="5"/>
      <c r="H10" s="20"/>
      <c r="I10" s="21"/>
      <c r="J10" s="5"/>
      <c r="K10" s="5"/>
      <c r="L10" s="22"/>
      <c r="M10" s="5"/>
      <c r="N10" s="5"/>
      <c r="O10" s="5"/>
      <c r="P10" s="5"/>
      <c r="Q10" s="5"/>
      <c r="R10" s="5"/>
      <c r="S10" s="5" t="s">
        <v>3633</v>
      </c>
      <c r="T10" s="5"/>
      <c r="U10" s="5"/>
      <c r="V10" s="5" t="s">
        <v>5064</v>
      </c>
      <c r="W10" s="5"/>
      <c r="X10" s="61"/>
      <c r="Y10" s="61"/>
      <c r="Z10" s="62"/>
      <c r="AA10" s="36" t="s">
        <v>5065</v>
      </c>
      <c r="AB10" s="5"/>
      <c r="AC10" s="5"/>
    </row>
    <row r="11" spans="1:36" ht="12" thickBot="1" x14ac:dyDescent="0.25">
      <c r="W11" s="38"/>
      <c r="X11" s="38"/>
      <c r="Y11" s="38"/>
      <c r="Z11" s="37"/>
      <c r="AB11" s="38"/>
      <c r="AC11" s="38"/>
    </row>
    <row r="12" spans="1:36" s="556" customFormat="1" ht="39.950000000000003" customHeight="1" thickBot="1" x14ac:dyDescent="0.4">
      <c r="B12" s="1654">
        <v>1999</v>
      </c>
      <c r="C12" s="1655"/>
      <c r="D12" s="1655"/>
      <c r="E12" s="1655"/>
      <c r="F12" s="1655"/>
      <c r="G12" s="1655"/>
      <c r="H12" s="1655"/>
      <c r="I12" s="1655"/>
      <c r="J12" s="1655"/>
      <c r="K12" s="1655"/>
      <c r="L12" s="1655"/>
      <c r="M12" s="1655"/>
      <c r="N12" s="1655"/>
      <c r="O12" s="1655"/>
      <c r="P12" s="1655"/>
      <c r="Q12" s="1655"/>
      <c r="R12" s="1655"/>
      <c r="S12" s="1655"/>
      <c r="T12" s="1655"/>
      <c r="U12" s="1655"/>
      <c r="V12" s="1655"/>
      <c r="W12" s="1655"/>
      <c r="X12" s="1655"/>
      <c r="Y12" s="1655"/>
      <c r="Z12" s="1655"/>
      <c r="AA12" s="1655"/>
      <c r="AB12" s="1655"/>
      <c r="AC12" s="1656"/>
    </row>
    <row r="13" spans="1:36" s="9" customFormat="1" ht="22.5" customHeight="1" x14ac:dyDescent="0.35">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c r="AC13" s="284"/>
    </row>
    <row r="14" spans="1:36" ht="12" thickBot="1" x14ac:dyDescent="0.25"/>
    <row r="15" spans="1:36" s="556" customFormat="1" ht="39.950000000000003" customHeight="1" thickBot="1" x14ac:dyDescent="0.4">
      <c r="B15" s="1654">
        <v>2001</v>
      </c>
      <c r="C15" s="1655"/>
      <c r="D15" s="1655"/>
      <c r="E15" s="1655"/>
      <c r="F15" s="1655"/>
      <c r="G15" s="1655"/>
      <c r="H15" s="1655"/>
      <c r="I15" s="1655"/>
      <c r="J15" s="1655"/>
      <c r="K15" s="1655"/>
      <c r="L15" s="1655"/>
      <c r="M15" s="1655"/>
      <c r="N15" s="1655"/>
      <c r="O15" s="1655"/>
      <c r="P15" s="1655"/>
      <c r="Q15" s="1655"/>
      <c r="R15" s="1655"/>
      <c r="S15" s="1655"/>
      <c r="T15" s="1655"/>
      <c r="U15" s="1655"/>
      <c r="V15" s="1655"/>
      <c r="W15" s="1655"/>
      <c r="X15" s="1655"/>
      <c r="Y15" s="1655"/>
      <c r="Z15" s="1655"/>
      <c r="AA15" s="1655"/>
      <c r="AB15" s="1655"/>
      <c r="AC15" s="1656"/>
    </row>
    <row r="18" spans="1:36" ht="12" thickBot="1" x14ac:dyDescent="0.25"/>
    <row r="19" spans="1:36" s="556" customFormat="1" ht="39.950000000000003" customHeight="1" thickBot="1" x14ac:dyDescent="0.4">
      <c r="B19" s="1654">
        <v>2002</v>
      </c>
      <c r="C19" s="1655"/>
      <c r="D19" s="1655"/>
      <c r="E19" s="1655"/>
      <c r="F19" s="1655"/>
      <c r="G19" s="1655"/>
      <c r="H19" s="1655"/>
      <c r="I19" s="1655"/>
      <c r="J19" s="1655"/>
      <c r="K19" s="1655"/>
      <c r="L19" s="1655"/>
      <c r="M19" s="1655"/>
      <c r="N19" s="1655"/>
      <c r="O19" s="1655"/>
      <c r="P19" s="1655"/>
      <c r="Q19" s="1655"/>
      <c r="R19" s="1655"/>
      <c r="S19" s="1655"/>
      <c r="T19" s="1655"/>
      <c r="U19" s="1655"/>
      <c r="V19" s="1655"/>
      <c r="W19" s="1655"/>
      <c r="X19" s="1655"/>
      <c r="Y19" s="1655"/>
      <c r="Z19" s="1655"/>
      <c r="AA19" s="1655"/>
      <c r="AB19" s="1655"/>
      <c r="AC19" s="1656"/>
    </row>
    <row r="20" spans="1:36" s="441" customFormat="1" ht="60" customHeight="1" thickBot="1" x14ac:dyDescent="0.25">
      <c r="A20" s="438"/>
      <c r="B20" s="451" t="s">
        <v>130</v>
      </c>
      <c r="C20" s="451" t="s">
        <v>4</v>
      </c>
      <c r="D20" s="451" t="s">
        <v>5</v>
      </c>
      <c r="E20" s="451" t="s">
        <v>6</v>
      </c>
      <c r="F20" s="451" t="s">
        <v>7</v>
      </c>
      <c r="G20" s="451" t="s">
        <v>8</v>
      </c>
      <c r="H20" s="453" t="s">
        <v>9</v>
      </c>
      <c r="I20" s="453" t="s">
        <v>10</v>
      </c>
      <c r="J20" s="451" t="s">
        <v>11</v>
      </c>
      <c r="K20" s="451" t="s">
        <v>12</v>
      </c>
      <c r="L20" s="451" t="s">
        <v>13</v>
      </c>
      <c r="M20" s="451" t="s">
        <v>14</v>
      </c>
      <c r="N20" s="451" t="s">
        <v>15</v>
      </c>
      <c r="O20" s="452" t="s">
        <v>16</v>
      </c>
      <c r="P20" s="454" t="s">
        <v>17</v>
      </c>
      <c r="Q20" s="451"/>
      <c r="R20" s="452"/>
      <c r="S20" s="451" t="s">
        <v>4659</v>
      </c>
      <c r="T20" s="451" t="s">
        <v>4660</v>
      </c>
      <c r="U20" s="452" t="s">
        <v>22</v>
      </c>
      <c r="V20" s="451" t="s">
        <v>131</v>
      </c>
      <c r="W20" s="451" t="s">
        <v>24</v>
      </c>
      <c r="X20" s="451" t="s">
        <v>132</v>
      </c>
      <c r="Y20" s="451" t="s">
        <v>26</v>
      </c>
      <c r="Z20" s="451" t="s">
        <v>27</v>
      </c>
      <c r="AA20" s="451" t="s">
        <v>28</v>
      </c>
      <c r="AB20" s="451" t="s">
        <v>29</v>
      </c>
      <c r="AC20" s="451" t="s">
        <v>30</v>
      </c>
      <c r="AD20" s="439"/>
      <c r="AE20" s="440"/>
      <c r="AF20" s="440"/>
      <c r="AG20" s="440"/>
      <c r="AH20" s="440"/>
      <c r="AI20" s="440"/>
      <c r="AJ20" s="440"/>
    </row>
    <row r="21" spans="1:36" s="76" customFormat="1" x14ac:dyDescent="0.2">
      <c r="B21" s="314"/>
      <c r="C21" s="11"/>
      <c r="D21" s="12"/>
      <c r="E21" s="12"/>
      <c r="F21" s="12"/>
      <c r="G21" s="12"/>
      <c r="H21" s="504"/>
      <c r="I21" s="14"/>
      <c r="J21" s="12"/>
      <c r="K21" s="12"/>
      <c r="L21" s="15"/>
      <c r="M21" s="12"/>
      <c r="N21" s="12"/>
      <c r="O21" s="12"/>
      <c r="P21" s="12"/>
      <c r="Q21" s="12"/>
      <c r="R21" s="12"/>
      <c r="S21" s="141"/>
      <c r="T21" s="12"/>
      <c r="U21" s="12"/>
      <c r="V21" s="12"/>
      <c r="W21" s="80"/>
      <c r="X21" s="82"/>
      <c r="Y21" s="82"/>
      <c r="Z21" s="80"/>
      <c r="AA21" s="80"/>
      <c r="AB21" s="80"/>
      <c r="AC21" s="80"/>
    </row>
    <row r="22" spans="1:36" s="76" customFormat="1" x14ac:dyDescent="0.2">
      <c r="B22" s="312" t="s">
        <v>120</v>
      </c>
      <c r="C22" s="16" t="s">
        <v>121</v>
      </c>
      <c r="D22" s="6" t="s">
        <v>5066</v>
      </c>
      <c r="E22" s="6"/>
      <c r="F22" s="6">
        <v>10199</v>
      </c>
      <c r="G22" s="6"/>
      <c r="H22" s="17">
        <v>7042</v>
      </c>
      <c r="I22" s="39"/>
      <c r="J22" s="7">
        <v>37371</v>
      </c>
      <c r="K22" s="7"/>
      <c r="L22" s="23">
        <v>37411</v>
      </c>
      <c r="M22" s="18" t="s">
        <v>124</v>
      </c>
      <c r="N22" s="6" t="s">
        <v>42</v>
      </c>
      <c r="O22" s="6"/>
      <c r="P22" s="6"/>
      <c r="Q22" s="6"/>
      <c r="R22" s="6"/>
      <c r="S22" s="23">
        <v>37400</v>
      </c>
      <c r="T22" s="23">
        <v>37410</v>
      </c>
      <c r="U22" s="23"/>
      <c r="V22" s="6" t="s">
        <v>5067</v>
      </c>
      <c r="W22" s="70">
        <v>797</v>
      </c>
      <c r="X22" s="75"/>
      <c r="Y22" s="75"/>
      <c r="Z22" s="6">
        <v>6558379096</v>
      </c>
      <c r="AA22" s="74" t="s">
        <v>195</v>
      </c>
      <c r="AB22" s="70" t="s">
        <v>47</v>
      </c>
      <c r="AC22" s="70"/>
      <c r="AD22" s="10" t="str">
        <f>IF(T22&lt;=L22,"en término","atrasado")</f>
        <v>en término</v>
      </c>
    </row>
    <row r="23" spans="1:36" s="76" customFormat="1" ht="12" thickBot="1" x14ac:dyDescent="0.25">
      <c r="B23" s="313"/>
      <c r="C23" s="19"/>
      <c r="D23" s="5"/>
      <c r="E23" s="5"/>
      <c r="F23" s="5"/>
      <c r="G23" s="5"/>
      <c r="H23" s="105"/>
      <c r="I23" s="21"/>
      <c r="J23" s="5"/>
      <c r="K23" s="5"/>
      <c r="L23" s="127"/>
      <c r="M23" s="5"/>
      <c r="N23" s="5"/>
      <c r="O23" s="5"/>
      <c r="P23" s="5"/>
      <c r="Q23" s="5"/>
      <c r="R23" s="5"/>
      <c r="S23" s="127"/>
      <c r="T23" s="86"/>
      <c r="U23" s="86"/>
      <c r="V23" s="22" t="s">
        <v>5068</v>
      </c>
      <c r="W23" s="87"/>
      <c r="X23" s="90"/>
      <c r="Y23" s="90"/>
      <c r="Z23" s="87"/>
      <c r="AA23" s="87"/>
      <c r="AB23" s="87"/>
      <c r="AC23" s="87"/>
      <c r="AD23" s="10"/>
    </row>
    <row r="24" spans="1:36" s="76" customFormat="1" x14ac:dyDescent="0.2">
      <c r="B24" s="314"/>
      <c r="C24" s="11"/>
      <c r="D24" s="12"/>
      <c r="E24" s="12"/>
      <c r="F24" s="12"/>
      <c r="G24" s="12"/>
      <c r="H24" s="504"/>
      <c r="I24" s="14"/>
      <c r="J24" s="12"/>
      <c r="K24" s="12"/>
      <c r="L24" s="15"/>
      <c r="M24" s="12"/>
      <c r="N24" s="12"/>
      <c r="O24" s="12"/>
      <c r="P24" s="12"/>
      <c r="Q24" s="12"/>
      <c r="R24" s="12"/>
      <c r="S24" s="141"/>
      <c r="T24" s="12"/>
      <c r="U24" s="12"/>
      <c r="V24" s="12"/>
      <c r="W24" s="80"/>
      <c r="X24" s="82"/>
      <c r="Y24" s="82"/>
      <c r="Z24" s="80"/>
      <c r="AA24" s="80"/>
      <c r="AB24" s="80"/>
      <c r="AC24" s="80"/>
      <c r="AD24" s="10"/>
    </row>
    <row r="25" spans="1:36" s="76" customFormat="1" x14ac:dyDescent="0.2">
      <c r="B25" s="312" t="s">
        <v>120</v>
      </c>
      <c r="C25" s="16" t="s">
        <v>121</v>
      </c>
      <c r="D25" s="6" t="s">
        <v>5069</v>
      </c>
      <c r="E25" s="6"/>
      <c r="F25" s="6">
        <v>12031</v>
      </c>
      <c r="G25" s="6"/>
      <c r="H25" s="17">
        <v>22947.64</v>
      </c>
      <c r="I25" s="39"/>
      <c r="J25" s="7">
        <v>37540</v>
      </c>
      <c r="K25" s="7"/>
      <c r="L25" s="23">
        <f>60+J25</f>
        <v>37600</v>
      </c>
      <c r="M25" s="18" t="s">
        <v>124</v>
      </c>
      <c r="N25" s="6" t="s">
        <v>42</v>
      </c>
      <c r="O25" s="6"/>
      <c r="P25" s="6"/>
      <c r="Q25" s="6"/>
      <c r="R25" s="6"/>
      <c r="S25" s="23">
        <v>37582</v>
      </c>
      <c r="T25" s="23">
        <v>37600</v>
      </c>
      <c r="U25" s="23"/>
      <c r="V25" s="40" t="s">
        <v>53</v>
      </c>
      <c r="W25" s="70">
        <v>839</v>
      </c>
      <c r="X25" s="75"/>
      <c r="Y25" s="75"/>
      <c r="Z25" s="6">
        <v>6553188681</v>
      </c>
      <c r="AA25" s="74" t="s">
        <v>195</v>
      </c>
      <c r="AB25" s="70" t="s">
        <v>47</v>
      </c>
      <c r="AC25" s="70"/>
      <c r="AD25" s="10" t="str">
        <f>IF(T25&lt;=L25,"en término","atrasado")</f>
        <v>en término</v>
      </c>
    </row>
    <row r="26" spans="1:36" s="98" customFormat="1" ht="12" thickBot="1" x14ac:dyDescent="0.25">
      <c r="B26" s="313"/>
      <c r="C26" s="19"/>
      <c r="D26" s="5"/>
      <c r="E26" s="5"/>
      <c r="F26" s="5"/>
      <c r="G26" s="5"/>
      <c r="H26" s="105"/>
      <c r="I26" s="21"/>
      <c r="J26" s="5"/>
      <c r="K26" s="5"/>
      <c r="L26" s="127"/>
      <c r="M26" s="5"/>
      <c r="N26" s="5"/>
      <c r="O26" s="5"/>
      <c r="P26" s="5"/>
      <c r="Q26" s="5"/>
      <c r="R26" s="5"/>
      <c r="S26" s="127"/>
      <c r="T26" s="5" t="s">
        <v>5070</v>
      </c>
      <c r="U26" s="5"/>
      <c r="V26" s="224"/>
      <c r="W26" s="87"/>
      <c r="X26" s="90"/>
      <c r="Y26" s="90"/>
      <c r="Z26" s="87"/>
      <c r="AA26" s="87"/>
      <c r="AB26" s="87"/>
      <c r="AC26" s="87"/>
      <c r="AD26" s="10"/>
    </row>
    <row r="27" spans="1:36" s="98" customFormat="1" x14ac:dyDescent="0.2">
      <c r="B27" s="315"/>
      <c r="C27" s="28"/>
      <c r="D27" s="30"/>
      <c r="E27" s="30"/>
      <c r="F27" s="30"/>
      <c r="G27" s="30"/>
      <c r="H27" s="116"/>
      <c r="I27" s="31"/>
      <c r="J27" s="30"/>
      <c r="K27" s="30"/>
      <c r="L27" s="140"/>
      <c r="M27" s="30"/>
      <c r="N27" s="30"/>
      <c r="O27" s="30"/>
      <c r="P27" s="30"/>
      <c r="Q27" s="30"/>
      <c r="R27" s="30"/>
      <c r="S27" s="219"/>
      <c r="T27" s="29"/>
      <c r="U27" s="29"/>
      <c r="V27" s="226"/>
      <c r="W27" s="99"/>
      <c r="X27" s="99"/>
      <c r="Y27" s="99"/>
      <c r="Z27" s="120"/>
      <c r="AA27" s="99"/>
      <c r="AB27" s="99"/>
      <c r="AC27" s="99"/>
      <c r="AD27" s="30"/>
    </row>
    <row r="28" spans="1:36" s="98" customFormat="1" ht="12.75" x14ac:dyDescent="0.2">
      <c r="B28" s="315"/>
      <c r="C28" s="28"/>
      <c r="D28" s="30"/>
      <c r="E28" s="30"/>
      <c r="F28" s="30"/>
      <c r="G28" s="30"/>
      <c r="H28" s="116"/>
      <c r="I28" s="31"/>
      <c r="J28" s="30"/>
      <c r="K28" s="30"/>
      <c r="L28" s="140"/>
      <c r="M28" s="30"/>
      <c r="N28" s="30"/>
      <c r="O28" s="30"/>
      <c r="P28" s="30"/>
      <c r="Q28" s="30"/>
      <c r="R28" s="30"/>
      <c r="S28" s="219"/>
      <c r="T28" s="29"/>
      <c r="U28" s="29"/>
      <c r="V28" s="226"/>
      <c r="W28" s="99"/>
      <c r="X28" s="99"/>
      <c r="Y28" s="99"/>
      <c r="Z28" s="120"/>
      <c r="AA28" s="1">
        <v>2002</v>
      </c>
      <c r="AB28" s="1048"/>
      <c r="AC28" s="3"/>
      <c r="AD28" s="30"/>
    </row>
    <row r="29" spans="1:36" s="98" customFormat="1" ht="12.75" x14ac:dyDescent="0.2">
      <c r="B29" s="315"/>
      <c r="C29" s="28"/>
      <c r="D29" s="30"/>
      <c r="E29" s="30"/>
      <c r="F29" s="30"/>
      <c r="G29" s="30"/>
      <c r="H29" s="116"/>
      <c r="I29" s="31"/>
      <c r="J29" s="30"/>
      <c r="K29" s="30"/>
      <c r="L29" s="140"/>
      <c r="M29" s="30"/>
      <c r="N29" s="30"/>
      <c r="O29" s="30"/>
      <c r="P29" s="30"/>
      <c r="Q29" s="30"/>
      <c r="R29" s="30"/>
      <c r="S29" s="219"/>
      <c r="T29" s="29"/>
      <c r="U29" s="29"/>
      <c r="V29" s="226"/>
      <c r="W29" s="99"/>
      <c r="X29" s="99"/>
      <c r="Y29" s="99"/>
      <c r="Z29" s="120"/>
      <c r="AA29" s="945" t="s">
        <v>813</v>
      </c>
      <c r="AB29" s="1048">
        <f>COUNTA(AD22:AD25)</f>
        <v>2</v>
      </c>
      <c r="AD29" s="30"/>
    </row>
    <row r="30" spans="1:36" s="98" customFormat="1" ht="12.75" x14ac:dyDescent="0.2">
      <c r="B30" s="315"/>
      <c r="C30" s="28"/>
      <c r="D30" s="30"/>
      <c r="E30" s="30"/>
      <c r="F30" s="30"/>
      <c r="G30" s="30"/>
      <c r="H30" s="116"/>
      <c r="I30" s="31"/>
      <c r="J30" s="30"/>
      <c r="K30" s="30"/>
      <c r="L30" s="140"/>
      <c r="M30" s="30"/>
      <c r="N30" s="30"/>
      <c r="O30" s="30"/>
      <c r="P30" s="30"/>
      <c r="Q30" s="30"/>
      <c r="R30" s="30"/>
      <c r="S30" s="219"/>
      <c r="T30" s="29"/>
      <c r="U30" s="29"/>
      <c r="V30" s="226"/>
      <c r="W30" s="99"/>
      <c r="X30" s="99"/>
      <c r="Y30" s="99"/>
      <c r="Z30" s="120"/>
      <c r="AA30" s="945" t="s">
        <v>815</v>
      </c>
      <c r="AB30" s="1048">
        <f>COUNTIF(AD21:AD25,"en término")</f>
        <v>2</v>
      </c>
      <c r="AD30" s="30"/>
    </row>
    <row r="31" spans="1:36" s="98" customFormat="1" ht="12.75" x14ac:dyDescent="0.2">
      <c r="B31" s="315"/>
      <c r="C31" s="28"/>
      <c r="D31" s="30"/>
      <c r="E31" s="30"/>
      <c r="F31" s="30"/>
      <c r="G31" s="30"/>
      <c r="H31" s="116"/>
      <c r="I31" s="31"/>
      <c r="J31" s="30"/>
      <c r="K31" s="30"/>
      <c r="L31" s="140"/>
      <c r="M31" s="30"/>
      <c r="N31" s="30"/>
      <c r="O31" s="30"/>
      <c r="P31" s="30"/>
      <c r="Q31" s="30"/>
      <c r="R31" s="30"/>
      <c r="S31" s="219"/>
      <c r="T31" s="29"/>
      <c r="U31" s="29"/>
      <c r="V31" s="226"/>
      <c r="W31" s="99"/>
      <c r="X31" s="99"/>
      <c r="Y31" s="99"/>
      <c r="Z31" s="120"/>
      <c r="AA31" s="945" t="s">
        <v>817</v>
      </c>
      <c r="AB31" s="557">
        <f>+AB30/AB29</f>
        <v>1</v>
      </c>
      <c r="AD31" s="30"/>
    </row>
    <row r="32" spans="1:36" s="98" customFormat="1" ht="12" x14ac:dyDescent="0.2">
      <c r="B32" s="315"/>
      <c r="C32" s="28"/>
      <c r="D32" s="30"/>
      <c r="E32" s="30"/>
      <c r="F32" s="30"/>
      <c r="G32" s="30"/>
      <c r="H32" s="116"/>
      <c r="I32" s="31"/>
      <c r="J32" s="30"/>
      <c r="K32" s="30"/>
      <c r="L32" s="140"/>
      <c r="M32" s="30"/>
      <c r="N32" s="30"/>
      <c r="O32" s="30"/>
      <c r="P32" s="30"/>
      <c r="Q32" s="30"/>
      <c r="R32" s="30"/>
      <c r="S32" s="219"/>
      <c r="T32" s="29"/>
      <c r="U32" s="29"/>
      <c r="V32" s="226"/>
      <c r="W32" s="99"/>
      <c r="X32" s="99"/>
      <c r="Y32" s="99"/>
      <c r="Z32" s="120"/>
      <c r="AA32" s="24"/>
      <c r="AB32" s="201"/>
      <c r="AC32" s="201"/>
      <c r="AD32" s="30"/>
    </row>
    <row r="33" spans="1:36" s="98" customFormat="1" ht="12" x14ac:dyDescent="0.2">
      <c r="B33" s="315"/>
      <c r="C33" s="28"/>
      <c r="D33" s="30"/>
      <c r="E33" s="30"/>
      <c r="F33" s="30"/>
      <c r="G33" s="30"/>
      <c r="H33" s="116"/>
      <c r="I33" s="31"/>
      <c r="J33" s="30"/>
      <c r="K33" s="30"/>
      <c r="L33" s="140"/>
      <c r="M33" s="30"/>
      <c r="N33" s="30"/>
      <c r="O33" s="30"/>
      <c r="P33" s="30"/>
      <c r="Q33" s="30"/>
      <c r="R33" s="30"/>
      <c r="S33" s="219"/>
      <c r="T33" s="29"/>
      <c r="U33" s="29"/>
      <c r="V33" s="226"/>
      <c r="W33" s="99"/>
      <c r="X33" s="99"/>
      <c r="Y33" s="99"/>
      <c r="Z33" s="120"/>
      <c r="AA33" s="24"/>
      <c r="AB33" s="201"/>
      <c r="AC33" s="201"/>
      <c r="AD33" s="30"/>
    </row>
    <row r="34" spans="1:36" s="98" customFormat="1" ht="12" thickBot="1" x14ac:dyDescent="0.25">
      <c r="B34" s="315"/>
      <c r="C34" s="28"/>
      <c r="D34" s="30"/>
      <c r="E34" s="30"/>
      <c r="F34" s="30"/>
      <c r="G34" s="30"/>
      <c r="H34" s="116"/>
      <c r="I34" s="31"/>
      <c r="J34" s="30"/>
      <c r="K34" s="30"/>
      <c r="L34" s="140"/>
      <c r="M34" s="30"/>
      <c r="N34" s="30"/>
      <c r="O34" s="30"/>
      <c r="P34" s="30"/>
      <c r="Q34" s="30"/>
      <c r="R34" s="30"/>
      <c r="S34" s="219"/>
      <c r="T34" s="29"/>
      <c r="U34" s="29"/>
      <c r="V34" s="226"/>
      <c r="W34" s="99"/>
      <c r="X34" s="99"/>
      <c r="Y34" s="99"/>
      <c r="Z34" s="120"/>
      <c r="AA34" s="99"/>
      <c r="AB34" s="99"/>
      <c r="AC34" s="99"/>
      <c r="AD34" s="30"/>
    </row>
    <row r="35" spans="1:36" s="556" customFormat="1" ht="39.950000000000003" customHeight="1" thickBot="1" x14ac:dyDescent="0.4">
      <c r="B35" s="1654">
        <v>2003</v>
      </c>
      <c r="C35" s="1655"/>
      <c r="D35" s="1655"/>
      <c r="E35" s="1655"/>
      <c r="F35" s="1655"/>
      <c r="G35" s="1655"/>
      <c r="H35" s="1655"/>
      <c r="I35" s="1655"/>
      <c r="J35" s="1655"/>
      <c r="K35" s="1655"/>
      <c r="L35" s="1655"/>
      <c r="M35" s="1655"/>
      <c r="N35" s="1655"/>
      <c r="O35" s="1655"/>
      <c r="P35" s="1655"/>
      <c r="Q35" s="1655"/>
      <c r="R35" s="1655"/>
      <c r="S35" s="1655"/>
      <c r="T35" s="1655"/>
      <c r="U35" s="1655"/>
      <c r="V35" s="1655"/>
      <c r="W35" s="1655"/>
      <c r="X35" s="1655"/>
      <c r="Y35" s="1655"/>
      <c r="Z35" s="1655"/>
      <c r="AA35" s="1655"/>
      <c r="AB35" s="1655"/>
      <c r="AC35" s="1656"/>
    </row>
    <row r="36" spans="1:36" s="441" customFormat="1" ht="60" customHeight="1" thickBot="1" x14ac:dyDescent="0.25">
      <c r="A36" s="438"/>
      <c r="B36" s="451" t="s">
        <v>130</v>
      </c>
      <c r="C36" s="451" t="s">
        <v>4</v>
      </c>
      <c r="D36" s="451" t="s">
        <v>5</v>
      </c>
      <c r="E36" s="451" t="s">
        <v>6</v>
      </c>
      <c r="F36" s="451" t="s">
        <v>7</v>
      </c>
      <c r="G36" s="451" t="s">
        <v>8</v>
      </c>
      <c r="H36" s="453" t="s">
        <v>9</v>
      </c>
      <c r="I36" s="453" t="s">
        <v>10</v>
      </c>
      <c r="J36" s="451" t="s">
        <v>11</v>
      </c>
      <c r="K36" s="451" t="s">
        <v>12</v>
      </c>
      <c r="L36" s="451" t="s">
        <v>13</v>
      </c>
      <c r="M36" s="451" t="s">
        <v>14</v>
      </c>
      <c r="N36" s="451" t="s">
        <v>15</v>
      </c>
      <c r="O36" s="452" t="s">
        <v>16</v>
      </c>
      <c r="P36" s="454" t="s">
        <v>17</v>
      </c>
      <c r="Q36" s="451"/>
      <c r="R36" s="452"/>
      <c r="S36" s="451" t="s">
        <v>4659</v>
      </c>
      <c r="T36" s="451" t="s">
        <v>4660</v>
      </c>
      <c r="U36" s="452" t="s">
        <v>22</v>
      </c>
      <c r="V36" s="451" t="s">
        <v>131</v>
      </c>
      <c r="W36" s="451" t="s">
        <v>24</v>
      </c>
      <c r="X36" s="451" t="s">
        <v>132</v>
      </c>
      <c r="Y36" s="451" t="s">
        <v>26</v>
      </c>
      <c r="Z36" s="451" t="s">
        <v>27</v>
      </c>
      <c r="AA36" s="451" t="s">
        <v>28</v>
      </c>
      <c r="AB36" s="451" t="s">
        <v>29</v>
      </c>
      <c r="AC36" s="451" t="s">
        <v>30</v>
      </c>
      <c r="AD36" s="439"/>
      <c r="AE36" s="440"/>
      <c r="AF36" s="440"/>
      <c r="AG36" s="440"/>
      <c r="AH36" s="440"/>
      <c r="AI36" s="440"/>
      <c r="AJ36" s="440"/>
    </row>
    <row r="37" spans="1:36" s="76" customFormat="1" x14ac:dyDescent="0.2">
      <c r="B37" s="314"/>
      <c r="C37" s="11"/>
      <c r="D37" s="12"/>
      <c r="E37" s="12"/>
      <c r="F37" s="12"/>
      <c r="G37" s="12"/>
      <c r="H37" s="504"/>
      <c r="I37" s="14"/>
      <c r="J37" s="12"/>
      <c r="K37" s="12"/>
      <c r="L37" s="15"/>
      <c r="M37" s="12"/>
      <c r="N37" s="12"/>
      <c r="O37" s="12"/>
      <c r="P37" s="12"/>
      <c r="Q37" s="12"/>
      <c r="R37" s="12"/>
      <c r="S37" s="141"/>
      <c r="T37" s="12" t="s">
        <v>5071</v>
      </c>
      <c r="U37" s="12"/>
      <c r="V37" s="243" t="s">
        <v>5072</v>
      </c>
      <c r="W37" s="80"/>
      <c r="X37" s="82"/>
      <c r="Y37" s="82"/>
      <c r="Z37" s="80"/>
      <c r="AA37" s="80"/>
      <c r="AB37" s="80"/>
      <c r="AC37" s="80"/>
      <c r="AD37" s="10"/>
    </row>
    <row r="38" spans="1:36" s="76" customFormat="1" x14ac:dyDescent="0.2">
      <c r="B38" s="312" t="s">
        <v>120</v>
      </c>
      <c r="C38" s="16" t="s">
        <v>121</v>
      </c>
      <c r="D38" s="6" t="s">
        <v>5073</v>
      </c>
      <c r="E38" s="6"/>
      <c r="F38" s="6">
        <v>12646</v>
      </c>
      <c r="G38" s="6"/>
      <c r="H38" s="17">
        <v>9581.7999999999993</v>
      </c>
      <c r="I38" s="39"/>
      <c r="J38" s="7">
        <v>37599</v>
      </c>
      <c r="K38" s="7"/>
      <c r="L38" s="23">
        <f>60+J38</f>
        <v>37659</v>
      </c>
      <c r="M38" s="18" t="s">
        <v>124</v>
      </c>
      <c r="N38" s="6" t="s">
        <v>42</v>
      </c>
      <c r="O38" s="6"/>
      <c r="P38" s="6"/>
      <c r="Q38" s="6"/>
      <c r="R38" s="6"/>
      <c r="S38" s="23">
        <v>37645</v>
      </c>
      <c r="T38" s="23">
        <v>37656</v>
      </c>
      <c r="U38" s="23"/>
      <c r="V38" s="40" t="s">
        <v>53</v>
      </c>
      <c r="W38" s="70">
        <v>857</v>
      </c>
      <c r="X38" s="75"/>
      <c r="Y38" s="75"/>
      <c r="Z38" s="6">
        <v>6552932256</v>
      </c>
      <c r="AA38" s="74" t="s">
        <v>195</v>
      </c>
      <c r="AB38" s="70" t="s">
        <v>47</v>
      </c>
      <c r="AC38" s="70"/>
      <c r="AD38" s="10" t="str">
        <f>IF(T38&lt;=L38,"en término","atrasado")</f>
        <v>en término</v>
      </c>
    </row>
    <row r="39" spans="1:36" s="98" customFormat="1" ht="12" thickBot="1" x14ac:dyDescent="0.25">
      <c r="B39" s="313"/>
      <c r="C39" s="19"/>
      <c r="D39" s="5"/>
      <c r="E39" s="5"/>
      <c r="F39" s="5"/>
      <c r="G39" s="5"/>
      <c r="H39" s="105"/>
      <c r="I39" s="21"/>
      <c r="J39" s="5"/>
      <c r="K39" s="5"/>
      <c r="L39" s="127"/>
      <c r="M39" s="5"/>
      <c r="N39" s="5"/>
      <c r="O39" s="5"/>
      <c r="P39" s="5"/>
      <c r="Q39" s="5"/>
      <c r="R39" s="5"/>
      <c r="S39" s="127"/>
      <c r="T39" s="573" t="s">
        <v>5074</v>
      </c>
      <c r="U39" s="573"/>
      <c r="V39" s="224" t="s">
        <v>5075</v>
      </c>
      <c r="W39" s="87"/>
      <c r="X39" s="90"/>
      <c r="Y39" s="90"/>
      <c r="Z39" s="87"/>
      <c r="AA39" s="87"/>
      <c r="AB39" s="87"/>
      <c r="AC39" s="87"/>
      <c r="AD39" s="10"/>
    </row>
    <row r="40" spans="1:36" s="76" customFormat="1" x14ac:dyDescent="0.2">
      <c r="B40" s="314"/>
      <c r="C40" s="11"/>
      <c r="D40" s="12"/>
      <c r="E40" s="12"/>
      <c r="F40" s="12"/>
      <c r="G40" s="12"/>
      <c r="H40" s="504"/>
      <c r="I40" s="14"/>
      <c r="J40" s="12"/>
      <c r="K40" s="12"/>
      <c r="L40" s="15"/>
      <c r="M40" s="12"/>
      <c r="N40" s="12"/>
      <c r="O40" s="12"/>
      <c r="P40" s="12"/>
      <c r="Q40" s="12"/>
      <c r="R40" s="12"/>
      <c r="S40" s="141"/>
      <c r="T40" s="12" t="s">
        <v>5076</v>
      </c>
      <c r="U40" s="12"/>
      <c r="V40" s="12"/>
      <c r="W40" s="80"/>
      <c r="X40" s="82"/>
      <c r="Y40" s="82"/>
      <c r="Z40" s="80"/>
      <c r="AA40" s="80"/>
      <c r="AB40" s="80"/>
      <c r="AC40" s="80"/>
      <c r="AD40" s="10"/>
    </row>
    <row r="41" spans="1:36" s="76" customFormat="1" x14ac:dyDescent="0.2">
      <c r="B41" s="312" t="s">
        <v>120</v>
      </c>
      <c r="C41" s="16" t="s">
        <v>121</v>
      </c>
      <c r="D41" s="6" t="s">
        <v>5077</v>
      </c>
      <c r="E41" s="6"/>
      <c r="F41" s="6">
        <v>13297</v>
      </c>
      <c r="G41" s="6"/>
      <c r="H41" s="17">
        <v>28899.06</v>
      </c>
      <c r="I41" s="39"/>
      <c r="J41" s="7">
        <v>37657</v>
      </c>
      <c r="K41" s="7"/>
      <c r="L41" s="23">
        <v>37711</v>
      </c>
      <c r="M41" s="18" t="s">
        <v>124</v>
      </c>
      <c r="N41" s="6" t="s">
        <v>42</v>
      </c>
      <c r="O41" s="6"/>
      <c r="P41" s="6"/>
      <c r="Q41" s="6"/>
      <c r="R41" s="6"/>
      <c r="S41" s="23">
        <v>37701</v>
      </c>
      <c r="T41" s="23">
        <v>37710</v>
      </c>
      <c r="U41" s="23"/>
      <c r="V41" s="40" t="s">
        <v>53</v>
      </c>
      <c r="W41" s="6">
        <v>864</v>
      </c>
      <c r="X41" s="75"/>
      <c r="Y41" s="75"/>
      <c r="Z41" s="6">
        <v>9051564266</v>
      </c>
      <c r="AA41" s="74"/>
      <c r="AB41" s="507" t="s">
        <v>47</v>
      </c>
      <c r="AC41" s="507"/>
      <c r="AD41" s="10" t="str">
        <f>IF(T41&lt;=L41,"en término","atrasado")</f>
        <v>en término</v>
      </c>
    </row>
    <row r="42" spans="1:36" s="98" customFormat="1" ht="12" thickBot="1" x14ac:dyDescent="0.25">
      <c r="B42" s="313"/>
      <c r="C42" s="19"/>
      <c r="D42" s="5"/>
      <c r="E42" s="5"/>
      <c r="F42" s="5"/>
      <c r="G42" s="5"/>
      <c r="H42" s="105"/>
      <c r="I42" s="21"/>
      <c r="J42" s="5"/>
      <c r="K42" s="5"/>
      <c r="L42" s="127"/>
      <c r="M42" s="5"/>
      <c r="N42" s="5"/>
      <c r="O42" s="5"/>
      <c r="P42" s="5"/>
      <c r="Q42" s="5"/>
      <c r="R42" s="5"/>
      <c r="S42" s="127"/>
      <c r="T42" s="573" t="s">
        <v>5078</v>
      </c>
      <c r="U42" s="573"/>
      <c r="V42" s="224" t="s">
        <v>3538</v>
      </c>
      <c r="W42" s="5"/>
      <c r="X42" s="90"/>
      <c r="Y42" s="90"/>
      <c r="Z42" s="87"/>
      <c r="AA42" s="87"/>
      <c r="AB42" s="87"/>
      <c r="AC42" s="87"/>
      <c r="AD42" s="10"/>
    </row>
    <row r="43" spans="1:36" s="76" customFormat="1" x14ac:dyDescent="0.2">
      <c r="B43" s="314"/>
      <c r="C43" s="11"/>
      <c r="D43" s="12"/>
      <c r="E43" s="12"/>
      <c r="F43" s="12"/>
      <c r="G43" s="12"/>
      <c r="H43" s="504"/>
      <c r="I43" s="14"/>
      <c r="J43" s="12"/>
      <c r="K43" s="12"/>
      <c r="L43" s="15"/>
      <c r="M43" s="12"/>
      <c r="N43" s="12"/>
      <c r="O43" s="12"/>
      <c r="P43" s="12"/>
      <c r="Q43" s="12"/>
      <c r="R43" s="12"/>
      <c r="S43" s="141"/>
      <c r="T43" s="12" t="s">
        <v>5076</v>
      </c>
      <c r="U43" s="12"/>
      <c r="V43" s="12"/>
      <c r="W43" s="12"/>
      <c r="X43" s="82"/>
      <c r="Y43" s="82"/>
      <c r="Z43" s="80"/>
      <c r="AA43" s="80"/>
      <c r="AB43" s="80"/>
      <c r="AC43" s="80"/>
      <c r="AD43" s="10"/>
    </row>
    <row r="44" spans="1:36" s="76" customFormat="1" x14ac:dyDescent="0.2">
      <c r="B44" s="312" t="s">
        <v>120</v>
      </c>
      <c r="C44" s="16" t="s">
        <v>121</v>
      </c>
      <c r="D44" s="6" t="s">
        <v>5079</v>
      </c>
      <c r="E44" s="6"/>
      <c r="F44" s="6">
        <v>13529</v>
      </c>
      <c r="G44" s="6"/>
      <c r="H44" s="17">
        <v>6308.61</v>
      </c>
      <c r="I44" s="39"/>
      <c r="J44" s="7">
        <v>37678</v>
      </c>
      <c r="K44" s="7"/>
      <c r="L44" s="23">
        <v>37711</v>
      </c>
      <c r="M44" s="18" t="s">
        <v>124</v>
      </c>
      <c r="N44" s="6" t="s">
        <v>42</v>
      </c>
      <c r="O44" s="6"/>
      <c r="P44" s="6"/>
      <c r="Q44" s="6"/>
      <c r="R44" s="6"/>
      <c r="S44" s="23">
        <v>37701</v>
      </c>
      <c r="T44" s="23">
        <v>37710</v>
      </c>
      <c r="U44" s="23"/>
      <c r="V44" s="40" t="s">
        <v>53</v>
      </c>
      <c r="W44" s="6">
        <v>865</v>
      </c>
      <c r="X44" s="75"/>
      <c r="Y44" s="75"/>
      <c r="Z44" s="6">
        <v>9051564266</v>
      </c>
      <c r="AA44" s="74"/>
      <c r="AB44" s="507" t="s">
        <v>47</v>
      </c>
      <c r="AC44" s="507"/>
      <c r="AD44" s="10" t="str">
        <f>IF(T44&lt;=L44,"en término","atrasado")</f>
        <v>en término</v>
      </c>
    </row>
    <row r="45" spans="1:36" s="98" customFormat="1" ht="12" thickBot="1" x14ac:dyDescent="0.25">
      <c r="B45" s="313"/>
      <c r="C45" s="19"/>
      <c r="D45" s="5"/>
      <c r="E45" s="5"/>
      <c r="F45" s="5"/>
      <c r="G45" s="5"/>
      <c r="H45" s="105"/>
      <c r="I45" s="21"/>
      <c r="J45" s="5"/>
      <c r="K45" s="5"/>
      <c r="L45" s="127"/>
      <c r="M45" s="5"/>
      <c r="N45" s="5"/>
      <c r="O45" s="5"/>
      <c r="P45" s="5"/>
      <c r="Q45" s="5"/>
      <c r="R45" s="5"/>
      <c r="S45" s="127"/>
      <c r="T45" s="573" t="s">
        <v>5078</v>
      </c>
      <c r="U45" s="573"/>
      <c r="V45" s="224" t="s">
        <v>3538</v>
      </c>
      <c r="W45" s="87"/>
      <c r="X45" s="90"/>
      <c r="Y45" s="90"/>
      <c r="Z45" s="87"/>
      <c r="AA45" s="87"/>
      <c r="AB45" s="87"/>
      <c r="AC45" s="87"/>
    </row>
    <row r="46" spans="1:36" s="76" customFormat="1" x14ac:dyDescent="0.2">
      <c r="B46" s="314"/>
      <c r="C46" s="11"/>
      <c r="D46" s="12"/>
      <c r="E46" s="12"/>
      <c r="F46" s="12"/>
      <c r="G46" s="12"/>
      <c r="H46" s="504"/>
      <c r="I46" s="14"/>
      <c r="J46" s="12"/>
      <c r="K46" s="12"/>
      <c r="L46" s="15"/>
      <c r="M46" s="12"/>
      <c r="N46" s="12"/>
      <c r="O46" s="12"/>
      <c r="P46" s="12"/>
      <c r="Q46" s="12"/>
      <c r="R46" s="12"/>
      <c r="S46" s="141"/>
      <c r="T46" s="12"/>
      <c r="U46" s="12"/>
      <c r="V46" s="12"/>
      <c r="W46" s="80" t="s">
        <v>464</v>
      </c>
      <c r="X46" s="82"/>
      <c r="Y46" s="82"/>
      <c r="Z46" s="80"/>
      <c r="AA46" s="80"/>
      <c r="AB46" s="80"/>
      <c r="AC46" s="80"/>
      <c r="AD46" s="10"/>
    </row>
    <row r="47" spans="1:36" s="76" customFormat="1" x14ac:dyDescent="0.2">
      <c r="B47" s="312" t="s">
        <v>120</v>
      </c>
      <c r="C47" s="16" t="s">
        <v>121</v>
      </c>
      <c r="D47" s="6" t="s">
        <v>5077</v>
      </c>
      <c r="E47" s="6"/>
      <c r="F47" s="6">
        <v>13297</v>
      </c>
      <c r="G47" s="6"/>
      <c r="H47" s="17">
        <v>579</v>
      </c>
      <c r="I47" s="39"/>
      <c r="J47" s="7">
        <v>37657</v>
      </c>
      <c r="K47" s="7"/>
      <c r="L47" s="23">
        <v>38107</v>
      </c>
      <c r="M47" s="18" t="s">
        <v>124</v>
      </c>
      <c r="N47" s="6" t="s">
        <v>110</v>
      </c>
      <c r="O47" s="6"/>
      <c r="P47" s="6"/>
      <c r="Q47" s="6"/>
      <c r="R47" s="6"/>
      <c r="S47" s="23">
        <v>37727</v>
      </c>
      <c r="T47" s="23">
        <v>37732</v>
      </c>
      <c r="U47" s="23"/>
      <c r="V47" s="40" t="s">
        <v>5080</v>
      </c>
      <c r="W47" s="246" t="s">
        <v>5081</v>
      </c>
      <c r="X47" s="75"/>
      <c r="Y47" s="75"/>
      <c r="Z47" s="6" t="s">
        <v>1708</v>
      </c>
      <c r="AA47" s="74"/>
      <c r="AB47" s="507" t="s">
        <v>47</v>
      </c>
      <c r="AC47" s="507"/>
      <c r="AD47" s="10" t="str">
        <f>IF(T47&lt;=L47,"en término","atrasado")</f>
        <v>en término</v>
      </c>
    </row>
    <row r="48" spans="1:36" s="98" customFormat="1" ht="12" thickBot="1" x14ac:dyDescent="0.25">
      <c r="B48" s="313"/>
      <c r="C48" s="19"/>
      <c r="D48" s="5"/>
      <c r="E48" s="5"/>
      <c r="F48" s="5"/>
      <c r="G48" s="5"/>
      <c r="H48" s="105"/>
      <c r="I48" s="21"/>
      <c r="J48" s="5"/>
      <c r="K48" s="5"/>
      <c r="L48" s="127"/>
      <c r="M48" s="5"/>
      <c r="N48" s="5"/>
      <c r="O48" s="5"/>
      <c r="P48" s="5"/>
      <c r="Q48" s="5"/>
      <c r="R48" s="5"/>
      <c r="S48" s="127"/>
      <c r="T48" s="573"/>
      <c r="U48" s="573"/>
      <c r="V48" s="224"/>
      <c r="W48" s="5">
        <v>872</v>
      </c>
      <c r="X48" s="90"/>
      <c r="Y48" s="90"/>
      <c r="Z48" s="87"/>
      <c r="AA48" s="87"/>
      <c r="AB48" s="87"/>
      <c r="AC48" s="87"/>
      <c r="AD48" s="10"/>
    </row>
    <row r="49" spans="2:30" s="76" customFormat="1" x14ac:dyDescent="0.2">
      <c r="B49" s="314"/>
      <c r="C49" s="11"/>
      <c r="D49" s="12"/>
      <c r="E49" s="12"/>
      <c r="F49" s="12"/>
      <c r="G49" s="12"/>
      <c r="H49" s="504"/>
      <c r="I49" s="14"/>
      <c r="J49" s="12"/>
      <c r="K49" s="12"/>
      <c r="L49" s="15"/>
      <c r="M49" s="12"/>
      <c r="N49" s="12"/>
      <c r="O49" s="12"/>
      <c r="P49" s="12"/>
      <c r="Q49" s="12"/>
      <c r="R49" s="12"/>
      <c r="S49" s="141"/>
      <c r="T49" s="12" t="s">
        <v>5082</v>
      </c>
      <c r="U49" s="12"/>
      <c r="V49" s="244" t="s">
        <v>3538</v>
      </c>
      <c r="W49" s="80"/>
      <c r="X49" s="82"/>
      <c r="Y49" s="82"/>
      <c r="Z49" s="80"/>
      <c r="AA49" s="80"/>
      <c r="AB49" s="80"/>
      <c r="AC49" s="80"/>
    </row>
    <row r="50" spans="2:30" s="76" customFormat="1" x14ac:dyDescent="0.2">
      <c r="B50" s="312" t="s">
        <v>120</v>
      </c>
      <c r="C50" s="16" t="s">
        <v>121</v>
      </c>
      <c r="D50" s="6" t="s">
        <v>5083</v>
      </c>
      <c r="E50" s="6"/>
      <c r="F50" s="6">
        <v>14154</v>
      </c>
      <c r="G50" s="6"/>
      <c r="H50" s="17">
        <v>28134.799999999999</v>
      </c>
      <c r="I50" s="39" t="s">
        <v>123</v>
      </c>
      <c r="J50" s="7">
        <v>37736</v>
      </c>
      <c r="K50" s="7"/>
      <c r="L50" s="23">
        <f>30+J50</f>
        <v>37766</v>
      </c>
      <c r="M50" s="18" t="s">
        <v>124</v>
      </c>
      <c r="N50" s="6" t="s">
        <v>42</v>
      </c>
      <c r="O50" s="6"/>
      <c r="P50" s="6"/>
      <c r="Q50" s="6"/>
      <c r="R50" s="6"/>
      <c r="S50" s="23">
        <v>37764</v>
      </c>
      <c r="T50" s="23">
        <v>38138</v>
      </c>
      <c r="U50" s="23"/>
      <c r="V50" s="40" t="s">
        <v>53</v>
      </c>
      <c r="W50" s="70">
        <v>880</v>
      </c>
      <c r="X50" s="75"/>
      <c r="Y50" s="75"/>
      <c r="Z50" s="6">
        <v>9051564082</v>
      </c>
      <c r="AA50" s="74"/>
      <c r="AB50" s="70" t="s">
        <v>47</v>
      </c>
      <c r="AC50" s="70"/>
      <c r="AD50" s="10" t="str">
        <f>IF(T50&lt;=L50,"en término","atrasado")</f>
        <v>atrasado</v>
      </c>
    </row>
    <row r="51" spans="2:30" s="76" customFormat="1" ht="12" thickBot="1" x14ac:dyDescent="0.25">
      <c r="B51" s="313"/>
      <c r="C51" s="19"/>
      <c r="D51" s="5"/>
      <c r="E51" s="5"/>
      <c r="F51" s="5"/>
      <c r="G51" s="5"/>
      <c r="H51" s="105"/>
      <c r="I51" s="21"/>
      <c r="J51" s="5"/>
      <c r="K51" s="5"/>
      <c r="L51" s="127"/>
      <c r="M51" s="5"/>
      <c r="N51" s="5"/>
      <c r="O51" s="5"/>
      <c r="P51" s="5"/>
      <c r="Q51" s="5"/>
      <c r="R51" s="5"/>
      <c r="S51" s="127" t="s">
        <v>5084</v>
      </c>
      <c r="T51" s="5" t="s">
        <v>5085</v>
      </c>
      <c r="U51" s="5"/>
      <c r="V51" s="224"/>
      <c r="W51" s="87"/>
      <c r="X51" s="90"/>
      <c r="Y51" s="90"/>
      <c r="Z51" s="87"/>
      <c r="AA51" s="87"/>
      <c r="AB51" s="87"/>
      <c r="AC51" s="87"/>
    </row>
    <row r="52" spans="2:30" s="76" customFormat="1" x14ac:dyDescent="0.2">
      <c r="B52" s="314"/>
      <c r="C52" s="11"/>
      <c r="D52" s="12"/>
      <c r="E52" s="12"/>
      <c r="F52" s="12"/>
      <c r="G52" s="12"/>
      <c r="H52" s="504"/>
      <c r="I52" s="14"/>
      <c r="J52" s="12"/>
      <c r="K52" s="12"/>
      <c r="L52" s="15"/>
      <c r="M52" s="12"/>
      <c r="N52" s="12"/>
      <c r="O52" s="12"/>
      <c r="P52" s="12"/>
      <c r="Q52" s="12"/>
      <c r="R52" s="12"/>
      <c r="S52" s="141"/>
      <c r="T52" s="12" t="s">
        <v>5082</v>
      </c>
      <c r="U52" s="12"/>
      <c r="V52" s="244" t="s">
        <v>3538</v>
      </c>
      <c r="W52" s="80"/>
      <c r="X52" s="82"/>
      <c r="Y52" s="82"/>
      <c r="Z52" s="80"/>
      <c r="AA52" s="80"/>
      <c r="AB52" s="80"/>
      <c r="AC52" s="80"/>
    </row>
    <row r="53" spans="2:30" s="76" customFormat="1" x14ac:dyDescent="0.2">
      <c r="B53" s="312" t="s">
        <v>120</v>
      </c>
      <c r="C53" s="16" t="s">
        <v>121</v>
      </c>
      <c r="D53" s="6" t="s">
        <v>5086</v>
      </c>
      <c r="E53" s="6"/>
      <c r="F53" s="6">
        <v>14411</v>
      </c>
      <c r="G53" s="6"/>
      <c r="H53" s="17">
        <f>247+240.8+800+470.25+178.4</f>
        <v>1936.45</v>
      </c>
      <c r="I53" s="39" t="s">
        <v>123</v>
      </c>
      <c r="J53" s="7">
        <v>37755</v>
      </c>
      <c r="K53" s="7"/>
      <c r="L53" s="23">
        <f>+J53+30</f>
        <v>37785</v>
      </c>
      <c r="M53" s="18" t="s">
        <v>124</v>
      </c>
      <c r="N53" s="6" t="s">
        <v>42</v>
      </c>
      <c r="O53" s="6"/>
      <c r="P53" s="6"/>
      <c r="Q53" s="6"/>
      <c r="R53" s="6"/>
      <c r="S53" s="23">
        <v>37764</v>
      </c>
      <c r="T53" s="23">
        <v>37773</v>
      </c>
      <c r="U53" s="23"/>
      <c r="V53" s="40" t="s">
        <v>53</v>
      </c>
      <c r="W53" s="70">
        <v>880</v>
      </c>
      <c r="X53" s="75"/>
      <c r="Y53" s="75"/>
      <c r="Z53" s="6">
        <v>9051564082</v>
      </c>
      <c r="AA53" s="74"/>
      <c r="AB53" s="70" t="s">
        <v>47</v>
      </c>
      <c r="AC53" s="70"/>
      <c r="AD53" s="10" t="str">
        <f>IF(T53&lt;=L53,"en término","atrasado")</f>
        <v>en término</v>
      </c>
    </row>
    <row r="54" spans="2:30" s="76" customFormat="1" ht="12" thickBot="1" x14ac:dyDescent="0.25">
      <c r="B54" s="313"/>
      <c r="C54" s="19"/>
      <c r="D54" s="5"/>
      <c r="E54" s="5"/>
      <c r="F54" s="5"/>
      <c r="G54" s="5"/>
      <c r="H54" s="105"/>
      <c r="I54" s="21"/>
      <c r="J54" s="5"/>
      <c r="K54" s="5"/>
      <c r="L54" s="127"/>
      <c r="M54" s="5"/>
      <c r="N54" s="5"/>
      <c r="O54" s="5"/>
      <c r="P54" s="5"/>
      <c r="Q54" s="5"/>
      <c r="R54" s="5"/>
      <c r="S54" s="127"/>
      <c r="T54" s="5" t="s">
        <v>5085</v>
      </c>
      <c r="U54" s="5"/>
      <c r="V54" s="224" t="s">
        <v>5087</v>
      </c>
      <c r="W54" s="87"/>
      <c r="X54" s="90"/>
      <c r="Y54" s="90"/>
      <c r="Z54" s="87"/>
      <c r="AA54" s="87"/>
      <c r="AB54" s="87"/>
      <c r="AC54" s="87"/>
      <c r="AD54" s="10"/>
    </row>
    <row r="55" spans="2:30" s="76" customFormat="1" x14ac:dyDescent="0.2">
      <c r="B55" s="314"/>
      <c r="C55" s="11"/>
      <c r="D55" s="12"/>
      <c r="E55" s="12"/>
      <c r="F55" s="12"/>
      <c r="G55" s="12"/>
      <c r="H55" s="504"/>
      <c r="I55" s="14"/>
      <c r="J55" s="12"/>
      <c r="K55" s="12"/>
      <c r="L55" s="15"/>
      <c r="M55" s="12"/>
      <c r="N55" s="12"/>
      <c r="O55" s="12"/>
      <c r="P55" s="12"/>
      <c r="Q55" s="12"/>
      <c r="R55" s="12"/>
      <c r="S55" s="141"/>
      <c r="T55" s="12"/>
      <c r="U55" s="12"/>
      <c r="V55" s="244" t="s">
        <v>3538</v>
      </c>
      <c r="W55" s="80"/>
      <c r="X55" s="82"/>
      <c r="Y55" s="82"/>
      <c r="Z55" s="80"/>
      <c r="AA55" s="80"/>
      <c r="AB55" s="80"/>
      <c r="AC55" s="80"/>
      <c r="AD55" s="10"/>
    </row>
    <row r="56" spans="2:30" s="76" customFormat="1" x14ac:dyDescent="0.2">
      <c r="B56" s="312" t="s">
        <v>120</v>
      </c>
      <c r="C56" s="16" t="s">
        <v>121</v>
      </c>
      <c r="D56" s="6" t="s">
        <v>5086</v>
      </c>
      <c r="E56" s="6"/>
      <c r="F56" s="6">
        <v>14411</v>
      </c>
      <c r="G56" s="6"/>
      <c r="H56" s="17">
        <f>1200+327.6</f>
        <v>1527.6</v>
      </c>
      <c r="I56" s="39" t="s">
        <v>123</v>
      </c>
      <c r="J56" s="7">
        <v>37755</v>
      </c>
      <c r="K56" s="7"/>
      <c r="L56" s="23">
        <f>+J56+45</f>
        <v>37800</v>
      </c>
      <c r="M56" s="18" t="s">
        <v>124</v>
      </c>
      <c r="N56" s="6" t="s">
        <v>110</v>
      </c>
      <c r="O56" s="6"/>
      <c r="P56" s="6"/>
      <c r="Q56" s="6"/>
      <c r="R56" s="6"/>
      <c r="S56" s="23">
        <v>37785</v>
      </c>
      <c r="T56" s="23">
        <v>37791</v>
      </c>
      <c r="U56" s="23"/>
      <c r="V56" s="40" t="s">
        <v>53</v>
      </c>
      <c r="W56" s="70">
        <v>891</v>
      </c>
      <c r="X56" s="75"/>
      <c r="Y56" s="75"/>
      <c r="Z56" s="70" t="s">
        <v>1676</v>
      </c>
      <c r="AA56" s="74"/>
      <c r="AB56" s="507" t="s">
        <v>47</v>
      </c>
      <c r="AC56" s="507"/>
      <c r="AD56" s="10" t="str">
        <f>IF(T56&lt;=L56,"en término","atrasado")</f>
        <v>en término</v>
      </c>
    </row>
    <row r="57" spans="2:30" s="76" customFormat="1" ht="12" thickBot="1" x14ac:dyDescent="0.25">
      <c r="B57" s="313"/>
      <c r="C57" s="19"/>
      <c r="D57" s="5"/>
      <c r="E57" s="5"/>
      <c r="F57" s="5"/>
      <c r="G57" s="5"/>
      <c r="H57" s="105"/>
      <c r="I57" s="21"/>
      <c r="J57" s="5"/>
      <c r="K57" s="5"/>
      <c r="L57" s="127"/>
      <c r="M57" s="5"/>
      <c r="N57" s="22"/>
      <c r="O57" s="22"/>
      <c r="P57" s="22"/>
      <c r="Q57" s="22"/>
      <c r="R57" s="22"/>
      <c r="S57" s="127"/>
      <c r="T57" s="22" t="s">
        <v>5088</v>
      </c>
      <c r="U57" s="22"/>
      <c r="V57" s="224" t="s">
        <v>5089</v>
      </c>
      <c r="W57" s="87"/>
      <c r="X57" s="90"/>
      <c r="Y57" s="90"/>
      <c r="Z57" s="87"/>
      <c r="AA57" s="87"/>
      <c r="AB57" s="87"/>
      <c r="AC57" s="87"/>
    </row>
    <row r="58" spans="2:30" s="9" customFormat="1" x14ac:dyDescent="0.2">
      <c r="B58" s="312"/>
      <c r="C58" s="16"/>
      <c r="D58" s="7"/>
      <c r="E58" s="7"/>
      <c r="F58" s="6"/>
      <c r="G58" s="6"/>
      <c r="H58" s="17"/>
      <c r="I58" s="17"/>
      <c r="J58" s="7"/>
      <c r="K58" s="7"/>
      <c r="L58" s="23"/>
      <c r="M58" s="6"/>
      <c r="N58" s="6"/>
      <c r="O58" s="6"/>
      <c r="P58" s="6"/>
      <c r="Q58" s="6"/>
      <c r="R58" s="6"/>
      <c r="S58" s="6"/>
      <c r="T58" s="6" t="s">
        <v>5090</v>
      </c>
      <c r="U58" s="6"/>
      <c r="V58" s="138" t="s">
        <v>3538</v>
      </c>
      <c r="W58" s="6"/>
      <c r="X58" s="59"/>
      <c r="Y58" s="59"/>
      <c r="Z58" s="6"/>
      <c r="AA58" s="6"/>
      <c r="AB58" s="6"/>
      <c r="AC58" s="6"/>
    </row>
    <row r="59" spans="2:30" s="9" customFormat="1" x14ac:dyDescent="0.2">
      <c r="B59" s="312" t="s">
        <v>120</v>
      </c>
      <c r="C59" s="16" t="s">
        <v>121</v>
      </c>
      <c r="D59" s="7" t="s">
        <v>5091</v>
      </c>
      <c r="E59" s="7"/>
      <c r="F59" s="6" t="s">
        <v>5092</v>
      </c>
      <c r="G59" s="6"/>
      <c r="H59" s="17">
        <v>31592.79</v>
      </c>
      <c r="I59" s="39" t="s">
        <v>123</v>
      </c>
      <c r="J59" s="7">
        <v>37922</v>
      </c>
      <c r="K59" s="7"/>
      <c r="L59" s="23">
        <v>37958</v>
      </c>
      <c r="M59" s="18" t="s">
        <v>124</v>
      </c>
      <c r="N59" s="6" t="s">
        <v>42</v>
      </c>
      <c r="O59" s="6"/>
      <c r="P59" s="6"/>
      <c r="Q59" s="6"/>
      <c r="R59" s="6"/>
      <c r="S59" s="23">
        <v>37953</v>
      </c>
      <c r="T59" s="23">
        <v>37959</v>
      </c>
      <c r="U59" s="23"/>
      <c r="V59" s="6" t="s">
        <v>597</v>
      </c>
      <c r="W59" s="6">
        <v>944</v>
      </c>
      <c r="X59" s="59"/>
      <c r="Y59" s="59"/>
      <c r="Z59" s="6">
        <v>6626629892</v>
      </c>
      <c r="AA59" s="6"/>
      <c r="AB59" s="507" t="s">
        <v>47</v>
      </c>
      <c r="AC59" s="507"/>
      <c r="AD59" s="10" t="str">
        <f>IF(T59&lt;=L59,"en término","atrasado")</f>
        <v>atrasado</v>
      </c>
    </row>
    <row r="60" spans="2:30" s="9" customFormat="1" ht="12" thickBot="1" x14ac:dyDescent="0.25">
      <c r="B60" s="313"/>
      <c r="C60" s="19"/>
      <c r="D60" s="5"/>
      <c r="E60" s="5"/>
      <c r="F60" s="5"/>
      <c r="G60" s="5"/>
      <c r="H60" s="105"/>
      <c r="I60" s="21"/>
      <c r="J60" s="27"/>
      <c r="K60" s="27"/>
      <c r="L60" s="27"/>
      <c r="M60" s="5"/>
      <c r="N60" s="5"/>
      <c r="O60" s="5"/>
      <c r="P60" s="5"/>
      <c r="Q60" s="5"/>
      <c r="R60" s="5"/>
      <c r="S60" s="27"/>
      <c r="T60" s="5" t="s">
        <v>5093</v>
      </c>
      <c r="U60" s="5"/>
      <c r="V60" s="224"/>
      <c r="W60" s="5"/>
      <c r="X60" s="61"/>
      <c r="Y60" s="61"/>
      <c r="Z60" s="5"/>
      <c r="AA60" s="5"/>
      <c r="AB60" s="5"/>
      <c r="AC60" s="5"/>
    </row>
    <row r="61" spans="2:30" s="9" customFormat="1" x14ac:dyDescent="0.2">
      <c r="B61" s="312"/>
      <c r="C61" s="16"/>
      <c r="D61" s="7"/>
      <c r="E61" s="7"/>
      <c r="F61" s="6"/>
      <c r="G61" s="6"/>
      <c r="H61" s="17"/>
      <c r="I61" s="17"/>
      <c r="J61" s="7"/>
      <c r="K61" s="7"/>
      <c r="L61" s="23"/>
      <c r="M61" s="6"/>
      <c r="N61" s="6"/>
      <c r="O61" s="6"/>
      <c r="P61" s="6"/>
      <c r="Q61" s="6"/>
      <c r="R61" s="6"/>
      <c r="S61" s="6"/>
      <c r="T61" s="6" t="s">
        <v>5090</v>
      </c>
      <c r="U61" s="6"/>
      <c r="V61" s="138" t="s">
        <v>3538</v>
      </c>
      <c r="W61" s="6"/>
      <c r="X61" s="59"/>
      <c r="Y61" s="59"/>
      <c r="Z61" s="6"/>
      <c r="AA61" s="6"/>
      <c r="AB61" s="6"/>
      <c r="AC61" s="6"/>
    </row>
    <row r="62" spans="2:30" s="9" customFormat="1" x14ac:dyDescent="0.2">
      <c r="B62" s="312" t="s">
        <v>120</v>
      </c>
      <c r="C62" s="16" t="s">
        <v>121</v>
      </c>
      <c r="D62" s="7" t="s">
        <v>5094</v>
      </c>
      <c r="E62" s="7"/>
      <c r="F62" s="6" t="s">
        <v>5095</v>
      </c>
      <c r="G62" s="6"/>
      <c r="H62" s="17">
        <v>2572.92</v>
      </c>
      <c r="I62" s="39" t="s">
        <v>123</v>
      </c>
      <c r="J62" s="7">
        <v>37928</v>
      </c>
      <c r="K62" s="7"/>
      <c r="L62" s="23">
        <f>+J62+30</f>
        <v>37958</v>
      </c>
      <c r="M62" s="18" t="s">
        <v>124</v>
      </c>
      <c r="N62" s="6" t="s">
        <v>42</v>
      </c>
      <c r="O62" s="6"/>
      <c r="P62" s="6"/>
      <c r="Q62" s="6"/>
      <c r="R62" s="6"/>
      <c r="S62" s="23">
        <v>37953</v>
      </c>
      <c r="T62" s="23">
        <v>37959</v>
      </c>
      <c r="U62" s="23"/>
      <c r="V62" s="6" t="s">
        <v>597</v>
      </c>
      <c r="W62" s="6">
        <v>944</v>
      </c>
      <c r="X62" s="59"/>
      <c r="Y62" s="59"/>
      <c r="Z62" s="6">
        <v>6626629892</v>
      </c>
      <c r="AA62" s="6"/>
      <c r="AB62" s="507" t="s">
        <v>47</v>
      </c>
      <c r="AC62" s="507"/>
      <c r="AD62" s="10" t="str">
        <f>IF(T62&lt;=L62,"en término","atrasado")</f>
        <v>atrasado</v>
      </c>
    </row>
    <row r="63" spans="2:30" s="9" customFormat="1" ht="12" thickBot="1" x14ac:dyDescent="0.25">
      <c r="B63" s="313"/>
      <c r="C63" s="19"/>
      <c r="D63" s="5"/>
      <c r="E63" s="5"/>
      <c r="F63" s="5"/>
      <c r="G63" s="5"/>
      <c r="H63" s="105"/>
      <c r="I63" s="21"/>
      <c r="J63" s="27"/>
      <c r="K63" s="27"/>
      <c r="L63" s="27"/>
      <c r="M63" s="5"/>
      <c r="N63" s="5"/>
      <c r="O63" s="5"/>
      <c r="P63" s="5"/>
      <c r="Q63" s="5"/>
      <c r="R63" s="5"/>
      <c r="S63" s="27"/>
      <c r="T63" s="5" t="s">
        <v>5093</v>
      </c>
      <c r="U63" s="5"/>
      <c r="V63" s="224"/>
      <c r="W63" s="5"/>
      <c r="X63" s="61"/>
      <c r="Y63" s="61"/>
      <c r="Z63" s="5"/>
      <c r="AA63" s="5"/>
      <c r="AB63" s="5"/>
      <c r="AC63" s="5"/>
    </row>
    <row r="65" spans="1:35" ht="12.75" x14ac:dyDescent="0.2">
      <c r="H65" s="223"/>
      <c r="J65" s="223"/>
      <c r="K65" s="223"/>
      <c r="T65" s="228"/>
      <c r="U65" s="228"/>
      <c r="AA65" s="1">
        <v>2003</v>
      </c>
      <c r="AB65" s="1048"/>
    </row>
    <row r="66" spans="1:35" ht="12.75" x14ac:dyDescent="0.2">
      <c r="AA66" s="945" t="s">
        <v>813</v>
      </c>
      <c r="AB66" s="1048">
        <f>COUNTA(AD35:AD62)</f>
        <v>9</v>
      </c>
    </row>
    <row r="67" spans="1:35" ht="12.75" x14ac:dyDescent="0.2">
      <c r="AA67" s="945" t="s">
        <v>815</v>
      </c>
      <c r="AB67" s="1048">
        <f>COUNTIF(AD34:AD62,"en término")</f>
        <v>6</v>
      </c>
    </row>
    <row r="68" spans="1:35" ht="12.75" x14ac:dyDescent="0.2">
      <c r="AA68" s="945" t="s">
        <v>817</v>
      </c>
      <c r="AB68" s="557">
        <f>+AB67/AB66</f>
        <v>0.66666666666666663</v>
      </c>
    </row>
    <row r="69" spans="1:35" ht="12" thickBot="1" x14ac:dyDescent="0.25">
      <c r="AB69" s="2"/>
      <c r="AC69" s="2"/>
    </row>
    <row r="70" spans="1:35" s="556" customFormat="1" ht="39.950000000000003" customHeight="1" thickBot="1" x14ac:dyDescent="0.4">
      <c r="B70" s="1654">
        <v>2004</v>
      </c>
      <c r="C70" s="1655"/>
      <c r="D70" s="1655"/>
      <c r="E70" s="1655"/>
      <c r="F70" s="1655"/>
      <c r="G70" s="1655"/>
      <c r="H70" s="1655"/>
      <c r="I70" s="1655"/>
      <c r="J70" s="1655"/>
      <c r="K70" s="1655"/>
      <c r="L70" s="1655"/>
      <c r="M70" s="1655"/>
      <c r="N70" s="1655"/>
      <c r="O70" s="1655"/>
      <c r="P70" s="1655"/>
      <c r="Q70" s="1655"/>
      <c r="R70" s="1655"/>
      <c r="S70" s="1655"/>
      <c r="T70" s="1655"/>
      <c r="U70" s="1655"/>
      <c r="V70" s="1655"/>
      <c r="W70" s="1655"/>
      <c r="X70" s="1655"/>
      <c r="Y70" s="1655"/>
      <c r="Z70" s="1655"/>
      <c r="AA70" s="1655"/>
      <c r="AB70" s="1655"/>
      <c r="AC70" s="1656"/>
    </row>
    <row r="71" spans="1:35" s="441" customFormat="1" ht="60" customHeight="1" thickBot="1" x14ac:dyDescent="0.25">
      <c r="A71" s="438"/>
      <c r="B71" s="451" t="s">
        <v>130</v>
      </c>
      <c r="C71" s="451" t="s">
        <v>4</v>
      </c>
      <c r="D71" s="451" t="s">
        <v>5</v>
      </c>
      <c r="E71" s="451" t="s">
        <v>6</v>
      </c>
      <c r="F71" s="451" t="s">
        <v>7</v>
      </c>
      <c r="G71" s="451" t="s">
        <v>8</v>
      </c>
      <c r="H71" s="453" t="s">
        <v>9</v>
      </c>
      <c r="I71" s="453" t="s">
        <v>10</v>
      </c>
      <c r="J71" s="451" t="s">
        <v>11</v>
      </c>
      <c r="K71" s="451" t="s">
        <v>12</v>
      </c>
      <c r="L71" s="451" t="s">
        <v>13</v>
      </c>
      <c r="M71" s="451" t="s">
        <v>14</v>
      </c>
      <c r="N71" s="451" t="s">
        <v>15</v>
      </c>
      <c r="O71" s="452" t="s">
        <v>16</v>
      </c>
      <c r="P71" s="454" t="s">
        <v>17</v>
      </c>
      <c r="Q71" s="451" t="s">
        <v>18</v>
      </c>
      <c r="R71" s="452" t="s">
        <v>19</v>
      </c>
      <c r="S71" s="451" t="s">
        <v>20</v>
      </c>
      <c r="T71" s="451" t="s">
        <v>21</v>
      </c>
      <c r="U71" s="452" t="s">
        <v>22</v>
      </c>
      <c r="V71" s="451" t="s">
        <v>131</v>
      </c>
      <c r="W71" s="451" t="s">
        <v>24</v>
      </c>
      <c r="X71" s="451" t="s">
        <v>132</v>
      </c>
      <c r="Y71" s="451" t="s">
        <v>26</v>
      </c>
      <c r="Z71" s="451" t="s">
        <v>27</v>
      </c>
      <c r="AA71" s="451" t="s">
        <v>28</v>
      </c>
      <c r="AB71" s="451" t="s">
        <v>29</v>
      </c>
      <c r="AC71" s="451" t="s">
        <v>30</v>
      </c>
      <c r="AD71" s="439"/>
      <c r="AE71" s="440"/>
      <c r="AF71" s="440"/>
      <c r="AG71" s="440"/>
      <c r="AH71" s="440"/>
      <c r="AI71" s="440"/>
    </row>
    <row r="72" spans="1:35" s="9" customFormat="1" x14ac:dyDescent="0.2">
      <c r="B72" s="312"/>
      <c r="C72" s="16"/>
      <c r="D72" s="7"/>
      <c r="E72" s="7"/>
      <c r="F72" s="6"/>
      <c r="G72" s="6"/>
      <c r="H72" s="17"/>
      <c r="I72" s="17"/>
      <c r="J72" s="7"/>
      <c r="K72" s="7"/>
      <c r="L72" s="23"/>
      <c r="M72" s="6"/>
      <c r="N72" s="6"/>
      <c r="O72" s="6"/>
      <c r="P72" s="6"/>
      <c r="Q72" s="6"/>
      <c r="R72" s="6"/>
      <c r="S72" s="6" t="s">
        <v>5096</v>
      </c>
      <c r="T72" s="6"/>
      <c r="U72" s="6"/>
      <c r="V72" s="138" t="s">
        <v>3538</v>
      </c>
      <c r="W72" s="6"/>
      <c r="X72" s="59"/>
      <c r="Y72" s="59"/>
      <c r="Z72" s="6"/>
      <c r="AA72" s="6"/>
      <c r="AB72" s="6"/>
      <c r="AC72" s="6"/>
    </row>
    <row r="73" spans="1:35" s="9" customFormat="1" x14ac:dyDescent="0.2">
      <c r="B73" s="312" t="s">
        <v>120</v>
      </c>
      <c r="C73" s="16" t="s">
        <v>121</v>
      </c>
      <c r="D73" s="7" t="s">
        <v>5097</v>
      </c>
      <c r="E73" s="7"/>
      <c r="F73" s="6">
        <v>17477</v>
      </c>
      <c r="G73" s="6" t="s">
        <v>1535</v>
      </c>
      <c r="H73" s="17">
        <v>1462</v>
      </c>
      <c r="I73" s="39"/>
      <c r="J73" s="7">
        <v>38000</v>
      </c>
      <c r="K73" s="7"/>
      <c r="L73" s="23">
        <v>38044</v>
      </c>
      <c r="M73" s="18"/>
      <c r="N73" s="6" t="s">
        <v>42</v>
      </c>
      <c r="O73" s="23">
        <v>38016</v>
      </c>
      <c r="P73" s="23"/>
      <c r="Q73" s="23"/>
      <c r="R73" s="23"/>
      <c r="S73" s="23">
        <v>38032</v>
      </c>
      <c r="T73" s="23"/>
      <c r="U73" s="23"/>
      <c r="V73" s="6" t="s">
        <v>937</v>
      </c>
      <c r="W73" s="6">
        <v>958</v>
      </c>
      <c r="X73" s="59"/>
      <c r="Y73" s="59"/>
      <c r="Z73" s="6">
        <v>6642683143</v>
      </c>
      <c r="AA73" s="6"/>
      <c r="AB73" s="507" t="s">
        <v>47</v>
      </c>
      <c r="AC73" s="507"/>
      <c r="AD73" s="10" t="str">
        <f>IF(O73&lt;=L73,"en término","atrasado")</f>
        <v>en término</v>
      </c>
    </row>
    <row r="74" spans="1:35" s="9" customFormat="1" ht="12" thickBot="1" x14ac:dyDescent="0.25">
      <c r="B74" s="313"/>
      <c r="C74" s="19"/>
      <c r="D74" s="5"/>
      <c r="E74" s="5"/>
      <c r="F74" s="5"/>
      <c r="G74" s="5"/>
      <c r="H74" s="105"/>
      <c r="I74" s="21"/>
      <c r="J74" s="27"/>
      <c r="K74" s="27"/>
      <c r="L74" s="27"/>
      <c r="M74" s="5"/>
      <c r="N74" s="5"/>
      <c r="O74" s="27"/>
      <c r="P74" s="27"/>
      <c r="Q74" s="27"/>
      <c r="R74" s="27"/>
      <c r="S74" s="27"/>
      <c r="T74" s="19"/>
      <c r="U74" s="19"/>
      <c r="V74" s="224"/>
      <c r="W74" s="5"/>
      <c r="X74" s="61"/>
      <c r="Y74" s="61"/>
      <c r="Z74" s="5"/>
      <c r="AA74" s="5"/>
      <c r="AB74" s="5"/>
      <c r="AC74" s="5"/>
    </row>
    <row r="75" spans="1:35" s="9" customFormat="1" x14ac:dyDescent="0.2">
      <c r="B75" s="312"/>
      <c r="C75" s="16"/>
      <c r="D75" s="7"/>
      <c r="E75" s="7"/>
      <c r="F75" s="6"/>
      <c r="G75" s="6"/>
      <c r="H75" s="17"/>
      <c r="I75" s="17"/>
      <c r="J75" s="7"/>
      <c r="K75" s="7"/>
      <c r="L75" s="23"/>
      <c r="M75" s="6"/>
      <c r="N75" s="6"/>
      <c r="O75" s="6"/>
      <c r="P75" s="6"/>
      <c r="Q75" s="6"/>
      <c r="R75" s="6"/>
      <c r="S75" s="6" t="s">
        <v>5098</v>
      </c>
      <c r="T75" s="6"/>
      <c r="U75" s="6"/>
      <c r="V75" s="138" t="s">
        <v>3538</v>
      </c>
      <c r="W75" s="6"/>
      <c r="X75" s="59"/>
      <c r="Y75" s="59"/>
      <c r="Z75" s="6"/>
      <c r="AA75" s="6"/>
      <c r="AB75" s="6"/>
      <c r="AC75" s="6"/>
    </row>
    <row r="76" spans="1:35" s="9" customFormat="1" x14ac:dyDescent="0.2">
      <c r="B76" s="312" t="s">
        <v>120</v>
      </c>
      <c r="C76" s="16" t="s">
        <v>121</v>
      </c>
      <c r="D76" s="7" t="s">
        <v>5099</v>
      </c>
      <c r="E76" s="7"/>
      <c r="F76" s="6">
        <v>18287</v>
      </c>
      <c r="G76" s="6" t="s">
        <v>1535</v>
      </c>
      <c r="H76" s="17">
        <v>19494.09</v>
      </c>
      <c r="I76" s="39"/>
      <c r="J76" s="7">
        <v>38057</v>
      </c>
      <c r="K76" s="7"/>
      <c r="L76" s="23">
        <f>+J76+30</f>
        <v>38087</v>
      </c>
      <c r="M76" s="18"/>
      <c r="N76" s="6" t="s">
        <v>42</v>
      </c>
      <c r="O76" s="23">
        <v>38083</v>
      </c>
      <c r="P76" s="23"/>
      <c r="Q76" s="23"/>
      <c r="R76" s="23"/>
      <c r="S76" s="23">
        <v>38103</v>
      </c>
      <c r="T76" s="23"/>
      <c r="U76" s="23"/>
      <c r="V76" s="6" t="s">
        <v>53</v>
      </c>
      <c r="W76" s="6">
        <v>696</v>
      </c>
      <c r="X76" s="59"/>
      <c r="Y76" s="59"/>
      <c r="Z76" s="6">
        <v>6651603302</v>
      </c>
      <c r="AA76" s="6"/>
      <c r="AB76" s="507" t="s">
        <v>47</v>
      </c>
      <c r="AC76" s="507"/>
      <c r="AD76" s="10" t="str">
        <f>IF(O76&lt;=L76,"en término","atrasado")</f>
        <v>en término</v>
      </c>
    </row>
    <row r="77" spans="1:35" s="9" customFormat="1" ht="20.25" customHeight="1" thickBot="1" x14ac:dyDescent="0.25">
      <c r="B77" s="313"/>
      <c r="C77" s="19"/>
      <c r="D77" s="5"/>
      <c r="E77" s="5"/>
      <c r="F77" s="5"/>
      <c r="G77" s="5"/>
      <c r="H77" s="105"/>
      <c r="I77" s="21"/>
      <c r="J77" s="5"/>
      <c r="K77" s="5"/>
      <c r="L77" s="27"/>
      <c r="M77" s="5"/>
      <c r="N77" s="5"/>
      <c r="O77" s="27" t="s">
        <v>5100</v>
      </c>
      <c r="P77" s="27"/>
      <c r="Q77" s="27"/>
      <c r="R77" s="27"/>
      <c r="S77" s="27"/>
      <c r="T77" s="19"/>
      <c r="U77" s="55"/>
      <c r="V77" s="574" t="s">
        <v>5101</v>
      </c>
      <c r="W77" s="1036"/>
      <c r="X77" s="61"/>
      <c r="Y77" s="61"/>
      <c r="Z77" s="575"/>
      <c r="AA77" s="1036"/>
      <c r="AB77" s="1036"/>
      <c r="AC77" s="1036"/>
    </row>
    <row r="78" spans="1:35" s="9" customFormat="1" x14ac:dyDescent="0.2">
      <c r="B78" s="312"/>
      <c r="C78" s="16"/>
      <c r="D78" s="7"/>
      <c r="E78" s="7"/>
      <c r="F78" s="6"/>
      <c r="G78" s="6"/>
      <c r="H78" s="17"/>
      <c r="I78" s="17"/>
      <c r="J78" s="7"/>
      <c r="K78" s="7"/>
      <c r="L78" s="23"/>
      <c r="M78" s="6"/>
      <c r="N78" s="6"/>
      <c r="O78" s="6"/>
      <c r="P78" s="6"/>
      <c r="Q78" s="6"/>
      <c r="R78" s="6"/>
      <c r="S78" s="6" t="s">
        <v>5102</v>
      </c>
      <c r="T78" s="7"/>
      <c r="U78" s="7"/>
      <c r="V78" s="138"/>
      <c r="W78" s="6"/>
      <c r="X78" s="59"/>
      <c r="Y78" s="59"/>
      <c r="Z78" s="6"/>
      <c r="AA78" s="6"/>
      <c r="AB78" s="6"/>
      <c r="AC78" s="6"/>
    </row>
    <row r="79" spans="1:35" s="9" customFormat="1" x14ac:dyDescent="0.2">
      <c r="B79" s="312" t="s">
        <v>120</v>
      </c>
      <c r="C79" s="16" t="s">
        <v>121</v>
      </c>
      <c r="D79" s="7" t="s">
        <v>5103</v>
      </c>
      <c r="E79" s="7"/>
      <c r="F79" s="6">
        <v>18941</v>
      </c>
      <c r="G79" s="6" t="s">
        <v>1535</v>
      </c>
      <c r="H79" s="17">
        <v>3584.8</v>
      </c>
      <c r="I79" s="39" t="s">
        <v>5104</v>
      </c>
      <c r="J79" s="7">
        <v>38113</v>
      </c>
      <c r="K79" s="7"/>
      <c r="L79" s="23">
        <f>+J79+30</f>
        <v>38143</v>
      </c>
      <c r="M79" s="18" t="s">
        <v>124</v>
      </c>
      <c r="N79" s="6" t="s">
        <v>42</v>
      </c>
      <c r="O79" s="23">
        <v>38142</v>
      </c>
      <c r="P79" s="23"/>
      <c r="Q79" s="23"/>
      <c r="R79" s="23"/>
      <c r="S79" s="23">
        <v>38184</v>
      </c>
      <c r="T79" s="23">
        <v>38196</v>
      </c>
      <c r="U79" s="23"/>
      <c r="V79" s="6" t="s">
        <v>53</v>
      </c>
      <c r="W79" s="6">
        <v>992</v>
      </c>
      <c r="X79" s="59"/>
      <c r="Y79" s="59"/>
      <c r="Z79" s="6">
        <v>6642683364</v>
      </c>
      <c r="AA79" s="7">
        <v>38213</v>
      </c>
      <c r="AB79" s="507" t="s">
        <v>47</v>
      </c>
      <c r="AC79" s="507"/>
      <c r="AD79" s="10" t="str">
        <f>IF(O79&lt;=L79,"en término","atrasado")</f>
        <v>en término</v>
      </c>
    </row>
    <row r="80" spans="1:35" s="9" customFormat="1" ht="12" thickBot="1" x14ac:dyDescent="0.25">
      <c r="B80" s="313"/>
      <c r="C80" s="19"/>
      <c r="D80" s="5"/>
      <c r="E80" s="5"/>
      <c r="F80" s="5"/>
      <c r="G80" s="5"/>
      <c r="H80" s="105"/>
      <c r="I80" s="21"/>
      <c r="J80" s="5"/>
      <c r="K80" s="5"/>
      <c r="L80" s="27"/>
      <c r="M80" s="5"/>
      <c r="N80" s="5"/>
      <c r="O80" s="36"/>
      <c r="P80" s="36"/>
      <c r="Q80" s="36"/>
      <c r="R80" s="36"/>
      <c r="S80" s="301" t="s">
        <v>5105</v>
      </c>
      <c r="T80" s="576"/>
      <c r="U80" s="576"/>
      <c r="V80" s="224" t="s">
        <v>5106</v>
      </c>
      <c r="W80" s="5" t="s">
        <v>5107</v>
      </c>
      <c r="X80" s="61"/>
      <c r="Y80" s="61"/>
      <c r="Z80" s="5"/>
      <c r="AA80" s="5"/>
      <c r="AB80" s="5"/>
      <c r="AC80" s="5"/>
    </row>
    <row r="81" spans="1:30" s="9" customFormat="1" x14ac:dyDescent="0.2">
      <c r="B81" s="312"/>
      <c r="C81" s="16"/>
      <c r="D81" s="7"/>
      <c r="E81" s="7"/>
      <c r="F81" s="6"/>
      <c r="G81" s="6"/>
      <c r="H81" s="17"/>
      <c r="I81" s="17"/>
      <c r="J81" s="7"/>
      <c r="K81" s="7"/>
      <c r="L81" s="23"/>
      <c r="M81" s="6"/>
      <c r="N81" s="6"/>
      <c r="O81" s="6"/>
      <c r="P81" s="6"/>
      <c r="Q81" s="6"/>
      <c r="R81" s="6"/>
      <c r="S81" s="6" t="s">
        <v>5108</v>
      </c>
      <c r="T81" s="6"/>
      <c r="U81" s="6"/>
      <c r="V81" s="138"/>
      <c r="W81" s="6"/>
      <c r="X81" s="59"/>
      <c r="Y81" s="59"/>
      <c r="Z81" s="6"/>
      <c r="AA81" s="6"/>
      <c r="AB81" s="6"/>
      <c r="AC81" s="6"/>
    </row>
    <row r="82" spans="1:30" s="9" customFormat="1" x14ac:dyDescent="0.2">
      <c r="B82" s="312" t="s">
        <v>120</v>
      </c>
      <c r="C82" s="16" t="s">
        <v>121</v>
      </c>
      <c r="D82" s="7" t="s">
        <v>5109</v>
      </c>
      <c r="E82" s="7"/>
      <c r="F82" s="6">
        <v>20145</v>
      </c>
      <c r="G82" s="6" t="s">
        <v>1535</v>
      </c>
      <c r="H82" s="17">
        <v>10354.68</v>
      </c>
      <c r="I82" s="39" t="s">
        <v>5104</v>
      </c>
      <c r="J82" s="7">
        <v>38153</v>
      </c>
      <c r="K82" s="7"/>
      <c r="L82" s="23">
        <f>+J82+30</f>
        <v>38183</v>
      </c>
      <c r="M82" s="18" t="s">
        <v>124</v>
      </c>
      <c r="N82" s="6" t="s">
        <v>42</v>
      </c>
      <c r="O82" s="23">
        <v>38174</v>
      </c>
      <c r="P82" s="23"/>
      <c r="Q82" s="23"/>
      <c r="R82" s="23"/>
      <c r="S82" s="23">
        <v>38187</v>
      </c>
      <c r="T82" s="23">
        <f>+S82+32</f>
        <v>38219</v>
      </c>
      <c r="U82" s="23"/>
      <c r="V82" s="6" t="s">
        <v>53</v>
      </c>
      <c r="W82" s="6">
        <v>1011</v>
      </c>
      <c r="X82" s="59"/>
      <c r="Y82" s="59"/>
      <c r="Z82" s="6">
        <v>6657506236</v>
      </c>
      <c r="AA82" s="6"/>
      <c r="AB82" s="507" t="s">
        <v>47</v>
      </c>
      <c r="AC82" s="507"/>
      <c r="AD82" s="10" t="str">
        <f>IF(O82&lt;=L82,"en término","atrasado")</f>
        <v>en término</v>
      </c>
    </row>
    <row r="83" spans="1:30" s="9" customFormat="1" ht="12" thickBot="1" x14ac:dyDescent="0.25">
      <c r="B83" s="313"/>
      <c r="C83" s="19"/>
      <c r="D83" s="5"/>
      <c r="E83" s="5"/>
      <c r="F83" s="5"/>
      <c r="G83" s="5"/>
      <c r="H83" s="105"/>
      <c r="I83" s="21"/>
      <c r="J83" s="5"/>
      <c r="K83" s="5"/>
      <c r="L83" s="27"/>
      <c r="M83" s="5"/>
      <c r="N83" s="5"/>
      <c r="O83" s="27"/>
      <c r="P83" s="27"/>
      <c r="Q83" s="27"/>
      <c r="R83" s="27"/>
      <c r="S83" s="27"/>
      <c r="T83" s="19"/>
      <c r="U83" s="19"/>
      <c r="V83" s="224"/>
      <c r="W83" s="5"/>
      <c r="X83" s="61"/>
      <c r="Y83" s="61"/>
      <c r="Z83" s="5"/>
      <c r="AA83" s="5"/>
      <c r="AB83" s="5"/>
      <c r="AC83" s="5"/>
    </row>
    <row r="84" spans="1:30" s="9" customFormat="1" x14ac:dyDescent="0.2">
      <c r="B84" s="312"/>
      <c r="C84" s="16"/>
      <c r="D84" s="7"/>
      <c r="E84" s="7"/>
      <c r="F84" s="6"/>
      <c r="G84" s="6"/>
      <c r="H84" s="17"/>
      <c r="I84" s="17"/>
      <c r="J84" s="7"/>
      <c r="K84" s="7"/>
      <c r="L84" s="23"/>
      <c r="M84" s="6"/>
      <c r="N84" s="6"/>
      <c r="O84" s="6"/>
      <c r="P84" s="6"/>
      <c r="Q84" s="6"/>
      <c r="R84" s="6"/>
      <c r="S84" s="6" t="s">
        <v>5108</v>
      </c>
      <c r="T84" s="6"/>
      <c r="U84" s="6"/>
      <c r="V84" s="138"/>
      <c r="W84" s="6"/>
      <c r="X84" s="59"/>
      <c r="Y84" s="59"/>
      <c r="Z84" s="6"/>
      <c r="AA84" s="6"/>
      <c r="AB84" s="6"/>
      <c r="AC84" s="6"/>
    </row>
    <row r="85" spans="1:30" s="9" customFormat="1" x14ac:dyDescent="0.2">
      <c r="B85" s="312" t="s">
        <v>120</v>
      </c>
      <c r="C85" s="16" t="s">
        <v>121</v>
      </c>
      <c r="D85" s="7" t="s">
        <v>5110</v>
      </c>
      <c r="E85" s="7"/>
      <c r="F85" s="6">
        <v>20074</v>
      </c>
      <c r="G85" s="6" t="s">
        <v>1535</v>
      </c>
      <c r="H85" s="17">
        <v>13424.03</v>
      </c>
      <c r="I85" s="39" t="s">
        <v>5104</v>
      </c>
      <c r="J85" s="7">
        <v>38153</v>
      </c>
      <c r="K85" s="7"/>
      <c r="L85" s="23">
        <f>+J85+30</f>
        <v>38183</v>
      </c>
      <c r="M85" s="18" t="s">
        <v>124</v>
      </c>
      <c r="N85" s="6" t="s">
        <v>42</v>
      </c>
      <c r="O85" s="23">
        <v>38174</v>
      </c>
      <c r="P85" s="23"/>
      <c r="Q85" s="23"/>
      <c r="R85" s="23"/>
      <c r="S85" s="23">
        <v>38187</v>
      </c>
      <c r="T85" s="23">
        <f>+S85+32</f>
        <v>38219</v>
      </c>
      <c r="U85" s="23"/>
      <c r="V85" s="6" t="s">
        <v>53</v>
      </c>
      <c r="W85" s="6">
        <v>1010</v>
      </c>
      <c r="X85" s="59"/>
      <c r="Y85" s="59"/>
      <c r="Z85" s="6">
        <v>6657506236</v>
      </c>
      <c r="AA85" s="6"/>
      <c r="AB85" s="507" t="s">
        <v>47</v>
      </c>
      <c r="AC85" s="507"/>
      <c r="AD85" s="10" t="str">
        <f>IF(O85&lt;=L85,"en término","atrasado")</f>
        <v>en término</v>
      </c>
    </row>
    <row r="86" spans="1:30" s="9" customFormat="1" ht="12" thickBot="1" x14ac:dyDescent="0.25">
      <c r="B86" s="313"/>
      <c r="C86" s="19"/>
      <c r="D86" s="5"/>
      <c r="E86" s="5"/>
      <c r="F86" s="5"/>
      <c r="G86" s="5"/>
      <c r="H86" s="105"/>
      <c r="I86" s="21"/>
      <c r="J86" s="5"/>
      <c r="K86" s="5"/>
      <c r="L86" s="27"/>
      <c r="M86" s="5"/>
      <c r="N86" s="5"/>
      <c r="O86" s="5"/>
      <c r="P86" s="5"/>
      <c r="Q86" s="5"/>
      <c r="R86" s="5"/>
      <c r="S86" s="27"/>
      <c r="T86" s="19"/>
      <c r="U86" s="19"/>
      <c r="V86" s="224"/>
      <c r="W86" s="5"/>
      <c r="X86" s="61"/>
      <c r="Y86" s="61"/>
      <c r="Z86" s="5"/>
      <c r="AA86" s="5"/>
      <c r="AB86" s="5"/>
      <c r="AC86" s="5"/>
    </row>
    <row r="87" spans="1:30" s="9" customFormat="1" x14ac:dyDescent="0.2">
      <c r="A87" s="328"/>
      <c r="B87" s="11"/>
      <c r="C87" s="11"/>
      <c r="D87" s="91"/>
      <c r="E87" s="91"/>
      <c r="F87" s="12"/>
      <c r="G87" s="12"/>
      <c r="H87" s="13"/>
      <c r="I87" s="13"/>
      <c r="J87" s="91"/>
      <c r="K87" s="91"/>
      <c r="L87" s="134"/>
      <c r="M87" s="12"/>
      <c r="N87" s="12"/>
      <c r="O87" s="12"/>
      <c r="P87" s="12"/>
      <c r="Q87" s="12"/>
      <c r="R87" s="12"/>
      <c r="S87" s="12" t="s">
        <v>5111</v>
      </c>
      <c r="T87" s="12"/>
      <c r="U87" s="12"/>
      <c r="V87" s="244"/>
      <c r="W87" s="12"/>
      <c r="X87" s="57"/>
      <c r="Y87" s="57"/>
      <c r="Z87" s="12"/>
      <c r="AA87" s="12"/>
      <c r="AB87" s="12"/>
      <c r="AC87" s="12"/>
      <c r="AD87" s="330"/>
    </row>
    <row r="88" spans="1:30" s="9" customFormat="1" x14ac:dyDescent="0.2">
      <c r="A88" s="328"/>
      <c r="B88" s="16" t="s">
        <v>120</v>
      </c>
      <c r="C88" s="16" t="s">
        <v>121</v>
      </c>
      <c r="D88" s="7" t="s">
        <v>5112</v>
      </c>
      <c r="E88" s="7"/>
      <c r="F88" s="6">
        <v>20496</v>
      </c>
      <c r="G88" s="6" t="s">
        <v>39</v>
      </c>
      <c r="H88" s="17">
        <v>14075.16</v>
      </c>
      <c r="I88" s="39" t="s">
        <v>5113</v>
      </c>
      <c r="J88" s="7">
        <v>38174</v>
      </c>
      <c r="K88" s="331">
        <v>30</v>
      </c>
      <c r="L88" s="23">
        <f>+J88+K88</f>
        <v>38204</v>
      </c>
      <c r="M88" s="18" t="s">
        <v>124</v>
      </c>
      <c r="N88" s="6" t="s">
        <v>42</v>
      </c>
      <c r="O88" s="7">
        <v>38205</v>
      </c>
      <c r="P88" s="331">
        <f>IF(S88="","",+S88-L88)</f>
        <v>10</v>
      </c>
      <c r="Q88" s="331"/>
      <c r="R88" s="331"/>
      <c r="S88" s="175">
        <v>38214</v>
      </c>
      <c r="T88" s="175">
        <f>+S88+30</f>
        <v>38244</v>
      </c>
      <c r="U88" s="331">
        <f>IF(T88="","",+T88-J88)</f>
        <v>70</v>
      </c>
      <c r="V88" s="6" t="s">
        <v>53</v>
      </c>
      <c r="W88" s="6">
        <v>1026</v>
      </c>
      <c r="X88" s="59"/>
      <c r="Y88" s="59"/>
      <c r="Z88" s="6">
        <v>6657506122</v>
      </c>
      <c r="AA88" s="6" t="s">
        <v>47</v>
      </c>
      <c r="AB88" s="6" t="s">
        <v>47</v>
      </c>
      <c r="AC88" s="6"/>
      <c r="AD88" s="10" t="str">
        <f>IF(O88&lt;=L88,"en término","atrasado")</f>
        <v>atrasado</v>
      </c>
    </row>
    <row r="89" spans="1:30" s="9" customFormat="1" ht="12" thickBot="1" x14ac:dyDescent="0.25">
      <c r="A89" s="328"/>
      <c r="B89" s="19"/>
      <c r="C89" s="19"/>
      <c r="D89" s="5"/>
      <c r="E89" s="5"/>
      <c r="F89" s="5"/>
      <c r="G89" s="5"/>
      <c r="H89" s="105"/>
      <c r="I89" s="21"/>
      <c r="J89" s="5"/>
      <c r="K89" s="5"/>
      <c r="L89" s="27"/>
      <c r="M89" s="5"/>
      <c r="N89" s="5"/>
      <c r="O89" s="5"/>
      <c r="P89" s="5"/>
      <c r="Q89" s="5"/>
      <c r="R89" s="5"/>
      <c r="S89" s="5"/>
      <c r="T89" s="5"/>
      <c r="U89" s="5"/>
      <c r="V89" s="224" t="s">
        <v>3538</v>
      </c>
      <c r="W89" s="5"/>
      <c r="X89" s="61"/>
      <c r="Y89" s="61"/>
      <c r="Z89" s="5"/>
      <c r="AA89" s="5"/>
      <c r="AB89" s="5"/>
      <c r="AC89" s="5"/>
      <c r="AD89" s="330"/>
    </row>
    <row r="90" spans="1:30" s="9" customFormat="1" x14ac:dyDescent="0.2">
      <c r="A90" s="328"/>
      <c r="B90" s="16"/>
      <c r="C90" s="16"/>
      <c r="D90" s="7"/>
      <c r="E90" s="7"/>
      <c r="F90" s="6"/>
      <c r="G90" s="6"/>
      <c r="H90" s="17"/>
      <c r="I90" s="17"/>
      <c r="J90" s="7"/>
      <c r="K90" s="7"/>
      <c r="L90" s="23"/>
      <c r="M90" s="6"/>
      <c r="N90" s="6"/>
      <c r="O90" s="6"/>
      <c r="P90" s="6"/>
      <c r="Q90" s="6"/>
      <c r="R90" s="6"/>
      <c r="S90" s="6" t="s">
        <v>5114</v>
      </c>
      <c r="T90" s="6"/>
      <c r="U90" s="6"/>
      <c r="V90" s="138"/>
      <c r="W90" s="6"/>
      <c r="X90" s="59"/>
      <c r="Y90" s="59"/>
      <c r="Z90" s="6"/>
      <c r="AA90" s="6"/>
      <c r="AB90" s="6"/>
      <c r="AC90" s="6"/>
      <c r="AD90" s="330"/>
    </row>
    <row r="91" spans="1:30" s="9" customFormat="1" x14ac:dyDescent="0.2">
      <c r="A91" s="328"/>
      <c r="B91" s="16" t="s">
        <v>120</v>
      </c>
      <c r="C91" s="16" t="s">
        <v>121</v>
      </c>
      <c r="D91" s="7" t="s">
        <v>5115</v>
      </c>
      <c r="E91" s="7"/>
      <c r="F91" s="6">
        <v>20779</v>
      </c>
      <c r="G91" s="6" t="s">
        <v>39</v>
      </c>
      <c r="H91" s="17">
        <v>4685.6499999999996</v>
      </c>
      <c r="I91" s="39" t="s">
        <v>5113</v>
      </c>
      <c r="J91" s="7">
        <v>38194</v>
      </c>
      <c r="K91" s="331">
        <v>30</v>
      </c>
      <c r="L91" s="23">
        <f>+J91+K91</f>
        <v>38224</v>
      </c>
      <c r="M91" s="18" t="s">
        <v>124</v>
      </c>
      <c r="N91" s="6" t="s">
        <v>42</v>
      </c>
      <c r="O91" s="7">
        <v>38223</v>
      </c>
      <c r="P91" s="331">
        <f>IF(S91="","",+S91-L91)</f>
        <v>18</v>
      </c>
      <c r="Q91" s="331"/>
      <c r="R91" s="331"/>
      <c r="S91" s="175">
        <v>38242</v>
      </c>
      <c r="T91" s="7">
        <v>38268</v>
      </c>
      <c r="U91" s="331">
        <f>IF(T91="","",+T91-J91)</f>
        <v>74</v>
      </c>
      <c r="V91" s="6" t="s">
        <v>53</v>
      </c>
      <c r="W91" s="6">
        <v>1035</v>
      </c>
      <c r="X91" s="59"/>
      <c r="Y91" s="59"/>
      <c r="Z91" s="6">
        <v>6657506133</v>
      </c>
      <c r="AA91" s="6" t="s">
        <v>47</v>
      </c>
      <c r="AB91" s="6" t="s">
        <v>47</v>
      </c>
      <c r="AC91" s="6"/>
      <c r="AD91" s="10" t="str">
        <f>IF(O91&lt;=L91,"en término","atrasado")</f>
        <v>en término</v>
      </c>
    </row>
    <row r="92" spans="1:30" s="9" customFormat="1" ht="12" thickBot="1" x14ac:dyDescent="0.25">
      <c r="A92" s="328"/>
      <c r="B92" s="19"/>
      <c r="C92" s="19"/>
      <c r="D92" s="5"/>
      <c r="E92" s="5"/>
      <c r="F92" s="5"/>
      <c r="G92" s="5"/>
      <c r="H92" s="105"/>
      <c r="I92" s="21"/>
      <c r="J92" s="5"/>
      <c r="K92" s="5"/>
      <c r="L92" s="27"/>
      <c r="M92" s="5"/>
      <c r="N92" s="5"/>
      <c r="O92" s="19"/>
      <c r="P92" s="19"/>
      <c r="Q92" s="19"/>
      <c r="R92" s="19"/>
      <c r="S92" s="19"/>
      <c r="T92" s="19"/>
      <c r="U92" s="19"/>
      <c r="V92" s="224" t="s">
        <v>3538</v>
      </c>
      <c r="W92" s="5"/>
      <c r="X92" s="61"/>
      <c r="Y92" s="61"/>
      <c r="Z92" s="5"/>
      <c r="AA92" s="5"/>
      <c r="AB92" s="5"/>
      <c r="AC92" s="5"/>
      <c r="AD92" s="330"/>
    </row>
    <row r="93" spans="1:30" s="9" customFormat="1" x14ac:dyDescent="0.2">
      <c r="A93" s="328"/>
      <c r="B93" s="16"/>
      <c r="C93" s="16"/>
      <c r="D93" s="7"/>
      <c r="E93" s="7"/>
      <c r="F93" s="6"/>
      <c r="G93" s="6"/>
      <c r="H93" s="17"/>
      <c r="I93" s="17"/>
      <c r="J93" s="7"/>
      <c r="K93" s="7"/>
      <c r="L93" s="23"/>
      <c r="M93" s="6"/>
      <c r="N93" s="6"/>
      <c r="O93" s="6"/>
      <c r="P93" s="6"/>
      <c r="Q93" s="6"/>
      <c r="R93" s="6"/>
      <c r="S93" s="6" t="s">
        <v>5116</v>
      </c>
      <c r="T93" s="6"/>
      <c r="U93" s="6"/>
      <c r="V93" s="138"/>
      <c r="W93" s="6"/>
      <c r="X93" s="59"/>
      <c r="Y93" s="59"/>
      <c r="Z93" s="6"/>
      <c r="AA93" s="6"/>
      <c r="AB93" s="6"/>
      <c r="AC93" s="6"/>
      <c r="AD93" s="330"/>
    </row>
    <row r="94" spans="1:30" s="9" customFormat="1" x14ac:dyDescent="0.2">
      <c r="A94" s="328"/>
      <c r="B94" s="16" t="s">
        <v>120</v>
      </c>
      <c r="C94" s="16" t="s">
        <v>121</v>
      </c>
      <c r="D94" s="7" t="s">
        <v>5117</v>
      </c>
      <c r="E94" s="7"/>
      <c r="F94" s="6">
        <v>21385</v>
      </c>
      <c r="G94" s="6" t="s">
        <v>39</v>
      </c>
      <c r="H94" s="17">
        <v>10439.549999999999</v>
      </c>
      <c r="I94" s="39" t="s">
        <v>5113</v>
      </c>
      <c r="J94" s="7">
        <v>38243</v>
      </c>
      <c r="K94" s="331">
        <v>30</v>
      </c>
      <c r="L94" s="23">
        <f>+J94+K94</f>
        <v>38273</v>
      </c>
      <c r="M94" s="18" t="s">
        <v>124</v>
      </c>
      <c r="N94" s="6" t="s">
        <v>42</v>
      </c>
      <c r="O94" s="7">
        <v>38268</v>
      </c>
      <c r="P94" s="331">
        <f>IF(S94="","",+S94-L94)</f>
        <v>4</v>
      </c>
      <c r="Q94" s="331"/>
      <c r="R94" s="331"/>
      <c r="S94" s="175">
        <v>38277</v>
      </c>
      <c r="T94" s="175">
        <v>38332</v>
      </c>
      <c r="U94" s="331">
        <f>IF(T94="","",+T94-J94)</f>
        <v>89</v>
      </c>
      <c r="V94" s="6" t="s">
        <v>5118</v>
      </c>
      <c r="W94" s="6">
        <v>1047</v>
      </c>
      <c r="X94" s="59"/>
      <c r="Y94" s="59"/>
      <c r="Z94" s="6">
        <v>6656007164</v>
      </c>
      <c r="AA94" s="6" t="s">
        <v>47</v>
      </c>
      <c r="AB94" s="7" t="s">
        <v>47</v>
      </c>
      <c r="AC94" s="7"/>
      <c r="AD94" s="10" t="str">
        <f>IF(O94&lt;=L94,"en término","atrasado")</f>
        <v>en término</v>
      </c>
    </row>
    <row r="95" spans="1:30" s="9" customFormat="1" ht="12" thickBot="1" x14ac:dyDescent="0.25">
      <c r="A95" s="328"/>
      <c r="B95" s="19"/>
      <c r="C95" s="19"/>
      <c r="D95" s="5"/>
      <c r="E95" s="5"/>
      <c r="F95" s="5"/>
      <c r="G95" s="5"/>
      <c r="H95" s="26"/>
      <c r="I95" s="21"/>
      <c r="J95" s="5"/>
      <c r="K95" s="5"/>
      <c r="L95" s="27"/>
      <c r="M95" s="5"/>
      <c r="N95" s="5"/>
      <c r="O95" s="19"/>
      <c r="P95" s="19"/>
      <c r="Q95" s="19"/>
      <c r="R95" s="19"/>
      <c r="S95" s="19"/>
      <c r="T95" s="19"/>
      <c r="U95" s="19"/>
      <c r="V95" s="224" t="s">
        <v>3538</v>
      </c>
      <c r="W95" s="5"/>
      <c r="X95" s="61"/>
      <c r="Y95" s="61"/>
      <c r="Z95" s="5"/>
      <c r="AA95" s="5"/>
      <c r="AB95" s="5"/>
      <c r="AC95" s="5"/>
      <c r="AD95" s="330"/>
    </row>
    <row r="96" spans="1:30" s="9" customFormat="1" x14ac:dyDescent="0.2">
      <c r="A96" s="328"/>
      <c r="B96" s="16"/>
      <c r="C96" s="16"/>
      <c r="D96" s="7"/>
      <c r="E96" s="7"/>
      <c r="F96" s="6"/>
      <c r="G96" s="6"/>
      <c r="H96" s="17"/>
      <c r="I96" s="17"/>
      <c r="J96" s="7"/>
      <c r="K96" s="7"/>
      <c r="L96" s="23"/>
      <c r="M96" s="6"/>
      <c r="N96" s="6"/>
      <c r="O96" s="6"/>
      <c r="P96" s="6"/>
      <c r="Q96" s="6"/>
      <c r="R96" s="6"/>
      <c r="S96" s="6" t="s">
        <v>5119</v>
      </c>
      <c r="T96" s="6"/>
      <c r="U96" s="6"/>
      <c r="V96" s="138" t="s">
        <v>5120</v>
      </c>
      <c r="W96" s="6"/>
      <c r="X96" s="59"/>
      <c r="Y96" s="59"/>
      <c r="Z96" s="6"/>
      <c r="AA96" s="6"/>
      <c r="AB96" s="6"/>
      <c r="AC96" s="6"/>
      <c r="AD96" s="330"/>
    </row>
    <row r="97" spans="1:30" s="9" customFormat="1" x14ac:dyDescent="0.2">
      <c r="A97" s="328"/>
      <c r="B97" s="16" t="s">
        <v>120</v>
      </c>
      <c r="C97" s="16" t="s">
        <v>121</v>
      </c>
      <c r="D97" s="7" t="s">
        <v>5112</v>
      </c>
      <c r="E97" s="7"/>
      <c r="F97" s="6">
        <v>20496</v>
      </c>
      <c r="G97" s="6" t="s">
        <v>39</v>
      </c>
      <c r="H97" s="17">
        <v>636.24</v>
      </c>
      <c r="I97" s="39" t="s">
        <v>5113</v>
      </c>
      <c r="J97" s="7">
        <v>38174</v>
      </c>
      <c r="K97" s="331">
        <v>90</v>
      </c>
      <c r="L97" s="23">
        <f>+J97+K97</f>
        <v>38264</v>
      </c>
      <c r="M97" s="18" t="s">
        <v>124</v>
      </c>
      <c r="N97" s="6" t="s">
        <v>42</v>
      </c>
      <c r="O97" s="7">
        <v>38324</v>
      </c>
      <c r="P97" s="331">
        <f>IF(S97="","",+S97-L97)</f>
        <v>76</v>
      </c>
      <c r="Q97" s="331"/>
      <c r="R97" s="331"/>
      <c r="S97" s="175">
        <v>38340</v>
      </c>
      <c r="T97" s="7">
        <f>+S97+30</f>
        <v>38370</v>
      </c>
      <c r="U97" s="331">
        <f>IF(T97="","",+T97-J97)</f>
        <v>196</v>
      </c>
      <c r="V97" s="6" t="s">
        <v>2385</v>
      </c>
      <c r="W97" s="6">
        <v>1071</v>
      </c>
      <c r="X97" s="59"/>
      <c r="Y97" s="59"/>
      <c r="Z97" s="6">
        <v>6656007304</v>
      </c>
      <c r="AA97" s="6" t="s">
        <v>47</v>
      </c>
      <c r="AB97" s="7" t="s">
        <v>47</v>
      </c>
      <c r="AC97" s="7"/>
      <c r="AD97" s="10" t="str">
        <f>IF(O97&lt;=L97,"en término","atrasado")</f>
        <v>atrasado</v>
      </c>
    </row>
    <row r="98" spans="1:30" s="9" customFormat="1" ht="12" thickBot="1" x14ac:dyDescent="0.25">
      <c r="A98" s="328"/>
      <c r="B98" s="19"/>
      <c r="C98" s="19"/>
      <c r="D98" s="5"/>
      <c r="E98" s="5"/>
      <c r="F98" s="5"/>
      <c r="G98" s="5"/>
      <c r="H98" s="26"/>
      <c r="I98" s="21"/>
      <c r="J98" s="5"/>
      <c r="K98" s="5"/>
      <c r="L98" s="27"/>
      <c r="M98" s="5"/>
      <c r="N98" s="5"/>
      <c r="O98" s="19"/>
      <c r="P98" s="19"/>
      <c r="Q98" s="19"/>
      <c r="R98" s="19"/>
      <c r="S98" s="19"/>
      <c r="T98" s="19"/>
      <c r="U98" s="19"/>
      <c r="V98" s="224" t="s">
        <v>3538</v>
      </c>
      <c r="W98" s="5"/>
      <c r="X98" s="61"/>
      <c r="Y98" s="61"/>
      <c r="Z98" s="5"/>
      <c r="AA98" s="27">
        <v>38397</v>
      </c>
      <c r="AB98" s="5"/>
      <c r="AC98" s="5"/>
      <c r="AD98" s="330"/>
    </row>
    <row r="99" spans="1:30" s="9" customFormat="1" x14ac:dyDescent="0.2">
      <c r="A99" s="328"/>
      <c r="B99" s="16"/>
      <c r="C99" s="16"/>
      <c r="D99" s="7"/>
      <c r="E99" s="7"/>
      <c r="F99" s="6"/>
      <c r="G99" s="6"/>
      <c r="H99" s="17"/>
      <c r="I99" s="17"/>
      <c r="J99" s="7"/>
      <c r="K99" s="7"/>
      <c r="L99" s="23"/>
      <c r="M99" s="6"/>
      <c r="N99" s="6"/>
      <c r="O99" s="6"/>
      <c r="P99" s="6"/>
      <c r="Q99" s="6"/>
      <c r="R99" s="6"/>
      <c r="S99" s="6" t="s">
        <v>5119</v>
      </c>
      <c r="T99" s="6"/>
      <c r="U99" s="6"/>
      <c r="V99" s="138" t="s">
        <v>5120</v>
      </c>
      <c r="W99" s="6"/>
      <c r="X99" s="59"/>
      <c r="Y99" s="59"/>
      <c r="Z99" s="6"/>
      <c r="AA99" s="6"/>
      <c r="AB99" s="6"/>
      <c r="AC99" s="6"/>
      <c r="AD99" s="330"/>
    </row>
    <row r="100" spans="1:30" s="9" customFormat="1" x14ac:dyDescent="0.2">
      <c r="A100" s="328"/>
      <c r="B100" s="16" t="s">
        <v>120</v>
      </c>
      <c r="C100" s="16" t="s">
        <v>121</v>
      </c>
      <c r="D100" s="7" t="s">
        <v>5115</v>
      </c>
      <c r="E100" s="7"/>
      <c r="F100" s="6">
        <v>20779</v>
      </c>
      <c r="G100" s="6" t="s">
        <v>39</v>
      </c>
      <c r="H100" s="17">
        <v>2135.4</v>
      </c>
      <c r="I100" s="39" t="s">
        <v>5113</v>
      </c>
      <c r="J100" s="7">
        <v>38194</v>
      </c>
      <c r="K100" s="331">
        <v>30</v>
      </c>
      <c r="L100" s="23">
        <f>+J100+K100</f>
        <v>38224</v>
      </c>
      <c r="M100" s="18" t="s">
        <v>124</v>
      </c>
      <c r="N100" s="6" t="s">
        <v>42</v>
      </c>
      <c r="O100" s="7">
        <v>38324</v>
      </c>
      <c r="P100" s="331">
        <f>IF(S100="","",+S100-L100)</f>
        <v>116</v>
      </c>
      <c r="Q100" s="331"/>
      <c r="R100" s="331"/>
      <c r="S100" s="175">
        <v>38340</v>
      </c>
      <c r="T100" s="7">
        <f>+S100+30</f>
        <v>38370</v>
      </c>
      <c r="U100" s="331">
        <f>IF(T100="","",+T100-J100)</f>
        <v>176</v>
      </c>
      <c r="V100" s="6" t="s">
        <v>5121</v>
      </c>
      <c r="W100" s="6">
        <v>1071</v>
      </c>
      <c r="X100" s="59"/>
      <c r="Y100" s="59"/>
      <c r="Z100" s="6">
        <v>6656007304</v>
      </c>
      <c r="AA100" s="6" t="s">
        <v>47</v>
      </c>
      <c r="AB100" s="7" t="s">
        <v>47</v>
      </c>
      <c r="AC100" s="7"/>
      <c r="AD100" s="10" t="str">
        <f>IF(O100&lt;=L100,"en término","atrasado")</f>
        <v>atrasado</v>
      </c>
    </row>
    <row r="101" spans="1:30" s="9" customFormat="1" ht="12" thickBot="1" x14ac:dyDescent="0.25">
      <c r="A101" s="328"/>
      <c r="B101" s="19"/>
      <c r="C101" s="19"/>
      <c r="D101" s="5"/>
      <c r="E101" s="5"/>
      <c r="F101" s="5"/>
      <c r="G101" s="5"/>
      <c r="H101" s="26"/>
      <c r="I101" s="21"/>
      <c r="J101" s="5"/>
      <c r="K101" s="5"/>
      <c r="L101" s="27"/>
      <c r="M101" s="5"/>
      <c r="N101" s="5"/>
      <c r="O101" s="19"/>
      <c r="P101" s="19"/>
      <c r="Q101" s="19"/>
      <c r="R101" s="19"/>
      <c r="S101" s="19"/>
      <c r="T101" s="19"/>
      <c r="U101" s="19"/>
      <c r="V101" s="224" t="s">
        <v>3538</v>
      </c>
      <c r="W101" s="5"/>
      <c r="X101" s="61"/>
      <c r="Y101" s="61"/>
      <c r="Z101" s="5"/>
      <c r="AA101" s="27">
        <v>38397</v>
      </c>
      <c r="AB101" s="5"/>
      <c r="AC101" s="5"/>
      <c r="AD101" s="330"/>
    </row>
    <row r="102" spans="1:30" s="9" customFormat="1" x14ac:dyDescent="0.2">
      <c r="A102" s="328"/>
      <c r="B102" s="16"/>
      <c r="C102" s="16"/>
      <c r="D102" s="7"/>
      <c r="E102" s="7"/>
      <c r="F102" s="6"/>
      <c r="G102" s="6"/>
      <c r="H102" s="17"/>
      <c r="I102" s="17"/>
      <c r="J102" s="7"/>
      <c r="K102" s="7"/>
      <c r="L102" s="23"/>
      <c r="M102" s="6"/>
      <c r="N102" s="6"/>
      <c r="O102" s="6"/>
      <c r="P102" s="6"/>
      <c r="Q102" s="6"/>
      <c r="R102" s="6"/>
      <c r="S102" s="6" t="s">
        <v>5119</v>
      </c>
      <c r="T102" s="6"/>
      <c r="U102" s="6"/>
      <c r="V102" s="138" t="s">
        <v>5120</v>
      </c>
      <c r="W102" s="6"/>
      <c r="X102" s="59"/>
      <c r="Y102" s="59"/>
      <c r="Z102" s="6"/>
      <c r="AA102" s="6"/>
      <c r="AB102" s="6"/>
      <c r="AC102" s="6"/>
      <c r="AD102" s="330"/>
    </row>
    <row r="103" spans="1:30" s="9" customFormat="1" x14ac:dyDescent="0.2">
      <c r="A103" s="328"/>
      <c r="B103" s="16" t="s">
        <v>120</v>
      </c>
      <c r="C103" s="16" t="s">
        <v>121</v>
      </c>
      <c r="D103" s="7" t="s">
        <v>5117</v>
      </c>
      <c r="E103" s="7"/>
      <c r="F103" s="6">
        <v>21385</v>
      </c>
      <c r="G103" s="6" t="s">
        <v>39</v>
      </c>
      <c r="H103" s="17">
        <v>430</v>
      </c>
      <c r="I103" s="39" t="s">
        <v>5113</v>
      </c>
      <c r="J103" s="7">
        <v>38243</v>
      </c>
      <c r="K103" s="331">
        <v>30</v>
      </c>
      <c r="L103" s="23">
        <f>+J103+K103</f>
        <v>38273</v>
      </c>
      <c r="M103" s="18" t="s">
        <v>124</v>
      </c>
      <c r="N103" s="6" t="s">
        <v>42</v>
      </c>
      <c r="O103" s="7">
        <v>38324</v>
      </c>
      <c r="P103" s="331">
        <f>IF(S103="","",+S103-L103)</f>
        <v>67</v>
      </c>
      <c r="Q103" s="331"/>
      <c r="R103" s="331"/>
      <c r="S103" s="175">
        <v>38340</v>
      </c>
      <c r="T103" s="7">
        <f>+S103+30</f>
        <v>38370</v>
      </c>
      <c r="U103" s="331">
        <f>IF(T103="","",+T103-J103)</f>
        <v>127</v>
      </c>
      <c r="V103" s="6" t="s">
        <v>535</v>
      </c>
      <c r="W103" s="6">
        <v>1071</v>
      </c>
      <c r="X103" s="59"/>
      <c r="Y103" s="59"/>
      <c r="Z103" s="6">
        <v>6656007304</v>
      </c>
      <c r="AA103" s="6" t="s">
        <v>47</v>
      </c>
      <c r="AB103" s="7" t="s">
        <v>47</v>
      </c>
      <c r="AC103" s="7"/>
      <c r="AD103" s="10" t="str">
        <f>IF(O103&lt;=L103,"en término","atrasado")</f>
        <v>atrasado</v>
      </c>
    </row>
    <row r="104" spans="1:30" s="9" customFormat="1" ht="12" thickBot="1" x14ac:dyDescent="0.25">
      <c r="A104" s="328"/>
      <c r="B104" s="19"/>
      <c r="C104" s="19"/>
      <c r="D104" s="5"/>
      <c r="E104" s="5"/>
      <c r="F104" s="5"/>
      <c r="G104" s="5"/>
      <c r="H104" s="26"/>
      <c r="I104" s="21"/>
      <c r="J104" s="5"/>
      <c r="K104" s="5"/>
      <c r="L104" s="27"/>
      <c r="M104" s="5"/>
      <c r="N104" s="5"/>
      <c r="O104" s="19"/>
      <c r="P104" s="19"/>
      <c r="Q104" s="19"/>
      <c r="R104" s="19"/>
      <c r="S104" s="19"/>
      <c r="T104" s="19"/>
      <c r="U104" s="19"/>
      <c r="V104" s="224" t="s">
        <v>3538</v>
      </c>
      <c r="W104" s="5"/>
      <c r="X104" s="61"/>
      <c r="Y104" s="61"/>
      <c r="Z104" s="5"/>
      <c r="AA104" s="27">
        <v>38397</v>
      </c>
      <c r="AB104" s="5"/>
      <c r="AC104" s="5"/>
      <c r="AD104" s="330"/>
    </row>
    <row r="105" spans="1:30" s="9" customFormat="1" x14ac:dyDescent="0.2">
      <c r="A105" s="328"/>
      <c r="B105" s="16"/>
      <c r="C105" s="16"/>
      <c r="D105" s="7"/>
      <c r="E105" s="7"/>
      <c r="F105" s="6"/>
      <c r="G105" s="6"/>
      <c r="H105" s="17"/>
      <c r="I105" s="17"/>
      <c r="J105" s="7"/>
      <c r="K105" s="7"/>
      <c r="L105" s="23"/>
      <c r="M105" s="6"/>
      <c r="N105" s="6"/>
      <c r="O105" s="6"/>
      <c r="P105" s="6"/>
      <c r="Q105" s="6"/>
      <c r="R105" s="6"/>
      <c r="S105" s="6" t="s">
        <v>5119</v>
      </c>
      <c r="T105" s="6"/>
      <c r="U105" s="6"/>
      <c r="V105" s="138"/>
      <c r="W105" s="6"/>
      <c r="X105" s="59"/>
      <c r="Y105" s="59"/>
      <c r="Z105" s="6"/>
      <c r="AA105" s="6"/>
      <c r="AB105" s="6"/>
      <c r="AC105" s="6"/>
      <c r="AD105" s="330"/>
    </row>
    <row r="106" spans="1:30" s="9" customFormat="1" x14ac:dyDescent="0.2">
      <c r="A106" s="328"/>
      <c r="B106" s="16" t="s">
        <v>120</v>
      </c>
      <c r="C106" s="16" t="s">
        <v>121</v>
      </c>
      <c r="D106" s="7" t="s">
        <v>5122</v>
      </c>
      <c r="E106" s="7"/>
      <c r="F106" s="6">
        <v>22003</v>
      </c>
      <c r="G106" s="6" t="s">
        <v>39</v>
      </c>
      <c r="H106" s="17">
        <f>4682.4-1050</f>
        <v>3632.3999999999996</v>
      </c>
      <c r="I106" s="39" t="s">
        <v>5113</v>
      </c>
      <c r="J106" s="7">
        <v>38285</v>
      </c>
      <c r="K106" s="331">
        <v>30</v>
      </c>
      <c r="L106" s="23">
        <f>+J106+K106</f>
        <v>38315</v>
      </c>
      <c r="M106" s="18" t="s">
        <v>124</v>
      </c>
      <c r="N106" s="6" t="s">
        <v>42</v>
      </c>
      <c r="O106" s="7">
        <v>38324</v>
      </c>
      <c r="P106" s="331">
        <f>IF(S106="","",+S106-L106)</f>
        <v>25</v>
      </c>
      <c r="Q106" s="331"/>
      <c r="R106" s="331"/>
      <c r="S106" s="175">
        <v>38340</v>
      </c>
      <c r="T106" s="7">
        <f>+S106+30</f>
        <v>38370</v>
      </c>
      <c r="U106" s="331">
        <f>IF(T106="","",+T106-J106)</f>
        <v>85</v>
      </c>
      <c r="V106" s="6" t="s">
        <v>5123</v>
      </c>
      <c r="W106" s="6">
        <v>1071</v>
      </c>
      <c r="X106" s="59"/>
      <c r="Y106" s="59"/>
      <c r="Z106" s="6">
        <v>6656007304</v>
      </c>
      <c r="AA106" s="6" t="s">
        <v>47</v>
      </c>
      <c r="AB106" s="7" t="s">
        <v>47</v>
      </c>
      <c r="AC106" s="7"/>
      <c r="AD106" s="10" t="str">
        <f>IF(O106&lt;=L106,"en término","atrasado")</f>
        <v>atrasado</v>
      </c>
    </row>
    <row r="107" spans="1:30" s="9" customFormat="1" ht="12" thickBot="1" x14ac:dyDescent="0.25">
      <c r="A107" s="328"/>
      <c r="B107" s="19"/>
      <c r="C107" s="19"/>
      <c r="D107" s="5"/>
      <c r="E107" s="5"/>
      <c r="F107" s="5"/>
      <c r="G107" s="5"/>
      <c r="H107" s="26"/>
      <c r="I107" s="21"/>
      <c r="J107" s="5"/>
      <c r="K107" s="5"/>
      <c r="L107" s="27"/>
      <c r="M107" s="5"/>
      <c r="N107" s="5"/>
      <c r="O107" s="19"/>
      <c r="P107" s="19"/>
      <c r="Q107" s="19"/>
      <c r="R107" s="19"/>
      <c r="S107" s="19"/>
      <c r="T107" s="19"/>
      <c r="U107" s="19"/>
      <c r="V107" s="224" t="s">
        <v>3538</v>
      </c>
      <c r="W107" s="5"/>
      <c r="X107" s="61"/>
      <c r="Y107" s="61"/>
      <c r="Z107" s="5"/>
      <c r="AA107" s="27">
        <v>38397</v>
      </c>
      <c r="AB107" s="5"/>
      <c r="AC107" s="5"/>
      <c r="AD107" s="330"/>
    </row>
    <row r="108" spans="1:30" s="9" customFormat="1" x14ac:dyDescent="0.2">
      <c r="A108" s="328"/>
      <c r="B108" s="16"/>
      <c r="C108" s="16"/>
      <c r="D108" s="7"/>
      <c r="E108" s="7"/>
      <c r="F108" s="6"/>
      <c r="G108" s="6"/>
      <c r="H108" s="17"/>
      <c r="I108" s="17"/>
      <c r="J108" s="7"/>
      <c r="K108" s="7"/>
      <c r="L108" s="23"/>
      <c r="M108" s="6"/>
      <c r="N108" s="6"/>
      <c r="O108" s="6"/>
      <c r="P108" s="6"/>
      <c r="Q108" s="6"/>
      <c r="R108" s="6"/>
      <c r="S108" s="6" t="s">
        <v>5124</v>
      </c>
      <c r="T108" s="6"/>
      <c r="U108" s="6"/>
      <c r="V108" s="138"/>
      <c r="W108" s="6"/>
      <c r="X108" s="59"/>
      <c r="Y108" s="59"/>
      <c r="Z108" s="6"/>
      <c r="AA108" s="6"/>
      <c r="AB108" s="6"/>
      <c r="AC108" s="6"/>
      <c r="AD108" s="330"/>
    </row>
    <row r="109" spans="1:30" s="9" customFormat="1" x14ac:dyDescent="0.2">
      <c r="A109" s="328"/>
      <c r="B109" s="16" t="s">
        <v>120</v>
      </c>
      <c r="C109" s="16" t="s">
        <v>121</v>
      </c>
      <c r="D109" s="7" t="s">
        <v>5122</v>
      </c>
      <c r="E109" s="7"/>
      <c r="F109" s="6">
        <v>22003</v>
      </c>
      <c r="G109" s="6" t="s">
        <v>39</v>
      </c>
      <c r="H109" s="17">
        <v>1050</v>
      </c>
      <c r="I109" s="39" t="s">
        <v>5113</v>
      </c>
      <c r="J109" s="7">
        <v>38285</v>
      </c>
      <c r="K109" s="331">
        <v>30</v>
      </c>
      <c r="L109" s="23">
        <f>+J109+K109</f>
        <v>38315</v>
      </c>
      <c r="M109" s="18" t="s">
        <v>124</v>
      </c>
      <c r="N109" s="6" t="s">
        <v>42</v>
      </c>
      <c r="O109" s="7">
        <v>38342</v>
      </c>
      <c r="P109" s="331">
        <f>IF(S109="","",+S109-L109)</f>
        <v>49</v>
      </c>
      <c r="Q109" s="331"/>
      <c r="R109" s="331"/>
      <c r="S109" s="175">
        <v>38364</v>
      </c>
      <c r="T109" s="7">
        <v>38403</v>
      </c>
      <c r="U109" s="331">
        <f>IF(T109="","",+T109-J109)</f>
        <v>118</v>
      </c>
      <c r="V109" s="6" t="s">
        <v>4387</v>
      </c>
      <c r="W109" s="6">
        <v>1080</v>
      </c>
      <c r="X109" s="59"/>
      <c r="Y109" s="59"/>
      <c r="Z109" s="6">
        <v>6656007304</v>
      </c>
      <c r="AA109" s="6" t="s">
        <v>47</v>
      </c>
      <c r="AB109" s="7" t="s">
        <v>47</v>
      </c>
      <c r="AC109" s="7"/>
      <c r="AD109" s="10" t="str">
        <f>IF(O109&lt;=L109,"en término","atrasado")</f>
        <v>atrasado</v>
      </c>
    </row>
    <row r="110" spans="1:30" s="9" customFormat="1" ht="12" thickBot="1" x14ac:dyDescent="0.25">
      <c r="A110" s="328"/>
      <c r="B110" s="19"/>
      <c r="C110" s="19"/>
      <c r="D110" s="5"/>
      <c r="E110" s="5"/>
      <c r="F110" s="5"/>
      <c r="G110" s="5"/>
      <c r="H110" s="26"/>
      <c r="I110" s="21"/>
      <c r="J110" s="5"/>
      <c r="K110" s="5"/>
      <c r="L110" s="27"/>
      <c r="M110" s="5"/>
      <c r="N110" s="5"/>
      <c r="O110" s="19"/>
      <c r="P110" s="19"/>
      <c r="Q110" s="19"/>
      <c r="R110" s="19"/>
      <c r="S110" s="19"/>
      <c r="T110" s="19"/>
      <c r="U110" s="19"/>
      <c r="V110" s="224" t="s">
        <v>3538</v>
      </c>
      <c r="W110" s="5"/>
      <c r="X110" s="61"/>
      <c r="Y110" s="61"/>
      <c r="Z110" s="5"/>
      <c r="AA110" s="27">
        <v>38422</v>
      </c>
      <c r="AB110" s="5"/>
      <c r="AC110" s="5"/>
      <c r="AD110" s="330"/>
    </row>
    <row r="111" spans="1:30" s="9" customFormat="1" x14ac:dyDescent="0.2">
      <c r="A111" s="328"/>
      <c r="B111" s="16"/>
      <c r="C111" s="16"/>
      <c r="D111" s="7"/>
      <c r="E111" s="7"/>
      <c r="F111" s="6"/>
      <c r="G111" s="6"/>
      <c r="H111" s="17"/>
      <c r="I111" s="17"/>
      <c r="J111" s="7"/>
      <c r="K111" s="7"/>
      <c r="L111" s="23"/>
      <c r="M111" s="6"/>
      <c r="N111" s="6"/>
      <c r="O111" s="6"/>
      <c r="P111" s="6"/>
      <c r="Q111" s="6"/>
      <c r="R111" s="6"/>
      <c r="S111" s="6" t="s">
        <v>5124</v>
      </c>
      <c r="T111" s="6"/>
      <c r="U111" s="6"/>
      <c r="V111" s="138"/>
      <c r="W111" s="6"/>
      <c r="X111" s="59"/>
      <c r="Y111" s="59"/>
      <c r="Z111" s="6"/>
      <c r="AA111" s="6"/>
      <c r="AB111" s="6"/>
      <c r="AC111" s="6"/>
      <c r="AD111" s="330"/>
    </row>
    <row r="112" spans="1:30" s="9" customFormat="1" x14ac:dyDescent="0.2">
      <c r="A112" s="328"/>
      <c r="B112" s="16" t="s">
        <v>120</v>
      </c>
      <c r="C112" s="16" t="s">
        <v>121</v>
      </c>
      <c r="D112" s="7" t="s">
        <v>5125</v>
      </c>
      <c r="E112" s="7"/>
      <c r="F112" s="6">
        <v>22241</v>
      </c>
      <c r="G112" s="6" t="s">
        <v>39</v>
      </c>
      <c r="H112" s="17">
        <v>1937.9</v>
      </c>
      <c r="I112" s="39" t="s">
        <v>5113</v>
      </c>
      <c r="J112" s="7">
        <v>38314</v>
      </c>
      <c r="K112" s="331">
        <v>30</v>
      </c>
      <c r="L112" s="23">
        <f>+J112+K112</f>
        <v>38344</v>
      </c>
      <c r="M112" s="18" t="s">
        <v>124</v>
      </c>
      <c r="N112" s="6" t="s">
        <v>42</v>
      </c>
      <c r="O112" s="7">
        <v>38342</v>
      </c>
      <c r="P112" s="331">
        <f>IF(S112="","",+S112-L112)</f>
        <v>20</v>
      </c>
      <c r="Q112" s="331"/>
      <c r="R112" s="331"/>
      <c r="S112" s="175">
        <v>38364</v>
      </c>
      <c r="T112" s="7">
        <v>38403</v>
      </c>
      <c r="U112" s="331">
        <f>IF(T112="","",+T112-J112)</f>
        <v>89</v>
      </c>
      <c r="V112" s="6" t="s">
        <v>53</v>
      </c>
      <c r="W112" s="6">
        <v>1080</v>
      </c>
      <c r="X112" s="59"/>
      <c r="Y112" s="59"/>
      <c r="Z112" s="6">
        <v>6656007304</v>
      </c>
      <c r="AA112" s="6" t="s">
        <v>47</v>
      </c>
      <c r="AB112" s="7" t="s">
        <v>47</v>
      </c>
      <c r="AC112" s="7"/>
      <c r="AD112" s="10" t="str">
        <f>IF(O112&lt;=L112,"en término","atrasado")</f>
        <v>en término</v>
      </c>
    </row>
    <row r="113" spans="1:35" s="9" customFormat="1" ht="12" thickBot="1" x14ac:dyDescent="0.25">
      <c r="A113" s="328"/>
      <c r="B113" s="19"/>
      <c r="C113" s="19"/>
      <c r="D113" s="5"/>
      <c r="E113" s="5"/>
      <c r="F113" s="5"/>
      <c r="G113" s="5"/>
      <c r="H113" s="26"/>
      <c r="I113" s="21"/>
      <c r="J113" s="5"/>
      <c r="K113" s="5"/>
      <c r="L113" s="27"/>
      <c r="M113" s="5"/>
      <c r="N113" s="5"/>
      <c r="O113" s="19"/>
      <c r="P113" s="19"/>
      <c r="Q113" s="19"/>
      <c r="R113" s="19"/>
      <c r="S113" s="19"/>
      <c r="T113" s="19"/>
      <c r="U113" s="19"/>
      <c r="V113" s="224" t="s">
        <v>3538</v>
      </c>
      <c r="W113" s="5"/>
      <c r="X113" s="61"/>
      <c r="Y113" s="61"/>
      <c r="Z113" s="5"/>
      <c r="AA113" s="27">
        <v>38422</v>
      </c>
      <c r="AB113" s="5"/>
      <c r="AC113" s="5"/>
      <c r="AD113" s="330"/>
    </row>
    <row r="115" spans="1:35" ht="12.75" x14ac:dyDescent="0.2">
      <c r="AA115" s="1">
        <v>2004</v>
      </c>
      <c r="AB115" s="1048"/>
    </row>
    <row r="116" spans="1:35" ht="12.75" x14ac:dyDescent="0.2">
      <c r="S116" s="325"/>
      <c r="AA116" s="945" t="s">
        <v>813</v>
      </c>
      <c r="AB116" s="1048">
        <f>COUNTA(AD72:AD112)</f>
        <v>14</v>
      </c>
    </row>
    <row r="117" spans="1:35" ht="12.75" x14ac:dyDescent="0.2">
      <c r="AA117" s="945" t="s">
        <v>815</v>
      </c>
      <c r="AB117" s="1048">
        <f>COUNTIF(AD72:AD112,"en término")</f>
        <v>8</v>
      </c>
    </row>
    <row r="118" spans="1:35" ht="12.75" x14ac:dyDescent="0.2">
      <c r="AA118" s="945" t="s">
        <v>817</v>
      </c>
      <c r="AB118" s="557">
        <f>+AB117/AB116</f>
        <v>0.5714285714285714</v>
      </c>
    </row>
    <row r="120" spans="1:35" ht="12" thickBot="1" x14ac:dyDescent="0.25"/>
    <row r="121" spans="1:35" s="556" customFormat="1" ht="39.950000000000003" customHeight="1" thickBot="1" x14ac:dyDescent="0.4">
      <c r="B121" s="1654">
        <v>2005</v>
      </c>
      <c r="C121" s="1655"/>
      <c r="D121" s="1655"/>
      <c r="E121" s="1655"/>
      <c r="F121" s="1655"/>
      <c r="G121" s="1655"/>
      <c r="H121" s="1655"/>
      <c r="I121" s="1655"/>
      <c r="J121" s="1655"/>
      <c r="K121" s="1655"/>
      <c r="L121" s="1655"/>
      <c r="M121" s="1655"/>
      <c r="N121" s="1655"/>
      <c r="O121" s="1655"/>
      <c r="P121" s="1655"/>
      <c r="Q121" s="1655"/>
      <c r="R121" s="1655"/>
      <c r="S121" s="1655"/>
      <c r="T121" s="1655"/>
      <c r="U121" s="1655"/>
      <c r="V121" s="1655"/>
      <c r="W121" s="1655"/>
      <c r="X121" s="1655"/>
      <c r="Y121" s="1655"/>
      <c r="Z121" s="1655"/>
      <c r="AA121" s="1655"/>
      <c r="AB121" s="1655"/>
      <c r="AC121" s="1656"/>
    </row>
    <row r="122" spans="1:35" s="441" customFormat="1" ht="60" customHeight="1" thickBot="1" x14ac:dyDescent="0.25">
      <c r="A122" s="438"/>
      <c r="B122" s="451" t="s">
        <v>130</v>
      </c>
      <c r="C122" s="451" t="s">
        <v>4</v>
      </c>
      <c r="D122" s="451" t="s">
        <v>5</v>
      </c>
      <c r="E122" s="451" t="s">
        <v>6</v>
      </c>
      <c r="F122" s="451" t="s">
        <v>7</v>
      </c>
      <c r="G122" s="451" t="s">
        <v>8</v>
      </c>
      <c r="H122" s="453" t="s">
        <v>9</v>
      </c>
      <c r="I122" s="453" t="s">
        <v>10</v>
      </c>
      <c r="J122" s="451" t="s">
        <v>11</v>
      </c>
      <c r="K122" s="451" t="s">
        <v>12</v>
      </c>
      <c r="L122" s="451" t="s">
        <v>13</v>
      </c>
      <c r="M122" s="451" t="s">
        <v>14</v>
      </c>
      <c r="N122" s="451" t="s">
        <v>15</v>
      </c>
      <c r="O122" s="452" t="s">
        <v>16</v>
      </c>
      <c r="P122" s="454" t="s">
        <v>17</v>
      </c>
      <c r="Q122" s="451" t="s">
        <v>18</v>
      </c>
      <c r="R122" s="452" t="s">
        <v>19</v>
      </c>
      <c r="S122" s="451" t="s">
        <v>20</v>
      </c>
      <c r="T122" s="451" t="s">
        <v>21</v>
      </c>
      <c r="U122" s="452" t="s">
        <v>22</v>
      </c>
      <c r="V122" s="451" t="s">
        <v>131</v>
      </c>
      <c r="W122" s="451" t="s">
        <v>24</v>
      </c>
      <c r="X122" s="451" t="s">
        <v>132</v>
      </c>
      <c r="Y122" s="451" t="s">
        <v>26</v>
      </c>
      <c r="Z122" s="451" t="s">
        <v>27</v>
      </c>
      <c r="AA122" s="451" t="s">
        <v>28</v>
      </c>
      <c r="AB122" s="451" t="s">
        <v>29</v>
      </c>
      <c r="AC122" s="451" t="s">
        <v>30</v>
      </c>
      <c r="AD122" s="439"/>
      <c r="AE122" s="440"/>
      <c r="AF122" s="440"/>
      <c r="AG122" s="440"/>
      <c r="AH122" s="440"/>
      <c r="AI122" s="440"/>
    </row>
    <row r="123" spans="1:35" s="9" customFormat="1" x14ac:dyDescent="0.2">
      <c r="A123" s="328"/>
      <c r="B123" s="16"/>
      <c r="C123" s="16"/>
      <c r="D123" s="7"/>
      <c r="E123" s="7"/>
      <c r="F123" s="6"/>
      <c r="G123" s="6"/>
      <c r="H123" s="17"/>
      <c r="I123" s="17"/>
      <c r="J123" s="7"/>
      <c r="K123" s="7"/>
      <c r="L123" s="23"/>
      <c r="M123" s="6"/>
      <c r="N123" s="6"/>
      <c r="O123" s="6"/>
      <c r="P123" s="6"/>
      <c r="Q123" s="6"/>
      <c r="R123" s="6"/>
      <c r="S123" s="6" t="s">
        <v>5126</v>
      </c>
      <c r="T123" s="6"/>
      <c r="U123" s="6"/>
      <c r="V123" s="138" t="s">
        <v>1344</v>
      </c>
      <c r="W123" s="6"/>
      <c r="X123" s="59"/>
      <c r="Y123" s="59"/>
      <c r="Z123" s="6"/>
      <c r="AA123" s="6"/>
      <c r="AB123" s="6"/>
      <c r="AC123" s="6"/>
      <c r="AD123" s="330"/>
    </row>
    <row r="124" spans="1:35" s="9" customFormat="1" x14ac:dyDescent="0.2">
      <c r="A124" s="328"/>
      <c r="B124" s="16" t="s">
        <v>120</v>
      </c>
      <c r="C124" s="16" t="s">
        <v>121</v>
      </c>
      <c r="D124" s="7" t="s">
        <v>5127</v>
      </c>
      <c r="E124" s="7"/>
      <c r="F124" s="6">
        <v>23025</v>
      </c>
      <c r="G124" s="6" t="s">
        <v>39</v>
      </c>
      <c r="H124" s="17">
        <v>19332.82</v>
      </c>
      <c r="I124" s="39" t="s">
        <v>5113</v>
      </c>
      <c r="J124" s="18">
        <v>38398</v>
      </c>
      <c r="K124" s="331">
        <v>60</v>
      </c>
      <c r="L124" s="348">
        <f>+J124+K124</f>
        <v>38458</v>
      </c>
      <c r="M124" s="18" t="s">
        <v>124</v>
      </c>
      <c r="N124" s="6" t="s">
        <v>42</v>
      </c>
      <c r="O124" s="18">
        <v>38450</v>
      </c>
      <c r="P124" s="331">
        <f>IF(S124="","",+S124-L124)</f>
        <v>9</v>
      </c>
      <c r="Q124" s="331"/>
      <c r="R124" s="331"/>
      <c r="S124" s="349">
        <v>38467</v>
      </c>
      <c r="T124" s="18">
        <f>+S124+30</f>
        <v>38497</v>
      </c>
      <c r="U124" s="331">
        <f>IF(T124="","",+T124-J124)</f>
        <v>99</v>
      </c>
      <c r="V124" s="6" t="s">
        <v>53</v>
      </c>
      <c r="W124" s="340" t="s">
        <v>5128</v>
      </c>
      <c r="X124" s="59"/>
      <c r="Y124" s="59"/>
      <c r="Z124" s="6">
        <v>6671346474</v>
      </c>
      <c r="AA124" s="6" t="s">
        <v>47</v>
      </c>
      <c r="AB124" s="18" t="s">
        <v>47</v>
      </c>
      <c r="AC124" s="18"/>
      <c r="AD124" s="10" t="str">
        <f>IF(O124&lt;=L124,"en término","atrasado")</f>
        <v>en término</v>
      </c>
    </row>
    <row r="125" spans="1:35" s="9" customFormat="1" ht="12" thickBot="1" x14ac:dyDescent="0.25">
      <c r="A125" s="328"/>
      <c r="B125" s="19"/>
      <c r="C125" s="19"/>
      <c r="D125" s="5"/>
      <c r="E125" s="5"/>
      <c r="F125" s="5"/>
      <c r="G125" s="5"/>
      <c r="H125" s="26">
        <v>15700</v>
      </c>
      <c r="I125" s="21"/>
      <c r="J125" s="5"/>
      <c r="K125" s="5"/>
      <c r="L125" s="27"/>
      <c r="M125" s="5"/>
      <c r="N125" s="5"/>
      <c r="O125" s="19"/>
      <c r="P125" s="19"/>
      <c r="Q125" s="19"/>
      <c r="R125" s="19"/>
      <c r="S125" s="19"/>
      <c r="T125" s="19"/>
      <c r="U125" s="19"/>
      <c r="V125" s="224" t="s">
        <v>3538</v>
      </c>
      <c r="W125" s="5"/>
      <c r="X125" s="61"/>
      <c r="Y125" s="61"/>
      <c r="Z125" s="5"/>
      <c r="AA125" s="27">
        <v>38518</v>
      </c>
      <c r="AB125" s="5"/>
      <c r="AC125" s="5"/>
      <c r="AD125" s="330"/>
    </row>
    <row r="126" spans="1:35" s="9" customFormat="1" x14ac:dyDescent="0.2">
      <c r="A126" s="328"/>
      <c r="B126" s="16"/>
      <c r="C126" s="16"/>
      <c r="D126" s="7"/>
      <c r="E126" s="7"/>
      <c r="F126" s="6"/>
      <c r="G126" s="6"/>
      <c r="H126" s="17" t="s">
        <v>77</v>
      </c>
      <c r="I126" s="17"/>
      <c r="J126" s="7"/>
      <c r="K126" s="7"/>
      <c r="L126" s="23"/>
      <c r="M126" s="6"/>
      <c r="N126" s="6"/>
      <c r="O126" s="6"/>
      <c r="P126" s="6"/>
      <c r="Q126" s="6"/>
      <c r="R126" s="6"/>
      <c r="S126" s="6" t="s">
        <v>5126</v>
      </c>
      <c r="T126" s="6"/>
      <c r="U126" s="6"/>
      <c r="V126" s="138"/>
      <c r="W126" s="6"/>
      <c r="X126" s="59"/>
      <c r="Y126" s="59"/>
      <c r="Z126" s="6"/>
      <c r="AA126" s="6"/>
      <c r="AB126" s="6"/>
      <c r="AC126" s="6"/>
      <c r="AD126" s="330"/>
    </row>
    <row r="127" spans="1:35" s="9" customFormat="1" x14ac:dyDescent="0.2">
      <c r="A127" s="328"/>
      <c r="B127" s="16" t="s">
        <v>120</v>
      </c>
      <c r="C127" s="16" t="s">
        <v>121</v>
      </c>
      <c r="D127" s="7" t="s">
        <v>5129</v>
      </c>
      <c r="E127" s="7"/>
      <c r="F127" s="6">
        <v>23170</v>
      </c>
      <c r="G127" s="6" t="s">
        <v>39</v>
      </c>
      <c r="H127" s="17">
        <v>1597</v>
      </c>
      <c r="I127" s="39" t="s">
        <v>5113</v>
      </c>
      <c r="J127" s="18">
        <v>38401</v>
      </c>
      <c r="K127" s="331">
        <v>60</v>
      </c>
      <c r="L127" s="348">
        <f>+J127+K127</f>
        <v>38461</v>
      </c>
      <c r="M127" s="18" t="s">
        <v>124</v>
      </c>
      <c r="N127" s="6" t="s">
        <v>42</v>
      </c>
      <c r="O127" s="18">
        <v>38450</v>
      </c>
      <c r="P127" s="331">
        <f>IF(S127="","",+S127-L127)</f>
        <v>6</v>
      </c>
      <c r="Q127" s="331"/>
      <c r="R127" s="331"/>
      <c r="S127" s="349">
        <v>38467</v>
      </c>
      <c r="T127" s="18">
        <f>+S127+30</f>
        <v>38497</v>
      </c>
      <c r="U127" s="331">
        <f>IF(T127="","",+T127-J127)</f>
        <v>96</v>
      </c>
      <c r="V127" s="6" t="s">
        <v>5130</v>
      </c>
      <c r="W127" s="340" t="s">
        <v>5128</v>
      </c>
      <c r="X127" s="59"/>
      <c r="Y127" s="59"/>
      <c r="Z127" s="6">
        <v>6671346474</v>
      </c>
      <c r="AA127" s="6" t="s">
        <v>47</v>
      </c>
      <c r="AB127" s="18" t="s">
        <v>47</v>
      </c>
      <c r="AC127" s="18"/>
      <c r="AD127" s="10" t="str">
        <f>IF(O127&lt;=L127,"en término","atrasado")</f>
        <v>en término</v>
      </c>
    </row>
    <row r="128" spans="1:35" s="9" customFormat="1" ht="12" thickBot="1" x14ac:dyDescent="0.25">
      <c r="A128" s="328"/>
      <c r="B128" s="19"/>
      <c r="C128" s="19"/>
      <c r="D128" s="5"/>
      <c r="E128" s="5"/>
      <c r="F128" s="5"/>
      <c r="G128" s="5"/>
      <c r="H128" s="26"/>
      <c r="I128" s="21"/>
      <c r="J128" s="5"/>
      <c r="K128" s="5"/>
      <c r="L128" s="27"/>
      <c r="M128" s="5"/>
      <c r="N128" s="5"/>
      <c r="O128" s="19"/>
      <c r="P128" s="19"/>
      <c r="Q128" s="19"/>
      <c r="R128" s="19"/>
      <c r="S128" s="351"/>
      <c r="T128" s="19"/>
      <c r="U128" s="19"/>
      <c r="V128" s="224" t="s">
        <v>3538</v>
      </c>
      <c r="W128" s="5"/>
      <c r="X128" s="61"/>
      <c r="Y128" s="61"/>
      <c r="Z128" s="5"/>
      <c r="AA128" s="27">
        <v>38518</v>
      </c>
      <c r="AB128" s="5"/>
      <c r="AC128" s="5"/>
      <c r="AD128" s="330"/>
    </row>
    <row r="129" spans="1:30" s="9" customFormat="1" x14ac:dyDescent="0.2">
      <c r="A129" s="328"/>
      <c r="B129" s="16"/>
      <c r="C129" s="16"/>
      <c r="D129" s="7"/>
      <c r="E129" s="7"/>
      <c r="F129" s="6"/>
      <c r="G129" s="6"/>
      <c r="H129" s="17" t="s">
        <v>77</v>
      </c>
      <c r="I129" s="17"/>
      <c r="J129" s="7"/>
      <c r="K129" s="7"/>
      <c r="L129" s="23"/>
      <c r="M129" s="6"/>
      <c r="N129" s="6"/>
      <c r="O129" s="6"/>
      <c r="P129" s="6"/>
      <c r="Q129" s="6"/>
      <c r="R129" s="6"/>
      <c r="S129" s="6" t="s">
        <v>5131</v>
      </c>
      <c r="T129" s="6"/>
      <c r="U129" s="6"/>
      <c r="V129" s="138"/>
      <c r="W129" s="6"/>
      <c r="X129" s="59"/>
      <c r="Y129" s="59"/>
      <c r="Z129" s="6"/>
      <c r="AA129" s="6"/>
      <c r="AB129" s="6"/>
      <c r="AC129" s="6"/>
      <c r="AD129" s="330"/>
    </row>
    <row r="130" spans="1:30" s="9" customFormat="1" x14ac:dyDescent="0.2">
      <c r="A130" s="328"/>
      <c r="B130" s="16" t="s">
        <v>120</v>
      </c>
      <c r="C130" s="16" t="s">
        <v>121</v>
      </c>
      <c r="D130" s="7" t="s">
        <v>5132</v>
      </c>
      <c r="E130" s="7"/>
      <c r="F130" s="6">
        <v>23443</v>
      </c>
      <c r="G130" s="6" t="s">
        <v>39</v>
      </c>
      <c r="H130" s="17">
        <v>23128.400000000001</v>
      </c>
      <c r="I130" s="39" t="s">
        <v>5113</v>
      </c>
      <c r="J130" s="18">
        <v>38425</v>
      </c>
      <c r="K130" s="331">
        <v>60</v>
      </c>
      <c r="L130" s="348">
        <f>+J130+K130</f>
        <v>38485</v>
      </c>
      <c r="M130" s="18" t="s">
        <v>124</v>
      </c>
      <c r="N130" s="6" t="s">
        <v>42</v>
      </c>
      <c r="O130" s="18">
        <v>38478</v>
      </c>
      <c r="P130" s="331">
        <f>IF(S130="","",+S130-L130)</f>
        <v>17</v>
      </c>
      <c r="Q130" s="331"/>
      <c r="R130" s="331"/>
      <c r="S130" s="349">
        <v>38502</v>
      </c>
      <c r="T130" s="18">
        <f>+S130+60</f>
        <v>38562</v>
      </c>
      <c r="U130" s="331">
        <f>IF(T130="","",+T130-J130)</f>
        <v>137</v>
      </c>
      <c r="V130" s="6" t="s">
        <v>5133</v>
      </c>
      <c r="W130" s="340" t="s">
        <v>5134</v>
      </c>
      <c r="X130" s="59"/>
      <c r="Y130" s="59"/>
      <c r="Z130" s="6">
        <v>6505563820</v>
      </c>
      <c r="AA130" s="6" t="s">
        <v>47</v>
      </c>
      <c r="AB130" s="18" t="s">
        <v>47</v>
      </c>
      <c r="AC130" s="18"/>
      <c r="AD130" s="10" t="str">
        <f>IF(O130&lt;=L130,"en término","atrasado")</f>
        <v>en término</v>
      </c>
    </row>
    <row r="131" spans="1:30" s="9" customFormat="1" ht="12" thickBot="1" x14ac:dyDescent="0.25">
      <c r="A131" s="328"/>
      <c r="B131" s="19"/>
      <c r="C131" s="19"/>
      <c r="D131" s="5"/>
      <c r="E131" s="5"/>
      <c r="F131" s="5"/>
      <c r="G131" s="5"/>
      <c r="H131" s="26"/>
      <c r="I131" s="21"/>
      <c r="J131" s="5"/>
      <c r="K131" s="5"/>
      <c r="L131" s="27"/>
      <c r="M131" s="5"/>
      <c r="N131" s="5"/>
      <c r="O131" s="19"/>
      <c r="P131" s="19"/>
      <c r="Q131" s="19"/>
      <c r="R131" s="19"/>
      <c r="S131" s="19"/>
      <c r="T131" s="19"/>
      <c r="U131" s="19"/>
      <c r="V131" s="224" t="s">
        <v>3538</v>
      </c>
      <c r="W131" s="5"/>
      <c r="X131" s="61"/>
      <c r="Y131" s="61"/>
      <c r="Z131" s="5"/>
      <c r="AA131" s="27">
        <v>38607</v>
      </c>
      <c r="AB131" s="5"/>
      <c r="AC131" s="5"/>
      <c r="AD131" s="330"/>
    </row>
    <row r="132" spans="1:30" s="9" customFormat="1" x14ac:dyDescent="0.2">
      <c r="A132" s="328"/>
      <c r="B132" s="16"/>
      <c r="C132" s="16"/>
      <c r="D132" s="7"/>
      <c r="E132" s="7"/>
      <c r="F132" s="6"/>
      <c r="G132" s="6"/>
      <c r="H132" s="17" t="s">
        <v>77</v>
      </c>
      <c r="I132" s="17"/>
      <c r="J132" s="7"/>
      <c r="K132" s="7"/>
      <c r="L132" s="23"/>
      <c r="M132" s="6"/>
      <c r="N132" s="6"/>
      <c r="O132" s="6"/>
      <c r="P132" s="6"/>
      <c r="Q132" s="6"/>
      <c r="R132" s="6"/>
      <c r="S132" s="6" t="s">
        <v>5131</v>
      </c>
      <c r="T132" s="6"/>
      <c r="U132" s="6"/>
      <c r="V132" s="138"/>
      <c r="W132" s="6"/>
      <c r="X132" s="59"/>
      <c r="Y132" s="59"/>
      <c r="Z132" s="6"/>
      <c r="AA132" s="6"/>
      <c r="AB132" s="6"/>
      <c r="AC132" s="6"/>
      <c r="AD132" s="330"/>
    </row>
    <row r="133" spans="1:30" s="9" customFormat="1" x14ac:dyDescent="0.2">
      <c r="A133" s="328"/>
      <c r="B133" s="16" t="s">
        <v>120</v>
      </c>
      <c r="C133" s="16" t="s">
        <v>121</v>
      </c>
      <c r="D133" s="7" t="s">
        <v>5135</v>
      </c>
      <c r="E133" s="7"/>
      <c r="F133" s="6">
        <v>23498</v>
      </c>
      <c r="G133" s="6" t="s">
        <v>39</v>
      </c>
      <c r="H133" s="17">
        <v>463.04</v>
      </c>
      <c r="I133" s="39" t="s">
        <v>5113</v>
      </c>
      <c r="J133" s="18">
        <v>38432</v>
      </c>
      <c r="K133" s="331">
        <v>60</v>
      </c>
      <c r="L133" s="348">
        <f>+J133+K133</f>
        <v>38492</v>
      </c>
      <c r="M133" s="18" t="s">
        <v>124</v>
      </c>
      <c r="N133" s="6" t="s">
        <v>42</v>
      </c>
      <c r="O133" s="18">
        <v>38478</v>
      </c>
      <c r="P133" s="331">
        <f>IF(S133="","",+S133-L133)</f>
        <v>10</v>
      </c>
      <c r="Q133" s="331"/>
      <c r="R133" s="331"/>
      <c r="S133" s="349">
        <v>38502</v>
      </c>
      <c r="T133" s="18">
        <f>+S133+60</f>
        <v>38562</v>
      </c>
      <c r="U133" s="331">
        <f>IF(T133="","",+T133-J133)</f>
        <v>130</v>
      </c>
      <c r="V133" s="6" t="s">
        <v>5136</v>
      </c>
      <c r="W133" s="340" t="s">
        <v>5134</v>
      </c>
      <c r="X133" s="59"/>
      <c r="Y133" s="59"/>
      <c r="Z133" s="6">
        <v>6505563820</v>
      </c>
      <c r="AA133" s="6" t="s">
        <v>47</v>
      </c>
      <c r="AB133" s="18" t="s">
        <v>47</v>
      </c>
      <c r="AC133" s="18"/>
      <c r="AD133" s="10" t="str">
        <f>IF(O133&lt;=L133,"en término","atrasado")</f>
        <v>en término</v>
      </c>
    </row>
    <row r="134" spans="1:30" s="9" customFormat="1" ht="12" thickBot="1" x14ac:dyDescent="0.25">
      <c r="A134" s="328"/>
      <c r="B134" s="19"/>
      <c r="C134" s="19"/>
      <c r="D134" s="5"/>
      <c r="E134" s="5"/>
      <c r="F134" s="5"/>
      <c r="G134" s="5"/>
      <c r="H134" s="26"/>
      <c r="I134" s="21"/>
      <c r="J134" s="5"/>
      <c r="K134" s="5"/>
      <c r="L134" s="27"/>
      <c r="M134" s="5"/>
      <c r="N134" s="5"/>
      <c r="O134" s="19"/>
      <c r="P134" s="19"/>
      <c r="Q134" s="19"/>
      <c r="R134" s="19"/>
      <c r="S134" s="19"/>
      <c r="T134" s="19"/>
      <c r="U134" s="19"/>
      <c r="V134" s="224" t="s">
        <v>3538</v>
      </c>
      <c r="W134" s="5"/>
      <c r="X134" s="61"/>
      <c r="Y134" s="61"/>
      <c r="Z134" s="5"/>
      <c r="AA134" s="27">
        <v>38607</v>
      </c>
      <c r="AB134" s="5"/>
      <c r="AC134" s="5"/>
      <c r="AD134" s="330"/>
    </row>
    <row r="135" spans="1:30" s="9" customFormat="1" x14ac:dyDescent="0.2">
      <c r="A135" s="328"/>
      <c r="B135" s="16"/>
      <c r="C135" s="16"/>
      <c r="D135" s="7"/>
      <c r="E135" s="7"/>
      <c r="F135" s="6"/>
      <c r="G135" s="6"/>
      <c r="H135" s="17"/>
      <c r="I135" s="17"/>
      <c r="J135" s="7"/>
      <c r="K135" s="7"/>
      <c r="L135" s="23"/>
      <c r="M135" s="6"/>
      <c r="N135" s="6"/>
      <c r="O135" s="6"/>
      <c r="P135" s="6"/>
      <c r="Q135" s="6"/>
      <c r="R135" s="6"/>
      <c r="S135" s="6" t="s">
        <v>5137</v>
      </c>
      <c r="T135" s="6"/>
      <c r="U135" s="6"/>
      <c r="V135" s="138" t="s">
        <v>1362</v>
      </c>
      <c r="W135" s="6"/>
      <c r="X135" s="59"/>
      <c r="Y135" s="59"/>
      <c r="Z135" s="6"/>
      <c r="AA135" s="6"/>
      <c r="AB135" s="6"/>
      <c r="AC135" s="6"/>
      <c r="AD135" s="330"/>
    </row>
    <row r="136" spans="1:30" s="9" customFormat="1" x14ac:dyDescent="0.2">
      <c r="A136" s="328"/>
      <c r="B136" s="16" t="s">
        <v>120</v>
      </c>
      <c r="C136" s="16" t="s">
        <v>121</v>
      </c>
      <c r="D136" s="7" t="s">
        <v>5127</v>
      </c>
      <c r="E136" s="7"/>
      <c r="F136" s="6">
        <v>23025</v>
      </c>
      <c r="G136" s="6" t="s">
        <v>39</v>
      </c>
      <c r="H136" s="17">
        <v>19332.82</v>
      </c>
      <c r="I136" s="39" t="s">
        <v>5113</v>
      </c>
      <c r="J136" s="18">
        <v>38398</v>
      </c>
      <c r="K136" s="331">
        <v>60</v>
      </c>
      <c r="L136" s="348">
        <f>+J136+K136</f>
        <v>38458</v>
      </c>
      <c r="M136" s="18" t="s">
        <v>124</v>
      </c>
      <c r="N136" s="6" t="s">
        <v>42</v>
      </c>
      <c r="O136" s="18">
        <v>38555</v>
      </c>
      <c r="P136" s="331">
        <f>IF(S136="","",+S136-L136)</f>
        <v>111</v>
      </c>
      <c r="Q136" s="331"/>
      <c r="R136" s="331"/>
      <c r="S136" s="349">
        <v>38569</v>
      </c>
      <c r="T136" s="18">
        <v>38596</v>
      </c>
      <c r="U136" s="331">
        <f>IF(T136="","",+T136-J136)</f>
        <v>198</v>
      </c>
      <c r="V136" s="6" t="s">
        <v>5138</v>
      </c>
      <c r="W136" s="340" t="s">
        <v>5139</v>
      </c>
      <c r="X136" s="59"/>
      <c r="Y136" s="59"/>
      <c r="Z136" s="6">
        <v>6505563680</v>
      </c>
      <c r="AA136" s="6" t="s">
        <v>47</v>
      </c>
      <c r="AB136" s="18" t="s">
        <v>47</v>
      </c>
      <c r="AC136" s="18"/>
      <c r="AD136" s="10" t="str">
        <f>IF(O136&lt;=L136,"en término","atrasado")</f>
        <v>atrasado</v>
      </c>
    </row>
    <row r="137" spans="1:30" s="9" customFormat="1" ht="12" thickBot="1" x14ac:dyDescent="0.25">
      <c r="A137" s="328"/>
      <c r="B137" s="19"/>
      <c r="C137" s="19"/>
      <c r="D137" s="5"/>
      <c r="E137" s="5"/>
      <c r="F137" s="5"/>
      <c r="G137" s="5"/>
      <c r="H137" s="26">
        <v>3633</v>
      </c>
      <c r="I137" s="21"/>
      <c r="J137" s="5"/>
      <c r="K137" s="5"/>
      <c r="L137" s="27"/>
      <c r="M137" s="5"/>
      <c r="N137" s="5"/>
      <c r="O137" s="19"/>
      <c r="P137" s="19"/>
      <c r="Q137" s="19"/>
      <c r="R137" s="19"/>
      <c r="S137" s="19"/>
      <c r="T137" s="5" t="s">
        <v>5140</v>
      </c>
      <c r="U137" s="19"/>
      <c r="V137" s="224" t="s">
        <v>3538</v>
      </c>
      <c r="W137" s="5"/>
      <c r="X137" s="61"/>
      <c r="Y137" s="61"/>
      <c r="Z137" s="5"/>
      <c r="AA137" s="27">
        <v>38616</v>
      </c>
      <c r="AB137" s="5"/>
      <c r="AC137" s="5"/>
      <c r="AD137" s="330"/>
    </row>
    <row r="138" spans="1:30" s="9" customFormat="1" x14ac:dyDescent="0.2">
      <c r="A138" s="328"/>
      <c r="B138" s="16"/>
      <c r="C138" s="16"/>
      <c r="D138" s="7"/>
      <c r="E138" s="7"/>
      <c r="F138" s="6"/>
      <c r="G138" s="6"/>
      <c r="H138" s="17" t="s">
        <v>77</v>
      </c>
      <c r="I138" s="17"/>
      <c r="J138" s="7"/>
      <c r="K138" s="7"/>
      <c r="L138" s="23"/>
      <c r="M138" s="6"/>
      <c r="N138" s="6"/>
      <c r="O138" s="6"/>
      <c r="P138" s="6"/>
      <c r="Q138" s="6"/>
      <c r="R138" s="6"/>
      <c r="S138" s="6" t="s">
        <v>5137</v>
      </c>
      <c r="T138" s="6"/>
      <c r="U138" s="6"/>
      <c r="V138" s="138"/>
      <c r="W138" s="6"/>
      <c r="X138" s="59"/>
      <c r="Y138" s="59"/>
      <c r="Z138" s="6"/>
      <c r="AA138" s="6"/>
      <c r="AB138" s="6"/>
      <c r="AC138" s="6"/>
      <c r="AD138" s="330"/>
    </row>
    <row r="139" spans="1:30" s="9" customFormat="1" x14ac:dyDescent="0.2">
      <c r="A139" s="328"/>
      <c r="B139" s="16" t="s">
        <v>120</v>
      </c>
      <c r="C139" s="16" t="s">
        <v>121</v>
      </c>
      <c r="D139" s="7" t="s">
        <v>5141</v>
      </c>
      <c r="E139" s="7"/>
      <c r="F139" s="6">
        <v>24170</v>
      </c>
      <c r="G139" s="6" t="s">
        <v>39</v>
      </c>
      <c r="H139" s="17">
        <v>22262.73</v>
      </c>
      <c r="I139" s="39" t="s">
        <v>5113</v>
      </c>
      <c r="J139" s="18">
        <v>38488</v>
      </c>
      <c r="K139" s="331">
        <v>150</v>
      </c>
      <c r="L139" s="348">
        <f>+J139+K139</f>
        <v>38638</v>
      </c>
      <c r="M139" s="18" t="s">
        <v>124</v>
      </c>
      <c r="N139" s="6" t="s">
        <v>42</v>
      </c>
      <c r="O139" s="18">
        <v>38555</v>
      </c>
      <c r="P139" s="331">
        <f>IF(S139="","",+S139-L139)</f>
        <v>-69</v>
      </c>
      <c r="Q139" s="331"/>
      <c r="R139" s="331"/>
      <c r="S139" s="349">
        <v>38569</v>
      </c>
      <c r="T139" s="18">
        <v>38596</v>
      </c>
      <c r="U139" s="331">
        <f>IF(T139="","",+T139-J139)</f>
        <v>108</v>
      </c>
      <c r="V139" s="6" t="s">
        <v>53</v>
      </c>
      <c r="W139" s="340" t="s">
        <v>5139</v>
      </c>
      <c r="X139" s="59"/>
      <c r="Y139" s="59"/>
      <c r="Z139" s="6">
        <v>6505563980</v>
      </c>
      <c r="AA139" s="6" t="s">
        <v>47</v>
      </c>
      <c r="AB139" s="18" t="s">
        <v>47</v>
      </c>
      <c r="AC139" s="18"/>
      <c r="AD139" s="10" t="str">
        <f>IF(O139&lt;=L139,"en término","atrasado")</f>
        <v>en término</v>
      </c>
    </row>
    <row r="140" spans="1:30" s="9" customFormat="1" ht="12" thickBot="1" x14ac:dyDescent="0.25">
      <c r="A140" s="328"/>
      <c r="B140" s="19"/>
      <c r="C140" s="19"/>
      <c r="D140" s="5"/>
      <c r="E140" s="5"/>
      <c r="F140" s="5"/>
      <c r="G140" s="5"/>
      <c r="H140" s="26"/>
      <c r="I140" s="21"/>
      <c r="J140" s="5"/>
      <c r="K140" s="5"/>
      <c r="L140" s="27"/>
      <c r="M140" s="5"/>
      <c r="N140" s="5"/>
      <c r="O140" s="19"/>
      <c r="P140" s="19"/>
      <c r="Q140" s="19"/>
      <c r="R140" s="19"/>
      <c r="S140" s="19"/>
      <c r="T140" s="5" t="s">
        <v>5140</v>
      </c>
      <c r="U140" s="19"/>
      <c r="V140" s="224" t="s">
        <v>3538</v>
      </c>
      <c r="W140" s="5"/>
      <c r="X140" s="61"/>
      <c r="Y140" s="61"/>
      <c r="Z140" s="5"/>
      <c r="AA140" s="27">
        <v>38616</v>
      </c>
      <c r="AB140" s="5"/>
      <c r="AC140" s="5"/>
      <c r="AD140" s="330"/>
    </row>
    <row r="141" spans="1:30" s="9" customFormat="1" x14ac:dyDescent="0.2">
      <c r="A141" s="328"/>
      <c r="B141" s="16"/>
      <c r="C141" s="16"/>
      <c r="D141" s="7"/>
      <c r="E141" s="7"/>
      <c r="F141" s="6"/>
      <c r="G141" s="6"/>
      <c r="H141" s="17" t="s">
        <v>77</v>
      </c>
      <c r="I141" s="17"/>
      <c r="J141" s="7"/>
      <c r="K141" s="7"/>
      <c r="L141" s="23"/>
      <c r="M141" s="6"/>
      <c r="N141" s="6"/>
      <c r="O141" s="6"/>
      <c r="P141" s="6"/>
      <c r="Q141" s="6"/>
      <c r="R141" s="6"/>
      <c r="S141" s="6" t="s">
        <v>5142</v>
      </c>
      <c r="T141" s="6"/>
      <c r="U141" s="6"/>
      <c r="V141" s="138"/>
      <c r="W141" s="6"/>
      <c r="X141" s="59"/>
      <c r="Y141" s="59"/>
      <c r="Z141" s="6"/>
      <c r="AA141" s="6"/>
      <c r="AB141" s="6"/>
      <c r="AC141" s="6"/>
      <c r="AD141" s="330"/>
    </row>
    <row r="142" spans="1:30" s="9" customFormat="1" x14ac:dyDescent="0.2">
      <c r="A142" s="328"/>
      <c r="B142" s="16" t="s">
        <v>120</v>
      </c>
      <c r="C142" s="16" t="s">
        <v>121</v>
      </c>
      <c r="D142" s="7" t="s">
        <v>5143</v>
      </c>
      <c r="E142" s="7"/>
      <c r="F142" s="6">
        <v>24285</v>
      </c>
      <c r="G142" s="6" t="s">
        <v>39</v>
      </c>
      <c r="H142" s="17">
        <v>13246.25</v>
      </c>
      <c r="I142" s="39" t="s">
        <v>5113</v>
      </c>
      <c r="J142" s="18">
        <v>38510</v>
      </c>
      <c r="K142" s="331">
        <v>72</v>
      </c>
      <c r="L142" s="348">
        <f>+J142+K142</f>
        <v>38582</v>
      </c>
      <c r="M142" s="18" t="s">
        <v>124</v>
      </c>
      <c r="N142" s="6" t="s">
        <v>42</v>
      </c>
      <c r="O142" s="18">
        <v>38569</v>
      </c>
      <c r="P142" s="331">
        <f>IF(S142="","",+S142-L142)</f>
        <v>11</v>
      </c>
      <c r="Q142" s="331"/>
      <c r="R142" s="331"/>
      <c r="S142" s="349">
        <v>38593</v>
      </c>
      <c r="T142" s="18">
        <v>38618</v>
      </c>
      <c r="U142" s="331">
        <f>IF(T142="","",+T142-J142)</f>
        <v>108</v>
      </c>
      <c r="V142" s="6" t="s">
        <v>53</v>
      </c>
      <c r="W142" s="340" t="s">
        <v>5144</v>
      </c>
      <c r="X142" s="59"/>
      <c r="Y142" s="59"/>
      <c r="Z142" s="6">
        <v>6505563713</v>
      </c>
      <c r="AA142" s="6" t="s">
        <v>47</v>
      </c>
      <c r="AB142" s="18" t="s">
        <v>47</v>
      </c>
      <c r="AC142" s="18"/>
      <c r="AD142" s="10" t="str">
        <f>IF(O142&lt;=L142,"en término","atrasado")</f>
        <v>en término</v>
      </c>
    </row>
    <row r="143" spans="1:30" s="9" customFormat="1" ht="12" thickBot="1" x14ac:dyDescent="0.25">
      <c r="A143" s="328"/>
      <c r="B143" s="19"/>
      <c r="C143" s="19"/>
      <c r="D143" s="5"/>
      <c r="E143" s="5"/>
      <c r="F143" s="5"/>
      <c r="G143" s="5"/>
      <c r="H143" s="26"/>
      <c r="I143" s="21"/>
      <c r="J143" s="5"/>
      <c r="K143" s="5"/>
      <c r="L143" s="27"/>
      <c r="M143" s="5"/>
      <c r="N143" s="5"/>
      <c r="O143" s="19"/>
      <c r="P143" s="19"/>
      <c r="Q143" s="19"/>
      <c r="R143" s="19"/>
      <c r="S143" s="351"/>
      <c r="T143" s="5" t="s">
        <v>5140</v>
      </c>
      <c r="U143" s="19"/>
      <c r="V143" s="224" t="s">
        <v>3538</v>
      </c>
      <c r="W143" s="5"/>
      <c r="X143" s="61"/>
      <c r="Y143" s="61"/>
      <c r="Z143" s="5"/>
      <c r="AA143" s="5" t="s">
        <v>5145</v>
      </c>
      <c r="AB143" s="5"/>
      <c r="AC143" s="5"/>
      <c r="AD143" s="330"/>
    </row>
    <row r="144" spans="1:30" s="9" customFormat="1" x14ac:dyDescent="0.2">
      <c r="A144" s="328"/>
      <c r="B144" s="16"/>
      <c r="C144" s="16"/>
      <c r="D144" s="7"/>
      <c r="E144" s="7"/>
      <c r="F144" s="6"/>
      <c r="G144" s="6"/>
      <c r="H144" s="17" t="s">
        <v>77</v>
      </c>
      <c r="I144" s="17"/>
      <c r="J144" s="7"/>
      <c r="K144" s="7"/>
      <c r="L144" s="23"/>
      <c r="M144" s="6"/>
      <c r="N144" s="6"/>
      <c r="O144" s="6"/>
      <c r="P144" s="6"/>
      <c r="Q144" s="6"/>
      <c r="R144" s="6"/>
      <c r="S144" s="6"/>
      <c r="T144" s="6"/>
      <c r="U144" s="6"/>
      <c r="V144" s="138"/>
      <c r="W144" s="6"/>
      <c r="X144" s="59"/>
      <c r="Y144" s="59"/>
      <c r="Z144" s="6"/>
      <c r="AA144" s="6"/>
      <c r="AB144" s="6"/>
      <c r="AC144" s="6"/>
      <c r="AD144" s="330"/>
    </row>
    <row r="145" spans="1:30" s="9" customFormat="1" x14ac:dyDescent="0.2">
      <c r="A145" s="328"/>
      <c r="B145" s="16" t="s">
        <v>120</v>
      </c>
      <c r="C145" s="16" t="s">
        <v>121</v>
      </c>
      <c r="D145" s="7" t="s">
        <v>5146</v>
      </c>
      <c r="E145" s="7"/>
      <c r="F145" s="6">
        <v>24513</v>
      </c>
      <c r="G145" s="6" t="s">
        <v>39</v>
      </c>
      <c r="H145" s="17">
        <v>39212.400000000001</v>
      </c>
      <c r="I145" s="39" t="s">
        <v>5113</v>
      </c>
      <c r="J145" s="18">
        <v>38513</v>
      </c>
      <c r="K145" s="331">
        <v>113</v>
      </c>
      <c r="L145" s="348">
        <f>+J145+K145</f>
        <v>38626</v>
      </c>
      <c r="M145" s="18" t="s">
        <v>124</v>
      </c>
      <c r="N145" s="6" t="s">
        <v>42</v>
      </c>
      <c r="O145" s="18">
        <v>38601</v>
      </c>
      <c r="P145" s="331">
        <f>IF(S145="","",+S145-L145)</f>
        <v>-8</v>
      </c>
      <c r="Q145" s="331"/>
      <c r="R145" s="331"/>
      <c r="S145" s="349">
        <v>38618</v>
      </c>
      <c r="T145" s="18">
        <v>38645</v>
      </c>
      <c r="U145" s="331">
        <f>IF(T145="","",+T145-J145)</f>
        <v>132</v>
      </c>
      <c r="V145" s="6" t="s">
        <v>53</v>
      </c>
      <c r="W145" s="340" t="s">
        <v>5147</v>
      </c>
      <c r="X145" s="59"/>
      <c r="Y145" s="59"/>
      <c r="Z145" s="6">
        <v>6505563805</v>
      </c>
      <c r="AA145" s="6" t="s">
        <v>47</v>
      </c>
      <c r="AB145" s="18" t="s">
        <v>47</v>
      </c>
      <c r="AC145" s="18"/>
      <c r="AD145" s="10" t="str">
        <f>IF(O145&lt;=L145,"en término","atrasado")</f>
        <v>en término</v>
      </c>
    </row>
    <row r="146" spans="1:30" s="9" customFormat="1" ht="12" thickBot="1" x14ac:dyDescent="0.25">
      <c r="A146" s="328"/>
      <c r="B146" s="19"/>
      <c r="C146" s="19"/>
      <c r="D146" s="5"/>
      <c r="E146" s="5"/>
      <c r="F146" s="5"/>
      <c r="G146" s="5"/>
      <c r="H146" s="26"/>
      <c r="I146" s="21"/>
      <c r="J146" s="5"/>
      <c r="K146" s="5"/>
      <c r="L146" s="27"/>
      <c r="M146" s="5"/>
      <c r="N146" s="5"/>
      <c r="O146" s="19"/>
      <c r="P146" s="19"/>
      <c r="Q146" s="19"/>
      <c r="R146" s="19"/>
      <c r="S146" s="19"/>
      <c r="T146" s="5" t="s">
        <v>5140</v>
      </c>
      <c r="U146" s="19"/>
      <c r="V146" s="224" t="s">
        <v>3538</v>
      </c>
      <c r="W146" s="5"/>
      <c r="X146" s="61"/>
      <c r="Y146" s="61"/>
      <c r="Z146" s="5"/>
      <c r="AA146" s="5"/>
      <c r="AB146" s="5"/>
      <c r="AC146" s="5"/>
      <c r="AD146" s="330"/>
    </row>
    <row r="147" spans="1:30" s="9" customFormat="1" x14ac:dyDescent="0.2">
      <c r="A147" s="328"/>
      <c r="B147" s="16"/>
      <c r="C147" s="16"/>
      <c r="D147" s="7"/>
      <c r="E147" s="7"/>
      <c r="F147" s="6"/>
      <c r="G147" s="6"/>
      <c r="H147" s="17" t="s">
        <v>77</v>
      </c>
      <c r="I147" s="17"/>
      <c r="J147" s="7"/>
      <c r="K147" s="7"/>
      <c r="L147" s="23"/>
      <c r="M147" s="6"/>
      <c r="N147" s="6"/>
      <c r="O147" s="6"/>
      <c r="P147" s="6"/>
      <c r="Q147" s="6"/>
      <c r="R147" s="6"/>
      <c r="S147" s="6"/>
      <c r="T147" s="6"/>
      <c r="U147" s="6"/>
      <c r="V147" s="138"/>
      <c r="W147" s="6"/>
      <c r="X147" s="59"/>
      <c r="Y147" s="59"/>
      <c r="Z147" s="6"/>
      <c r="AA147" s="6"/>
      <c r="AB147" s="6"/>
      <c r="AC147" s="6"/>
      <c r="AD147" s="330"/>
    </row>
    <row r="148" spans="1:30" s="9" customFormat="1" x14ac:dyDescent="0.2">
      <c r="A148" s="328"/>
      <c r="B148" s="16" t="s">
        <v>120</v>
      </c>
      <c r="C148" s="16" t="s">
        <v>121</v>
      </c>
      <c r="D148" s="7" t="s">
        <v>5148</v>
      </c>
      <c r="E148" s="7"/>
      <c r="F148" s="6">
        <v>24737</v>
      </c>
      <c r="G148" s="6" t="s">
        <v>39</v>
      </c>
      <c r="H148" s="17">
        <v>8117.6</v>
      </c>
      <c r="I148" s="39" t="s">
        <v>5113</v>
      </c>
      <c r="J148" s="18">
        <v>38541</v>
      </c>
      <c r="K148" s="331">
        <v>115</v>
      </c>
      <c r="L148" s="348">
        <f>+J148+K148</f>
        <v>38656</v>
      </c>
      <c r="M148" s="18" t="s">
        <v>124</v>
      </c>
      <c r="N148" s="6" t="s">
        <v>42</v>
      </c>
      <c r="O148" s="18">
        <v>38601</v>
      </c>
      <c r="P148" s="331">
        <f>IF(S148="","",+S148-L148)</f>
        <v>-38</v>
      </c>
      <c r="Q148" s="331"/>
      <c r="R148" s="331"/>
      <c r="S148" s="349">
        <v>38618</v>
      </c>
      <c r="T148" s="18">
        <v>38645</v>
      </c>
      <c r="U148" s="331">
        <f>IF(T148="","",+T148-J148)</f>
        <v>104</v>
      </c>
      <c r="V148" s="6" t="s">
        <v>53</v>
      </c>
      <c r="W148" s="340" t="s">
        <v>5147</v>
      </c>
      <c r="X148" s="59"/>
      <c r="Y148" s="59"/>
      <c r="Z148" s="6">
        <v>6505563805</v>
      </c>
      <c r="AA148" s="6" t="s">
        <v>47</v>
      </c>
      <c r="AB148" s="18" t="s">
        <v>47</v>
      </c>
      <c r="AC148" s="18"/>
      <c r="AD148" s="10" t="str">
        <f>IF(O148&lt;=L148,"en término","atrasado")</f>
        <v>en término</v>
      </c>
    </row>
    <row r="149" spans="1:30" s="9" customFormat="1" ht="12" thickBot="1" x14ac:dyDescent="0.25">
      <c r="A149" s="328"/>
      <c r="B149" s="19"/>
      <c r="C149" s="19"/>
      <c r="D149" s="5"/>
      <c r="E149" s="5"/>
      <c r="F149" s="5"/>
      <c r="G149" s="5"/>
      <c r="H149" s="26"/>
      <c r="I149" s="21"/>
      <c r="J149" s="5"/>
      <c r="K149" s="5"/>
      <c r="L149" s="27"/>
      <c r="M149" s="5"/>
      <c r="N149" s="5"/>
      <c r="O149" s="19"/>
      <c r="P149" s="19"/>
      <c r="Q149" s="19"/>
      <c r="R149" s="19"/>
      <c r="S149" s="19"/>
      <c r="T149" s="5" t="s">
        <v>5140</v>
      </c>
      <c r="U149" s="19"/>
      <c r="V149" s="224" t="s">
        <v>3538</v>
      </c>
      <c r="W149" s="5"/>
      <c r="X149" s="61"/>
      <c r="Y149" s="61"/>
      <c r="Z149" s="5"/>
      <c r="AA149" s="5"/>
      <c r="AB149" s="5"/>
      <c r="AC149" s="5"/>
      <c r="AD149" s="330"/>
    </row>
    <row r="150" spans="1:30" s="9" customFormat="1" x14ac:dyDescent="0.2">
      <c r="A150" s="328"/>
      <c r="B150" s="16"/>
      <c r="C150" s="16"/>
      <c r="D150" s="7"/>
      <c r="E150" s="7"/>
      <c r="F150" s="6"/>
      <c r="G150" s="6"/>
      <c r="H150" s="17" t="s">
        <v>77</v>
      </c>
      <c r="I150" s="17"/>
      <c r="J150" s="7"/>
      <c r="K150" s="7"/>
      <c r="L150" s="23"/>
      <c r="M150" s="6"/>
      <c r="N150" s="6"/>
      <c r="O150" s="6"/>
      <c r="P150" s="6"/>
      <c r="Q150" s="6"/>
      <c r="R150" s="6"/>
      <c r="S150" s="6" t="s">
        <v>5149</v>
      </c>
      <c r="T150" s="6"/>
      <c r="U150" s="6"/>
      <c r="V150" s="138" t="s">
        <v>4391</v>
      </c>
      <c r="W150" s="6"/>
      <c r="X150" s="59"/>
      <c r="Y150" s="59"/>
      <c r="Z150" s="6"/>
      <c r="AA150" s="6"/>
      <c r="AB150" s="6"/>
      <c r="AC150" s="6"/>
      <c r="AD150" s="330"/>
    </row>
    <row r="151" spans="1:30" s="9" customFormat="1" x14ac:dyDescent="0.2">
      <c r="A151" s="328"/>
      <c r="B151" s="16" t="s">
        <v>120</v>
      </c>
      <c r="C151" s="16" t="s">
        <v>121</v>
      </c>
      <c r="D151" s="7" t="s">
        <v>5150</v>
      </c>
      <c r="E151" s="7"/>
      <c r="F151" s="6">
        <v>25071</v>
      </c>
      <c r="G151" s="6" t="s">
        <v>39</v>
      </c>
      <c r="H151" s="17">
        <v>33886.699999999997</v>
      </c>
      <c r="I151" s="39" t="s">
        <v>5113</v>
      </c>
      <c r="J151" s="18">
        <v>38572</v>
      </c>
      <c r="K151" s="331">
        <v>73</v>
      </c>
      <c r="L151" s="348">
        <f>+J151+K151</f>
        <v>38645</v>
      </c>
      <c r="M151" s="18" t="s">
        <v>124</v>
      </c>
      <c r="N151" s="6" t="s">
        <v>42</v>
      </c>
      <c r="O151" s="18">
        <v>38646</v>
      </c>
      <c r="P151" s="331">
        <f>IF(S151="","",+S151-L151)</f>
        <v>25</v>
      </c>
      <c r="Q151" s="331"/>
      <c r="R151" s="331"/>
      <c r="S151" s="349">
        <v>38670</v>
      </c>
      <c r="T151" s="18">
        <v>38695</v>
      </c>
      <c r="U151" s="331">
        <f>IF(T151="","",+T151-J151)</f>
        <v>123</v>
      </c>
      <c r="V151" s="6" t="s">
        <v>53</v>
      </c>
      <c r="W151" s="340" t="s">
        <v>5151</v>
      </c>
      <c r="X151" s="59"/>
      <c r="Y151" s="59"/>
      <c r="Z151" s="6">
        <v>6505563794</v>
      </c>
      <c r="AA151" s="6" t="s">
        <v>47</v>
      </c>
      <c r="AB151" s="18" t="s">
        <v>47</v>
      </c>
      <c r="AC151" s="18"/>
      <c r="AD151" s="10" t="str">
        <f>IF(O151&lt;=L151,"en término","atrasado")</f>
        <v>atrasado</v>
      </c>
    </row>
    <row r="152" spans="1:30" s="9" customFormat="1" ht="12" thickBot="1" x14ac:dyDescent="0.25">
      <c r="A152" s="328"/>
      <c r="B152" s="19"/>
      <c r="C152" s="19"/>
      <c r="D152" s="5"/>
      <c r="E152" s="5"/>
      <c r="F152" s="5"/>
      <c r="G152" s="5"/>
      <c r="H152" s="26"/>
      <c r="I152" s="21"/>
      <c r="J152" s="5"/>
      <c r="K152" s="5"/>
      <c r="L152" s="27"/>
      <c r="M152" s="5"/>
      <c r="N152" s="5"/>
      <c r="O152" s="19"/>
      <c r="P152" s="19"/>
      <c r="Q152" s="19"/>
      <c r="R152" s="19"/>
      <c r="S152" s="5" t="s">
        <v>5152</v>
      </c>
      <c r="T152" s="5" t="s">
        <v>5140</v>
      </c>
      <c r="U152" s="19"/>
      <c r="V152" s="224" t="s">
        <v>3538</v>
      </c>
      <c r="W152" s="5"/>
      <c r="X152" s="61"/>
      <c r="Y152" s="61"/>
      <c r="Z152" s="5"/>
      <c r="AA152" s="27">
        <v>38750</v>
      </c>
      <c r="AB152" s="27">
        <v>38740</v>
      </c>
      <c r="AC152" s="27"/>
      <c r="AD152" s="330"/>
    </row>
    <row r="155" spans="1:30" ht="12.75" x14ac:dyDescent="0.2">
      <c r="AA155" s="1">
        <v>2005</v>
      </c>
      <c r="AB155" s="1048"/>
    </row>
    <row r="156" spans="1:30" ht="12.75" x14ac:dyDescent="0.2">
      <c r="AA156" s="945" t="s">
        <v>813</v>
      </c>
      <c r="AB156" s="1048">
        <f>COUNTA(AD124:AD151)</f>
        <v>10</v>
      </c>
    </row>
    <row r="157" spans="1:30" ht="12.75" x14ac:dyDescent="0.2">
      <c r="AA157" s="945" t="s">
        <v>815</v>
      </c>
      <c r="AB157" s="1048">
        <f>COUNTIF(AD124:AD151,"en término")</f>
        <v>8</v>
      </c>
    </row>
    <row r="158" spans="1:30" ht="12.75" x14ac:dyDescent="0.2">
      <c r="AA158" s="945" t="s">
        <v>817</v>
      </c>
      <c r="AB158" s="557">
        <f>+AB157/AB156</f>
        <v>0.8</v>
      </c>
    </row>
    <row r="160" spans="1:30" ht="12" thickBot="1" x14ac:dyDescent="0.25"/>
    <row r="161" spans="1:35" s="556" customFormat="1" ht="39.950000000000003" customHeight="1" thickBot="1" x14ac:dyDescent="0.4">
      <c r="B161" s="1654">
        <v>2006</v>
      </c>
      <c r="C161" s="1655"/>
      <c r="D161" s="1655"/>
      <c r="E161" s="1655"/>
      <c r="F161" s="1655"/>
      <c r="G161" s="1655"/>
      <c r="H161" s="1655"/>
      <c r="I161" s="1655"/>
      <c r="J161" s="1655"/>
      <c r="K161" s="1655"/>
      <c r="L161" s="1655"/>
      <c r="M161" s="1655"/>
      <c r="N161" s="1655"/>
      <c r="O161" s="1655"/>
      <c r="P161" s="1655"/>
      <c r="Q161" s="1655"/>
      <c r="R161" s="1655"/>
      <c r="S161" s="1655"/>
      <c r="T161" s="1655"/>
      <c r="U161" s="1655"/>
      <c r="V161" s="1655"/>
      <c r="W161" s="1655"/>
      <c r="X161" s="1655"/>
      <c r="Y161" s="1655"/>
      <c r="Z161" s="1655"/>
      <c r="AA161" s="1655"/>
      <c r="AB161" s="1655"/>
      <c r="AC161" s="1656"/>
    </row>
    <row r="162" spans="1:35" s="441" customFormat="1" ht="60" customHeight="1" thickBot="1" x14ac:dyDescent="0.25">
      <c r="A162" s="438"/>
      <c r="B162" s="451" t="s">
        <v>130</v>
      </c>
      <c r="C162" s="451" t="s">
        <v>4</v>
      </c>
      <c r="D162" s="451" t="s">
        <v>5</v>
      </c>
      <c r="E162" s="451" t="s">
        <v>6</v>
      </c>
      <c r="F162" s="451" t="s">
        <v>7</v>
      </c>
      <c r="G162" s="451" t="s">
        <v>8</v>
      </c>
      <c r="H162" s="453" t="s">
        <v>9</v>
      </c>
      <c r="I162" s="453" t="s">
        <v>10</v>
      </c>
      <c r="J162" s="451" t="s">
        <v>11</v>
      </c>
      <c r="K162" s="451" t="s">
        <v>12</v>
      </c>
      <c r="L162" s="451" t="s">
        <v>13</v>
      </c>
      <c r="M162" s="451" t="s">
        <v>14</v>
      </c>
      <c r="N162" s="451" t="s">
        <v>15</v>
      </c>
      <c r="O162" s="452" t="s">
        <v>16</v>
      </c>
      <c r="P162" s="454" t="s">
        <v>17</v>
      </c>
      <c r="Q162" s="451" t="s">
        <v>18</v>
      </c>
      <c r="R162" s="452" t="s">
        <v>19</v>
      </c>
      <c r="S162" s="451" t="s">
        <v>20</v>
      </c>
      <c r="T162" s="451" t="s">
        <v>21</v>
      </c>
      <c r="U162" s="452" t="s">
        <v>22</v>
      </c>
      <c r="V162" s="451" t="s">
        <v>131</v>
      </c>
      <c r="W162" s="451" t="s">
        <v>24</v>
      </c>
      <c r="X162" s="451" t="s">
        <v>132</v>
      </c>
      <c r="Y162" s="451" t="s">
        <v>26</v>
      </c>
      <c r="Z162" s="451" t="s">
        <v>27</v>
      </c>
      <c r="AA162" s="451" t="s">
        <v>28</v>
      </c>
      <c r="AB162" s="451" t="s">
        <v>29</v>
      </c>
      <c r="AC162" s="451" t="s">
        <v>30</v>
      </c>
      <c r="AD162" s="439"/>
      <c r="AE162" s="440"/>
      <c r="AF162" s="440"/>
      <c r="AG162" s="440"/>
      <c r="AH162" s="440"/>
      <c r="AI162" s="440"/>
    </row>
    <row r="163" spans="1:35" s="9" customFormat="1" x14ac:dyDescent="0.2">
      <c r="A163" s="328"/>
      <c r="B163" s="16"/>
      <c r="C163" s="16"/>
      <c r="D163" s="7"/>
      <c r="E163" s="7"/>
      <c r="F163" s="6"/>
      <c r="G163" s="6"/>
      <c r="H163" s="17" t="s">
        <v>77</v>
      </c>
      <c r="I163" s="17"/>
      <c r="J163" s="7"/>
      <c r="K163" s="7"/>
      <c r="L163" s="23"/>
      <c r="M163" s="6"/>
      <c r="N163" s="6"/>
      <c r="O163" s="6"/>
      <c r="P163" s="6"/>
      <c r="Q163" s="6"/>
      <c r="R163" s="6"/>
      <c r="S163" s="6" t="s">
        <v>5153</v>
      </c>
      <c r="T163" s="6"/>
      <c r="U163" s="6"/>
      <c r="V163" s="138" t="s">
        <v>1344</v>
      </c>
      <c r="W163" s="6"/>
      <c r="X163" s="59"/>
      <c r="Y163" s="59"/>
      <c r="Z163" s="6"/>
      <c r="AA163" s="6"/>
      <c r="AB163" s="6"/>
      <c r="AC163" s="6"/>
      <c r="AD163" s="330"/>
    </row>
    <row r="164" spans="1:35" s="9" customFormat="1" x14ac:dyDescent="0.2">
      <c r="A164" s="328"/>
      <c r="B164" s="16" t="s">
        <v>120</v>
      </c>
      <c r="C164" s="16" t="s">
        <v>121</v>
      </c>
      <c r="D164" s="7" t="s">
        <v>5154</v>
      </c>
      <c r="E164" s="7"/>
      <c r="F164" s="6">
        <v>803</v>
      </c>
      <c r="G164" s="6" t="s">
        <v>39</v>
      </c>
      <c r="H164" s="17">
        <v>108614.14</v>
      </c>
      <c r="I164" s="39" t="s">
        <v>5113</v>
      </c>
      <c r="J164" s="18">
        <v>38671</v>
      </c>
      <c r="K164" s="331">
        <v>135</v>
      </c>
      <c r="L164" s="348">
        <f>+J164+K164</f>
        <v>38806</v>
      </c>
      <c r="M164" s="18" t="s">
        <v>124</v>
      </c>
      <c r="N164" s="6" t="s">
        <v>42</v>
      </c>
      <c r="O164" s="18">
        <v>38730</v>
      </c>
      <c r="P164" s="331">
        <f>IF(S164="","",+S164-L164)</f>
        <v>-58</v>
      </c>
      <c r="Q164" s="331"/>
      <c r="R164" s="331"/>
      <c r="S164" s="349">
        <v>38748</v>
      </c>
      <c r="T164" s="18">
        <v>38773</v>
      </c>
      <c r="U164" s="331">
        <f>IF(T164="","",+T164-J164)</f>
        <v>102</v>
      </c>
      <c r="V164" s="6" t="s">
        <v>5155</v>
      </c>
      <c r="W164" s="340" t="s">
        <v>5156</v>
      </c>
      <c r="X164" s="59"/>
      <c r="Y164" s="59"/>
      <c r="Z164" s="6">
        <v>6505491683</v>
      </c>
      <c r="AA164" s="7">
        <v>38793</v>
      </c>
      <c r="AB164" s="18" t="s">
        <v>47</v>
      </c>
      <c r="AC164" s="18"/>
      <c r="AD164" s="10" t="str">
        <f>IF(O164&lt;=L164,"en término","atrasado")</f>
        <v>en término</v>
      </c>
    </row>
    <row r="165" spans="1:35" s="9" customFormat="1" ht="12" thickBot="1" x14ac:dyDescent="0.25">
      <c r="A165" s="328"/>
      <c r="B165" s="19"/>
      <c r="C165" s="19"/>
      <c r="D165" s="5"/>
      <c r="E165" s="5"/>
      <c r="F165" s="5"/>
      <c r="G165" s="5"/>
      <c r="H165" s="26">
        <v>91833.64</v>
      </c>
      <c r="I165" s="21"/>
      <c r="J165" s="5"/>
      <c r="K165" s="5"/>
      <c r="L165" s="27"/>
      <c r="M165" s="5"/>
      <c r="N165" s="5"/>
      <c r="O165" s="19"/>
      <c r="P165" s="19"/>
      <c r="Q165" s="19"/>
      <c r="R165" s="19"/>
      <c r="S165" s="5" t="s">
        <v>5085</v>
      </c>
      <c r="T165" s="5" t="s">
        <v>5140</v>
      </c>
      <c r="U165" s="351"/>
      <c r="V165" s="224" t="s">
        <v>3538</v>
      </c>
      <c r="W165" s="5"/>
      <c r="X165" s="61"/>
      <c r="Y165" s="61"/>
      <c r="Z165" s="5"/>
      <c r="AA165" s="5"/>
      <c r="AB165" s="27">
        <v>38805</v>
      </c>
      <c r="AC165" s="27"/>
      <c r="AD165" s="330"/>
    </row>
    <row r="166" spans="1:35" s="9" customFormat="1" x14ac:dyDescent="0.2">
      <c r="A166" s="328"/>
      <c r="B166" s="16"/>
      <c r="C166" s="16"/>
      <c r="D166" s="7"/>
      <c r="E166" s="7"/>
      <c r="F166" s="6"/>
      <c r="G166" s="6"/>
      <c r="H166" s="17" t="s">
        <v>77</v>
      </c>
      <c r="I166" s="17"/>
      <c r="J166" s="7"/>
      <c r="K166" s="7"/>
      <c r="L166" s="23"/>
      <c r="M166" s="6"/>
      <c r="N166" s="6"/>
      <c r="O166" s="6"/>
      <c r="P166" s="6"/>
      <c r="Q166" s="6"/>
      <c r="R166" s="6"/>
      <c r="S166" s="6"/>
      <c r="T166" s="6"/>
      <c r="U166" s="6"/>
      <c r="V166" s="138" t="s">
        <v>1362</v>
      </c>
      <c r="W166" s="6"/>
      <c r="X166" s="59"/>
      <c r="Y166" s="59"/>
      <c r="Z166" s="6"/>
      <c r="AA166" s="6"/>
      <c r="AB166" s="6"/>
      <c r="AC166" s="6"/>
      <c r="AD166" s="330"/>
    </row>
    <row r="167" spans="1:35" s="9" customFormat="1" x14ac:dyDescent="0.2">
      <c r="A167" s="328"/>
      <c r="B167" s="16" t="s">
        <v>120</v>
      </c>
      <c r="C167" s="16" t="s">
        <v>121</v>
      </c>
      <c r="D167" s="7" t="s">
        <v>5154</v>
      </c>
      <c r="E167" s="7"/>
      <c r="F167" s="6">
        <v>803</v>
      </c>
      <c r="G167" s="6" t="s">
        <v>39</v>
      </c>
      <c r="H167" s="17">
        <v>108614.14</v>
      </c>
      <c r="I167" s="39" t="s">
        <v>5113</v>
      </c>
      <c r="J167" s="18">
        <v>38671</v>
      </c>
      <c r="K167" s="331">
        <v>135</v>
      </c>
      <c r="L167" s="348">
        <v>38822</v>
      </c>
      <c r="M167" s="18" t="s">
        <v>124</v>
      </c>
      <c r="N167" s="6" t="s">
        <v>42</v>
      </c>
      <c r="O167" s="18">
        <v>38818</v>
      </c>
      <c r="P167" s="331">
        <f>IF(S167="","",+S167-L167)</f>
        <v>38</v>
      </c>
      <c r="Q167" s="331"/>
      <c r="R167" s="331"/>
      <c r="S167" s="349">
        <v>38860</v>
      </c>
      <c r="T167" s="18">
        <f>+S167+25</f>
        <v>38885</v>
      </c>
      <c r="U167" s="331">
        <f>IF(T167="","",+T167-J167)</f>
        <v>214</v>
      </c>
      <c r="V167" s="6" t="s">
        <v>5157</v>
      </c>
      <c r="W167" s="340">
        <v>104</v>
      </c>
      <c r="X167" s="59"/>
      <c r="Y167" s="59"/>
      <c r="Z167" s="6">
        <v>6505731713</v>
      </c>
      <c r="AA167" s="7">
        <v>38905</v>
      </c>
      <c r="AB167" s="7" t="s">
        <v>47</v>
      </c>
      <c r="AC167" s="7"/>
      <c r="AD167" s="10" t="str">
        <f>IF(O167&lt;=L167,"en término","atrasado")</f>
        <v>en término</v>
      </c>
    </row>
    <row r="168" spans="1:35" s="9" customFormat="1" ht="12" thickBot="1" x14ac:dyDescent="0.25">
      <c r="A168" s="328"/>
      <c r="B168" s="19"/>
      <c r="C168" s="19"/>
      <c r="D168" s="5"/>
      <c r="E168" s="5"/>
      <c r="F168" s="5"/>
      <c r="G168" s="5"/>
      <c r="H168" s="26">
        <v>16780.5</v>
      </c>
      <c r="I168" s="21"/>
      <c r="J168" s="5"/>
      <c r="K168" s="5"/>
      <c r="L168" s="27"/>
      <c r="M168" s="5"/>
      <c r="N168" s="5"/>
      <c r="O168" s="19"/>
      <c r="P168" s="19"/>
      <c r="Q168" s="19"/>
      <c r="R168" s="19"/>
      <c r="S168" s="5"/>
      <c r="T168" s="5" t="s">
        <v>5140</v>
      </c>
      <c r="U168" s="351"/>
      <c r="V168" s="224" t="s">
        <v>3538</v>
      </c>
      <c r="W168" s="5"/>
      <c r="X168" s="61"/>
      <c r="Y168" s="61"/>
      <c r="Z168" s="5"/>
      <c r="AA168" s="5"/>
      <c r="AB168" s="27">
        <v>38902</v>
      </c>
      <c r="AC168" s="27"/>
      <c r="AD168" s="330"/>
    </row>
    <row r="169" spans="1:35" s="9" customFormat="1" x14ac:dyDescent="0.2">
      <c r="A169" s="328"/>
      <c r="B169" s="16"/>
      <c r="C169" s="16"/>
      <c r="D169" s="7"/>
      <c r="E169" s="7"/>
      <c r="F169" s="6"/>
      <c r="G169" s="6"/>
      <c r="H169" s="17" t="s">
        <v>77</v>
      </c>
      <c r="I169" s="17"/>
      <c r="J169" s="7"/>
      <c r="K169" s="7"/>
      <c r="L169" s="23"/>
      <c r="M169" s="6"/>
      <c r="N169" s="6"/>
      <c r="O169" s="6"/>
      <c r="P169" s="6"/>
      <c r="Q169" s="6"/>
      <c r="R169" s="6"/>
      <c r="S169" s="6"/>
      <c r="T169" s="6"/>
      <c r="U169" s="6"/>
      <c r="V169" s="138" t="s">
        <v>5158</v>
      </c>
      <c r="W169" s="6"/>
      <c r="X169" s="59"/>
      <c r="Y169" s="59"/>
      <c r="Z169" s="6"/>
      <c r="AA169" s="6"/>
      <c r="AB169" s="7"/>
      <c r="AC169" s="7"/>
      <c r="AD169" s="330"/>
    </row>
    <row r="170" spans="1:35" s="9" customFormat="1" x14ac:dyDescent="0.2">
      <c r="A170" s="328"/>
      <c r="B170" s="16" t="s">
        <v>120</v>
      </c>
      <c r="C170" s="16" t="s">
        <v>121</v>
      </c>
      <c r="D170" s="7" t="s">
        <v>5159</v>
      </c>
      <c r="E170" s="7"/>
      <c r="F170" s="6">
        <v>1567</v>
      </c>
      <c r="G170" s="6" t="s">
        <v>39</v>
      </c>
      <c r="H170" s="17">
        <v>3396</v>
      </c>
      <c r="I170" s="39" t="s">
        <v>5113</v>
      </c>
      <c r="J170" s="18">
        <v>38722</v>
      </c>
      <c r="K170" s="331">
        <v>69</v>
      </c>
      <c r="L170" s="348">
        <v>38822</v>
      </c>
      <c r="M170" s="18" t="s">
        <v>124</v>
      </c>
      <c r="N170" s="6" t="s">
        <v>42</v>
      </c>
      <c r="O170" s="18">
        <v>38818</v>
      </c>
      <c r="P170" s="331">
        <f>IF(S170="","",+S170-L170)</f>
        <v>38</v>
      </c>
      <c r="Q170" s="331"/>
      <c r="R170" s="331"/>
      <c r="S170" s="349">
        <v>38860</v>
      </c>
      <c r="T170" s="18">
        <f>+S170+25</f>
        <v>38885</v>
      </c>
      <c r="U170" s="331">
        <f>IF(T170="","",+T170-J170)</f>
        <v>163</v>
      </c>
      <c r="V170" s="6" t="s">
        <v>5160</v>
      </c>
      <c r="W170" s="340">
        <v>104</v>
      </c>
      <c r="X170" s="59"/>
      <c r="Y170" s="59"/>
      <c r="Z170" s="6">
        <v>6505731713</v>
      </c>
      <c r="AA170" s="7">
        <v>38905</v>
      </c>
      <c r="AB170" s="7" t="s">
        <v>47</v>
      </c>
      <c r="AC170" s="7"/>
      <c r="AD170" s="10" t="str">
        <f>IF(O170&lt;=L170,"en término","atrasado")</f>
        <v>en término</v>
      </c>
    </row>
    <row r="171" spans="1:35" s="9" customFormat="1" ht="12" thickBot="1" x14ac:dyDescent="0.25">
      <c r="A171" s="328"/>
      <c r="B171" s="19"/>
      <c r="C171" s="19"/>
      <c r="D171" s="5"/>
      <c r="E171" s="5"/>
      <c r="F171" s="5"/>
      <c r="G171" s="5"/>
      <c r="H171" s="26"/>
      <c r="I171" s="21"/>
      <c r="J171" s="5"/>
      <c r="K171" s="5"/>
      <c r="L171" s="27"/>
      <c r="M171" s="5"/>
      <c r="N171" s="5"/>
      <c r="O171" s="19"/>
      <c r="P171" s="19"/>
      <c r="Q171" s="19"/>
      <c r="R171" s="19"/>
      <c r="S171" s="5"/>
      <c r="T171" s="5" t="s">
        <v>5140</v>
      </c>
      <c r="U171" s="19"/>
      <c r="V171" s="224" t="s">
        <v>3538</v>
      </c>
      <c r="W171" s="5"/>
      <c r="X171" s="61"/>
      <c r="Y171" s="61"/>
      <c r="Z171" s="5"/>
      <c r="AA171" s="5"/>
      <c r="AB171" s="27">
        <v>38902</v>
      </c>
      <c r="AC171" s="27"/>
      <c r="AD171" s="330"/>
    </row>
    <row r="172" spans="1:35" s="9" customFormat="1" x14ac:dyDescent="0.2">
      <c r="A172" s="328"/>
      <c r="B172" s="16"/>
      <c r="C172" s="16"/>
      <c r="D172" s="7"/>
      <c r="E172" s="7"/>
      <c r="F172" s="6"/>
      <c r="G172" s="6"/>
      <c r="H172" s="17" t="s">
        <v>77</v>
      </c>
      <c r="I172" s="17"/>
      <c r="J172" s="7"/>
      <c r="K172" s="7"/>
      <c r="L172" s="23"/>
      <c r="M172" s="6"/>
      <c r="N172" s="6"/>
      <c r="O172" s="6"/>
      <c r="P172" s="6"/>
      <c r="Q172" s="6"/>
      <c r="R172" s="6"/>
      <c r="S172" s="6"/>
      <c r="T172" s="6"/>
      <c r="U172" s="6"/>
      <c r="V172" s="138"/>
      <c r="W172" s="6"/>
      <c r="X172" s="59"/>
      <c r="Y172" s="59"/>
      <c r="Z172" s="6"/>
      <c r="AA172" s="6"/>
      <c r="AB172" s="7"/>
      <c r="AC172" s="7"/>
      <c r="AD172" s="330"/>
    </row>
    <row r="173" spans="1:35" s="9" customFormat="1" x14ac:dyDescent="0.2">
      <c r="A173" s="328"/>
      <c r="B173" s="16" t="s">
        <v>120</v>
      </c>
      <c r="C173" s="16" t="s">
        <v>121</v>
      </c>
      <c r="D173" s="7" t="s">
        <v>5161</v>
      </c>
      <c r="E173" s="7"/>
      <c r="F173" s="6">
        <v>3649</v>
      </c>
      <c r="G173" s="6" t="s">
        <v>39</v>
      </c>
      <c r="H173" s="17">
        <v>13706.59</v>
      </c>
      <c r="I173" s="39" t="s">
        <v>5113</v>
      </c>
      <c r="J173" s="18">
        <v>38841</v>
      </c>
      <c r="K173" s="331">
        <v>72</v>
      </c>
      <c r="L173" s="348">
        <f>+J173+K173</f>
        <v>38913</v>
      </c>
      <c r="M173" s="18" t="s">
        <v>124</v>
      </c>
      <c r="N173" s="6" t="s">
        <v>42</v>
      </c>
      <c r="O173" s="18">
        <v>38905</v>
      </c>
      <c r="P173" s="331">
        <f>IF(S173="","",+S173-L173)</f>
        <v>2</v>
      </c>
      <c r="Q173" s="331"/>
      <c r="R173" s="331"/>
      <c r="S173" s="349">
        <v>38915</v>
      </c>
      <c r="T173" s="18">
        <v>38933</v>
      </c>
      <c r="U173" s="331">
        <f>IF(T173="","",+T173-J173)</f>
        <v>92</v>
      </c>
      <c r="V173" s="6" t="s">
        <v>5162</v>
      </c>
      <c r="W173" s="340">
        <v>136</v>
      </c>
      <c r="X173" s="59"/>
      <c r="Y173" s="59"/>
      <c r="Z173" s="6">
        <v>6631322224</v>
      </c>
      <c r="AA173" s="6" t="s">
        <v>47</v>
      </c>
      <c r="AB173" s="7" t="s">
        <v>47</v>
      </c>
      <c r="AC173" s="7"/>
      <c r="AD173" s="10" t="str">
        <f>IF(O173&lt;=L173,"en término","atrasado")</f>
        <v>en término</v>
      </c>
    </row>
    <row r="174" spans="1:35" s="9" customFormat="1" ht="12" thickBot="1" x14ac:dyDescent="0.25">
      <c r="A174" s="328"/>
      <c r="B174" s="19"/>
      <c r="C174" s="19"/>
      <c r="D174" s="5"/>
      <c r="E174" s="5"/>
      <c r="F174" s="5"/>
      <c r="G174" s="5"/>
      <c r="H174" s="26"/>
      <c r="I174" s="21"/>
      <c r="J174" s="5"/>
      <c r="K174" s="5"/>
      <c r="L174" s="27"/>
      <c r="M174" s="5"/>
      <c r="N174" s="5"/>
      <c r="O174" s="19"/>
      <c r="P174" s="19"/>
      <c r="Q174" s="19"/>
      <c r="R174" s="19"/>
      <c r="S174" s="5"/>
      <c r="T174" s="5" t="s">
        <v>5163</v>
      </c>
      <c r="U174" s="19"/>
      <c r="V174" s="224" t="s">
        <v>3538</v>
      </c>
      <c r="W174" s="5"/>
      <c r="X174" s="61"/>
      <c r="Y174" s="61"/>
      <c r="Z174" s="5"/>
      <c r="AA174" s="27">
        <v>38966</v>
      </c>
      <c r="AB174" s="27">
        <v>38952</v>
      </c>
      <c r="AC174" s="27"/>
      <c r="AD174" s="330"/>
    </row>
    <row r="175" spans="1:35" x14ac:dyDescent="0.2">
      <c r="D175" s="2"/>
      <c r="E175" s="2"/>
    </row>
    <row r="177" spans="1:35" ht="12.75" x14ac:dyDescent="0.2">
      <c r="AA177" s="1">
        <v>2006</v>
      </c>
      <c r="AB177" s="1048"/>
    </row>
    <row r="178" spans="1:35" ht="12.75" x14ac:dyDescent="0.2">
      <c r="AA178" s="945" t="s">
        <v>813</v>
      </c>
      <c r="AB178" s="1048">
        <f>COUNTA(AD164:AD173)</f>
        <v>4</v>
      </c>
    </row>
    <row r="179" spans="1:35" ht="12.75" x14ac:dyDescent="0.2">
      <c r="AA179" s="945" t="s">
        <v>815</v>
      </c>
      <c r="AB179" s="1048">
        <f>COUNTIF(AD164:AD173,"en término")</f>
        <v>4</v>
      </c>
    </row>
    <row r="180" spans="1:35" ht="12.75" x14ac:dyDescent="0.2">
      <c r="AA180" s="945" t="s">
        <v>817</v>
      </c>
      <c r="AB180" s="557">
        <f>+AB179/AB178</f>
        <v>1</v>
      </c>
    </row>
    <row r="181" spans="1:35" ht="12" x14ac:dyDescent="0.2">
      <c r="AA181" s="24"/>
      <c r="AB181" s="201"/>
      <c r="AC181" s="201"/>
    </row>
    <row r="182" spans="1:35" ht="12" thickBot="1" x14ac:dyDescent="0.25"/>
    <row r="183" spans="1:35" s="556" customFormat="1" ht="39.950000000000003" customHeight="1" thickBot="1" x14ac:dyDescent="0.4">
      <c r="B183" s="1654">
        <v>2007</v>
      </c>
      <c r="C183" s="1655"/>
      <c r="D183" s="1655"/>
      <c r="E183" s="1655"/>
      <c r="F183" s="1655"/>
      <c r="G183" s="1655"/>
      <c r="H183" s="1655"/>
      <c r="I183" s="1655"/>
      <c r="J183" s="1655"/>
      <c r="K183" s="1655"/>
      <c r="L183" s="1655"/>
      <c r="M183" s="1655"/>
      <c r="N183" s="1655"/>
      <c r="O183" s="1655"/>
      <c r="P183" s="1655"/>
      <c r="Q183" s="1655"/>
      <c r="R183" s="1655"/>
      <c r="S183" s="1655"/>
      <c r="T183" s="1655"/>
      <c r="U183" s="1655"/>
      <c r="V183" s="1655"/>
      <c r="W183" s="1655"/>
      <c r="X183" s="1655"/>
      <c r="Y183" s="1655"/>
      <c r="Z183" s="1655"/>
      <c r="AA183" s="1655"/>
      <c r="AB183" s="1655"/>
      <c r="AC183" s="1656"/>
    </row>
    <row r="184" spans="1:35" s="441" customFormat="1" ht="60" customHeight="1" thickBot="1" x14ac:dyDescent="0.25">
      <c r="A184" s="438"/>
      <c r="B184" s="451" t="s">
        <v>130</v>
      </c>
      <c r="C184" s="451" t="s">
        <v>4</v>
      </c>
      <c r="D184" s="451" t="s">
        <v>5</v>
      </c>
      <c r="E184" s="451" t="s">
        <v>6</v>
      </c>
      <c r="F184" s="451" t="s">
        <v>7</v>
      </c>
      <c r="G184" s="451" t="s">
        <v>8</v>
      </c>
      <c r="H184" s="453" t="s">
        <v>9</v>
      </c>
      <c r="I184" s="453" t="s">
        <v>10</v>
      </c>
      <c r="J184" s="451" t="s">
        <v>11</v>
      </c>
      <c r="K184" s="451" t="s">
        <v>12</v>
      </c>
      <c r="L184" s="451" t="s">
        <v>13</v>
      </c>
      <c r="M184" s="451" t="s">
        <v>14</v>
      </c>
      <c r="N184" s="451" t="s">
        <v>15</v>
      </c>
      <c r="O184" s="452" t="s">
        <v>16</v>
      </c>
      <c r="P184" s="454" t="s">
        <v>17</v>
      </c>
      <c r="Q184" s="451" t="s">
        <v>18</v>
      </c>
      <c r="R184" s="452" t="s">
        <v>19</v>
      </c>
      <c r="S184" s="451" t="s">
        <v>20</v>
      </c>
      <c r="T184" s="451" t="s">
        <v>21</v>
      </c>
      <c r="U184" s="452" t="s">
        <v>22</v>
      </c>
      <c r="V184" s="451" t="s">
        <v>131</v>
      </c>
      <c r="W184" s="451" t="s">
        <v>24</v>
      </c>
      <c r="X184" s="451" t="s">
        <v>132</v>
      </c>
      <c r="Y184" s="451" t="s">
        <v>26</v>
      </c>
      <c r="Z184" s="451" t="s">
        <v>27</v>
      </c>
      <c r="AA184" s="451" t="s">
        <v>28</v>
      </c>
      <c r="AB184" s="451" t="s">
        <v>29</v>
      </c>
      <c r="AC184" s="451" t="s">
        <v>30</v>
      </c>
      <c r="AD184" s="439"/>
      <c r="AE184" s="440"/>
      <c r="AF184" s="440"/>
      <c r="AG184" s="440"/>
      <c r="AH184" s="440"/>
      <c r="AI184" s="440"/>
    </row>
    <row r="185" spans="1:35" s="9" customFormat="1" ht="54.95" customHeight="1" thickBot="1" x14ac:dyDescent="0.25">
      <c r="A185" s="328"/>
      <c r="B185" s="455" t="s">
        <v>120</v>
      </c>
      <c r="C185" s="455" t="s">
        <v>121</v>
      </c>
      <c r="D185" s="456" t="s">
        <v>5164</v>
      </c>
      <c r="E185" s="456"/>
      <c r="F185" s="457">
        <v>6704</v>
      </c>
      <c r="G185" s="457" t="s">
        <v>39</v>
      </c>
      <c r="H185" s="458">
        <v>4425.7</v>
      </c>
      <c r="I185" s="459" t="s">
        <v>5113</v>
      </c>
      <c r="J185" s="460">
        <v>39045</v>
      </c>
      <c r="K185" s="461">
        <v>52</v>
      </c>
      <c r="L185" s="462">
        <f>+J185+K185</f>
        <v>39097</v>
      </c>
      <c r="M185" s="460" t="s">
        <v>124</v>
      </c>
      <c r="N185" s="457" t="s">
        <v>42</v>
      </c>
      <c r="O185" s="460">
        <v>39094</v>
      </c>
      <c r="P185" s="461">
        <f>IF(S185="","",+S185-L185)</f>
        <v>26</v>
      </c>
      <c r="Q185" s="461"/>
      <c r="R185" s="460">
        <v>39106</v>
      </c>
      <c r="S185" s="471">
        <v>39123</v>
      </c>
      <c r="T185" s="460">
        <f>+S185+24</f>
        <v>39147</v>
      </c>
      <c r="U185" s="461">
        <f>IF(T185="","",+T185-J185)</f>
        <v>102</v>
      </c>
      <c r="V185" s="468" t="s">
        <v>5165</v>
      </c>
      <c r="W185" s="493">
        <v>193</v>
      </c>
      <c r="X185" s="467"/>
      <c r="Y185" s="467"/>
      <c r="Z185" s="457">
        <v>6631323005</v>
      </c>
      <c r="AA185" s="457"/>
      <c r="AB185" s="501" t="s">
        <v>5166</v>
      </c>
      <c r="AC185" s="470" t="s">
        <v>5163</v>
      </c>
      <c r="AD185" s="10" t="str">
        <f>IF(O185&lt;=L185,"en término","atrasado")</f>
        <v>en término</v>
      </c>
    </row>
    <row r="186" spans="1:35" s="9" customFormat="1" ht="54.95" customHeight="1" thickBot="1" x14ac:dyDescent="0.25">
      <c r="A186" s="328"/>
      <c r="B186" s="455" t="s">
        <v>120</v>
      </c>
      <c r="C186" s="455" t="s">
        <v>121</v>
      </c>
      <c r="D186" s="456" t="s">
        <v>5167</v>
      </c>
      <c r="E186" s="456"/>
      <c r="F186" s="457">
        <v>7143</v>
      </c>
      <c r="G186" s="457" t="s">
        <v>39</v>
      </c>
      <c r="H186" s="458">
        <v>7396.11</v>
      </c>
      <c r="I186" s="459" t="s">
        <v>5113</v>
      </c>
      <c r="J186" s="460">
        <v>39072</v>
      </c>
      <c r="K186" s="461">
        <v>70</v>
      </c>
      <c r="L186" s="462">
        <f>+J186+K186</f>
        <v>39142</v>
      </c>
      <c r="M186" s="460" t="s">
        <v>124</v>
      </c>
      <c r="N186" s="457" t="s">
        <v>42</v>
      </c>
      <c r="O186" s="460">
        <v>39140</v>
      </c>
      <c r="P186" s="461">
        <f>IF(S186="","",+S186-L186)</f>
        <v>12</v>
      </c>
      <c r="Q186" s="461"/>
      <c r="R186" s="460">
        <v>39142</v>
      </c>
      <c r="S186" s="471">
        <v>39154</v>
      </c>
      <c r="T186" s="460">
        <v>39178</v>
      </c>
      <c r="U186" s="461">
        <f>IF(T186="","",+T186-J186)</f>
        <v>106</v>
      </c>
      <c r="V186" s="468" t="s">
        <v>5168</v>
      </c>
      <c r="W186" s="493">
        <v>202</v>
      </c>
      <c r="X186" s="467"/>
      <c r="Y186" s="467"/>
      <c r="Z186" s="457">
        <v>6631322983</v>
      </c>
      <c r="AA186" s="457"/>
      <c r="AB186" s="501" t="s">
        <v>5169</v>
      </c>
      <c r="AC186" s="470" t="s">
        <v>5163</v>
      </c>
      <c r="AD186" s="10" t="str">
        <f>IF(O186&lt;=L186,"en término","atrasado")</f>
        <v>en término</v>
      </c>
    </row>
    <row r="187" spans="1:35" s="9" customFormat="1" ht="54.95" customHeight="1" thickBot="1" x14ac:dyDescent="0.25">
      <c r="A187" s="328"/>
      <c r="B187" s="455" t="s">
        <v>120</v>
      </c>
      <c r="C187" s="455" t="s">
        <v>121</v>
      </c>
      <c r="D187" s="456" t="s">
        <v>5170</v>
      </c>
      <c r="E187" s="456"/>
      <c r="F187" s="457">
        <v>8015</v>
      </c>
      <c r="G187" s="457" t="s">
        <v>39</v>
      </c>
      <c r="H187" s="458">
        <v>20271.7</v>
      </c>
      <c r="I187" s="459" t="s">
        <v>5113</v>
      </c>
      <c r="J187" s="460">
        <v>39134</v>
      </c>
      <c r="K187" s="461">
        <v>45</v>
      </c>
      <c r="L187" s="462">
        <f>+J187+K187</f>
        <v>39179</v>
      </c>
      <c r="M187" s="460" t="s">
        <v>124</v>
      </c>
      <c r="N187" s="457" t="s">
        <v>42</v>
      </c>
      <c r="O187" s="460">
        <v>39168</v>
      </c>
      <c r="P187" s="461">
        <f>IF(S187="","",+S187-L187)</f>
        <v>19</v>
      </c>
      <c r="Q187" s="461"/>
      <c r="R187" s="460">
        <v>39191</v>
      </c>
      <c r="S187" s="471">
        <v>39198</v>
      </c>
      <c r="T187" s="460">
        <v>39221</v>
      </c>
      <c r="U187" s="461">
        <f>IF(T187="","",+T187-J187)</f>
        <v>87</v>
      </c>
      <c r="V187" s="468" t="s">
        <v>5171</v>
      </c>
      <c r="W187" s="493">
        <v>208</v>
      </c>
      <c r="X187" s="467"/>
      <c r="Y187" s="467"/>
      <c r="Z187" s="457">
        <v>6631322596</v>
      </c>
      <c r="AA187" s="457" t="s">
        <v>5172</v>
      </c>
      <c r="AB187" s="501" t="s">
        <v>47</v>
      </c>
      <c r="AC187" s="470" t="s">
        <v>5173</v>
      </c>
      <c r="AD187" s="10" t="str">
        <f>IF(O187&lt;=L187,"en término","atrasado")</f>
        <v>en término</v>
      </c>
    </row>
    <row r="188" spans="1:35" s="587" customFormat="1" ht="54.95" customHeight="1" thickBot="1" x14ac:dyDescent="0.25">
      <c r="A188" s="584"/>
      <c r="B188" s="585" t="s">
        <v>120</v>
      </c>
      <c r="C188" s="455" t="s">
        <v>121</v>
      </c>
      <c r="D188" s="456" t="s">
        <v>5174</v>
      </c>
      <c r="E188" s="456"/>
      <c r="F188" s="457">
        <v>11163</v>
      </c>
      <c r="G188" s="457" t="s">
        <v>39</v>
      </c>
      <c r="H188" s="458">
        <v>11333.7</v>
      </c>
      <c r="I188" s="459" t="s">
        <v>5113</v>
      </c>
      <c r="J188" s="460">
        <v>39330</v>
      </c>
      <c r="K188" s="461">
        <v>55</v>
      </c>
      <c r="L188" s="462">
        <f>+J188+K188</f>
        <v>39385</v>
      </c>
      <c r="M188" s="459" t="s">
        <v>124</v>
      </c>
      <c r="N188" s="457" t="s">
        <v>42</v>
      </c>
      <c r="O188" s="460">
        <v>39371</v>
      </c>
      <c r="P188" s="461">
        <f>IF(S188="","",+S188-L188)</f>
        <v>9</v>
      </c>
      <c r="Q188" s="461" t="s">
        <v>5175</v>
      </c>
      <c r="R188" s="460">
        <v>39386</v>
      </c>
      <c r="S188" s="471">
        <v>39394</v>
      </c>
      <c r="T188" s="462">
        <f>+S188+40+10</f>
        <v>39444</v>
      </c>
      <c r="U188" s="461">
        <f>IF(T188="","",+T188-J188)</f>
        <v>114</v>
      </c>
      <c r="V188" s="468" t="s">
        <v>5176</v>
      </c>
      <c r="W188" s="457">
        <v>260</v>
      </c>
      <c r="X188" s="467"/>
      <c r="Y188" s="467"/>
      <c r="Z188" s="457">
        <v>6656530016</v>
      </c>
      <c r="AA188" s="456" t="s">
        <v>5177</v>
      </c>
      <c r="AB188" s="456" t="s">
        <v>2720</v>
      </c>
      <c r="AC188" s="499"/>
      <c r="AD188" s="10" t="str">
        <f>IF(O188&lt;=L188,"en término","atrasado")</f>
        <v>en término</v>
      </c>
      <c r="AE188" s="412"/>
    </row>
    <row r="189" spans="1:35" s="587" customFormat="1" ht="54.95" customHeight="1" thickBot="1" x14ac:dyDescent="0.25">
      <c r="A189" s="584"/>
      <c r="B189" s="585" t="s">
        <v>120</v>
      </c>
      <c r="C189" s="455" t="s">
        <v>121</v>
      </c>
      <c r="D189" s="456" t="s">
        <v>5178</v>
      </c>
      <c r="E189" s="456"/>
      <c r="F189" s="457">
        <v>11897</v>
      </c>
      <c r="G189" s="457" t="s">
        <v>39</v>
      </c>
      <c r="H189" s="458">
        <v>17943.95</v>
      </c>
      <c r="I189" s="459" t="s">
        <v>5113</v>
      </c>
      <c r="J189" s="460">
        <v>39374</v>
      </c>
      <c r="K189" s="461">
        <v>88</v>
      </c>
      <c r="L189" s="462">
        <f>+J189+K189</f>
        <v>39462</v>
      </c>
      <c r="M189" s="459" t="s">
        <v>124</v>
      </c>
      <c r="N189" s="457" t="s">
        <v>42</v>
      </c>
      <c r="O189" s="460">
        <v>39423</v>
      </c>
      <c r="P189" s="461">
        <f>IF(S189="","",+S189-L189)</f>
        <v>-25</v>
      </c>
      <c r="Q189" s="461" t="s">
        <v>5175</v>
      </c>
      <c r="R189" s="460">
        <v>39428</v>
      </c>
      <c r="S189" s="471">
        <v>39437</v>
      </c>
      <c r="T189" s="460">
        <f>+S189+40+10</f>
        <v>39487</v>
      </c>
      <c r="U189" s="461">
        <f>IF(T189="","",+T189-J189)</f>
        <v>113</v>
      </c>
      <c r="V189" s="468" t="s">
        <v>5179</v>
      </c>
      <c r="W189" s="457">
        <v>278</v>
      </c>
      <c r="X189" s="467"/>
      <c r="Y189" s="467"/>
      <c r="Z189" s="457">
        <v>6626519045</v>
      </c>
      <c r="AA189" s="456"/>
      <c r="AB189" s="456" t="s">
        <v>1811</v>
      </c>
      <c r="AC189" s="499"/>
      <c r="AD189" s="10" t="str">
        <f>IF(O189&lt;=L189,"en término","atrasado")</f>
        <v>en término</v>
      </c>
      <c r="AE189" s="412"/>
    </row>
    <row r="191" spans="1:35" ht="12.75" x14ac:dyDescent="0.2">
      <c r="AA191" s="1">
        <v>2007</v>
      </c>
      <c r="AB191" s="1048"/>
    </row>
    <row r="192" spans="1:35" ht="12.75" x14ac:dyDescent="0.2">
      <c r="AA192" s="945" t="s">
        <v>813</v>
      </c>
      <c r="AB192" s="1048">
        <f>COUNTA(AD179:AD190)</f>
        <v>5</v>
      </c>
    </row>
    <row r="193" spans="1:35" ht="12.75" x14ac:dyDescent="0.2">
      <c r="AA193" s="945" t="s">
        <v>815</v>
      </c>
      <c r="AB193" s="1048">
        <f>COUNTIF(AD180:AD191,"en término")</f>
        <v>5</v>
      </c>
    </row>
    <row r="194" spans="1:35" ht="12.75" x14ac:dyDescent="0.2">
      <c r="AA194" s="945" t="s">
        <v>817</v>
      </c>
      <c r="AB194" s="557">
        <f>+AB193/AB192</f>
        <v>1</v>
      </c>
    </row>
    <row r="197" spans="1:35" ht="12" thickBot="1" x14ac:dyDescent="0.25"/>
    <row r="198" spans="1:35" s="556" customFormat="1" ht="39.950000000000003" customHeight="1" thickBot="1" x14ac:dyDescent="0.4">
      <c r="B198" s="1654">
        <v>2008</v>
      </c>
      <c r="C198" s="1655"/>
      <c r="D198" s="1655"/>
      <c r="E198" s="1655"/>
      <c r="F198" s="1655"/>
      <c r="G198" s="1655"/>
      <c r="H198" s="1655"/>
      <c r="I198" s="1655"/>
      <c r="J198" s="1655"/>
      <c r="K198" s="1655"/>
      <c r="L198" s="1655"/>
      <c r="M198" s="1655"/>
      <c r="N198" s="1655"/>
      <c r="O198" s="1655"/>
      <c r="P198" s="1655"/>
      <c r="Q198" s="1655"/>
      <c r="R198" s="1655"/>
      <c r="S198" s="1655"/>
      <c r="T198" s="1655"/>
      <c r="U198" s="1655"/>
      <c r="V198" s="1655"/>
      <c r="W198" s="1655"/>
      <c r="X198" s="1655"/>
      <c r="Y198" s="1655"/>
      <c r="Z198" s="1655"/>
      <c r="AA198" s="1655"/>
      <c r="AB198" s="1655"/>
      <c r="AC198" s="1656"/>
    </row>
    <row r="199" spans="1:35" s="441" customFormat="1" ht="60" customHeight="1" thickBot="1" x14ac:dyDescent="0.25">
      <c r="A199" s="438"/>
      <c r="B199" s="451" t="s">
        <v>130</v>
      </c>
      <c r="C199" s="451" t="s">
        <v>4</v>
      </c>
      <c r="D199" s="451" t="s">
        <v>5</v>
      </c>
      <c r="E199" s="451" t="s">
        <v>6</v>
      </c>
      <c r="F199" s="451" t="s">
        <v>7</v>
      </c>
      <c r="G199" s="451" t="s">
        <v>8</v>
      </c>
      <c r="H199" s="453" t="s">
        <v>9</v>
      </c>
      <c r="I199" s="453" t="s">
        <v>10</v>
      </c>
      <c r="J199" s="451" t="s">
        <v>11</v>
      </c>
      <c r="K199" s="451" t="s">
        <v>12</v>
      </c>
      <c r="L199" s="451" t="s">
        <v>13</v>
      </c>
      <c r="M199" s="451" t="s">
        <v>14</v>
      </c>
      <c r="N199" s="451" t="s">
        <v>15</v>
      </c>
      <c r="O199" s="452" t="s">
        <v>16</v>
      </c>
      <c r="P199" s="454" t="s">
        <v>17</v>
      </c>
      <c r="Q199" s="451" t="s">
        <v>18</v>
      </c>
      <c r="R199" s="452" t="s">
        <v>19</v>
      </c>
      <c r="S199" s="451" t="s">
        <v>20</v>
      </c>
      <c r="T199" s="451" t="s">
        <v>21</v>
      </c>
      <c r="U199" s="452" t="s">
        <v>22</v>
      </c>
      <c r="V199" s="451" t="s">
        <v>131</v>
      </c>
      <c r="W199" s="451" t="s">
        <v>24</v>
      </c>
      <c r="X199" s="451" t="s">
        <v>132</v>
      </c>
      <c r="Y199" s="451" t="s">
        <v>26</v>
      </c>
      <c r="Z199" s="451" t="s">
        <v>27</v>
      </c>
      <c r="AA199" s="451" t="s">
        <v>28</v>
      </c>
      <c r="AB199" s="451" t="s">
        <v>29</v>
      </c>
      <c r="AC199" s="451" t="s">
        <v>30</v>
      </c>
      <c r="AD199" s="439"/>
      <c r="AE199" s="440"/>
      <c r="AF199" s="440"/>
      <c r="AG199" s="440"/>
      <c r="AH199" s="440"/>
      <c r="AI199" s="440"/>
    </row>
    <row r="200" spans="1:35" s="587" customFormat="1" ht="54.95" customHeight="1" thickBot="1" x14ac:dyDescent="0.25">
      <c r="A200" s="584"/>
      <c r="B200" s="585" t="s">
        <v>120</v>
      </c>
      <c r="C200" s="455" t="s">
        <v>121</v>
      </c>
      <c r="D200" s="456" t="s">
        <v>5180</v>
      </c>
      <c r="E200" s="456"/>
      <c r="F200" s="457">
        <v>12194</v>
      </c>
      <c r="G200" s="457" t="s">
        <v>39</v>
      </c>
      <c r="H200" s="458">
        <v>33295.82</v>
      </c>
      <c r="I200" s="459" t="s">
        <v>5113</v>
      </c>
      <c r="J200" s="460">
        <v>39399</v>
      </c>
      <c r="K200" s="461">
        <v>80</v>
      </c>
      <c r="L200" s="462">
        <f>+J200+K200</f>
        <v>39479</v>
      </c>
      <c r="M200" s="459" t="s">
        <v>124</v>
      </c>
      <c r="N200" s="457" t="s">
        <v>42</v>
      </c>
      <c r="O200" s="460">
        <v>39458</v>
      </c>
      <c r="P200" s="461">
        <f>IF(S200="","",+S200-L200)</f>
        <v>-8</v>
      </c>
      <c r="Q200" s="461" t="s">
        <v>5181</v>
      </c>
      <c r="R200" s="460">
        <v>39463</v>
      </c>
      <c r="S200" s="471">
        <v>39471</v>
      </c>
      <c r="T200" s="460">
        <f>+S200+40+10</f>
        <v>39521</v>
      </c>
      <c r="U200" s="461">
        <f>IF(T200="","",+T200-J200)</f>
        <v>122</v>
      </c>
      <c r="V200" s="468" t="s">
        <v>5179</v>
      </c>
      <c r="W200" s="457">
        <v>290</v>
      </c>
      <c r="X200" s="467"/>
      <c r="Y200" s="467"/>
      <c r="Z200" s="457">
        <v>6626519001</v>
      </c>
      <c r="AA200" s="456" t="s">
        <v>5182</v>
      </c>
      <c r="AB200" s="456" t="s">
        <v>5183</v>
      </c>
      <c r="AC200" s="499"/>
      <c r="AD200" s="10" t="str">
        <f>IF(P200="","",IF(P200&lt;=0,"en término","atrasado"))</f>
        <v>en término</v>
      </c>
      <c r="AE200" s="412"/>
    </row>
    <row r="201" spans="1:35" s="587" customFormat="1" ht="54.95" customHeight="1" thickBot="1" x14ac:dyDescent="0.25">
      <c r="A201" s="584"/>
      <c r="B201" s="585" t="s">
        <v>120</v>
      </c>
      <c r="C201" s="455" t="s">
        <v>121</v>
      </c>
      <c r="D201" s="456" t="s">
        <v>5184</v>
      </c>
      <c r="E201" s="456"/>
      <c r="F201" s="457">
        <v>12443</v>
      </c>
      <c r="G201" s="457" t="s">
        <v>39</v>
      </c>
      <c r="H201" s="458">
        <v>5476.05</v>
      </c>
      <c r="I201" s="459" t="s">
        <v>5113</v>
      </c>
      <c r="J201" s="460">
        <v>39416</v>
      </c>
      <c r="K201" s="461">
        <v>92</v>
      </c>
      <c r="L201" s="462">
        <f>+J201+K201</f>
        <v>39508</v>
      </c>
      <c r="M201" s="459" t="s">
        <v>124</v>
      </c>
      <c r="N201" s="457" t="s">
        <v>42</v>
      </c>
      <c r="O201" s="460">
        <v>39493</v>
      </c>
      <c r="P201" s="461">
        <f>IF(S201="","",+S201-L201)</f>
        <v>-1</v>
      </c>
      <c r="Q201" s="461" t="s">
        <v>5185</v>
      </c>
      <c r="R201" s="588"/>
      <c r="S201" s="471">
        <v>39507</v>
      </c>
      <c r="T201" s="460">
        <f>+S201+40+10</f>
        <v>39557</v>
      </c>
      <c r="U201" s="461">
        <f>IF(T201="","",+T201-J201)</f>
        <v>141</v>
      </c>
      <c r="V201" s="468" t="s">
        <v>5179</v>
      </c>
      <c r="W201" s="457">
        <v>301</v>
      </c>
      <c r="X201" s="467"/>
      <c r="Y201" s="467"/>
      <c r="Z201" s="457">
        <v>6510425795</v>
      </c>
      <c r="AA201" s="456" t="s">
        <v>5182</v>
      </c>
      <c r="AB201" s="456" t="s">
        <v>5186</v>
      </c>
      <c r="AC201" s="499"/>
      <c r="AD201" s="10" t="str">
        <f>IF(P201="","",IF(P201&lt;=0,"en término","atrasado"))</f>
        <v>en término</v>
      </c>
      <c r="AE201" s="412"/>
    </row>
    <row r="202" spans="1:35" s="587" customFormat="1" ht="54.95" customHeight="1" thickBot="1" x14ac:dyDescent="0.25">
      <c r="A202" s="584"/>
      <c r="B202" s="585" t="s">
        <v>120</v>
      </c>
      <c r="C202" s="455" t="s">
        <v>121</v>
      </c>
      <c r="D202" s="456" t="s">
        <v>5187</v>
      </c>
      <c r="E202" s="456"/>
      <c r="F202" s="457">
        <v>12894</v>
      </c>
      <c r="G202" s="457" t="s">
        <v>39</v>
      </c>
      <c r="H202" s="458">
        <v>2825.1</v>
      </c>
      <c r="I202" s="459" t="s">
        <v>5113</v>
      </c>
      <c r="J202" s="460">
        <v>39451</v>
      </c>
      <c r="K202" s="461">
        <v>57</v>
      </c>
      <c r="L202" s="462">
        <f>+J202+K202</f>
        <v>39508</v>
      </c>
      <c r="M202" s="459" t="s">
        <v>124</v>
      </c>
      <c r="N202" s="457" t="s">
        <v>42</v>
      </c>
      <c r="O202" s="460">
        <v>39493</v>
      </c>
      <c r="P202" s="461">
        <f>IF(S202="","",+S202-L202)</f>
        <v>-1</v>
      </c>
      <c r="Q202" s="461" t="s">
        <v>5185</v>
      </c>
      <c r="R202" s="588"/>
      <c r="S202" s="471">
        <v>39507</v>
      </c>
      <c r="T202" s="460">
        <f>+S202+40+10</f>
        <v>39557</v>
      </c>
      <c r="U202" s="461">
        <f>IF(T202="","",+T202-J202)</f>
        <v>106</v>
      </c>
      <c r="V202" s="468" t="s">
        <v>5179</v>
      </c>
      <c r="W202" s="457">
        <v>301</v>
      </c>
      <c r="X202" s="467"/>
      <c r="Y202" s="467"/>
      <c r="Z202" s="457">
        <v>6510425795</v>
      </c>
      <c r="AA202" s="456" t="s">
        <v>5182</v>
      </c>
      <c r="AB202" s="456" t="s">
        <v>5186</v>
      </c>
      <c r="AC202" s="499"/>
      <c r="AD202" s="10" t="str">
        <f>IF(P202="","",IF(P202&lt;=0,"en término","atrasado"))</f>
        <v>en término</v>
      </c>
      <c r="AE202" s="412"/>
    </row>
    <row r="203" spans="1:35" s="587" customFormat="1" ht="54.95" customHeight="1" thickBot="1" x14ac:dyDescent="0.25">
      <c r="A203" s="584"/>
      <c r="B203" s="585" t="s">
        <v>120</v>
      </c>
      <c r="C203" s="455" t="s">
        <v>121</v>
      </c>
      <c r="D203" s="456" t="s">
        <v>5188</v>
      </c>
      <c r="E203" s="456"/>
      <c r="F203" s="457">
        <v>16776</v>
      </c>
      <c r="G203" s="457" t="s">
        <v>4299</v>
      </c>
      <c r="H203" s="458">
        <v>15045.35</v>
      </c>
      <c r="I203" s="459" t="s">
        <v>5113</v>
      </c>
      <c r="J203" s="460">
        <v>39689</v>
      </c>
      <c r="K203" s="461">
        <v>62</v>
      </c>
      <c r="L203" s="462">
        <f>+J203+K203</f>
        <v>39751</v>
      </c>
      <c r="M203" s="459" t="s">
        <v>124</v>
      </c>
      <c r="N203" s="457" t="s">
        <v>42</v>
      </c>
      <c r="O203" s="460">
        <v>39731</v>
      </c>
      <c r="P203" s="461">
        <f>IF(O203="","",+O203-L203)</f>
        <v>-20</v>
      </c>
      <c r="Q203" s="461" t="s">
        <v>5189</v>
      </c>
      <c r="R203" s="460"/>
      <c r="S203" s="471">
        <v>39756</v>
      </c>
      <c r="T203" s="471">
        <f>+S203+40+10</f>
        <v>39806</v>
      </c>
      <c r="U203" s="461">
        <f>IF(T203="","",+T203-J203)</f>
        <v>117</v>
      </c>
      <c r="V203" s="468" t="s">
        <v>5190</v>
      </c>
      <c r="W203" s="457">
        <v>360</v>
      </c>
      <c r="X203" s="592"/>
      <c r="Y203" s="467"/>
      <c r="Z203" s="457">
        <v>6682704350</v>
      </c>
      <c r="AA203" s="456" t="s">
        <v>2169</v>
      </c>
      <c r="AB203" s="460" t="s">
        <v>2011</v>
      </c>
      <c r="AC203" s="470"/>
      <c r="AD203" s="10" t="str">
        <f>IF(P203="","",IF(P203&lt;=0,"en término","atrasado"))</f>
        <v>en término</v>
      </c>
      <c r="AE203" s="645"/>
    </row>
    <row r="205" spans="1:35" ht="12.75" x14ac:dyDescent="0.2">
      <c r="AA205" s="1">
        <v>2008</v>
      </c>
      <c r="AB205" s="1048"/>
    </row>
    <row r="206" spans="1:35" ht="12.75" x14ac:dyDescent="0.2">
      <c r="AA206" s="945" t="s">
        <v>813</v>
      </c>
      <c r="AB206" s="1048">
        <f>COUNTA(AD198:AD204)</f>
        <v>4</v>
      </c>
    </row>
    <row r="207" spans="1:35" ht="12.75" x14ac:dyDescent="0.2">
      <c r="AA207" s="945" t="s">
        <v>815</v>
      </c>
      <c r="AB207" s="1048">
        <f>COUNTIF(AD198:AD204,"en término")</f>
        <v>4</v>
      </c>
    </row>
    <row r="208" spans="1:35" ht="12.75" x14ac:dyDescent="0.2">
      <c r="AA208" s="945" t="s">
        <v>817</v>
      </c>
      <c r="AB208" s="557">
        <f>+AB207/AB206</f>
        <v>1</v>
      </c>
    </row>
    <row r="210" spans="1:37" ht="12" thickBot="1" x14ac:dyDescent="0.25"/>
    <row r="211" spans="1:37" s="556" customFormat="1" ht="39.950000000000003" customHeight="1" thickBot="1" x14ac:dyDescent="0.4">
      <c r="B211" s="1611">
        <v>2009</v>
      </c>
      <c r="C211" s="1612"/>
      <c r="D211" s="1612"/>
      <c r="E211" s="1612"/>
      <c r="F211" s="1612"/>
      <c r="G211" s="1612"/>
      <c r="H211" s="1612"/>
      <c r="I211" s="1612"/>
      <c r="J211" s="1612"/>
      <c r="K211" s="1612"/>
      <c r="L211" s="1612"/>
      <c r="M211" s="1612"/>
      <c r="N211" s="1612"/>
      <c r="O211" s="1612"/>
      <c r="P211" s="1612"/>
      <c r="Q211" s="1612"/>
      <c r="R211" s="1612"/>
      <c r="S211" s="1612"/>
      <c r="T211" s="1612"/>
      <c r="U211" s="1612"/>
      <c r="V211" s="1612"/>
      <c r="W211" s="1612"/>
      <c r="X211" s="1612"/>
      <c r="Y211" s="1612"/>
      <c r="Z211" s="1612"/>
      <c r="AA211" s="1612"/>
      <c r="AB211" s="1612"/>
      <c r="AC211" s="1613"/>
      <c r="AD211" s="560"/>
    </row>
    <row r="212" spans="1:37" s="441" customFormat="1" ht="60" customHeight="1" thickBot="1" x14ac:dyDescent="0.25">
      <c r="A212" s="438"/>
      <c r="B212" s="451" t="s">
        <v>130</v>
      </c>
      <c r="C212" s="451" t="s">
        <v>4</v>
      </c>
      <c r="D212" s="451" t="s">
        <v>5</v>
      </c>
      <c r="E212" s="451" t="s">
        <v>6</v>
      </c>
      <c r="F212" s="451" t="s">
        <v>7</v>
      </c>
      <c r="G212" s="451" t="s">
        <v>8</v>
      </c>
      <c r="H212" s="453" t="s">
        <v>9</v>
      </c>
      <c r="I212" s="453" t="s">
        <v>10</v>
      </c>
      <c r="J212" s="451" t="s">
        <v>11</v>
      </c>
      <c r="K212" s="451" t="s">
        <v>12</v>
      </c>
      <c r="L212" s="451" t="s">
        <v>13</v>
      </c>
      <c r="M212" s="451" t="s">
        <v>14</v>
      </c>
      <c r="N212" s="451" t="s">
        <v>15</v>
      </c>
      <c r="O212" s="452" t="s">
        <v>16</v>
      </c>
      <c r="P212" s="454" t="s">
        <v>17</v>
      </c>
      <c r="Q212" s="451" t="s">
        <v>18</v>
      </c>
      <c r="R212" s="452" t="s">
        <v>19</v>
      </c>
      <c r="S212" s="451" t="s">
        <v>20</v>
      </c>
      <c r="T212" s="451" t="s">
        <v>21</v>
      </c>
      <c r="U212" s="452" t="s">
        <v>22</v>
      </c>
      <c r="V212" s="451" t="s">
        <v>131</v>
      </c>
      <c r="W212" s="451" t="s">
        <v>24</v>
      </c>
      <c r="X212" s="451" t="s">
        <v>132</v>
      </c>
      <c r="Y212" s="451" t="s">
        <v>26</v>
      </c>
      <c r="Z212" s="451" t="s">
        <v>27</v>
      </c>
      <c r="AA212" s="451" t="s">
        <v>28</v>
      </c>
      <c r="AB212" s="451" t="s">
        <v>29</v>
      </c>
      <c r="AC212" s="451" t="s">
        <v>30</v>
      </c>
      <c r="AD212" s="439"/>
      <c r="AE212" s="440"/>
      <c r="AF212" s="440"/>
      <c r="AG212" s="440"/>
      <c r="AH212" s="440"/>
      <c r="AI212" s="440"/>
      <c r="AJ212" s="440"/>
      <c r="AK212" s="440"/>
    </row>
    <row r="213" spans="1:37" s="587" customFormat="1" ht="54.95" customHeight="1" thickBot="1" x14ac:dyDescent="0.25">
      <c r="A213" s="584"/>
      <c r="B213" s="1043" t="s">
        <v>120</v>
      </c>
      <c r="C213" s="1043" t="s">
        <v>121</v>
      </c>
      <c r="D213" s="1044" t="s">
        <v>5191</v>
      </c>
      <c r="E213" s="1044"/>
      <c r="F213" s="1028">
        <v>20697</v>
      </c>
      <c r="G213" s="1028" t="s">
        <v>4299</v>
      </c>
      <c r="H213" s="1029">
        <v>340</v>
      </c>
      <c r="I213" s="1033" t="s">
        <v>5113</v>
      </c>
      <c r="J213" s="1032">
        <v>39960</v>
      </c>
      <c r="K213" s="1041">
        <v>85</v>
      </c>
      <c r="L213" s="641">
        <f t="shared" ref="L213:L218" si="0">+J213+K213</f>
        <v>40045</v>
      </c>
      <c r="M213" s="1033" t="s">
        <v>124</v>
      </c>
      <c r="N213" s="1028" t="s">
        <v>5192</v>
      </c>
      <c r="O213" s="1032">
        <v>40008</v>
      </c>
      <c r="P213" s="1041">
        <f t="shared" ref="P213:P218" si="1">IF(S213="","",+S213-L213)</f>
        <v>-34</v>
      </c>
      <c r="Q213" s="1041"/>
      <c r="R213" s="1032"/>
      <c r="S213" s="642">
        <v>40011</v>
      </c>
      <c r="T213" s="642">
        <v>40015</v>
      </c>
      <c r="U213" s="1041">
        <f t="shared" ref="U213:U218" si="2">IF(T213="","",+T213-J213)</f>
        <v>55</v>
      </c>
      <c r="V213" s="446" t="s">
        <v>2183</v>
      </c>
      <c r="W213" s="1028">
        <v>405</v>
      </c>
      <c r="X213" s="1037"/>
      <c r="Y213" s="643"/>
      <c r="Z213" s="446" t="s">
        <v>5193</v>
      </c>
      <c r="AA213" s="1044" t="s">
        <v>5194</v>
      </c>
      <c r="AB213" s="1032" t="s">
        <v>2292</v>
      </c>
      <c r="AC213" s="644"/>
      <c r="AD213" s="645" t="str">
        <f t="shared" ref="AD213:AD218" si="3">IF(P213="","",IF(P213&lt;=0,"en término","atrasado"))</f>
        <v>en término</v>
      </c>
    </row>
    <row r="214" spans="1:37" s="587" customFormat="1" ht="54.95" customHeight="1" thickBot="1" x14ac:dyDescent="0.25">
      <c r="A214" s="584"/>
      <c r="B214" s="1043" t="s">
        <v>120</v>
      </c>
      <c r="C214" s="1043" t="s">
        <v>121</v>
      </c>
      <c r="D214" s="1044" t="s">
        <v>5195</v>
      </c>
      <c r="E214" s="1044"/>
      <c r="F214" s="1028">
        <v>21315</v>
      </c>
      <c r="G214" s="1028" t="s">
        <v>4299</v>
      </c>
      <c r="H214" s="1029">
        <v>5486</v>
      </c>
      <c r="I214" s="1033" t="s">
        <v>5113</v>
      </c>
      <c r="J214" s="1032">
        <v>40014</v>
      </c>
      <c r="K214" s="1041">
        <v>87</v>
      </c>
      <c r="L214" s="641">
        <f t="shared" si="0"/>
        <v>40101</v>
      </c>
      <c r="M214" s="1033" t="s">
        <v>124</v>
      </c>
      <c r="N214" s="1028" t="s">
        <v>42</v>
      </c>
      <c r="O214" s="1032">
        <v>40057</v>
      </c>
      <c r="P214" s="1041">
        <f t="shared" si="1"/>
        <v>-23</v>
      </c>
      <c r="Q214" s="1041" t="s">
        <v>5196</v>
      </c>
      <c r="R214" s="1032">
        <v>40056</v>
      </c>
      <c r="S214" s="642">
        <v>40078</v>
      </c>
      <c r="T214" s="642">
        <v>40096</v>
      </c>
      <c r="U214" s="1041">
        <f t="shared" si="2"/>
        <v>82</v>
      </c>
      <c r="V214" s="446" t="s">
        <v>2183</v>
      </c>
      <c r="W214" s="1028">
        <v>416</v>
      </c>
      <c r="X214" s="1037"/>
      <c r="Y214" s="643"/>
      <c r="Z214" s="446">
        <v>9003876545</v>
      </c>
      <c r="AA214" s="1044"/>
      <c r="AB214" s="1032" t="s">
        <v>5197</v>
      </c>
      <c r="AC214" s="644"/>
      <c r="AD214" s="645" t="str">
        <f t="shared" si="3"/>
        <v>en término</v>
      </c>
    </row>
    <row r="215" spans="1:37" s="587" customFormat="1" ht="54.95" customHeight="1" thickBot="1" x14ac:dyDescent="0.25">
      <c r="A215" s="584"/>
      <c r="B215" s="1043" t="s">
        <v>120</v>
      </c>
      <c r="C215" s="1043" t="s">
        <v>121</v>
      </c>
      <c r="D215" s="1044" t="s">
        <v>5198</v>
      </c>
      <c r="E215" s="1044"/>
      <c r="F215" s="1028">
        <v>21582</v>
      </c>
      <c r="G215" s="1028" t="s">
        <v>4299</v>
      </c>
      <c r="H215" s="1029">
        <v>1263</v>
      </c>
      <c r="I215" s="1033" t="s">
        <v>5113</v>
      </c>
      <c r="J215" s="1032">
        <v>40042</v>
      </c>
      <c r="K215" s="1041">
        <v>59</v>
      </c>
      <c r="L215" s="641">
        <f t="shared" si="0"/>
        <v>40101</v>
      </c>
      <c r="M215" s="1033" t="s">
        <v>124</v>
      </c>
      <c r="N215" s="1028" t="s">
        <v>42</v>
      </c>
      <c r="O215" s="1032">
        <v>40057</v>
      </c>
      <c r="P215" s="1041">
        <f t="shared" si="1"/>
        <v>-23</v>
      </c>
      <c r="Q215" s="1041" t="s">
        <v>5196</v>
      </c>
      <c r="R215" s="1032">
        <v>40056</v>
      </c>
      <c r="S215" s="642">
        <v>40078</v>
      </c>
      <c r="T215" s="642">
        <v>40461</v>
      </c>
      <c r="U215" s="1041">
        <f t="shared" si="2"/>
        <v>419</v>
      </c>
      <c r="V215" s="446" t="s">
        <v>2183</v>
      </c>
      <c r="W215" s="1028">
        <v>417</v>
      </c>
      <c r="X215" s="1037"/>
      <c r="Y215" s="643"/>
      <c r="Z215" s="446">
        <v>9003876545</v>
      </c>
      <c r="AA215" s="1044"/>
      <c r="AB215" s="1032" t="s">
        <v>5197</v>
      </c>
      <c r="AC215" s="644"/>
      <c r="AD215" s="645" t="str">
        <f t="shared" si="3"/>
        <v>en término</v>
      </c>
    </row>
    <row r="216" spans="1:37" s="587" customFormat="1" ht="54.95" customHeight="1" thickBot="1" x14ac:dyDescent="0.25">
      <c r="A216" s="584"/>
      <c r="B216" s="455" t="s">
        <v>120</v>
      </c>
      <c r="C216" s="455" t="s">
        <v>121</v>
      </c>
      <c r="D216" s="456" t="s">
        <v>5199</v>
      </c>
      <c r="E216" s="456"/>
      <c r="F216" s="457">
        <v>21855</v>
      </c>
      <c r="G216" s="457" t="s">
        <v>4299</v>
      </c>
      <c r="H216" s="458">
        <v>9392</v>
      </c>
      <c r="I216" s="459" t="s">
        <v>5113</v>
      </c>
      <c r="J216" s="460">
        <v>40066</v>
      </c>
      <c r="K216" s="461">
        <v>35</v>
      </c>
      <c r="L216" s="462">
        <f t="shared" si="0"/>
        <v>40101</v>
      </c>
      <c r="M216" s="459" t="s">
        <v>124</v>
      </c>
      <c r="N216" s="457" t="s">
        <v>42</v>
      </c>
      <c r="O216" s="460">
        <v>40091</v>
      </c>
      <c r="P216" s="461">
        <f t="shared" si="1"/>
        <v>13</v>
      </c>
      <c r="Q216" s="591" t="s">
        <v>5200</v>
      </c>
      <c r="R216" s="460">
        <v>40108</v>
      </c>
      <c r="S216" s="471">
        <v>40114</v>
      </c>
      <c r="T216" s="471">
        <f>+S216+20</f>
        <v>40134</v>
      </c>
      <c r="U216" s="461">
        <f t="shared" si="2"/>
        <v>68</v>
      </c>
      <c r="V216" s="468" t="s">
        <v>5201</v>
      </c>
      <c r="W216" s="457">
        <v>429</v>
      </c>
      <c r="X216" s="592"/>
      <c r="Y216" s="467"/>
      <c r="Z216" s="468">
        <v>9003876501</v>
      </c>
      <c r="AA216" s="456"/>
      <c r="AB216" s="1032" t="s">
        <v>5197</v>
      </c>
      <c r="AC216" s="470" t="s">
        <v>5202</v>
      </c>
      <c r="AD216" s="645" t="str">
        <f t="shared" si="3"/>
        <v>atrasado</v>
      </c>
    </row>
    <row r="217" spans="1:37" s="587" customFormat="1" ht="54.95" customHeight="1" thickBot="1" x14ac:dyDescent="0.25">
      <c r="A217" s="584"/>
      <c r="B217" s="455" t="s">
        <v>120</v>
      </c>
      <c r="C217" s="455" t="s">
        <v>121</v>
      </c>
      <c r="D217" s="456" t="s">
        <v>5203</v>
      </c>
      <c r="E217" s="456"/>
      <c r="F217" s="457">
        <v>22317</v>
      </c>
      <c r="G217" s="457" t="s">
        <v>4299</v>
      </c>
      <c r="H217" s="458">
        <v>6980</v>
      </c>
      <c r="I217" s="459" t="s">
        <v>5204</v>
      </c>
      <c r="J217" s="460">
        <v>40106</v>
      </c>
      <c r="K217" s="461">
        <v>46</v>
      </c>
      <c r="L217" s="462">
        <f t="shared" si="0"/>
        <v>40152</v>
      </c>
      <c r="M217" s="459" t="s">
        <v>124</v>
      </c>
      <c r="N217" s="457" t="s">
        <v>42</v>
      </c>
      <c r="O217" s="460">
        <v>40141</v>
      </c>
      <c r="P217" s="461">
        <f t="shared" si="1"/>
        <v>3</v>
      </c>
      <c r="Q217" s="591" t="s">
        <v>5205</v>
      </c>
      <c r="R217" s="460"/>
      <c r="S217" s="471">
        <v>40155</v>
      </c>
      <c r="T217" s="471">
        <f>+S217+20</f>
        <v>40175</v>
      </c>
      <c r="U217" s="461">
        <f t="shared" si="2"/>
        <v>69</v>
      </c>
      <c r="V217" s="468" t="s">
        <v>5206</v>
      </c>
      <c r="W217" s="457">
        <v>443</v>
      </c>
      <c r="X217" s="592"/>
      <c r="Y217" s="467"/>
      <c r="Z217" s="468">
        <v>9005003184</v>
      </c>
      <c r="AA217" s="456"/>
      <c r="AB217" s="460" t="s">
        <v>5197</v>
      </c>
      <c r="AC217" s="470"/>
      <c r="AD217" s="645" t="str">
        <f t="shared" si="3"/>
        <v>atrasado</v>
      </c>
    </row>
    <row r="218" spans="1:37" s="587" customFormat="1" ht="54.95" customHeight="1" x14ac:dyDescent="0.2">
      <c r="A218" s="584"/>
      <c r="B218" s="1043" t="s">
        <v>120</v>
      </c>
      <c r="C218" s="1043" t="s">
        <v>121</v>
      </c>
      <c r="D218" s="1044" t="s">
        <v>5207</v>
      </c>
      <c r="E218" s="1044"/>
      <c r="F218" s="1028">
        <v>22092</v>
      </c>
      <c r="G218" s="1028" t="s">
        <v>4299</v>
      </c>
      <c r="H218" s="1029">
        <v>3794</v>
      </c>
      <c r="I218" s="1033" t="s">
        <v>5204</v>
      </c>
      <c r="J218" s="1032">
        <v>40088</v>
      </c>
      <c r="K218" s="1041">
        <v>39</v>
      </c>
      <c r="L218" s="641">
        <f t="shared" si="0"/>
        <v>40127</v>
      </c>
      <c r="M218" s="1033" t="s">
        <v>124</v>
      </c>
      <c r="N218" s="1028" t="s">
        <v>42</v>
      </c>
      <c r="O218" s="1032">
        <v>40120</v>
      </c>
      <c r="P218" s="1041">
        <f t="shared" si="1"/>
        <v>28</v>
      </c>
      <c r="Q218" s="1034" t="s">
        <v>5205</v>
      </c>
      <c r="R218" s="1032"/>
      <c r="S218" s="642">
        <v>40155</v>
      </c>
      <c r="T218" s="642">
        <f>+S218+20</f>
        <v>40175</v>
      </c>
      <c r="U218" s="1041">
        <f t="shared" si="2"/>
        <v>87</v>
      </c>
      <c r="V218" s="446" t="s">
        <v>5208</v>
      </c>
      <c r="W218" s="1028">
        <v>438</v>
      </c>
      <c r="X218" s="1037"/>
      <c r="Y218" s="643"/>
      <c r="Z218" s="446">
        <v>9005003184</v>
      </c>
      <c r="AA218" s="1044"/>
      <c r="AB218" s="1032" t="s">
        <v>5209</v>
      </c>
      <c r="AC218" s="644"/>
      <c r="AD218" s="645" t="str">
        <f t="shared" si="3"/>
        <v>atrasado</v>
      </c>
    </row>
    <row r="222" spans="1:37" ht="12.75" x14ac:dyDescent="0.2">
      <c r="AA222" s="1">
        <v>2009</v>
      </c>
      <c r="AB222" s="1048"/>
    </row>
    <row r="223" spans="1:37" ht="12.75" x14ac:dyDescent="0.2">
      <c r="AA223" s="945" t="s">
        <v>813</v>
      </c>
      <c r="AB223" s="1048">
        <f>COUNTA(AD208:AD220)</f>
        <v>6</v>
      </c>
    </row>
    <row r="224" spans="1:37" ht="12.75" x14ac:dyDescent="0.2">
      <c r="AA224" s="945" t="s">
        <v>815</v>
      </c>
      <c r="AB224" s="1048">
        <f>COUNTIF(AD208:AD220,"en término")</f>
        <v>3</v>
      </c>
    </row>
    <row r="225" spans="1:37" ht="12.75" x14ac:dyDescent="0.2">
      <c r="AA225" s="945" t="s">
        <v>817</v>
      </c>
      <c r="AB225" s="557">
        <f>+AB224/AB223</f>
        <v>0.5</v>
      </c>
    </row>
    <row r="226" spans="1:37" ht="12.75" x14ac:dyDescent="0.2">
      <c r="AA226" s="945"/>
      <c r="AB226" s="557"/>
    </row>
    <row r="227" spans="1:37" ht="12" thickBot="1" x14ac:dyDescent="0.25"/>
    <row r="228" spans="1:37" s="556" customFormat="1" ht="39.950000000000003" customHeight="1" thickBot="1" x14ac:dyDescent="0.4">
      <c r="B228" s="1611">
        <v>2010</v>
      </c>
      <c r="C228" s="1612"/>
      <c r="D228" s="1612"/>
      <c r="E228" s="1612"/>
      <c r="F228" s="1612"/>
      <c r="G228" s="1612"/>
      <c r="H228" s="1612"/>
      <c r="I228" s="1612"/>
      <c r="J228" s="1612"/>
      <c r="K228" s="1612"/>
      <c r="L228" s="1612"/>
      <c r="M228" s="1612"/>
      <c r="N228" s="1612"/>
      <c r="O228" s="1612"/>
      <c r="P228" s="1612"/>
      <c r="Q228" s="1612"/>
      <c r="R228" s="1612"/>
      <c r="S228" s="1612"/>
      <c r="T228" s="1612"/>
      <c r="U228" s="1612"/>
      <c r="V228" s="1612"/>
      <c r="W228" s="1612"/>
      <c r="X228" s="1612"/>
      <c r="Y228" s="1612"/>
      <c r="Z228" s="1612"/>
      <c r="AA228" s="1612"/>
      <c r="AB228" s="1612"/>
      <c r="AC228" s="1613"/>
      <c r="AD228" s="560"/>
    </row>
    <row r="229" spans="1:37" s="441" customFormat="1" ht="60" customHeight="1" thickBot="1" x14ac:dyDescent="0.25">
      <c r="A229" s="438"/>
      <c r="B229" s="451" t="s">
        <v>130</v>
      </c>
      <c r="C229" s="451" t="s">
        <v>4</v>
      </c>
      <c r="D229" s="451" t="s">
        <v>5</v>
      </c>
      <c r="E229" s="451" t="s">
        <v>6</v>
      </c>
      <c r="F229" s="451" t="s">
        <v>7</v>
      </c>
      <c r="G229" s="451" t="s">
        <v>8</v>
      </c>
      <c r="H229" s="453" t="s">
        <v>9</v>
      </c>
      <c r="I229" s="453" t="s">
        <v>10</v>
      </c>
      <c r="J229" s="451" t="s">
        <v>11</v>
      </c>
      <c r="K229" s="451" t="s">
        <v>12</v>
      </c>
      <c r="L229" s="451" t="s">
        <v>13</v>
      </c>
      <c r="M229" s="451" t="s">
        <v>14</v>
      </c>
      <c r="N229" s="451" t="s">
        <v>15</v>
      </c>
      <c r="O229" s="452" t="s">
        <v>16</v>
      </c>
      <c r="P229" s="454" t="s">
        <v>17</v>
      </c>
      <c r="Q229" s="451" t="s">
        <v>18</v>
      </c>
      <c r="R229" s="452" t="s">
        <v>19</v>
      </c>
      <c r="S229" s="451" t="s">
        <v>20</v>
      </c>
      <c r="T229" s="451" t="s">
        <v>21</v>
      </c>
      <c r="U229" s="452" t="s">
        <v>22</v>
      </c>
      <c r="V229" s="451" t="s">
        <v>131</v>
      </c>
      <c r="W229" s="451" t="s">
        <v>24</v>
      </c>
      <c r="X229" s="451" t="s">
        <v>132</v>
      </c>
      <c r="Y229" s="451" t="s">
        <v>26</v>
      </c>
      <c r="Z229" s="451" t="s">
        <v>27</v>
      </c>
      <c r="AA229" s="451" t="s">
        <v>28</v>
      </c>
      <c r="AB229" s="451" t="s">
        <v>29</v>
      </c>
      <c r="AC229" s="451" t="s">
        <v>30</v>
      </c>
      <c r="AD229" s="439"/>
      <c r="AE229" s="440"/>
      <c r="AF229" s="440"/>
      <c r="AG229" s="440"/>
      <c r="AH229" s="440"/>
      <c r="AI229" s="440"/>
      <c r="AJ229" s="440"/>
      <c r="AK229" s="440"/>
    </row>
    <row r="230" spans="1:37" s="587" customFormat="1" ht="54.95" customHeight="1" thickBot="1" x14ac:dyDescent="0.25">
      <c r="A230" s="584"/>
      <c r="B230" s="1043" t="s">
        <v>120</v>
      </c>
      <c r="C230" s="1043" t="s">
        <v>121</v>
      </c>
      <c r="D230" s="1044" t="s">
        <v>5210</v>
      </c>
      <c r="E230" s="1044"/>
      <c r="F230" s="1028">
        <v>23806</v>
      </c>
      <c r="G230" s="1028" t="s">
        <v>3703</v>
      </c>
      <c r="H230" s="1029">
        <v>1325</v>
      </c>
      <c r="I230" s="1033" t="s">
        <v>123</v>
      </c>
      <c r="J230" s="1032">
        <v>40240</v>
      </c>
      <c r="K230" s="1041">
        <v>88</v>
      </c>
      <c r="L230" s="641">
        <f>+J230+K230</f>
        <v>40328</v>
      </c>
      <c r="M230" s="1033" t="s">
        <v>124</v>
      </c>
      <c r="N230" s="1028" t="s">
        <v>110</v>
      </c>
      <c r="O230" s="1032">
        <v>40302</v>
      </c>
      <c r="P230" s="1041">
        <f>IF(S230="","",+S230-L230)</f>
        <v>-2</v>
      </c>
      <c r="Q230" s="1034" t="s">
        <v>5211</v>
      </c>
      <c r="R230" s="1032"/>
      <c r="S230" s="642">
        <v>40326</v>
      </c>
      <c r="T230" s="642">
        <v>40329</v>
      </c>
      <c r="U230" s="1041">
        <f>IF(T230="","",+T230-J230)</f>
        <v>89</v>
      </c>
      <c r="V230" s="446" t="s">
        <v>5212</v>
      </c>
      <c r="W230" s="659" t="s">
        <v>57</v>
      </c>
      <c r="X230" s="1037"/>
      <c r="Y230" s="643"/>
      <c r="Z230" s="446" t="s">
        <v>5213</v>
      </c>
      <c r="AA230" s="1044" t="s">
        <v>2258</v>
      </c>
      <c r="AB230" s="1032" t="s">
        <v>5214</v>
      </c>
      <c r="AC230" s="644"/>
      <c r="AD230" s="645" t="str">
        <f>IF(P230="","",IF(P230&lt;=0,"en término","atrasado"))</f>
        <v>en término</v>
      </c>
    </row>
    <row r="231" spans="1:37" s="587" customFormat="1" ht="54.95" customHeight="1" thickBot="1" x14ac:dyDescent="0.25">
      <c r="A231" s="584"/>
      <c r="B231" s="1043" t="s">
        <v>120</v>
      </c>
      <c r="C231" s="1043" t="s">
        <v>121</v>
      </c>
      <c r="D231" s="1044" t="s">
        <v>5215</v>
      </c>
      <c r="E231" s="1044"/>
      <c r="F231" s="1028">
        <v>25331</v>
      </c>
      <c r="G231" s="1028" t="s">
        <v>3703</v>
      </c>
      <c r="H231" s="1029">
        <v>13961.5</v>
      </c>
      <c r="I231" s="1033" t="s">
        <v>123</v>
      </c>
      <c r="J231" s="1032">
        <v>40351</v>
      </c>
      <c r="K231" s="1041">
        <v>45</v>
      </c>
      <c r="L231" s="641">
        <f>+J231+K231</f>
        <v>40396</v>
      </c>
      <c r="M231" s="1033" t="s">
        <v>124</v>
      </c>
      <c r="N231" s="1028" t="s">
        <v>1750</v>
      </c>
      <c r="O231" s="1032">
        <v>40393</v>
      </c>
      <c r="P231" s="1041">
        <f>IF(S231="","",+S231-L231)</f>
        <v>36</v>
      </c>
      <c r="Q231" s="1034" t="s">
        <v>5216</v>
      </c>
      <c r="R231" s="1032">
        <v>40421</v>
      </c>
      <c r="S231" s="642">
        <v>40432</v>
      </c>
      <c r="T231" s="642">
        <f>+S231+45</f>
        <v>40477</v>
      </c>
      <c r="U231" s="1041">
        <f>IF(T231="","",+T231-J231)</f>
        <v>126</v>
      </c>
      <c r="V231" s="446" t="s">
        <v>5212</v>
      </c>
      <c r="W231" s="659" t="s">
        <v>2643</v>
      </c>
      <c r="X231" s="1037"/>
      <c r="Y231" s="643"/>
      <c r="Z231" s="446">
        <v>2192838966</v>
      </c>
      <c r="AA231" s="1044" t="s">
        <v>47</v>
      </c>
      <c r="AB231" s="1032" t="s">
        <v>5217</v>
      </c>
      <c r="AC231" s="644"/>
      <c r="AD231" s="645" t="str">
        <f>IF(P231="","",IF(P231&lt;=0,"en término","atrasado"))</f>
        <v>atrasado</v>
      </c>
    </row>
    <row r="232" spans="1:37" s="587" customFormat="1" ht="54.95" customHeight="1" thickBot="1" x14ac:dyDescent="0.25">
      <c r="A232" s="584"/>
      <c r="B232" s="1043" t="s">
        <v>120</v>
      </c>
      <c r="C232" s="1043" t="s">
        <v>121</v>
      </c>
      <c r="D232" s="1044" t="s">
        <v>5218</v>
      </c>
      <c r="E232" s="1044"/>
      <c r="F232" s="1028">
        <v>26637</v>
      </c>
      <c r="G232" s="1028" t="s">
        <v>3703</v>
      </c>
      <c r="H232" s="1029">
        <v>8053.2</v>
      </c>
      <c r="I232" s="1033" t="s">
        <v>123</v>
      </c>
      <c r="J232" s="1032">
        <v>40443</v>
      </c>
      <c r="K232" s="1041">
        <f>+L232-J232</f>
        <v>57</v>
      </c>
      <c r="L232" s="641">
        <v>40500</v>
      </c>
      <c r="M232" s="1033" t="s">
        <v>124</v>
      </c>
      <c r="N232" s="1028" t="s">
        <v>1750</v>
      </c>
      <c r="O232" s="1032">
        <v>40494</v>
      </c>
      <c r="P232" s="1041">
        <f>IF(S232="","",+S232-L232)</f>
        <v>33</v>
      </c>
      <c r="Q232" s="1034" t="s">
        <v>5216</v>
      </c>
      <c r="R232" s="1032">
        <v>40519</v>
      </c>
      <c r="S232" s="642">
        <v>40533</v>
      </c>
      <c r="T232" s="641">
        <f>+S232+45</f>
        <v>40578</v>
      </c>
      <c r="U232" s="1041">
        <f>IF(T232="","",+T232-J232)</f>
        <v>135</v>
      </c>
      <c r="V232" s="446" t="s">
        <v>5212</v>
      </c>
      <c r="W232" s="659">
        <v>117</v>
      </c>
      <c r="X232" s="1037"/>
      <c r="Y232" s="643"/>
      <c r="Z232" s="446">
        <v>3109968315</v>
      </c>
      <c r="AA232" s="1044"/>
      <c r="AB232" s="1032" t="s">
        <v>1806</v>
      </c>
      <c r="AC232" s="644" t="s">
        <v>2390</v>
      </c>
      <c r="AD232" s="645" t="str">
        <f>IF(P232="","",IF(P232&lt;=0,"en término","atrasado"))</f>
        <v>atrasado</v>
      </c>
    </row>
    <row r="233" spans="1:37" s="587" customFormat="1" ht="54.95" customHeight="1" thickBot="1" x14ac:dyDescent="0.25">
      <c r="A233" s="584"/>
      <c r="B233" s="455" t="s">
        <v>120</v>
      </c>
      <c r="C233" s="455" t="s">
        <v>121</v>
      </c>
      <c r="D233" s="456" t="s">
        <v>5219</v>
      </c>
      <c r="E233" s="456"/>
      <c r="F233" s="457">
        <v>26664</v>
      </c>
      <c r="G233" s="457" t="s">
        <v>3703</v>
      </c>
      <c r="H233" s="458">
        <v>7878.5</v>
      </c>
      <c r="I233" s="459" t="s">
        <v>123</v>
      </c>
      <c r="J233" s="460">
        <v>40448</v>
      </c>
      <c r="K233" s="461">
        <f>+L233-J233</f>
        <v>49</v>
      </c>
      <c r="L233" s="462">
        <v>40497</v>
      </c>
      <c r="M233" s="459" t="s">
        <v>124</v>
      </c>
      <c r="N233" s="457" t="s">
        <v>1750</v>
      </c>
      <c r="O233" s="460">
        <v>40494</v>
      </c>
      <c r="P233" s="461">
        <f>IF(S233="","",+S233-L233)</f>
        <v>36</v>
      </c>
      <c r="Q233" s="591" t="s">
        <v>5216</v>
      </c>
      <c r="R233" s="460">
        <v>40519</v>
      </c>
      <c r="S233" s="471">
        <v>40533</v>
      </c>
      <c r="T233" s="462">
        <f>+S233+45</f>
        <v>40578</v>
      </c>
      <c r="U233" s="461">
        <f>IF(T233="","",+T233-J233)</f>
        <v>130</v>
      </c>
      <c r="V233" s="468" t="s">
        <v>5212</v>
      </c>
      <c r="W233" s="493">
        <v>118</v>
      </c>
      <c r="X233" s="592"/>
      <c r="Y233" s="467"/>
      <c r="Z233" s="468">
        <v>3109968315</v>
      </c>
      <c r="AA233" s="456"/>
      <c r="AB233" s="460" t="s">
        <v>1806</v>
      </c>
      <c r="AC233" s="470" t="s">
        <v>2390</v>
      </c>
      <c r="AD233" s="645" t="str">
        <f>IF(P233="","",IF(P233&lt;=0,"en término","atrasado"))</f>
        <v>atrasado</v>
      </c>
    </row>
    <row r="236" spans="1:37" ht="12.75" x14ac:dyDescent="0.2">
      <c r="AA236" s="1">
        <v>2010</v>
      </c>
      <c r="AB236" s="1048"/>
    </row>
    <row r="237" spans="1:37" ht="12.75" x14ac:dyDescent="0.2">
      <c r="AA237" s="945" t="s">
        <v>813</v>
      </c>
      <c r="AB237" s="1048">
        <f>COUNTA(AD219:AD234)</f>
        <v>4</v>
      </c>
    </row>
    <row r="238" spans="1:37" ht="12.75" x14ac:dyDescent="0.2">
      <c r="AA238" s="945" t="s">
        <v>815</v>
      </c>
      <c r="AB238" s="1048">
        <f>COUNTIF(AD219:AD234,"en término")</f>
        <v>1</v>
      </c>
    </row>
    <row r="239" spans="1:37" ht="12.75" x14ac:dyDescent="0.2">
      <c r="AA239" s="945" t="s">
        <v>817</v>
      </c>
      <c r="AB239" s="557">
        <f>+AB238/AB237</f>
        <v>0.25</v>
      </c>
    </row>
    <row r="241" spans="1:40" ht="12" thickBot="1" x14ac:dyDescent="0.25"/>
    <row r="242" spans="1:40" s="556" customFormat="1" ht="39.950000000000003" customHeight="1" thickBot="1" x14ac:dyDescent="0.4">
      <c r="B242" s="1611">
        <v>2011</v>
      </c>
      <c r="C242" s="1612"/>
      <c r="D242" s="1612"/>
      <c r="E242" s="1612"/>
      <c r="F242" s="1612"/>
      <c r="G242" s="1612"/>
      <c r="H242" s="1612"/>
      <c r="I242" s="1612"/>
      <c r="J242" s="1612"/>
      <c r="K242" s="1612"/>
      <c r="L242" s="1612"/>
      <c r="M242" s="1612"/>
      <c r="N242" s="1612"/>
      <c r="O242" s="1612"/>
      <c r="P242" s="1612"/>
      <c r="Q242" s="1612"/>
      <c r="R242" s="1612"/>
      <c r="S242" s="1612"/>
      <c r="T242" s="1612"/>
      <c r="U242" s="1612"/>
      <c r="V242" s="1612"/>
      <c r="W242" s="1612"/>
      <c r="X242" s="1612"/>
      <c r="Y242" s="1612"/>
      <c r="Z242" s="1612"/>
      <c r="AA242" s="1612"/>
      <c r="AB242" s="1612"/>
      <c r="AC242" s="1613"/>
      <c r="AD242" s="560"/>
    </row>
    <row r="243" spans="1:40" s="441" customFormat="1" ht="60" customHeight="1" thickBot="1" x14ac:dyDescent="0.25">
      <c r="A243" s="438"/>
      <c r="B243" s="451" t="s">
        <v>130</v>
      </c>
      <c r="C243" s="451" t="s">
        <v>4</v>
      </c>
      <c r="D243" s="451" t="s">
        <v>5</v>
      </c>
      <c r="E243" s="451" t="s">
        <v>6</v>
      </c>
      <c r="F243" s="451" t="s">
        <v>7</v>
      </c>
      <c r="G243" s="451" t="s">
        <v>8</v>
      </c>
      <c r="H243" s="453" t="s">
        <v>9</v>
      </c>
      <c r="I243" s="453" t="s">
        <v>10</v>
      </c>
      <c r="J243" s="451" t="s">
        <v>11</v>
      </c>
      <c r="K243" s="451" t="s">
        <v>12</v>
      </c>
      <c r="L243" s="451" t="s">
        <v>13</v>
      </c>
      <c r="M243" s="451" t="s">
        <v>14</v>
      </c>
      <c r="N243" s="451" t="s">
        <v>15</v>
      </c>
      <c r="O243" s="452" t="s">
        <v>16</v>
      </c>
      <c r="P243" s="454" t="s">
        <v>17</v>
      </c>
      <c r="Q243" s="451" t="s">
        <v>18</v>
      </c>
      <c r="R243" s="452" t="s">
        <v>19</v>
      </c>
      <c r="S243" s="451" t="s">
        <v>20</v>
      </c>
      <c r="T243" s="451" t="s">
        <v>21</v>
      </c>
      <c r="U243" s="452" t="s">
        <v>22</v>
      </c>
      <c r="V243" s="451" t="s">
        <v>131</v>
      </c>
      <c r="W243" s="451" t="s">
        <v>24</v>
      </c>
      <c r="X243" s="451" t="s">
        <v>132</v>
      </c>
      <c r="Y243" s="451" t="s">
        <v>26</v>
      </c>
      <c r="Z243" s="451" t="s">
        <v>27</v>
      </c>
      <c r="AA243" s="451" t="s">
        <v>28</v>
      </c>
      <c r="AB243" s="451" t="s">
        <v>29</v>
      </c>
      <c r="AC243" s="451" t="s">
        <v>30</v>
      </c>
      <c r="AD243" s="439"/>
      <c r="AE243" s="440"/>
      <c r="AF243" s="440"/>
      <c r="AG243" s="440"/>
      <c r="AH243" s="440"/>
      <c r="AI243" s="440"/>
      <c r="AJ243" s="440"/>
      <c r="AK243" s="440"/>
    </row>
    <row r="244" spans="1:40" s="413" customFormat="1" ht="54.95" customHeight="1" thickBot="1" x14ac:dyDescent="0.25">
      <c r="A244" s="411"/>
      <c r="B244" s="1043" t="s">
        <v>120</v>
      </c>
      <c r="C244" s="1043" t="s">
        <v>121</v>
      </c>
      <c r="D244" s="1044" t="s">
        <v>5220</v>
      </c>
      <c r="E244" s="1044"/>
      <c r="F244" s="1028">
        <v>28439</v>
      </c>
      <c r="G244" s="1028" t="s">
        <v>3703</v>
      </c>
      <c r="H244" s="1029">
        <v>30411</v>
      </c>
      <c r="I244" s="640" t="s">
        <v>123</v>
      </c>
      <c r="J244" s="1032">
        <v>40564</v>
      </c>
      <c r="K244" s="1041">
        <f t="shared" ref="K244:K249" si="4">+L244-J244</f>
        <v>79</v>
      </c>
      <c r="L244" s="641">
        <v>40643</v>
      </c>
      <c r="M244" s="640" t="s">
        <v>124</v>
      </c>
      <c r="N244" s="446" t="s">
        <v>1750</v>
      </c>
      <c r="O244" s="1032">
        <v>40631</v>
      </c>
      <c r="P244" s="1041">
        <f t="shared" ref="P244:P249" si="5">IF(S244="","",+S244-L244)</f>
        <v>32</v>
      </c>
      <c r="Q244" s="1034" t="s">
        <v>5221</v>
      </c>
      <c r="R244" s="1032">
        <v>40660</v>
      </c>
      <c r="S244" s="642">
        <v>40675</v>
      </c>
      <c r="T244" s="641">
        <f>+S244+45</f>
        <v>40720</v>
      </c>
      <c r="U244" s="1041">
        <f>IF(T244="","",+T244-J244)</f>
        <v>156</v>
      </c>
      <c r="V244" s="446" t="s">
        <v>2183</v>
      </c>
      <c r="W244" s="659" t="s">
        <v>2282</v>
      </c>
      <c r="X244" s="643"/>
      <c r="Y244" s="643"/>
      <c r="Z244" s="446"/>
      <c r="AA244" s="1044"/>
      <c r="AB244" s="1032" t="s">
        <v>47</v>
      </c>
      <c r="AC244" s="644" t="s">
        <v>5222</v>
      </c>
      <c r="AD244" s="646" t="str">
        <f>IF(O244="","",IF(O244&lt;=0,"en término","atrasado"))</f>
        <v>atrasado</v>
      </c>
      <c r="AE244" s="646"/>
      <c r="AF244" s="410"/>
      <c r="AG244" s="410"/>
      <c r="AH244" s="410"/>
      <c r="AI244" s="410"/>
      <c r="AJ244" s="410"/>
      <c r="AK244" s="410"/>
      <c r="AL244" s="410"/>
      <c r="AM244" s="410"/>
      <c r="AN244" s="410"/>
    </row>
    <row r="245" spans="1:40" ht="54.95" customHeight="1" thickBot="1" x14ac:dyDescent="0.25">
      <c r="B245" s="768" t="s">
        <v>120</v>
      </c>
      <c r="C245" s="768" t="s">
        <v>121</v>
      </c>
      <c r="D245" s="769" t="s">
        <v>5223</v>
      </c>
      <c r="E245" s="769"/>
      <c r="F245" s="770">
        <v>29659</v>
      </c>
      <c r="G245" s="770" t="s">
        <v>3703</v>
      </c>
      <c r="H245" s="771">
        <v>4762.8</v>
      </c>
      <c r="I245" s="772" t="s">
        <v>123</v>
      </c>
      <c r="J245" s="773">
        <v>40644</v>
      </c>
      <c r="K245" s="774">
        <f t="shared" si="4"/>
        <v>95</v>
      </c>
      <c r="L245" s="775">
        <v>40739</v>
      </c>
      <c r="M245" s="772" t="s">
        <v>124</v>
      </c>
      <c r="N245" s="776" t="s">
        <v>1750</v>
      </c>
      <c r="O245" s="773">
        <v>40729</v>
      </c>
      <c r="P245" s="683">
        <f t="shared" si="5"/>
        <v>21</v>
      </c>
      <c r="Q245" s="774" t="s">
        <v>5224</v>
      </c>
      <c r="R245" s="773"/>
      <c r="S245" s="777">
        <v>40760</v>
      </c>
      <c r="T245" s="777">
        <v>40791</v>
      </c>
      <c r="U245" s="774">
        <f>IF(T245="","",+T245-J245)</f>
        <v>147</v>
      </c>
      <c r="V245" s="776" t="s">
        <v>2183</v>
      </c>
      <c r="W245" s="778">
        <v>88</v>
      </c>
      <c r="X245" s="779"/>
      <c r="Y245" s="779"/>
      <c r="Z245" s="776">
        <v>1486232134</v>
      </c>
      <c r="AA245" s="769"/>
      <c r="AB245" s="773" t="s">
        <v>47</v>
      </c>
      <c r="AC245" s="780"/>
      <c r="AD245" s="646" t="str">
        <f>IF(O245="","",IF(O245&lt;=0,"en término","atrasado"))</f>
        <v>atrasado</v>
      </c>
      <c r="AE245" s="646"/>
    </row>
    <row r="246" spans="1:40" s="587" customFormat="1" ht="54.95" customHeight="1" thickBot="1" x14ac:dyDescent="0.25">
      <c r="A246" s="649"/>
      <c r="B246" s="455" t="s">
        <v>120</v>
      </c>
      <c r="C246" s="455" t="s">
        <v>121</v>
      </c>
      <c r="D246" s="456" t="s">
        <v>5225</v>
      </c>
      <c r="E246" s="456"/>
      <c r="F246" s="457">
        <v>30522</v>
      </c>
      <c r="G246" s="457" t="s">
        <v>3703</v>
      </c>
      <c r="H246" s="458">
        <v>3213.5</v>
      </c>
      <c r="I246" s="611" t="s">
        <v>123</v>
      </c>
      <c r="J246" s="460">
        <v>40792</v>
      </c>
      <c r="K246" s="461">
        <f t="shared" si="4"/>
        <v>-7</v>
      </c>
      <c r="L246" s="462">
        <v>40785</v>
      </c>
      <c r="M246" s="611" t="s">
        <v>124</v>
      </c>
      <c r="N246" s="468" t="s">
        <v>1750</v>
      </c>
      <c r="O246" s="460">
        <v>40774</v>
      </c>
      <c r="P246" s="461">
        <f t="shared" si="5"/>
        <v>40</v>
      </c>
      <c r="Q246" s="461" t="s">
        <v>5226</v>
      </c>
      <c r="R246" s="460"/>
      <c r="S246" s="471">
        <v>40825</v>
      </c>
      <c r="T246" s="471">
        <f>+S246+45</f>
        <v>40870</v>
      </c>
      <c r="U246" s="461">
        <f>IF(T246="","",+T246-J246)</f>
        <v>78</v>
      </c>
      <c r="V246" s="468" t="s">
        <v>2183</v>
      </c>
      <c r="W246" s="493">
        <v>110</v>
      </c>
      <c r="X246" s="467"/>
      <c r="Y246" s="467"/>
      <c r="Z246" s="468" t="s">
        <v>3764</v>
      </c>
      <c r="AA246" s="456"/>
      <c r="AB246" s="460" t="s">
        <v>5227</v>
      </c>
      <c r="AC246" s="725"/>
      <c r="AD246" s="645" t="str">
        <f>IF(P246="","",IF(P246&lt;=0,"en término","atrasado"))</f>
        <v>atrasado</v>
      </c>
    </row>
    <row r="247" spans="1:40" s="587" customFormat="1" ht="54.95" customHeight="1" thickBot="1" x14ac:dyDescent="0.25">
      <c r="A247" s="649"/>
      <c r="B247" s="455" t="s">
        <v>120</v>
      </c>
      <c r="C247" s="455" t="s">
        <v>121</v>
      </c>
      <c r="D247" s="456" t="s">
        <v>5228</v>
      </c>
      <c r="E247" s="456"/>
      <c r="F247" s="457">
        <v>31033</v>
      </c>
      <c r="G247" s="457" t="s">
        <v>3703</v>
      </c>
      <c r="H247" s="458">
        <v>14820.9</v>
      </c>
      <c r="I247" s="611" t="s">
        <v>123</v>
      </c>
      <c r="J247" s="460">
        <v>40737</v>
      </c>
      <c r="K247" s="461">
        <f t="shared" si="4"/>
        <v>69</v>
      </c>
      <c r="L247" s="462">
        <v>40806</v>
      </c>
      <c r="M247" s="611" t="s">
        <v>124</v>
      </c>
      <c r="N247" s="468" t="s">
        <v>1750</v>
      </c>
      <c r="O247" s="460">
        <v>40795</v>
      </c>
      <c r="P247" s="461">
        <f t="shared" si="5"/>
        <v>19</v>
      </c>
      <c r="Q247" s="461" t="s">
        <v>5226</v>
      </c>
      <c r="R247" s="460"/>
      <c r="S247" s="471">
        <v>40825</v>
      </c>
      <c r="T247" s="471">
        <f>+S247+45</f>
        <v>40870</v>
      </c>
      <c r="U247" s="461"/>
      <c r="V247" s="468" t="s">
        <v>2183</v>
      </c>
      <c r="W247" s="493">
        <v>114</v>
      </c>
      <c r="X247" s="467"/>
      <c r="Y247" s="467"/>
      <c r="Z247" s="468" t="s">
        <v>3764</v>
      </c>
      <c r="AA247" s="456"/>
      <c r="AB247" s="460" t="s">
        <v>5227</v>
      </c>
      <c r="AC247" s="725"/>
      <c r="AD247" s="645" t="str">
        <f>IF(P247="","",IF(P247&lt;=0,"en término","atrasado"))</f>
        <v>atrasado</v>
      </c>
    </row>
    <row r="248" spans="1:40" s="587" customFormat="1" ht="54.95" customHeight="1" thickBot="1" x14ac:dyDescent="0.25">
      <c r="A248" s="649"/>
      <c r="B248" s="455" t="s">
        <v>120</v>
      </c>
      <c r="C248" s="455" t="s">
        <v>121</v>
      </c>
      <c r="D248" s="456" t="s">
        <v>5229</v>
      </c>
      <c r="E248" s="456"/>
      <c r="F248" s="457">
        <v>31810</v>
      </c>
      <c r="G248" s="457" t="s">
        <v>3703</v>
      </c>
      <c r="H248" s="458">
        <v>6170.6</v>
      </c>
      <c r="I248" s="611" t="s">
        <v>123</v>
      </c>
      <c r="J248" s="460">
        <v>40793</v>
      </c>
      <c r="K248" s="461">
        <f t="shared" si="4"/>
        <v>64</v>
      </c>
      <c r="L248" s="462">
        <v>40857</v>
      </c>
      <c r="M248" s="611" t="s">
        <v>124</v>
      </c>
      <c r="N248" s="468" t="s">
        <v>1750</v>
      </c>
      <c r="O248" s="460">
        <v>40844</v>
      </c>
      <c r="P248" s="461">
        <f t="shared" si="5"/>
        <v>22</v>
      </c>
      <c r="Q248" s="461" t="s">
        <v>5230</v>
      </c>
      <c r="R248" s="460"/>
      <c r="S248" s="471">
        <v>40879</v>
      </c>
      <c r="T248" s="462">
        <f>+S248+45</f>
        <v>40924</v>
      </c>
      <c r="U248" s="461"/>
      <c r="V248" s="468" t="s">
        <v>597</v>
      </c>
      <c r="W248" s="493">
        <v>122</v>
      </c>
      <c r="X248" s="467"/>
      <c r="Y248" s="467"/>
      <c r="Z248" s="468">
        <v>311122175</v>
      </c>
      <c r="AA248" s="456"/>
      <c r="AB248" s="460" t="s">
        <v>5231</v>
      </c>
      <c r="AC248" s="725"/>
      <c r="AD248" s="645" t="str">
        <f>IF(P248="","",IF(P248&lt;=0,"en término","atrasado"))</f>
        <v>atrasado</v>
      </c>
    </row>
    <row r="249" spans="1:40" s="587" customFormat="1" ht="54.95" customHeight="1" thickBot="1" x14ac:dyDescent="0.25">
      <c r="A249" s="649"/>
      <c r="B249" s="455" t="s">
        <v>120</v>
      </c>
      <c r="C249" s="455" t="s">
        <v>121</v>
      </c>
      <c r="D249" s="456" t="s">
        <v>5232</v>
      </c>
      <c r="E249" s="456"/>
      <c r="F249" s="457">
        <v>31914</v>
      </c>
      <c r="G249" s="457" t="s">
        <v>3703</v>
      </c>
      <c r="H249" s="458">
        <v>3424</v>
      </c>
      <c r="I249" s="611" t="s">
        <v>123</v>
      </c>
      <c r="J249" s="460">
        <v>40798</v>
      </c>
      <c r="K249" s="461">
        <f t="shared" si="4"/>
        <v>59</v>
      </c>
      <c r="L249" s="462">
        <v>40857</v>
      </c>
      <c r="M249" s="611" t="s">
        <v>124</v>
      </c>
      <c r="N249" s="468" t="s">
        <v>1750</v>
      </c>
      <c r="O249" s="460">
        <v>40844</v>
      </c>
      <c r="P249" s="461">
        <f t="shared" si="5"/>
        <v>22</v>
      </c>
      <c r="Q249" s="461" t="s">
        <v>5230</v>
      </c>
      <c r="R249" s="460"/>
      <c r="S249" s="471">
        <v>40879</v>
      </c>
      <c r="T249" s="462">
        <f>+S249+45</f>
        <v>40924</v>
      </c>
      <c r="U249" s="461"/>
      <c r="V249" s="468" t="s">
        <v>597</v>
      </c>
      <c r="W249" s="493">
        <v>123</v>
      </c>
      <c r="X249" s="467"/>
      <c r="Y249" s="467"/>
      <c r="Z249" s="468">
        <v>311122175</v>
      </c>
      <c r="AA249" s="456"/>
      <c r="AB249" s="460" t="s">
        <v>5231</v>
      </c>
      <c r="AC249" s="725"/>
      <c r="AD249" s="645" t="str">
        <f>IF(P249="","",IF(P249&lt;=0,"en término","atrasado"))</f>
        <v>atrasado</v>
      </c>
    </row>
    <row r="253" spans="1:40" ht="12.75" x14ac:dyDescent="0.2">
      <c r="AA253" s="1">
        <v>2011</v>
      </c>
      <c r="AB253" s="1048"/>
    </row>
    <row r="254" spans="1:40" ht="12.75" x14ac:dyDescent="0.2">
      <c r="AA254" s="945" t="s">
        <v>813</v>
      </c>
      <c r="AB254" s="1048">
        <f>COUNTA(AD243:AD251)</f>
        <v>6</v>
      </c>
    </row>
    <row r="255" spans="1:40" ht="12.75" x14ac:dyDescent="0.2">
      <c r="AA255" s="945" t="s">
        <v>815</v>
      </c>
      <c r="AB255" s="1048">
        <f>COUNTIF(AD242:AD251,"en término")</f>
        <v>0</v>
      </c>
    </row>
    <row r="256" spans="1:40" ht="12.75" x14ac:dyDescent="0.2">
      <c r="AA256" s="945" t="s">
        <v>817</v>
      </c>
      <c r="AB256" s="557">
        <f>+AB255/AB254</f>
        <v>0</v>
      </c>
    </row>
    <row r="261" spans="1:37" ht="12" thickBot="1" x14ac:dyDescent="0.25"/>
    <row r="262" spans="1:37" s="556" customFormat="1" ht="39.950000000000003" customHeight="1" thickBot="1" x14ac:dyDescent="0.4">
      <c r="B262" s="1611">
        <v>2012</v>
      </c>
      <c r="C262" s="1612"/>
      <c r="D262" s="1612"/>
      <c r="E262" s="1612"/>
      <c r="F262" s="1612"/>
      <c r="G262" s="1612"/>
      <c r="H262" s="1612"/>
      <c r="I262" s="1612"/>
      <c r="J262" s="1612"/>
      <c r="K262" s="1612"/>
      <c r="L262" s="1612"/>
      <c r="M262" s="1612"/>
      <c r="N262" s="1612"/>
      <c r="O262" s="1612"/>
      <c r="P262" s="1612"/>
      <c r="Q262" s="1612"/>
      <c r="R262" s="1612"/>
      <c r="S262" s="1612"/>
      <c r="T262" s="1612"/>
      <c r="U262" s="1612"/>
      <c r="V262" s="1612"/>
      <c r="W262" s="1612"/>
      <c r="X262" s="1612"/>
      <c r="Y262" s="1612"/>
      <c r="Z262" s="1612"/>
      <c r="AA262" s="1612"/>
      <c r="AB262" s="1612"/>
      <c r="AC262" s="1613"/>
      <c r="AD262" s="560"/>
    </row>
    <row r="263" spans="1:37" s="441" customFormat="1" ht="60" customHeight="1" thickBot="1" x14ac:dyDescent="0.25">
      <c r="A263" s="438"/>
      <c r="B263" s="451" t="s">
        <v>130</v>
      </c>
      <c r="C263" s="451" t="s">
        <v>4</v>
      </c>
      <c r="D263" s="451" t="s">
        <v>5</v>
      </c>
      <c r="E263" s="451" t="s">
        <v>6</v>
      </c>
      <c r="F263" s="451" t="s">
        <v>7</v>
      </c>
      <c r="G263" s="451" t="s">
        <v>8</v>
      </c>
      <c r="H263" s="453" t="s">
        <v>9</v>
      </c>
      <c r="I263" s="453" t="s">
        <v>10</v>
      </c>
      <c r="J263" s="451" t="s">
        <v>11</v>
      </c>
      <c r="K263" s="451" t="s">
        <v>12</v>
      </c>
      <c r="L263" s="451" t="s">
        <v>13</v>
      </c>
      <c r="M263" s="451" t="s">
        <v>14</v>
      </c>
      <c r="N263" s="451" t="s">
        <v>15</v>
      </c>
      <c r="O263" s="452" t="s">
        <v>16</v>
      </c>
      <c r="P263" s="454" t="s">
        <v>17</v>
      </c>
      <c r="Q263" s="451" t="s">
        <v>18</v>
      </c>
      <c r="R263" s="452" t="s">
        <v>19</v>
      </c>
      <c r="S263" s="451" t="s">
        <v>20</v>
      </c>
      <c r="T263" s="451" t="s">
        <v>21</v>
      </c>
      <c r="U263" s="452" t="s">
        <v>22</v>
      </c>
      <c r="V263" s="451" t="s">
        <v>131</v>
      </c>
      <c r="W263" s="451" t="s">
        <v>24</v>
      </c>
      <c r="X263" s="451" t="s">
        <v>132</v>
      </c>
      <c r="Y263" s="451" t="s">
        <v>26</v>
      </c>
      <c r="Z263" s="451" t="s">
        <v>27</v>
      </c>
      <c r="AA263" s="451" t="s">
        <v>28</v>
      </c>
      <c r="AB263" s="451" t="s">
        <v>29</v>
      </c>
      <c r="AC263" s="451" t="s">
        <v>30</v>
      </c>
      <c r="AD263" s="439"/>
      <c r="AE263" s="440"/>
      <c r="AF263" s="440"/>
      <c r="AG263" s="440"/>
      <c r="AH263" s="440"/>
      <c r="AI263" s="440"/>
      <c r="AJ263" s="440"/>
      <c r="AK263" s="440"/>
    </row>
    <row r="264" spans="1:37" s="587" customFormat="1" ht="54.95" customHeight="1" thickBot="1" x14ac:dyDescent="0.25">
      <c r="A264" s="649"/>
      <c r="B264" s="455" t="s">
        <v>120</v>
      </c>
      <c r="C264" s="455" t="s">
        <v>121</v>
      </c>
      <c r="D264" s="456" t="s">
        <v>5233</v>
      </c>
      <c r="E264" s="456"/>
      <c r="F264" s="457">
        <v>33151</v>
      </c>
      <c r="G264" s="457" t="s">
        <v>3703</v>
      </c>
      <c r="H264" s="458">
        <v>7704.5</v>
      </c>
      <c r="I264" s="611" t="s">
        <v>123</v>
      </c>
      <c r="J264" s="460">
        <v>40862</v>
      </c>
      <c r="K264" s="461">
        <f>+L264-J264</f>
        <v>71</v>
      </c>
      <c r="L264" s="462">
        <v>40933</v>
      </c>
      <c r="M264" s="611" t="s">
        <v>124</v>
      </c>
      <c r="N264" s="468" t="s">
        <v>1750</v>
      </c>
      <c r="O264" s="460">
        <v>40921</v>
      </c>
      <c r="P264" s="461">
        <f>IF(S264="","",+S264-L264)</f>
        <v>17</v>
      </c>
      <c r="Q264" s="461"/>
      <c r="R264" s="460"/>
      <c r="S264" s="471">
        <v>40950</v>
      </c>
      <c r="T264" s="462">
        <f>+S264+45+20</f>
        <v>41015</v>
      </c>
      <c r="U264" s="461">
        <f>IF(T264="","",+T264-J264)</f>
        <v>153</v>
      </c>
      <c r="V264" s="468" t="s">
        <v>53</v>
      </c>
      <c r="W264" s="493" t="s">
        <v>2213</v>
      </c>
      <c r="X264" s="467"/>
      <c r="Y264" s="467"/>
      <c r="Z264" s="468">
        <v>5843938715</v>
      </c>
      <c r="AA264" s="456"/>
      <c r="AB264" s="460" t="s">
        <v>5234</v>
      </c>
      <c r="AC264" s="470" t="s">
        <v>5235</v>
      </c>
      <c r="AD264" s="645" t="str">
        <f>IF(P264="","",IF(P264&lt;=0,"en término","atrasado"))</f>
        <v>atrasado</v>
      </c>
    </row>
    <row r="265" spans="1:37" s="587" customFormat="1" ht="54.95" customHeight="1" thickBot="1" x14ac:dyDescent="0.25">
      <c r="A265" s="649"/>
      <c r="B265" s="455" t="s">
        <v>120</v>
      </c>
      <c r="C265" s="455" t="s">
        <v>121</v>
      </c>
      <c r="D265" s="456" t="s">
        <v>5236</v>
      </c>
      <c r="E265" s="456"/>
      <c r="F265" s="457">
        <v>34271</v>
      </c>
      <c r="G265" s="457" t="s">
        <v>3703</v>
      </c>
      <c r="H265" s="458">
        <v>3124</v>
      </c>
      <c r="I265" s="611" t="s">
        <v>123</v>
      </c>
      <c r="J265" s="460">
        <v>40933</v>
      </c>
      <c r="K265" s="461">
        <v>70</v>
      </c>
      <c r="L265" s="462">
        <f>+J265+K265</f>
        <v>41003</v>
      </c>
      <c r="M265" s="611" t="s">
        <v>124</v>
      </c>
      <c r="N265" s="468" t="s">
        <v>1750</v>
      </c>
      <c r="O265" s="460">
        <v>40991</v>
      </c>
      <c r="P265" s="461">
        <f>IF(S265="","",+S265-L265)</f>
        <v>30</v>
      </c>
      <c r="Q265" s="461" t="s">
        <v>5237</v>
      </c>
      <c r="R265" s="460"/>
      <c r="S265" s="471">
        <v>41033</v>
      </c>
      <c r="T265" s="462">
        <f>+S265+45</f>
        <v>41078</v>
      </c>
      <c r="U265" s="461">
        <f>IF(T265="","",+T265-J265)</f>
        <v>145</v>
      </c>
      <c r="V265" s="468" t="s">
        <v>53</v>
      </c>
      <c r="W265" s="493" t="s">
        <v>2796</v>
      </c>
      <c r="X265" s="467"/>
      <c r="Y265" s="467"/>
      <c r="Z265" s="468" t="s">
        <v>5238</v>
      </c>
      <c r="AA265" s="456"/>
      <c r="AB265" s="460" t="s">
        <v>5239</v>
      </c>
      <c r="AC265" s="725" t="s">
        <v>5240</v>
      </c>
      <c r="AD265" s="645" t="str">
        <f>IF(P265="","",IF(P265&lt;=0,"en término","atrasado"))</f>
        <v>atrasado</v>
      </c>
    </row>
    <row r="266" spans="1:37" s="587" customFormat="1" ht="54.95" customHeight="1" thickBot="1" x14ac:dyDescent="0.25">
      <c r="A266" s="649"/>
      <c r="B266" s="455" t="s">
        <v>120</v>
      </c>
      <c r="C266" s="455" t="s">
        <v>121</v>
      </c>
      <c r="D266" s="456" t="s">
        <v>5241</v>
      </c>
      <c r="E266" s="456"/>
      <c r="F266" s="457">
        <v>37109</v>
      </c>
      <c r="G266" s="457" t="s">
        <v>3703</v>
      </c>
      <c r="H266" s="458">
        <v>11460</v>
      </c>
      <c r="I266" s="611" t="s">
        <v>123</v>
      </c>
      <c r="J266" s="460">
        <v>41106</v>
      </c>
      <c r="K266" s="461">
        <f>+L266-J266</f>
        <v>64</v>
      </c>
      <c r="L266" s="462">
        <v>41170</v>
      </c>
      <c r="M266" s="611" t="s">
        <v>124</v>
      </c>
      <c r="N266" s="468" t="s">
        <v>1750</v>
      </c>
      <c r="O266" s="460">
        <v>41163</v>
      </c>
      <c r="P266" s="461">
        <f>IF(S266="","",+S266-L266)</f>
        <v>17</v>
      </c>
      <c r="Q266" s="461"/>
      <c r="R266" s="460">
        <v>41173</v>
      </c>
      <c r="S266" s="471">
        <v>41187</v>
      </c>
      <c r="T266" s="462">
        <f>+S266+40</f>
        <v>41227</v>
      </c>
      <c r="U266" s="461">
        <f>IF(T266="","",+T266-J266)</f>
        <v>121</v>
      </c>
      <c r="V266" s="468" t="s">
        <v>53</v>
      </c>
      <c r="W266" s="493">
        <v>104</v>
      </c>
      <c r="X266" s="467"/>
      <c r="Y266" s="467"/>
      <c r="Z266" s="468" t="s">
        <v>5242</v>
      </c>
      <c r="AA266" s="456"/>
      <c r="AB266" s="460" t="s">
        <v>5243</v>
      </c>
      <c r="AC266" s="634"/>
      <c r="AD266" s="645" t="str">
        <f>IF(P266="","",IF(P266&lt;=0,"en término","atrasado"))</f>
        <v>atrasado</v>
      </c>
    </row>
    <row r="267" spans="1:37" s="587" customFormat="1" ht="54.95" customHeight="1" thickBot="1" x14ac:dyDescent="0.25">
      <c r="A267" s="649"/>
      <c r="B267" s="455" t="s">
        <v>120</v>
      </c>
      <c r="C267" s="455" t="s">
        <v>121</v>
      </c>
      <c r="D267" s="456" t="s">
        <v>5244</v>
      </c>
      <c r="E267" s="456"/>
      <c r="F267" s="457">
        <v>37644</v>
      </c>
      <c r="G267" s="457" t="s">
        <v>3703</v>
      </c>
      <c r="H267" s="458">
        <v>945</v>
      </c>
      <c r="I267" s="611" t="s">
        <v>123</v>
      </c>
      <c r="J267" s="460">
        <v>41131</v>
      </c>
      <c r="K267" s="461">
        <f>+L267-J267</f>
        <v>80</v>
      </c>
      <c r="L267" s="462">
        <v>41211</v>
      </c>
      <c r="M267" s="611" t="s">
        <v>124</v>
      </c>
      <c r="N267" s="468" t="s">
        <v>1750</v>
      </c>
      <c r="O267" s="460">
        <v>41163</v>
      </c>
      <c r="P267" s="461">
        <f>IF(S267="","",+S267-L267)</f>
        <v>-24</v>
      </c>
      <c r="Q267" s="461"/>
      <c r="R267" s="460">
        <v>41173</v>
      </c>
      <c r="S267" s="471">
        <v>41187</v>
      </c>
      <c r="T267" s="462">
        <f>+S267+40</f>
        <v>41227</v>
      </c>
      <c r="U267" s="461">
        <f>IF(T267="","",+T267-J267)</f>
        <v>96</v>
      </c>
      <c r="V267" s="468" t="s">
        <v>53</v>
      </c>
      <c r="W267" s="493">
        <v>105</v>
      </c>
      <c r="X267" s="467"/>
      <c r="Y267" s="467"/>
      <c r="Z267" s="468" t="s">
        <v>5242</v>
      </c>
      <c r="AA267" s="456"/>
      <c r="AB267" s="460" t="s">
        <v>5243</v>
      </c>
      <c r="AC267" s="634"/>
      <c r="AD267" s="645" t="str">
        <f>IF(P267="","",IF(P267&lt;=0,"en término","atrasado"))</f>
        <v>en término</v>
      </c>
    </row>
    <row r="271" spans="1:37" ht="12.75" x14ac:dyDescent="0.2">
      <c r="AA271" s="1">
        <v>2012</v>
      </c>
      <c r="AB271" s="1048"/>
    </row>
    <row r="272" spans="1:37" ht="12.75" x14ac:dyDescent="0.2">
      <c r="AA272" s="945" t="s">
        <v>813</v>
      </c>
      <c r="AB272" s="1048">
        <f>COUNTA(AD260:AD271)</f>
        <v>4</v>
      </c>
    </row>
    <row r="273" spans="1:37" ht="12.75" x14ac:dyDescent="0.2">
      <c r="AA273" s="945" t="s">
        <v>815</v>
      </c>
      <c r="AB273" s="1048">
        <f>COUNTIF(AD259:AD271,"en término")</f>
        <v>1</v>
      </c>
    </row>
    <row r="274" spans="1:37" ht="12.75" x14ac:dyDescent="0.2">
      <c r="AA274" s="945" t="s">
        <v>817</v>
      </c>
      <c r="AB274" s="557">
        <f>+AB273/AB272</f>
        <v>0.25</v>
      </c>
    </row>
    <row r="275" spans="1:37" x14ac:dyDescent="0.2">
      <c r="AB275" s="2"/>
    </row>
    <row r="276" spans="1:37" ht="12" thickBot="1" x14ac:dyDescent="0.25"/>
    <row r="277" spans="1:37" s="556" customFormat="1" ht="39.950000000000003" customHeight="1" thickBot="1" x14ac:dyDescent="0.4">
      <c r="B277" s="1611">
        <v>2013</v>
      </c>
      <c r="C277" s="1612"/>
      <c r="D277" s="1612"/>
      <c r="E277" s="1612"/>
      <c r="F277" s="1612"/>
      <c r="G277" s="1612"/>
      <c r="H277" s="1612"/>
      <c r="I277" s="1612"/>
      <c r="J277" s="1612"/>
      <c r="K277" s="1612"/>
      <c r="L277" s="1612"/>
      <c r="M277" s="1612"/>
      <c r="N277" s="1612"/>
      <c r="O277" s="1612"/>
      <c r="P277" s="1612"/>
      <c r="Q277" s="1612"/>
      <c r="R277" s="1612"/>
      <c r="S277" s="1612"/>
      <c r="T277" s="1612"/>
      <c r="U277" s="1612"/>
      <c r="V277" s="1612"/>
      <c r="W277" s="1612"/>
      <c r="X277" s="1612"/>
      <c r="Y277" s="1612"/>
      <c r="Z277" s="1612"/>
      <c r="AA277" s="1612"/>
      <c r="AB277" s="1612"/>
      <c r="AC277" s="1613"/>
      <c r="AD277" s="560"/>
    </row>
    <row r="278" spans="1:37" s="441" customFormat="1" ht="60" customHeight="1" thickBot="1" x14ac:dyDescent="0.25">
      <c r="A278" s="438"/>
      <c r="B278" s="451" t="s">
        <v>130</v>
      </c>
      <c r="C278" s="451" t="s">
        <v>4</v>
      </c>
      <c r="D278" s="451" t="s">
        <v>5</v>
      </c>
      <c r="E278" s="451" t="s">
        <v>6</v>
      </c>
      <c r="F278" s="451" t="s">
        <v>7</v>
      </c>
      <c r="G278" s="451" t="s">
        <v>8</v>
      </c>
      <c r="H278" s="453" t="s">
        <v>9</v>
      </c>
      <c r="I278" s="453" t="s">
        <v>10</v>
      </c>
      <c r="J278" s="451" t="s">
        <v>11</v>
      </c>
      <c r="K278" s="451" t="s">
        <v>12</v>
      </c>
      <c r="L278" s="451" t="s">
        <v>13</v>
      </c>
      <c r="M278" s="451" t="s">
        <v>14</v>
      </c>
      <c r="N278" s="451" t="s">
        <v>15</v>
      </c>
      <c r="O278" s="452" t="s">
        <v>16</v>
      </c>
      <c r="P278" s="454" t="s">
        <v>17</v>
      </c>
      <c r="Q278" s="451" t="s">
        <v>18</v>
      </c>
      <c r="R278" s="452" t="s">
        <v>19</v>
      </c>
      <c r="S278" s="451" t="s">
        <v>20</v>
      </c>
      <c r="T278" s="451" t="s">
        <v>21</v>
      </c>
      <c r="U278" s="452" t="s">
        <v>22</v>
      </c>
      <c r="V278" s="451" t="s">
        <v>131</v>
      </c>
      <c r="W278" s="451" t="s">
        <v>24</v>
      </c>
      <c r="X278" s="451" t="s">
        <v>132</v>
      </c>
      <c r="Y278" s="451" t="s">
        <v>26</v>
      </c>
      <c r="Z278" s="451" t="s">
        <v>27</v>
      </c>
      <c r="AA278" s="451" t="s">
        <v>28</v>
      </c>
      <c r="AB278" s="451" t="s">
        <v>29</v>
      </c>
      <c r="AC278" s="451" t="s">
        <v>30</v>
      </c>
      <c r="AD278" s="439"/>
      <c r="AE278" s="440"/>
      <c r="AF278" s="440"/>
      <c r="AG278" s="440"/>
      <c r="AH278" s="440"/>
      <c r="AI278" s="440"/>
      <c r="AJ278" s="440"/>
      <c r="AK278" s="440"/>
    </row>
    <row r="279" spans="1:37" s="587" customFormat="1" ht="54.95" customHeight="1" thickBot="1" x14ac:dyDescent="0.25">
      <c r="A279" s="649"/>
      <c r="B279" s="455" t="s">
        <v>120</v>
      </c>
      <c r="C279" s="455" t="s">
        <v>121</v>
      </c>
      <c r="D279" s="456" t="s">
        <v>5245</v>
      </c>
      <c r="E279" s="456"/>
      <c r="F279" s="457">
        <v>39628</v>
      </c>
      <c r="G279" s="457" t="s">
        <v>3703</v>
      </c>
      <c r="H279" s="458">
        <v>8700</v>
      </c>
      <c r="I279" s="611" t="s">
        <v>123</v>
      </c>
      <c r="J279" s="460">
        <v>41235</v>
      </c>
      <c r="K279" s="461">
        <f>+L279-J279</f>
        <v>70</v>
      </c>
      <c r="L279" s="462">
        <v>41305</v>
      </c>
      <c r="M279" s="611" t="s">
        <v>124</v>
      </c>
      <c r="N279" s="468" t="s">
        <v>1750</v>
      </c>
      <c r="O279" s="460">
        <v>41285</v>
      </c>
      <c r="P279" s="461">
        <f>IF(S279="","",+S279-L279)</f>
        <v>15</v>
      </c>
      <c r="Q279" s="461" t="s">
        <v>5230</v>
      </c>
      <c r="R279" s="460">
        <v>41311</v>
      </c>
      <c r="S279" s="471">
        <v>41320</v>
      </c>
      <c r="T279" s="462">
        <f>+S279+40</f>
        <v>41360</v>
      </c>
      <c r="U279" s="461">
        <f>IF(T279="","",+T279-J279)</f>
        <v>125</v>
      </c>
      <c r="V279" s="468" t="s">
        <v>73</v>
      </c>
      <c r="W279" s="493" t="s">
        <v>2219</v>
      </c>
      <c r="X279" s="467"/>
      <c r="Y279" s="467"/>
      <c r="Z279" s="468" t="s">
        <v>5246</v>
      </c>
      <c r="AA279" s="456"/>
      <c r="AB279" s="460" t="s">
        <v>2752</v>
      </c>
      <c r="AC279" s="634"/>
      <c r="AD279" s="645" t="str">
        <f>IF(P279="","",IF(P279&lt;=0,"en término","atrasado"))</f>
        <v>atrasado</v>
      </c>
    </row>
    <row r="280" spans="1:37" s="587" customFormat="1" ht="54.95" customHeight="1" thickBot="1" x14ac:dyDescent="0.25">
      <c r="A280" s="649"/>
      <c r="B280" s="455" t="s">
        <v>120</v>
      </c>
      <c r="C280" s="455" t="s">
        <v>121</v>
      </c>
      <c r="D280" s="456" t="s">
        <v>5247</v>
      </c>
      <c r="E280" s="456"/>
      <c r="F280" s="457">
        <v>40756</v>
      </c>
      <c r="G280" s="457" t="s">
        <v>3703</v>
      </c>
      <c r="H280" s="458">
        <v>10153.299999999999</v>
      </c>
      <c r="I280" s="611" t="s">
        <v>123</v>
      </c>
      <c r="J280" s="460">
        <v>41304</v>
      </c>
      <c r="K280" s="461">
        <f>+L280-J280</f>
        <v>81</v>
      </c>
      <c r="L280" s="462">
        <v>41385</v>
      </c>
      <c r="M280" s="611" t="s">
        <v>124</v>
      </c>
      <c r="N280" s="468" t="s">
        <v>1750</v>
      </c>
      <c r="O280" s="460">
        <v>41376</v>
      </c>
      <c r="P280" s="461">
        <f>IF(S280="","",+S280-L280)</f>
        <v>26</v>
      </c>
      <c r="Q280" s="461"/>
      <c r="R280" s="460">
        <v>41402</v>
      </c>
      <c r="S280" s="471">
        <v>41411</v>
      </c>
      <c r="T280" s="462">
        <f>+S280+45</f>
        <v>41456</v>
      </c>
      <c r="U280" s="461">
        <f>IF(T280="","",+T280-J280)</f>
        <v>152</v>
      </c>
      <c r="V280" s="468" t="s">
        <v>53</v>
      </c>
      <c r="W280" s="493" t="s">
        <v>2251</v>
      </c>
      <c r="X280" s="467"/>
      <c r="Y280" s="467"/>
      <c r="Z280" s="468" t="s">
        <v>5248</v>
      </c>
      <c r="AA280" s="456"/>
      <c r="AB280" s="460" t="s">
        <v>5249</v>
      </c>
      <c r="AC280" s="470"/>
      <c r="AD280" s="645" t="str">
        <f>IF(P280="","",IF(P280&lt;=0,"en término","atrasado"))</f>
        <v>atrasado</v>
      </c>
    </row>
    <row r="282" spans="1:37" ht="12.75" x14ac:dyDescent="0.2">
      <c r="AA282" s="1">
        <v>2013</v>
      </c>
      <c r="AB282" s="1048"/>
    </row>
    <row r="283" spans="1:37" ht="12.75" x14ac:dyDescent="0.2">
      <c r="S283" s="914"/>
      <c r="AA283" s="945" t="s">
        <v>813</v>
      </c>
      <c r="AB283" s="1048">
        <f>COUNTA(AD278:AD282)</f>
        <v>2</v>
      </c>
    </row>
    <row r="284" spans="1:37" ht="12.75" x14ac:dyDescent="0.2">
      <c r="AA284" s="945" t="s">
        <v>815</v>
      </c>
      <c r="AB284" s="1048">
        <f>COUNTIF(AD278:AD282,"en término")</f>
        <v>0</v>
      </c>
    </row>
    <row r="285" spans="1:37" ht="12.75" x14ac:dyDescent="0.2">
      <c r="S285" s="914"/>
      <c r="AA285" s="945" t="s">
        <v>817</v>
      </c>
      <c r="AB285" s="557">
        <f>+AB284/AB283</f>
        <v>0</v>
      </c>
    </row>
    <row r="287" spans="1:37" ht="12" thickBot="1" x14ac:dyDescent="0.25"/>
    <row r="288" spans="1:37" s="556" customFormat="1" ht="39.950000000000003" customHeight="1" thickBot="1" x14ac:dyDescent="0.4">
      <c r="B288" s="1611">
        <v>2014</v>
      </c>
      <c r="C288" s="1612"/>
      <c r="D288" s="1612"/>
      <c r="E288" s="1612"/>
      <c r="F288" s="1612"/>
      <c r="G288" s="1612"/>
      <c r="H288" s="1612"/>
      <c r="I288" s="1612"/>
      <c r="J288" s="1612"/>
      <c r="K288" s="1612"/>
      <c r="L288" s="1612"/>
      <c r="M288" s="1612"/>
      <c r="N288" s="1612"/>
      <c r="O288" s="1612"/>
      <c r="P288" s="1612"/>
      <c r="Q288" s="1612"/>
      <c r="R288" s="1612"/>
      <c r="S288" s="1612"/>
      <c r="T288" s="1612"/>
      <c r="U288" s="1612"/>
      <c r="V288" s="1612"/>
      <c r="W288" s="1612"/>
      <c r="X288" s="1612"/>
      <c r="Y288" s="1612"/>
      <c r="Z288" s="1612"/>
      <c r="AA288" s="1612"/>
      <c r="AB288" s="1612"/>
      <c r="AC288" s="1613"/>
      <c r="AD288" s="560"/>
    </row>
    <row r="289" spans="1:37" s="441" customFormat="1" ht="60" customHeight="1" thickBot="1" x14ac:dyDescent="0.25">
      <c r="A289" s="438"/>
      <c r="B289" s="451" t="s">
        <v>130</v>
      </c>
      <c r="C289" s="451" t="s">
        <v>4</v>
      </c>
      <c r="D289" s="451" t="s">
        <v>5</v>
      </c>
      <c r="E289" s="451" t="s">
        <v>6</v>
      </c>
      <c r="F289" s="451" t="s">
        <v>7</v>
      </c>
      <c r="G289" s="451" t="s">
        <v>8</v>
      </c>
      <c r="H289" s="453" t="s">
        <v>9</v>
      </c>
      <c r="I289" s="453" t="s">
        <v>10</v>
      </c>
      <c r="J289" s="451" t="s">
        <v>11</v>
      </c>
      <c r="K289" s="451" t="s">
        <v>12</v>
      </c>
      <c r="L289" s="451" t="s">
        <v>13</v>
      </c>
      <c r="M289" s="451" t="s">
        <v>14</v>
      </c>
      <c r="N289" s="451" t="s">
        <v>15</v>
      </c>
      <c r="O289" s="452" t="s">
        <v>16</v>
      </c>
      <c r="P289" s="454" t="s">
        <v>17</v>
      </c>
      <c r="Q289" s="451" t="s">
        <v>18</v>
      </c>
      <c r="R289" s="452" t="s">
        <v>19</v>
      </c>
      <c r="S289" s="451" t="s">
        <v>20</v>
      </c>
      <c r="T289" s="451" t="s">
        <v>21</v>
      </c>
      <c r="U289" s="452" t="s">
        <v>22</v>
      </c>
      <c r="V289" s="451" t="s">
        <v>131</v>
      </c>
      <c r="W289" s="451" t="s">
        <v>24</v>
      </c>
      <c r="X289" s="451" t="s">
        <v>132</v>
      </c>
      <c r="Y289" s="451" t="s">
        <v>26</v>
      </c>
      <c r="Z289" s="451" t="s">
        <v>27</v>
      </c>
      <c r="AA289" s="451" t="s">
        <v>28</v>
      </c>
      <c r="AB289" s="451" t="s">
        <v>29</v>
      </c>
      <c r="AC289" s="451" t="s">
        <v>30</v>
      </c>
      <c r="AD289" s="439"/>
      <c r="AE289" s="440"/>
      <c r="AF289" s="440"/>
      <c r="AG289" s="440"/>
      <c r="AH289" s="440"/>
      <c r="AI289" s="440"/>
      <c r="AJ289" s="440"/>
      <c r="AK289" s="440"/>
    </row>
    <row r="290" spans="1:37" s="587" customFormat="1" ht="54.95" customHeight="1" thickBot="1" x14ac:dyDescent="0.25">
      <c r="A290" s="649"/>
      <c r="B290" s="455" t="s">
        <v>120</v>
      </c>
      <c r="C290" s="455" t="s">
        <v>121</v>
      </c>
      <c r="D290" s="456" t="s">
        <v>5250</v>
      </c>
      <c r="E290" s="456"/>
      <c r="F290" s="457">
        <v>47956</v>
      </c>
      <c r="G290" s="457" t="s">
        <v>3703</v>
      </c>
      <c r="H290" s="458">
        <v>24137.5</v>
      </c>
      <c r="I290" s="611" t="s">
        <v>123</v>
      </c>
      <c r="J290" s="460">
        <v>41738</v>
      </c>
      <c r="K290" s="461">
        <f>+L290-J290</f>
        <v>110</v>
      </c>
      <c r="L290" s="462">
        <v>41848</v>
      </c>
      <c r="M290" s="611" t="s">
        <v>124</v>
      </c>
      <c r="N290" s="468" t="s">
        <v>1750</v>
      </c>
      <c r="O290" s="460">
        <v>41838</v>
      </c>
      <c r="P290" s="461">
        <f>IF(S290="","",+S290-L290)</f>
        <v>12</v>
      </c>
      <c r="Q290" s="591" t="s">
        <v>5251</v>
      </c>
      <c r="R290" s="460">
        <v>41851</v>
      </c>
      <c r="S290" s="471">
        <v>41860</v>
      </c>
      <c r="T290" s="462">
        <v>41933</v>
      </c>
      <c r="U290" s="461">
        <f>IF(T290="","",+T290-J290)</f>
        <v>195</v>
      </c>
      <c r="V290" s="468" t="s">
        <v>53</v>
      </c>
      <c r="W290" s="493" t="s">
        <v>2295</v>
      </c>
      <c r="X290" s="467"/>
      <c r="Y290" s="467"/>
      <c r="Z290" s="468">
        <v>7573971484</v>
      </c>
      <c r="AA290" s="456"/>
      <c r="AB290" s="460" t="s">
        <v>5252</v>
      </c>
      <c r="AC290" s="470"/>
      <c r="AD290" s="645" t="str">
        <f>IF(P290="","",IF(P290&lt;=0,"en término","atrasado"))</f>
        <v>atrasado</v>
      </c>
      <c r="AE290" s="468"/>
      <c r="AF290" s="468" t="s">
        <v>2957</v>
      </c>
    </row>
    <row r="292" spans="1:37" ht="12.75" x14ac:dyDescent="0.2">
      <c r="AA292" s="1">
        <v>2014</v>
      </c>
      <c r="AB292" s="1048"/>
    </row>
    <row r="293" spans="1:37" ht="12.75" x14ac:dyDescent="0.2">
      <c r="AA293" s="945" t="s">
        <v>813</v>
      </c>
      <c r="AB293" s="1048">
        <f>COUNTA(AD289:AD292)</f>
        <v>1</v>
      </c>
    </row>
    <row r="294" spans="1:37" ht="12.75" x14ac:dyDescent="0.2">
      <c r="AA294" s="945" t="s">
        <v>815</v>
      </c>
      <c r="AB294" s="1048">
        <f>COUNTIF(AD289:AD292,"en término")</f>
        <v>0</v>
      </c>
    </row>
    <row r="295" spans="1:37" ht="12.75" x14ac:dyDescent="0.2">
      <c r="AA295" s="945" t="s">
        <v>817</v>
      </c>
      <c r="AB295" s="557">
        <f>+AB294/AB293</f>
        <v>0</v>
      </c>
    </row>
    <row r="298" spans="1:37" ht="12" thickBot="1" x14ac:dyDescent="0.25"/>
    <row r="299" spans="1:37" s="556" customFormat="1" ht="39.950000000000003" customHeight="1" thickBot="1" x14ac:dyDescent="0.4">
      <c r="B299" s="1611">
        <v>2015</v>
      </c>
      <c r="C299" s="1612"/>
      <c r="D299" s="1612"/>
      <c r="E299" s="1612"/>
      <c r="F299" s="1612"/>
      <c r="G299" s="1612"/>
      <c r="H299" s="1612"/>
      <c r="I299" s="1612"/>
      <c r="J299" s="1612"/>
      <c r="K299" s="1612"/>
      <c r="L299" s="1612"/>
      <c r="M299" s="1612"/>
      <c r="N299" s="1612"/>
      <c r="O299" s="1612"/>
      <c r="P299" s="1612"/>
      <c r="Q299" s="1612"/>
      <c r="R299" s="1612"/>
      <c r="S299" s="1612"/>
      <c r="T299" s="1612"/>
      <c r="U299" s="1612"/>
      <c r="V299" s="1612"/>
      <c r="W299" s="1612"/>
      <c r="X299" s="1612"/>
      <c r="Y299" s="1612"/>
      <c r="Z299" s="1612"/>
      <c r="AA299" s="1612"/>
      <c r="AB299" s="1612"/>
      <c r="AC299" s="1613"/>
      <c r="AD299" s="560"/>
    </row>
    <row r="300" spans="1:37" s="441" customFormat="1" ht="60" customHeight="1" thickBot="1" x14ac:dyDescent="0.25">
      <c r="A300" s="438"/>
      <c r="B300" s="451" t="s">
        <v>130</v>
      </c>
      <c r="C300" s="451" t="s">
        <v>4</v>
      </c>
      <c r="D300" s="451" t="s">
        <v>5</v>
      </c>
      <c r="E300" s="451" t="s">
        <v>6</v>
      </c>
      <c r="F300" s="451" t="s">
        <v>7</v>
      </c>
      <c r="G300" s="451" t="s">
        <v>8</v>
      </c>
      <c r="H300" s="453" t="s">
        <v>9</v>
      </c>
      <c r="I300" s="453" t="s">
        <v>10</v>
      </c>
      <c r="J300" s="451" t="s">
        <v>11</v>
      </c>
      <c r="K300" s="451" t="s">
        <v>12</v>
      </c>
      <c r="L300" s="451" t="s">
        <v>13</v>
      </c>
      <c r="M300" s="451" t="s">
        <v>14</v>
      </c>
      <c r="N300" s="451" t="s">
        <v>15</v>
      </c>
      <c r="O300" s="452" t="s">
        <v>16</v>
      </c>
      <c r="P300" s="454" t="s">
        <v>17</v>
      </c>
      <c r="Q300" s="451" t="s">
        <v>18</v>
      </c>
      <c r="R300" s="452" t="s">
        <v>19</v>
      </c>
      <c r="S300" s="451" t="s">
        <v>20</v>
      </c>
      <c r="T300" s="451" t="s">
        <v>21</v>
      </c>
      <c r="U300" s="452" t="s">
        <v>22</v>
      </c>
      <c r="V300" s="451" t="s">
        <v>131</v>
      </c>
      <c r="W300" s="451" t="s">
        <v>24</v>
      </c>
      <c r="X300" s="451" t="s">
        <v>132</v>
      </c>
      <c r="Y300" s="451" t="s">
        <v>26</v>
      </c>
      <c r="Z300" s="451" t="s">
        <v>27</v>
      </c>
      <c r="AA300" s="451" t="s">
        <v>28</v>
      </c>
      <c r="AB300" s="451" t="s">
        <v>29</v>
      </c>
      <c r="AC300" s="451" t="s">
        <v>30</v>
      </c>
      <c r="AD300" s="439"/>
      <c r="AE300" s="440"/>
      <c r="AF300" s="440"/>
      <c r="AG300" s="440"/>
      <c r="AH300" s="440"/>
      <c r="AI300" s="440"/>
      <c r="AJ300" s="440"/>
      <c r="AK300" s="440"/>
    </row>
    <row r="301" spans="1:37" s="587" customFormat="1" ht="54.95" customHeight="1" thickBot="1" x14ac:dyDescent="0.25">
      <c r="A301" s="649"/>
      <c r="B301" s="887" t="s">
        <v>120</v>
      </c>
      <c r="C301" s="911" t="s">
        <v>121</v>
      </c>
      <c r="D301" s="888" t="s">
        <v>5253</v>
      </c>
      <c r="E301" s="888"/>
      <c r="F301" s="889">
        <v>53318</v>
      </c>
      <c r="G301" s="889" t="s">
        <v>1535</v>
      </c>
      <c r="H301" s="890">
        <v>14071</v>
      </c>
      <c r="I301" s="891" t="s">
        <v>123</v>
      </c>
      <c r="J301" s="892">
        <v>42117</v>
      </c>
      <c r="K301" s="893">
        <f>+L301-J301</f>
        <v>89</v>
      </c>
      <c r="L301" s="894">
        <v>42206</v>
      </c>
      <c r="M301" s="891" t="s">
        <v>124</v>
      </c>
      <c r="N301" s="895" t="s">
        <v>42</v>
      </c>
      <c r="O301" s="892">
        <v>42198</v>
      </c>
      <c r="P301" s="893">
        <f>IF(S301="","",+S301-L301)</f>
        <v>12</v>
      </c>
      <c r="Q301" s="893"/>
      <c r="R301" s="892">
        <v>42205</v>
      </c>
      <c r="S301" s="896">
        <v>42218</v>
      </c>
      <c r="T301" s="894">
        <f>+S301+45</f>
        <v>42263</v>
      </c>
      <c r="U301" s="893">
        <f>IF(T301="","",+T301-J301)</f>
        <v>146</v>
      </c>
      <c r="V301" s="895" t="s">
        <v>2183</v>
      </c>
      <c r="W301" s="897" t="s">
        <v>2447</v>
      </c>
      <c r="X301" s="905"/>
      <c r="Y301" s="905"/>
      <c r="Z301" s="947">
        <v>3498801305</v>
      </c>
      <c r="AA301" s="888"/>
      <c r="AB301" s="892" t="s">
        <v>3020</v>
      </c>
      <c r="AC301" s="899"/>
      <c r="AD301" s="645" t="str">
        <f>IF(P301="","",IF(P301&lt;=0,"en término","atrasado"))</f>
        <v>atrasado</v>
      </c>
      <c r="AE301" s="468" t="s">
        <v>5254</v>
      </c>
      <c r="AF301" s="468" t="s">
        <v>2949</v>
      </c>
    </row>
    <row r="310" spans="1:37" ht="12" thickBot="1" x14ac:dyDescent="0.25"/>
    <row r="311" spans="1:37" s="556" customFormat="1" ht="39.950000000000003" customHeight="1" thickBot="1" x14ac:dyDescent="0.4">
      <c r="B311" s="1611">
        <v>2016</v>
      </c>
      <c r="C311" s="1612"/>
      <c r="D311" s="1612"/>
      <c r="E311" s="1612"/>
      <c r="F311" s="1612"/>
      <c r="G311" s="1612"/>
      <c r="H311" s="1612"/>
      <c r="I311" s="1612"/>
      <c r="J311" s="1612"/>
      <c r="K311" s="1612"/>
      <c r="L311" s="1612"/>
      <c r="M311" s="1612"/>
      <c r="N311" s="1612"/>
      <c r="O311" s="1612"/>
      <c r="P311" s="1612"/>
      <c r="Q311" s="1612"/>
      <c r="R311" s="1612"/>
      <c r="S311" s="1612"/>
      <c r="T311" s="1612"/>
      <c r="U311" s="1612"/>
      <c r="V311" s="1612"/>
      <c r="W311" s="1612"/>
      <c r="X311" s="1612"/>
      <c r="Y311" s="1612"/>
      <c r="Z311" s="1612"/>
      <c r="AA311" s="1612"/>
      <c r="AB311" s="1612"/>
      <c r="AC311" s="1613"/>
      <c r="AD311" s="560"/>
    </row>
    <row r="312" spans="1:37" s="441" customFormat="1" ht="60" customHeight="1" thickBot="1" x14ac:dyDescent="0.25">
      <c r="A312" s="438"/>
      <c r="B312" s="451" t="s">
        <v>130</v>
      </c>
      <c r="C312" s="451" t="s">
        <v>4</v>
      </c>
      <c r="D312" s="451" t="s">
        <v>5</v>
      </c>
      <c r="E312" s="451" t="s">
        <v>6</v>
      </c>
      <c r="F312" s="451" t="s">
        <v>7</v>
      </c>
      <c r="G312" s="451" t="s">
        <v>8</v>
      </c>
      <c r="H312" s="453" t="s">
        <v>9</v>
      </c>
      <c r="I312" s="453" t="s">
        <v>10</v>
      </c>
      <c r="J312" s="451" t="s">
        <v>11</v>
      </c>
      <c r="K312" s="451" t="s">
        <v>12</v>
      </c>
      <c r="L312" s="451" t="s">
        <v>13</v>
      </c>
      <c r="M312" s="451" t="s">
        <v>14</v>
      </c>
      <c r="N312" s="451" t="s">
        <v>15</v>
      </c>
      <c r="O312" s="452" t="s">
        <v>16</v>
      </c>
      <c r="P312" s="454" t="s">
        <v>17</v>
      </c>
      <c r="Q312" s="451" t="s">
        <v>18</v>
      </c>
      <c r="R312" s="452" t="s">
        <v>19</v>
      </c>
      <c r="S312" s="451" t="s">
        <v>20</v>
      </c>
      <c r="T312" s="451" t="s">
        <v>21</v>
      </c>
      <c r="U312" s="452" t="s">
        <v>22</v>
      </c>
      <c r="V312" s="451" t="s">
        <v>131</v>
      </c>
      <c r="W312" s="451" t="s">
        <v>24</v>
      </c>
      <c r="X312" s="451" t="s">
        <v>132</v>
      </c>
      <c r="Y312" s="451" t="s">
        <v>26</v>
      </c>
      <c r="Z312" s="451" t="s">
        <v>27</v>
      </c>
      <c r="AA312" s="451" t="s">
        <v>28</v>
      </c>
      <c r="AB312" s="451" t="s">
        <v>29</v>
      </c>
      <c r="AC312" s="451" t="s">
        <v>30</v>
      </c>
      <c r="AD312" s="439"/>
      <c r="AE312" s="440"/>
      <c r="AF312" s="440"/>
      <c r="AG312" s="440"/>
      <c r="AH312" s="440"/>
      <c r="AI312" s="440"/>
      <c r="AJ312" s="440"/>
      <c r="AK312" s="440"/>
    </row>
    <row r="313" spans="1:37" s="985" customFormat="1" ht="54.95" customHeight="1" thickBot="1" x14ac:dyDescent="0.25">
      <c r="B313" s="986" t="s">
        <v>120</v>
      </c>
      <c r="C313" s="987" t="s">
        <v>121</v>
      </c>
      <c r="D313" s="988" t="s">
        <v>5255</v>
      </c>
      <c r="E313" s="988"/>
      <c r="F313" s="989">
        <v>57423</v>
      </c>
      <c r="G313" s="989" t="s">
        <v>1535</v>
      </c>
      <c r="H313" s="990">
        <v>1799.2</v>
      </c>
      <c r="I313" s="991" t="s">
        <v>123</v>
      </c>
      <c r="J313" s="992">
        <v>42381</v>
      </c>
      <c r="K313" s="993">
        <f>+L313-J313</f>
        <v>69</v>
      </c>
      <c r="L313" s="994">
        <v>42450</v>
      </c>
      <c r="M313" s="991" t="s">
        <v>124</v>
      </c>
      <c r="N313" s="995" t="s">
        <v>42</v>
      </c>
      <c r="O313" s="992">
        <v>42440</v>
      </c>
      <c r="P313" s="993">
        <f>IF(S313="","",+S313-L313)</f>
        <v>4</v>
      </c>
      <c r="Q313" s="993"/>
      <c r="R313" s="992">
        <v>42447</v>
      </c>
      <c r="S313" s="996">
        <v>42454</v>
      </c>
      <c r="T313" s="994">
        <f>+S313+45</f>
        <v>42499</v>
      </c>
      <c r="U313" s="993">
        <f>IF(T313="","",+T313-J313)</f>
        <v>118</v>
      </c>
      <c r="V313" s="995" t="s">
        <v>2183</v>
      </c>
      <c r="W313" s="997" t="s">
        <v>100</v>
      </c>
      <c r="X313" s="998"/>
      <c r="Y313" s="998"/>
      <c r="Z313" s="999">
        <v>7978962740</v>
      </c>
      <c r="AA313" s="988"/>
      <c r="AB313" s="992" t="s">
        <v>5256</v>
      </c>
      <c r="AC313" s="1000"/>
      <c r="AD313" s="1001" t="str">
        <f>IF(P313="","",IF(P313&lt;=0,"en término","atrasado"))</f>
        <v>atrasado</v>
      </c>
      <c r="AE313" s="1002" t="s">
        <v>5257</v>
      </c>
      <c r="AF313" s="1002" t="s">
        <v>3846</v>
      </c>
    </row>
    <row r="314" spans="1:37" s="985" customFormat="1" ht="54.95" customHeight="1" thickBot="1" x14ac:dyDescent="0.25">
      <c r="B314" s="986" t="s">
        <v>120</v>
      </c>
      <c r="C314" s="987" t="s">
        <v>121</v>
      </c>
      <c r="D314" s="988" t="s">
        <v>5258</v>
      </c>
      <c r="E314" s="988"/>
      <c r="F314" s="989">
        <v>57274</v>
      </c>
      <c r="G314" s="989" t="s">
        <v>1535</v>
      </c>
      <c r="H314" s="990">
        <v>3373.5</v>
      </c>
      <c r="I314" s="991" t="s">
        <v>123</v>
      </c>
      <c r="J314" s="992">
        <v>42374</v>
      </c>
      <c r="K314" s="993">
        <f>+L314-J314</f>
        <v>76</v>
      </c>
      <c r="L314" s="994">
        <v>42450</v>
      </c>
      <c r="M314" s="991" t="s">
        <v>124</v>
      </c>
      <c r="N314" s="995" t="s">
        <v>42</v>
      </c>
      <c r="O314" s="992">
        <v>42440</v>
      </c>
      <c r="P314" s="993">
        <f>IF(S314="","",+S314-L314)</f>
        <v>4</v>
      </c>
      <c r="Q314" s="993"/>
      <c r="R314" s="992">
        <v>42447</v>
      </c>
      <c r="S314" s="996">
        <v>42454</v>
      </c>
      <c r="T314" s="994">
        <f>+S314+45</f>
        <v>42499</v>
      </c>
      <c r="U314" s="993">
        <f>IF(T314="","",+T314-J314)</f>
        <v>125</v>
      </c>
      <c r="V314" s="995" t="s">
        <v>2183</v>
      </c>
      <c r="W314" s="997" t="s">
        <v>94</v>
      </c>
      <c r="X314" s="998"/>
      <c r="Y314" s="998"/>
      <c r="Z314" s="999">
        <v>7978962740</v>
      </c>
      <c r="AA314" s="988"/>
      <c r="AB314" s="992" t="s">
        <v>5256</v>
      </c>
      <c r="AC314" s="1000"/>
      <c r="AD314" s="1001" t="str">
        <f>IF(P314="","",IF(P314&lt;=0,"en término","atrasado"))</f>
        <v>atrasado</v>
      </c>
      <c r="AE314" s="1002" t="s">
        <v>5257</v>
      </c>
      <c r="AF314" s="1002" t="s">
        <v>3846</v>
      </c>
    </row>
    <row r="323" spans="1:37" ht="12" thickBot="1" x14ac:dyDescent="0.25"/>
    <row r="324" spans="1:37" s="556" customFormat="1" ht="39.950000000000003" customHeight="1" thickBot="1" x14ac:dyDescent="0.4">
      <c r="B324" s="1611">
        <v>2017</v>
      </c>
      <c r="C324" s="1612"/>
      <c r="D324" s="1612"/>
      <c r="E324" s="1612"/>
      <c r="F324" s="1612"/>
      <c r="G324" s="1612"/>
      <c r="H324" s="1612"/>
      <c r="I324" s="1612"/>
      <c r="J324" s="1612"/>
      <c r="K324" s="1612"/>
      <c r="L324" s="1612"/>
      <c r="M324" s="1612"/>
      <c r="N324" s="1612"/>
      <c r="O324" s="1612"/>
      <c r="P324" s="1612"/>
      <c r="Q324" s="1612"/>
      <c r="R324" s="1612"/>
      <c r="S324" s="1612"/>
      <c r="T324" s="1612"/>
      <c r="U324" s="1612"/>
      <c r="V324" s="1612"/>
      <c r="W324" s="1612"/>
      <c r="X324" s="1612"/>
      <c r="Y324" s="1612"/>
      <c r="Z324" s="1612"/>
      <c r="AA324" s="1612"/>
      <c r="AB324" s="1612"/>
      <c r="AC324" s="1613"/>
      <c r="AD324" s="560"/>
    </row>
    <row r="325" spans="1:37" s="441" customFormat="1" ht="60" customHeight="1" thickBot="1" x14ac:dyDescent="0.25">
      <c r="A325" s="438"/>
      <c r="B325" s="451" t="s">
        <v>130</v>
      </c>
      <c r="C325" s="451" t="s">
        <v>4</v>
      </c>
      <c r="D325" s="451" t="s">
        <v>5</v>
      </c>
      <c r="E325" s="451" t="s">
        <v>6</v>
      </c>
      <c r="F325" s="451" t="s">
        <v>7</v>
      </c>
      <c r="G325" s="451" t="s">
        <v>8</v>
      </c>
      <c r="H325" s="453" t="s">
        <v>9</v>
      </c>
      <c r="I325" s="453" t="s">
        <v>10</v>
      </c>
      <c r="J325" s="451" t="s">
        <v>11</v>
      </c>
      <c r="K325" s="451" t="s">
        <v>12</v>
      </c>
      <c r="L325" s="451" t="s">
        <v>13</v>
      </c>
      <c r="M325" s="451" t="s">
        <v>14</v>
      </c>
      <c r="N325" s="451" t="s">
        <v>15</v>
      </c>
      <c r="O325" s="452" t="s">
        <v>16</v>
      </c>
      <c r="P325" s="454" t="s">
        <v>17</v>
      </c>
      <c r="Q325" s="451" t="s">
        <v>18</v>
      </c>
      <c r="R325" s="452" t="s">
        <v>19</v>
      </c>
      <c r="S325" s="451" t="s">
        <v>20</v>
      </c>
      <c r="T325" s="451" t="s">
        <v>21</v>
      </c>
      <c r="U325" s="452" t="s">
        <v>22</v>
      </c>
      <c r="V325" s="451" t="s">
        <v>131</v>
      </c>
      <c r="W325" s="451" t="s">
        <v>24</v>
      </c>
      <c r="X325" s="451" t="s">
        <v>132</v>
      </c>
      <c r="Y325" s="451" t="s">
        <v>26</v>
      </c>
      <c r="Z325" s="451" t="s">
        <v>27</v>
      </c>
      <c r="AA325" s="451" t="s">
        <v>28</v>
      </c>
      <c r="AB325" s="451" t="s">
        <v>29</v>
      </c>
      <c r="AC325" s="451" t="s">
        <v>30</v>
      </c>
      <c r="AD325" s="439"/>
      <c r="AE325" s="440"/>
      <c r="AF325" s="440"/>
      <c r="AG325" s="440"/>
      <c r="AH325" s="440"/>
      <c r="AI325" s="440"/>
      <c r="AJ325" s="440"/>
      <c r="AK325" s="440"/>
    </row>
    <row r="326" spans="1:37" s="649" customFormat="1" ht="54.95" customHeight="1" thickBot="1" x14ac:dyDescent="0.25">
      <c r="B326" s="1022" t="s">
        <v>120</v>
      </c>
      <c r="C326" s="1022" t="s">
        <v>121</v>
      </c>
      <c r="D326" s="901" t="s">
        <v>5259</v>
      </c>
      <c r="E326" s="901"/>
      <c r="F326" s="913">
        <v>62720</v>
      </c>
      <c r="G326" s="889" t="s">
        <v>39</v>
      </c>
      <c r="H326" s="890">
        <v>5348.8</v>
      </c>
      <c r="I326" s="902" t="s">
        <v>123</v>
      </c>
      <c r="J326" s="892">
        <v>42811</v>
      </c>
      <c r="K326" s="893">
        <f>+L326-J326</f>
        <v>69</v>
      </c>
      <c r="L326" s="892">
        <v>42880</v>
      </c>
      <c r="M326" s="892" t="s">
        <v>124</v>
      </c>
      <c r="N326" s="889" t="s">
        <v>42</v>
      </c>
      <c r="O326" s="892">
        <v>42870</v>
      </c>
      <c r="P326" s="893">
        <f>IF(S326="","",+S326-L326)</f>
        <v>16</v>
      </c>
      <c r="Q326" s="901" t="s">
        <v>5260</v>
      </c>
      <c r="R326" s="903">
        <v>42887</v>
      </c>
      <c r="S326" s="904">
        <v>42896</v>
      </c>
      <c r="T326" s="894">
        <f>+S326+45</f>
        <v>42941</v>
      </c>
      <c r="U326" s="893">
        <f>IF(T326="","",+T326-J326)</f>
        <v>130</v>
      </c>
      <c r="V326" s="901" t="s">
        <v>53</v>
      </c>
      <c r="W326" s="897" t="s">
        <v>2224</v>
      </c>
      <c r="X326" s="889"/>
      <c r="Y326" s="905"/>
      <c r="Z326" s="889">
        <v>7719213902</v>
      </c>
      <c r="AA326" s="889"/>
      <c r="AB326" s="892" t="s">
        <v>1575</v>
      </c>
      <c r="AC326" s="476"/>
      <c r="AD326" s="645" t="str">
        <f>IF(P326="","",IF(P326&lt;=0,"en término","atrasado"))</f>
        <v>atrasado</v>
      </c>
      <c r="AE326" s="468" t="s">
        <v>5261</v>
      </c>
      <c r="AF326" s="468"/>
    </row>
    <row r="327" spans="1:37" s="649" customFormat="1" ht="54.95" customHeight="1" thickBot="1" x14ac:dyDescent="0.25">
      <c r="B327" s="1022" t="s">
        <v>120</v>
      </c>
      <c r="C327" s="1022" t="s">
        <v>121</v>
      </c>
      <c r="D327" s="901" t="s">
        <v>5262</v>
      </c>
      <c r="E327" s="901"/>
      <c r="F327" s="913">
        <v>62998</v>
      </c>
      <c r="G327" s="889" t="s">
        <v>39</v>
      </c>
      <c r="H327" s="890">
        <f>5394.65+1050</f>
        <v>6444.65</v>
      </c>
      <c r="I327" s="902" t="s">
        <v>123</v>
      </c>
      <c r="J327" s="892">
        <v>42842</v>
      </c>
      <c r="K327" s="893">
        <v>75</v>
      </c>
      <c r="L327" s="892">
        <f>+J327+K327</f>
        <v>42917</v>
      </c>
      <c r="M327" s="892" t="s">
        <v>124</v>
      </c>
      <c r="N327" s="889" t="s">
        <v>42</v>
      </c>
      <c r="O327" s="892">
        <v>42902</v>
      </c>
      <c r="P327" s="893">
        <f>IF(S327="","",+S327-L327)</f>
        <v>7</v>
      </c>
      <c r="Q327" s="901"/>
      <c r="R327" s="903">
        <v>42917</v>
      </c>
      <c r="S327" s="904">
        <v>42924</v>
      </c>
      <c r="T327" s="894">
        <v>42976</v>
      </c>
      <c r="U327" s="893">
        <f>IF(T327="","",+T327-J327)</f>
        <v>134</v>
      </c>
      <c r="V327" s="901" t="s">
        <v>53</v>
      </c>
      <c r="W327" s="897" t="s">
        <v>2447</v>
      </c>
      <c r="X327" s="889"/>
      <c r="Y327" s="905"/>
      <c r="Z327" s="889">
        <v>9014847170</v>
      </c>
      <c r="AA327" s="889"/>
      <c r="AB327" s="892" t="s">
        <v>1575</v>
      </c>
      <c r="AC327" s="476"/>
      <c r="AD327" s="645" t="str">
        <f>IF(P327="","",IF(P327&lt;=0,"en término","atrasado"))</f>
        <v>atrasado</v>
      </c>
      <c r="AE327" s="468" t="s">
        <v>5263</v>
      </c>
      <c r="AF327" s="468" t="s">
        <v>2943</v>
      </c>
    </row>
    <row r="332" spans="1:37" ht="12" thickBot="1" x14ac:dyDescent="0.25"/>
    <row r="333" spans="1:37" s="556" customFormat="1" ht="39.950000000000003" customHeight="1" thickBot="1" x14ac:dyDescent="0.4">
      <c r="B333" s="1611">
        <v>2018</v>
      </c>
      <c r="C333" s="1612"/>
      <c r="D333" s="1612"/>
      <c r="E333" s="1612"/>
      <c r="F333" s="1612"/>
      <c r="G333" s="1612"/>
      <c r="H333" s="1612"/>
      <c r="I333" s="1612"/>
      <c r="J333" s="1612"/>
      <c r="K333" s="1612"/>
      <c r="L333" s="1612"/>
      <c r="M333" s="1612"/>
      <c r="N333" s="1612"/>
      <c r="O333" s="1612"/>
      <c r="P333" s="1612"/>
      <c r="Q333" s="1612"/>
      <c r="R333" s="1612"/>
      <c r="S333" s="1612"/>
      <c r="T333" s="1612"/>
      <c r="U333" s="1612"/>
      <c r="V333" s="1612"/>
      <c r="W333" s="1612"/>
      <c r="X333" s="1612"/>
      <c r="Y333" s="1612"/>
      <c r="Z333" s="1612"/>
      <c r="AA333" s="1612"/>
      <c r="AB333" s="1612"/>
      <c r="AC333" s="1613"/>
      <c r="AD333" s="560"/>
    </row>
    <row r="334" spans="1:37" s="441" customFormat="1" ht="60" customHeight="1" thickBot="1" x14ac:dyDescent="0.25">
      <c r="A334" s="438"/>
      <c r="B334" s="451" t="s">
        <v>130</v>
      </c>
      <c r="C334" s="451" t="s">
        <v>4</v>
      </c>
      <c r="D334" s="451" t="s">
        <v>5</v>
      </c>
      <c r="E334" s="451" t="s">
        <v>6</v>
      </c>
      <c r="F334" s="451" t="s">
        <v>7</v>
      </c>
      <c r="G334" s="451" t="s">
        <v>8</v>
      </c>
      <c r="H334" s="453" t="s">
        <v>9</v>
      </c>
      <c r="I334" s="453" t="s">
        <v>10</v>
      </c>
      <c r="J334" s="451" t="s">
        <v>11</v>
      </c>
      <c r="K334" s="451" t="s">
        <v>12</v>
      </c>
      <c r="L334" s="451" t="s">
        <v>13</v>
      </c>
      <c r="M334" s="451" t="s">
        <v>14</v>
      </c>
      <c r="N334" s="451" t="s">
        <v>15</v>
      </c>
      <c r="O334" s="452" t="s">
        <v>16</v>
      </c>
      <c r="P334" s="454" t="s">
        <v>17</v>
      </c>
      <c r="Q334" s="451" t="s">
        <v>18</v>
      </c>
      <c r="R334" s="452" t="s">
        <v>19</v>
      </c>
      <c r="S334" s="451" t="s">
        <v>20</v>
      </c>
      <c r="T334" s="451" t="s">
        <v>21</v>
      </c>
      <c r="U334" s="452" t="s">
        <v>22</v>
      </c>
      <c r="V334" s="451" t="s">
        <v>131</v>
      </c>
      <c r="W334" s="451" t="s">
        <v>24</v>
      </c>
      <c r="X334" s="451" t="s">
        <v>132</v>
      </c>
      <c r="Y334" s="451" t="s">
        <v>26</v>
      </c>
      <c r="Z334" s="451" t="s">
        <v>27</v>
      </c>
      <c r="AA334" s="451" t="s">
        <v>28</v>
      </c>
      <c r="AB334" s="451" t="s">
        <v>29</v>
      </c>
      <c r="AC334" s="451" t="s">
        <v>30</v>
      </c>
      <c r="AD334" s="439"/>
      <c r="AE334" s="440"/>
      <c r="AF334" s="440"/>
      <c r="AG334" s="440"/>
      <c r="AH334" s="440"/>
      <c r="AI334" s="440"/>
      <c r="AJ334" s="440"/>
      <c r="AK334" s="440"/>
    </row>
    <row r="335" spans="1:37" s="649" customFormat="1" ht="54.95" customHeight="1" thickBot="1" x14ac:dyDescent="0.25">
      <c r="B335" s="1022" t="s">
        <v>120</v>
      </c>
      <c r="C335" s="1022" t="s">
        <v>121</v>
      </c>
      <c r="D335" s="901" t="s">
        <v>122</v>
      </c>
      <c r="E335" s="901"/>
      <c r="F335" s="913">
        <v>66211</v>
      </c>
      <c r="G335" s="889" t="s">
        <v>39</v>
      </c>
      <c r="H335" s="890">
        <v>6708.55</v>
      </c>
      <c r="I335" s="902" t="s">
        <v>123</v>
      </c>
      <c r="J335" s="892">
        <v>43137</v>
      </c>
      <c r="K335" s="893">
        <v>60</v>
      </c>
      <c r="L335" s="892">
        <f>+J335+K335</f>
        <v>43197</v>
      </c>
      <c r="M335" s="892" t="s">
        <v>124</v>
      </c>
      <c r="N335" s="889" t="s">
        <v>42</v>
      </c>
      <c r="O335" s="892">
        <v>43186</v>
      </c>
      <c r="P335" s="893">
        <f>IF(S335="","",+S335-L335)</f>
        <v>28</v>
      </c>
      <c r="Q335" s="901" t="s">
        <v>6440</v>
      </c>
      <c r="R335" s="903">
        <v>43186</v>
      </c>
      <c r="S335" s="904">
        <v>43225</v>
      </c>
      <c r="T335" s="894">
        <f>+S335+30</f>
        <v>43255</v>
      </c>
      <c r="U335" s="893">
        <f>IF(T335="","",+T335-J335)</f>
        <v>118</v>
      </c>
      <c r="V335" s="901" t="s">
        <v>53</v>
      </c>
      <c r="W335" s="897" t="s">
        <v>2203</v>
      </c>
      <c r="X335" s="889"/>
      <c r="Y335" s="905"/>
      <c r="Z335" s="889">
        <v>5700368192</v>
      </c>
      <c r="AA335" s="889"/>
      <c r="AB335" s="1025" t="str">
        <f>IF(S335="","",IF($Z$1&lt;(S335+45),(S335+45),"VENCIDA"))</f>
        <v>VENCIDA</v>
      </c>
      <c r="AC335" s="476"/>
      <c r="AD335" s="645" t="str">
        <f>IF(P335="","",IF(P335&lt;=0,"en término","atrasado"))</f>
        <v>atrasado</v>
      </c>
      <c r="AE335" s="468"/>
      <c r="AF335" s="468"/>
    </row>
    <row r="336" spans="1:37" s="649" customFormat="1" ht="54.95" customHeight="1" thickBot="1" x14ac:dyDescent="0.25">
      <c r="B336" s="1022" t="s">
        <v>120</v>
      </c>
      <c r="C336" s="1022" t="s">
        <v>121</v>
      </c>
      <c r="D336" s="901" t="s">
        <v>125</v>
      </c>
      <c r="E336" s="901"/>
      <c r="F336" s="913">
        <v>66483</v>
      </c>
      <c r="G336" s="889" t="s">
        <v>39</v>
      </c>
      <c r="H336" s="890">
        <v>23302.65</v>
      </c>
      <c r="I336" s="902" t="s">
        <v>123</v>
      </c>
      <c r="J336" s="892">
        <v>43158</v>
      </c>
      <c r="K336" s="893">
        <f>+L336-J336</f>
        <v>72</v>
      </c>
      <c r="L336" s="892">
        <v>43230</v>
      </c>
      <c r="M336" s="892" t="s">
        <v>124</v>
      </c>
      <c r="N336" s="889" t="s">
        <v>42</v>
      </c>
      <c r="O336" s="892">
        <v>43217</v>
      </c>
      <c r="P336" s="893">
        <f>IF(S336="","",+S336-L336)</f>
        <v>13</v>
      </c>
      <c r="Q336" s="901" t="s">
        <v>6523</v>
      </c>
      <c r="R336" s="903"/>
      <c r="S336" s="904">
        <v>43243</v>
      </c>
      <c r="T336" s="894">
        <f>+S336+45</f>
        <v>43288</v>
      </c>
      <c r="U336" s="893">
        <f>IF(T336="","",+T336-J336)</f>
        <v>130</v>
      </c>
      <c r="V336" s="901" t="s">
        <v>53</v>
      </c>
      <c r="W336" s="897" t="s">
        <v>2217</v>
      </c>
      <c r="X336" s="889"/>
      <c r="Y336" s="905"/>
      <c r="Z336" s="889">
        <v>3894414856</v>
      </c>
      <c r="AA336" s="889"/>
      <c r="AB336" s="1025" t="str">
        <f>IF(S336="","",IF($Z$1&lt;(S336+45),(S336+45),"VENCIDA"))</f>
        <v>VENCIDA</v>
      </c>
      <c r="AC336" s="476"/>
      <c r="AD336" s="645" t="str">
        <f>IF(P336="","",IF(P336&lt;=0,"en término","atrasado"))</f>
        <v>atrasado</v>
      </c>
      <c r="AE336" s="468"/>
      <c r="AF336" s="468"/>
    </row>
    <row r="337" spans="1:37" s="649" customFormat="1" ht="54.95" customHeight="1" thickBot="1" x14ac:dyDescent="0.25">
      <c r="B337" s="1022" t="s">
        <v>120</v>
      </c>
      <c r="C337" s="1022" t="s">
        <v>121</v>
      </c>
      <c r="D337" s="901" t="s">
        <v>6428</v>
      </c>
      <c r="E337" s="901"/>
      <c r="F337" s="913">
        <v>66703</v>
      </c>
      <c r="G337" s="889" t="s">
        <v>39</v>
      </c>
      <c r="H337" s="890">
        <v>2043</v>
      </c>
      <c r="I337" s="902" t="s">
        <v>123</v>
      </c>
      <c r="J337" s="892">
        <v>43174</v>
      </c>
      <c r="K337" s="893">
        <f>+L337-J337</f>
        <v>67</v>
      </c>
      <c r="L337" s="892">
        <v>43241</v>
      </c>
      <c r="M337" s="892" t="s">
        <v>124</v>
      </c>
      <c r="N337" s="889" t="s">
        <v>42</v>
      </c>
      <c r="O337" s="892">
        <v>43217</v>
      </c>
      <c r="P337" s="893">
        <f>IF(S337="","",+S337-L337)</f>
        <v>2</v>
      </c>
      <c r="Q337" s="901" t="s">
        <v>6523</v>
      </c>
      <c r="R337" s="903"/>
      <c r="S337" s="904">
        <v>43243</v>
      </c>
      <c r="T337" s="894">
        <f>+S337+45</f>
        <v>43288</v>
      </c>
      <c r="U337" s="893">
        <f>IF(T337="","",+T337-J337)</f>
        <v>114</v>
      </c>
      <c r="V337" s="901" t="s">
        <v>53</v>
      </c>
      <c r="W337" s="897" t="s">
        <v>2213</v>
      </c>
      <c r="X337" s="889"/>
      <c r="Y337" s="905"/>
      <c r="Z337" s="889">
        <v>3894414856</v>
      </c>
      <c r="AA337" s="889"/>
      <c r="AB337" s="1025" t="str">
        <f>IF(S337="","",IF($Z$1&lt;(S337+45),(S337+45),"VENCIDA"))</f>
        <v>VENCIDA</v>
      </c>
      <c r="AC337" s="476"/>
      <c r="AD337" s="645" t="str">
        <f>IF(P337="","",IF(P337&lt;=0,"en término","atrasado"))</f>
        <v>atrasado</v>
      </c>
      <c r="AE337" s="468"/>
      <c r="AF337" s="468"/>
    </row>
    <row r="340" spans="1:37" ht="12" thickBot="1" x14ac:dyDescent="0.25"/>
    <row r="341" spans="1:37" s="556" customFormat="1" ht="39.950000000000003" customHeight="1" thickBot="1" x14ac:dyDescent="0.4">
      <c r="B341" s="1611">
        <v>2019</v>
      </c>
      <c r="C341" s="1612"/>
      <c r="D341" s="1612"/>
      <c r="E341" s="1612"/>
      <c r="F341" s="1612"/>
      <c r="G341" s="1612"/>
      <c r="H341" s="1612"/>
      <c r="I341" s="1612"/>
      <c r="J341" s="1612"/>
      <c r="K341" s="1612"/>
      <c r="L341" s="1612"/>
      <c r="M341" s="1612"/>
      <c r="N341" s="1612"/>
      <c r="O341" s="1612"/>
      <c r="P341" s="1612"/>
      <c r="Q341" s="1612"/>
      <c r="R341" s="1612"/>
      <c r="S341" s="1612"/>
      <c r="T341" s="1612"/>
      <c r="U341" s="1612"/>
      <c r="V341" s="1612"/>
      <c r="W341" s="1612"/>
      <c r="X341" s="1612"/>
      <c r="Y341" s="1612"/>
      <c r="Z341" s="1612"/>
      <c r="AA341" s="1612"/>
      <c r="AB341" s="1612"/>
      <c r="AC341" s="1613"/>
      <c r="AD341" s="560"/>
    </row>
    <row r="342" spans="1:37" s="441" customFormat="1" ht="60" customHeight="1" thickBot="1" x14ac:dyDescent="0.25">
      <c r="A342" s="438"/>
      <c r="B342" s="451" t="s">
        <v>130</v>
      </c>
      <c r="C342" s="451" t="s">
        <v>4</v>
      </c>
      <c r="D342" s="451" t="s">
        <v>5</v>
      </c>
      <c r="E342" s="451" t="s">
        <v>6</v>
      </c>
      <c r="F342" s="451" t="s">
        <v>7</v>
      </c>
      <c r="G342" s="451" t="s">
        <v>8</v>
      </c>
      <c r="H342" s="453" t="s">
        <v>9</v>
      </c>
      <c r="I342" s="453" t="s">
        <v>10</v>
      </c>
      <c r="J342" s="451" t="s">
        <v>11</v>
      </c>
      <c r="K342" s="451" t="s">
        <v>12</v>
      </c>
      <c r="L342" s="451" t="s">
        <v>13</v>
      </c>
      <c r="M342" s="451" t="s">
        <v>14</v>
      </c>
      <c r="N342" s="451" t="s">
        <v>15</v>
      </c>
      <c r="O342" s="452" t="s">
        <v>16</v>
      </c>
      <c r="P342" s="454" t="s">
        <v>17</v>
      </c>
      <c r="Q342" s="451" t="s">
        <v>18</v>
      </c>
      <c r="R342" s="452" t="s">
        <v>19</v>
      </c>
      <c r="S342" s="451" t="s">
        <v>20</v>
      </c>
      <c r="T342" s="451" t="s">
        <v>21</v>
      </c>
      <c r="U342" s="452" t="s">
        <v>22</v>
      </c>
      <c r="V342" s="451" t="s">
        <v>131</v>
      </c>
      <c r="W342" s="451" t="s">
        <v>24</v>
      </c>
      <c r="X342" s="451" t="s">
        <v>132</v>
      </c>
      <c r="Y342" s="451" t="s">
        <v>26</v>
      </c>
      <c r="Z342" s="451" t="s">
        <v>27</v>
      </c>
      <c r="AA342" s="451" t="s">
        <v>28</v>
      </c>
      <c r="AB342" s="451" t="s">
        <v>29</v>
      </c>
      <c r="AC342" s="451" t="s">
        <v>30</v>
      </c>
      <c r="AD342" s="439"/>
      <c r="AE342" s="440"/>
      <c r="AF342" s="440"/>
      <c r="AG342" s="440"/>
      <c r="AH342" s="440"/>
      <c r="AI342" s="440"/>
      <c r="AJ342" s="440"/>
      <c r="AK342" s="440"/>
    </row>
    <row r="343" spans="1:37" s="649" customFormat="1" ht="54.95" customHeight="1" thickBot="1" x14ac:dyDescent="0.25">
      <c r="B343" s="1022" t="s">
        <v>120</v>
      </c>
      <c r="C343" s="1022" t="s">
        <v>121</v>
      </c>
      <c r="D343" s="901" t="s">
        <v>6641</v>
      </c>
      <c r="E343" s="901"/>
      <c r="F343" s="913">
        <v>68836</v>
      </c>
      <c r="G343" s="889" t="s">
        <v>39</v>
      </c>
      <c r="H343" s="890">
        <v>9871.06</v>
      </c>
      <c r="I343" s="902"/>
      <c r="J343" s="892">
        <v>43385</v>
      </c>
      <c r="K343" s="893">
        <f>+L343-J343</f>
        <v>261</v>
      </c>
      <c r="L343" s="892">
        <v>43646</v>
      </c>
      <c r="M343" s="892" t="s">
        <v>124</v>
      </c>
      <c r="N343" s="889" t="s">
        <v>42</v>
      </c>
      <c r="O343" s="892">
        <v>43637</v>
      </c>
      <c r="P343" s="893">
        <f>IF(S343="","",+S343-L343)</f>
        <v>41</v>
      </c>
      <c r="Q343" s="901" t="s">
        <v>6731</v>
      </c>
      <c r="R343" s="903">
        <v>43678</v>
      </c>
      <c r="S343" s="904">
        <v>43687</v>
      </c>
      <c r="T343" s="894">
        <v>43715</v>
      </c>
      <c r="U343" s="893">
        <f>IF(T343="","",+T343-J343)</f>
        <v>330</v>
      </c>
      <c r="V343" s="901" t="s">
        <v>6581</v>
      </c>
      <c r="W343" s="897" t="s">
        <v>2449</v>
      </c>
      <c r="X343" s="889"/>
      <c r="Y343" s="905"/>
      <c r="Z343" s="889"/>
      <c r="AA343" s="889"/>
      <c r="AB343" s="892">
        <v>43559</v>
      </c>
      <c r="AC343" s="476"/>
      <c r="AD343" s="645" t="str">
        <f>IF(P343="","",IF(P343&lt;=0,"en término","atrasado"))</f>
        <v>atrasado</v>
      </c>
      <c r="AE343" s="468" t="s">
        <v>6758</v>
      </c>
      <c r="AF343" s="468" t="s">
        <v>3910</v>
      </c>
      <c r="AG343" s="1101">
        <v>43559</v>
      </c>
      <c r="AH343" s="649">
        <f>IF(AB343="","",+AB343-AG343)</f>
        <v>0</v>
      </c>
      <c r="AI343" s="649" t="str">
        <f>IF(AH343="","",IF(AH343&lt;=0,"en término","atrasado"))</f>
        <v>en término</v>
      </c>
    </row>
    <row r="344" spans="1:37" x14ac:dyDescent="0.2">
      <c r="AG344" s="1101"/>
      <c r="AH344" s="649"/>
      <c r="AI344" s="649"/>
    </row>
    <row r="345" spans="1:37" x14ac:dyDescent="0.2">
      <c r="AG345" s="1101"/>
      <c r="AH345" s="649"/>
      <c r="AI345" s="649"/>
    </row>
    <row r="346" spans="1:37" x14ac:dyDescent="0.2">
      <c r="AG346" s="1101"/>
      <c r="AH346" s="649"/>
      <c r="AI346" s="649"/>
    </row>
    <row r="347" spans="1:37" x14ac:dyDescent="0.2">
      <c r="AG347" s="1101"/>
      <c r="AH347" s="649"/>
      <c r="AI347" s="649"/>
    </row>
    <row r="348" spans="1:37" ht="12" thickBot="1" x14ac:dyDescent="0.25">
      <c r="AG348" s="1101"/>
      <c r="AH348" s="649"/>
      <c r="AI348" s="649"/>
    </row>
    <row r="349" spans="1:37" s="556" customFormat="1" ht="39.950000000000003" customHeight="1" thickBot="1" x14ac:dyDescent="0.4">
      <c r="B349" s="1611">
        <v>2022</v>
      </c>
      <c r="C349" s="1612"/>
      <c r="D349" s="1612"/>
      <c r="E349" s="1612"/>
      <c r="F349" s="1612"/>
      <c r="G349" s="1612"/>
      <c r="H349" s="1612"/>
      <c r="I349" s="1612"/>
      <c r="J349" s="1612"/>
      <c r="K349" s="1612"/>
      <c r="L349" s="1612"/>
      <c r="M349" s="1612"/>
      <c r="N349" s="1612"/>
      <c r="O349" s="1612"/>
      <c r="P349" s="1612"/>
      <c r="Q349" s="1612"/>
      <c r="R349" s="1612"/>
      <c r="S349" s="1612"/>
      <c r="T349" s="1612"/>
      <c r="U349" s="1612"/>
      <c r="V349" s="1612"/>
      <c r="W349" s="1612"/>
      <c r="X349" s="1612"/>
      <c r="Y349" s="1612"/>
      <c r="Z349" s="1612"/>
      <c r="AA349" s="1612"/>
      <c r="AB349" s="1612"/>
      <c r="AC349" s="1613"/>
      <c r="AD349" s="560"/>
      <c r="AG349" s="1101"/>
      <c r="AH349" s="649"/>
      <c r="AI349" s="649"/>
    </row>
    <row r="350" spans="1:37" s="441" customFormat="1" ht="60" customHeight="1" thickBot="1" x14ac:dyDescent="0.25">
      <c r="A350" s="438"/>
      <c r="B350" s="451" t="s">
        <v>130</v>
      </c>
      <c r="C350" s="451" t="s">
        <v>4</v>
      </c>
      <c r="D350" s="451" t="s">
        <v>5</v>
      </c>
      <c r="E350" s="451" t="s">
        <v>6</v>
      </c>
      <c r="F350" s="451" t="s">
        <v>7</v>
      </c>
      <c r="G350" s="451" t="s">
        <v>8</v>
      </c>
      <c r="H350" s="453" t="s">
        <v>9</v>
      </c>
      <c r="I350" s="453" t="s">
        <v>10</v>
      </c>
      <c r="J350" s="451" t="s">
        <v>11</v>
      </c>
      <c r="K350" s="451" t="s">
        <v>12</v>
      </c>
      <c r="L350" s="451" t="s">
        <v>13</v>
      </c>
      <c r="M350" s="451" t="s">
        <v>14</v>
      </c>
      <c r="N350" s="451" t="s">
        <v>15</v>
      </c>
      <c r="O350" s="452" t="s">
        <v>16</v>
      </c>
      <c r="P350" s="454" t="s">
        <v>17</v>
      </c>
      <c r="Q350" s="451" t="s">
        <v>18</v>
      </c>
      <c r="R350" s="452" t="s">
        <v>19</v>
      </c>
      <c r="S350" s="451" t="s">
        <v>20</v>
      </c>
      <c r="T350" s="451" t="s">
        <v>21</v>
      </c>
      <c r="U350" s="452" t="s">
        <v>22</v>
      </c>
      <c r="V350" s="451" t="s">
        <v>131</v>
      </c>
      <c r="W350" s="451" t="s">
        <v>24</v>
      </c>
      <c r="X350" s="451" t="s">
        <v>132</v>
      </c>
      <c r="Y350" s="451" t="s">
        <v>26</v>
      </c>
      <c r="Z350" s="451" t="s">
        <v>27</v>
      </c>
      <c r="AA350" s="451" t="s">
        <v>28</v>
      </c>
      <c r="AB350" s="451" t="s">
        <v>29</v>
      </c>
      <c r="AC350" s="451" t="s">
        <v>30</v>
      </c>
      <c r="AD350" s="439"/>
      <c r="AE350" s="440"/>
      <c r="AF350" s="440"/>
      <c r="AG350" s="1101"/>
      <c r="AH350" s="649"/>
      <c r="AI350" s="649"/>
      <c r="AJ350" s="440"/>
      <c r="AK350" s="440"/>
    </row>
    <row r="351" spans="1:37" s="649" customFormat="1" ht="54.95" customHeight="1" thickBot="1" x14ac:dyDescent="0.25">
      <c r="B351" s="1022" t="s">
        <v>120</v>
      </c>
      <c r="C351" s="1022" t="s">
        <v>121</v>
      </c>
      <c r="D351" s="901" t="s">
        <v>7727</v>
      </c>
      <c r="E351" s="901"/>
      <c r="F351" s="913">
        <v>84123</v>
      </c>
      <c r="G351" s="889" t="s">
        <v>39</v>
      </c>
      <c r="H351" s="890">
        <v>10010</v>
      </c>
      <c r="I351" s="902"/>
      <c r="J351" s="892">
        <v>44686</v>
      </c>
      <c r="K351" s="893">
        <f>+L351-J351</f>
        <v>127</v>
      </c>
      <c r="L351" s="892">
        <v>44813</v>
      </c>
      <c r="M351" s="892" t="s">
        <v>124</v>
      </c>
      <c r="N351" s="889" t="s">
        <v>42</v>
      </c>
      <c r="O351" s="892">
        <v>44799</v>
      </c>
      <c r="P351" s="893">
        <f>IF(S351="","",+S351-L351)</f>
        <v>68</v>
      </c>
      <c r="Q351" s="901" t="s">
        <v>7806</v>
      </c>
      <c r="R351" s="903">
        <v>44866</v>
      </c>
      <c r="S351" s="904">
        <v>44881</v>
      </c>
      <c r="T351" s="894">
        <f>+S351+20</f>
        <v>44901</v>
      </c>
      <c r="U351" s="893">
        <f>IF(T351="","",+T351-J351)</f>
        <v>215</v>
      </c>
      <c r="V351" s="901" t="s">
        <v>6581</v>
      </c>
      <c r="W351" s="1106" t="s">
        <v>7800</v>
      </c>
      <c r="X351" s="889"/>
      <c r="Y351" s="905"/>
      <c r="Z351" s="889"/>
      <c r="AA351" s="889"/>
      <c r="AB351" s="892">
        <v>44783</v>
      </c>
      <c r="AC351" s="476" t="s">
        <v>7804</v>
      </c>
      <c r="AD351" s="645" t="str">
        <f>IF(P351="","",IF(P351&lt;=0,"en término","atrasado"))</f>
        <v>atrasado</v>
      </c>
      <c r="AE351" s="468" t="s">
        <v>7795</v>
      </c>
      <c r="AF351" s="468" t="s">
        <v>3056</v>
      </c>
      <c r="AG351" s="1101">
        <v>44783</v>
      </c>
      <c r="AH351" s="649">
        <f>IF(AB351="","",+AB351-AG351)</f>
        <v>0</v>
      </c>
      <c r="AI351" s="649" t="str">
        <f t="shared" ref="AI351:AI352" si="6">IF(AH351="","",IF(AH351&lt;=0,"en término","atrasado"))</f>
        <v>en término</v>
      </c>
    </row>
    <row r="352" spans="1:37" s="649" customFormat="1" ht="54.95" customHeight="1" thickBot="1" x14ac:dyDescent="0.25">
      <c r="B352" s="1022" t="s">
        <v>120</v>
      </c>
      <c r="C352" s="1022" t="s">
        <v>121</v>
      </c>
      <c r="D352" s="901" t="s">
        <v>7727</v>
      </c>
      <c r="E352" s="901"/>
      <c r="F352" s="913">
        <v>84332</v>
      </c>
      <c r="G352" s="889" t="s">
        <v>39</v>
      </c>
      <c r="H352" s="890">
        <v>11285</v>
      </c>
      <c r="I352" s="902"/>
      <c r="J352" s="892">
        <v>44701</v>
      </c>
      <c r="K352" s="893">
        <f>+L352-J352</f>
        <v>112</v>
      </c>
      <c r="L352" s="892">
        <v>44813</v>
      </c>
      <c r="M352" s="892" t="s">
        <v>124</v>
      </c>
      <c r="N352" s="889" t="s">
        <v>42</v>
      </c>
      <c r="O352" s="892">
        <v>44799</v>
      </c>
      <c r="P352" s="893">
        <f>IF(S352="","",+S352-L352)</f>
        <v>68</v>
      </c>
      <c r="Q352" s="901" t="s">
        <v>7806</v>
      </c>
      <c r="R352" s="903">
        <v>44866</v>
      </c>
      <c r="S352" s="904">
        <v>44881</v>
      </c>
      <c r="T352" s="894">
        <f>+S352+20</f>
        <v>44901</v>
      </c>
      <c r="U352" s="893">
        <f>IF(T352="","",+T352-J352)</f>
        <v>200</v>
      </c>
      <c r="V352" s="901" t="s">
        <v>6581</v>
      </c>
      <c r="W352" s="1106" t="s">
        <v>7799</v>
      </c>
      <c r="X352" s="889"/>
      <c r="Y352" s="905"/>
      <c r="Z352" s="889"/>
      <c r="AA352" s="889"/>
      <c r="AB352" s="892">
        <v>44783</v>
      </c>
      <c r="AC352" s="476" t="s">
        <v>7805</v>
      </c>
      <c r="AD352" s="645" t="str">
        <f>IF(P352="","",IF(P352&lt;=0,"en término","atrasado"))</f>
        <v>atrasado</v>
      </c>
      <c r="AE352" s="468" t="s">
        <v>7795</v>
      </c>
      <c r="AF352" s="468" t="s">
        <v>3056</v>
      </c>
      <c r="AG352" s="1101">
        <v>44783</v>
      </c>
      <c r="AH352" s="649">
        <f t="shared" ref="AH352" si="7">IF(AB352="","",+AB352-AG352)</f>
        <v>0</v>
      </c>
      <c r="AI352" s="649" t="str">
        <f t="shared" si="6"/>
        <v>en término</v>
      </c>
    </row>
  </sheetData>
  <customSheetViews>
    <customSheetView guid="{4C4B61E0-A90E-11D1-A823-006097B607DD}" showPageBreaks="1" showRuler="0">
      <pageMargins left="0" right="0" top="0" bottom="0" header="0" footer="0"/>
      <printOptions gridLines="1"/>
      <pageSetup orientation="portrait" horizontalDpi="300" verticalDpi="300" r:id="rId1"/>
      <headerFooter alignWithMargins="0">
        <oddHeader>&amp;A</oddHeader>
        <oddFooter>Página &amp;P</oddFooter>
      </headerFooter>
    </customSheetView>
  </customSheetViews>
  <mergeCells count="22">
    <mergeCell ref="B161:AC161"/>
    <mergeCell ref="B183:AC183"/>
    <mergeCell ref="B242:AC242"/>
    <mergeCell ref="B6:AC6"/>
    <mergeCell ref="B121:AC121"/>
    <mergeCell ref="B12:AC12"/>
    <mergeCell ref="B15:AC15"/>
    <mergeCell ref="B19:AC19"/>
    <mergeCell ref="B35:AC35"/>
    <mergeCell ref="B70:AC70"/>
    <mergeCell ref="B228:AC228"/>
    <mergeCell ref="B211:AC211"/>
    <mergeCell ref="B198:AC198"/>
    <mergeCell ref="B349:AC349"/>
    <mergeCell ref="B341:AC341"/>
    <mergeCell ref="B277:AC277"/>
    <mergeCell ref="B262:AC262"/>
    <mergeCell ref="B311:AC311"/>
    <mergeCell ref="B333:AC333"/>
    <mergeCell ref="B299:AC299"/>
    <mergeCell ref="B288:AC288"/>
    <mergeCell ref="B324:AC324"/>
  </mergeCells>
  <phoneticPr fontId="0" type="noConversion"/>
  <printOptions horizontalCentered="1"/>
  <pageMargins left="0.19685039370078741" right="0.74803149606299213" top="0.3" bottom="0.55118110236220474" header="0.49" footer="0.19685039370078741"/>
  <pageSetup paperSize="5" scale="35" orientation="landscape" r:id="rId2"/>
  <headerFooter alignWithMargins="0">
    <oddFooter>&amp;LBNDF 3.1085 Rev. _ 3/11/00&amp;CINFORME O/C ENTREGADAS
- &amp;D&amp;R&amp;"Tahoma,Normal"&amp;9Trinidad &amp; Tobago &amp;P de &amp;N</oddFooter>
  </headerFooter>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K132"/>
  <sheetViews>
    <sheetView topLeftCell="E124" zoomScaleNormal="100" workbookViewId="0">
      <selection activeCell="B8" sqref="B8:AC8"/>
    </sheetView>
  </sheetViews>
  <sheetFormatPr baseColWidth="10" defaultColWidth="11.42578125" defaultRowHeight="12.75" x14ac:dyDescent="0.2"/>
  <cols>
    <col min="2" max="2" width="13.42578125" style="310" customWidth="1"/>
    <col min="3" max="3" width="17.28515625" style="2" customWidth="1"/>
    <col min="4" max="4" width="11" style="41" customWidth="1"/>
    <col min="5" max="5" width="22" style="41" customWidth="1"/>
    <col min="6" max="6" width="23" style="3" customWidth="1"/>
    <col min="7" max="7" width="11.7109375" style="3" customWidth="1"/>
    <col min="8" max="8" width="10.7109375" style="2" customWidth="1"/>
    <col min="9" max="9" width="15.85546875" style="3" customWidth="1"/>
    <col min="10" max="10" width="11.5703125" style="2" customWidth="1"/>
    <col min="11" max="11" width="9.7109375" style="2" customWidth="1"/>
    <col min="12" max="12" width="14" style="2" customWidth="1"/>
    <col min="13" max="13" width="14.42578125" style="2" customWidth="1"/>
    <col min="14" max="14" width="16.28515625" style="2" customWidth="1"/>
    <col min="15" max="15" width="13.42578125" style="2" customWidth="1"/>
    <col min="16" max="16" width="11.42578125" style="2"/>
    <col min="17" max="17" width="13.42578125" style="2" customWidth="1"/>
    <col min="18" max="18" width="17" style="2" customWidth="1"/>
    <col min="19" max="19" width="14.140625" style="310" customWidth="1"/>
    <col min="20" max="21" width="12.28515625" style="2" customWidth="1"/>
    <col min="22" max="22" width="38.140625" style="2" customWidth="1"/>
    <col min="23" max="23" width="10.28515625" style="3" customWidth="1"/>
    <col min="24" max="24" width="10.140625" style="3" customWidth="1"/>
    <col min="25" max="25" width="10" style="3" customWidth="1"/>
    <col min="26" max="26" width="12" style="2" customWidth="1"/>
    <col min="27" max="27" width="16" style="2" customWidth="1"/>
    <col min="28" max="28" width="13.85546875" style="3" customWidth="1"/>
    <col min="29" max="29" width="42.5703125" style="3" customWidth="1"/>
  </cols>
  <sheetData>
    <row r="1" spans="1:35" s="2" customFormat="1" ht="25.5" x14ac:dyDescent="0.35">
      <c r="B1" s="558" t="s">
        <v>126</v>
      </c>
      <c r="D1" s="41"/>
      <c r="E1" s="41"/>
      <c r="F1" s="3"/>
      <c r="G1" s="3"/>
      <c r="I1" s="3"/>
      <c r="S1" s="310"/>
      <c r="X1" s="3"/>
      <c r="Y1" s="3"/>
      <c r="Z1" s="945" t="s">
        <v>127</v>
      </c>
      <c r="AA1" s="1058">
        <f ca="1">TODAY()</f>
        <v>45457</v>
      </c>
      <c r="AB1" s="3"/>
      <c r="AC1" s="3"/>
    </row>
    <row r="2" spans="1:35" s="2" customFormat="1" ht="23.25" x14ac:dyDescent="0.35">
      <c r="B2" s="559" t="s">
        <v>128</v>
      </c>
      <c r="D2" s="41"/>
      <c r="E2" s="41"/>
      <c r="F2" s="3"/>
      <c r="G2" s="3"/>
      <c r="I2" s="3"/>
      <c r="S2" s="310"/>
      <c r="W2" s="3"/>
      <c r="X2" s="3"/>
      <c r="Y2" s="3"/>
      <c r="AB2" s="3"/>
      <c r="AC2" s="3"/>
    </row>
    <row r="3" spans="1:35" s="2" customFormat="1" ht="6" customHeight="1" x14ac:dyDescent="0.2">
      <c r="B3" s="310"/>
      <c r="D3" s="41"/>
      <c r="E3" s="41"/>
      <c r="F3" s="3"/>
      <c r="G3" s="3"/>
      <c r="I3" s="3"/>
      <c r="S3" s="310"/>
      <c r="W3" s="3"/>
      <c r="X3" s="3"/>
      <c r="Y3" s="3"/>
      <c r="AB3" s="3"/>
      <c r="AC3" s="3"/>
    </row>
    <row r="4" spans="1:35" s="2" customFormat="1" ht="6" customHeight="1" x14ac:dyDescent="0.2">
      <c r="B4" s="310"/>
      <c r="D4" s="41"/>
      <c r="E4" s="41"/>
      <c r="F4" s="3"/>
      <c r="G4" s="3"/>
      <c r="I4" s="3"/>
      <c r="S4" s="310"/>
      <c r="W4" s="3"/>
      <c r="X4" s="3"/>
      <c r="Y4" s="3"/>
      <c r="AB4" s="3"/>
      <c r="AC4" s="3"/>
    </row>
    <row r="5" spans="1:35" s="2" customFormat="1" ht="11.25" x14ac:dyDescent="0.2">
      <c r="B5" s="310"/>
      <c r="D5" s="41"/>
      <c r="E5" s="41"/>
      <c r="F5" s="3"/>
      <c r="G5" s="3"/>
      <c r="I5" s="3"/>
      <c r="S5" s="310"/>
      <c r="W5" s="3"/>
      <c r="X5" s="3"/>
      <c r="Y5" s="3"/>
      <c r="AB5" s="3"/>
      <c r="AC5" s="3"/>
    </row>
    <row r="6" spans="1:35" s="2" customFormat="1" ht="12" thickBot="1" x14ac:dyDescent="0.25">
      <c r="B6" s="311"/>
      <c r="C6" s="9"/>
      <c r="D6" s="42"/>
      <c r="E6" s="42"/>
      <c r="F6" s="10"/>
      <c r="G6" s="10"/>
      <c r="H6" s="9"/>
      <c r="I6" s="10"/>
      <c r="J6" s="9"/>
      <c r="K6" s="9"/>
      <c r="L6" s="9"/>
      <c r="M6" s="9"/>
      <c r="N6" s="9"/>
      <c r="O6" s="9"/>
      <c r="P6" s="9"/>
      <c r="Q6" s="9"/>
      <c r="R6" s="9"/>
      <c r="S6" s="311"/>
      <c r="T6" s="9"/>
      <c r="U6" s="9"/>
      <c r="V6" s="9"/>
      <c r="W6" s="3"/>
      <c r="X6" s="3"/>
      <c r="Y6" s="3"/>
      <c r="AA6" s="9"/>
      <c r="AB6" s="3"/>
      <c r="AC6" s="3"/>
    </row>
    <row r="7" spans="1:35" s="556" customFormat="1" ht="39.950000000000003" customHeight="1" thickBot="1" x14ac:dyDescent="0.4">
      <c r="B7" s="1611">
        <v>2004</v>
      </c>
      <c r="C7" s="1612"/>
      <c r="D7" s="1612"/>
      <c r="E7" s="1612"/>
      <c r="F7" s="1612"/>
      <c r="G7" s="1612"/>
      <c r="H7" s="1612"/>
      <c r="I7" s="1612"/>
      <c r="J7" s="1612"/>
      <c r="K7" s="1612"/>
      <c r="L7" s="1612"/>
      <c r="M7" s="1612"/>
      <c r="N7" s="1612"/>
      <c r="O7" s="1612"/>
      <c r="P7" s="1612"/>
      <c r="Q7" s="1612"/>
      <c r="R7" s="1612"/>
      <c r="S7" s="1612"/>
      <c r="T7" s="1612"/>
      <c r="U7" s="1612"/>
      <c r="V7" s="1612"/>
      <c r="W7" s="1612"/>
      <c r="X7" s="1612"/>
      <c r="Y7" s="1612"/>
      <c r="Z7" s="1612"/>
      <c r="AA7" s="1612"/>
      <c r="AB7" s="1612"/>
      <c r="AC7" s="1613"/>
    </row>
    <row r="8" spans="1:35" s="441" customFormat="1" ht="60" customHeight="1" thickBot="1" x14ac:dyDescent="0.25">
      <c r="A8" s="438"/>
      <c r="B8" s="451" t="s">
        <v>130</v>
      </c>
      <c r="C8" s="451" t="s">
        <v>4</v>
      </c>
      <c r="D8" s="451" t="s">
        <v>5</v>
      </c>
      <c r="E8" s="451" t="s">
        <v>6</v>
      </c>
      <c r="F8" s="451" t="s">
        <v>7</v>
      </c>
      <c r="G8" s="451" t="s">
        <v>8</v>
      </c>
      <c r="H8" s="453" t="s">
        <v>9</v>
      </c>
      <c r="I8" s="453" t="s">
        <v>10</v>
      </c>
      <c r="J8" s="451" t="s">
        <v>11</v>
      </c>
      <c r="K8" s="451" t="s">
        <v>12</v>
      </c>
      <c r="L8" s="451" t="s">
        <v>13</v>
      </c>
      <c r="M8" s="451" t="s">
        <v>14</v>
      </c>
      <c r="N8" s="451" t="s">
        <v>15</v>
      </c>
      <c r="O8" s="452" t="s">
        <v>16</v>
      </c>
      <c r="P8" s="454" t="s">
        <v>17</v>
      </c>
      <c r="Q8" s="451" t="s">
        <v>18</v>
      </c>
      <c r="R8" s="452" t="s">
        <v>19</v>
      </c>
      <c r="S8" s="451" t="s">
        <v>20</v>
      </c>
      <c r="T8" s="451" t="s">
        <v>21</v>
      </c>
      <c r="U8" s="452" t="s">
        <v>22</v>
      </c>
      <c r="V8" s="451" t="s">
        <v>131</v>
      </c>
      <c r="W8" s="451" t="s">
        <v>24</v>
      </c>
      <c r="X8" s="451" t="s">
        <v>132</v>
      </c>
      <c r="Y8" s="451" t="s">
        <v>26</v>
      </c>
      <c r="Z8" s="451" t="s">
        <v>27</v>
      </c>
      <c r="AA8" s="451" t="s">
        <v>28</v>
      </c>
      <c r="AB8" s="451" t="s">
        <v>29</v>
      </c>
      <c r="AC8" s="451" t="s">
        <v>30</v>
      </c>
      <c r="AD8" s="439"/>
      <c r="AE8" s="440"/>
      <c r="AF8" s="440"/>
      <c r="AG8" s="440"/>
      <c r="AH8" s="440"/>
      <c r="AI8" s="440"/>
    </row>
    <row r="9" spans="1:35" s="9" customFormat="1" ht="11.25" x14ac:dyDescent="0.2">
      <c r="B9" s="314"/>
      <c r="C9" s="11"/>
      <c r="D9" s="12"/>
      <c r="E9" s="12"/>
      <c r="F9" s="12"/>
      <c r="G9" s="12"/>
      <c r="H9" s="504"/>
      <c r="I9" s="14"/>
      <c r="J9" s="12"/>
      <c r="K9" s="15"/>
      <c r="L9" s="15"/>
      <c r="M9" s="12"/>
      <c r="N9" s="12"/>
      <c r="O9" s="12"/>
      <c r="P9" s="12"/>
      <c r="Q9" s="12"/>
      <c r="R9" s="12"/>
      <c r="S9" s="141"/>
      <c r="T9" s="15"/>
      <c r="U9" s="15"/>
      <c r="V9" s="12" t="s">
        <v>5264</v>
      </c>
      <c r="W9" s="80"/>
      <c r="X9" s="82"/>
      <c r="Y9" s="82"/>
      <c r="Z9" s="80"/>
      <c r="AA9" s="80"/>
      <c r="AB9" s="80"/>
      <c r="AC9" s="80"/>
    </row>
    <row r="10" spans="1:35" s="9" customFormat="1" ht="11.25" x14ac:dyDescent="0.2">
      <c r="B10" s="312" t="s">
        <v>5265</v>
      </c>
      <c r="C10" s="16" t="s">
        <v>5266</v>
      </c>
      <c r="D10" s="6" t="s">
        <v>5267</v>
      </c>
      <c r="E10" s="6"/>
      <c r="F10" s="6" t="s">
        <v>5268</v>
      </c>
      <c r="G10" s="6" t="s">
        <v>1173</v>
      </c>
      <c r="H10" s="17">
        <v>10977.07</v>
      </c>
      <c r="I10" s="39"/>
      <c r="J10" s="7">
        <v>38100</v>
      </c>
      <c r="K10" s="23">
        <f>+J10+60</f>
        <v>38160</v>
      </c>
      <c r="L10" s="23"/>
      <c r="M10" s="18" t="s">
        <v>5104</v>
      </c>
      <c r="N10" s="6" t="s">
        <v>42</v>
      </c>
      <c r="O10" s="23">
        <v>38156</v>
      </c>
      <c r="P10" s="23"/>
      <c r="Q10" s="23"/>
      <c r="R10" s="23"/>
      <c r="S10" s="23">
        <v>38171</v>
      </c>
      <c r="T10" s="23">
        <f>+S10+30</f>
        <v>38201</v>
      </c>
      <c r="U10" s="23"/>
      <c r="V10" s="6" t="s">
        <v>53</v>
      </c>
      <c r="W10" s="70">
        <v>1004</v>
      </c>
      <c r="X10" s="75"/>
      <c r="Y10" s="75"/>
      <c r="Z10" s="6">
        <v>6642683305</v>
      </c>
      <c r="AA10" s="74">
        <v>38208</v>
      </c>
      <c r="AB10" s="70" t="s">
        <v>47</v>
      </c>
      <c r="AC10" s="70"/>
      <c r="AD10" s="10" t="str">
        <f>IF(T10&lt;=K10,"en término","atrasado")</f>
        <v>atrasado</v>
      </c>
    </row>
    <row r="11" spans="1:35" s="9" customFormat="1" ht="12" thickBot="1" x14ac:dyDescent="0.25">
      <c r="B11" s="313"/>
      <c r="C11" s="19"/>
      <c r="D11" s="5"/>
      <c r="E11" s="5"/>
      <c r="F11" s="5"/>
      <c r="G11" s="5"/>
      <c r="H11" s="20"/>
      <c r="I11" s="21"/>
      <c r="J11" s="5"/>
      <c r="K11" s="127"/>
      <c r="L11" s="127"/>
      <c r="M11" s="5"/>
      <c r="N11" s="5"/>
      <c r="O11" s="5"/>
      <c r="P11" s="5"/>
      <c r="Q11" s="5"/>
      <c r="R11" s="5"/>
      <c r="S11" s="127"/>
      <c r="T11" s="22"/>
      <c r="U11" s="22"/>
      <c r="V11" s="224" t="s">
        <v>4907</v>
      </c>
      <c r="W11" s="87"/>
      <c r="X11" s="90"/>
      <c r="Y11" s="90"/>
      <c r="Z11" s="87"/>
      <c r="AA11" s="87"/>
      <c r="AB11" s="87"/>
      <c r="AC11" s="87"/>
    </row>
    <row r="12" spans="1:35" s="28" customFormat="1" ht="11.25" x14ac:dyDescent="0.2">
      <c r="B12" s="315"/>
      <c r="D12" s="30"/>
      <c r="E12" s="30"/>
      <c r="F12" s="30"/>
      <c r="G12" s="30"/>
      <c r="H12" s="33"/>
      <c r="I12" s="31"/>
      <c r="J12" s="30"/>
      <c r="K12" s="140"/>
      <c r="L12" s="140"/>
      <c r="M12" s="30"/>
      <c r="N12" s="30"/>
      <c r="O12" s="30"/>
      <c r="P12" s="30"/>
      <c r="Q12" s="30"/>
      <c r="R12" s="30"/>
      <c r="S12" s="219"/>
      <c r="T12" s="241"/>
      <c r="U12" s="241"/>
      <c r="V12" s="226"/>
      <c r="W12" s="99"/>
      <c r="X12" s="99"/>
      <c r="Y12" s="99"/>
      <c r="Z12" s="120"/>
      <c r="AA12" s="99"/>
      <c r="AB12" s="99"/>
      <c r="AC12" s="99"/>
    </row>
    <row r="13" spans="1:35" s="28" customFormat="1" ht="12" thickBot="1" x14ac:dyDescent="0.25">
      <c r="B13" s="324"/>
      <c r="C13" s="49"/>
      <c r="D13" s="50"/>
      <c r="E13" s="50"/>
      <c r="F13" s="50"/>
      <c r="G13" s="50"/>
      <c r="H13" s="51"/>
      <c r="I13" s="52"/>
      <c r="J13" s="50"/>
      <c r="K13" s="248"/>
      <c r="L13" s="248"/>
      <c r="M13" s="50"/>
      <c r="N13" s="50"/>
      <c r="O13" s="50"/>
      <c r="P13" s="50"/>
      <c r="Q13" s="50"/>
      <c r="R13" s="50"/>
      <c r="S13" s="249"/>
      <c r="T13" s="356"/>
      <c r="U13" s="356"/>
      <c r="V13" s="254"/>
      <c r="W13" s="229"/>
      <c r="X13" s="229"/>
      <c r="Y13" s="229"/>
      <c r="Z13" s="252"/>
      <c r="AA13" s="229"/>
      <c r="AB13" s="229"/>
      <c r="AC13" s="229"/>
    </row>
    <row r="14" spans="1:35" s="556" customFormat="1" ht="39.950000000000003" customHeight="1" thickBot="1" x14ac:dyDescent="0.4">
      <c r="B14" s="1611">
        <v>2005</v>
      </c>
      <c r="C14" s="1612"/>
      <c r="D14" s="1612"/>
      <c r="E14" s="1612"/>
      <c r="F14" s="1612"/>
      <c r="G14" s="1612"/>
      <c r="H14" s="1612"/>
      <c r="I14" s="1612"/>
      <c r="J14" s="1612"/>
      <c r="K14" s="1612"/>
      <c r="L14" s="1612"/>
      <c r="M14" s="1612"/>
      <c r="N14" s="1612"/>
      <c r="O14" s="1612"/>
      <c r="P14" s="1612"/>
      <c r="Q14" s="1612"/>
      <c r="R14" s="1612"/>
      <c r="S14" s="1612"/>
      <c r="T14" s="1612"/>
      <c r="U14" s="1612"/>
      <c r="V14" s="1612"/>
      <c r="W14" s="1612"/>
      <c r="X14" s="1612"/>
      <c r="Y14" s="1612"/>
      <c r="Z14" s="1612"/>
      <c r="AA14" s="1612"/>
      <c r="AB14" s="1612"/>
      <c r="AC14" s="1613"/>
    </row>
    <row r="15" spans="1:35" s="441" customFormat="1" ht="60" customHeight="1" thickBot="1" x14ac:dyDescent="0.25">
      <c r="A15" s="438"/>
      <c r="B15" s="451" t="s">
        <v>130</v>
      </c>
      <c r="C15" s="451" t="s">
        <v>4</v>
      </c>
      <c r="D15" s="451" t="s">
        <v>5</v>
      </c>
      <c r="E15" s="451" t="s">
        <v>6</v>
      </c>
      <c r="F15" s="451" t="s">
        <v>7</v>
      </c>
      <c r="G15" s="451" t="s">
        <v>8</v>
      </c>
      <c r="H15" s="453" t="s">
        <v>9</v>
      </c>
      <c r="I15" s="453" t="s">
        <v>10</v>
      </c>
      <c r="J15" s="451" t="s">
        <v>11</v>
      </c>
      <c r="K15" s="451" t="s">
        <v>12</v>
      </c>
      <c r="L15" s="451" t="s">
        <v>13</v>
      </c>
      <c r="M15" s="451" t="s">
        <v>14</v>
      </c>
      <c r="N15" s="451" t="s">
        <v>15</v>
      </c>
      <c r="O15" s="452" t="s">
        <v>16</v>
      </c>
      <c r="P15" s="454" t="s">
        <v>17</v>
      </c>
      <c r="Q15" s="451" t="s">
        <v>18</v>
      </c>
      <c r="R15" s="452" t="s">
        <v>19</v>
      </c>
      <c r="S15" s="451" t="s">
        <v>20</v>
      </c>
      <c r="T15" s="451" t="s">
        <v>21</v>
      </c>
      <c r="U15" s="452" t="s">
        <v>22</v>
      </c>
      <c r="V15" s="451" t="s">
        <v>131</v>
      </c>
      <c r="W15" s="451" t="s">
        <v>24</v>
      </c>
      <c r="X15" s="451" t="s">
        <v>132</v>
      </c>
      <c r="Y15" s="451" t="s">
        <v>26</v>
      </c>
      <c r="Z15" s="451" t="s">
        <v>27</v>
      </c>
      <c r="AA15" s="451" t="s">
        <v>28</v>
      </c>
      <c r="AB15" s="451" t="s">
        <v>29</v>
      </c>
      <c r="AC15" s="451" t="s">
        <v>30</v>
      </c>
      <c r="AD15" s="439"/>
      <c r="AE15" s="440"/>
      <c r="AF15" s="440"/>
      <c r="AG15" s="440"/>
      <c r="AH15" s="440"/>
      <c r="AI15" s="440"/>
    </row>
    <row r="16" spans="1:35" s="9" customFormat="1" ht="11.25" x14ac:dyDescent="0.2">
      <c r="A16" s="328"/>
      <c r="B16" s="16"/>
      <c r="C16" s="16"/>
      <c r="D16" s="7"/>
      <c r="E16" s="7"/>
      <c r="F16" s="6"/>
      <c r="G16" s="6"/>
      <c r="H16" s="17" t="s">
        <v>77</v>
      </c>
      <c r="I16" s="17"/>
      <c r="J16" s="7"/>
      <c r="K16" s="7"/>
      <c r="L16" s="23"/>
      <c r="M16" s="6"/>
      <c r="N16" s="6"/>
      <c r="O16" s="6"/>
      <c r="P16" s="6"/>
      <c r="Q16" s="6"/>
      <c r="R16" s="6"/>
      <c r="S16" s="6"/>
      <c r="T16" s="6"/>
      <c r="U16" s="6"/>
      <c r="V16" s="138" t="s">
        <v>4907</v>
      </c>
      <c r="W16" s="6"/>
      <c r="X16" s="59"/>
      <c r="Y16" s="59"/>
      <c r="Z16" s="6"/>
      <c r="AA16" s="6"/>
      <c r="AB16" s="6"/>
      <c r="AC16" s="6"/>
      <c r="AD16" s="330"/>
    </row>
    <row r="17" spans="1:35" s="9" customFormat="1" ht="11.25" x14ac:dyDescent="0.2">
      <c r="A17" s="328"/>
      <c r="B17" s="16" t="s">
        <v>5265</v>
      </c>
      <c r="C17" s="16" t="s">
        <v>5269</v>
      </c>
      <c r="D17" s="7" t="s">
        <v>5270</v>
      </c>
      <c r="E17" s="7"/>
      <c r="F17" s="6" t="s">
        <v>5271</v>
      </c>
      <c r="G17" s="6" t="s">
        <v>1173</v>
      </c>
      <c r="H17" s="17">
        <v>2269</v>
      </c>
      <c r="I17" s="39" t="s">
        <v>5104</v>
      </c>
      <c r="J17" s="18">
        <v>38636</v>
      </c>
      <c r="K17" s="331">
        <v>37</v>
      </c>
      <c r="L17" s="348">
        <f>+J17+K17</f>
        <v>38673</v>
      </c>
      <c r="M17" s="18" t="s">
        <v>124</v>
      </c>
      <c r="N17" s="6" t="s">
        <v>110</v>
      </c>
      <c r="O17" s="18">
        <v>38666</v>
      </c>
      <c r="P17" s="331">
        <f>IF(S17="","",+S17-L17)</f>
        <v>-1</v>
      </c>
      <c r="Q17" s="331"/>
      <c r="R17" s="331"/>
      <c r="S17" s="349">
        <v>38672</v>
      </c>
      <c r="T17" s="349">
        <f>+S17+30</f>
        <v>38702</v>
      </c>
      <c r="U17" s="331">
        <f>IF(T17="","",+T17-J17)</f>
        <v>66</v>
      </c>
      <c r="V17" s="6" t="s">
        <v>5272</v>
      </c>
      <c r="W17" s="6" t="s">
        <v>5273</v>
      </c>
      <c r="X17" s="59"/>
      <c r="Y17" s="59"/>
      <c r="Z17" s="6"/>
      <c r="AA17" s="6" t="s">
        <v>47</v>
      </c>
      <c r="AB17" s="18" t="s">
        <v>47</v>
      </c>
      <c r="AC17" s="18"/>
      <c r="AD17" s="10" t="str">
        <f>IF(S17&lt;=L17,"en término","atrasado")</f>
        <v>en término</v>
      </c>
    </row>
    <row r="18" spans="1:35" s="9" customFormat="1" ht="12" thickBot="1" x14ac:dyDescent="0.25">
      <c r="A18" s="328"/>
      <c r="B18" s="19"/>
      <c r="C18" s="19"/>
      <c r="D18" s="5"/>
      <c r="E18" s="5"/>
      <c r="F18" s="5"/>
      <c r="G18" s="5"/>
      <c r="H18" s="26"/>
      <c r="I18" s="21"/>
      <c r="J18" s="5"/>
      <c r="K18" s="5"/>
      <c r="L18" s="27"/>
      <c r="M18" s="5"/>
      <c r="N18" s="5"/>
      <c r="O18" s="19"/>
      <c r="P18" s="19"/>
      <c r="Q18" s="19"/>
      <c r="R18" s="19"/>
      <c r="S18" s="19"/>
      <c r="T18" s="19"/>
      <c r="U18" s="19"/>
      <c r="V18" s="224" t="s">
        <v>1102</v>
      </c>
      <c r="W18" s="5"/>
      <c r="X18" s="61"/>
      <c r="Y18" s="61"/>
      <c r="Z18" s="5"/>
      <c r="AA18" s="27">
        <v>38694</v>
      </c>
      <c r="AB18" s="5"/>
      <c r="AC18" s="5"/>
      <c r="AD18" s="330"/>
    </row>
    <row r="19" spans="1:35" s="9" customFormat="1" ht="11.25" x14ac:dyDescent="0.2">
      <c r="A19" s="328"/>
      <c r="B19" s="16"/>
      <c r="C19" s="16"/>
      <c r="D19" s="7"/>
      <c r="E19" s="7"/>
      <c r="F19" s="6"/>
      <c r="G19" s="6"/>
      <c r="H19" s="17" t="s">
        <v>77</v>
      </c>
      <c r="I19" s="17"/>
      <c r="J19" s="7"/>
      <c r="K19" s="7"/>
      <c r="L19" s="23"/>
      <c r="M19" s="6"/>
      <c r="N19" s="6"/>
      <c r="O19" s="6"/>
      <c r="P19" s="6"/>
      <c r="Q19" s="6"/>
      <c r="R19" s="6"/>
      <c r="S19" s="6" t="s">
        <v>5274</v>
      </c>
      <c r="T19" s="6"/>
      <c r="U19" s="6"/>
      <c r="V19" s="138" t="s">
        <v>4907</v>
      </c>
      <c r="W19" s="6"/>
      <c r="X19" s="59"/>
      <c r="Y19" s="59"/>
      <c r="Z19" s="6"/>
      <c r="AA19" s="6"/>
      <c r="AB19" s="6"/>
      <c r="AC19" s="6"/>
      <c r="AD19" s="330"/>
    </row>
    <row r="20" spans="1:35" s="9" customFormat="1" ht="11.25" x14ac:dyDescent="0.2">
      <c r="A20" s="328"/>
      <c r="B20" s="16" t="s">
        <v>5265</v>
      </c>
      <c r="C20" s="16" t="s">
        <v>5269</v>
      </c>
      <c r="D20" s="7" t="s">
        <v>5275</v>
      </c>
      <c r="E20" s="7"/>
      <c r="F20" s="6" t="s">
        <v>5276</v>
      </c>
      <c r="G20" s="6" t="s">
        <v>1173</v>
      </c>
      <c r="H20" s="17">
        <f>6012.4+1071</f>
        <v>7083.4</v>
      </c>
      <c r="I20" s="39" t="s">
        <v>5104</v>
      </c>
      <c r="J20" s="18">
        <v>38632</v>
      </c>
      <c r="K20" s="331">
        <v>75</v>
      </c>
      <c r="L20" s="348">
        <f>+J20+K20</f>
        <v>38707</v>
      </c>
      <c r="M20" s="18" t="s">
        <v>124</v>
      </c>
      <c r="N20" s="6" t="s">
        <v>42</v>
      </c>
      <c r="O20" s="18">
        <v>38688</v>
      </c>
      <c r="P20" s="331">
        <f>IF(S20="","",+S20-L20)</f>
        <v>-6</v>
      </c>
      <c r="Q20" s="331"/>
      <c r="R20" s="331"/>
      <c r="S20" s="349">
        <v>38701</v>
      </c>
      <c r="T20" s="18">
        <v>38731</v>
      </c>
      <c r="U20" s="331">
        <f>IF(T20="","",+T20-J20)</f>
        <v>99</v>
      </c>
      <c r="V20" s="6" t="s">
        <v>419</v>
      </c>
      <c r="W20" s="340" t="s">
        <v>4384</v>
      </c>
      <c r="X20" s="59"/>
      <c r="Y20" s="59"/>
      <c r="Z20" s="6">
        <v>6505491716</v>
      </c>
      <c r="AA20" s="7" t="s">
        <v>47</v>
      </c>
      <c r="AB20" s="18" t="s">
        <v>47</v>
      </c>
      <c r="AC20" s="18"/>
      <c r="AD20" s="10" t="str">
        <f>IF(S20&lt;=L20,"en término","atrasado")</f>
        <v>en término</v>
      </c>
    </row>
    <row r="21" spans="1:35" s="9" customFormat="1" ht="12" thickBot="1" x14ac:dyDescent="0.25">
      <c r="A21" s="328"/>
      <c r="B21" s="19"/>
      <c r="C21" s="19"/>
      <c r="D21" s="5"/>
      <c r="E21" s="5"/>
      <c r="F21" s="5"/>
      <c r="G21" s="5"/>
      <c r="H21" s="26"/>
      <c r="I21" s="21"/>
      <c r="J21" s="5"/>
      <c r="K21" s="5"/>
      <c r="L21" s="27"/>
      <c r="M21" s="5"/>
      <c r="N21" s="5"/>
      <c r="O21" s="19"/>
      <c r="P21" s="19"/>
      <c r="Q21" s="19"/>
      <c r="R21" s="19"/>
      <c r="S21" s="19"/>
      <c r="T21" s="19"/>
      <c r="U21" s="19"/>
      <c r="V21" s="224"/>
      <c r="W21" s="5"/>
      <c r="X21" s="61"/>
      <c r="Y21" s="61"/>
      <c r="Z21" s="5"/>
      <c r="AA21" s="27">
        <v>38735</v>
      </c>
      <c r="AB21" s="5"/>
      <c r="AC21" s="5"/>
      <c r="AD21" s="330"/>
    </row>
    <row r="22" spans="1:35" x14ac:dyDescent="0.2">
      <c r="B22" s="326"/>
      <c r="C22" s="232"/>
      <c r="D22" s="66"/>
      <c r="E22" s="66"/>
      <c r="F22" s="66"/>
      <c r="G22" s="66"/>
      <c r="H22" s="233"/>
      <c r="I22" s="234"/>
      <c r="J22" s="66"/>
      <c r="K22" s="235"/>
      <c r="L22" s="235"/>
      <c r="M22" s="66"/>
      <c r="N22" s="66"/>
      <c r="O22" s="66"/>
      <c r="P22" s="66"/>
      <c r="Q22" s="66"/>
      <c r="R22" s="66"/>
      <c r="S22" s="236"/>
      <c r="T22" s="237"/>
      <c r="U22" s="237"/>
      <c r="V22" s="238"/>
      <c r="W22" s="239"/>
      <c r="X22" s="239"/>
      <c r="Y22" s="239"/>
      <c r="Z22" s="240"/>
      <c r="AA22" s="239"/>
      <c r="AB22" s="239"/>
      <c r="AC22" s="239"/>
    </row>
    <row r="23" spans="1:35" x14ac:dyDescent="0.2">
      <c r="B23" s="315"/>
      <c r="C23" s="28"/>
      <c r="D23" s="30"/>
      <c r="E23" s="30"/>
      <c r="F23" s="30"/>
      <c r="G23" s="30"/>
      <c r="H23" s="33"/>
      <c r="I23" s="31"/>
      <c r="J23" s="30"/>
      <c r="K23" s="140"/>
      <c r="L23" s="140"/>
      <c r="M23" s="30"/>
      <c r="N23" s="30"/>
      <c r="O23" s="30"/>
      <c r="P23" s="30"/>
      <c r="Q23" s="30"/>
      <c r="R23" s="30"/>
      <c r="S23" s="219"/>
      <c r="T23" s="241"/>
      <c r="U23" s="241"/>
      <c r="V23" s="226"/>
      <c r="W23" s="99"/>
      <c r="X23" s="99"/>
      <c r="Y23" s="99"/>
      <c r="Z23" s="120"/>
      <c r="AA23" s="24"/>
    </row>
    <row r="24" spans="1:35" ht="13.5" thickBot="1" x14ac:dyDescent="0.25">
      <c r="B24" s="315"/>
      <c r="C24" s="28"/>
      <c r="D24" s="30"/>
      <c r="E24" s="30"/>
      <c r="F24" s="30"/>
      <c r="G24" s="30"/>
      <c r="H24" s="33"/>
      <c r="I24" s="31"/>
      <c r="J24" s="30"/>
      <c r="K24" s="140"/>
      <c r="L24" s="140"/>
      <c r="M24" s="30"/>
      <c r="N24" s="30"/>
      <c r="O24" s="30"/>
      <c r="P24" s="30"/>
      <c r="Q24" s="30"/>
      <c r="R24" s="30"/>
      <c r="S24" s="219"/>
      <c r="T24" s="241"/>
      <c r="U24" s="241"/>
      <c r="V24" s="226"/>
      <c r="W24" s="99"/>
      <c r="X24" s="99"/>
      <c r="Y24" s="99"/>
      <c r="Z24" s="120"/>
      <c r="AA24" s="24"/>
    </row>
    <row r="25" spans="1:35" s="556" customFormat="1" ht="39.950000000000003" customHeight="1" thickBot="1" x14ac:dyDescent="0.4">
      <c r="B25" s="1611">
        <v>2006</v>
      </c>
      <c r="C25" s="1612"/>
      <c r="D25" s="1612"/>
      <c r="E25" s="1612"/>
      <c r="F25" s="1612"/>
      <c r="G25" s="1612"/>
      <c r="H25" s="1612"/>
      <c r="I25" s="1612"/>
      <c r="J25" s="1612"/>
      <c r="K25" s="1612"/>
      <c r="L25" s="1612"/>
      <c r="M25" s="1612"/>
      <c r="N25" s="1612"/>
      <c r="O25" s="1612"/>
      <c r="P25" s="1612"/>
      <c r="Q25" s="1612"/>
      <c r="R25" s="1612"/>
      <c r="S25" s="1612"/>
      <c r="T25" s="1612"/>
      <c r="U25" s="1612"/>
      <c r="V25" s="1612"/>
      <c r="W25" s="1612"/>
      <c r="X25" s="1612"/>
      <c r="Y25" s="1612"/>
      <c r="Z25" s="1612"/>
      <c r="AA25" s="1612"/>
      <c r="AB25" s="1612"/>
      <c r="AC25" s="1613"/>
    </row>
    <row r="26" spans="1:35" s="441" customFormat="1" ht="60" customHeight="1" thickBot="1" x14ac:dyDescent="0.25">
      <c r="A26" s="438"/>
      <c r="B26" s="451" t="s">
        <v>130</v>
      </c>
      <c r="C26" s="451" t="s">
        <v>4</v>
      </c>
      <c r="D26" s="451" t="s">
        <v>5</v>
      </c>
      <c r="E26" s="451" t="s">
        <v>6</v>
      </c>
      <c r="F26" s="451" t="s">
        <v>7</v>
      </c>
      <c r="G26" s="451" t="s">
        <v>8</v>
      </c>
      <c r="H26" s="453" t="s">
        <v>9</v>
      </c>
      <c r="I26" s="453" t="s">
        <v>10</v>
      </c>
      <c r="J26" s="451" t="s">
        <v>11</v>
      </c>
      <c r="K26" s="451" t="s">
        <v>12</v>
      </c>
      <c r="L26" s="451" t="s">
        <v>13</v>
      </c>
      <c r="M26" s="451" t="s">
        <v>14</v>
      </c>
      <c r="N26" s="451" t="s">
        <v>15</v>
      </c>
      <c r="O26" s="452" t="s">
        <v>16</v>
      </c>
      <c r="P26" s="454" t="s">
        <v>17</v>
      </c>
      <c r="Q26" s="451" t="s">
        <v>18</v>
      </c>
      <c r="R26" s="452" t="s">
        <v>19</v>
      </c>
      <c r="S26" s="451" t="s">
        <v>20</v>
      </c>
      <c r="T26" s="451" t="s">
        <v>21</v>
      </c>
      <c r="U26" s="452" t="s">
        <v>22</v>
      </c>
      <c r="V26" s="451" t="s">
        <v>131</v>
      </c>
      <c r="W26" s="451" t="s">
        <v>24</v>
      </c>
      <c r="X26" s="451" t="s">
        <v>132</v>
      </c>
      <c r="Y26" s="451" t="s">
        <v>26</v>
      </c>
      <c r="Z26" s="451" t="s">
        <v>27</v>
      </c>
      <c r="AA26" s="451" t="s">
        <v>28</v>
      </c>
      <c r="AB26" s="451" t="s">
        <v>29</v>
      </c>
      <c r="AC26" s="451" t="s">
        <v>30</v>
      </c>
      <c r="AD26" s="439"/>
      <c r="AE26" s="440"/>
      <c r="AF26" s="440"/>
      <c r="AG26" s="440"/>
      <c r="AH26" s="440"/>
      <c r="AI26" s="440"/>
    </row>
    <row r="27" spans="1:35" s="9" customFormat="1" ht="11.25" x14ac:dyDescent="0.2">
      <c r="A27" s="328"/>
      <c r="B27" s="16"/>
      <c r="C27" s="16"/>
      <c r="D27" s="7"/>
      <c r="E27" s="7"/>
      <c r="F27" s="6"/>
      <c r="G27" s="6"/>
      <c r="H27" s="17" t="s">
        <v>77</v>
      </c>
      <c r="I27" s="17"/>
      <c r="J27" s="7"/>
      <c r="K27" s="7"/>
      <c r="L27" s="23"/>
      <c r="M27" s="6"/>
      <c r="N27" s="6"/>
      <c r="O27" s="6"/>
      <c r="P27" s="6"/>
      <c r="Q27" s="6"/>
      <c r="R27" s="6"/>
      <c r="S27" s="6" t="s">
        <v>5277</v>
      </c>
      <c r="T27" s="18"/>
      <c r="U27" s="6"/>
      <c r="V27" s="220" t="s">
        <v>5278</v>
      </c>
      <c r="W27" s="6"/>
      <c r="X27" s="59"/>
      <c r="Y27" s="59"/>
      <c r="Z27" s="6"/>
      <c r="AA27" s="6"/>
      <c r="AB27" s="6" t="s">
        <v>5279</v>
      </c>
      <c r="AC27" s="1608" t="s">
        <v>1550</v>
      </c>
      <c r="AD27" s="330"/>
    </row>
    <row r="28" spans="1:35" s="9" customFormat="1" ht="11.25" x14ac:dyDescent="0.2">
      <c r="A28" s="328"/>
      <c r="B28" s="16" t="s">
        <v>5265</v>
      </c>
      <c r="C28" s="16" t="s">
        <v>5280</v>
      </c>
      <c r="D28" s="7" t="s">
        <v>5281</v>
      </c>
      <c r="E28" s="7"/>
      <c r="F28" s="6" t="s">
        <v>5282</v>
      </c>
      <c r="G28" s="6" t="s">
        <v>39</v>
      </c>
      <c r="H28" s="17">
        <v>31962.18</v>
      </c>
      <c r="I28" s="39" t="s">
        <v>5104</v>
      </c>
      <c r="J28" s="18">
        <v>38825</v>
      </c>
      <c r="K28" s="331">
        <v>60</v>
      </c>
      <c r="L28" s="348">
        <f>+J28+K28</f>
        <v>38885</v>
      </c>
      <c r="M28" s="18" t="s">
        <v>124</v>
      </c>
      <c r="N28" s="6" t="s">
        <v>42</v>
      </c>
      <c r="O28" s="18">
        <v>38877</v>
      </c>
      <c r="P28" s="331">
        <f>IF(S28="","",+S28-L28)</f>
        <v>5</v>
      </c>
      <c r="Q28" s="331"/>
      <c r="R28" s="331"/>
      <c r="S28" s="349">
        <v>38890</v>
      </c>
      <c r="T28" s="18">
        <v>38920</v>
      </c>
      <c r="U28" s="331">
        <f>IF(T28="","",+T28-J28)</f>
        <v>95</v>
      </c>
      <c r="V28" s="6" t="s">
        <v>53</v>
      </c>
      <c r="W28" s="340">
        <v>123</v>
      </c>
      <c r="X28" s="59"/>
      <c r="Y28" s="59"/>
      <c r="Z28" s="6">
        <v>6631322132</v>
      </c>
      <c r="AA28" s="6" t="s">
        <v>47</v>
      </c>
      <c r="AB28" s="18" t="s">
        <v>5283</v>
      </c>
      <c r="AC28" s="1609"/>
      <c r="AD28" s="10" t="str">
        <f>IF(S28&lt;=L28,"en término","atrasado")</f>
        <v>atrasado</v>
      </c>
    </row>
    <row r="29" spans="1:35" s="9" customFormat="1" ht="12" thickBot="1" x14ac:dyDescent="0.25">
      <c r="A29" s="328"/>
      <c r="B29" s="19"/>
      <c r="C29" s="19"/>
      <c r="D29" s="5"/>
      <c r="E29" s="5"/>
      <c r="F29" s="5"/>
      <c r="G29" s="5"/>
      <c r="H29" s="26"/>
      <c r="I29" s="21"/>
      <c r="J29" s="5"/>
      <c r="K29" s="5"/>
      <c r="L29" s="27"/>
      <c r="M29" s="5"/>
      <c r="N29" s="5"/>
      <c r="O29" s="19"/>
      <c r="P29" s="19"/>
      <c r="Q29" s="19"/>
      <c r="R29" s="19"/>
      <c r="S29" s="5"/>
      <c r="T29" s="5"/>
      <c r="U29" s="19"/>
      <c r="V29" s="224"/>
      <c r="W29" s="5"/>
      <c r="X29" s="61"/>
      <c r="Y29" s="61"/>
      <c r="Z29" s="5"/>
      <c r="AA29" s="27">
        <v>38943</v>
      </c>
      <c r="AB29" s="27"/>
      <c r="AC29" s="1610"/>
      <c r="AD29" s="330"/>
    </row>
    <row r="30" spans="1:35" s="9" customFormat="1" ht="11.25" x14ac:dyDescent="0.2">
      <c r="A30" s="328"/>
      <c r="B30" s="11"/>
      <c r="C30" s="11"/>
      <c r="D30" s="91"/>
      <c r="E30" s="91"/>
      <c r="F30" s="12"/>
      <c r="G30" s="12"/>
      <c r="H30" s="13" t="s">
        <v>77</v>
      </c>
      <c r="I30" s="13"/>
      <c r="J30" s="91"/>
      <c r="K30" s="91"/>
      <c r="L30" s="134"/>
      <c r="M30" s="12"/>
      <c r="N30" s="12"/>
      <c r="O30" s="12"/>
      <c r="P30" s="12"/>
      <c r="Q30" s="12"/>
      <c r="R30" s="12"/>
      <c r="S30" s="12" t="s">
        <v>5284</v>
      </c>
      <c r="T30" s="12"/>
      <c r="U30" s="12"/>
      <c r="V30" s="220" t="s">
        <v>5285</v>
      </c>
      <c r="W30" s="12"/>
      <c r="X30" s="59"/>
      <c r="Y30" s="59"/>
      <c r="Z30" s="12"/>
      <c r="AA30" s="12"/>
      <c r="AB30" s="12"/>
      <c r="AC30" s="12"/>
      <c r="AD30" s="330"/>
    </row>
    <row r="31" spans="1:35" s="9" customFormat="1" ht="11.25" x14ac:dyDescent="0.2">
      <c r="A31" s="328"/>
      <c r="B31" s="16" t="s">
        <v>5265</v>
      </c>
      <c r="C31" s="16" t="s">
        <v>5280</v>
      </c>
      <c r="D31" s="7" t="s">
        <v>5286</v>
      </c>
      <c r="E31" s="7"/>
      <c r="F31" s="6" t="s">
        <v>5287</v>
      </c>
      <c r="G31" s="6" t="s">
        <v>39</v>
      </c>
      <c r="H31" s="17">
        <v>10911.08</v>
      </c>
      <c r="I31" s="39" t="s">
        <v>5104</v>
      </c>
      <c r="J31" s="18">
        <v>38866</v>
      </c>
      <c r="K31" s="331">
        <v>45</v>
      </c>
      <c r="L31" s="348">
        <f>+J31+K31</f>
        <v>38911</v>
      </c>
      <c r="M31" s="18" t="s">
        <v>124</v>
      </c>
      <c r="N31" s="6" t="s">
        <v>42</v>
      </c>
      <c r="O31" s="18">
        <v>38891</v>
      </c>
      <c r="P31" s="331">
        <f>IF(S31="","",+S31-L31)</f>
        <v>-4</v>
      </c>
      <c r="Q31" s="331"/>
      <c r="R31" s="331"/>
      <c r="S31" s="349">
        <v>38907</v>
      </c>
      <c r="T31" s="18">
        <v>38937</v>
      </c>
      <c r="U31" s="331">
        <f>IF(T31="","",+T31-J31)</f>
        <v>71</v>
      </c>
      <c r="V31" s="6" t="s">
        <v>53</v>
      </c>
      <c r="W31" s="340">
        <v>125</v>
      </c>
      <c r="X31" s="59"/>
      <c r="Y31" s="59"/>
      <c r="Z31" s="6">
        <v>6631322165</v>
      </c>
      <c r="AA31" s="6" t="s">
        <v>47</v>
      </c>
      <c r="AB31" s="18" t="s">
        <v>47</v>
      </c>
      <c r="AC31" s="18"/>
      <c r="AD31" s="10" t="str">
        <f>IF(S31&lt;=L31,"en término","atrasado")</f>
        <v>en término</v>
      </c>
    </row>
    <row r="32" spans="1:35" s="9" customFormat="1" ht="12" thickBot="1" x14ac:dyDescent="0.25">
      <c r="A32" s="328"/>
      <c r="B32" s="19"/>
      <c r="C32" s="19"/>
      <c r="D32" s="5"/>
      <c r="E32" s="5"/>
      <c r="F32" s="5"/>
      <c r="G32" s="5"/>
      <c r="H32" s="26"/>
      <c r="I32" s="21"/>
      <c r="J32" s="5"/>
      <c r="K32" s="5"/>
      <c r="L32" s="27"/>
      <c r="M32" s="5"/>
      <c r="N32" s="5"/>
      <c r="O32" s="19"/>
      <c r="P32" s="19"/>
      <c r="Q32" s="19"/>
      <c r="R32" s="19"/>
      <c r="S32" s="5"/>
      <c r="T32" s="5"/>
      <c r="U32" s="19"/>
      <c r="V32" s="224"/>
      <c r="W32" s="5"/>
      <c r="X32" s="61"/>
      <c r="Y32" s="61"/>
      <c r="Z32" s="5"/>
      <c r="AA32" s="27">
        <v>38957</v>
      </c>
      <c r="AB32" s="27">
        <v>38908</v>
      </c>
      <c r="AC32" s="27"/>
      <c r="AD32" s="330"/>
    </row>
    <row r="33" spans="1:35" s="9" customFormat="1" ht="11.25" x14ac:dyDescent="0.2">
      <c r="A33" s="328"/>
      <c r="B33" s="11"/>
      <c r="C33" s="11"/>
      <c r="D33" s="91"/>
      <c r="E33" s="91"/>
      <c r="F33" s="12"/>
      <c r="G33" s="12"/>
      <c r="H33" s="13" t="s">
        <v>77</v>
      </c>
      <c r="I33" s="13"/>
      <c r="J33" s="91"/>
      <c r="K33" s="91"/>
      <c r="L33" s="134"/>
      <c r="M33" s="12"/>
      <c r="N33" s="12"/>
      <c r="O33" s="12"/>
      <c r="P33" s="12"/>
      <c r="Q33" s="12"/>
      <c r="R33" s="12"/>
      <c r="S33" s="12"/>
      <c r="T33" s="12"/>
      <c r="U33" s="12"/>
      <c r="V33" s="220" t="s">
        <v>5278</v>
      </c>
      <c r="W33" s="12"/>
      <c r="X33" s="59"/>
      <c r="Y33" s="59"/>
      <c r="Z33" s="12"/>
      <c r="AA33" s="12"/>
      <c r="AB33" s="12"/>
      <c r="AC33" s="12"/>
      <c r="AD33" s="330"/>
    </row>
    <row r="34" spans="1:35" s="9" customFormat="1" ht="11.25" x14ac:dyDescent="0.2">
      <c r="A34" s="328"/>
      <c r="B34" s="16" t="s">
        <v>5265</v>
      </c>
      <c r="C34" s="16" t="s">
        <v>5280</v>
      </c>
      <c r="D34" s="7" t="s">
        <v>5286</v>
      </c>
      <c r="E34" s="7"/>
      <c r="F34" s="6" t="s">
        <v>5288</v>
      </c>
      <c r="G34" s="6" t="s">
        <v>39</v>
      </c>
      <c r="H34" s="17">
        <v>3536.4</v>
      </c>
      <c r="I34" s="39" t="s">
        <v>5104</v>
      </c>
      <c r="J34" s="18">
        <v>38867</v>
      </c>
      <c r="K34" s="331">
        <v>49</v>
      </c>
      <c r="L34" s="348">
        <f>+J34+K34</f>
        <v>38916</v>
      </c>
      <c r="M34" s="18" t="s">
        <v>280</v>
      </c>
      <c r="N34" s="6" t="s">
        <v>110</v>
      </c>
      <c r="O34" s="18">
        <v>38904</v>
      </c>
      <c r="P34" s="331">
        <f>IF(S34="","",+S34-L34)</f>
        <v>-8</v>
      </c>
      <c r="Q34" s="331"/>
      <c r="R34" s="331"/>
      <c r="S34" s="349">
        <v>38908</v>
      </c>
      <c r="T34" s="18">
        <v>38918</v>
      </c>
      <c r="U34" s="331">
        <f>IF(T34="","",+T34-J34)</f>
        <v>51</v>
      </c>
      <c r="V34" s="6" t="s">
        <v>2239</v>
      </c>
      <c r="W34" s="6" t="s">
        <v>5289</v>
      </c>
      <c r="X34" s="59"/>
      <c r="Y34" s="59"/>
      <c r="Z34" s="7"/>
      <c r="AA34" s="6" t="s">
        <v>47</v>
      </c>
      <c r="AB34" s="18" t="s">
        <v>47</v>
      </c>
      <c r="AC34" s="18"/>
      <c r="AD34" s="330"/>
    </row>
    <row r="35" spans="1:35" s="9" customFormat="1" ht="12" thickBot="1" x14ac:dyDescent="0.25">
      <c r="A35" s="328"/>
      <c r="B35" s="19"/>
      <c r="C35" s="19"/>
      <c r="D35" s="5"/>
      <c r="E35" s="5"/>
      <c r="F35" s="5"/>
      <c r="G35" s="5"/>
      <c r="H35" s="26"/>
      <c r="I35" s="21"/>
      <c r="J35" s="5"/>
      <c r="K35" s="5"/>
      <c r="L35" s="27"/>
      <c r="M35" s="5"/>
      <c r="N35" s="5"/>
      <c r="O35" s="19"/>
      <c r="P35" s="19"/>
      <c r="Q35" s="19"/>
      <c r="R35" s="19"/>
      <c r="S35" s="5"/>
      <c r="T35" s="5"/>
      <c r="U35" s="19"/>
      <c r="V35" s="224" t="s">
        <v>1102</v>
      </c>
      <c r="W35" s="5"/>
      <c r="X35" s="61"/>
      <c r="Y35" s="61"/>
      <c r="Z35" s="5"/>
      <c r="AA35" s="27">
        <v>38930</v>
      </c>
      <c r="AB35" s="27">
        <v>38908</v>
      </c>
      <c r="AC35" s="27"/>
      <c r="AD35" s="330"/>
    </row>
    <row r="37" spans="1:35" x14ac:dyDescent="0.2">
      <c r="AA37" s="1">
        <v>2006</v>
      </c>
      <c r="AB37" s="1048"/>
    </row>
    <row r="38" spans="1:35" x14ac:dyDescent="0.2">
      <c r="AA38" s="945" t="s">
        <v>813</v>
      </c>
      <c r="AB38" s="1048">
        <f>COUNTA(AD27:AD31)</f>
        <v>2</v>
      </c>
    </row>
    <row r="39" spans="1:35" x14ac:dyDescent="0.2">
      <c r="AA39" s="945" t="s">
        <v>815</v>
      </c>
      <c r="AB39" s="1048">
        <f>COUNTIF(AD27:AD32,"en término")</f>
        <v>1</v>
      </c>
    </row>
    <row r="40" spans="1:35" x14ac:dyDescent="0.2">
      <c r="AA40" s="945" t="s">
        <v>817</v>
      </c>
      <c r="AB40" s="557">
        <f>+AB39/AB38</f>
        <v>0.5</v>
      </c>
    </row>
    <row r="41" spans="1:35" ht="13.5" thickBot="1" x14ac:dyDescent="0.25">
      <c r="AA41" s="24"/>
      <c r="AB41" s="201"/>
      <c r="AC41" s="201"/>
    </row>
    <row r="42" spans="1:35" s="556" customFormat="1" ht="39.950000000000003" customHeight="1" thickBot="1" x14ac:dyDescent="0.4">
      <c r="B42" s="1611">
        <v>2007</v>
      </c>
      <c r="C42" s="1612"/>
      <c r="D42" s="1612"/>
      <c r="E42" s="1612"/>
      <c r="F42" s="1612"/>
      <c r="G42" s="1612"/>
      <c r="H42" s="1612"/>
      <c r="I42" s="1612"/>
      <c r="J42" s="1612"/>
      <c r="K42" s="1612"/>
      <c r="L42" s="1612"/>
      <c r="M42" s="1612"/>
      <c r="N42" s="1612"/>
      <c r="O42" s="1612"/>
      <c r="P42" s="1612"/>
      <c r="Q42" s="1612"/>
      <c r="R42" s="1612"/>
      <c r="S42" s="1612"/>
      <c r="T42" s="1612"/>
      <c r="U42" s="1612"/>
      <c r="V42" s="1612"/>
      <c r="W42" s="1612"/>
      <c r="X42" s="1612"/>
      <c r="Y42" s="1612"/>
      <c r="Z42" s="1612"/>
      <c r="AA42" s="1612"/>
      <c r="AB42" s="1612"/>
      <c r="AC42" s="1613"/>
    </row>
    <row r="43" spans="1:35" s="441" customFormat="1" ht="60" customHeight="1" thickBot="1" x14ac:dyDescent="0.25">
      <c r="A43" s="438"/>
      <c r="B43" s="451" t="s">
        <v>130</v>
      </c>
      <c r="C43" s="451" t="s">
        <v>4</v>
      </c>
      <c r="D43" s="451" t="s">
        <v>5</v>
      </c>
      <c r="E43" s="451" t="s">
        <v>6</v>
      </c>
      <c r="F43" s="451" t="s">
        <v>7</v>
      </c>
      <c r="G43" s="451" t="s">
        <v>8</v>
      </c>
      <c r="H43" s="453" t="s">
        <v>9</v>
      </c>
      <c r="I43" s="453" t="s">
        <v>10</v>
      </c>
      <c r="J43" s="451" t="s">
        <v>11</v>
      </c>
      <c r="K43" s="451" t="s">
        <v>12</v>
      </c>
      <c r="L43" s="451" t="s">
        <v>13</v>
      </c>
      <c r="M43" s="451" t="s">
        <v>14</v>
      </c>
      <c r="N43" s="451" t="s">
        <v>15</v>
      </c>
      <c r="O43" s="452" t="s">
        <v>16</v>
      </c>
      <c r="P43" s="454" t="s">
        <v>17</v>
      </c>
      <c r="Q43" s="451" t="s">
        <v>18</v>
      </c>
      <c r="R43" s="452" t="s">
        <v>19</v>
      </c>
      <c r="S43" s="451" t="s">
        <v>20</v>
      </c>
      <c r="T43" s="451" t="s">
        <v>21</v>
      </c>
      <c r="U43" s="452" t="s">
        <v>22</v>
      </c>
      <c r="V43" s="451" t="s">
        <v>131</v>
      </c>
      <c r="W43" s="451" t="s">
        <v>24</v>
      </c>
      <c r="X43" s="451" t="s">
        <v>132</v>
      </c>
      <c r="Y43" s="451" t="s">
        <v>26</v>
      </c>
      <c r="Z43" s="451" t="s">
        <v>27</v>
      </c>
      <c r="AA43" s="451" t="s">
        <v>28</v>
      </c>
      <c r="AB43" s="451" t="s">
        <v>29</v>
      </c>
      <c r="AC43" s="451" t="s">
        <v>30</v>
      </c>
      <c r="AD43" s="439"/>
      <c r="AE43" s="440"/>
      <c r="AF43" s="440"/>
      <c r="AG43" s="440"/>
      <c r="AH43" s="440"/>
      <c r="AI43" s="440"/>
    </row>
    <row r="44" spans="1:35" s="9" customFormat="1" ht="54.95" customHeight="1" thickBot="1" x14ac:dyDescent="0.25">
      <c r="A44" s="328"/>
      <c r="B44" s="455" t="s">
        <v>5265</v>
      </c>
      <c r="C44" s="455" t="s">
        <v>5266</v>
      </c>
      <c r="D44" s="456" t="s">
        <v>5290</v>
      </c>
      <c r="E44" s="456"/>
      <c r="F44" s="457" t="s">
        <v>5291</v>
      </c>
      <c r="G44" s="457" t="s">
        <v>39</v>
      </c>
      <c r="H44" s="458">
        <v>5973.75</v>
      </c>
      <c r="I44" s="459" t="s">
        <v>5292</v>
      </c>
      <c r="J44" s="460">
        <v>39045</v>
      </c>
      <c r="K44" s="461">
        <v>60</v>
      </c>
      <c r="L44" s="462">
        <f>+J44+K44</f>
        <v>39105</v>
      </c>
      <c r="M44" s="460" t="s">
        <v>124</v>
      </c>
      <c r="N44" s="457" t="s">
        <v>42</v>
      </c>
      <c r="O44" s="460">
        <v>39094</v>
      </c>
      <c r="P44" s="461">
        <f>IF(O44="","",+O44-L44)</f>
        <v>-11</v>
      </c>
      <c r="Q44" s="461"/>
      <c r="R44" s="460">
        <v>39101</v>
      </c>
      <c r="S44" s="471">
        <v>39107</v>
      </c>
      <c r="T44" s="460">
        <f>+S44+30</f>
        <v>39137</v>
      </c>
      <c r="U44" s="461">
        <f>IF(T44="","",+T44-J44)</f>
        <v>92</v>
      </c>
      <c r="V44" s="468" t="s">
        <v>5293</v>
      </c>
      <c r="W44" s="493">
        <v>190</v>
      </c>
      <c r="X44" s="467"/>
      <c r="Y44" s="467"/>
      <c r="Z44" s="457">
        <v>6619840113</v>
      </c>
      <c r="AA44" s="457" t="s">
        <v>47</v>
      </c>
      <c r="AB44" s="456" t="s">
        <v>5294</v>
      </c>
      <c r="AC44" s="501"/>
      <c r="AD44" s="10" t="str">
        <f>IF(S44&lt;=L44,"en término","atrasado")</f>
        <v>atrasado</v>
      </c>
    </row>
    <row r="45" spans="1:35" s="9" customFormat="1" ht="54.95" customHeight="1" thickBot="1" x14ac:dyDescent="0.25">
      <c r="A45" s="328"/>
      <c r="B45" s="455" t="s">
        <v>5265</v>
      </c>
      <c r="C45" s="455" t="s">
        <v>5280</v>
      </c>
      <c r="D45" s="456" t="s">
        <v>5295</v>
      </c>
      <c r="E45" s="456"/>
      <c r="F45" s="457" t="s">
        <v>5296</v>
      </c>
      <c r="G45" s="457" t="s">
        <v>39</v>
      </c>
      <c r="H45" s="458">
        <v>2460</v>
      </c>
      <c r="I45" s="459" t="s">
        <v>5104</v>
      </c>
      <c r="J45" s="460">
        <v>39216</v>
      </c>
      <c r="K45" s="461">
        <v>21</v>
      </c>
      <c r="L45" s="462">
        <f>+J45+K45</f>
        <v>39237</v>
      </c>
      <c r="M45" s="460" t="s">
        <v>124</v>
      </c>
      <c r="N45" s="457" t="s">
        <v>110</v>
      </c>
      <c r="O45" s="460">
        <v>39237</v>
      </c>
      <c r="P45" s="461">
        <f>IF(O45="","",+O45-L45)</f>
        <v>0</v>
      </c>
      <c r="Q45" s="461"/>
      <c r="R45" s="460"/>
      <c r="S45" s="471">
        <v>39238</v>
      </c>
      <c r="T45" s="460">
        <v>39240</v>
      </c>
      <c r="U45" s="461">
        <f>IF(T45="","",+T45-J45)</f>
        <v>24</v>
      </c>
      <c r="V45" s="468" t="s">
        <v>5297</v>
      </c>
      <c r="W45" s="457" t="s">
        <v>5298</v>
      </c>
      <c r="X45" s="467"/>
      <c r="Y45" s="467"/>
      <c r="Z45" s="457" t="s">
        <v>1676</v>
      </c>
      <c r="AA45" s="457" t="s">
        <v>47</v>
      </c>
      <c r="AB45" s="456" t="s">
        <v>5299</v>
      </c>
      <c r="AC45" s="501"/>
      <c r="AD45" s="330"/>
    </row>
    <row r="46" spans="1:35" s="9" customFormat="1" ht="54.95" customHeight="1" thickBot="1" x14ac:dyDescent="0.25">
      <c r="A46" s="328"/>
      <c r="B46" s="455" t="s">
        <v>5265</v>
      </c>
      <c r="C46" s="455" t="s">
        <v>5280</v>
      </c>
      <c r="D46" s="456" t="s">
        <v>5300</v>
      </c>
      <c r="E46" s="456"/>
      <c r="F46" s="457" t="s">
        <v>5301</v>
      </c>
      <c r="G46" s="457" t="s">
        <v>39</v>
      </c>
      <c r="H46" s="458">
        <v>2718.1</v>
      </c>
      <c r="I46" s="459" t="s">
        <v>5104</v>
      </c>
      <c r="J46" s="460">
        <v>39216</v>
      </c>
      <c r="K46" s="461">
        <v>30</v>
      </c>
      <c r="L46" s="462">
        <f>+J46+K46</f>
        <v>39246</v>
      </c>
      <c r="M46" s="460" t="s">
        <v>124</v>
      </c>
      <c r="N46" s="457" t="s">
        <v>42</v>
      </c>
      <c r="O46" s="460">
        <v>39241</v>
      </c>
      <c r="P46" s="461">
        <f>IF(O46="","",+O46-L46)</f>
        <v>-5</v>
      </c>
      <c r="Q46" s="461"/>
      <c r="R46" s="460">
        <v>39247</v>
      </c>
      <c r="S46" s="471">
        <v>39258</v>
      </c>
      <c r="T46" s="460">
        <v>39285</v>
      </c>
      <c r="U46" s="461">
        <f>IF(T46="","",+T46-J46)</f>
        <v>69</v>
      </c>
      <c r="V46" s="468" t="s">
        <v>5302</v>
      </c>
      <c r="W46" s="493">
        <v>220</v>
      </c>
      <c r="X46" s="467"/>
      <c r="Y46" s="467"/>
      <c r="Z46" s="457">
        <v>6631322655</v>
      </c>
      <c r="AA46" s="457" t="s">
        <v>47</v>
      </c>
      <c r="AB46" s="456" t="s">
        <v>5303</v>
      </c>
      <c r="AC46" s="501" t="s">
        <v>5304</v>
      </c>
      <c r="AD46" s="10" t="str">
        <f>IF(S46&lt;=L46,"en término","atrasado")</f>
        <v>atrasado</v>
      </c>
    </row>
    <row r="47" spans="1:35" s="9" customFormat="1" ht="54.95" customHeight="1" thickBot="1" x14ac:dyDescent="0.25">
      <c r="A47" s="328"/>
      <c r="B47" s="455" t="s">
        <v>5265</v>
      </c>
      <c r="C47" s="455" t="s">
        <v>5280</v>
      </c>
      <c r="D47" s="456" t="s">
        <v>5305</v>
      </c>
      <c r="E47" s="456"/>
      <c r="F47" s="457" t="s">
        <v>5306</v>
      </c>
      <c r="G47" s="457" t="s">
        <v>39</v>
      </c>
      <c r="H47" s="458">
        <v>18185.52</v>
      </c>
      <c r="I47" s="459" t="s">
        <v>5104</v>
      </c>
      <c r="J47" s="460">
        <v>39202</v>
      </c>
      <c r="K47" s="461">
        <v>60</v>
      </c>
      <c r="L47" s="462">
        <f>+J47+K47</f>
        <v>39262</v>
      </c>
      <c r="M47" s="460" t="s">
        <v>124</v>
      </c>
      <c r="N47" s="457" t="s">
        <v>42</v>
      </c>
      <c r="O47" s="460">
        <v>39252</v>
      </c>
      <c r="P47" s="461">
        <f>IF(O47="","",+O47-L47)</f>
        <v>-10</v>
      </c>
      <c r="Q47" s="461"/>
      <c r="R47" s="460">
        <v>39258</v>
      </c>
      <c r="S47" s="471">
        <v>39264</v>
      </c>
      <c r="T47" s="460">
        <v>39292</v>
      </c>
      <c r="U47" s="461">
        <f>IF(T47="","",+T47-J47)</f>
        <v>90</v>
      </c>
      <c r="V47" s="468" t="s">
        <v>5307</v>
      </c>
      <c r="W47" s="493">
        <v>224</v>
      </c>
      <c r="X47" s="467"/>
      <c r="Y47" s="467"/>
      <c r="Z47" s="457">
        <v>6656529961</v>
      </c>
      <c r="AA47" s="457" t="s">
        <v>47</v>
      </c>
      <c r="AB47" s="456" t="s">
        <v>5308</v>
      </c>
      <c r="AC47" s="501" t="s">
        <v>5309</v>
      </c>
      <c r="AD47" s="10" t="str">
        <f>IF(S47&lt;=L47,"en término","atrasado")</f>
        <v>atrasado</v>
      </c>
    </row>
    <row r="49" spans="1:35" x14ac:dyDescent="0.2">
      <c r="AA49" s="1">
        <v>2007</v>
      </c>
      <c r="AB49" s="1048"/>
    </row>
    <row r="50" spans="1:35" x14ac:dyDescent="0.2">
      <c r="AA50" s="945" t="s">
        <v>813</v>
      </c>
      <c r="AB50" s="1048">
        <f>COUNTA(AD43:AD47)</f>
        <v>3</v>
      </c>
    </row>
    <row r="51" spans="1:35" x14ac:dyDescent="0.2">
      <c r="AA51" s="945" t="s">
        <v>815</v>
      </c>
      <c r="AB51" s="1048">
        <f>COUNTIF(AD43:AD48,"en término")</f>
        <v>0</v>
      </c>
    </row>
    <row r="52" spans="1:35" x14ac:dyDescent="0.2">
      <c r="AA52" s="945" t="s">
        <v>817</v>
      </c>
      <c r="AB52" s="557">
        <f>+AB51/AB50</f>
        <v>0</v>
      </c>
    </row>
    <row r="53" spans="1:35" x14ac:dyDescent="0.2">
      <c r="AA53" s="1"/>
      <c r="AB53" s="1048"/>
    </row>
    <row r="55" spans="1:35" ht="13.5" thickBot="1" x14ac:dyDescent="0.25">
      <c r="AA55" s="1"/>
      <c r="AB55" s="1048"/>
    </row>
    <row r="56" spans="1:35" s="556" customFormat="1" ht="39.950000000000003" customHeight="1" thickBot="1" x14ac:dyDescent="0.4">
      <c r="B56" s="1611">
        <v>2008</v>
      </c>
      <c r="C56" s="1612"/>
      <c r="D56" s="1612"/>
      <c r="E56" s="1612"/>
      <c r="F56" s="1612"/>
      <c r="G56" s="1612"/>
      <c r="H56" s="1612"/>
      <c r="I56" s="1612"/>
      <c r="J56" s="1612"/>
      <c r="K56" s="1612"/>
      <c r="L56" s="1612"/>
      <c r="M56" s="1612"/>
      <c r="N56" s="1612"/>
      <c r="O56" s="1612"/>
      <c r="P56" s="1612"/>
      <c r="Q56" s="1612"/>
      <c r="R56" s="1612"/>
      <c r="S56" s="1612"/>
      <c r="T56" s="1612"/>
      <c r="U56" s="1612"/>
      <c r="V56" s="1612"/>
      <c r="W56" s="1612"/>
      <c r="X56" s="1612"/>
      <c r="Y56" s="1612"/>
      <c r="Z56" s="1612"/>
      <c r="AA56" s="1612"/>
      <c r="AB56" s="1612"/>
      <c r="AC56" s="1613"/>
    </row>
    <row r="57" spans="1:35" s="441" customFormat="1" ht="60" customHeight="1" thickBot="1" x14ac:dyDescent="0.25">
      <c r="A57" s="438"/>
      <c r="B57" s="451" t="s">
        <v>130</v>
      </c>
      <c r="C57" s="451" t="s">
        <v>4</v>
      </c>
      <c r="D57" s="451" t="s">
        <v>5</v>
      </c>
      <c r="E57" s="451" t="s">
        <v>6</v>
      </c>
      <c r="F57" s="451" t="s">
        <v>7</v>
      </c>
      <c r="G57" s="451" t="s">
        <v>8</v>
      </c>
      <c r="H57" s="453" t="s">
        <v>9</v>
      </c>
      <c r="I57" s="453" t="s">
        <v>10</v>
      </c>
      <c r="J57" s="451" t="s">
        <v>11</v>
      </c>
      <c r="K57" s="451" t="s">
        <v>12</v>
      </c>
      <c r="L57" s="451" t="s">
        <v>13</v>
      </c>
      <c r="M57" s="451" t="s">
        <v>14</v>
      </c>
      <c r="N57" s="451" t="s">
        <v>15</v>
      </c>
      <c r="O57" s="452" t="s">
        <v>16</v>
      </c>
      <c r="P57" s="454" t="s">
        <v>17</v>
      </c>
      <c r="Q57" s="451" t="s">
        <v>18</v>
      </c>
      <c r="R57" s="452" t="s">
        <v>19</v>
      </c>
      <c r="S57" s="451" t="s">
        <v>20</v>
      </c>
      <c r="T57" s="451" t="s">
        <v>21</v>
      </c>
      <c r="U57" s="452" t="s">
        <v>22</v>
      </c>
      <c r="V57" s="451" t="s">
        <v>131</v>
      </c>
      <c r="W57" s="451" t="s">
        <v>24</v>
      </c>
      <c r="X57" s="451" t="s">
        <v>132</v>
      </c>
      <c r="Y57" s="451" t="s">
        <v>26</v>
      </c>
      <c r="Z57" s="451" t="s">
        <v>27</v>
      </c>
      <c r="AA57" s="451" t="s">
        <v>28</v>
      </c>
      <c r="AB57" s="451" t="s">
        <v>29</v>
      </c>
      <c r="AC57" s="451" t="s">
        <v>30</v>
      </c>
      <c r="AD57" s="439"/>
      <c r="AE57" s="440"/>
      <c r="AF57" s="440"/>
      <c r="AG57" s="440"/>
      <c r="AH57" s="440"/>
      <c r="AI57" s="440"/>
    </row>
    <row r="58" spans="1:35" s="587" customFormat="1" ht="54.95" customHeight="1" thickBot="1" x14ac:dyDescent="0.25">
      <c r="A58" s="584"/>
      <c r="B58" s="585" t="s">
        <v>5265</v>
      </c>
      <c r="C58" s="455" t="s">
        <v>5280</v>
      </c>
      <c r="D58" s="456" t="s">
        <v>5310</v>
      </c>
      <c r="E58" s="456"/>
      <c r="F58" s="457" t="s">
        <v>5311</v>
      </c>
      <c r="G58" s="457" t="s">
        <v>4299</v>
      </c>
      <c r="H58" s="458">
        <v>1843</v>
      </c>
      <c r="I58" s="459" t="s">
        <v>5104</v>
      </c>
      <c r="J58" s="460">
        <v>39598</v>
      </c>
      <c r="K58" s="461">
        <v>35</v>
      </c>
      <c r="L58" s="462">
        <f>+J58+K58</f>
        <v>39633</v>
      </c>
      <c r="M58" s="459" t="s">
        <v>280</v>
      </c>
      <c r="N58" s="457" t="s">
        <v>656</v>
      </c>
      <c r="O58" s="460">
        <v>39626</v>
      </c>
      <c r="P58" s="461">
        <f>IF(O58="","",+O58-L58)</f>
        <v>-7</v>
      </c>
      <c r="Q58" s="461"/>
      <c r="R58" s="460"/>
      <c r="S58" s="471">
        <v>39639</v>
      </c>
      <c r="T58" s="471">
        <v>39641</v>
      </c>
      <c r="U58" s="461">
        <f>IF(T58="","",+T58-J58)</f>
        <v>43</v>
      </c>
      <c r="V58" s="468" t="s">
        <v>5312</v>
      </c>
      <c r="W58" s="457" t="s">
        <v>5313</v>
      </c>
      <c r="X58" s="592"/>
      <c r="Y58" s="467"/>
      <c r="Z58" s="457" t="s">
        <v>5314</v>
      </c>
      <c r="AA58" s="456" t="s">
        <v>2238</v>
      </c>
      <c r="AB58" s="460" t="s">
        <v>5315</v>
      </c>
      <c r="AC58" s="470"/>
      <c r="AD58" s="10" t="str">
        <f>IF(P58="","",IF(P58&lt;=0,"en término","atrasado"))</f>
        <v>en término</v>
      </c>
      <c r="AE58" s="412"/>
    </row>
    <row r="59" spans="1:35" s="587" customFormat="1" ht="54.95" customHeight="1" thickBot="1" x14ac:dyDescent="0.25">
      <c r="A59" s="584"/>
      <c r="B59" s="585" t="s">
        <v>5265</v>
      </c>
      <c r="C59" s="455" t="s">
        <v>5280</v>
      </c>
      <c r="D59" s="456" t="s">
        <v>5316</v>
      </c>
      <c r="E59" s="456"/>
      <c r="F59" s="457" t="s">
        <v>5317</v>
      </c>
      <c r="G59" s="457" t="s">
        <v>4299</v>
      </c>
      <c r="H59" s="458">
        <v>5141.75</v>
      </c>
      <c r="I59" s="459" t="s">
        <v>5104</v>
      </c>
      <c r="J59" s="460">
        <v>39729</v>
      </c>
      <c r="K59" s="461">
        <v>30</v>
      </c>
      <c r="L59" s="462">
        <f>+J59+K59</f>
        <v>39759</v>
      </c>
      <c r="M59" s="459" t="s">
        <v>124</v>
      </c>
      <c r="N59" s="457" t="s">
        <v>42</v>
      </c>
      <c r="O59" s="460">
        <v>39749</v>
      </c>
      <c r="P59" s="461">
        <f>IF(O59="","",+O59-L59)</f>
        <v>-10</v>
      </c>
      <c r="Q59" s="461"/>
      <c r="R59" s="460"/>
      <c r="S59" s="471">
        <v>39763</v>
      </c>
      <c r="T59" s="471">
        <v>39794</v>
      </c>
      <c r="U59" s="461">
        <f>IF(T59="","",+T59-J59)</f>
        <v>65</v>
      </c>
      <c r="V59" s="468" t="s">
        <v>5318</v>
      </c>
      <c r="W59" s="457">
        <v>364</v>
      </c>
      <c r="X59" s="592"/>
      <c r="Y59" s="467"/>
      <c r="Z59" s="457">
        <v>6682704361</v>
      </c>
      <c r="AA59" s="456" t="s">
        <v>5319</v>
      </c>
      <c r="AB59" s="460" t="s">
        <v>2847</v>
      </c>
      <c r="AC59" s="470"/>
      <c r="AD59" s="10" t="str">
        <f>IF(P59="","",IF(P59&lt;=0,"en término","atrasado"))</f>
        <v>en término</v>
      </c>
      <c r="AE59" s="645"/>
    </row>
    <row r="61" spans="1:35" x14ac:dyDescent="0.2">
      <c r="S61" s="325"/>
      <c r="T61" s="648"/>
      <c r="AA61" s="1">
        <v>2008</v>
      </c>
      <c r="AB61" s="1048"/>
    </row>
    <row r="62" spans="1:35" x14ac:dyDescent="0.2">
      <c r="AA62" s="945" t="s">
        <v>813</v>
      </c>
      <c r="AB62" s="1048">
        <f>COUNTA(AD56:AD62)</f>
        <v>2</v>
      </c>
    </row>
    <row r="63" spans="1:35" x14ac:dyDescent="0.2">
      <c r="AA63" s="945" t="s">
        <v>815</v>
      </c>
      <c r="AB63" s="1048">
        <f>COUNTIF(AD57:AD62,"en término")</f>
        <v>2</v>
      </c>
    </row>
    <row r="64" spans="1:35" x14ac:dyDescent="0.2">
      <c r="AA64" s="945" t="s">
        <v>817</v>
      </c>
      <c r="AB64" s="557">
        <f>+AB63/AB62</f>
        <v>1</v>
      </c>
    </row>
    <row r="67" spans="1:37" ht="13.5" thickBot="1" x14ac:dyDescent="0.25"/>
    <row r="68" spans="1:37" s="556" customFormat="1" ht="39.950000000000003" customHeight="1" thickBot="1" x14ac:dyDescent="0.4">
      <c r="B68" s="1611">
        <v>2009</v>
      </c>
      <c r="C68" s="1612"/>
      <c r="D68" s="1612"/>
      <c r="E68" s="1612"/>
      <c r="F68" s="1612"/>
      <c r="G68" s="1612"/>
      <c r="H68" s="1612"/>
      <c r="I68" s="1612"/>
      <c r="J68" s="1612"/>
      <c r="K68" s="1612"/>
      <c r="L68" s="1612"/>
      <c r="M68" s="1612"/>
      <c r="N68" s="1612"/>
      <c r="O68" s="1612"/>
      <c r="P68" s="1612"/>
      <c r="Q68" s="1612"/>
      <c r="R68" s="1612"/>
      <c r="S68" s="1612"/>
      <c r="T68" s="1612"/>
      <c r="U68" s="1612"/>
      <c r="V68" s="1612"/>
      <c r="W68" s="1612"/>
      <c r="X68" s="1612"/>
      <c r="Y68" s="1612"/>
      <c r="Z68" s="1612"/>
      <c r="AA68" s="1612"/>
      <c r="AB68" s="1612"/>
      <c r="AC68" s="1613"/>
      <c r="AD68" s="560"/>
    </row>
    <row r="69" spans="1:37" s="441" customFormat="1" ht="60" customHeight="1" thickBot="1" x14ac:dyDescent="0.25">
      <c r="A69" s="438"/>
      <c r="B69" s="451" t="s">
        <v>130</v>
      </c>
      <c r="C69" s="451" t="s">
        <v>4</v>
      </c>
      <c r="D69" s="451" t="s">
        <v>5</v>
      </c>
      <c r="E69" s="451" t="s">
        <v>6</v>
      </c>
      <c r="F69" s="451" t="s">
        <v>7</v>
      </c>
      <c r="G69" s="451" t="s">
        <v>8</v>
      </c>
      <c r="H69" s="453" t="s">
        <v>9</v>
      </c>
      <c r="I69" s="453" t="s">
        <v>10</v>
      </c>
      <c r="J69" s="451" t="s">
        <v>11</v>
      </c>
      <c r="K69" s="451" t="s">
        <v>12</v>
      </c>
      <c r="L69" s="451" t="s">
        <v>13</v>
      </c>
      <c r="M69" s="451" t="s">
        <v>14</v>
      </c>
      <c r="N69" s="451" t="s">
        <v>15</v>
      </c>
      <c r="O69" s="452" t="s">
        <v>16</v>
      </c>
      <c r="P69" s="454" t="s">
        <v>17</v>
      </c>
      <c r="Q69" s="451" t="s">
        <v>18</v>
      </c>
      <c r="R69" s="452" t="s">
        <v>19</v>
      </c>
      <c r="S69" s="451" t="s">
        <v>20</v>
      </c>
      <c r="T69" s="451" t="s">
        <v>21</v>
      </c>
      <c r="U69" s="452" t="s">
        <v>22</v>
      </c>
      <c r="V69" s="451" t="s">
        <v>131</v>
      </c>
      <c r="W69" s="451" t="s">
        <v>24</v>
      </c>
      <c r="X69" s="451" t="s">
        <v>132</v>
      </c>
      <c r="Y69" s="451" t="s">
        <v>26</v>
      </c>
      <c r="Z69" s="451" t="s">
        <v>27</v>
      </c>
      <c r="AA69" s="451" t="s">
        <v>28</v>
      </c>
      <c r="AB69" s="451" t="s">
        <v>29</v>
      </c>
      <c r="AC69" s="451" t="s">
        <v>30</v>
      </c>
      <c r="AD69" s="439"/>
      <c r="AE69" s="440"/>
      <c r="AF69" s="440"/>
      <c r="AG69" s="440"/>
      <c r="AH69" s="440"/>
      <c r="AI69" s="440"/>
      <c r="AJ69" s="440"/>
      <c r="AK69" s="440"/>
    </row>
    <row r="70" spans="1:37" s="587" customFormat="1" ht="54.95" customHeight="1" thickBot="1" x14ac:dyDescent="0.25">
      <c r="A70" s="584"/>
      <c r="B70" s="585" t="s">
        <v>5265</v>
      </c>
      <c r="C70" s="455" t="s">
        <v>5266</v>
      </c>
      <c r="D70" s="456" t="s">
        <v>5320</v>
      </c>
      <c r="E70" s="456"/>
      <c r="F70" s="457" t="s">
        <v>5321</v>
      </c>
      <c r="G70" s="457" t="s">
        <v>4299</v>
      </c>
      <c r="H70" s="458">
        <v>3205.3</v>
      </c>
      <c r="I70" s="459" t="s">
        <v>5104</v>
      </c>
      <c r="J70" s="460">
        <v>39870</v>
      </c>
      <c r="K70" s="461">
        <v>45</v>
      </c>
      <c r="L70" s="462">
        <f>+J70+K70</f>
        <v>39915</v>
      </c>
      <c r="M70" s="459" t="s">
        <v>5104</v>
      </c>
      <c r="N70" s="457" t="s">
        <v>110</v>
      </c>
      <c r="O70" s="460">
        <v>39909</v>
      </c>
      <c r="P70" s="461">
        <f>IF(S70="","",+S70-L70)</f>
        <v>5</v>
      </c>
      <c r="Q70" s="461" t="s">
        <v>464</v>
      </c>
      <c r="R70" s="460"/>
      <c r="S70" s="471">
        <v>39920</v>
      </c>
      <c r="T70" s="471">
        <v>39922</v>
      </c>
      <c r="U70" s="461">
        <f>IF(T70="","",+T70-J70)</f>
        <v>52</v>
      </c>
      <c r="V70" s="468" t="s">
        <v>5322</v>
      </c>
      <c r="W70" s="457" t="s">
        <v>5323</v>
      </c>
      <c r="X70" s="592"/>
      <c r="Y70" s="467"/>
      <c r="Z70" s="468" t="s">
        <v>5324</v>
      </c>
      <c r="AA70" s="456"/>
      <c r="AB70" s="460" t="s">
        <v>47</v>
      </c>
      <c r="AC70" s="470"/>
      <c r="AD70" s="645"/>
    </row>
    <row r="71" spans="1:37" s="587" customFormat="1" ht="54.95" customHeight="1" thickBot="1" x14ac:dyDescent="0.25">
      <c r="A71" s="584"/>
      <c r="B71" s="585" t="s">
        <v>5265</v>
      </c>
      <c r="C71" s="455" t="s">
        <v>5266</v>
      </c>
      <c r="D71" s="456" t="s">
        <v>5320</v>
      </c>
      <c r="E71" s="456"/>
      <c r="F71" s="457" t="s">
        <v>5325</v>
      </c>
      <c r="G71" s="457" t="s">
        <v>4299</v>
      </c>
      <c r="H71" s="458">
        <v>5495</v>
      </c>
      <c r="I71" s="459" t="s">
        <v>5104</v>
      </c>
      <c r="J71" s="460">
        <v>39870</v>
      </c>
      <c r="K71" s="461">
        <v>45</v>
      </c>
      <c r="L71" s="462">
        <f>+J71+K71</f>
        <v>39915</v>
      </c>
      <c r="M71" s="459" t="s">
        <v>5104</v>
      </c>
      <c r="N71" s="457" t="s">
        <v>42</v>
      </c>
      <c r="O71" s="460">
        <v>39892</v>
      </c>
      <c r="P71" s="461">
        <f>IF(S71="","",+S71-L71)</f>
        <v>-5</v>
      </c>
      <c r="Q71" s="461"/>
      <c r="R71" s="460">
        <v>39904</v>
      </c>
      <c r="S71" s="471">
        <v>39910</v>
      </c>
      <c r="T71" s="471">
        <v>39942</v>
      </c>
      <c r="U71" s="461">
        <f>IF(T71="","",+T71-J71)</f>
        <v>72</v>
      </c>
      <c r="V71" s="468" t="s">
        <v>5326</v>
      </c>
      <c r="W71" s="457">
        <v>387</v>
      </c>
      <c r="X71" s="592"/>
      <c r="Y71" s="467"/>
      <c r="Z71" s="457">
        <v>6510425482</v>
      </c>
      <c r="AA71" s="456" t="s">
        <v>5327</v>
      </c>
      <c r="AB71" s="460" t="s">
        <v>5328</v>
      </c>
      <c r="AC71" s="470"/>
      <c r="AD71" s="645" t="str">
        <f>IF(P71="","",IF(P71&lt;=0,"en término","atrasado"))</f>
        <v>en término</v>
      </c>
      <c r="AE71" s="645"/>
    </row>
    <row r="72" spans="1:37" s="587" customFormat="1" ht="54.95" customHeight="1" thickBot="1" x14ac:dyDescent="0.25">
      <c r="A72" s="584"/>
      <c r="B72" s="455" t="s">
        <v>5265</v>
      </c>
      <c r="C72" s="455" t="s">
        <v>5266</v>
      </c>
      <c r="D72" s="456" t="s">
        <v>5329</v>
      </c>
      <c r="E72" s="456"/>
      <c r="F72" s="457" t="s">
        <v>5330</v>
      </c>
      <c r="G72" s="457" t="s">
        <v>4299</v>
      </c>
      <c r="H72" s="458">
        <v>4279.6000000000004</v>
      </c>
      <c r="I72" s="459" t="s">
        <v>5104</v>
      </c>
      <c r="J72" s="460">
        <v>39982</v>
      </c>
      <c r="K72" s="461">
        <v>21</v>
      </c>
      <c r="L72" s="462">
        <f>+J72+K72</f>
        <v>40003</v>
      </c>
      <c r="M72" s="459" t="s">
        <v>5104</v>
      </c>
      <c r="N72" s="457" t="s">
        <v>110</v>
      </c>
      <c r="O72" s="460">
        <v>40001</v>
      </c>
      <c r="P72" s="461">
        <f>IF(S72="","",+S72-L72)</f>
        <v>5</v>
      </c>
      <c r="Q72" s="461"/>
      <c r="R72" s="460"/>
      <c r="S72" s="471">
        <v>40008</v>
      </c>
      <c r="T72" s="471">
        <f>+S72+2</f>
        <v>40010</v>
      </c>
      <c r="U72" s="461">
        <f>IF(T72="","",+T72-J72)</f>
        <v>28</v>
      </c>
      <c r="V72" s="468" t="s">
        <v>937</v>
      </c>
      <c r="W72" s="457">
        <v>401</v>
      </c>
      <c r="X72" s="592"/>
      <c r="Y72" s="467"/>
      <c r="Z72" s="468" t="s">
        <v>5331</v>
      </c>
      <c r="AA72" s="456" t="s">
        <v>5332</v>
      </c>
      <c r="AB72" s="460" t="s">
        <v>5333</v>
      </c>
      <c r="AC72" s="470" t="s">
        <v>2103</v>
      </c>
      <c r="AD72" s="645" t="str">
        <f>IF(P72="","",IF(P72&lt;=0,"en término","atrasado"))</f>
        <v>atrasado</v>
      </c>
    </row>
    <row r="74" spans="1:37" x14ac:dyDescent="0.2">
      <c r="AA74" s="1">
        <v>2009</v>
      </c>
      <c r="AB74" s="1048"/>
    </row>
    <row r="75" spans="1:37" x14ac:dyDescent="0.2">
      <c r="AA75" s="945" t="s">
        <v>813</v>
      </c>
      <c r="AB75" s="1048">
        <f>COUNTA(AD68:AD75)</f>
        <v>2</v>
      </c>
    </row>
    <row r="76" spans="1:37" x14ac:dyDescent="0.2">
      <c r="AA76" s="945" t="s">
        <v>815</v>
      </c>
      <c r="AB76" s="1048">
        <f>COUNTIF(AD69:AD75,"en término")</f>
        <v>1</v>
      </c>
    </row>
    <row r="77" spans="1:37" x14ac:dyDescent="0.2">
      <c r="AA77" s="945" t="s">
        <v>817</v>
      </c>
      <c r="AB77" s="557">
        <f>+AB76/AB75</f>
        <v>0.5</v>
      </c>
    </row>
    <row r="79" spans="1:37" ht="13.5" thickBot="1" x14ac:dyDescent="0.25"/>
    <row r="80" spans="1:37" s="556" customFormat="1" ht="39.950000000000003" customHeight="1" thickBot="1" x14ac:dyDescent="0.4">
      <c r="B80" s="1611">
        <v>2010</v>
      </c>
      <c r="C80" s="1612"/>
      <c r="D80" s="1612"/>
      <c r="E80" s="1612"/>
      <c r="F80" s="1612"/>
      <c r="G80" s="1612"/>
      <c r="H80" s="1612"/>
      <c r="I80" s="1612"/>
      <c r="J80" s="1612"/>
      <c r="K80" s="1612"/>
      <c r="L80" s="1612"/>
      <c r="M80" s="1612"/>
      <c r="N80" s="1612"/>
      <c r="O80" s="1612"/>
      <c r="P80" s="1612"/>
      <c r="Q80" s="1612"/>
      <c r="R80" s="1612"/>
      <c r="S80" s="1612"/>
      <c r="T80" s="1612"/>
      <c r="U80" s="1612"/>
      <c r="V80" s="1612"/>
      <c r="W80" s="1612"/>
      <c r="X80" s="1612"/>
      <c r="Y80" s="1612"/>
      <c r="Z80" s="1612"/>
      <c r="AA80" s="1612"/>
      <c r="AB80" s="1612"/>
      <c r="AC80" s="1613"/>
      <c r="AD80" s="560"/>
    </row>
    <row r="81" spans="1:37" s="441" customFormat="1" ht="60" customHeight="1" thickBot="1" x14ac:dyDescent="0.25">
      <c r="A81" s="438"/>
      <c r="B81" s="451" t="s">
        <v>130</v>
      </c>
      <c r="C81" s="451" t="s">
        <v>4</v>
      </c>
      <c r="D81" s="451" t="s">
        <v>5</v>
      </c>
      <c r="E81" s="451" t="s">
        <v>6</v>
      </c>
      <c r="F81" s="451" t="s">
        <v>7</v>
      </c>
      <c r="G81" s="451" t="s">
        <v>8</v>
      </c>
      <c r="H81" s="453" t="s">
        <v>9</v>
      </c>
      <c r="I81" s="453" t="s">
        <v>10</v>
      </c>
      <c r="J81" s="451" t="s">
        <v>11</v>
      </c>
      <c r="K81" s="451" t="s">
        <v>12</v>
      </c>
      <c r="L81" s="451" t="s">
        <v>13</v>
      </c>
      <c r="M81" s="451" t="s">
        <v>14</v>
      </c>
      <c r="N81" s="451" t="s">
        <v>15</v>
      </c>
      <c r="O81" s="452" t="s">
        <v>16</v>
      </c>
      <c r="P81" s="454" t="s">
        <v>17</v>
      </c>
      <c r="Q81" s="451" t="s">
        <v>18</v>
      </c>
      <c r="R81" s="452" t="s">
        <v>19</v>
      </c>
      <c r="S81" s="451" t="s">
        <v>20</v>
      </c>
      <c r="T81" s="451" t="s">
        <v>21</v>
      </c>
      <c r="U81" s="452" t="s">
        <v>22</v>
      </c>
      <c r="V81" s="451" t="s">
        <v>131</v>
      </c>
      <c r="W81" s="451" t="s">
        <v>24</v>
      </c>
      <c r="X81" s="451" t="s">
        <v>132</v>
      </c>
      <c r="Y81" s="451" t="s">
        <v>26</v>
      </c>
      <c r="Z81" s="451" t="s">
        <v>27</v>
      </c>
      <c r="AA81" s="451" t="s">
        <v>28</v>
      </c>
      <c r="AB81" s="451" t="s">
        <v>29</v>
      </c>
      <c r="AC81" s="451" t="s">
        <v>30</v>
      </c>
      <c r="AD81" s="439"/>
      <c r="AE81" s="440"/>
      <c r="AF81" s="440"/>
      <c r="AG81" s="440"/>
      <c r="AH81" s="440"/>
      <c r="AI81" s="440"/>
      <c r="AJ81" s="440"/>
      <c r="AK81" s="440"/>
    </row>
    <row r="82" spans="1:37" s="587" customFormat="1" ht="54.95" customHeight="1" thickBot="1" x14ac:dyDescent="0.25">
      <c r="A82" s="584"/>
      <c r="B82" s="455" t="s">
        <v>5265</v>
      </c>
      <c r="C82" s="455" t="s">
        <v>5266</v>
      </c>
      <c r="D82" s="456" t="s">
        <v>5334</v>
      </c>
      <c r="E82" s="456"/>
      <c r="F82" s="457" t="s">
        <v>5335</v>
      </c>
      <c r="G82" s="457" t="s">
        <v>39</v>
      </c>
      <c r="H82" s="458">
        <v>3073.4</v>
      </c>
      <c r="I82" s="459" t="s">
        <v>5104</v>
      </c>
      <c r="J82" s="460">
        <v>40170</v>
      </c>
      <c r="K82" s="461">
        <v>45</v>
      </c>
      <c r="L82" s="462">
        <f>+J82+K82</f>
        <v>40215</v>
      </c>
      <c r="M82" s="459" t="s">
        <v>124</v>
      </c>
      <c r="N82" s="457" t="s">
        <v>42</v>
      </c>
      <c r="O82" s="460">
        <v>40193</v>
      </c>
      <c r="P82" s="461">
        <f>IF(S82="","",+S82-L82)</f>
        <v>-3</v>
      </c>
      <c r="Q82" s="591" t="s">
        <v>5336</v>
      </c>
      <c r="R82" s="460">
        <v>40205</v>
      </c>
      <c r="S82" s="471">
        <v>40212</v>
      </c>
      <c r="T82" s="471">
        <v>40247</v>
      </c>
      <c r="U82" s="461">
        <f>IF(T82="","",+T82-J82)</f>
        <v>77</v>
      </c>
      <c r="V82" s="468" t="s">
        <v>5337</v>
      </c>
      <c r="W82" s="493" t="s">
        <v>2418</v>
      </c>
      <c r="X82" s="592"/>
      <c r="Y82" s="467"/>
      <c r="Z82" s="468">
        <v>9005003140</v>
      </c>
      <c r="AA82" s="456" t="s">
        <v>5338</v>
      </c>
      <c r="AB82" s="460" t="s">
        <v>47</v>
      </c>
      <c r="AC82" s="470"/>
      <c r="AD82" s="645" t="str">
        <f>IF(P82="","",IF(P82&lt;=0,"en término","atrasado"))</f>
        <v>en término</v>
      </c>
    </row>
    <row r="83" spans="1:37" s="587" customFormat="1" ht="54.95" customHeight="1" thickBot="1" x14ac:dyDescent="0.25">
      <c r="A83" s="584"/>
      <c r="B83" s="455" t="s">
        <v>5265</v>
      </c>
      <c r="C83" s="455" t="s">
        <v>5339</v>
      </c>
      <c r="D83" s="456" t="s">
        <v>5340</v>
      </c>
      <c r="E83" s="456"/>
      <c r="F83" s="457" t="s">
        <v>5341</v>
      </c>
      <c r="G83" s="457" t="s">
        <v>1173</v>
      </c>
      <c r="H83" s="458">
        <v>48322.11</v>
      </c>
      <c r="I83" s="611" t="s">
        <v>5104</v>
      </c>
      <c r="J83" s="460">
        <v>40381</v>
      </c>
      <c r="K83" s="461">
        <v>70</v>
      </c>
      <c r="L83" s="462">
        <f>+J83+K83</f>
        <v>40451</v>
      </c>
      <c r="M83" s="611" t="s">
        <v>124</v>
      </c>
      <c r="N83" s="468" t="s">
        <v>1750</v>
      </c>
      <c r="O83" s="460">
        <v>40442</v>
      </c>
      <c r="P83" s="461">
        <f>IF(S83="","",+S83-L83)</f>
        <v>21</v>
      </c>
      <c r="Q83" s="461" t="s">
        <v>5342</v>
      </c>
      <c r="R83" s="460">
        <v>40456</v>
      </c>
      <c r="S83" s="471">
        <v>40472</v>
      </c>
      <c r="T83" s="464">
        <v>40502</v>
      </c>
      <c r="U83" s="461">
        <f>IF(T83="","",+T83-J83)</f>
        <v>121</v>
      </c>
      <c r="V83" s="468" t="s">
        <v>53</v>
      </c>
      <c r="W83" s="493" t="s">
        <v>2661</v>
      </c>
      <c r="X83" s="467"/>
      <c r="Y83" s="467"/>
      <c r="Z83" s="468">
        <v>3109968234</v>
      </c>
      <c r="AA83" s="456" t="s">
        <v>2852</v>
      </c>
      <c r="AB83" s="589" t="s">
        <v>5343</v>
      </c>
      <c r="AC83" s="470" t="s">
        <v>5344</v>
      </c>
      <c r="AD83" s="645" t="str">
        <f>IF(P83="","",IF(P83&lt;=0,"en término","atrasado"))</f>
        <v>atrasado</v>
      </c>
    </row>
    <row r="85" spans="1:37" x14ac:dyDescent="0.2">
      <c r="AA85" s="1">
        <v>2010</v>
      </c>
      <c r="AB85" s="1048"/>
    </row>
    <row r="86" spans="1:37" x14ac:dyDescent="0.2">
      <c r="AA86" s="945" t="s">
        <v>813</v>
      </c>
      <c r="AB86" s="1048">
        <f>COUNTA(AD78:AD86)</f>
        <v>2</v>
      </c>
    </row>
    <row r="87" spans="1:37" x14ac:dyDescent="0.2">
      <c r="AA87" s="945" t="s">
        <v>815</v>
      </c>
      <c r="AB87" s="1048">
        <f>COUNTIF(AD79:AD86,"en término")</f>
        <v>1</v>
      </c>
    </row>
    <row r="88" spans="1:37" x14ac:dyDescent="0.2">
      <c r="AA88" s="945" t="s">
        <v>817</v>
      </c>
      <c r="AB88" s="557">
        <f>+AB87/AB86</f>
        <v>0.5</v>
      </c>
    </row>
    <row r="90" spans="1:37" ht="13.5" thickBot="1" x14ac:dyDescent="0.25"/>
    <row r="91" spans="1:37" s="556" customFormat="1" ht="39.950000000000003" customHeight="1" thickBot="1" x14ac:dyDescent="0.4">
      <c r="B91" s="1611">
        <v>2011</v>
      </c>
      <c r="C91" s="1612"/>
      <c r="D91" s="1612"/>
      <c r="E91" s="1612"/>
      <c r="F91" s="1612"/>
      <c r="G91" s="1612"/>
      <c r="H91" s="1612"/>
      <c r="I91" s="1612"/>
      <c r="J91" s="1612"/>
      <c r="K91" s="1612"/>
      <c r="L91" s="1612"/>
      <c r="M91" s="1612"/>
      <c r="N91" s="1612"/>
      <c r="O91" s="1612"/>
      <c r="P91" s="1612"/>
      <c r="Q91" s="1612"/>
      <c r="R91" s="1612"/>
      <c r="S91" s="1612"/>
      <c r="T91" s="1612"/>
      <c r="U91" s="1612"/>
      <c r="V91" s="1612"/>
      <c r="W91" s="1612"/>
      <c r="X91" s="1612"/>
      <c r="Y91" s="1612"/>
      <c r="Z91" s="1612"/>
      <c r="AA91" s="1612"/>
      <c r="AB91" s="1612"/>
      <c r="AC91" s="1613"/>
      <c r="AD91" s="560"/>
    </row>
    <row r="92" spans="1:37" s="441" customFormat="1" ht="60" customHeight="1" thickBot="1" x14ac:dyDescent="0.25">
      <c r="A92" s="438"/>
      <c r="B92" s="451" t="s">
        <v>130</v>
      </c>
      <c r="C92" s="451" t="s">
        <v>4</v>
      </c>
      <c r="D92" s="451" t="s">
        <v>5</v>
      </c>
      <c r="E92" s="451" t="s">
        <v>6</v>
      </c>
      <c r="F92" s="451" t="s">
        <v>7</v>
      </c>
      <c r="G92" s="451" t="s">
        <v>8</v>
      </c>
      <c r="H92" s="453" t="s">
        <v>9</v>
      </c>
      <c r="I92" s="453" t="s">
        <v>10</v>
      </c>
      <c r="J92" s="451" t="s">
        <v>11</v>
      </c>
      <c r="K92" s="451" t="s">
        <v>12</v>
      </c>
      <c r="L92" s="451" t="s">
        <v>13</v>
      </c>
      <c r="M92" s="451" t="s">
        <v>14</v>
      </c>
      <c r="N92" s="451" t="s">
        <v>15</v>
      </c>
      <c r="O92" s="452" t="s">
        <v>16</v>
      </c>
      <c r="P92" s="454" t="s">
        <v>17</v>
      </c>
      <c r="Q92" s="451" t="s">
        <v>18</v>
      </c>
      <c r="R92" s="452" t="s">
        <v>19</v>
      </c>
      <c r="S92" s="451" t="s">
        <v>20</v>
      </c>
      <c r="T92" s="451" t="s">
        <v>21</v>
      </c>
      <c r="U92" s="452" t="s">
        <v>22</v>
      </c>
      <c r="V92" s="451" t="s">
        <v>131</v>
      </c>
      <c r="W92" s="451" t="s">
        <v>24</v>
      </c>
      <c r="X92" s="451" t="s">
        <v>132</v>
      </c>
      <c r="Y92" s="451" t="s">
        <v>26</v>
      </c>
      <c r="Z92" s="451" t="s">
        <v>27</v>
      </c>
      <c r="AA92" s="451" t="s">
        <v>28</v>
      </c>
      <c r="AB92" s="451" t="s">
        <v>29</v>
      </c>
      <c r="AC92" s="451" t="s">
        <v>30</v>
      </c>
      <c r="AD92" s="439"/>
      <c r="AE92" s="440"/>
      <c r="AF92" s="440"/>
      <c r="AG92" s="440"/>
      <c r="AH92" s="440"/>
      <c r="AI92" s="440"/>
      <c r="AJ92" s="440"/>
      <c r="AK92" s="440"/>
    </row>
    <row r="93" spans="1:37" ht="54.95" customHeight="1" thickBot="1" x14ac:dyDescent="0.25">
      <c r="B93" s="768" t="s">
        <v>5265</v>
      </c>
      <c r="C93" s="768" t="s">
        <v>5345</v>
      </c>
      <c r="D93" s="769" t="s">
        <v>5346</v>
      </c>
      <c r="E93" s="769"/>
      <c r="F93" s="770" t="s">
        <v>5347</v>
      </c>
      <c r="G93" s="770" t="s">
        <v>5348</v>
      </c>
      <c r="H93" s="771">
        <v>37810</v>
      </c>
      <c r="I93" s="772" t="s">
        <v>5349</v>
      </c>
      <c r="J93" s="773">
        <v>40687</v>
      </c>
      <c r="K93" s="774">
        <v>84</v>
      </c>
      <c r="L93" s="775">
        <v>40783</v>
      </c>
      <c r="M93" s="772" t="s">
        <v>124</v>
      </c>
      <c r="N93" s="776" t="s">
        <v>42</v>
      </c>
      <c r="O93" s="773">
        <v>40771</v>
      </c>
      <c r="P93" s="774">
        <f>IF(S93="","",+S93-L93)</f>
        <v>28</v>
      </c>
      <c r="Q93" s="774" t="s">
        <v>5350</v>
      </c>
      <c r="R93" s="773">
        <v>40780</v>
      </c>
      <c r="S93" s="777">
        <v>40811</v>
      </c>
      <c r="T93" s="696">
        <f>+S93+30</f>
        <v>40841</v>
      </c>
      <c r="U93" s="774">
        <f>IF(T93="","",+T93-J93)</f>
        <v>154</v>
      </c>
      <c r="V93" s="776" t="s">
        <v>73</v>
      </c>
      <c r="W93" s="778">
        <v>102</v>
      </c>
      <c r="X93" s="779"/>
      <c r="Y93" s="784" t="s">
        <v>47</v>
      </c>
      <c r="Z93" s="776">
        <v>3111221035</v>
      </c>
      <c r="AA93" s="769"/>
      <c r="AB93" s="773" t="s">
        <v>47</v>
      </c>
      <c r="AC93" s="780"/>
      <c r="AD93" s="645" t="str">
        <f>IF(P93="","",IF(P93&lt;=0,"en término","atrasado"))</f>
        <v>atrasado</v>
      </c>
      <c r="AE93" s="646"/>
    </row>
    <row r="102" spans="1:37" ht="13.5" thickBot="1" x14ac:dyDescent="0.25"/>
    <row r="103" spans="1:37" s="556" customFormat="1" ht="39.950000000000003" customHeight="1" thickBot="1" x14ac:dyDescent="0.4">
      <c r="B103" s="1611">
        <v>2013</v>
      </c>
      <c r="C103" s="1612"/>
      <c r="D103" s="1612"/>
      <c r="E103" s="1612"/>
      <c r="F103" s="1612"/>
      <c r="G103" s="1612"/>
      <c r="H103" s="1612"/>
      <c r="I103" s="1612"/>
      <c r="J103" s="1612"/>
      <c r="K103" s="1612"/>
      <c r="L103" s="1612"/>
      <c r="M103" s="1612"/>
      <c r="N103" s="1612"/>
      <c r="O103" s="1612"/>
      <c r="P103" s="1612"/>
      <c r="Q103" s="1612"/>
      <c r="R103" s="1612"/>
      <c r="S103" s="1612"/>
      <c r="T103" s="1612"/>
      <c r="U103" s="1612"/>
      <c r="V103" s="1612"/>
      <c r="W103" s="1612"/>
      <c r="X103" s="1612"/>
      <c r="Y103" s="1612"/>
      <c r="Z103" s="1612"/>
      <c r="AA103" s="1612"/>
      <c r="AB103" s="1612"/>
      <c r="AC103" s="1613"/>
      <c r="AD103" s="560"/>
    </row>
    <row r="104" spans="1:37" s="441" customFormat="1" ht="60" customHeight="1" thickBot="1" x14ac:dyDescent="0.25">
      <c r="A104" s="438"/>
      <c r="B104" s="451" t="s">
        <v>130</v>
      </c>
      <c r="C104" s="451" t="s">
        <v>4</v>
      </c>
      <c r="D104" s="451" t="s">
        <v>5</v>
      </c>
      <c r="E104" s="451" t="s">
        <v>6</v>
      </c>
      <c r="F104" s="451" t="s">
        <v>7</v>
      </c>
      <c r="G104" s="451" t="s">
        <v>8</v>
      </c>
      <c r="H104" s="453" t="s">
        <v>9</v>
      </c>
      <c r="I104" s="453" t="s">
        <v>10</v>
      </c>
      <c r="J104" s="451" t="s">
        <v>11</v>
      </c>
      <c r="K104" s="451" t="s">
        <v>12</v>
      </c>
      <c r="L104" s="451" t="s">
        <v>13</v>
      </c>
      <c r="M104" s="451" t="s">
        <v>14</v>
      </c>
      <c r="N104" s="451" t="s">
        <v>15</v>
      </c>
      <c r="O104" s="452" t="s">
        <v>16</v>
      </c>
      <c r="P104" s="454" t="s">
        <v>17</v>
      </c>
      <c r="Q104" s="451" t="s">
        <v>18</v>
      </c>
      <c r="R104" s="452" t="s">
        <v>19</v>
      </c>
      <c r="S104" s="451" t="s">
        <v>20</v>
      </c>
      <c r="T104" s="451" t="s">
        <v>21</v>
      </c>
      <c r="U104" s="452" t="s">
        <v>22</v>
      </c>
      <c r="V104" s="451" t="s">
        <v>131</v>
      </c>
      <c r="W104" s="451" t="s">
        <v>24</v>
      </c>
      <c r="X104" s="451" t="s">
        <v>132</v>
      </c>
      <c r="Y104" s="451" t="s">
        <v>26</v>
      </c>
      <c r="Z104" s="451" t="s">
        <v>27</v>
      </c>
      <c r="AA104" s="451" t="s">
        <v>28</v>
      </c>
      <c r="AB104" s="451" t="s">
        <v>29</v>
      </c>
      <c r="AC104" s="451" t="s">
        <v>30</v>
      </c>
      <c r="AD104" s="439"/>
      <c r="AE104" s="440"/>
      <c r="AF104" s="440"/>
      <c r="AG104" s="440"/>
      <c r="AH104" s="440"/>
      <c r="AI104" s="440"/>
      <c r="AJ104" s="440"/>
      <c r="AK104" s="440"/>
    </row>
    <row r="105" spans="1:37" s="587" customFormat="1" ht="54.95" customHeight="1" thickBot="1" x14ac:dyDescent="0.25">
      <c r="A105" s="649"/>
      <c r="B105" s="455" t="s">
        <v>5265</v>
      </c>
      <c r="C105" s="455" t="s">
        <v>5351</v>
      </c>
      <c r="D105" s="456" t="s">
        <v>5352</v>
      </c>
      <c r="E105" s="456"/>
      <c r="F105" s="457" t="s">
        <v>5353</v>
      </c>
      <c r="G105" s="457" t="s">
        <v>1535</v>
      </c>
      <c r="H105" s="458">
        <v>11015.4</v>
      </c>
      <c r="I105" s="611" t="s">
        <v>5292</v>
      </c>
      <c r="J105" s="460">
        <v>41361</v>
      </c>
      <c r="K105" s="461">
        <v>90</v>
      </c>
      <c r="L105" s="462">
        <f>+J105+K105</f>
        <v>41451</v>
      </c>
      <c r="M105" s="611" t="s">
        <v>124</v>
      </c>
      <c r="N105" s="468" t="s">
        <v>110</v>
      </c>
      <c r="O105" s="460">
        <v>41443</v>
      </c>
      <c r="P105" s="461">
        <f>IF(S105="","",+S105-L105)</f>
        <v>1</v>
      </c>
      <c r="Q105" s="461"/>
      <c r="R105" s="460"/>
      <c r="S105" s="471">
        <v>41452</v>
      </c>
      <c r="T105" s="462">
        <v>41455</v>
      </c>
      <c r="U105" s="461">
        <f>IF(T105="","",+T105-J105)</f>
        <v>94</v>
      </c>
      <c r="V105" s="468" t="s">
        <v>5354</v>
      </c>
      <c r="W105" s="493" t="s">
        <v>2314</v>
      </c>
      <c r="X105" s="467"/>
      <c r="Y105" s="467"/>
      <c r="Z105" s="468" t="s">
        <v>5355</v>
      </c>
      <c r="AA105" s="456"/>
      <c r="AB105" s="460" t="s">
        <v>47</v>
      </c>
      <c r="AC105" s="470" t="s">
        <v>5356</v>
      </c>
      <c r="AD105" s="645" t="str">
        <f>IF(P105="","",IF(P105&lt;=0,"en término","atrasado"))</f>
        <v>atrasado</v>
      </c>
    </row>
    <row r="113" spans="1:37" ht="13.5" thickBot="1" x14ac:dyDescent="0.25"/>
    <row r="114" spans="1:37" s="556" customFormat="1" ht="39.950000000000003" customHeight="1" thickBot="1" x14ac:dyDescent="0.4">
      <c r="B114" s="1611">
        <v>2017</v>
      </c>
      <c r="C114" s="1612"/>
      <c r="D114" s="1612"/>
      <c r="E114" s="1612"/>
      <c r="F114" s="1612"/>
      <c r="G114" s="1612"/>
      <c r="H114" s="1612"/>
      <c r="I114" s="1612"/>
      <c r="J114" s="1612"/>
      <c r="K114" s="1612"/>
      <c r="L114" s="1612"/>
      <c r="M114" s="1612"/>
      <c r="N114" s="1612"/>
      <c r="O114" s="1612"/>
      <c r="P114" s="1612"/>
      <c r="Q114" s="1612"/>
      <c r="R114" s="1612"/>
      <c r="S114" s="1612"/>
      <c r="T114" s="1612"/>
      <c r="U114" s="1612"/>
      <c r="V114" s="1612"/>
      <c r="W114" s="1612"/>
      <c r="X114" s="1612"/>
      <c r="Y114" s="1612"/>
      <c r="Z114" s="1612"/>
      <c r="AA114" s="1612"/>
      <c r="AB114" s="1612"/>
      <c r="AC114" s="1613"/>
      <c r="AD114" s="560"/>
    </row>
    <row r="115" spans="1:37" s="441" customFormat="1" ht="60" customHeight="1" thickBot="1" x14ac:dyDescent="0.25">
      <c r="A115" s="438"/>
      <c r="B115" s="451" t="s">
        <v>130</v>
      </c>
      <c r="C115" s="451" t="s">
        <v>4</v>
      </c>
      <c r="D115" s="451" t="s">
        <v>5</v>
      </c>
      <c r="E115" s="451" t="s">
        <v>6</v>
      </c>
      <c r="F115" s="451" t="s">
        <v>7</v>
      </c>
      <c r="G115" s="451" t="s">
        <v>8</v>
      </c>
      <c r="H115" s="453" t="s">
        <v>9</v>
      </c>
      <c r="I115" s="453" t="s">
        <v>10</v>
      </c>
      <c r="J115" s="451" t="s">
        <v>11</v>
      </c>
      <c r="K115" s="451" t="s">
        <v>12</v>
      </c>
      <c r="L115" s="451" t="s">
        <v>13</v>
      </c>
      <c r="M115" s="451" t="s">
        <v>14</v>
      </c>
      <c r="N115" s="451" t="s">
        <v>15</v>
      </c>
      <c r="O115" s="452" t="s">
        <v>16</v>
      </c>
      <c r="P115" s="454" t="s">
        <v>17</v>
      </c>
      <c r="Q115" s="451" t="s">
        <v>18</v>
      </c>
      <c r="R115" s="452" t="s">
        <v>19</v>
      </c>
      <c r="S115" s="451" t="s">
        <v>20</v>
      </c>
      <c r="T115" s="451" t="s">
        <v>21</v>
      </c>
      <c r="U115" s="452" t="s">
        <v>22</v>
      </c>
      <c r="V115" s="451" t="s">
        <v>131</v>
      </c>
      <c r="W115" s="451" t="s">
        <v>24</v>
      </c>
      <c r="X115" s="451" t="s">
        <v>132</v>
      </c>
      <c r="Y115" s="451" t="s">
        <v>26</v>
      </c>
      <c r="Z115" s="451" t="s">
        <v>27</v>
      </c>
      <c r="AA115" s="451" t="s">
        <v>28</v>
      </c>
      <c r="AB115" s="451" t="s">
        <v>29</v>
      </c>
      <c r="AC115" s="451" t="s">
        <v>30</v>
      </c>
      <c r="AD115" s="439"/>
      <c r="AE115" s="440"/>
      <c r="AF115" s="440"/>
      <c r="AG115" s="440"/>
      <c r="AH115" s="440"/>
      <c r="AI115" s="440"/>
      <c r="AJ115" s="440"/>
      <c r="AK115" s="440"/>
    </row>
    <row r="116" spans="1:37" s="649" customFormat="1" ht="54.95" customHeight="1" thickBot="1" x14ac:dyDescent="0.25">
      <c r="B116" s="1022" t="s">
        <v>5265</v>
      </c>
      <c r="C116" s="1022" t="s">
        <v>5357</v>
      </c>
      <c r="D116" s="901" t="s">
        <v>5358</v>
      </c>
      <c r="E116" s="901"/>
      <c r="F116" s="908" t="s">
        <v>5359</v>
      </c>
      <c r="G116" s="889" t="s">
        <v>39</v>
      </c>
      <c r="H116" s="890">
        <v>0</v>
      </c>
      <c r="I116" s="902"/>
      <c r="J116" s="892">
        <v>42821</v>
      </c>
      <c r="K116" s="893">
        <v>60</v>
      </c>
      <c r="L116" s="892">
        <f>+J116+K116</f>
        <v>42881</v>
      </c>
      <c r="M116" s="892" t="s">
        <v>124</v>
      </c>
      <c r="N116" s="889" t="s">
        <v>42</v>
      </c>
      <c r="O116" s="892">
        <v>42876</v>
      </c>
      <c r="P116" s="893">
        <f>IF(S116="","",+S116-L116)</f>
        <v>16</v>
      </c>
      <c r="Q116" s="901" t="s">
        <v>5360</v>
      </c>
      <c r="R116" s="903">
        <v>42891</v>
      </c>
      <c r="S116" s="904">
        <v>42897</v>
      </c>
      <c r="T116" s="894">
        <v>42932</v>
      </c>
      <c r="U116" s="893">
        <f>IF(T116="","",+T116-J116)</f>
        <v>111</v>
      </c>
      <c r="V116" s="901" t="s">
        <v>5361</v>
      </c>
      <c r="W116" s="897" t="s">
        <v>2758</v>
      </c>
      <c r="X116" s="889"/>
      <c r="Y116" s="905"/>
      <c r="Z116" s="889">
        <v>1193851175</v>
      </c>
      <c r="AA116" s="889"/>
      <c r="AB116" s="892" t="s">
        <v>47</v>
      </c>
      <c r="AC116" s="476" t="s">
        <v>5362</v>
      </c>
      <c r="AD116" s="645" t="str">
        <f>IF(P116="","",IF(P116&lt;=0,"en término","atrasado"))</f>
        <v>atrasado</v>
      </c>
      <c r="AE116" s="468" t="s">
        <v>5363</v>
      </c>
      <c r="AF116" s="468" t="s">
        <v>2929</v>
      </c>
    </row>
    <row r="121" spans="1:37" ht="13.5" thickBot="1" x14ac:dyDescent="0.25"/>
    <row r="122" spans="1:37" s="556" customFormat="1" ht="39.950000000000003" customHeight="1" thickBot="1" x14ac:dyDescent="0.4">
      <c r="B122" s="1611">
        <v>2022</v>
      </c>
      <c r="C122" s="1612"/>
      <c r="D122" s="1612"/>
      <c r="E122" s="1612"/>
      <c r="F122" s="1612"/>
      <c r="G122" s="1612"/>
      <c r="H122" s="1612"/>
      <c r="I122" s="1612"/>
      <c r="J122" s="1612"/>
      <c r="K122" s="1612"/>
      <c r="L122" s="1612"/>
      <c r="M122" s="1612"/>
      <c r="N122" s="1612"/>
      <c r="O122" s="1612"/>
      <c r="P122" s="1612"/>
      <c r="Q122" s="1612"/>
      <c r="R122" s="1612"/>
      <c r="S122" s="1612"/>
      <c r="T122" s="1612"/>
      <c r="U122" s="1612"/>
      <c r="V122" s="1612"/>
      <c r="W122" s="1612"/>
      <c r="X122" s="1612"/>
      <c r="Y122" s="1612"/>
      <c r="Z122" s="1612"/>
      <c r="AA122" s="1612"/>
      <c r="AB122" s="1612"/>
      <c r="AC122" s="1613"/>
      <c r="AD122" s="560"/>
    </row>
    <row r="123" spans="1:37" s="441" customFormat="1" ht="60" customHeight="1" thickBot="1" x14ac:dyDescent="0.25">
      <c r="A123" s="438"/>
      <c r="B123" s="451" t="s">
        <v>130</v>
      </c>
      <c r="C123" s="451" t="s">
        <v>4</v>
      </c>
      <c r="D123" s="451" t="s">
        <v>5</v>
      </c>
      <c r="E123" s="451" t="s">
        <v>6</v>
      </c>
      <c r="F123" s="451" t="s">
        <v>7</v>
      </c>
      <c r="G123" s="451" t="s">
        <v>8</v>
      </c>
      <c r="H123" s="453" t="s">
        <v>9</v>
      </c>
      <c r="I123" s="453" t="s">
        <v>10</v>
      </c>
      <c r="J123" s="451" t="s">
        <v>11</v>
      </c>
      <c r="K123" s="451" t="s">
        <v>12</v>
      </c>
      <c r="L123" s="451" t="s">
        <v>13</v>
      </c>
      <c r="M123" s="451" t="s">
        <v>14</v>
      </c>
      <c r="N123" s="451" t="s">
        <v>15</v>
      </c>
      <c r="O123" s="452" t="s">
        <v>16</v>
      </c>
      <c r="P123" s="454" t="s">
        <v>17</v>
      </c>
      <c r="Q123" s="451" t="s">
        <v>18</v>
      </c>
      <c r="R123" s="452" t="s">
        <v>19</v>
      </c>
      <c r="S123" s="451" t="s">
        <v>20</v>
      </c>
      <c r="T123" s="451" t="s">
        <v>21</v>
      </c>
      <c r="U123" s="452" t="s">
        <v>22</v>
      </c>
      <c r="V123" s="451" t="s">
        <v>131</v>
      </c>
      <c r="W123" s="451" t="s">
        <v>24</v>
      </c>
      <c r="X123" s="451" t="s">
        <v>132</v>
      </c>
      <c r="Y123" s="451" t="s">
        <v>26</v>
      </c>
      <c r="Z123" s="451" t="s">
        <v>27</v>
      </c>
      <c r="AA123" s="451" t="s">
        <v>28</v>
      </c>
      <c r="AB123" s="451" t="s">
        <v>29</v>
      </c>
      <c r="AC123" s="451" t="s">
        <v>30</v>
      </c>
      <c r="AD123" s="439"/>
      <c r="AE123" s="440"/>
      <c r="AF123" s="440"/>
      <c r="AG123" s="440"/>
      <c r="AH123" s="440"/>
      <c r="AI123" s="440"/>
      <c r="AJ123" s="440"/>
      <c r="AK123" s="440"/>
    </row>
    <row r="124" spans="1:37" s="587" customFormat="1" ht="54.95" customHeight="1" thickBot="1" x14ac:dyDescent="0.25">
      <c r="B124" s="1022" t="s">
        <v>5265</v>
      </c>
      <c r="C124" s="1022" t="s">
        <v>7781</v>
      </c>
      <c r="D124" s="901" t="s">
        <v>7783</v>
      </c>
      <c r="E124" s="901"/>
      <c r="F124" s="913" t="s">
        <v>7782</v>
      </c>
      <c r="G124" s="889" t="s">
        <v>39</v>
      </c>
      <c r="H124" s="890">
        <v>23209</v>
      </c>
      <c r="I124" s="902"/>
      <c r="J124" s="892">
        <v>44797</v>
      </c>
      <c r="K124" s="893">
        <v>110</v>
      </c>
      <c r="L124" s="892">
        <v>44907</v>
      </c>
      <c r="M124" s="892" t="s">
        <v>124</v>
      </c>
      <c r="N124" s="889" t="s">
        <v>42</v>
      </c>
      <c r="O124" s="892">
        <v>44869</v>
      </c>
      <c r="P124" s="893">
        <f>IF(S124="","",+S124-L124)</f>
        <v>17</v>
      </c>
      <c r="Q124" s="901" t="s">
        <v>7826</v>
      </c>
      <c r="R124" s="903">
        <v>44916</v>
      </c>
      <c r="S124" s="904">
        <v>44924</v>
      </c>
      <c r="T124" s="894">
        <v>44963</v>
      </c>
      <c r="U124" s="893">
        <f>IF(T124="","",+T124-J124)</f>
        <v>166</v>
      </c>
      <c r="V124" s="901" t="s">
        <v>53</v>
      </c>
      <c r="W124" s="1106" t="s">
        <v>7821</v>
      </c>
      <c r="X124" s="889"/>
      <c r="Y124" s="905"/>
      <c r="Z124" s="889"/>
      <c r="AA124" s="889"/>
      <c r="AB124" s="892">
        <v>44869</v>
      </c>
      <c r="AC124" s="476" t="s">
        <v>7825</v>
      </c>
      <c r="AD124" s="412" t="str">
        <f>IF(P124="","",IF(P124&lt;=0,"en término","atrasado"))</f>
        <v>atrasado</v>
      </c>
      <c r="AE124" s="468" t="s">
        <v>7820</v>
      </c>
      <c r="AF124" s="468" t="s">
        <v>3074</v>
      </c>
      <c r="AG124" s="1540">
        <v>44869</v>
      </c>
      <c r="AH124" s="649">
        <f>IF(AB124="","",+AB124-AG124)</f>
        <v>0</v>
      </c>
      <c r="AI124" s="649" t="str">
        <f t="shared" ref="AI124" si="0">IF(AH124="","",IF(AH124&lt;=0,"en término","atrasado"))</f>
        <v>en término</v>
      </c>
    </row>
    <row r="129" spans="2:35" ht="13.5" thickBot="1" x14ac:dyDescent="0.25"/>
    <row r="130" spans="2:35" s="556" customFormat="1" ht="39.950000000000003" customHeight="1" thickBot="1" x14ac:dyDescent="0.4">
      <c r="B130" s="1611">
        <v>2023</v>
      </c>
      <c r="C130" s="1612"/>
      <c r="D130" s="1612"/>
      <c r="E130" s="1612"/>
      <c r="F130" s="1612"/>
      <c r="G130" s="1612"/>
      <c r="H130" s="1612"/>
      <c r="I130" s="1612"/>
      <c r="J130" s="1612"/>
      <c r="K130" s="1612"/>
      <c r="L130" s="1612"/>
      <c r="M130" s="1612"/>
      <c r="N130" s="1612"/>
      <c r="O130" s="1612"/>
      <c r="P130" s="1612"/>
      <c r="Q130" s="1612"/>
      <c r="R130" s="1612"/>
      <c r="S130" s="1612"/>
      <c r="T130" s="1612"/>
      <c r="U130" s="1612"/>
      <c r="V130" s="1612"/>
      <c r="W130" s="1612"/>
      <c r="X130" s="1612"/>
      <c r="Y130" s="1612"/>
      <c r="Z130" s="1612"/>
      <c r="AA130" s="1612"/>
      <c r="AB130" s="1612"/>
      <c r="AC130" s="1613"/>
      <c r="AD130" s="560"/>
    </row>
    <row r="131" spans="2:35" s="587" customFormat="1" ht="54.95" customHeight="1" thickBot="1" x14ac:dyDescent="0.25">
      <c r="B131" s="1022" t="s">
        <v>5265</v>
      </c>
      <c r="C131" s="1022" t="s">
        <v>7781</v>
      </c>
      <c r="D131" s="901" t="s">
        <v>7783</v>
      </c>
      <c r="E131" s="901"/>
      <c r="F131" s="889" t="s">
        <v>7893</v>
      </c>
      <c r="G131" s="889" t="s">
        <v>39</v>
      </c>
      <c r="H131" s="1291" t="s">
        <v>7916</v>
      </c>
      <c r="I131" s="902"/>
      <c r="J131" s="892">
        <v>45001</v>
      </c>
      <c r="K131" s="893"/>
      <c r="L131" s="892" t="s">
        <v>2929</v>
      </c>
      <c r="M131" s="892" t="s">
        <v>124</v>
      </c>
      <c r="N131" s="889" t="s">
        <v>42</v>
      </c>
      <c r="O131" s="892">
        <v>45021</v>
      </c>
      <c r="P131" s="893"/>
      <c r="Q131" s="901"/>
      <c r="R131" s="903"/>
      <c r="S131" s="904">
        <v>45030</v>
      </c>
      <c r="T131" s="894">
        <f>+S131+5</f>
        <v>45035</v>
      </c>
      <c r="U131" s="893">
        <f>IF(T131="","",+T131-J131)</f>
        <v>34</v>
      </c>
      <c r="V131" s="901" t="s">
        <v>535</v>
      </c>
      <c r="W131" s="1106"/>
      <c r="X131" s="889"/>
      <c r="Y131" s="905"/>
      <c r="Z131" s="889"/>
      <c r="AA131" s="889"/>
      <c r="AB131" s="892" t="s">
        <v>7891</v>
      </c>
      <c r="AC131" s="476" t="s">
        <v>7892</v>
      </c>
      <c r="AD131" s="412" t="str">
        <f>IF(P131="","",IF(P131&lt;=0,"en término","atrasado"))</f>
        <v/>
      </c>
      <c r="AE131" s="468"/>
      <c r="AF131" s="468"/>
      <c r="AG131" s="1540"/>
      <c r="AH131" s="649"/>
      <c r="AI131" s="649"/>
    </row>
    <row r="132" spans="2:35" s="649" customFormat="1" ht="54.95" customHeight="1" thickBot="1" x14ac:dyDescent="0.25">
      <c r="B132" s="1022" t="s">
        <v>5265</v>
      </c>
      <c r="C132" s="1022" t="s">
        <v>7870</v>
      </c>
      <c r="D132" s="901" t="s">
        <v>7871</v>
      </c>
      <c r="E132" s="901"/>
      <c r="F132" s="889" t="s">
        <v>7872</v>
      </c>
      <c r="G132" s="889" t="s">
        <v>39</v>
      </c>
      <c r="H132" s="890">
        <v>42945</v>
      </c>
      <c r="I132" s="902"/>
      <c r="J132" s="892">
        <v>44988</v>
      </c>
      <c r="K132" s="893">
        <v>130</v>
      </c>
      <c r="L132" s="892">
        <v>45098</v>
      </c>
      <c r="M132" s="892" t="s">
        <v>124</v>
      </c>
      <c r="N132" s="889" t="s">
        <v>42</v>
      </c>
      <c r="O132" s="892">
        <v>45086</v>
      </c>
      <c r="P132" s="893">
        <f>IF(S132="","",+S132-L132)</f>
        <v>18</v>
      </c>
      <c r="Q132" s="901" t="s">
        <v>7985</v>
      </c>
      <c r="R132" s="903">
        <v>45098</v>
      </c>
      <c r="S132" s="904">
        <v>45116</v>
      </c>
      <c r="T132" s="894">
        <v>45161</v>
      </c>
      <c r="U132" s="893">
        <f>IF(T132="","",+T132-J132)</f>
        <v>173</v>
      </c>
      <c r="V132" s="901" t="s">
        <v>758</v>
      </c>
      <c r="W132" s="1106" t="s">
        <v>7973</v>
      </c>
      <c r="X132" s="889"/>
      <c r="Y132" s="905"/>
      <c r="Z132" s="889"/>
      <c r="AA132" s="889"/>
      <c r="AB132" s="892">
        <v>45083</v>
      </c>
      <c r="AC132" s="476" t="s">
        <v>7984</v>
      </c>
      <c r="AD132" s="645" t="str">
        <f>IF(P132="","",IF(P132&lt;=0,"en término","atrasado"))</f>
        <v>atrasado</v>
      </c>
      <c r="AE132" s="468" t="s">
        <v>7972</v>
      </c>
      <c r="AF132" s="468" t="s">
        <v>2943</v>
      </c>
      <c r="AG132" s="1540">
        <v>45083</v>
      </c>
      <c r="AH132" s="649">
        <f>IF(AB132="","",+AB132-AG132)</f>
        <v>0</v>
      </c>
      <c r="AI132" s="649" t="str">
        <f t="shared" ref="AI132" si="1">IF(AH132="","",IF(AH132&lt;=0,"en término","atrasado"))</f>
        <v>en término</v>
      </c>
    </row>
  </sheetData>
  <mergeCells count="13">
    <mergeCell ref="B130:AC130"/>
    <mergeCell ref="B7:AC7"/>
    <mergeCell ref="B14:AC14"/>
    <mergeCell ref="B68:AC68"/>
    <mergeCell ref="B42:AC42"/>
    <mergeCell ref="AC27:AC29"/>
    <mergeCell ref="B25:AC25"/>
    <mergeCell ref="B56:AC56"/>
    <mergeCell ref="B122:AC122"/>
    <mergeCell ref="B114:AC114"/>
    <mergeCell ref="B103:AC103"/>
    <mergeCell ref="B91:AC91"/>
    <mergeCell ref="B80:AC80"/>
  </mergeCells>
  <phoneticPr fontId="0" type="noConversion"/>
  <printOptions horizontalCentered="1"/>
  <pageMargins left="0.75" right="0.75" top="0.35" bottom="1" header="0" footer="0"/>
  <pageSetup paperSize="5" scale="37" orientation="landscape" r:id="rId1"/>
  <headerFooter alignWithMargins="0">
    <oddFooter>&amp;LBNDF 3.1085 Rev. _3/11/00&amp;CINFORME O/C ENTREGADAS - &amp;D&amp;R&amp;A&amp;P de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AN88"/>
  <sheetViews>
    <sheetView topLeftCell="G75" zoomScaleNormal="100" workbookViewId="0">
      <selection activeCell="B8" sqref="B8:AC8"/>
    </sheetView>
  </sheetViews>
  <sheetFormatPr baseColWidth="10" defaultColWidth="11.42578125" defaultRowHeight="11.25" x14ac:dyDescent="0.2"/>
  <cols>
    <col min="1" max="1" width="5.28515625" style="2" customWidth="1"/>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12" thickBot="1" x14ac:dyDescent="0.25"/>
    <row r="5" spans="1:36" s="556" customFormat="1" ht="39.950000000000003" customHeight="1" thickBot="1" x14ac:dyDescent="0.4">
      <c r="B5" s="1611">
        <v>2005</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9" customFormat="1" x14ac:dyDescent="0.2">
      <c r="A7" s="328"/>
      <c r="B7" s="16"/>
      <c r="C7" s="16"/>
      <c r="D7" s="7"/>
      <c r="E7" s="7"/>
      <c r="F7" s="6"/>
      <c r="G7" s="6"/>
      <c r="H7" s="17"/>
      <c r="I7" s="17"/>
      <c r="J7" s="7"/>
      <c r="K7" s="7"/>
      <c r="L7" s="23"/>
      <c r="M7" s="6"/>
      <c r="N7" s="6"/>
      <c r="O7" s="6"/>
      <c r="P7" s="6"/>
      <c r="Q7" s="6"/>
      <c r="R7" s="6"/>
      <c r="S7" s="6" t="s">
        <v>5364</v>
      </c>
      <c r="T7" s="6" t="s">
        <v>5365</v>
      </c>
      <c r="U7" s="6"/>
      <c r="V7" s="138"/>
      <c r="W7" s="6"/>
      <c r="X7" s="293"/>
      <c r="Y7" s="293"/>
      <c r="Z7" s="6"/>
      <c r="AA7" s="6"/>
      <c r="AB7" s="6"/>
      <c r="AC7" s="6"/>
      <c r="AD7" s="330"/>
    </row>
    <row r="8" spans="1:36" s="9" customFormat="1" x14ac:dyDescent="0.2">
      <c r="A8" s="328"/>
      <c r="B8" s="16" t="s">
        <v>5366</v>
      </c>
      <c r="C8" s="16" t="s">
        <v>5367</v>
      </c>
      <c r="D8" s="7" t="s">
        <v>5368</v>
      </c>
      <c r="E8" s="7"/>
      <c r="F8" s="6" t="s">
        <v>5369</v>
      </c>
      <c r="G8" s="6" t="s">
        <v>532</v>
      </c>
      <c r="H8" s="17">
        <v>6781.18</v>
      </c>
      <c r="I8" s="39" t="s">
        <v>5370</v>
      </c>
      <c r="J8" s="7">
        <v>38330</v>
      </c>
      <c r="K8" s="331">
        <v>60</v>
      </c>
      <c r="L8" s="23">
        <f>+J8+K8</f>
        <v>38390</v>
      </c>
      <c r="M8" s="18" t="s">
        <v>124</v>
      </c>
      <c r="N8" s="6"/>
      <c r="O8" s="7">
        <v>38379</v>
      </c>
      <c r="P8" s="331">
        <f>IF(O8="","",+O8-L8)</f>
        <v>-11</v>
      </c>
      <c r="Q8" s="331"/>
      <c r="R8" s="331"/>
      <c r="S8" s="175">
        <v>38392</v>
      </c>
      <c r="T8" s="7">
        <v>38426</v>
      </c>
      <c r="U8" s="331">
        <f>IF(T8="","",+T8-J8)</f>
        <v>96</v>
      </c>
      <c r="V8" s="6" t="s">
        <v>5371</v>
      </c>
      <c r="W8" s="340" t="s">
        <v>5372</v>
      </c>
      <c r="X8" s="293"/>
      <c r="Y8" s="293"/>
      <c r="Z8" s="6">
        <v>6673533974</v>
      </c>
      <c r="AA8" s="7">
        <v>38423</v>
      </c>
      <c r="AB8" s="7" t="s">
        <v>47</v>
      </c>
      <c r="AC8" s="7"/>
      <c r="AD8" s="10" t="str">
        <f>IF(O8&lt;=L8,"en término","atrasado")</f>
        <v>en término</v>
      </c>
    </row>
    <row r="9" spans="1:36" s="9" customFormat="1" ht="12" thickBot="1" x14ac:dyDescent="0.25">
      <c r="A9" s="328"/>
      <c r="B9" s="19"/>
      <c r="C9" s="19"/>
      <c r="D9" s="5"/>
      <c r="E9" s="5"/>
      <c r="F9" s="5"/>
      <c r="G9" s="5"/>
      <c r="H9" s="105"/>
      <c r="I9" s="21"/>
      <c r="J9" s="27"/>
      <c r="K9" s="5"/>
      <c r="L9" s="27"/>
      <c r="M9" s="5"/>
      <c r="N9" s="5"/>
      <c r="O9" s="27"/>
      <c r="P9" s="27"/>
      <c r="Q9" s="27"/>
      <c r="R9" s="27"/>
      <c r="S9" s="5"/>
      <c r="T9" s="5" t="s">
        <v>5373</v>
      </c>
      <c r="U9" s="5"/>
      <c r="V9" s="224"/>
      <c r="W9" s="5"/>
      <c r="X9" s="294"/>
      <c r="Y9" s="294"/>
      <c r="Z9" s="5">
        <v>6673533941</v>
      </c>
      <c r="AA9" s="5" t="s">
        <v>5374</v>
      </c>
      <c r="AB9" s="5"/>
      <c r="AC9" s="5"/>
      <c r="AD9" s="330"/>
    </row>
    <row r="10" spans="1:36" s="28" customFormat="1" ht="15.75" customHeight="1" x14ac:dyDescent="0.2">
      <c r="A10" s="328"/>
      <c r="B10" s="335"/>
      <c r="C10" s="336"/>
      <c r="D10" s="336"/>
      <c r="E10" s="336"/>
      <c r="F10" s="336"/>
      <c r="G10" s="336"/>
      <c r="H10" s="336"/>
      <c r="I10" s="336"/>
      <c r="J10" s="336"/>
      <c r="K10" s="336"/>
      <c r="L10" s="336"/>
      <c r="M10" s="336"/>
      <c r="N10" s="336"/>
      <c r="O10" s="336"/>
      <c r="P10" s="336"/>
      <c r="Q10" s="336"/>
      <c r="R10" s="336"/>
      <c r="S10" s="336"/>
      <c r="W10" s="337"/>
      <c r="X10" s="337"/>
      <c r="Y10" s="337"/>
      <c r="Z10" s="337"/>
      <c r="AA10" s="337"/>
      <c r="AB10" s="337"/>
      <c r="AC10" s="337"/>
      <c r="AD10" s="330"/>
    </row>
    <row r="11" spans="1:36" ht="12.75" x14ac:dyDescent="0.2">
      <c r="Z11" s="1">
        <v>2005</v>
      </c>
      <c r="AA11" s="1048"/>
    </row>
    <row r="12" spans="1:36" ht="12.75" x14ac:dyDescent="0.2">
      <c r="Z12" s="945" t="s">
        <v>813</v>
      </c>
      <c r="AA12" s="1048">
        <f>COUNTA(AD8)</f>
        <v>1</v>
      </c>
    </row>
    <row r="13" spans="1:36" ht="12.75" x14ac:dyDescent="0.2">
      <c r="Z13" s="945" t="s">
        <v>4709</v>
      </c>
      <c r="AA13" s="1048">
        <f>COUNTIF(AD8,"en término")</f>
        <v>1</v>
      </c>
    </row>
    <row r="14" spans="1:36" ht="12.75" x14ac:dyDescent="0.2">
      <c r="Z14" s="945" t="s">
        <v>817</v>
      </c>
      <c r="AA14" s="557">
        <f>+AA13/AA12</f>
        <v>1</v>
      </c>
    </row>
    <row r="17" spans="1:36" ht="12" thickBot="1" x14ac:dyDescent="0.25"/>
    <row r="18" spans="1:36" s="556" customFormat="1" ht="39.950000000000003" customHeight="1" thickBot="1" x14ac:dyDescent="0.4">
      <c r="B18" s="1611">
        <v>2006</v>
      </c>
      <c r="C18" s="1612"/>
      <c r="D18" s="1612"/>
      <c r="E18" s="1612"/>
      <c r="F18" s="1612"/>
      <c r="G18" s="1612"/>
      <c r="H18" s="1612"/>
      <c r="I18" s="1612"/>
      <c r="J18" s="1612"/>
      <c r="K18" s="1612"/>
      <c r="L18" s="1612"/>
      <c r="M18" s="1612"/>
      <c r="N18" s="1612"/>
      <c r="O18" s="1612"/>
      <c r="P18" s="1612"/>
      <c r="Q18" s="1612"/>
      <c r="R18" s="1612"/>
      <c r="S18" s="1612"/>
      <c r="T18" s="1612"/>
      <c r="U18" s="1612"/>
      <c r="V18" s="1612"/>
      <c r="W18" s="1612"/>
      <c r="X18" s="1612"/>
      <c r="Y18" s="1612"/>
      <c r="Z18" s="1612"/>
      <c r="AA18" s="1612"/>
      <c r="AB18" s="1612"/>
      <c r="AC18" s="1613"/>
    </row>
    <row r="19" spans="1:36" s="441" customFormat="1" ht="60" customHeight="1" thickBot="1" x14ac:dyDescent="0.25">
      <c r="A19" s="438"/>
      <c r="B19" s="451" t="s">
        <v>130</v>
      </c>
      <c r="C19" s="451" t="s">
        <v>4</v>
      </c>
      <c r="D19" s="451" t="s">
        <v>5</v>
      </c>
      <c r="E19" s="451" t="s">
        <v>6</v>
      </c>
      <c r="F19" s="451" t="s">
        <v>7</v>
      </c>
      <c r="G19" s="451" t="s">
        <v>8</v>
      </c>
      <c r="H19" s="453" t="s">
        <v>9</v>
      </c>
      <c r="I19" s="453" t="s">
        <v>10</v>
      </c>
      <c r="J19" s="451" t="s">
        <v>11</v>
      </c>
      <c r="K19" s="451" t="s">
        <v>12</v>
      </c>
      <c r="L19" s="451" t="s">
        <v>13</v>
      </c>
      <c r="M19" s="451" t="s">
        <v>14</v>
      </c>
      <c r="N19" s="451" t="s">
        <v>15</v>
      </c>
      <c r="O19" s="452" t="s">
        <v>16</v>
      </c>
      <c r="P19" s="454" t="s">
        <v>17</v>
      </c>
      <c r="Q19" s="451" t="s">
        <v>18</v>
      </c>
      <c r="R19" s="452" t="s">
        <v>19</v>
      </c>
      <c r="S19" s="451" t="s">
        <v>20</v>
      </c>
      <c r="T19" s="451" t="s">
        <v>21</v>
      </c>
      <c r="U19" s="452" t="s">
        <v>22</v>
      </c>
      <c r="V19" s="451" t="s">
        <v>131</v>
      </c>
      <c r="W19" s="451" t="s">
        <v>24</v>
      </c>
      <c r="X19" s="451" t="s">
        <v>132</v>
      </c>
      <c r="Y19" s="451" t="s">
        <v>26</v>
      </c>
      <c r="Z19" s="451" t="s">
        <v>27</v>
      </c>
      <c r="AA19" s="451" t="s">
        <v>28</v>
      </c>
      <c r="AB19" s="451" t="s">
        <v>29</v>
      </c>
      <c r="AC19" s="451" t="s">
        <v>30</v>
      </c>
      <c r="AD19" s="439"/>
      <c r="AE19" s="440"/>
      <c r="AF19" s="440"/>
      <c r="AG19" s="440"/>
      <c r="AH19" s="440"/>
      <c r="AI19" s="440"/>
      <c r="AJ19" s="440"/>
    </row>
    <row r="20" spans="1:36" s="9" customFormat="1" x14ac:dyDescent="0.2">
      <c r="A20" s="328"/>
      <c r="B20" s="16"/>
      <c r="C20" s="16"/>
      <c r="D20" s="7"/>
      <c r="E20" s="7"/>
      <c r="F20" s="6"/>
      <c r="G20" s="6"/>
      <c r="H20" s="17" t="s">
        <v>77</v>
      </c>
      <c r="I20" s="17"/>
      <c r="J20" s="7"/>
      <c r="K20" s="7"/>
      <c r="L20" s="23"/>
      <c r="M20" s="6"/>
      <c r="N20" s="6"/>
      <c r="O20" s="6"/>
      <c r="P20" s="6"/>
      <c r="Q20" s="6"/>
      <c r="R20" s="6"/>
      <c r="S20" s="6" t="s">
        <v>5375</v>
      </c>
      <c r="T20" s="6"/>
      <c r="U20" s="6"/>
      <c r="V20" s="138"/>
      <c r="W20" s="6"/>
      <c r="X20" s="59"/>
      <c r="Y20" s="59"/>
      <c r="Z20" s="6"/>
      <c r="AA20" s="6"/>
      <c r="AB20" s="6"/>
      <c r="AC20" s="6"/>
      <c r="AD20" s="330"/>
    </row>
    <row r="21" spans="1:36" s="9" customFormat="1" x14ac:dyDescent="0.2">
      <c r="A21" s="328"/>
      <c r="B21" s="16" t="s">
        <v>5366</v>
      </c>
      <c r="C21" s="16" t="s">
        <v>5367</v>
      </c>
      <c r="D21" s="7" t="s">
        <v>5376</v>
      </c>
      <c r="E21" s="7"/>
      <c r="F21" s="6" t="s">
        <v>5377</v>
      </c>
      <c r="G21" s="6" t="s">
        <v>39</v>
      </c>
      <c r="H21" s="17">
        <v>4468.6000000000004</v>
      </c>
      <c r="I21" s="39" t="s">
        <v>5378</v>
      </c>
      <c r="J21" s="18">
        <v>38845</v>
      </c>
      <c r="K21" s="331">
        <v>60</v>
      </c>
      <c r="L21" s="348">
        <f>+J21+K21</f>
        <v>38905</v>
      </c>
      <c r="M21" s="18" t="s">
        <v>124</v>
      </c>
      <c r="N21" s="6" t="s">
        <v>42</v>
      </c>
      <c r="O21" s="18">
        <v>38895</v>
      </c>
      <c r="P21" s="331">
        <f>IF(S21="","",+S21-L21)</f>
        <v>0</v>
      </c>
      <c r="Q21" s="331"/>
      <c r="R21" s="331"/>
      <c r="S21" s="349">
        <v>38905</v>
      </c>
      <c r="T21" s="18">
        <v>38924</v>
      </c>
      <c r="U21" s="331">
        <f>IF(T21="","",+T21-J21)</f>
        <v>79</v>
      </c>
      <c r="V21" s="6" t="s">
        <v>5379</v>
      </c>
      <c r="W21" s="340">
        <v>133</v>
      </c>
      <c r="X21" s="59"/>
      <c r="Y21" s="59"/>
      <c r="Z21" s="6">
        <v>6631322180</v>
      </c>
      <c r="AA21" s="6" t="s">
        <v>47</v>
      </c>
      <c r="AB21" s="7" t="s">
        <v>47</v>
      </c>
      <c r="AC21" s="7"/>
      <c r="AD21" s="10" t="str">
        <f>IF(O21&lt;=L21,"en término","atrasado")</f>
        <v>en término</v>
      </c>
    </row>
    <row r="22" spans="1:36" s="9" customFormat="1" x14ac:dyDescent="0.2">
      <c r="A22" s="328"/>
      <c r="B22" s="16"/>
      <c r="C22" s="16"/>
      <c r="D22" s="7"/>
      <c r="E22" s="7"/>
      <c r="F22" s="6"/>
      <c r="G22" s="6"/>
      <c r="H22" s="17"/>
      <c r="I22" s="39"/>
      <c r="J22" s="18"/>
      <c r="K22" s="331"/>
      <c r="L22" s="348"/>
      <c r="M22" s="18"/>
      <c r="N22" s="6"/>
      <c r="O22" s="18"/>
      <c r="P22" s="331"/>
      <c r="Q22" s="331"/>
      <c r="R22" s="331"/>
      <c r="S22" s="246" t="s">
        <v>5380</v>
      </c>
      <c r="T22" s="18"/>
      <c r="U22" s="331"/>
      <c r="V22" s="6"/>
      <c r="W22" s="340"/>
      <c r="X22" s="59"/>
      <c r="Y22" s="59"/>
      <c r="Z22" s="6"/>
      <c r="AA22" s="7">
        <v>39197</v>
      </c>
      <c r="AB22" s="7">
        <v>39199</v>
      </c>
      <c r="AC22" s="7"/>
      <c r="AD22" s="330"/>
    </row>
    <row r="23" spans="1:36" s="9" customFormat="1" ht="12" thickBot="1" x14ac:dyDescent="0.25">
      <c r="A23" s="328"/>
      <c r="B23" s="398" t="s">
        <v>5381</v>
      </c>
      <c r="C23" s="19"/>
      <c r="D23" s="5"/>
      <c r="E23" s="5"/>
      <c r="F23" s="5"/>
      <c r="G23" s="5"/>
      <c r="H23" s="26"/>
      <c r="I23" s="21"/>
      <c r="J23" s="5"/>
      <c r="K23" s="5"/>
      <c r="L23" s="27"/>
      <c r="M23" s="5"/>
      <c r="N23" s="5"/>
      <c r="O23" s="19"/>
      <c r="P23" s="19"/>
      <c r="Q23" s="19"/>
      <c r="R23" s="19"/>
      <c r="S23" s="404"/>
      <c r="T23" s="5"/>
      <c r="U23" s="19"/>
      <c r="V23" s="224"/>
      <c r="W23" s="5"/>
      <c r="X23" s="61"/>
      <c r="Y23" s="61"/>
      <c r="Z23" s="5"/>
      <c r="AA23" s="5"/>
      <c r="AB23" s="27"/>
      <c r="AC23" s="27"/>
      <c r="AD23" s="330"/>
    </row>
    <row r="25" spans="1:36" ht="12.75" x14ac:dyDescent="0.2">
      <c r="AA25" s="1">
        <v>2006</v>
      </c>
      <c r="AB25" s="1048"/>
    </row>
    <row r="26" spans="1:36" ht="12.75" x14ac:dyDescent="0.2">
      <c r="AA26" s="945" t="s">
        <v>813</v>
      </c>
      <c r="AB26" s="1048">
        <f>COUNTA(AD21)</f>
        <v>1</v>
      </c>
    </row>
    <row r="27" spans="1:36" ht="12.75" x14ac:dyDescent="0.2">
      <c r="AA27" s="945" t="s">
        <v>4709</v>
      </c>
      <c r="AB27" s="1048">
        <f>COUNTIF(AD21,"en término")</f>
        <v>1</v>
      </c>
    </row>
    <row r="28" spans="1:36" ht="12.75" x14ac:dyDescent="0.2">
      <c r="AA28" s="945" t="s">
        <v>817</v>
      </c>
      <c r="AB28" s="557">
        <f>+AB27/AB26</f>
        <v>1</v>
      </c>
    </row>
    <row r="29" spans="1:36" ht="12" x14ac:dyDescent="0.2">
      <c r="AA29" s="24"/>
      <c r="AB29" s="201"/>
      <c r="AC29" s="201"/>
    </row>
    <row r="30" spans="1:36" ht="12" thickBot="1" x14ac:dyDescent="0.25"/>
    <row r="31" spans="1:36" s="556" customFormat="1" ht="39.950000000000003" customHeight="1" thickBot="1" x14ac:dyDescent="0.4">
      <c r="B31" s="1611">
        <v>2007</v>
      </c>
      <c r="C31" s="1612"/>
      <c r="D31" s="1612"/>
      <c r="E31" s="1612"/>
      <c r="F31" s="1612"/>
      <c r="G31" s="1612"/>
      <c r="H31" s="1612"/>
      <c r="I31" s="1612"/>
      <c r="J31" s="1612"/>
      <c r="K31" s="1612"/>
      <c r="L31" s="1612"/>
      <c r="M31" s="1612"/>
      <c r="N31" s="1612"/>
      <c r="O31" s="1612"/>
      <c r="P31" s="1612"/>
      <c r="Q31" s="1612"/>
      <c r="R31" s="1612"/>
      <c r="S31" s="1612"/>
      <c r="T31" s="1612"/>
      <c r="U31" s="1612"/>
      <c r="V31" s="1612"/>
      <c r="W31" s="1612"/>
      <c r="X31" s="1612"/>
      <c r="Y31" s="1612"/>
      <c r="Z31" s="1612"/>
      <c r="AA31" s="1612"/>
      <c r="AB31" s="1612"/>
      <c r="AC31" s="1613"/>
    </row>
    <row r="32" spans="1:36" s="441" customFormat="1" ht="60" customHeight="1" thickBot="1" x14ac:dyDescent="0.25">
      <c r="A32" s="438"/>
      <c r="B32" s="451" t="s">
        <v>130</v>
      </c>
      <c r="C32" s="451" t="s">
        <v>4</v>
      </c>
      <c r="D32" s="451" t="s">
        <v>5</v>
      </c>
      <c r="E32" s="451" t="s">
        <v>6</v>
      </c>
      <c r="F32" s="451" t="s">
        <v>7</v>
      </c>
      <c r="G32" s="451" t="s">
        <v>8</v>
      </c>
      <c r="H32" s="453" t="s">
        <v>9</v>
      </c>
      <c r="I32" s="453" t="s">
        <v>10</v>
      </c>
      <c r="J32" s="451" t="s">
        <v>11</v>
      </c>
      <c r="K32" s="451" t="s">
        <v>12</v>
      </c>
      <c r="L32" s="451" t="s">
        <v>13</v>
      </c>
      <c r="M32" s="451" t="s">
        <v>14</v>
      </c>
      <c r="N32" s="451" t="s">
        <v>15</v>
      </c>
      <c r="O32" s="452" t="s">
        <v>16</v>
      </c>
      <c r="P32" s="454" t="s">
        <v>17</v>
      </c>
      <c r="Q32" s="451" t="s">
        <v>18</v>
      </c>
      <c r="R32" s="452" t="s">
        <v>19</v>
      </c>
      <c r="S32" s="451" t="s">
        <v>20</v>
      </c>
      <c r="T32" s="451" t="s">
        <v>21</v>
      </c>
      <c r="U32" s="452" t="s">
        <v>22</v>
      </c>
      <c r="V32" s="451" t="s">
        <v>131</v>
      </c>
      <c r="W32" s="451" t="s">
        <v>24</v>
      </c>
      <c r="X32" s="451" t="s">
        <v>132</v>
      </c>
      <c r="Y32" s="451" t="s">
        <v>26</v>
      </c>
      <c r="Z32" s="451" t="s">
        <v>27</v>
      </c>
      <c r="AA32" s="451" t="s">
        <v>28</v>
      </c>
      <c r="AB32" s="451" t="s">
        <v>29</v>
      </c>
      <c r="AC32" s="451" t="s">
        <v>30</v>
      </c>
      <c r="AD32" s="439"/>
      <c r="AE32" s="440"/>
      <c r="AF32" s="440"/>
      <c r="AG32" s="440"/>
      <c r="AH32" s="440"/>
      <c r="AI32" s="440"/>
      <c r="AJ32" s="440"/>
    </row>
    <row r="33" spans="1:36" s="9" customFormat="1" ht="54.95" customHeight="1" thickBot="1" x14ac:dyDescent="0.25">
      <c r="A33" s="328"/>
      <c r="B33" s="455" t="s">
        <v>5366</v>
      </c>
      <c r="C33" s="455" t="s">
        <v>5382</v>
      </c>
      <c r="D33" s="456" t="s">
        <v>5383</v>
      </c>
      <c r="E33" s="456"/>
      <c r="F33" s="457" t="s">
        <v>5384</v>
      </c>
      <c r="G33" s="457" t="s">
        <v>39</v>
      </c>
      <c r="H33" s="458">
        <v>279</v>
      </c>
      <c r="I33" s="459" t="s">
        <v>5378</v>
      </c>
      <c r="J33" s="460">
        <v>39183</v>
      </c>
      <c r="K33" s="461">
        <v>10</v>
      </c>
      <c r="L33" s="462">
        <f>+J33+K33</f>
        <v>39193</v>
      </c>
      <c r="M33" s="460" t="s">
        <v>124</v>
      </c>
      <c r="N33" s="457" t="s">
        <v>5385</v>
      </c>
      <c r="O33" s="460">
        <v>39217</v>
      </c>
      <c r="P33" s="461">
        <v>0</v>
      </c>
      <c r="Q33" s="461"/>
      <c r="R33" s="461"/>
      <c r="S33" s="471">
        <v>39224</v>
      </c>
      <c r="T33" s="460">
        <v>39234</v>
      </c>
      <c r="U33" s="461">
        <f>IF(T33="","",+T33-J33)</f>
        <v>51</v>
      </c>
      <c r="V33" s="457" t="s">
        <v>5386</v>
      </c>
      <c r="W33" s="493">
        <v>217</v>
      </c>
      <c r="X33" s="467"/>
      <c r="Y33" s="467"/>
      <c r="Z33" s="457">
        <v>6631322611</v>
      </c>
      <c r="AA33" s="457" t="s">
        <v>5387</v>
      </c>
      <c r="AB33" s="456" t="s">
        <v>5388</v>
      </c>
      <c r="AC33" s="494" t="s">
        <v>5389</v>
      </c>
      <c r="AD33" s="10" t="str">
        <f>IF(O33&lt;=L33,"en término","atrasado")</f>
        <v>atrasado</v>
      </c>
      <c r="AE33" s="10"/>
    </row>
    <row r="34" spans="1:36" s="587" customFormat="1" ht="54.95" customHeight="1" thickBot="1" x14ac:dyDescent="0.25">
      <c r="A34" s="584"/>
      <c r="B34" s="585" t="s">
        <v>5366</v>
      </c>
      <c r="C34" s="455" t="s">
        <v>5382</v>
      </c>
      <c r="D34" s="456" t="s">
        <v>5390</v>
      </c>
      <c r="E34" s="456"/>
      <c r="F34" s="457" t="s">
        <v>5391</v>
      </c>
      <c r="G34" s="457" t="s">
        <v>39</v>
      </c>
      <c r="H34" s="458">
        <v>4820</v>
      </c>
      <c r="I34" s="459" t="s">
        <v>5378</v>
      </c>
      <c r="J34" s="460">
        <v>39398</v>
      </c>
      <c r="K34" s="461">
        <v>30</v>
      </c>
      <c r="L34" s="462">
        <f>+J34+K34</f>
        <v>39428</v>
      </c>
      <c r="M34" s="459" t="s">
        <v>124</v>
      </c>
      <c r="N34" s="457" t="s">
        <v>42</v>
      </c>
      <c r="O34" s="460">
        <v>39409</v>
      </c>
      <c r="P34" s="461">
        <f>IF(S34="","",+S34-L34)</f>
        <v>-4</v>
      </c>
      <c r="Q34" s="461" t="s">
        <v>5392</v>
      </c>
      <c r="R34" s="460">
        <v>39416</v>
      </c>
      <c r="S34" s="471">
        <v>39424</v>
      </c>
      <c r="T34" s="460">
        <f>+S34+41</f>
        <v>39465</v>
      </c>
      <c r="U34" s="461">
        <f>IF(T34="","",+T34-J34)</f>
        <v>67</v>
      </c>
      <c r="V34" s="468" t="s">
        <v>5393</v>
      </c>
      <c r="W34" s="457">
        <v>270</v>
      </c>
      <c r="X34" s="467"/>
      <c r="Y34" s="467"/>
      <c r="Z34" s="468" t="s">
        <v>5394</v>
      </c>
      <c r="AA34" s="456" t="s">
        <v>5395</v>
      </c>
      <c r="AB34" s="456" t="s">
        <v>2404</v>
      </c>
      <c r="AC34" s="499" t="s">
        <v>5396</v>
      </c>
      <c r="AD34" s="10" t="str">
        <f>IF(O34&lt;=L34,"en término","atrasado")</f>
        <v>en término</v>
      </c>
      <c r="AE34" s="412"/>
    </row>
    <row r="36" spans="1:36" ht="12.75" x14ac:dyDescent="0.2">
      <c r="AA36" s="1">
        <v>2007</v>
      </c>
      <c r="AB36" s="1048"/>
    </row>
    <row r="37" spans="1:36" ht="12.75" x14ac:dyDescent="0.2">
      <c r="AA37" s="945" t="s">
        <v>813</v>
      </c>
      <c r="AB37" s="1048">
        <f>COUNTA(AD33:AD34)</f>
        <v>2</v>
      </c>
    </row>
    <row r="38" spans="1:36" ht="12.75" x14ac:dyDescent="0.2">
      <c r="AA38" s="945" t="s">
        <v>4709</v>
      </c>
      <c r="AB38" s="1048">
        <f>COUNTIF(AD33:AD34,"en término")</f>
        <v>1</v>
      </c>
    </row>
    <row r="39" spans="1:36" ht="12.75" x14ac:dyDescent="0.2">
      <c r="AA39" s="945" t="s">
        <v>817</v>
      </c>
      <c r="AB39" s="557">
        <f>+AB38/AB37</f>
        <v>0.5</v>
      </c>
    </row>
    <row r="40" spans="1:36" ht="12.75" x14ac:dyDescent="0.2">
      <c r="AA40" s="945"/>
      <c r="AB40" s="557"/>
    </row>
    <row r="41" spans="1:36" ht="13.5" thickBot="1" x14ac:dyDescent="0.25">
      <c r="AA41" s="945"/>
      <c r="AB41" s="1048"/>
    </row>
    <row r="42" spans="1:36" s="556" customFormat="1" ht="39.950000000000003" customHeight="1" thickBot="1" x14ac:dyDescent="0.4">
      <c r="B42" s="1611">
        <v>2008</v>
      </c>
      <c r="C42" s="1612"/>
      <c r="D42" s="1612"/>
      <c r="E42" s="1612"/>
      <c r="F42" s="1612"/>
      <c r="G42" s="1612"/>
      <c r="H42" s="1612"/>
      <c r="I42" s="1612"/>
      <c r="J42" s="1612"/>
      <c r="K42" s="1612"/>
      <c r="L42" s="1612"/>
      <c r="M42" s="1612"/>
      <c r="N42" s="1612"/>
      <c r="O42" s="1612"/>
      <c r="P42" s="1612"/>
      <c r="Q42" s="1612"/>
      <c r="R42" s="1612"/>
      <c r="S42" s="1612"/>
      <c r="T42" s="1612"/>
      <c r="U42" s="1612"/>
      <c r="V42" s="1612"/>
      <c r="W42" s="1612"/>
      <c r="X42" s="1612"/>
      <c r="Y42" s="1612"/>
      <c r="Z42" s="1612"/>
      <c r="AA42" s="1612"/>
      <c r="AB42" s="1612"/>
      <c r="AC42" s="1613"/>
    </row>
    <row r="43" spans="1:36" s="441" customFormat="1" ht="60" customHeight="1" thickBot="1" x14ac:dyDescent="0.25">
      <c r="A43" s="438"/>
      <c r="B43" s="451" t="s">
        <v>130</v>
      </c>
      <c r="C43" s="451" t="s">
        <v>4</v>
      </c>
      <c r="D43" s="451" t="s">
        <v>5</v>
      </c>
      <c r="E43" s="451" t="s">
        <v>6</v>
      </c>
      <c r="F43" s="451" t="s">
        <v>7</v>
      </c>
      <c r="G43" s="451" t="s">
        <v>8</v>
      </c>
      <c r="H43" s="453" t="s">
        <v>9</v>
      </c>
      <c r="I43" s="453" t="s">
        <v>10</v>
      </c>
      <c r="J43" s="451" t="s">
        <v>11</v>
      </c>
      <c r="K43" s="451" t="s">
        <v>12</v>
      </c>
      <c r="L43" s="451" t="s">
        <v>13</v>
      </c>
      <c r="M43" s="451" t="s">
        <v>14</v>
      </c>
      <c r="N43" s="451" t="s">
        <v>15</v>
      </c>
      <c r="O43" s="452" t="s">
        <v>16</v>
      </c>
      <c r="P43" s="454" t="s">
        <v>17</v>
      </c>
      <c r="Q43" s="451" t="s">
        <v>18</v>
      </c>
      <c r="R43" s="452" t="s">
        <v>19</v>
      </c>
      <c r="S43" s="451" t="s">
        <v>20</v>
      </c>
      <c r="T43" s="451" t="s">
        <v>21</v>
      </c>
      <c r="U43" s="452" t="s">
        <v>22</v>
      </c>
      <c r="V43" s="451" t="s">
        <v>131</v>
      </c>
      <c r="W43" s="451" t="s">
        <v>24</v>
      </c>
      <c r="X43" s="451" t="s">
        <v>132</v>
      </c>
      <c r="Y43" s="451" t="s">
        <v>26</v>
      </c>
      <c r="Z43" s="451" t="s">
        <v>27</v>
      </c>
      <c r="AA43" s="451" t="s">
        <v>28</v>
      </c>
      <c r="AB43" s="451" t="s">
        <v>29</v>
      </c>
      <c r="AC43" s="451" t="s">
        <v>30</v>
      </c>
      <c r="AD43" s="439"/>
      <c r="AE43" s="440"/>
      <c r="AF43" s="440"/>
      <c r="AG43" s="440"/>
      <c r="AH43" s="440"/>
      <c r="AI43" s="440"/>
      <c r="AJ43" s="440"/>
    </row>
    <row r="44" spans="1:36" s="587" customFormat="1" ht="54.95" customHeight="1" thickBot="1" x14ac:dyDescent="0.25">
      <c r="A44" s="584"/>
      <c r="B44" s="585" t="s">
        <v>5366</v>
      </c>
      <c r="C44" s="455" t="s">
        <v>5382</v>
      </c>
      <c r="D44" s="456" t="s">
        <v>5397</v>
      </c>
      <c r="E44" s="456"/>
      <c r="F44" s="457" t="s">
        <v>5398</v>
      </c>
      <c r="G44" s="457" t="s">
        <v>39</v>
      </c>
      <c r="H44" s="458">
        <v>2370</v>
      </c>
      <c r="I44" s="459" t="s">
        <v>5378</v>
      </c>
      <c r="J44" s="460">
        <v>39427</v>
      </c>
      <c r="K44" s="461">
        <v>30</v>
      </c>
      <c r="L44" s="462">
        <f>+J44+K44</f>
        <v>39457</v>
      </c>
      <c r="M44" s="459" t="s">
        <v>124</v>
      </c>
      <c r="N44" s="457" t="s">
        <v>42</v>
      </c>
      <c r="O44" s="460">
        <v>39451</v>
      </c>
      <c r="P44" s="461">
        <f>IF(S44="","",+S44-L44)</f>
        <v>2</v>
      </c>
      <c r="Q44" s="461" t="s">
        <v>5399</v>
      </c>
      <c r="R44" s="460">
        <v>39455</v>
      </c>
      <c r="S44" s="471">
        <v>39459</v>
      </c>
      <c r="T44" s="460">
        <f>+S44+41</f>
        <v>39500</v>
      </c>
      <c r="U44" s="461">
        <f>IF(T44="","",+T44-J44)</f>
        <v>73</v>
      </c>
      <c r="V44" s="468" t="s">
        <v>5400</v>
      </c>
      <c r="W44" s="457">
        <v>283</v>
      </c>
      <c r="X44" s="467"/>
      <c r="Y44" s="467"/>
      <c r="Z44" s="468" t="s">
        <v>5401</v>
      </c>
      <c r="AA44" s="456" t="s">
        <v>2238</v>
      </c>
      <c r="AB44" s="456" t="s">
        <v>2404</v>
      </c>
      <c r="AC44" s="499" t="s">
        <v>5402</v>
      </c>
      <c r="AD44" s="10" t="str">
        <f>IF(P44="","",IF(P44&lt;=0,"en término","atrasado"))</f>
        <v>atrasado</v>
      </c>
      <c r="AE44" s="412"/>
    </row>
    <row r="45" spans="1:36" s="587" customFormat="1" ht="54.95" customHeight="1" thickBot="1" x14ac:dyDescent="0.25">
      <c r="A45" s="584"/>
      <c r="B45" s="585" t="s">
        <v>5366</v>
      </c>
      <c r="C45" s="455" t="s">
        <v>5382</v>
      </c>
      <c r="D45" s="456" t="s">
        <v>5403</v>
      </c>
      <c r="E45" s="456"/>
      <c r="F45" s="457" t="s">
        <v>5404</v>
      </c>
      <c r="G45" s="457" t="s">
        <v>39</v>
      </c>
      <c r="H45" s="458">
        <v>615.9</v>
      </c>
      <c r="I45" s="459" t="s">
        <v>5378</v>
      </c>
      <c r="J45" s="460">
        <v>39605</v>
      </c>
      <c r="K45" s="461">
        <v>21</v>
      </c>
      <c r="L45" s="462">
        <f>+J45+K45</f>
        <v>39626</v>
      </c>
      <c r="M45" s="459" t="s">
        <v>124</v>
      </c>
      <c r="N45" s="457" t="s">
        <v>656</v>
      </c>
      <c r="O45" s="460">
        <v>39619</v>
      </c>
      <c r="P45" s="461">
        <f>IF(S45="","",+S45-L45)</f>
        <v>6</v>
      </c>
      <c r="Q45" s="461"/>
      <c r="R45" s="460"/>
      <c r="S45" s="471">
        <v>39632</v>
      </c>
      <c r="T45" s="471">
        <f>+S45+20</f>
        <v>39652</v>
      </c>
      <c r="U45" s="461">
        <f>IF(T45="","",+T45-J45)</f>
        <v>47</v>
      </c>
      <c r="V45" s="468" t="s">
        <v>5405</v>
      </c>
      <c r="W45" s="457">
        <v>336</v>
      </c>
      <c r="X45" s="592"/>
      <c r="Y45" s="467"/>
      <c r="Z45" s="457" t="s">
        <v>1676</v>
      </c>
      <c r="AA45" s="456" t="s">
        <v>2822</v>
      </c>
      <c r="AB45" s="460" t="s">
        <v>2703</v>
      </c>
      <c r="AC45" s="470"/>
      <c r="AD45" s="10" t="str">
        <f>IF(P45="","",IF(P45&lt;=0,"en término","atrasado"))</f>
        <v>atrasado</v>
      </c>
      <c r="AE45" s="412"/>
    </row>
    <row r="48" spans="1:36" ht="12.75" x14ac:dyDescent="0.2">
      <c r="AA48" s="1">
        <v>2008</v>
      </c>
      <c r="AB48" s="1048"/>
    </row>
    <row r="49" spans="1:40" ht="12.75" x14ac:dyDescent="0.2">
      <c r="AA49" s="945" t="s">
        <v>813</v>
      </c>
      <c r="AB49" s="1048">
        <f>COUNTA(AD43:AD45)</f>
        <v>2</v>
      </c>
    </row>
    <row r="50" spans="1:40" ht="12.75" x14ac:dyDescent="0.2">
      <c r="AA50" s="945" t="s">
        <v>4709</v>
      </c>
      <c r="AB50" s="1048">
        <f>COUNTIF(AD43:AD45,"en término")</f>
        <v>0</v>
      </c>
    </row>
    <row r="51" spans="1:40" ht="12.75" x14ac:dyDescent="0.2">
      <c r="AA51" s="945" t="s">
        <v>817</v>
      </c>
      <c r="AB51" s="557">
        <f>+AB50/AB49</f>
        <v>0</v>
      </c>
    </row>
    <row r="54" spans="1:40" ht="12" thickBot="1" x14ac:dyDescent="0.25"/>
    <row r="55" spans="1:40" s="556" customFormat="1" ht="39.950000000000003" customHeight="1" thickBot="1" x14ac:dyDescent="0.4">
      <c r="B55" s="1611">
        <v>2009</v>
      </c>
      <c r="C55" s="1612"/>
      <c r="D55" s="1612"/>
      <c r="E55" s="1612"/>
      <c r="F55" s="1612"/>
      <c r="G55" s="1612"/>
      <c r="H55" s="1612"/>
      <c r="I55" s="1612"/>
      <c r="J55" s="1612"/>
      <c r="K55" s="1612"/>
      <c r="L55" s="1612"/>
      <c r="M55" s="1612"/>
      <c r="N55" s="1612"/>
      <c r="O55" s="1612"/>
      <c r="P55" s="1612"/>
      <c r="Q55" s="1612"/>
      <c r="R55" s="1612"/>
      <c r="S55" s="1612"/>
      <c r="T55" s="1612"/>
      <c r="U55" s="1612"/>
      <c r="V55" s="1612"/>
      <c r="W55" s="1612"/>
      <c r="X55" s="1612"/>
      <c r="Y55" s="1612"/>
      <c r="Z55" s="1612"/>
      <c r="AA55" s="1612"/>
      <c r="AB55" s="1612"/>
      <c r="AC55" s="1613"/>
    </row>
    <row r="56" spans="1:40" s="441" customFormat="1" ht="60" customHeight="1" thickBot="1" x14ac:dyDescent="0.25">
      <c r="A56" s="438"/>
      <c r="B56" s="451" t="s">
        <v>130</v>
      </c>
      <c r="C56" s="451" t="s">
        <v>4</v>
      </c>
      <c r="D56" s="451" t="s">
        <v>5</v>
      </c>
      <c r="E56" s="451" t="s">
        <v>6</v>
      </c>
      <c r="F56" s="451" t="s">
        <v>7</v>
      </c>
      <c r="G56" s="451" t="s">
        <v>8</v>
      </c>
      <c r="H56" s="453" t="s">
        <v>9</v>
      </c>
      <c r="I56" s="453" t="s">
        <v>10</v>
      </c>
      <c r="J56" s="451" t="s">
        <v>11</v>
      </c>
      <c r="K56" s="451" t="s">
        <v>12</v>
      </c>
      <c r="L56" s="451" t="s">
        <v>13</v>
      </c>
      <c r="M56" s="451" t="s">
        <v>14</v>
      </c>
      <c r="N56" s="451" t="s">
        <v>15</v>
      </c>
      <c r="O56" s="452" t="s">
        <v>16</v>
      </c>
      <c r="P56" s="454" t="s">
        <v>17</v>
      </c>
      <c r="Q56" s="451" t="s">
        <v>18</v>
      </c>
      <c r="R56" s="452" t="s">
        <v>19</v>
      </c>
      <c r="S56" s="451" t="s">
        <v>20</v>
      </c>
      <c r="T56" s="451" t="s">
        <v>21</v>
      </c>
      <c r="U56" s="452" t="s">
        <v>22</v>
      </c>
      <c r="V56" s="451" t="s">
        <v>131</v>
      </c>
      <c r="W56" s="451" t="s">
        <v>24</v>
      </c>
      <c r="X56" s="451" t="s">
        <v>132</v>
      </c>
      <c r="Y56" s="451" t="s">
        <v>26</v>
      </c>
      <c r="Z56" s="451" t="s">
        <v>27</v>
      </c>
      <c r="AA56" s="451" t="s">
        <v>28</v>
      </c>
      <c r="AB56" s="451" t="s">
        <v>29</v>
      </c>
      <c r="AC56" s="451" t="s">
        <v>30</v>
      </c>
      <c r="AD56" s="439"/>
      <c r="AE56" s="440"/>
      <c r="AF56" s="440"/>
      <c r="AG56" s="440"/>
      <c r="AH56" s="440"/>
      <c r="AI56" s="440"/>
      <c r="AJ56" s="440"/>
    </row>
    <row r="57" spans="1:40" s="587" customFormat="1" ht="78.599999999999994" customHeight="1" thickBot="1" x14ac:dyDescent="0.25">
      <c r="A57" s="584"/>
      <c r="B57" s="455" t="s">
        <v>5366</v>
      </c>
      <c r="C57" s="455" t="s">
        <v>5367</v>
      </c>
      <c r="D57" s="456" t="s">
        <v>5406</v>
      </c>
      <c r="E57" s="456"/>
      <c r="F57" s="457" t="s">
        <v>5407</v>
      </c>
      <c r="G57" s="457" t="s">
        <v>39</v>
      </c>
      <c r="H57" s="458">
        <v>6030</v>
      </c>
      <c r="I57" s="459" t="s">
        <v>5378</v>
      </c>
      <c r="J57" s="460">
        <v>40016</v>
      </c>
      <c r="K57" s="461">
        <v>45</v>
      </c>
      <c r="L57" s="462">
        <f>+J57+K57</f>
        <v>40061</v>
      </c>
      <c r="M57" s="459" t="s">
        <v>124</v>
      </c>
      <c r="N57" s="457" t="s">
        <v>42</v>
      </c>
      <c r="O57" s="460">
        <v>40050</v>
      </c>
      <c r="P57" s="461">
        <v>0</v>
      </c>
      <c r="Q57" s="591" t="s">
        <v>5408</v>
      </c>
      <c r="R57" s="460">
        <v>40057</v>
      </c>
      <c r="S57" s="471">
        <v>40082</v>
      </c>
      <c r="T57" s="471">
        <v>40124</v>
      </c>
      <c r="U57" s="461">
        <f>IF(T57="","",+T57-J57)</f>
        <v>108</v>
      </c>
      <c r="V57" s="468" t="s">
        <v>5409</v>
      </c>
      <c r="W57" s="457">
        <v>415</v>
      </c>
      <c r="X57" s="592"/>
      <c r="Y57" s="467"/>
      <c r="Z57" s="468">
        <v>6510425423</v>
      </c>
      <c r="AA57" s="456" t="s">
        <v>5410</v>
      </c>
      <c r="AB57" s="460" t="s">
        <v>1835</v>
      </c>
      <c r="AC57" s="470" t="s">
        <v>5411</v>
      </c>
      <c r="AD57" s="645" t="str">
        <f>IF(P57="","",IF(P57&lt;=0,"en término","atrasado"))</f>
        <v>en término</v>
      </c>
    </row>
    <row r="58" spans="1:40" s="587" customFormat="1" ht="54.95" customHeight="1" thickBot="1" x14ac:dyDescent="0.25">
      <c r="A58" s="584"/>
      <c r="B58" s="1043" t="s">
        <v>5366</v>
      </c>
      <c r="C58" s="1043" t="s">
        <v>5382</v>
      </c>
      <c r="D58" s="1044" t="s">
        <v>5412</v>
      </c>
      <c r="E58" s="1044"/>
      <c r="F58" s="1028" t="s">
        <v>5413</v>
      </c>
      <c r="G58" s="1028" t="s">
        <v>1192</v>
      </c>
      <c r="H58" s="1029">
        <v>5900</v>
      </c>
      <c r="I58" s="640" t="s">
        <v>5378</v>
      </c>
      <c r="J58" s="1032">
        <v>40309</v>
      </c>
      <c r="K58" s="1041">
        <v>60</v>
      </c>
      <c r="L58" s="641">
        <f>+J58+K58</f>
        <v>40369</v>
      </c>
      <c r="M58" s="640" t="s">
        <v>124</v>
      </c>
      <c r="N58" s="446" t="s">
        <v>1750</v>
      </c>
      <c r="O58" s="1032">
        <v>40365</v>
      </c>
      <c r="P58" s="1041">
        <f>IF(S58="","",+S58-L58)</f>
        <v>18</v>
      </c>
      <c r="Q58" s="1041" t="s">
        <v>5414</v>
      </c>
      <c r="R58" s="1032">
        <v>40380</v>
      </c>
      <c r="S58" s="642">
        <v>40387</v>
      </c>
      <c r="T58" s="1031">
        <f>+S58+41</f>
        <v>40428</v>
      </c>
      <c r="U58" s="1041">
        <f>IF(T58="","",+T58-J58)</f>
        <v>119</v>
      </c>
      <c r="V58" s="446" t="s">
        <v>53</v>
      </c>
      <c r="W58" s="659" t="s">
        <v>2626</v>
      </c>
      <c r="X58" s="643"/>
      <c r="Y58" s="643"/>
      <c r="Z58" s="446">
        <v>2192839051</v>
      </c>
      <c r="AA58" s="1044" t="s">
        <v>47</v>
      </c>
      <c r="AB58" s="1032" t="s">
        <v>2851</v>
      </c>
      <c r="AC58" s="644"/>
      <c r="AD58" s="645" t="str">
        <f>IF(P58="","",IF(P58&lt;=0,"en término","atrasado"))</f>
        <v>atrasado</v>
      </c>
    </row>
    <row r="59" spans="1:40" s="413" customFormat="1" ht="54.95" customHeight="1" thickBot="1" x14ac:dyDescent="0.25">
      <c r="A59" s="411"/>
      <c r="B59" s="455" t="s">
        <v>5366</v>
      </c>
      <c r="C59" s="455" t="s">
        <v>5382</v>
      </c>
      <c r="D59" s="456" t="s">
        <v>5415</v>
      </c>
      <c r="E59" s="456"/>
      <c r="F59" s="457" t="s">
        <v>5416</v>
      </c>
      <c r="G59" s="457" t="s">
        <v>1192</v>
      </c>
      <c r="H59" s="458">
        <v>415</v>
      </c>
      <c r="I59" s="611" t="s">
        <v>5378</v>
      </c>
      <c r="J59" s="460">
        <v>40508</v>
      </c>
      <c r="K59" s="461">
        <v>30</v>
      </c>
      <c r="L59" s="462">
        <f>+J59+K59</f>
        <v>40538</v>
      </c>
      <c r="M59" s="611" t="s">
        <v>124</v>
      </c>
      <c r="N59" s="468" t="s">
        <v>656</v>
      </c>
      <c r="O59" s="460">
        <v>40533</v>
      </c>
      <c r="P59" s="461">
        <f>IF(S59="","",+S59-L59)</f>
        <v>11</v>
      </c>
      <c r="Q59" s="461" t="s">
        <v>5417</v>
      </c>
      <c r="R59" s="460">
        <v>40546</v>
      </c>
      <c r="S59" s="471">
        <v>40549</v>
      </c>
      <c r="T59" s="464">
        <f>+S59+3</f>
        <v>40552</v>
      </c>
      <c r="U59" s="461">
        <f>IF(T59="","",+T59-J59)</f>
        <v>44</v>
      </c>
      <c r="V59" s="468" t="s">
        <v>5418</v>
      </c>
      <c r="W59" s="493">
        <v>131</v>
      </c>
      <c r="X59" s="467"/>
      <c r="Y59" s="467"/>
      <c r="Z59" s="468" t="s">
        <v>1676</v>
      </c>
      <c r="AA59" s="456" t="s">
        <v>47</v>
      </c>
      <c r="AB59" s="460" t="s">
        <v>47</v>
      </c>
      <c r="AC59" s="470"/>
      <c r="AD59" s="645" t="str">
        <f>IF(P59="","",IF(P59&lt;=0,"en término","atrasado"))</f>
        <v>atrasado</v>
      </c>
      <c r="AE59" s="646"/>
      <c r="AF59" s="410"/>
      <c r="AG59" s="410"/>
      <c r="AH59" s="410"/>
      <c r="AI59" s="410"/>
      <c r="AJ59" s="410"/>
      <c r="AK59" s="410"/>
      <c r="AL59" s="410"/>
      <c r="AM59" s="410"/>
      <c r="AN59" s="410"/>
    </row>
    <row r="61" spans="1:40" ht="12.75" x14ac:dyDescent="0.2">
      <c r="AA61" s="1">
        <v>2009</v>
      </c>
      <c r="AB61" s="1048"/>
    </row>
    <row r="62" spans="1:40" ht="12.75" x14ac:dyDescent="0.2">
      <c r="AA62" s="945" t="s">
        <v>813</v>
      </c>
      <c r="AB62" s="1048">
        <f>COUNTA(AD57:AD59)</f>
        <v>3</v>
      </c>
    </row>
    <row r="63" spans="1:40" ht="12.75" x14ac:dyDescent="0.2">
      <c r="AA63" s="945" t="s">
        <v>4709</v>
      </c>
      <c r="AB63" s="1048">
        <f>COUNTIF(AD56:AD58,"en término")</f>
        <v>1</v>
      </c>
    </row>
    <row r="64" spans="1:40" ht="12.75" x14ac:dyDescent="0.2">
      <c r="AA64" s="945" t="s">
        <v>817</v>
      </c>
      <c r="AB64" s="557">
        <f>+AB63/AB62</f>
        <v>0.33333333333333331</v>
      </c>
    </row>
    <row r="65" spans="1:40" ht="13.5" thickBot="1" x14ac:dyDescent="0.25">
      <c r="AA65" s="945"/>
      <c r="AB65" s="557"/>
    </row>
    <row r="66" spans="1:40" s="556" customFormat="1" ht="39.950000000000003" customHeight="1" thickBot="1" x14ac:dyDescent="0.4">
      <c r="B66" s="1611">
        <v>2011</v>
      </c>
      <c r="C66" s="1612"/>
      <c r="D66" s="1612"/>
      <c r="E66" s="1612"/>
      <c r="F66" s="1612"/>
      <c r="G66" s="1612"/>
      <c r="H66" s="1612"/>
      <c r="I66" s="1612"/>
      <c r="J66" s="1612"/>
      <c r="K66" s="1612"/>
      <c r="L66" s="1612"/>
      <c r="M66" s="1612"/>
      <c r="N66" s="1612"/>
      <c r="O66" s="1612"/>
      <c r="P66" s="1612"/>
      <c r="Q66" s="1612"/>
      <c r="R66" s="1612"/>
      <c r="S66" s="1612"/>
      <c r="T66" s="1612"/>
      <c r="U66" s="1612"/>
      <c r="V66" s="1612"/>
      <c r="W66" s="1612"/>
      <c r="X66" s="1612"/>
      <c r="Y66" s="1612"/>
      <c r="Z66" s="1612"/>
      <c r="AA66" s="1612"/>
      <c r="AB66" s="1612"/>
      <c r="AC66" s="1613"/>
    </row>
    <row r="67" spans="1:40" s="441" customFormat="1" ht="60" customHeight="1" thickBot="1" x14ac:dyDescent="0.25">
      <c r="A67" s="438"/>
      <c r="B67" s="451" t="s">
        <v>130</v>
      </c>
      <c r="C67" s="451" t="s">
        <v>4</v>
      </c>
      <c r="D67" s="451" t="s">
        <v>5</v>
      </c>
      <c r="E67" s="451" t="s">
        <v>6</v>
      </c>
      <c r="F67" s="451" t="s">
        <v>7</v>
      </c>
      <c r="G67" s="451" t="s">
        <v>8</v>
      </c>
      <c r="H67" s="453" t="s">
        <v>9</v>
      </c>
      <c r="I67" s="453" t="s">
        <v>10</v>
      </c>
      <c r="J67" s="451" t="s">
        <v>11</v>
      </c>
      <c r="K67" s="451" t="s">
        <v>12</v>
      </c>
      <c r="L67" s="451" t="s">
        <v>13</v>
      </c>
      <c r="M67" s="451" t="s">
        <v>14</v>
      </c>
      <c r="N67" s="451" t="s">
        <v>15</v>
      </c>
      <c r="O67" s="452" t="s">
        <v>16</v>
      </c>
      <c r="P67" s="454" t="s">
        <v>17</v>
      </c>
      <c r="Q67" s="451" t="s">
        <v>18</v>
      </c>
      <c r="R67" s="452" t="s">
        <v>19</v>
      </c>
      <c r="S67" s="451" t="s">
        <v>20</v>
      </c>
      <c r="T67" s="451" t="s">
        <v>21</v>
      </c>
      <c r="U67" s="452" t="s">
        <v>22</v>
      </c>
      <c r="V67" s="451" t="s">
        <v>131</v>
      </c>
      <c r="W67" s="451" t="s">
        <v>24</v>
      </c>
      <c r="X67" s="451" t="s">
        <v>132</v>
      </c>
      <c r="Y67" s="451" t="s">
        <v>26</v>
      </c>
      <c r="Z67" s="451" t="s">
        <v>27</v>
      </c>
      <c r="AA67" s="451" t="s">
        <v>28</v>
      </c>
      <c r="AB67" s="451" t="s">
        <v>29</v>
      </c>
      <c r="AC67" s="451" t="s">
        <v>30</v>
      </c>
      <c r="AD67" s="439"/>
      <c r="AE67" s="440"/>
      <c r="AF67" s="440"/>
      <c r="AG67" s="440"/>
      <c r="AH67" s="440"/>
      <c r="AI67" s="440"/>
      <c r="AJ67" s="440"/>
    </row>
    <row r="68" spans="1:40" s="413" customFormat="1" ht="54.95" customHeight="1" thickBot="1" x14ac:dyDescent="0.25">
      <c r="A68" s="411"/>
      <c r="B68" s="785" t="s">
        <v>5366</v>
      </c>
      <c r="C68" s="785" t="s">
        <v>5382</v>
      </c>
      <c r="D68" s="786" t="s">
        <v>5415</v>
      </c>
      <c r="E68" s="786"/>
      <c r="F68" s="787" t="s">
        <v>5416</v>
      </c>
      <c r="G68" s="787" t="s">
        <v>1192</v>
      </c>
      <c r="H68" s="788">
        <v>9415</v>
      </c>
      <c r="I68" s="789" t="s">
        <v>5378</v>
      </c>
      <c r="J68" s="790">
        <v>40508</v>
      </c>
      <c r="K68" s="791">
        <v>60</v>
      </c>
      <c r="L68" s="792">
        <f>+J68+K68</f>
        <v>40568</v>
      </c>
      <c r="M68" s="789" t="s">
        <v>124</v>
      </c>
      <c r="N68" s="793" t="s">
        <v>5419</v>
      </c>
      <c r="O68" s="790">
        <v>40547</v>
      </c>
      <c r="P68" s="791">
        <f>IF(S68="","",+S68-L68)</f>
        <v>16</v>
      </c>
      <c r="Q68" s="791"/>
      <c r="R68" s="790">
        <v>40582</v>
      </c>
      <c r="S68" s="794">
        <v>40584</v>
      </c>
      <c r="T68" s="795">
        <f>+S68+40</f>
        <v>40624</v>
      </c>
      <c r="U68" s="791">
        <f>IF(T68="","",+T68-J68)</f>
        <v>116</v>
      </c>
      <c r="V68" s="793" t="s">
        <v>5420</v>
      </c>
      <c r="W68" s="796" t="s">
        <v>2215</v>
      </c>
      <c r="X68" s="797"/>
      <c r="Y68" s="797"/>
      <c r="Z68" s="793" t="s">
        <v>1676</v>
      </c>
      <c r="AA68" s="786" t="s">
        <v>5421</v>
      </c>
      <c r="AB68" s="790" t="s">
        <v>1575</v>
      </c>
      <c r="AC68" s="798"/>
      <c r="AD68" s="646" t="str">
        <f>IF(O68="","",IF(O68&lt;=0,"en término","atrasado"))</f>
        <v>atrasado</v>
      </c>
      <c r="AE68" s="646"/>
      <c r="AF68" s="410"/>
      <c r="AG68" s="410"/>
      <c r="AH68" s="410"/>
      <c r="AI68" s="410"/>
      <c r="AJ68" s="410"/>
      <c r="AK68" s="410"/>
      <c r="AL68" s="410"/>
      <c r="AM68" s="410"/>
      <c r="AN68" s="410"/>
    </row>
    <row r="69" spans="1:40" s="587" customFormat="1" ht="54.95" customHeight="1" thickBot="1" x14ac:dyDescent="0.25">
      <c r="A69" s="649"/>
      <c r="B69" s="455" t="s">
        <v>5366</v>
      </c>
      <c r="C69" s="455" t="s">
        <v>5382</v>
      </c>
      <c r="D69" s="456" t="s">
        <v>5422</v>
      </c>
      <c r="E69" s="456"/>
      <c r="F69" s="457" t="s">
        <v>5423</v>
      </c>
      <c r="G69" s="457" t="s">
        <v>1192</v>
      </c>
      <c r="H69" s="458">
        <v>6600</v>
      </c>
      <c r="I69" s="611" t="s">
        <v>5378</v>
      </c>
      <c r="J69" s="460">
        <v>40666</v>
      </c>
      <c r="K69" s="461">
        <f>+L69-J69</f>
        <v>90</v>
      </c>
      <c r="L69" s="462">
        <v>40756</v>
      </c>
      <c r="M69" s="611" t="s">
        <v>124</v>
      </c>
      <c r="N69" s="468" t="s">
        <v>5419</v>
      </c>
      <c r="O69" s="460">
        <v>40739</v>
      </c>
      <c r="P69" s="461">
        <f>IF(S69="","",+S69-L69)</f>
        <v>18</v>
      </c>
      <c r="Q69" s="461" t="s">
        <v>5424</v>
      </c>
      <c r="R69" s="460">
        <v>40739</v>
      </c>
      <c r="S69" s="471">
        <v>40774</v>
      </c>
      <c r="T69" s="464">
        <v>40805</v>
      </c>
      <c r="U69" s="468">
        <f>IF(T69="","",+T69-J69)</f>
        <v>139</v>
      </c>
      <c r="V69" s="468" t="s">
        <v>5425</v>
      </c>
      <c r="W69" s="493">
        <v>98</v>
      </c>
      <c r="X69" s="457"/>
      <c r="Y69" s="457"/>
      <c r="Z69" s="468">
        <v>311221024</v>
      </c>
      <c r="AA69" s="456"/>
      <c r="AB69" s="456" t="s">
        <v>5426</v>
      </c>
      <c r="AC69" s="470"/>
      <c r="AD69" s="645" t="str">
        <f>IF(P69="","",IF(P69&lt;=0,"en término","atrasado"))</f>
        <v>atrasado</v>
      </c>
    </row>
    <row r="73" spans="1:40" ht="12.75" x14ac:dyDescent="0.2">
      <c r="AA73" s="1">
        <v>2011</v>
      </c>
      <c r="AB73" s="1048"/>
    </row>
    <row r="74" spans="1:40" ht="12.75" x14ac:dyDescent="0.2">
      <c r="AA74" s="945" t="s">
        <v>813</v>
      </c>
      <c r="AB74" s="1048">
        <f>COUNTA(AD68:AD71)</f>
        <v>2</v>
      </c>
    </row>
    <row r="75" spans="1:40" ht="12.75" x14ac:dyDescent="0.2">
      <c r="AA75" s="945" t="s">
        <v>4709</v>
      </c>
      <c r="AB75" s="1048">
        <f>COUNTIF(AD68:AD70,"en término")</f>
        <v>0</v>
      </c>
    </row>
    <row r="76" spans="1:40" ht="12.75" x14ac:dyDescent="0.2">
      <c r="AA76" s="945" t="s">
        <v>817</v>
      </c>
      <c r="AB76" s="557">
        <f>+AB75/AB74</f>
        <v>0</v>
      </c>
    </row>
    <row r="77" spans="1:40" ht="12.75" x14ac:dyDescent="0.2">
      <c r="AA77" s="945"/>
      <c r="AB77" s="557"/>
    </row>
    <row r="78" spans="1:40" ht="12.75" x14ac:dyDescent="0.2">
      <c r="AA78" s="945"/>
      <c r="AB78" s="557"/>
    </row>
    <row r="79" spans="1:40" ht="12.75" x14ac:dyDescent="0.2">
      <c r="AA79" s="945"/>
      <c r="AB79" s="557"/>
    </row>
    <row r="80" spans="1:40" ht="12" thickBot="1" x14ac:dyDescent="0.25"/>
    <row r="81" spans="1:36" s="556" customFormat="1" ht="39.950000000000003" customHeight="1" thickBot="1" x14ac:dyDescent="0.4">
      <c r="B81" s="1611">
        <v>2013</v>
      </c>
      <c r="C81" s="1612"/>
      <c r="D81" s="1612"/>
      <c r="E81" s="1612"/>
      <c r="F81" s="1612"/>
      <c r="G81" s="1612"/>
      <c r="H81" s="1612"/>
      <c r="I81" s="1612"/>
      <c r="J81" s="1612"/>
      <c r="K81" s="1612"/>
      <c r="L81" s="1612"/>
      <c r="M81" s="1612"/>
      <c r="N81" s="1612"/>
      <c r="O81" s="1612"/>
      <c r="P81" s="1612"/>
      <c r="Q81" s="1612"/>
      <c r="R81" s="1612"/>
      <c r="S81" s="1612"/>
      <c r="T81" s="1612"/>
      <c r="U81" s="1612"/>
      <c r="V81" s="1612"/>
      <c r="W81" s="1612"/>
      <c r="X81" s="1612"/>
      <c r="Y81" s="1612"/>
      <c r="Z81" s="1612"/>
      <c r="AA81" s="1612"/>
      <c r="AB81" s="1612"/>
      <c r="AC81" s="1613"/>
    </row>
    <row r="82" spans="1:36" s="441" customFormat="1" ht="60" customHeight="1" thickBot="1" x14ac:dyDescent="0.25">
      <c r="A82" s="438"/>
      <c r="B82" s="451" t="s">
        <v>130</v>
      </c>
      <c r="C82" s="451" t="s">
        <v>4</v>
      </c>
      <c r="D82" s="451" t="s">
        <v>5</v>
      </c>
      <c r="E82" s="451" t="s">
        <v>6</v>
      </c>
      <c r="F82" s="451" t="s">
        <v>7</v>
      </c>
      <c r="G82" s="451" t="s">
        <v>8</v>
      </c>
      <c r="H82" s="453" t="s">
        <v>9</v>
      </c>
      <c r="I82" s="453" t="s">
        <v>10</v>
      </c>
      <c r="J82" s="451" t="s">
        <v>11</v>
      </c>
      <c r="K82" s="451" t="s">
        <v>12</v>
      </c>
      <c r="L82" s="451" t="s">
        <v>13</v>
      </c>
      <c r="M82" s="451" t="s">
        <v>14</v>
      </c>
      <c r="N82" s="451" t="s">
        <v>15</v>
      </c>
      <c r="O82" s="452" t="s">
        <v>16</v>
      </c>
      <c r="P82" s="454" t="s">
        <v>17</v>
      </c>
      <c r="Q82" s="451" t="s">
        <v>18</v>
      </c>
      <c r="R82" s="452" t="s">
        <v>19</v>
      </c>
      <c r="S82" s="451" t="s">
        <v>20</v>
      </c>
      <c r="T82" s="451" t="s">
        <v>21</v>
      </c>
      <c r="U82" s="452" t="s">
        <v>22</v>
      </c>
      <c r="V82" s="451" t="s">
        <v>131</v>
      </c>
      <c r="W82" s="451" t="s">
        <v>24</v>
      </c>
      <c r="X82" s="451" t="s">
        <v>132</v>
      </c>
      <c r="Y82" s="451" t="s">
        <v>26</v>
      </c>
      <c r="Z82" s="451" t="s">
        <v>27</v>
      </c>
      <c r="AA82" s="451" t="s">
        <v>28</v>
      </c>
      <c r="AB82" s="451" t="s">
        <v>29</v>
      </c>
      <c r="AC82" s="451" t="s">
        <v>30</v>
      </c>
      <c r="AD82" s="439"/>
      <c r="AE82" s="440"/>
      <c r="AF82" s="440"/>
      <c r="AG82" s="440"/>
      <c r="AH82" s="440"/>
      <c r="AI82" s="440"/>
      <c r="AJ82" s="440"/>
    </row>
    <row r="83" spans="1:36" s="587" customFormat="1" ht="54.95" customHeight="1" thickBot="1" x14ac:dyDescent="0.25">
      <c r="A83" s="649"/>
      <c r="B83" s="455" t="s">
        <v>5427</v>
      </c>
      <c r="C83" s="455" t="s">
        <v>5382</v>
      </c>
      <c r="D83" s="456" t="s">
        <v>5428</v>
      </c>
      <c r="E83" s="456"/>
      <c r="F83" s="457" t="s">
        <v>5429</v>
      </c>
      <c r="G83" s="457" t="s">
        <v>4633</v>
      </c>
      <c r="H83" s="458">
        <v>3387</v>
      </c>
      <c r="I83" s="611" t="s">
        <v>5378</v>
      </c>
      <c r="J83" s="460">
        <v>41338</v>
      </c>
      <c r="K83" s="461">
        <v>75</v>
      </c>
      <c r="L83" s="462">
        <f>+J83+K83</f>
        <v>41413</v>
      </c>
      <c r="M83" s="611" t="s">
        <v>124</v>
      </c>
      <c r="N83" s="468" t="s">
        <v>110</v>
      </c>
      <c r="O83" s="460">
        <v>41386</v>
      </c>
      <c r="P83" s="461">
        <f>IF(S83="","",+S83-L83)</f>
        <v>-1</v>
      </c>
      <c r="Q83" s="461"/>
      <c r="R83" s="460">
        <v>41407</v>
      </c>
      <c r="S83" s="471">
        <v>41412</v>
      </c>
      <c r="T83" s="462">
        <v>41414</v>
      </c>
      <c r="U83" s="461">
        <f>IF(T83="","",+T83-J83)</f>
        <v>76</v>
      </c>
      <c r="V83" s="468" t="s">
        <v>5430</v>
      </c>
      <c r="W83" s="493" t="s">
        <v>2458</v>
      </c>
      <c r="X83" s="467"/>
      <c r="Y83" s="467"/>
      <c r="Z83" s="468" t="s">
        <v>5431</v>
      </c>
      <c r="AA83" s="456" t="s">
        <v>47</v>
      </c>
      <c r="AB83" s="460" t="s">
        <v>5432</v>
      </c>
      <c r="AC83" s="634"/>
      <c r="AD83" s="645" t="str">
        <f>IF(P83="","",IF(P83&lt;=0,"en término","atrasado"))</f>
        <v>en término</v>
      </c>
    </row>
    <row r="85" spans="1:36" ht="12.75" x14ac:dyDescent="0.2">
      <c r="AA85" s="1">
        <v>2013</v>
      </c>
      <c r="AB85" s="1048"/>
    </row>
    <row r="86" spans="1:36" ht="12.75" x14ac:dyDescent="0.2">
      <c r="AA86" s="945" t="s">
        <v>813</v>
      </c>
      <c r="AB86" s="1048">
        <f>COUNTA(AD80:AD83)</f>
        <v>1</v>
      </c>
    </row>
    <row r="87" spans="1:36" ht="12.75" x14ac:dyDescent="0.2">
      <c r="AA87" s="945" t="s">
        <v>4709</v>
      </c>
      <c r="AB87" s="1048">
        <f>COUNTIF(AD81:AD83,"en término")</f>
        <v>1</v>
      </c>
    </row>
    <row r="88" spans="1:36" ht="12.75" x14ac:dyDescent="0.2">
      <c r="AA88" s="945" t="s">
        <v>817</v>
      </c>
      <c r="AB88" s="557">
        <f>+AB87/AB86</f>
        <v>1</v>
      </c>
    </row>
  </sheetData>
  <mergeCells count="7">
    <mergeCell ref="B5:AC5"/>
    <mergeCell ref="B18:AC18"/>
    <mergeCell ref="B42:AC42"/>
    <mergeCell ref="B81:AC81"/>
    <mergeCell ref="B66:AC66"/>
    <mergeCell ref="B55:AC55"/>
    <mergeCell ref="B31:AC31"/>
  </mergeCells>
  <phoneticPr fontId="0" type="noConversion"/>
  <printOptions horizontalCentered="1"/>
  <pageMargins left="0.19685039370078741" right="0.35" top="0.26" bottom="0.55118110236220474" header="0" footer="0.19685039370078741"/>
  <pageSetup paperSize="5" scale="37" orientation="landscape" r:id="rId1"/>
  <headerFooter alignWithMargins="0">
    <oddFooter>&amp;LBNDF 3.1085 Rev. _ 3/11/00&amp;CINFORME O/C ENTREGADAS
- &amp;D&amp;R&amp;"Tahoma,Normal"&amp;9España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5"/>
  <dimension ref="A1:AN221"/>
  <sheetViews>
    <sheetView topLeftCell="F218" zoomScaleNormal="100" workbookViewId="0">
      <selection activeCell="B8" sqref="B8:AC8"/>
    </sheetView>
  </sheetViews>
  <sheetFormatPr baseColWidth="10" defaultColWidth="11.42578125" defaultRowHeight="11.25" x14ac:dyDescent="0.2"/>
  <cols>
    <col min="1" max="1" width="6.140625" style="2" customWidth="1"/>
    <col min="2" max="2" width="11" style="310" customWidth="1"/>
    <col min="3" max="3" width="22.28515625" style="2" customWidth="1"/>
    <col min="4" max="4" width="13.1406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30" width="11.42578125" style="2"/>
    <col min="31" max="31" width="15.5703125" style="2" customWidth="1"/>
    <col min="32" max="16384" width="11.42578125" style="2"/>
  </cols>
  <sheetData>
    <row r="1" spans="1:36" ht="25.5" x14ac:dyDescent="0.35">
      <c r="B1" s="558" t="s">
        <v>126</v>
      </c>
      <c r="Z1" s="24" t="s">
        <v>127</v>
      </c>
      <c r="AA1" s="25">
        <f ca="1">TODAY()</f>
        <v>45457</v>
      </c>
    </row>
    <row r="2" spans="1:36" ht="23.25" x14ac:dyDescent="0.35">
      <c r="B2" s="559" t="s">
        <v>128</v>
      </c>
    </row>
    <row r="3" spans="1:36" ht="6" customHeight="1" x14ac:dyDescent="0.2"/>
    <row r="4" spans="1:36" ht="12" thickBot="1" x14ac:dyDescent="0.25"/>
    <row r="5" spans="1:36" s="556" customFormat="1" ht="39.950000000000003" customHeight="1" thickBot="1" x14ac:dyDescent="0.4">
      <c r="B5" s="1611">
        <v>2006</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9" customFormat="1" ht="54.95" customHeight="1" thickBot="1" x14ac:dyDescent="0.25">
      <c r="A7" s="328"/>
      <c r="B7" s="455" t="s">
        <v>5433</v>
      </c>
      <c r="C7" s="455" t="s">
        <v>5434</v>
      </c>
      <c r="D7" s="456" t="s">
        <v>5435</v>
      </c>
      <c r="E7" s="456"/>
      <c r="F7" s="493">
        <v>820</v>
      </c>
      <c r="G7" s="457" t="s">
        <v>4633</v>
      </c>
      <c r="H7" s="458">
        <v>23780</v>
      </c>
      <c r="I7" s="459" t="s">
        <v>5436</v>
      </c>
      <c r="J7" s="460">
        <v>38958</v>
      </c>
      <c r="K7" s="461">
        <v>30</v>
      </c>
      <c r="L7" s="462">
        <f>+J7+K7</f>
        <v>38988</v>
      </c>
      <c r="M7" s="460" t="s">
        <v>5437</v>
      </c>
      <c r="N7" s="457" t="s">
        <v>4666</v>
      </c>
      <c r="O7" s="460">
        <v>38979</v>
      </c>
      <c r="P7" s="461"/>
      <c r="Q7" s="461"/>
      <c r="R7" s="461"/>
      <c r="S7" s="464" t="s">
        <v>5438</v>
      </c>
      <c r="T7" s="503" t="s">
        <v>5438</v>
      </c>
      <c r="U7" s="461"/>
      <c r="V7" s="457" t="s">
        <v>5439</v>
      </c>
      <c r="W7" s="457" t="s">
        <v>5440</v>
      </c>
      <c r="X7" s="467"/>
      <c r="Y7" s="467"/>
      <c r="Z7" s="457"/>
      <c r="AA7" s="456" t="s">
        <v>47</v>
      </c>
      <c r="AB7" s="456" t="s">
        <v>5441</v>
      </c>
      <c r="AC7" s="494" t="s">
        <v>5442</v>
      </c>
      <c r="AD7" s="10" t="str">
        <f>IF(O7&lt;=L7,"en término","atrasado")</f>
        <v>en término</v>
      </c>
    </row>
    <row r="8" spans="1:36" s="28" customFormat="1" ht="15.75" customHeight="1" x14ac:dyDescent="0.2">
      <c r="A8" s="328"/>
      <c r="B8" s="335"/>
      <c r="C8" s="502"/>
      <c r="D8" s="502"/>
      <c r="E8" s="502"/>
      <c r="F8" s="502"/>
      <c r="G8" s="502"/>
      <c r="H8" s="502"/>
      <c r="I8" s="502"/>
      <c r="J8" s="502"/>
      <c r="K8" s="502"/>
      <c r="L8" s="502"/>
      <c r="M8" s="502"/>
      <c r="N8" s="502"/>
      <c r="O8" s="502"/>
      <c r="P8" s="502"/>
      <c r="Q8" s="502"/>
      <c r="R8" s="502"/>
      <c r="S8" s="502"/>
      <c r="W8" s="337"/>
      <c r="X8" s="337"/>
      <c r="Y8" s="337"/>
      <c r="Z8" s="337"/>
      <c r="AA8" s="337"/>
      <c r="AB8" s="337"/>
      <c r="AC8" s="337"/>
      <c r="AD8" s="330"/>
    </row>
    <row r="9" spans="1:36" ht="12.75" x14ac:dyDescent="0.2">
      <c r="AA9" s="1">
        <v>2006</v>
      </c>
      <c r="AB9" s="1047"/>
    </row>
    <row r="10" spans="1:36" ht="12.75" x14ac:dyDescent="0.2">
      <c r="AA10" s="945" t="s">
        <v>813</v>
      </c>
      <c r="AB10" s="1048">
        <f>COUNTA(AD7)</f>
        <v>1</v>
      </c>
      <c r="AC10" s="2"/>
    </row>
    <row r="11" spans="1:36" ht="12.75" x14ac:dyDescent="0.2">
      <c r="AA11" s="945" t="s">
        <v>4709</v>
      </c>
      <c r="AB11" s="1048">
        <f>COUNTIF(AD7,"en término")</f>
        <v>1</v>
      </c>
      <c r="AC11" s="2"/>
    </row>
    <row r="12" spans="1:36" ht="12.75" x14ac:dyDescent="0.2">
      <c r="AA12" s="945" t="s">
        <v>817</v>
      </c>
      <c r="AB12" s="557">
        <f>+AB11/AB10</f>
        <v>1</v>
      </c>
      <c r="AC12" s="2"/>
    </row>
    <row r="16" spans="1:36" ht="12" thickBot="1" x14ac:dyDescent="0.25"/>
    <row r="17" spans="1:36" s="556" customFormat="1" ht="39.950000000000003" customHeight="1" thickBot="1" x14ac:dyDescent="0.4">
      <c r="B17" s="1611">
        <v>2008</v>
      </c>
      <c r="C17" s="1612"/>
      <c r="D17" s="1612"/>
      <c r="E17" s="1612"/>
      <c r="F17" s="1612"/>
      <c r="G17" s="1612"/>
      <c r="H17" s="1612"/>
      <c r="I17" s="1612"/>
      <c r="J17" s="1612"/>
      <c r="K17" s="1612"/>
      <c r="L17" s="1612"/>
      <c r="M17" s="1612"/>
      <c r="N17" s="1612"/>
      <c r="O17" s="1612"/>
      <c r="P17" s="1612"/>
      <c r="Q17" s="1612"/>
      <c r="R17" s="1612"/>
      <c r="S17" s="1612"/>
      <c r="T17" s="1612"/>
      <c r="U17" s="1612"/>
      <c r="V17" s="1612"/>
      <c r="W17" s="1612"/>
      <c r="X17" s="1612"/>
      <c r="Y17" s="1612"/>
      <c r="Z17" s="1612"/>
      <c r="AA17" s="1612"/>
      <c r="AB17" s="1612"/>
      <c r="AC17" s="1613"/>
    </row>
    <row r="18" spans="1:36" s="441" customFormat="1" ht="60" customHeight="1" thickBot="1" x14ac:dyDescent="0.25">
      <c r="A18" s="438"/>
      <c r="B18" s="451" t="s">
        <v>130</v>
      </c>
      <c r="C18" s="451" t="s">
        <v>4</v>
      </c>
      <c r="D18" s="451" t="s">
        <v>5</v>
      </c>
      <c r="E18" s="451" t="s">
        <v>6</v>
      </c>
      <c r="F18" s="451" t="s">
        <v>7</v>
      </c>
      <c r="G18" s="451" t="s">
        <v>8</v>
      </c>
      <c r="H18" s="453" t="s">
        <v>9</v>
      </c>
      <c r="I18" s="453" t="s">
        <v>10</v>
      </c>
      <c r="J18" s="451" t="s">
        <v>11</v>
      </c>
      <c r="K18" s="451" t="s">
        <v>12</v>
      </c>
      <c r="L18" s="451" t="s">
        <v>13</v>
      </c>
      <c r="M18" s="451" t="s">
        <v>14</v>
      </c>
      <c r="N18" s="451" t="s">
        <v>15</v>
      </c>
      <c r="O18" s="452" t="s">
        <v>16</v>
      </c>
      <c r="P18" s="454" t="s">
        <v>17</v>
      </c>
      <c r="Q18" s="451" t="s">
        <v>18</v>
      </c>
      <c r="R18" s="452" t="s">
        <v>19</v>
      </c>
      <c r="S18" s="451" t="s">
        <v>20</v>
      </c>
      <c r="T18" s="451" t="s">
        <v>21</v>
      </c>
      <c r="U18" s="452" t="s">
        <v>22</v>
      </c>
      <c r="V18" s="451" t="s">
        <v>131</v>
      </c>
      <c r="W18" s="451" t="s">
        <v>24</v>
      </c>
      <c r="X18" s="451" t="s">
        <v>132</v>
      </c>
      <c r="Y18" s="451" t="s">
        <v>26</v>
      </c>
      <c r="Z18" s="451" t="s">
        <v>27</v>
      </c>
      <c r="AA18" s="451" t="s">
        <v>28</v>
      </c>
      <c r="AB18" s="451" t="s">
        <v>29</v>
      </c>
      <c r="AC18" s="451" t="s">
        <v>30</v>
      </c>
      <c r="AD18" s="439"/>
      <c r="AE18" s="440"/>
      <c r="AF18" s="440"/>
      <c r="AG18" s="440"/>
      <c r="AH18" s="440"/>
      <c r="AI18" s="440"/>
      <c r="AJ18" s="440"/>
    </row>
    <row r="19" spans="1:36" s="587" customFormat="1" ht="54.95" customHeight="1" thickBot="1" x14ac:dyDescent="0.25">
      <c r="A19" s="584"/>
      <c r="B19" s="585" t="s">
        <v>5433</v>
      </c>
      <c r="C19" s="455" t="s">
        <v>5434</v>
      </c>
      <c r="D19" s="456" t="s">
        <v>5443</v>
      </c>
      <c r="E19" s="456"/>
      <c r="F19" s="457" t="s">
        <v>5444</v>
      </c>
      <c r="G19" s="457" t="s">
        <v>4633</v>
      </c>
      <c r="H19" s="458">
        <v>5955</v>
      </c>
      <c r="I19" s="611" t="s">
        <v>5436</v>
      </c>
      <c r="J19" s="460">
        <v>39602</v>
      </c>
      <c r="K19" s="461">
        <v>27</v>
      </c>
      <c r="L19" s="462">
        <f>+J19+K19</f>
        <v>39629</v>
      </c>
      <c r="M19" s="611" t="s">
        <v>5445</v>
      </c>
      <c r="N19" s="468" t="s">
        <v>4666</v>
      </c>
      <c r="O19" s="460">
        <v>39629</v>
      </c>
      <c r="P19" s="461">
        <v>0</v>
      </c>
      <c r="Q19" s="461"/>
      <c r="R19" s="460">
        <v>39629</v>
      </c>
      <c r="S19" s="471">
        <v>39645</v>
      </c>
      <c r="T19" s="471">
        <f>+S19+5</f>
        <v>39650</v>
      </c>
      <c r="U19" s="461"/>
      <c r="V19" s="468" t="s">
        <v>5446</v>
      </c>
      <c r="W19" s="457">
        <v>335</v>
      </c>
      <c r="X19" s="592"/>
      <c r="Y19" s="467"/>
      <c r="Z19" s="457" t="s">
        <v>1676</v>
      </c>
      <c r="AA19" s="501" t="s">
        <v>5447</v>
      </c>
      <c r="AB19" s="460" t="s">
        <v>5448</v>
      </c>
      <c r="AC19" s="470" t="s">
        <v>5449</v>
      </c>
      <c r="AD19" s="412" t="str">
        <f>IF(P19="","",IF(P19&lt;=0,"en término","atrasado"))</f>
        <v>en término</v>
      </c>
    </row>
    <row r="21" spans="1:36" ht="12.75" x14ac:dyDescent="0.2">
      <c r="AA21" s="1">
        <v>2008</v>
      </c>
      <c r="AB21" s="1047"/>
    </row>
    <row r="22" spans="1:36" ht="12.75" x14ac:dyDescent="0.2">
      <c r="AA22" s="945" t="s">
        <v>813</v>
      </c>
      <c r="AB22" s="1048">
        <f>COUNTA(#REF!)</f>
        <v>1</v>
      </c>
    </row>
    <row r="23" spans="1:36" ht="12.75" x14ac:dyDescent="0.2">
      <c r="AA23" s="945" t="s">
        <v>4709</v>
      </c>
      <c r="AB23" s="1048">
        <f>COUNTIF(AD19,"en término")</f>
        <v>1</v>
      </c>
    </row>
    <row r="24" spans="1:36" ht="12.75" x14ac:dyDescent="0.2">
      <c r="AA24" s="945" t="s">
        <v>817</v>
      </c>
      <c r="AB24" s="557">
        <f>+AB23/AB22</f>
        <v>1</v>
      </c>
    </row>
    <row r="26" spans="1:36" ht="12" thickBot="1" x14ac:dyDescent="0.25"/>
    <row r="27" spans="1:36" s="556" customFormat="1" ht="39.950000000000003" customHeight="1" thickBot="1" x14ac:dyDescent="0.4">
      <c r="B27" s="1611">
        <v>2009</v>
      </c>
      <c r="C27" s="1612"/>
      <c r="D27" s="1612"/>
      <c r="E27" s="1612"/>
      <c r="F27" s="1612"/>
      <c r="G27" s="1612"/>
      <c r="H27" s="1612"/>
      <c r="I27" s="1612"/>
      <c r="J27" s="1612"/>
      <c r="K27" s="1612"/>
      <c r="L27" s="1612"/>
      <c r="M27" s="1612"/>
      <c r="N27" s="1612"/>
      <c r="O27" s="1612"/>
      <c r="P27" s="1612"/>
      <c r="Q27" s="1612"/>
      <c r="R27" s="1612"/>
      <c r="S27" s="1612"/>
      <c r="T27" s="1612"/>
      <c r="U27" s="1612"/>
      <c r="V27" s="1612"/>
      <c r="W27" s="1612"/>
      <c r="X27" s="1612"/>
      <c r="Y27" s="1612"/>
      <c r="Z27" s="1612"/>
      <c r="AA27" s="1612"/>
      <c r="AB27" s="1612"/>
      <c r="AC27" s="1613"/>
    </row>
    <row r="28" spans="1:36" s="441" customFormat="1" ht="60" customHeight="1" thickBot="1" x14ac:dyDescent="0.25">
      <c r="A28" s="438"/>
      <c r="B28" s="451" t="s">
        <v>130</v>
      </c>
      <c r="C28" s="451" t="s">
        <v>4</v>
      </c>
      <c r="D28" s="451" t="s">
        <v>5</v>
      </c>
      <c r="E28" s="451" t="s">
        <v>6</v>
      </c>
      <c r="F28" s="451" t="s">
        <v>7</v>
      </c>
      <c r="G28" s="451" t="s">
        <v>8</v>
      </c>
      <c r="H28" s="453" t="s">
        <v>9</v>
      </c>
      <c r="I28" s="453" t="s">
        <v>10</v>
      </c>
      <c r="J28" s="451" t="s">
        <v>11</v>
      </c>
      <c r="K28" s="451" t="s">
        <v>12</v>
      </c>
      <c r="L28" s="451" t="s">
        <v>13</v>
      </c>
      <c r="M28" s="451" t="s">
        <v>14</v>
      </c>
      <c r="N28" s="451" t="s">
        <v>15</v>
      </c>
      <c r="O28" s="452" t="s">
        <v>16</v>
      </c>
      <c r="P28" s="454" t="s">
        <v>17</v>
      </c>
      <c r="Q28" s="451" t="s">
        <v>18</v>
      </c>
      <c r="R28" s="452" t="s">
        <v>19</v>
      </c>
      <c r="S28" s="451" t="s">
        <v>20</v>
      </c>
      <c r="T28" s="451" t="s">
        <v>21</v>
      </c>
      <c r="U28" s="452" t="s">
        <v>22</v>
      </c>
      <c r="V28" s="451" t="s">
        <v>131</v>
      </c>
      <c r="W28" s="451" t="s">
        <v>24</v>
      </c>
      <c r="X28" s="451" t="s">
        <v>132</v>
      </c>
      <c r="Y28" s="451" t="s">
        <v>26</v>
      </c>
      <c r="Z28" s="451" t="s">
        <v>27</v>
      </c>
      <c r="AA28" s="451" t="s">
        <v>28</v>
      </c>
      <c r="AB28" s="451" t="s">
        <v>29</v>
      </c>
      <c r="AC28" s="451" t="s">
        <v>30</v>
      </c>
      <c r="AD28" s="439"/>
      <c r="AE28" s="440"/>
      <c r="AF28" s="440"/>
      <c r="AG28" s="440"/>
      <c r="AH28" s="440"/>
      <c r="AI28" s="440"/>
      <c r="AJ28" s="440"/>
    </row>
    <row r="29" spans="1:36" s="587" customFormat="1" ht="54.95" customHeight="1" thickBot="1" x14ac:dyDescent="0.25">
      <c r="A29" s="584"/>
      <c r="B29" s="1043" t="s">
        <v>5433</v>
      </c>
      <c r="C29" s="1043" t="s">
        <v>5434</v>
      </c>
      <c r="D29" s="1044" t="s">
        <v>5450</v>
      </c>
      <c r="E29" s="1044"/>
      <c r="F29" s="1028" t="s">
        <v>5451</v>
      </c>
      <c r="G29" s="1028" t="s">
        <v>4633</v>
      </c>
      <c r="H29" s="1029">
        <v>3980</v>
      </c>
      <c r="I29" s="640" t="s">
        <v>5436</v>
      </c>
      <c r="J29" s="1032">
        <v>39995</v>
      </c>
      <c r="K29" s="1041">
        <v>6</v>
      </c>
      <c r="L29" s="641">
        <f>+J29+K29</f>
        <v>40001</v>
      </c>
      <c r="M29" s="640" t="s">
        <v>5445</v>
      </c>
      <c r="N29" s="446" t="s">
        <v>4666</v>
      </c>
      <c r="O29" s="1032">
        <v>40001</v>
      </c>
      <c r="P29" s="1041">
        <f>IF(S29="","",+S29-L29)</f>
        <v>10</v>
      </c>
      <c r="Q29" s="1041"/>
      <c r="R29" s="1032">
        <v>40010</v>
      </c>
      <c r="S29" s="642">
        <v>40011</v>
      </c>
      <c r="T29" s="642">
        <f>+S29+3</f>
        <v>40014</v>
      </c>
      <c r="U29" s="1041">
        <f>IF(T29="","",+T29-J29)</f>
        <v>19</v>
      </c>
      <c r="V29" s="446" t="s">
        <v>5452</v>
      </c>
      <c r="W29" s="1028">
        <v>402</v>
      </c>
      <c r="X29" s="643"/>
      <c r="Y29" s="643"/>
      <c r="Z29" s="446" t="s">
        <v>5453</v>
      </c>
      <c r="AA29" s="1044" t="s">
        <v>47</v>
      </c>
      <c r="AB29" s="1032" t="s">
        <v>5454</v>
      </c>
      <c r="AC29" s="644" t="s">
        <v>5455</v>
      </c>
      <c r="AD29" s="645" t="str">
        <f>IF(P29="","",IF(P29&lt;=0,"en término","atrasado"))</f>
        <v>atrasado</v>
      </c>
    </row>
    <row r="30" spans="1:36" s="413" customFormat="1" ht="54.95" customHeight="1" thickBot="1" x14ac:dyDescent="0.25">
      <c r="A30" s="411"/>
      <c r="B30" s="677" t="s">
        <v>5433</v>
      </c>
      <c r="C30" s="677" t="s">
        <v>5456</v>
      </c>
      <c r="D30" s="678" t="s">
        <v>5457</v>
      </c>
      <c r="E30" s="678"/>
      <c r="F30" s="679">
        <v>4500087655</v>
      </c>
      <c r="G30" s="679" t="s">
        <v>4633</v>
      </c>
      <c r="H30" s="680">
        <v>10833</v>
      </c>
      <c r="I30" s="681" t="s">
        <v>5436</v>
      </c>
      <c r="J30" s="682">
        <v>40022</v>
      </c>
      <c r="K30" s="683">
        <v>30</v>
      </c>
      <c r="L30" s="684">
        <f>+J30+K30</f>
        <v>40052</v>
      </c>
      <c r="M30" s="681" t="s">
        <v>5458</v>
      </c>
      <c r="N30" s="685" t="s">
        <v>4666</v>
      </c>
      <c r="O30" s="682">
        <v>40045</v>
      </c>
      <c r="P30" s="683">
        <v>0</v>
      </c>
      <c r="Q30" s="683"/>
      <c r="R30" s="682"/>
      <c r="S30" s="686">
        <v>40056</v>
      </c>
      <c r="T30" s="686">
        <v>40057</v>
      </c>
      <c r="U30" s="683">
        <f>IF(T30="","",+T30-J30)</f>
        <v>35</v>
      </c>
      <c r="V30" s="685" t="s">
        <v>5459</v>
      </c>
      <c r="W30" s="679">
        <v>414</v>
      </c>
      <c r="X30" s="687"/>
      <c r="Y30" s="687"/>
      <c r="Z30" s="679" t="s">
        <v>5460</v>
      </c>
      <c r="AA30" s="678" t="s">
        <v>5461</v>
      </c>
      <c r="AB30" s="682" t="s">
        <v>5462</v>
      </c>
      <c r="AC30" s="688" t="s">
        <v>5463</v>
      </c>
      <c r="AD30" s="639" t="str">
        <f>IF(P30="","",IF(P30&lt;=0,"en término","atrasado"))</f>
        <v>en término</v>
      </c>
    </row>
    <row r="31" spans="1:36" s="587" customFormat="1" ht="54.95" customHeight="1" thickBot="1" x14ac:dyDescent="0.25">
      <c r="A31" s="584"/>
      <c r="B31" s="1043" t="s">
        <v>5433</v>
      </c>
      <c r="C31" s="1043" t="s">
        <v>5434</v>
      </c>
      <c r="D31" s="1044" t="s">
        <v>5464</v>
      </c>
      <c r="E31" s="1044"/>
      <c r="F31" s="1028" t="s">
        <v>5465</v>
      </c>
      <c r="G31" s="1028" t="s">
        <v>4633</v>
      </c>
      <c r="H31" s="1029">
        <v>5090</v>
      </c>
      <c r="I31" s="640" t="s">
        <v>5436</v>
      </c>
      <c r="J31" s="1032">
        <v>40053</v>
      </c>
      <c r="K31" s="1041">
        <v>31</v>
      </c>
      <c r="L31" s="641">
        <f>+J31+K31</f>
        <v>40084</v>
      </c>
      <c r="M31" s="640" t="s">
        <v>5445</v>
      </c>
      <c r="N31" s="446" t="s">
        <v>4666</v>
      </c>
      <c r="O31" s="1032">
        <v>40078</v>
      </c>
      <c r="P31" s="1041">
        <f>IF(S31="","",+S31-L31)</f>
        <v>-5</v>
      </c>
      <c r="Q31" s="1041" t="s">
        <v>5466</v>
      </c>
      <c r="R31" s="1032"/>
      <c r="S31" s="642">
        <v>40079</v>
      </c>
      <c r="T31" s="642">
        <f>+S31+5</f>
        <v>40084</v>
      </c>
      <c r="U31" s="1041">
        <f>IF(T31="","",+T31-J31)</f>
        <v>31</v>
      </c>
      <c r="V31" s="446" t="s">
        <v>5467</v>
      </c>
      <c r="W31" s="1028"/>
      <c r="X31" s="643"/>
      <c r="Y31" s="643"/>
      <c r="Z31" s="446"/>
      <c r="AA31" s="1044" t="s">
        <v>47</v>
      </c>
      <c r="AB31" s="1032" t="s">
        <v>47</v>
      </c>
      <c r="AC31" s="644"/>
      <c r="AD31" s="645" t="str">
        <f>IF(P31="","",IF(P31&lt;=0,"en término","atrasado"))</f>
        <v>en término</v>
      </c>
    </row>
    <row r="32" spans="1:36" s="587" customFormat="1" ht="54.95" customHeight="1" x14ac:dyDescent="0.2">
      <c r="A32" s="584"/>
      <c r="B32" s="1043" t="s">
        <v>5433</v>
      </c>
      <c r="C32" s="1043" t="s">
        <v>5434</v>
      </c>
      <c r="D32" s="1044" t="s">
        <v>5468</v>
      </c>
      <c r="E32" s="1044"/>
      <c r="F32" s="1028" t="s">
        <v>5469</v>
      </c>
      <c r="G32" s="1028" t="s">
        <v>4633</v>
      </c>
      <c r="H32" s="1029">
        <v>1030</v>
      </c>
      <c r="I32" s="640" t="s">
        <v>5436</v>
      </c>
      <c r="J32" s="1032">
        <v>40114</v>
      </c>
      <c r="K32" s="1041">
        <v>28</v>
      </c>
      <c r="L32" s="641">
        <f>+J32+K32</f>
        <v>40142</v>
      </c>
      <c r="M32" s="640" t="s">
        <v>5445</v>
      </c>
      <c r="N32" s="446" t="s">
        <v>4666</v>
      </c>
      <c r="O32" s="1032">
        <v>40137</v>
      </c>
      <c r="P32" s="1041">
        <f>IF(S32="","",+S32-L32)</f>
        <v>-5</v>
      </c>
      <c r="Q32" s="1041"/>
      <c r="R32" s="1032"/>
      <c r="S32" s="642">
        <v>40137</v>
      </c>
      <c r="T32" s="642">
        <f>+S32+3</f>
        <v>40140</v>
      </c>
      <c r="U32" s="1041">
        <f>IF(T32="","",+T32-J32)</f>
        <v>26</v>
      </c>
      <c r="V32" s="446" t="s">
        <v>53</v>
      </c>
      <c r="W32" s="1028">
        <v>442</v>
      </c>
      <c r="X32" s="643"/>
      <c r="Y32" s="643"/>
      <c r="Z32" s="446"/>
      <c r="AA32" s="1044" t="s">
        <v>47</v>
      </c>
      <c r="AB32" s="1032" t="s">
        <v>5470</v>
      </c>
      <c r="AC32" s="644"/>
      <c r="AD32" s="645" t="str">
        <f>IF(P32="","",IF(P32&lt;=0,"en término","atrasado"))</f>
        <v>en término</v>
      </c>
    </row>
    <row r="33" spans="1:36" s="587" customFormat="1" ht="31.9" customHeight="1" x14ac:dyDescent="0.2">
      <c r="A33" s="649"/>
      <c r="B33" s="649"/>
      <c r="C33" s="649"/>
      <c r="D33" s="650"/>
      <c r="E33" s="650"/>
      <c r="F33" s="645"/>
      <c r="G33" s="645"/>
      <c r="H33" s="651"/>
      <c r="I33" s="652"/>
      <c r="J33" s="653"/>
      <c r="K33" s="654"/>
      <c r="L33" s="655"/>
      <c r="M33" s="652"/>
      <c r="N33" s="656"/>
      <c r="O33" s="653"/>
      <c r="P33" s="654"/>
      <c r="Q33" s="654"/>
      <c r="R33" s="653"/>
      <c r="S33" s="657"/>
      <c r="T33" s="657"/>
      <c r="U33" s="654"/>
      <c r="V33" s="656"/>
      <c r="W33" s="645"/>
      <c r="X33" s="645"/>
      <c r="Y33" s="645"/>
      <c r="Z33" s="656"/>
      <c r="AA33" s="650"/>
      <c r="AB33" s="653"/>
      <c r="AC33" s="658"/>
      <c r="AD33" s="645"/>
    </row>
    <row r="34" spans="1:36" ht="12.75" x14ac:dyDescent="0.2">
      <c r="AA34" s="1">
        <v>2009</v>
      </c>
      <c r="AB34" s="1047"/>
    </row>
    <row r="35" spans="1:36" ht="12.75" x14ac:dyDescent="0.2">
      <c r="AA35" s="945" t="s">
        <v>813</v>
      </c>
      <c r="AB35" s="1048">
        <f>COUNTA(AD17:AD32)</f>
        <v>5</v>
      </c>
    </row>
    <row r="36" spans="1:36" ht="12.75" x14ac:dyDescent="0.2">
      <c r="AA36" s="945" t="s">
        <v>4709</v>
      </c>
      <c r="AB36" s="1048">
        <f>COUNTIF(AD17:AD32,"en término")</f>
        <v>4</v>
      </c>
    </row>
    <row r="37" spans="1:36" ht="12.75" x14ac:dyDescent="0.2">
      <c r="AA37" s="945" t="s">
        <v>817</v>
      </c>
      <c r="AB37" s="557">
        <f>+AB36/AB35</f>
        <v>0.8</v>
      </c>
    </row>
    <row r="39" spans="1:36" s="649" customFormat="1" ht="31.9" customHeight="1" thickBot="1" x14ac:dyDescent="0.25">
      <c r="D39" s="650"/>
      <c r="E39" s="650"/>
      <c r="F39" s="645"/>
      <c r="G39" s="645"/>
      <c r="H39" s="651"/>
      <c r="I39" s="652"/>
      <c r="J39" s="653"/>
      <c r="K39" s="654"/>
      <c r="L39" s="655"/>
      <c r="M39" s="652"/>
      <c r="N39" s="656"/>
      <c r="O39" s="653"/>
      <c r="P39" s="654"/>
      <c r="Q39" s="654"/>
      <c r="R39" s="653"/>
      <c r="S39" s="657"/>
      <c r="T39" s="657"/>
      <c r="U39" s="654"/>
      <c r="V39" s="656"/>
      <c r="W39" s="645"/>
      <c r="X39" s="645"/>
      <c r="Y39" s="645"/>
      <c r="Z39" s="656"/>
      <c r="AA39" s="650"/>
      <c r="AB39" s="653"/>
      <c r="AC39" s="658"/>
      <c r="AD39" s="645"/>
    </row>
    <row r="40" spans="1:36" s="556" customFormat="1" ht="39.950000000000003" customHeight="1" thickBot="1" x14ac:dyDescent="0.4">
      <c r="B40" s="1611">
        <v>2010</v>
      </c>
      <c r="C40" s="1612"/>
      <c r="D40" s="1612"/>
      <c r="E40" s="1612"/>
      <c r="F40" s="1612"/>
      <c r="G40" s="1612"/>
      <c r="H40" s="1612"/>
      <c r="I40" s="1612"/>
      <c r="J40" s="1612"/>
      <c r="K40" s="1612"/>
      <c r="L40" s="1612"/>
      <c r="M40" s="1612"/>
      <c r="N40" s="1612"/>
      <c r="O40" s="1612"/>
      <c r="P40" s="1612"/>
      <c r="Q40" s="1612"/>
      <c r="R40" s="1612"/>
      <c r="S40" s="1612"/>
      <c r="T40" s="1612"/>
      <c r="U40" s="1612"/>
      <c r="V40" s="1612"/>
      <c r="W40" s="1612"/>
      <c r="X40" s="1612"/>
      <c r="Y40" s="1612"/>
      <c r="Z40" s="1612"/>
      <c r="AA40" s="1612"/>
      <c r="AB40" s="1612"/>
      <c r="AC40" s="1613"/>
    </row>
    <row r="41" spans="1:36" s="441" customFormat="1" ht="60" customHeight="1" thickBot="1" x14ac:dyDescent="0.25">
      <c r="A41" s="438"/>
      <c r="B41" s="451" t="s">
        <v>130</v>
      </c>
      <c r="C41" s="451" t="s">
        <v>4</v>
      </c>
      <c r="D41" s="451" t="s">
        <v>5</v>
      </c>
      <c r="E41" s="451" t="s">
        <v>6</v>
      </c>
      <c r="F41" s="451" t="s">
        <v>7</v>
      </c>
      <c r="G41" s="451" t="s">
        <v>8</v>
      </c>
      <c r="H41" s="453" t="s">
        <v>9</v>
      </c>
      <c r="I41" s="453" t="s">
        <v>10</v>
      </c>
      <c r="J41" s="451" t="s">
        <v>11</v>
      </c>
      <c r="K41" s="451" t="s">
        <v>12</v>
      </c>
      <c r="L41" s="451" t="s">
        <v>13</v>
      </c>
      <c r="M41" s="451" t="s">
        <v>14</v>
      </c>
      <c r="N41" s="451" t="s">
        <v>15</v>
      </c>
      <c r="O41" s="452" t="s">
        <v>16</v>
      </c>
      <c r="P41" s="454" t="s">
        <v>17</v>
      </c>
      <c r="Q41" s="451" t="s">
        <v>18</v>
      </c>
      <c r="R41" s="452" t="s">
        <v>19</v>
      </c>
      <c r="S41" s="451" t="s">
        <v>20</v>
      </c>
      <c r="T41" s="451" t="s">
        <v>21</v>
      </c>
      <c r="U41" s="452" t="s">
        <v>22</v>
      </c>
      <c r="V41" s="451" t="s">
        <v>131</v>
      </c>
      <c r="W41" s="451" t="s">
        <v>24</v>
      </c>
      <c r="X41" s="451" t="s">
        <v>132</v>
      </c>
      <c r="Y41" s="451" t="s">
        <v>26</v>
      </c>
      <c r="Z41" s="451" t="s">
        <v>27</v>
      </c>
      <c r="AA41" s="451" t="s">
        <v>28</v>
      </c>
      <c r="AB41" s="451" t="s">
        <v>29</v>
      </c>
      <c r="AC41" s="451" t="s">
        <v>30</v>
      </c>
      <c r="AD41" s="439"/>
      <c r="AE41" s="440"/>
      <c r="AF41" s="440"/>
      <c r="AG41" s="440"/>
      <c r="AH41" s="440"/>
      <c r="AI41" s="440"/>
      <c r="AJ41" s="440"/>
    </row>
    <row r="42" spans="1:36" s="587" customFormat="1" ht="54.95" customHeight="1" thickBot="1" x14ac:dyDescent="0.25">
      <c r="A42" s="584"/>
      <c r="B42" s="455" t="s">
        <v>5433</v>
      </c>
      <c r="C42" s="455" t="s">
        <v>5434</v>
      </c>
      <c r="D42" s="456" t="s">
        <v>5471</v>
      </c>
      <c r="E42" s="456"/>
      <c r="F42" s="457">
        <v>4500098530</v>
      </c>
      <c r="G42" s="457" t="s">
        <v>4633</v>
      </c>
      <c r="H42" s="458">
        <v>18508</v>
      </c>
      <c r="I42" s="611" t="s">
        <v>5436</v>
      </c>
      <c r="J42" s="460">
        <v>40232</v>
      </c>
      <c r="K42" s="461">
        <v>69</v>
      </c>
      <c r="L42" s="462">
        <f t="shared" ref="L42:L47" si="0">+J42+K42</f>
        <v>40301</v>
      </c>
      <c r="M42" s="611" t="s">
        <v>5445</v>
      </c>
      <c r="N42" s="468" t="s">
        <v>4666</v>
      </c>
      <c r="O42" s="460">
        <v>40273</v>
      </c>
      <c r="P42" s="461">
        <f t="shared" ref="P42:P47" si="1">IF(S42="","",+S42-L42)</f>
        <v>-24</v>
      </c>
      <c r="Q42" s="461"/>
      <c r="R42" s="460"/>
      <c r="S42" s="471">
        <v>40277</v>
      </c>
      <c r="T42" s="471">
        <f>+S42+2</f>
        <v>40279</v>
      </c>
      <c r="U42" s="461">
        <f t="shared" ref="U42:U47" si="2">IF(T42="","",+T42-J42)</f>
        <v>47</v>
      </c>
      <c r="V42" s="468" t="s">
        <v>5472</v>
      </c>
      <c r="W42" s="493" t="s">
        <v>2445</v>
      </c>
      <c r="X42" s="467"/>
      <c r="Y42" s="467"/>
      <c r="Z42" s="468" t="s">
        <v>1676</v>
      </c>
      <c r="AA42" s="456"/>
      <c r="AB42" s="460" t="s">
        <v>5473</v>
      </c>
      <c r="AC42" s="470" t="s">
        <v>5474</v>
      </c>
      <c r="AD42" s="645" t="str">
        <f t="shared" ref="AD42:AD47" si="3">IF(P42="","",IF(P42&lt;=0,"en término","atrasado"))</f>
        <v>en término</v>
      </c>
    </row>
    <row r="43" spans="1:36" s="587" customFormat="1" ht="54.95" customHeight="1" thickBot="1" x14ac:dyDescent="0.25">
      <c r="A43" s="584"/>
      <c r="B43" s="1043" t="s">
        <v>5433</v>
      </c>
      <c r="C43" s="1043" t="s">
        <v>5434</v>
      </c>
      <c r="D43" s="1044" t="s">
        <v>5475</v>
      </c>
      <c r="E43" s="1044"/>
      <c r="F43" s="1028" t="s">
        <v>5476</v>
      </c>
      <c r="G43" s="1028" t="s">
        <v>4633</v>
      </c>
      <c r="H43" s="1029">
        <v>14088</v>
      </c>
      <c r="I43" s="640" t="s">
        <v>5436</v>
      </c>
      <c r="J43" s="1032">
        <v>40263</v>
      </c>
      <c r="K43" s="1041">
        <v>15</v>
      </c>
      <c r="L43" s="641">
        <f t="shared" si="0"/>
        <v>40278</v>
      </c>
      <c r="M43" s="640" t="s">
        <v>5445</v>
      </c>
      <c r="N43" s="446" t="s">
        <v>4666</v>
      </c>
      <c r="O43" s="1032">
        <v>40273</v>
      </c>
      <c r="P43" s="1041">
        <f t="shared" si="1"/>
        <v>-2</v>
      </c>
      <c r="Q43" s="1041"/>
      <c r="R43" s="1032">
        <v>40275</v>
      </c>
      <c r="S43" s="642">
        <v>40276</v>
      </c>
      <c r="T43" s="642">
        <v>40277</v>
      </c>
      <c r="U43" s="1041">
        <f t="shared" si="2"/>
        <v>14</v>
      </c>
      <c r="V43" s="446" t="s">
        <v>5477</v>
      </c>
      <c r="W43" s="659" t="s">
        <v>2443</v>
      </c>
      <c r="X43" s="643"/>
      <c r="Y43" s="643"/>
      <c r="Z43" s="446" t="s">
        <v>1676</v>
      </c>
      <c r="AA43" s="1044" t="s">
        <v>5478</v>
      </c>
      <c r="AB43" s="1032" t="s">
        <v>5479</v>
      </c>
      <c r="AC43" s="644"/>
      <c r="AD43" s="645" t="str">
        <f t="shared" si="3"/>
        <v>en término</v>
      </c>
    </row>
    <row r="44" spans="1:36" s="587" customFormat="1" ht="54.95" customHeight="1" thickBot="1" x14ac:dyDescent="0.25">
      <c r="A44" s="584"/>
      <c r="B44" s="1043" t="s">
        <v>5433</v>
      </c>
      <c r="C44" s="1043" t="s">
        <v>5434</v>
      </c>
      <c r="D44" s="1044" t="s">
        <v>5480</v>
      </c>
      <c r="E44" s="1044"/>
      <c r="F44" s="1028" t="s">
        <v>5481</v>
      </c>
      <c r="G44" s="1028" t="s">
        <v>4633</v>
      </c>
      <c r="H44" s="1029">
        <v>264</v>
      </c>
      <c r="I44" s="640" t="s">
        <v>5436</v>
      </c>
      <c r="J44" s="1032">
        <v>40287</v>
      </c>
      <c r="K44" s="1041">
        <v>3</v>
      </c>
      <c r="L44" s="641">
        <f t="shared" si="0"/>
        <v>40290</v>
      </c>
      <c r="M44" s="640" t="s">
        <v>5445</v>
      </c>
      <c r="N44" s="446" t="s">
        <v>4666</v>
      </c>
      <c r="O44" s="1032">
        <v>40290</v>
      </c>
      <c r="P44" s="1041">
        <f t="shared" si="1"/>
        <v>4</v>
      </c>
      <c r="Q44" s="1041"/>
      <c r="R44" s="1032">
        <v>40292</v>
      </c>
      <c r="S44" s="642">
        <v>40294</v>
      </c>
      <c r="T44" s="642">
        <v>40295</v>
      </c>
      <c r="U44" s="1041">
        <f t="shared" si="2"/>
        <v>8</v>
      </c>
      <c r="V44" s="446" t="s">
        <v>5482</v>
      </c>
      <c r="W44" s="659" t="s">
        <v>2441</v>
      </c>
      <c r="X44" s="643"/>
      <c r="Y44" s="643"/>
      <c r="Z44" s="446" t="s">
        <v>1676</v>
      </c>
      <c r="AA44" s="1044" t="s">
        <v>3791</v>
      </c>
      <c r="AB44" s="1032" t="s">
        <v>47</v>
      </c>
      <c r="AC44" s="644" t="s">
        <v>5483</v>
      </c>
      <c r="AD44" s="645" t="str">
        <f t="shared" si="3"/>
        <v>atrasado</v>
      </c>
    </row>
    <row r="45" spans="1:36" s="587" customFormat="1" ht="54.95" customHeight="1" thickBot="1" x14ac:dyDescent="0.25">
      <c r="A45" s="584"/>
      <c r="B45" s="1043" t="s">
        <v>5433</v>
      </c>
      <c r="C45" s="1043" t="s">
        <v>5434</v>
      </c>
      <c r="D45" s="1044" t="s">
        <v>5484</v>
      </c>
      <c r="E45" s="1044"/>
      <c r="F45" s="1028" t="s">
        <v>5485</v>
      </c>
      <c r="G45" s="1028" t="s">
        <v>4633</v>
      </c>
      <c r="H45" s="1029">
        <v>530</v>
      </c>
      <c r="I45" s="640" t="s">
        <v>5436</v>
      </c>
      <c r="J45" s="1032">
        <v>40360</v>
      </c>
      <c r="K45" s="1041">
        <v>6</v>
      </c>
      <c r="L45" s="641">
        <f t="shared" si="0"/>
        <v>40366</v>
      </c>
      <c r="M45" s="640" t="s">
        <v>5445</v>
      </c>
      <c r="N45" s="446" t="s">
        <v>4666</v>
      </c>
      <c r="O45" s="1032">
        <v>40366</v>
      </c>
      <c r="P45" s="1041">
        <f t="shared" si="1"/>
        <v>19</v>
      </c>
      <c r="Q45" s="1041"/>
      <c r="R45" s="1032">
        <v>40378</v>
      </c>
      <c r="S45" s="642">
        <v>40385</v>
      </c>
      <c r="T45" s="642">
        <f>+S45+3</f>
        <v>40388</v>
      </c>
      <c r="U45" s="1041">
        <f t="shared" si="2"/>
        <v>28</v>
      </c>
      <c r="V45" s="446" t="s">
        <v>2367</v>
      </c>
      <c r="W45" s="659" t="s">
        <v>2622</v>
      </c>
      <c r="X45" s="643"/>
      <c r="Y45" s="643"/>
      <c r="Z45" s="446" t="s">
        <v>1676</v>
      </c>
      <c r="AA45" s="1044" t="s">
        <v>47</v>
      </c>
      <c r="AB45" s="1032" t="s">
        <v>2304</v>
      </c>
      <c r="AC45" s="644"/>
      <c r="AD45" s="645" t="str">
        <f t="shared" si="3"/>
        <v>atrasado</v>
      </c>
    </row>
    <row r="46" spans="1:36" s="587" customFormat="1" ht="54.95" customHeight="1" thickBot="1" x14ac:dyDescent="0.25">
      <c r="A46" s="584"/>
      <c r="B46" s="1043" t="s">
        <v>5433</v>
      </c>
      <c r="C46" s="1043" t="s">
        <v>5486</v>
      </c>
      <c r="D46" s="1044" t="s">
        <v>5487</v>
      </c>
      <c r="E46" s="1044"/>
      <c r="F46" s="1028" t="s">
        <v>5488</v>
      </c>
      <c r="G46" s="1028" t="s">
        <v>4633</v>
      </c>
      <c r="H46" s="1029">
        <v>12259.41</v>
      </c>
      <c r="I46" s="640" t="s">
        <v>5436</v>
      </c>
      <c r="J46" s="1032">
        <v>40367</v>
      </c>
      <c r="K46" s="1041">
        <v>7</v>
      </c>
      <c r="L46" s="641">
        <f t="shared" si="0"/>
        <v>40374</v>
      </c>
      <c r="M46" s="640" t="s">
        <v>5445</v>
      </c>
      <c r="N46" s="446" t="s">
        <v>4666</v>
      </c>
      <c r="O46" s="1032">
        <v>40374</v>
      </c>
      <c r="P46" s="1041">
        <f t="shared" si="1"/>
        <v>7</v>
      </c>
      <c r="Q46" s="1041"/>
      <c r="R46" s="1032">
        <v>40379</v>
      </c>
      <c r="S46" s="642">
        <v>40381</v>
      </c>
      <c r="T46" s="642">
        <v>40383</v>
      </c>
      <c r="U46" s="1041">
        <f t="shared" si="2"/>
        <v>16</v>
      </c>
      <c r="V46" s="446" t="s">
        <v>5489</v>
      </c>
      <c r="W46" s="659" t="s">
        <v>2629</v>
      </c>
      <c r="X46" s="643"/>
      <c r="Y46" s="643"/>
      <c r="Z46" s="446" t="s">
        <v>5490</v>
      </c>
      <c r="AA46" s="1044" t="s">
        <v>47</v>
      </c>
      <c r="AB46" s="1032" t="s">
        <v>2283</v>
      </c>
      <c r="AC46" s="644" t="s">
        <v>5491</v>
      </c>
      <c r="AD46" s="645" t="str">
        <f t="shared" si="3"/>
        <v>atrasado</v>
      </c>
    </row>
    <row r="47" spans="1:36" s="587" customFormat="1" ht="54.95" customHeight="1" thickBot="1" x14ac:dyDescent="0.25">
      <c r="A47" s="584"/>
      <c r="B47" s="455" t="s">
        <v>5433</v>
      </c>
      <c r="C47" s="455" t="s">
        <v>5434</v>
      </c>
      <c r="D47" s="456" t="s">
        <v>5492</v>
      </c>
      <c r="E47" s="456"/>
      <c r="F47" s="457" t="s">
        <v>5493</v>
      </c>
      <c r="G47" s="457" t="s">
        <v>4633</v>
      </c>
      <c r="H47" s="458">
        <v>1280</v>
      </c>
      <c r="I47" s="611" t="s">
        <v>5436</v>
      </c>
      <c r="J47" s="460">
        <v>40346</v>
      </c>
      <c r="K47" s="461">
        <v>35</v>
      </c>
      <c r="L47" s="462">
        <f t="shared" si="0"/>
        <v>40381</v>
      </c>
      <c r="M47" s="611" t="s">
        <v>5445</v>
      </c>
      <c r="N47" s="468" t="s">
        <v>4666</v>
      </c>
      <c r="O47" s="460">
        <v>40374</v>
      </c>
      <c r="P47" s="461">
        <f t="shared" si="1"/>
        <v>4</v>
      </c>
      <c r="Q47" s="461"/>
      <c r="R47" s="460">
        <v>40378</v>
      </c>
      <c r="S47" s="471">
        <v>40385</v>
      </c>
      <c r="T47" s="471">
        <f>+S47+3</f>
        <v>40388</v>
      </c>
      <c r="U47" s="461">
        <f t="shared" si="2"/>
        <v>42</v>
      </c>
      <c r="V47" s="468" t="s">
        <v>5494</v>
      </c>
      <c r="W47" s="493" t="s">
        <v>2634</v>
      </c>
      <c r="X47" s="467"/>
      <c r="Y47" s="467"/>
      <c r="Z47" s="468" t="s">
        <v>1676</v>
      </c>
      <c r="AA47" s="456" t="s">
        <v>47</v>
      </c>
      <c r="AB47" s="1032" t="s">
        <v>2304</v>
      </c>
      <c r="AC47" s="470"/>
      <c r="AD47" s="645" t="str">
        <f t="shared" si="3"/>
        <v>atrasado</v>
      </c>
    </row>
    <row r="48" spans="1:36" s="587" customFormat="1" ht="54.95" customHeight="1" thickBot="1" x14ac:dyDescent="0.25">
      <c r="A48" s="584"/>
      <c r="B48" s="455" t="s">
        <v>5433</v>
      </c>
      <c r="C48" s="455" t="s">
        <v>5434</v>
      </c>
      <c r="D48" s="456" t="s">
        <v>5495</v>
      </c>
      <c r="E48" s="456"/>
      <c r="F48" s="457" t="s">
        <v>5496</v>
      </c>
      <c r="G48" s="457" t="s">
        <v>4633</v>
      </c>
      <c r="H48" s="458">
        <v>2600</v>
      </c>
      <c r="I48" s="611" t="s">
        <v>5436</v>
      </c>
      <c r="J48" s="460">
        <v>40388</v>
      </c>
      <c r="K48" s="461">
        <v>2</v>
      </c>
      <c r="L48" s="462">
        <f>+J48+K48</f>
        <v>40390</v>
      </c>
      <c r="M48" s="611" t="s">
        <v>5458</v>
      </c>
      <c r="N48" s="468" t="s">
        <v>4666</v>
      </c>
      <c r="O48" s="460">
        <v>40389</v>
      </c>
      <c r="P48" s="461">
        <f t="shared" ref="P48:P54" si="4">IF(S48="","",+S48-L48)</f>
        <v>-1</v>
      </c>
      <c r="Q48" s="461"/>
      <c r="R48" s="460"/>
      <c r="S48" s="471">
        <v>40389</v>
      </c>
      <c r="T48" s="471">
        <f>+S48+3</f>
        <v>40392</v>
      </c>
      <c r="U48" s="461">
        <f t="shared" ref="U48:U54" si="5">IF(T48="","",+T48-J48)</f>
        <v>4</v>
      </c>
      <c r="V48" s="468" t="s">
        <v>1020</v>
      </c>
      <c r="W48" s="493" t="s">
        <v>2825</v>
      </c>
      <c r="X48" s="467"/>
      <c r="Y48" s="467"/>
      <c r="Z48" s="468" t="s">
        <v>1676</v>
      </c>
      <c r="AA48" s="456" t="s">
        <v>47</v>
      </c>
      <c r="AB48" s="1032" t="s">
        <v>2304</v>
      </c>
      <c r="AC48" s="470"/>
      <c r="AD48" s="645" t="str">
        <f t="shared" ref="AD48:AD54" si="6">IF(P48="","",IF(P48&lt;=0,"en término","atrasado"))</f>
        <v>en término</v>
      </c>
    </row>
    <row r="49" spans="1:36" s="587" customFormat="1" ht="54.95" customHeight="1" thickBot="1" x14ac:dyDescent="0.25">
      <c r="A49" s="584"/>
      <c r="B49" s="1043" t="s">
        <v>5433</v>
      </c>
      <c r="C49" s="1043" t="s">
        <v>5434</v>
      </c>
      <c r="D49" s="1044" t="s">
        <v>5497</v>
      </c>
      <c r="E49" s="1044"/>
      <c r="F49" s="1028" t="s">
        <v>5498</v>
      </c>
      <c r="G49" s="1028" t="s">
        <v>4633</v>
      </c>
      <c r="H49" s="1029">
        <v>560.79999999999995</v>
      </c>
      <c r="I49" s="640" t="s">
        <v>5436</v>
      </c>
      <c r="J49" s="1032">
        <v>40393</v>
      </c>
      <c r="K49" s="1041">
        <v>30</v>
      </c>
      <c r="L49" s="641">
        <f>+J49+K49</f>
        <v>40423</v>
      </c>
      <c r="M49" s="640" t="s">
        <v>5458</v>
      </c>
      <c r="N49" s="446" t="s">
        <v>4666</v>
      </c>
      <c r="O49" s="1032">
        <v>40400</v>
      </c>
      <c r="P49" s="1041">
        <f t="shared" si="4"/>
        <v>-23</v>
      </c>
      <c r="Q49" s="1041"/>
      <c r="R49" s="1032"/>
      <c r="S49" s="642">
        <v>40400</v>
      </c>
      <c r="T49" s="642">
        <f>+S49+3</f>
        <v>40403</v>
      </c>
      <c r="U49" s="1041">
        <f t="shared" si="5"/>
        <v>10</v>
      </c>
      <c r="V49" s="446" t="s">
        <v>5499</v>
      </c>
      <c r="W49" s="659" t="s">
        <v>2641</v>
      </c>
      <c r="X49" s="643"/>
      <c r="Y49" s="643"/>
      <c r="Z49" s="446"/>
      <c r="AA49" s="1044" t="s">
        <v>47</v>
      </c>
      <c r="AB49" s="1032" t="s">
        <v>2304</v>
      </c>
      <c r="AC49" s="644"/>
      <c r="AD49" s="645" t="str">
        <f t="shared" si="6"/>
        <v>en término</v>
      </c>
    </row>
    <row r="50" spans="1:36" s="587" customFormat="1" ht="54.95" customHeight="1" thickBot="1" x14ac:dyDescent="0.25">
      <c r="A50" s="584"/>
      <c r="B50" s="455" t="s">
        <v>5433</v>
      </c>
      <c r="C50" s="455" t="s">
        <v>5434</v>
      </c>
      <c r="D50" s="456" t="s">
        <v>5500</v>
      </c>
      <c r="E50" s="456"/>
      <c r="F50" s="457" t="s">
        <v>5501</v>
      </c>
      <c r="G50" s="457" t="s">
        <v>4633</v>
      </c>
      <c r="H50" s="458">
        <v>1350</v>
      </c>
      <c r="I50" s="611" t="s">
        <v>5436</v>
      </c>
      <c r="J50" s="460">
        <v>40396</v>
      </c>
      <c r="K50" s="461">
        <v>4</v>
      </c>
      <c r="L50" s="462">
        <f>+J50+K50</f>
        <v>40400</v>
      </c>
      <c r="M50" s="611" t="s">
        <v>5458</v>
      </c>
      <c r="N50" s="468" t="s">
        <v>4666</v>
      </c>
      <c r="O50" s="460">
        <v>40400</v>
      </c>
      <c r="P50" s="461">
        <f t="shared" si="4"/>
        <v>0</v>
      </c>
      <c r="Q50" s="461"/>
      <c r="R50" s="460"/>
      <c r="S50" s="471">
        <v>40400</v>
      </c>
      <c r="T50" s="471">
        <f>+S50+3</f>
        <v>40403</v>
      </c>
      <c r="U50" s="461">
        <f t="shared" si="5"/>
        <v>7</v>
      </c>
      <c r="V50" s="468" t="s">
        <v>5502</v>
      </c>
      <c r="W50" s="493" t="s">
        <v>2649</v>
      </c>
      <c r="X50" s="467"/>
      <c r="Y50" s="467"/>
      <c r="Z50" s="468"/>
      <c r="AA50" s="456" t="s">
        <v>47</v>
      </c>
      <c r="AB50" s="1032" t="s">
        <v>2304</v>
      </c>
      <c r="AC50" s="470"/>
      <c r="AD50" s="645" t="str">
        <f t="shared" si="6"/>
        <v>en término</v>
      </c>
    </row>
    <row r="51" spans="1:36" s="587" customFormat="1" ht="54.95" customHeight="1" thickBot="1" x14ac:dyDescent="0.25">
      <c r="A51" s="584"/>
      <c r="B51" s="1043" t="s">
        <v>5433</v>
      </c>
      <c r="C51" s="1043" t="s">
        <v>5434</v>
      </c>
      <c r="D51" s="1044" t="s">
        <v>5503</v>
      </c>
      <c r="E51" s="1044"/>
      <c r="F51" s="1028" t="s">
        <v>5504</v>
      </c>
      <c r="G51" s="1028" t="s">
        <v>4633</v>
      </c>
      <c r="H51" s="1029">
        <v>13350.8</v>
      </c>
      <c r="I51" s="640" t="s">
        <v>5436</v>
      </c>
      <c r="J51" s="1032">
        <v>40388</v>
      </c>
      <c r="K51" s="1041">
        <v>35</v>
      </c>
      <c r="L51" s="641">
        <f>+J51+K51</f>
        <v>40423</v>
      </c>
      <c r="M51" s="640" t="s">
        <v>5458</v>
      </c>
      <c r="N51" s="446" t="s">
        <v>4666</v>
      </c>
      <c r="O51" s="1032">
        <v>40421</v>
      </c>
      <c r="P51" s="1041">
        <f t="shared" si="4"/>
        <v>-1</v>
      </c>
      <c r="Q51" s="1041"/>
      <c r="R51" s="1032"/>
      <c r="S51" s="642">
        <v>40422</v>
      </c>
      <c r="T51" s="642">
        <f>+S51+3</f>
        <v>40425</v>
      </c>
      <c r="U51" s="1041">
        <f t="shared" si="5"/>
        <v>37</v>
      </c>
      <c r="V51" s="446" t="s">
        <v>1209</v>
      </c>
      <c r="W51" s="659" t="s">
        <v>2653</v>
      </c>
      <c r="X51" s="643"/>
      <c r="Y51" s="643"/>
      <c r="Z51" s="446" t="s">
        <v>1676</v>
      </c>
      <c r="AA51" s="1044" t="s">
        <v>47</v>
      </c>
      <c r="AB51" s="1032" t="s">
        <v>5505</v>
      </c>
      <c r="AC51" s="644"/>
      <c r="AD51" s="645" t="str">
        <f t="shared" si="6"/>
        <v>en término</v>
      </c>
    </row>
    <row r="52" spans="1:36" s="587" customFormat="1" ht="54.95" customHeight="1" thickBot="1" x14ac:dyDescent="0.25">
      <c r="A52" s="584"/>
      <c r="B52" s="455" t="s">
        <v>5433</v>
      </c>
      <c r="C52" s="455" t="s">
        <v>5456</v>
      </c>
      <c r="D52" s="456" t="s">
        <v>5506</v>
      </c>
      <c r="E52" s="456"/>
      <c r="F52" s="457">
        <v>4500105386</v>
      </c>
      <c r="G52" s="457" t="s">
        <v>4633</v>
      </c>
      <c r="H52" s="458">
        <v>19438</v>
      </c>
      <c r="I52" s="611" t="s">
        <v>5436</v>
      </c>
      <c r="J52" s="460">
        <v>40374</v>
      </c>
      <c r="K52" s="461">
        <v>74</v>
      </c>
      <c r="L52" s="462">
        <f>+J52+K52</f>
        <v>40448</v>
      </c>
      <c r="M52" s="611" t="s">
        <v>5445</v>
      </c>
      <c r="N52" s="468" t="s">
        <v>4666</v>
      </c>
      <c r="O52" s="460">
        <v>40442</v>
      </c>
      <c r="P52" s="461">
        <f t="shared" si="4"/>
        <v>3</v>
      </c>
      <c r="Q52" s="461"/>
      <c r="R52" s="460">
        <v>40450</v>
      </c>
      <c r="S52" s="471">
        <v>40451</v>
      </c>
      <c r="T52" s="471"/>
      <c r="U52" s="461" t="str">
        <f t="shared" si="5"/>
        <v/>
      </c>
      <c r="V52" s="468" t="s">
        <v>5489</v>
      </c>
      <c r="W52" s="493" t="s">
        <v>2673</v>
      </c>
      <c r="X52" s="467"/>
      <c r="Y52" s="467"/>
      <c r="Z52" s="468">
        <v>2192838992</v>
      </c>
      <c r="AA52" s="456" t="s">
        <v>47</v>
      </c>
      <c r="AB52" s="460" t="s">
        <v>5507</v>
      </c>
      <c r="AC52" s="470"/>
      <c r="AD52" s="645" t="str">
        <f t="shared" si="6"/>
        <v>atrasado</v>
      </c>
    </row>
    <row r="53" spans="1:36" s="587" customFormat="1" ht="54.95" customHeight="1" thickBot="1" x14ac:dyDescent="0.25">
      <c r="A53" s="584"/>
      <c r="B53" s="1043" t="s">
        <v>5433</v>
      </c>
      <c r="C53" s="1043" t="s">
        <v>5434</v>
      </c>
      <c r="D53" s="1044" t="s">
        <v>5508</v>
      </c>
      <c r="E53" s="1044"/>
      <c r="F53" s="1028" t="s">
        <v>5509</v>
      </c>
      <c r="G53" s="1028" t="s">
        <v>4633</v>
      </c>
      <c r="H53" s="1029">
        <v>15164.7</v>
      </c>
      <c r="I53" s="640" t="s">
        <v>5436</v>
      </c>
      <c r="J53" s="1032">
        <v>40450</v>
      </c>
      <c r="K53" s="1041">
        <f>+L53-J53</f>
        <v>61</v>
      </c>
      <c r="L53" s="641">
        <v>40511</v>
      </c>
      <c r="M53" s="640" t="s">
        <v>5458</v>
      </c>
      <c r="N53" s="446" t="s">
        <v>4666</v>
      </c>
      <c r="O53" s="1032">
        <v>40500</v>
      </c>
      <c r="P53" s="1041">
        <f t="shared" si="4"/>
        <v>-11</v>
      </c>
      <c r="Q53" s="1041" t="s">
        <v>5510</v>
      </c>
      <c r="R53" s="1032"/>
      <c r="S53" s="642">
        <v>40500</v>
      </c>
      <c r="T53" s="642">
        <f>+S53+7</f>
        <v>40507</v>
      </c>
      <c r="U53" s="1041">
        <f t="shared" si="5"/>
        <v>57</v>
      </c>
      <c r="V53" s="446" t="s">
        <v>1209</v>
      </c>
      <c r="W53" s="659" t="s">
        <v>5511</v>
      </c>
      <c r="X53" s="643"/>
      <c r="Y53" s="643"/>
      <c r="Z53" s="446" t="s">
        <v>1676</v>
      </c>
      <c r="AA53" s="1044" t="s">
        <v>47</v>
      </c>
      <c r="AB53" s="1032" t="s">
        <v>2356</v>
      </c>
      <c r="AC53" s="644"/>
      <c r="AD53" s="645" t="str">
        <f t="shared" si="6"/>
        <v>en término</v>
      </c>
    </row>
    <row r="54" spans="1:36" s="587" customFormat="1" ht="54.95" customHeight="1" thickBot="1" x14ac:dyDescent="0.25">
      <c r="A54" s="584"/>
      <c r="B54" s="455" t="s">
        <v>5433</v>
      </c>
      <c r="C54" s="455" t="s">
        <v>5434</v>
      </c>
      <c r="D54" s="456" t="s">
        <v>5512</v>
      </c>
      <c r="E54" s="456"/>
      <c r="F54" s="457" t="s">
        <v>5513</v>
      </c>
      <c r="G54" s="457" t="s">
        <v>4633</v>
      </c>
      <c r="H54" s="458">
        <v>2120</v>
      </c>
      <c r="I54" s="611" t="s">
        <v>5436</v>
      </c>
      <c r="J54" s="460">
        <v>40463</v>
      </c>
      <c r="K54" s="461">
        <f>+L54-J54</f>
        <v>30</v>
      </c>
      <c r="L54" s="462">
        <v>40493</v>
      </c>
      <c r="M54" s="611" t="s">
        <v>5445</v>
      </c>
      <c r="N54" s="468" t="s">
        <v>4666</v>
      </c>
      <c r="O54" s="460">
        <v>40500</v>
      </c>
      <c r="P54" s="461">
        <f t="shared" si="4"/>
        <v>7</v>
      </c>
      <c r="Q54" s="461" t="s">
        <v>5510</v>
      </c>
      <c r="R54" s="460"/>
      <c r="S54" s="471">
        <v>40500</v>
      </c>
      <c r="T54" s="471">
        <f>+S54+7</f>
        <v>40507</v>
      </c>
      <c r="U54" s="461">
        <f t="shared" si="5"/>
        <v>44</v>
      </c>
      <c r="V54" s="468" t="s">
        <v>5514</v>
      </c>
      <c r="W54" s="493">
        <v>106</v>
      </c>
      <c r="X54" s="467"/>
      <c r="Y54" s="467"/>
      <c r="Z54" s="468" t="s">
        <v>1676</v>
      </c>
      <c r="AA54" s="456" t="s">
        <v>47</v>
      </c>
      <c r="AB54" s="1032" t="s">
        <v>2356</v>
      </c>
      <c r="AC54" s="470" t="s">
        <v>5515</v>
      </c>
      <c r="AD54" s="645" t="str">
        <f t="shared" si="6"/>
        <v>atrasado</v>
      </c>
    </row>
    <row r="55" spans="1:36" ht="12.75" x14ac:dyDescent="0.2">
      <c r="AA55" s="1"/>
      <c r="AB55" s="1047"/>
    </row>
    <row r="56" spans="1:36" ht="12.75" x14ac:dyDescent="0.2">
      <c r="AA56" s="1">
        <v>2010</v>
      </c>
      <c r="AB56" s="1047"/>
    </row>
    <row r="57" spans="1:36" ht="12.75" x14ac:dyDescent="0.2">
      <c r="AA57" s="945" t="s">
        <v>813</v>
      </c>
      <c r="AB57" s="1048">
        <f>COUNTA(AD41:AD57)</f>
        <v>13</v>
      </c>
    </row>
    <row r="58" spans="1:36" ht="12.75" x14ac:dyDescent="0.2">
      <c r="AA58" s="945" t="s">
        <v>4709</v>
      </c>
      <c r="AB58" s="1048">
        <f>COUNTIF(AD40:AD56,"en término")</f>
        <v>7</v>
      </c>
    </row>
    <row r="59" spans="1:36" ht="12.75" x14ac:dyDescent="0.2">
      <c r="AA59" s="945" t="s">
        <v>817</v>
      </c>
      <c r="AB59" s="557">
        <f>+AB58/AB57</f>
        <v>0.53846153846153844</v>
      </c>
    </row>
    <row r="60" spans="1:36" ht="12.75" x14ac:dyDescent="0.2">
      <c r="AA60" s="945"/>
      <c r="AB60" s="557"/>
    </row>
    <row r="61" spans="1:36" ht="12" thickBot="1" x14ac:dyDescent="0.25"/>
    <row r="62" spans="1:36" s="556" customFormat="1" ht="39.950000000000003" customHeight="1" thickBot="1" x14ac:dyDescent="0.4">
      <c r="B62" s="1611">
        <v>2011</v>
      </c>
      <c r="C62" s="1612"/>
      <c r="D62" s="1612"/>
      <c r="E62" s="1612"/>
      <c r="F62" s="1612"/>
      <c r="G62" s="1612"/>
      <c r="H62" s="1612"/>
      <c r="I62" s="1612"/>
      <c r="J62" s="1612"/>
      <c r="K62" s="1612"/>
      <c r="L62" s="1612"/>
      <c r="M62" s="1612"/>
      <c r="N62" s="1612"/>
      <c r="O62" s="1612"/>
      <c r="P62" s="1612"/>
      <c r="Q62" s="1612"/>
      <c r="R62" s="1612"/>
      <c r="S62" s="1612"/>
      <c r="T62" s="1612"/>
      <c r="U62" s="1612"/>
      <c r="V62" s="1612"/>
      <c r="W62" s="1612"/>
      <c r="X62" s="1612"/>
      <c r="Y62" s="1612"/>
      <c r="Z62" s="1612"/>
      <c r="AA62" s="1612"/>
      <c r="AB62" s="1612"/>
      <c r="AC62" s="1613"/>
    </row>
    <row r="63" spans="1:36" s="441" customFormat="1" ht="60" customHeight="1" thickBot="1" x14ac:dyDescent="0.25">
      <c r="A63" s="438"/>
      <c r="B63" s="451" t="s">
        <v>130</v>
      </c>
      <c r="C63" s="451" t="s">
        <v>4</v>
      </c>
      <c r="D63" s="451" t="s">
        <v>5</v>
      </c>
      <c r="E63" s="451" t="s">
        <v>6</v>
      </c>
      <c r="F63" s="451" t="s">
        <v>7</v>
      </c>
      <c r="G63" s="451" t="s">
        <v>8</v>
      </c>
      <c r="H63" s="453" t="s">
        <v>9</v>
      </c>
      <c r="I63" s="453" t="s">
        <v>10</v>
      </c>
      <c r="J63" s="451" t="s">
        <v>11</v>
      </c>
      <c r="K63" s="451" t="s">
        <v>12</v>
      </c>
      <c r="L63" s="451" t="s">
        <v>13</v>
      </c>
      <c r="M63" s="451" t="s">
        <v>14</v>
      </c>
      <c r="N63" s="451" t="s">
        <v>15</v>
      </c>
      <c r="O63" s="452" t="s">
        <v>16</v>
      </c>
      <c r="P63" s="454" t="s">
        <v>17</v>
      </c>
      <c r="Q63" s="451" t="s">
        <v>18</v>
      </c>
      <c r="R63" s="452" t="s">
        <v>19</v>
      </c>
      <c r="S63" s="451" t="s">
        <v>20</v>
      </c>
      <c r="T63" s="451" t="s">
        <v>21</v>
      </c>
      <c r="U63" s="452" t="s">
        <v>22</v>
      </c>
      <c r="V63" s="451" t="s">
        <v>131</v>
      </c>
      <c r="W63" s="451" t="s">
        <v>24</v>
      </c>
      <c r="X63" s="451" t="s">
        <v>132</v>
      </c>
      <c r="Y63" s="451" t="s">
        <v>26</v>
      </c>
      <c r="Z63" s="451" t="s">
        <v>27</v>
      </c>
      <c r="AA63" s="451" t="s">
        <v>28</v>
      </c>
      <c r="AB63" s="451" t="s">
        <v>29</v>
      </c>
      <c r="AC63" s="451" t="s">
        <v>30</v>
      </c>
      <c r="AD63" s="439"/>
      <c r="AE63" s="440"/>
      <c r="AF63" s="440"/>
      <c r="AG63" s="440"/>
      <c r="AH63" s="440"/>
      <c r="AI63" s="440"/>
      <c r="AJ63" s="440"/>
    </row>
    <row r="64" spans="1:36" s="587" customFormat="1" ht="54.95" customHeight="1" thickBot="1" x14ac:dyDescent="0.25">
      <c r="A64" s="584"/>
      <c r="B64" s="1043" t="s">
        <v>5433</v>
      </c>
      <c r="C64" s="1043" t="s">
        <v>5516</v>
      </c>
      <c r="D64" s="1044" t="s">
        <v>5517</v>
      </c>
      <c r="E64" s="1044"/>
      <c r="F64" s="1028" t="s">
        <v>5518</v>
      </c>
      <c r="G64" s="1028" t="s">
        <v>39</v>
      </c>
      <c r="H64" s="1029">
        <v>322</v>
      </c>
      <c r="I64" s="640" t="s">
        <v>5436</v>
      </c>
      <c r="J64" s="1032">
        <v>40571</v>
      </c>
      <c r="K64" s="1041">
        <f t="shared" ref="K64:K69" si="7">+L64-J64</f>
        <v>4</v>
      </c>
      <c r="L64" s="641">
        <v>40575</v>
      </c>
      <c r="M64" s="640" t="s">
        <v>5445</v>
      </c>
      <c r="N64" s="446" t="s">
        <v>4666</v>
      </c>
      <c r="O64" s="1032">
        <v>40591</v>
      </c>
      <c r="P64" s="1041">
        <f t="shared" ref="P64:P69" si="8">IF(S64="","",+S64-L64)</f>
        <v>22</v>
      </c>
      <c r="Q64" s="1041"/>
      <c r="R64" s="1032"/>
      <c r="S64" s="642">
        <v>40597</v>
      </c>
      <c r="T64" s="642">
        <f>+S64+5</f>
        <v>40602</v>
      </c>
      <c r="U64" s="1041">
        <f t="shared" ref="U64:U69" si="9">IF(T64="","",+T64-J64)</f>
        <v>31</v>
      </c>
      <c r="V64" s="446" t="s">
        <v>5519</v>
      </c>
      <c r="W64" s="659" t="s">
        <v>2224</v>
      </c>
      <c r="X64" s="643"/>
      <c r="Y64" s="643"/>
      <c r="Z64" s="446" t="s">
        <v>1676</v>
      </c>
      <c r="AA64" s="1044"/>
      <c r="AB64" s="1032" t="s">
        <v>5520</v>
      </c>
      <c r="AC64" s="644"/>
      <c r="AD64" s="645" t="str">
        <f t="shared" ref="AD64:AD69" si="10">IF(P64="","",IF(P64&lt;=0,"en término","atrasado"))</f>
        <v>atrasado</v>
      </c>
    </row>
    <row r="65" spans="1:40" s="587" customFormat="1" ht="54.95" customHeight="1" thickBot="1" x14ac:dyDescent="0.25">
      <c r="A65" s="584"/>
      <c r="B65" s="1043" t="s">
        <v>5433</v>
      </c>
      <c r="C65" s="1043" t="s">
        <v>5516</v>
      </c>
      <c r="D65" s="1044" t="s">
        <v>5521</v>
      </c>
      <c r="E65" s="1044"/>
      <c r="F65" s="1028" t="s">
        <v>5522</v>
      </c>
      <c r="G65" s="1028" t="s">
        <v>39</v>
      </c>
      <c r="H65" s="1029">
        <v>2500</v>
      </c>
      <c r="I65" s="640" t="s">
        <v>5436</v>
      </c>
      <c r="J65" s="1032">
        <v>40595</v>
      </c>
      <c r="K65" s="1041">
        <f t="shared" si="7"/>
        <v>8</v>
      </c>
      <c r="L65" s="641">
        <v>40603</v>
      </c>
      <c r="M65" s="640" t="s">
        <v>5445</v>
      </c>
      <c r="N65" s="446" t="s">
        <v>4666</v>
      </c>
      <c r="O65" s="1032">
        <v>40597</v>
      </c>
      <c r="P65" s="1041">
        <f t="shared" si="8"/>
        <v>3</v>
      </c>
      <c r="Q65" s="1041"/>
      <c r="R65" s="1032"/>
      <c r="S65" s="642">
        <v>40606</v>
      </c>
      <c r="T65" s="642">
        <f>+S65+5</f>
        <v>40611</v>
      </c>
      <c r="U65" s="1041">
        <f t="shared" si="9"/>
        <v>16</v>
      </c>
      <c r="V65" s="446" t="s">
        <v>5523</v>
      </c>
      <c r="W65" s="659" t="s">
        <v>2235</v>
      </c>
      <c r="X65" s="643"/>
      <c r="Y65" s="643"/>
      <c r="Z65" s="446" t="s">
        <v>1676</v>
      </c>
      <c r="AA65" s="1044"/>
      <c r="AB65" s="1032" t="s">
        <v>5520</v>
      </c>
      <c r="AC65" s="644"/>
      <c r="AD65" s="645" t="str">
        <f t="shared" si="10"/>
        <v>atrasado</v>
      </c>
    </row>
    <row r="66" spans="1:40" s="413" customFormat="1" ht="54.95" customHeight="1" thickBot="1" x14ac:dyDescent="0.25">
      <c r="A66" s="411"/>
      <c r="B66" s="1043" t="s">
        <v>5433</v>
      </c>
      <c r="C66" s="1043" t="s">
        <v>5456</v>
      </c>
      <c r="D66" s="1044" t="s">
        <v>5524</v>
      </c>
      <c r="E66" s="1044"/>
      <c r="F66" s="1028">
        <v>4500115710</v>
      </c>
      <c r="G66" s="1028" t="s">
        <v>39</v>
      </c>
      <c r="H66" s="1029">
        <v>29180</v>
      </c>
      <c r="I66" s="640" t="s">
        <v>5436</v>
      </c>
      <c r="J66" s="1032">
        <v>40603</v>
      </c>
      <c r="K66" s="1041">
        <f t="shared" si="7"/>
        <v>69</v>
      </c>
      <c r="L66" s="641">
        <v>40672</v>
      </c>
      <c r="M66" s="640" t="s">
        <v>5525</v>
      </c>
      <c r="N66" s="446" t="s">
        <v>4666</v>
      </c>
      <c r="O66" s="1032">
        <v>40662</v>
      </c>
      <c r="P66" s="1041">
        <f t="shared" si="8"/>
        <v>-3</v>
      </c>
      <c r="Q66" s="1041"/>
      <c r="R66" s="1032">
        <v>40667</v>
      </c>
      <c r="S66" s="642">
        <v>40669</v>
      </c>
      <c r="T66" s="642">
        <f>+S66+10</f>
        <v>40679</v>
      </c>
      <c r="U66" s="1041">
        <f t="shared" si="9"/>
        <v>76</v>
      </c>
      <c r="V66" s="446" t="s">
        <v>5526</v>
      </c>
      <c r="W66" s="659" t="s">
        <v>2807</v>
      </c>
      <c r="X66" s="643"/>
      <c r="Y66" s="643"/>
      <c r="Z66" s="446" t="s">
        <v>1676</v>
      </c>
      <c r="AA66" s="1044"/>
      <c r="AB66" s="1032" t="s">
        <v>5527</v>
      </c>
      <c r="AC66" s="644"/>
      <c r="AD66" s="645" t="str">
        <f t="shared" si="10"/>
        <v>en término</v>
      </c>
      <c r="AE66" s="646"/>
      <c r="AF66" s="410"/>
      <c r="AG66" s="410"/>
      <c r="AH66" s="410"/>
      <c r="AI66" s="410"/>
      <c r="AJ66" s="410"/>
      <c r="AK66" s="410"/>
      <c r="AL66" s="410"/>
      <c r="AM66" s="410"/>
      <c r="AN66" s="410"/>
    </row>
    <row r="67" spans="1:40" s="587" customFormat="1" ht="54.95" customHeight="1" thickBot="1" x14ac:dyDescent="0.25">
      <c r="A67" s="649"/>
      <c r="B67" s="455" t="s">
        <v>5433</v>
      </c>
      <c r="C67" s="455" t="s">
        <v>5434</v>
      </c>
      <c r="D67" s="456" t="s">
        <v>5528</v>
      </c>
      <c r="E67" s="456"/>
      <c r="F67" s="457" t="s">
        <v>5529</v>
      </c>
      <c r="G67" s="457" t="s">
        <v>39</v>
      </c>
      <c r="H67" s="458">
        <v>6280</v>
      </c>
      <c r="I67" s="611" t="s">
        <v>5436</v>
      </c>
      <c r="J67" s="460">
        <v>40651</v>
      </c>
      <c r="K67" s="461">
        <f t="shared" si="7"/>
        <v>7</v>
      </c>
      <c r="L67" s="462">
        <v>40658</v>
      </c>
      <c r="M67" s="611" t="s">
        <v>5445</v>
      </c>
      <c r="N67" s="468" t="s">
        <v>4666</v>
      </c>
      <c r="O67" s="460">
        <v>40652</v>
      </c>
      <c r="P67" s="461">
        <f t="shared" si="8"/>
        <v>2</v>
      </c>
      <c r="Q67" s="461"/>
      <c r="R67" s="460"/>
      <c r="S67" s="471">
        <v>40660</v>
      </c>
      <c r="T67" s="471">
        <f>+S67+5</f>
        <v>40665</v>
      </c>
      <c r="U67" s="461">
        <f t="shared" si="9"/>
        <v>14</v>
      </c>
      <c r="V67" s="468" t="s">
        <v>73</v>
      </c>
      <c r="W67" s="493" t="s">
        <v>2293</v>
      </c>
      <c r="X67" s="467"/>
      <c r="Y67" s="467"/>
      <c r="Z67" s="468" t="s">
        <v>1676</v>
      </c>
      <c r="AA67" s="456" t="s">
        <v>47</v>
      </c>
      <c r="AB67" s="460" t="s">
        <v>5527</v>
      </c>
      <c r="AC67" s="470"/>
      <c r="AD67" s="645" t="str">
        <f t="shared" si="10"/>
        <v>atrasado</v>
      </c>
      <c r="AE67" s="646"/>
    </row>
    <row r="68" spans="1:40" s="587" customFormat="1" ht="54.95" customHeight="1" thickBot="1" x14ac:dyDescent="0.25">
      <c r="A68" s="649"/>
      <c r="B68" s="455" t="s">
        <v>5433</v>
      </c>
      <c r="C68" s="455" t="s">
        <v>5434</v>
      </c>
      <c r="D68" s="456" t="s">
        <v>5530</v>
      </c>
      <c r="E68" s="456"/>
      <c r="F68" s="457" t="s">
        <v>5531</v>
      </c>
      <c r="G68" s="457" t="s">
        <v>39</v>
      </c>
      <c r="H68" s="458">
        <v>18570</v>
      </c>
      <c r="I68" s="611" t="s">
        <v>5436</v>
      </c>
      <c r="J68" s="460">
        <v>40645</v>
      </c>
      <c r="K68" s="461">
        <f t="shared" si="7"/>
        <v>89</v>
      </c>
      <c r="L68" s="462">
        <v>40734</v>
      </c>
      <c r="M68" s="611" t="s">
        <v>5458</v>
      </c>
      <c r="N68" s="468" t="s">
        <v>4666</v>
      </c>
      <c r="O68" s="460">
        <v>40729</v>
      </c>
      <c r="P68" s="461">
        <f t="shared" si="8"/>
        <v>-4</v>
      </c>
      <c r="Q68" s="461"/>
      <c r="R68" s="460">
        <v>40730</v>
      </c>
      <c r="S68" s="471">
        <v>40730</v>
      </c>
      <c r="T68" s="471">
        <v>40730</v>
      </c>
      <c r="U68" s="461">
        <f t="shared" si="9"/>
        <v>85</v>
      </c>
      <c r="V68" s="468" t="s">
        <v>5532</v>
      </c>
      <c r="W68" s="493">
        <v>81</v>
      </c>
      <c r="X68" s="467"/>
      <c r="Y68" s="467"/>
      <c r="Z68" s="468" t="s">
        <v>1676</v>
      </c>
      <c r="AA68" s="456" t="s">
        <v>47</v>
      </c>
      <c r="AB68" s="460" t="s">
        <v>5527</v>
      </c>
      <c r="AC68" s="470"/>
      <c r="AD68" s="645" t="str">
        <f t="shared" si="10"/>
        <v>en término</v>
      </c>
      <c r="AE68" s="646"/>
    </row>
    <row r="69" spans="1:40" s="587" customFormat="1" ht="54.95" customHeight="1" thickBot="1" x14ac:dyDescent="0.25">
      <c r="A69" s="649"/>
      <c r="B69" s="455" t="s">
        <v>5433</v>
      </c>
      <c r="C69" s="455" t="s">
        <v>5456</v>
      </c>
      <c r="D69" s="456" t="s">
        <v>5533</v>
      </c>
      <c r="E69" s="456"/>
      <c r="F69" s="457">
        <v>4500125351</v>
      </c>
      <c r="G69" s="457" t="s">
        <v>5534</v>
      </c>
      <c r="H69" s="458">
        <v>28465</v>
      </c>
      <c r="I69" s="611" t="s">
        <v>5436</v>
      </c>
      <c r="J69" s="460">
        <v>40787</v>
      </c>
      <c r="K69" s="461">
        <f t="shared" si="7"/>
        <v>66</v>
      </c>
      <c r="L69" s="462">
        <v>40853</v>
      </c>
      <c r="M69" s="611" t="s">
        <v>5458</v>
      </c>
      <c r="N69" s="468" t="s">
        <v>4666</v>
      </c>
      <c r="O69" s="460">
        <v>40844</v>
      </c>
      <c r="P69" s="461">
        <f t="shared" si="8"/>
        <v>9</v>
      </c>
      <c r="Q69" s="461"/>
      <c r="R69" s="460"/>
      <c r="S69" s="471">
        <v>40862</v>
      </c>
      <c r="T69" s="471">
        <v>40867</v>
      </c>
      <c r="U69" s="461">
        <f t="shared" si="9"/>
        <v>80</v>
      </c>
      <c r="V69" s="468" t="s">
        <v>53</v>
      </c>
      <c r="W69" s="493">
        <v>125</v>
      </c>
      <c r="X69" s="592"/>
      <c r="Y69" s="592"/>
      <c r="Z69" s="468" t="s">
        <v>1676</v>
      </c>
      <c r="AA69" s="456"/>
      <c r="AB69" s="460" t="s">
        <v>47</v>
      </c>
      <c r="AC69" s="470"/>
      <c r="AD69" s="645" t="str">
        <f t="shared" si="10"/>
        <v>atrasado</v>
      </c>
    </row>
    <row r="70" spans="1:40" s="587" customFormat="1" ht="54.95" customHeight="1" thickBot="1" x14ac:dyDescent="0.25">
      <c r="A70" s="649"/>
      <c r="B70" s="455" t="s">
        <v>5433</v>
      </c>
      <c r="C70" s="455" t="s">
        <v>5434</v>
      </c>
      <c r="D70" s="456" t="s">
        <v>5535</v>
      </c>
      <c r="E70" s="456"/>
      <c r="F70" s="457" t="s">
        <v>5536</v>
      </c>
      <c r="G70" s="457" t="s">
        <v>5534</v>
      </c>
      <c r="H70" s="458">
        <v>6459.98</v>
      </c>
      <c r="I70" s="611" t="s">
        <v>5436</v>
      </c>
      <c r="J70" s="460">
        <v>40798</v>
      </c>
      <c r="K70" s="461">
        <f>+L70-J70</f>
        <v>10</v>
      </c>
      <c r="L70" s="462">
        <v>40808</v>
      </c>
      <c r="M70" s="611" t="s">
        <v>5458</v>
      </c>
      <c r="N70" s="468" t="s">
        <v>4666</v>
      </c>
      <c r="O70" s="460">
        <v>40806</v>
      </c>
      <c r="P70" s="461">
        <f>IF(S70="","",+S70-L70)</f>
        <v>5</v>
      </c>
      <c r="Q70" s="461" t="s">
        <v>5537</v>
      </c>
      <c r="R70" s="460">
        <v>40813</v>
      </c>
      <c r="S70" s="471">
        <v>40813</v>
      </c>
      <c r="T70" s="471">
        <v>40814</v>
      </c>
      <c r="U70" s="461">
        <f>IF(T70="","",+T70-J70)</f>
        <v>16</v>
      </c>
      <c r="V70" s="468" t="s">
        <v>5538</v>
      </c>
      <c r="W70" s="493">
        <v>118</v>
      </c>
      <c r="X70" s="592"/>
      <c r="Y70" s="592"/>
      <c r="Z70" s="468" t="s">
        <v>1676</v>
      </c>
      <c r="AA70" s="456"/>
      <c r="AB70" s="460" t="s">
        <v>1793</v>
      </c>
      <c r="AC70" s="470"/>
      <c r="AD70" s="645" t="str">
        <f>IF(P70="","",IF(P70&lt;=0,"en término","atrasado"))</f>
        <v>atrasado</v>
      </c>
    </row>
    <row r="71" spans="1:40" s="587" customFormat="1" ht="54.95" customHeight="1" thickBot="1" x14ac:dyDescent="0.25">
      <c r="A71" s="649"/>
      <c r="B71" s="455" t="s">
        <v>5433</v>
      </c>
      <c r="C71" s="455" t="s">
        <v>5434</v>
      </c>
      <c r="D71" s="456" t="s">
        <v>5539</v>
      </c>
      <c r="E71" s="456"/>
      <c r="F71" s="457" t="s">
        <v>5540</v>
      </c>
      <c r="G71" s="457" t="s">
        <v>5534</v>
      </c>
      <c r="H71" s="458">
        <v>11400</v>
      </c>
      <c r="I71" s="611" t="s">
        <v>5436</v>
      </c>
      <c r="J71" s="460">
        <v>40840</v>
      </c>
      <c r="K71" s="461">
        <f>+L71-J71</f>
        <v>65</v>
      </c>
      <c r="L71" s="462">
        <v>40905</v>
      </c>
      <c r="M71" s="611" t="s">
        <v>5458</v>
      </c>
      <c r="N71" s="468" t="s">
        <v>4666</v>
      </c>
      <c r="O71" s="460">
        <v>40899</v>
      </c>
      <c r="P71" s="461">
        <f>IF(S71="","",+S71-L71)</f>
        <v>-1</v>
      </c>
      <c r="Q71" s="461"/>
      <c r="R71" s="460"/>
      <c r="S71" s="471">
        <v>40904</v>
      </c>
      <c r="T71" s="462">
        <v>40906</v>
      </c>
      <c r="U71" s="461">
        <f>IF(T71="","",+T71-J71)</f>
        <v>66</v>
      </c>
      <c r="V71" s="468" t="s">
        <v>53</v>
      </c>
      <c r="W71" s="493">
        <v>144</v>
      </c>
      <c r="X71" s="592"/>
      <c r="Y71" s="592"/>
      <c r="Z71" s="468"/>
      <c r="AA71" s="456"/>
      <c r="AB71" s="460" t="s">
        <v>5541</v>
      </c>
      <c r="AC71" s="470"/>
      <c r="AD71" s="645" t="str">
        <f>IF(P71="","",IF(P71&lt;=0,"en término","atrasado"))</f>
        <v>en término</v>
      </c>
    </row>
    <row r="72" spans="1:40" s="587" customFormat="1" ht="15" customHeight="1" x14ac:dyDescent="0.2">
      <c r="A72" s="649"/>
      <c r="B72" s="649"/>
      <c r="C72" s="649"/>
      <c r="D72" s="650"/>
      <c r="E72" s="650"/>
      <c r="F72" s="645"/>
      <c r="G72" s="645"/>
      <c r="H72" s="651"/>
      <c r="I72" s="652"/>
      <c r="J72" s="653"/>
      <c r="K72" s="654"/>
      <c r="L72" s="655"/>
      <c r="M72" s="652"/>
      <c r="N72" s="656"/>
      <c r="O72" s="653"/>
      <c r="P72" s="654"/>
      <c r="Q72" s="654"/>
      <c r="R72" s="653"/>
      <c r="S72" s="657"/>
      <c r="T72" s="657"/>
      <c r="U72" s="654"/>
      <c r="V72" s="656"/>
      <c r="W72" s="701"/>
      <c r="X72" s="645"/>
      <c r="Y72" s="645"/>
      <c r="Z72" s="656"/>
      <c r="AA72" s="650"/>
      <c r="AB72" s="653"/>
      <c r="AC72" s="658"/>
      <c r="AD72" s="645"/>
    </row>
    <row r="73" spans="1:40" ht="12.75" x14ac:dyDescent="0.2">
      <c r="AA73" s="1">
        <v>2011</v>
      </c>
      <c r="AB73" s="1047"/>
    </row>
    <row r="74" spans="1:40" ht="12.75" x14ac:dyDescent="0.2">
      <c r="AA74" s="945" t="s">
        <v>813</v>
      </c>
      <c r="AB74" s="1048">
        <f>COUNTA(AD64:AD74)</f>
        <v>8</v>
      </c>
    </row>
    <row r="75" spans="1:40" ht="12.75" x14ac:dyDescent="0.2">
      <c r="AA75" s="945" t="s">
        <v>4709</v>
      </c>
      <c r="AB75" s="1048">
        <f>COUNTIF(AD64:AD73,"en término")</f>
        <v>3</v>
      </c>
    </row>
    <row r="76" spans="1:40" ht="12.75" x14ac:dyDescent="0.2">
      <c r="AA76" s="945" t="s">
        <v>817</v>
      </c>
      <c r="AB76" s="557">
        <f>+AB75/AB74</f>
        <v>0.375</v>
      </c>
    </row>
    <row r="78" spans="1:40" ht="12" thickBot="1" x14ac:dyDescent="0.25"/>
    <row r="79" spans="1:40" s="556" customFormat="1" ht="39.950000000000003" customHeight="1" thickBot="1" x14ac:dyDescent="0.4">
      <c r="B79" s="1611">
        <v>2012</v>
      </c>
      <c r="C79" s="1612"/>
      <c r="D79" s="1612"/>
      <c r="E79" s="1612"/>
      <c r="F79" s="1612"/>
      <c r="G79" s="1612"/>
      <c r="H79" s="1612"/>
      <c r="I79" s="1612"/>
      <c r="J79" s="1612"/>
      <c r="K79" s="1612"/>
      <c r="L79" s="1612"/>
      <c r="M79" s="1612"/>
      <c r="N79" s="1612"/>
      <c r="O79" s="1612"/>
      <c r="P79" s="1612"/>
      <c r="Q79" s="1612"/>
      <c r="R79" s="1612"/>
      <c r="S79" s="1612"/>
      <c r="T79" s="1612"/>
      <c r="U79" s="1612"/>
      <c r="V79" s="1612"/>
      <c r="W79" s="1612"/>
      <c r="X79" s="1612"/>
      <c r="Y79" s="1612"/>
      <c r="Z79" s="1612"/>
      <c r="AA79" s="1612"/>
      <c r="AB79" s="1612"/>
      <c r="AC79" s="1613"/>
    </row>
    <row r="80" spans="1:40" s="441" customFormat="1" ht="60" customHeight="1" thickBot="1" x14ac:dyDescent="0.25">
      <c r="A80" s="438"/>
      <c r="B80" s="451" t="s">
        <v>130</v>
      </c>
      <c r="C80" s="451" t="s">
        <v>4</v>
      </c>
      <c r="D80" s="451" t="s">
        <v>5</v>
      </c>
      <c r="E80" s="451" t="s">
        <v>6</v>
      </c>
      <c r="F80" s="451" t="s">
        <v>7</v>
      </c>
      <c r="G80" s="451" t="s">
        <v>8</v>
      </c>
      <c r="H80" s="453" t="s">
        <v>9</v>
      </c>
      <c r="I80" s="453" t="s">
        <v>10</v>
      </c>
      <c r="J80" s="451" t="s">
        <v>11</v>
      </c>
      <c r="K80" s="451" t="s">
        <v>12</v>
      </c>
      <c r="L80" s="451" t="s">
        <v>13</v>
      </c>
      <c r="M80" s="451" t="s">
        <v>14</v>
      </c>
      <c r="N80" s="451" t="s">
        <v>15</v>
      </c>
      <c r="O80" s="452" t="s">
        <v>16</v>
      </c>
      <c r="P80" s="454" t="s">
        <v>17</v>
      </c>
      <c r="Q80" s="451" t="s">
        <v>18</v>
      </c>
      <c r="R80" s="452" t="s">
        <v>19</v>
      </c>
      <c r="S80" s="451" t="s">
        <v>20</v>
      </c>
      <c r="T80" s="451" t="s">
        <v>21</v>
      </c>
      <c r="U80" s="452" t="s">
        <v>22</v>
      </c>
      <c r="V80" s="451" t="s">
        <v>131</v>
      </c>
      <c r="W80" s="451" t="s">
        <v>24</v>
      </c>
      <c r="X80" s="451" t="s">
        <v>132</v>
      </c>
      <c r="Y80" s="451" t="s">
        <v>26</v>
      </c>
      <c r="Z80" s="451" t="s">
        <v>27</v>
      </c>
      <c r="AA80" s="451" t="s">
        <v>28</v>
      </c>
      <c r="AB80" s="451" t="s">
        <v>29</v>
      </c>
      <c r="AC80" s="451" t="s">
        <v>30</v>
      </c>
      <c r="AD80" s="439"/>
      <c r="AE80" s="440"/>
      <c r="AF80" s="440"/>
      <c r="AG80" s="440"/>
      <c r="AH80" s="440"/>
      <c r="AI80" s="440"/>
      <c r="AJ80" s="440"/>
    </row>
    <row r="81" spans="1:30" s="587" customFormat="1" ht="54.95" customHeight="1" thickBot="1" x14ac:dyDescent="0.25">
      <c r="A81" s="649"/>
      <c r="B81" s="455" t="s">
        <v>5433</v>
      </c>
      <c r="C81" s="455" t="s">
        <v>5456</v>
      </c>
      <c r="D81" s="456" t="s">
        <v>5542</v>
      </c>
      <c r="E81" s="456"/>
      <c r="F81" s="457">
        <v>4500130752</v>
      </c>
      <c r="G81" s="457" t="s">
        <v>5534</v>
      </c>
      <c r="H81" s="458">
        <v>32529</v>
      </c>
      <c r="I81" s="611" t="s">
        <v>5436</v>
      </c>
      <c r="J81" s="460">
        <v>40891</v>
      </c>
      <c r="K81" s="461">
        <f t="shared" ref="K81:K86" si="11">+L81-J81</f>
        <v>76</v>
      </c>
      <c r="L81" s="462">
        <v>40967</v>
      </c>
      <c r="M81" s="611" t="s">
        <v>5458</v>
      </c>
      <c r="N81" s="468" t="s">
        <v>4666</v>
      </c>
      <c r="O81" s="460">
        <v>40969</v>
      </c>
      <c r="P81" s="461">
        <f t="shared" ref="P81:P86" si="12">IF(S81="","",+S81-L81)</f>
        <v>21</v>
      </c>
      <c r="Q81" s="461"/>
      <c r="R81" s="460"/>
      <c r="S81" s="471">
        <v>40988</v>
      </c>
      <c r="T81" s="462">
        <f>+S81+20</f>
        <v>41008</v>
      </c>
      <c r="U81" s="461">
        <f t="shared" ref="U81:U86" si="13">IF(T81="","",+T81-J81)</f>
        <v>117</v>
      </c>
      <c r="V81" s="468" t="s">
        <v>5543</v>
      </c>
      <c r="W81" s="493" t="s">
        <v>2247</v>
      </c>
      <c r="X81" s="592"/>
      <c r="Y81" s="592"/>
      <c r="Z81" s="468" t="s">
        <v>1676</v>
      </c>
      <c r="AA81" s="456"/>
      <c r="AB81" s="460" t="s">
        <v>5544</v>
      </c>
      <c r="AC81" s="470"/>
      <c r="AD81" s="645" t="str">
        <f t="shared" ref="AD81:AD86" si="14">IF(P81="","",IF(P81&lt;=0,"en término","atrasado"))</f>
        <v>atrasado</v>
      </c>
    </row>
    <row r="82" spans="1:30" s="587" customFormat="1" ht="54.95" customHeight="1" thickBot="1" x14ac:dyDescent="0.25">
      <c r="A82" s="649"/>
      <c r="B82" s="455" t="s">
        <v>5433</v>
      </c>
      <c r="C82" s="455" t="s">
        <v>5545</v>
      </c>
      <c r="D82" s="456" t="s">
        <v>5546</v>
      </c>
      <c r="E82" s="456"/>
      <c r="F82" s="457">
        <v>4100000132</v>
      </c>
      <c r="G82" s="457" t="s">
        <v>4633</v>
      </c>
      <c r="H82" s="458">
        <v>11100</v>
      </c>
      <c r="I82" s="611" t="s">
        <v>5436</v>
      </c>
      <c r="J82" s="460">
        <v>40953</v>
      </c>
      <c r="K82" s="461">
        <f t="shared" si="11"/>
        <v>62</v>
      </c>
      <c r="L82" s="462">
        <v>41015</v>
      </c>
      <c r="M82" s="611" t="s">
        <v>124</v>
      </c>
      <c r="N82" s="468" t="s">
        <v>4666</v>
      </c>
      <c r="O82" s="460">
        <v>40981</v>
      </c>
      <c r="P82" s="461">
        <f t="shared" si="12"/>
        <v>-34</v>
      </c>
      <c r="Q82" s="461"/>
      <c r="R82" s="460"/>
      <c r="S82" s="471">
        <v>40981</v>
      </c>
      <c r="T82" s="462">
        <f>+S82+10</f>
        <v>40991</v>
      </c>
      <c r="U82" s="461">
        <f t="shared" si="13"/>
        <v>38</v>
      </c>
      <c r="V82" s="468" t="s">
        <v>5547</v>
      </c>
      <c r="W82" s="493" t="s">
        <v>2237</v>
      </c>
      <c r="X82" s="592"/>
      <c r="Y82" s="457"/>
      <c r="Z82" s="468" t="s">
        <v>1676</v>
      </c>
      <c r="AA82" s="456"/>
      <c r="AB82" s="460" t="s">
        <v>5548</v>
      </c>
      <c r="AC82" s="470" t="s">
        <v>5549</v>
      </c>
      <c r="AD82" s="645" t="str">
        <f t="shared" si="14"/>
        <v>en término</v>
      </c>
    </row>
    <row r="83" spans="1:30" s="587" customFormat="1" ht="54.95" customHeight="1" thickBot="1" x14ac:dyDescent="0.25">
      <c r="A83" s="649"/>
      <c r="B83" s="455" t="s">
        <v>5433</v>
      </c>
      <c r="C83" s="455" t="s">
        <v>5434</v>
      </c>
      <c r="D83" s="456" t="s">
        <v>5550</v>
      </c>
      <c r="E83" s="456"/>
      <c r="F83" s="457" t="s">
        <v>5551</v>
      </c>
      <c r="G83" s="457" t="s">
        <v>5534</v>
      </c>
      <c r="H83" s="458">
        <v>30720</v>
      </c>
      <c r="I83" s="611" t="s">
        <v>5436</v>
      </c>
      <c r="J83" s="460">
        <v>40840</v>
      </c>
      <c r="K83" s="461">
        <f t="shared" si="11"/>
        <v>154</v>
      </c>
      <c r="L83" s="462">
        <v>40994</v>
      </c>
      <c r="M83" s="611" t="s">
        <v>5458</v>
      </c>
      <c r="N83" s="468" t="s">
        <v>5552</v>
      </c>
      <c r="O83" s="460">
        <v>40995</v>
      </c>
      <c r="P83" s="461">
        <f t="shared" si="12"/>
        <v>3</v>
      </c>
      <c r="Q83" s="461"/>
      <c r="R83" s="460"/>
      <c r="S83" s="471">
        <v>40997</v>
      </c>
      <c r="T83" s="462">
        <f>+S83+3</f>
        <v>41000</v>
      </c>
      <c r="U83" s="461">
        <f t="shared" si="13"/>
        <v>160</v>
      </c>
      <c r="V83" s="468" t="s">
        <v>5553</v>
      </c>
      <c r="W83" s="493" t="s">
        <v>2265</v>
      </c>
      <c r="X83" s="592"/>
      <c r="Y83" s="592"/>
      <c r="Z83" s="468"/>
      <c r="AA83" s="456"/>
      <c r="AB83" s="460" t="s">
        <v>2616</v>
      </c>
      <c r="AC83" s="470" t="s">
        <v>5554</v>
      </c>
      <c r="AD83" s="645" t="str">
        <f t="shared" si="14"/>
        <v>atrasado</v>
      </c>
    </row>
    <row r="84" spans="1:30" s="587" customFormat="1" ht="54.95" customHeight="1" thickBot="1" x14ac:dyDescent="0.25">
      <c r="A84" s="649"/>
      <c r="B84" s="455" t="s">
        <v>5433</v>
      </c>
      <c r="C84" s="455" t="s">
        <v>5434</v>
      </c>
      <c r="D84" s="456" t="s">
        <v>5555</v>
      </c>
      <c r="E84" s="456"/>
      <c r="F84" s="457" t="s">
        <v>5556</v>
      </c>
      <c r="G84" s="457" t="s">
        <v>5534</v>
      </c>
      <c r="H84" s="458">
        <v>2150</v>
      </c>
      <c r="I84" s="611" t="s">
        <v>5436</v>
      </c>
      <c r="J84" s="460">
        <v>40934</v>
      </c>
      <c r="K84" s="461">
        <f t="shared" si="11"/>
        <v>60</v>
      </c>
      <c r="L84" s="462">
        <v>40994</v>
      </c>
      <c r="M84" s="611" t="s">
        <v>5458</v>
      </c>
      <c r="N84" s="468" t="s">
        <v>4666</v>
      </c>
      <c r="O84" s="460">
        <v>40988</v>
      </c>
      <c r="P84" s="461">
        <f t="shared" si="12"/>
        <v>0</v>
      </c>
      <c r="Q84" s="461"/>
      <c r="R84" s="460"/>
      <c r="S84" s="471">
        <v>40994</v>
      </c>
      <c r="T84" s="462">
        <f>+S84+3</f>
        <v>40997</v>
      </c>
      <c r="U84" s="461">
        <f t="shared" si="13"/>
        <v>63</v>
      </c>
      <c r="V84" s="468" t="s">
        <v>5557</v>
      </c>
      <c r="W84" s="493" t="s">
        <v>2792</v>
      </c>
      <c r="X84" s="592"/>
      <c r="Y84" s="592"/>
      <c r="Z84" s="468"/>
      <c r="AA84" s="456"/>
      <c r="AB84" s="460" t="s">
        <v>2616</v>
      </c>
      <c r="AC84" s="470"/>
      <c r="AD84" s="645" t="str">
        <f t="shared" si="14"/>
        <v>en término</v>
      </c>
    </row>
    <row r="85" spans="1:30" s="587" customFormat="1" ht="54.95" customHeight="1" thickBot="1" x14ac:dyDescent="0.25">
      <c r="A85" s="649"/>
      <c r="B85" s="455" t="s">
        <v>5433</v>
      </c>
      <c r="C85" s="455" t="s">
        <v>5456</v>
      </c>
      <c r="D85" s="456" t="s">
        <v>5542</v>
      </c>
      <c r="E85" s="456"/>
      <c r="F85" s="457">
        <v>4500130752</v>
      </c>
      <c r="G85" s="457" t="s">
        <v>5534</v>
      </c>
      <c r="H85" s="458">
        <v>58723</v>
      </c>
      <c r="I85" s="611" t="s">
        <v>5436</v>
      </c>
      <c r="J85" s="460">
        <v>40891</v>
      </c>
      <c r="K85" s="461">
        <f t="shared" si="11"/>
        <v>136</v>
      </c>
      <c r="L85" s="462">
        <v>41027</v>
      </c>
      <c r="M85" s="611" t="s">
        <v>124</v>
      </c>
      <c r="N85" s="468" t="s">
        <v>4666</v>
      </c>
      <c r="O85" s="460">
        <v>41026</v>
      </c>
      <c r="P85" s="461">
        <f t="shared" si="12"/>
        <v>23</v>
      </c>
      <c r="Q85" s="461"/>
      <c r="R85" s="460"/>
      <c r="S85" s="471">
        <v>41050</v>
      </c>
      <c r="T85" s="462">
        <f>+S85+10</f>
        <v>41060</v>
      </c>
      <c r="U85" s="461">
        <f t="shared" si="13"/>
        <v>169</v>
      </c>
      <c r="V85" s="468" t="s">
        <v>5558</v>
      </c>
      <c r="W85" s="493" t="s">
        <v>2302</v>
      </c>
      <c r="X85" s="592"/>
      <c r="Y85" s="592"/>
      <c r="Z85" s="468" t="s">
        <v>1676</v>
      </c>
      <c r="AA85" s="456"/>
      <c r="AB85" s="460" t="s">
        <v>2995</v>
      </c>
      <c r="AC85" s="470"/>
      <c r="AD85" s="645" t="str">
        <f t="shared" si="14"/>
        <v>atrasado</v>
      </c>
    </row>
    <row r="86" spans="1:30" s="587" customFormat="1" ht="54.95" customHeight="1" thickBot="1" x14ac:dyDescent="0.25">
      <c r="A86" s="649"/>
      <c r="B86" s="455" t="s">
        <v>5433</v>
      </c>
      <c r="C86" s="455" t="s">
        <v>5434</v>
      </c>
      <c r="D86" s="456" t="s">
        <v>5559</v>
      </c>
      <c r="E86" s="456"/>
      <c r="F86" s="457" t="s">
        <v>5560</v>
      </c>
      <c r="G86" s="457" t="s">
        <v>5534</v>
      </c>
      <c r="H86" s="458">
        <v>1990</v>
      </c>
      <c r="I86" s="611" t="s">
        <v>5436</v>
      </c>
      <c r="J86" s="460">
        <v>41038</v>
      </c>
      <c r="K86" s="461">
        <f t="shared" si="11"/>
        <v>1</v>
      </c>
      <c r="L86" s="462">
        <v>41039</v>
      </c>
      <c r="M86" s="611" t="s">
        <v>5445</v>
      </c>
      <c r="N86" s="468" t="s">
        <v>4666</v>
      </c>
      <c r="O86" s="460">
        <v>41046</v>
      </c>
      <c r="P86" s="461">
        <f t="shared" si="12"/>
        <v>14</v>
      </c>
      <c r="Q86" s="461"/>
      <c r="R86" s="460"/>
      <c r="S86" s="471">
        <v>41053</v>
      </c>
      <c r="T86" s="462"/>
      <c r="U86" s="461" t="str">
        <f t="shared" si="13"/>
        <v/>
      </c>
      <c r="V86" s="468" t="s">
        <v>5561</v>
      </c>
      <c r="W86" s="493" t="s">
        <v>2827</v>
      </c>
      <c r="X86" s="592"/>
      <c r="Y86" s="592"/>
      <c r="Z86" s="468" t="s">
        <v>1676</v>
      </c>
      <c r="AA86" s="456"/>
      <c r="AB86" s="460" t="s">
        <v>5479</v>
      </c>
      <c r="AC86" s="470"/>
      <c r="AD86" s="645" t="str">
        <f t="shared" si="14"/>
        <v>atrasado</v>
      </c>
    </row>
    <row r="87" spans="1:30" s="587" customFormat="1" ht="54.95" customHeight="1" thickBot="1" x14ac:dyDescent="0.25">
      <c r="A87" s="649"/>
      <c r="B87" s="455" t="s">
        <v>5433</v>
      </c>
      <c r="C87" s="455" t="s">
        <v>5434</v>
      </c>
      <c r="D87" s="456" t="s">
        <v>5559</v>
      </c>
      <c r="E87" s="456"/>
      <c r="F87" s="457" t="s">
        <v>5562</v>
      </c>
      <c r="G87" s="457" t="s">
        <v>5534</v>
      </c>
      <c r="H87" s="458">
        <v>5880</v>
      </c>
      <c r="I87" s="611" t="s">
        <v>5436</v>
      </c>
      <c r="J87" s="460">
        <v>41038</v>
      </c>
      <c r="K87" s="461">
        <v>30</v>
      </c>
      <c r="L87" s="462">
        <f t="shared" ref="L87:L92" si="15">+J87+K87</f>
        <v>41068</v>
      </c>
      <c r="M87" s="611" t="s">
        <v>5458</v>
      </c>
      <c r="N87" s="468" t="s">
        <v>4666</v>
      </c>
      <c r="O87" s="460">
        <v>41068</v>
      </c>
      <c r="P87" s="461">
        <f t="shared" ref="P87:P92" si="16">IF(S87="","",+S87-L87)</f>
        <v>0</v>
      </c>
      <c r="Q87" s="461"/>
      <c r="R87" s="460"/>
      <c r="S87" s="471">
        <v>41068</v>
      </c>
      <c r="T87" s="462"/>
      <c r="U87" s="461" t="str">
        <f t="shared" ref="U87:U92" si="17">IF(T87="","",+T87-J87)</f>
        <v/>
      </c>
      <c r="V87" s="468" t="s">
        <v>5563</v>
      </c>
      <c r="W87" s="493" t="s">
        <v>3711</v>
      </c>
      <c r="X87" s="592"/>
      <c r="Y87" s="592"/>
      <c r="Z87" s="468" t="s">
        <v>1676</v>
      </c>
      <c r="AA87" s="456"/>
      <c r="AB87" s="460" t="s">
        <v>5448</v>
      </c>
      <c r="AC87" s="470" t="s">
        <v>5564</v>
      </c>
      <c r="AD87" s="645" t="str">
        <f t="shared" ref="AD87:AD92" si="18">IF(P87="","",IF(P87&lt;=0,"en término","atrasado"))</f>
        <v>en término</v>
      </c>
    </row>
    <row r="88" spans="1:30" s="587" customFormat="1" ht="54.95" customHeight="1" thickBot="1" x14ac:dyDescent="0.25">
      <c r="A88" s="649"/>
      <c r="B88" s="455" t="s">
        <v>5433</v>
      </c>
      <c r="C88" s="455" t="s">
        <v>5434</v>
      </c>
      <c r="D88" s="456" t="s">
        <v>5565</v>
      </c>
      <c r="E88" s="456"/>
      <c r="F88" s="457" t="s">
        <v>5566</v>
      </c>
      <c r="G88" s="457" t="s">
        <v>5534</v>
      </c>
      <c r="H88" s="458">
        <v>38305.800000000003</v>
      </c>
      <c r="I88" s="611" t="s">
        <v>5436</v>
      </c>
      <c r="J88" s="460">
        <v>41057</v>
      </c>
      <c r="K88" s="461">
        <v>75</v>
      </c>
      <c r="L88" s="462">
        <f t="shared" si="15"/>
        <v>41132</v>
      </c>
      <c r="M88" s="611" t="s">
        <v>5458</v>
      </c>
      <c r="N88" s="468" t="s">
        <v>4666</v>
      </c>
      <c r="O88" s="460">
        <v>41128</v>
      </c>
      <c r="P88" s="461">
        <f t="shared" si="16"/>
        <v>-4</v>
      </c>
      <c r="Q88" s="461"/>
      <c r="R88" s="460"/>
      <c r="S88" s="471">
        <v>41128</v>
      </c>
      <c r="T88" s="462">
        <f>+S88+10</f>
        <v>41138</v>
      </c>
      <c r="U88" s="461">
        <f t="shared" si="17"/>
        <v>81</v>
      </c>
      <c r="V88" s="468" t="s">
        <v>5567</v>
      </c>
      <c r="W88" s="493" t="s">
        <v>2858</v>
      </c>
      <c r="X88" s="592"/>
      <c r="Y88" s="592"/>
      <c r="Z88" s="468" t="s">
        <v>5568</v>
      </c>
      <c r="AA88" s="456" t="s">
        <v>47</v>
      </c>
      <c r="AB88" s="473" t="str">
        <f ca="1">IF(S88="","",IF('o.c.'!$Z$1&lt;(S88+60),(S88+60),"VENCIDA"))</f>
        <v>VENCIDA</v>
      </c>
      <c r="AC88" s="470"/>
      <c r="AD88" s="645" t="str">
        <f t="shared" si="18"/>
        <v>en término</v>
      </c>
    </row>
    <row r="89" spans="1:30" s="587" customFormat="1" ht="54.95" customHeight="1" thickBot="1" x14ac:dyDescent="0.25">
      <c r="A89" s="649"/>
      <c r="B89" s="455" t="s">
        <v>5433</v>
      </c>
      <c r="C89" s="455" t="s">
        <v>5434</v>
      </c>
      <c r="D89" s="456" t="s">
        <v>5569</v>
      </c>
      <c r="E89" s="456"/>
      <c r="F89" s="457" t="s">
        <v>5570</v>
      </c>
      <c r="G89" s="457" t="s">
        <v>5534</v>
      </c>
      <c r="H89" s="458">
        <v>3950</v>
      </c>
      <c r="I89" s="611" t="s">
        <v>5436</v>
      </c>
      <c r="J89" s="460">
        <v>41072</v>
      </c>
      <c r="K89" s="461">
        <v>60</v>
      </c>
      <c r="L89" s="462">
        <f t="shared" si="15"/>
        <v>41132</v>
      </c>
      <c r="M89" s="611" t="s">
        <v>5458</v>
      </c>
      <c r="N89" s="468" t="s">
        <v>4666</v>
      </c>
      <c r="O89" s="460">
        <v>41128</v>
      </c>
      <c r="P89" s="461">
        <f t="shared" si="16"/>
        <v>-4</v>
      </c>
      <c r="Q89" s="461"/>
      <c r="R89" s="460"/>
      <c r="S89" s="471">
        <v>41128</v>
      </c>
      <c r="T89" s="462">
        <f>+S89+10</f>
        <v>41138</v>
      </c>
      <c r="U89" s="461">
        <f t="shared" si="17"/>
        <v>66</v>
      </c>
      <c r="V89" s="468" t="s">
        <v>5571</v>
      </c>
      <c r="W89" s="493" t="s">
        <v>2355</v>
      </c>
      <c r="X89" s="592"/>
      <c r="Y89" s="592"/>
      <c r="Z89" s="468" t="s">
        <v>1708</v>
      </c>
      <c r="AA89" s="456" t="s">
        <v>47</v>
      </c>
      <c r="AB89" s="473" t="str">
        <f ca="1">IF(S89="","",IF('o.c.'!$Z$1&lt;(S89+60),(S89+60),"VENCIDA"))</f>
        <v>VENCIDA</v>
      </c>
      <c r="AC89" s="470" t="s">
        <v>5572</v>
      </c>
      <c r="AD89" s="645" t="str">
        <f t="shared" si="18"/>
        <v>en término</v>
      </c>
    </row>
    <row r="90" spans="1:30" s="587" customFormat="1" ht="54.95" customHeight="1" thickBot="1" x14ac:dyDescent="0.25">
      <c r="A90" s="649"/>
      <c r="B90" s="455" t="s">
        <v>5433</v>
      </c>
      <c r="C90" s="455" t="s">
        <v>5434</v>
      </c>
      <c r="D90" s="456" t="s">
        <v>5573</v>
      </c>
      <c r="E90" s="456"/>
      <c r="F90" s="457" t="s">
        <v>5574</v>
      </c>
      <c r="G90" s="457" t="s">
        <v>5534</v>
      </c>
      <c r="H90" s="458">
        <v>840</v>
      </c>
      <c r="I90" s="611" t="s">
        <v>5436</v>
      </c>
      <c r="J90" s="460">
        <v>41152</v>
      </c>
      <c r="K90" s="461">
        <v>21</v>
      </c>
      <c r="L90" s="462">
        <f t="shared" si="15"/>
        <v>41173</v>
      </c>
      <c r="M90" s="611" t="s">
        <v>5445</v>
      </c>
      <c r="N90" s="468" t="s">
        <v>4666</v>
      </c>
      <c r="O90" s="460">
        <v>41169</v>
      </c>
      <c r="P90" s="461">
        <f t="shared" si="16"/>
        <v>-3</v>
      </c>
      <c r="Q90" s="461"/>
      <c r="R90" s="460"/>
      <c r="S90" s="471">
        <v>41170</v>
      </c>
      <c r="T90" s="462">
        <f>+S90+10</f>
        <v>41180</v>
      </c>
      <c r="U90" s="461">
        <f t="shared" si="17"/>
        <v>28</v>
      </c>
      <c r="V90" s="468" t="s">
        <v>5575</v>
      </c>
      <c r="W90" s="493">
        <v>106</v>
      </c>
      <c r="X90" s="592"/>
      <c r="Y90" s="592"/>
      <c r="Z90" s="468"/>
      <c r="AA90" s="456"/>
      <c r="AB90" s="473" t="str">
        <f ca="1">IF(S90="","",IF('o.c.'!$Z$1&lt;(S90+60),(S90+60),"VENCIDA"))</f>
        <v>VENCIDA</v>
      </c>
      <c r="AC90" s="470" t="s">
        <v>5576</v>
      </c>
      <c r="AD90" s="645" t="str">
        <f t="shared" si="18"/>
        <v>en término</v>
      </c>
    </row>
    <row r="91" spans="1:30" s="587" customFormat="1" ht="54.95" customHeight="1" thickBot="1" x14ac:dyDescent="0.25">
      <c r="A91" s="649"/>
      <c r="B91" s="455" t="s">
        <v>5433</v>
      </c>
      <c r="C91" s="455" t="s">
        <v>5434</v>
      </c>
      <c r="D91" s="456" t="s">
        <v>5577</v>
      </c>
      <c r="E91" s="456"/>
      <c r="F91" s="457" t="s">
        <v>5578</v>
      </c>
      <c r="G91" s="457" t="s">
        <v>5534</v>
      </c>
      <c r="H91" s="458">
        <v>5110</v>
      </c>
      <c r="I91" s="611" t="s">
        <v>5436</v>
      </c>
      <c r="J91" s="460">
        <v>41201</v>
      </c>
      <c r="K91" s="461">
        <v>45</v>
      </c>
      <c r="L91" s="462">
        <f t="shared" si="15"/>
        <v>41246</v>
      </c>
      <c r="M91" s="611" t="s">
        <v>5458</v>
      </c>
      <c r="N91" s="468" t="s">
        <v>4666</v>
      </c>
      <c r="O91" s="460">
        <v>41261</v>
      </c>
      <c r="P91" s="461">
        <f t="shared" si="16"/>
        <v>17</v>
      </c>
      <c r="Q91" s="461"/>
      <c r="R91" s="460"/>
      <c r="S91" s="471">
        <v>41263</v>
      </c>
      <c r="T91" s="462">
        <f>+S91+10</f>
        <v>41273</v>
      </c>
      <c r="U91" s="461">
        <f t="shared" si="17"/>
        <v>72</v>
      </c>
      <c r="V91" s="468" t="s">
        <v>5579</v>
      </c>
      <c r="W91" s="493">
        <v>137</v>
      </c>
      <c r="X91" s="592"/>
      <c r="Y91" s="592"/>
      <c r="Z91" s="468"/>
      <c r="AA91" s="456"/>
      <c r="AB91" s="460" t="s">
        <v>5580</v>
      </c>
      <c r="AC91" s="470"/>
      <c r="AD91" s="645" t="str">
        <f t="shared" si="18"/>
        <v>atrasado</v>
      </c>
    </row>
    <row r="92" spans="1:30" s="587" customFormat="1" ht="54.95" customHeight="1" thickBot="1" x14ac:dyDescent="0.25">
      <c r="A92" s="649"/>
      <c r="B92" s="455" t="s">
        <v>5433</v>
      </c>
      <c r="C92" s="455" t="s">
        <v>5434</v>
      </c>
      <c r="D92" s="456" t="s">
        <v>5581</v>
      </c>
      <c r="E92" s="456"/>
      <c r="F92" s="457" t="s">
        <v>5582</v>
      </c>
      <c r="G92" s="457" t="s">
        <v>5534</v>
      </c>
      <c r="H92" s="458">
        <v>30566.9</v>
      </c>
      <c r="I92" s="611" t="s">
        <v>5436</v>
      </c>
      <c r="J92" s="460">
        <v>41222</v>
      </c>
      <c r="K92" s="461">
        <v>60</v>
      </c>
      <c r="L92" s="462">
        <f t="shared" si="15"/>
        <v>41282</v>
      </c>
      <c r="M92" s="611" t="s">
        <v>5458</v>
      </c>
      <c r="N92" s="468" t="s">
        <v>4666</v>
      </c>
      <c r="O92" s="460">
        <v>41296</v>
      </c>
      <c r="P92" s="461">
        <f t="shared" si="16"/>
        <v>38</v>
      </c>
      <c r="Q92" s="461"/>
      <c r="R92" s="460"/>
      <c r="S92" s="471">
        <v>41320</v>
      </c>
      <c r="T92" s="462">
        <f>+S92+10</f>
        <v>41330</v>
      </c>
      <c r="U92" s="461">
        <f t="shared" si="17"/>
        <v>108</v>
      </c>
      <c r="V92" s="468" t="s">
        <v>950</v>
      </c>
      <c r="W92" s="493" t="s">
        <v>84</v>
      </c>
      <c r="X92" s="592"/>
      <c r="Y92" s="592"/>
      <c r="Z92" s="468"/>
      <c r="AA92" s="456"/>
      <c r="AB92" s="460" t="s">
        <v>5583</v>
      </c>
      <c r="AC92" s="470"/>
      <c r="AD92" s="645" t="str">
        <f t="shared" si="18"/>
        <v>atrasado</v>
      </c>
    </row>
    <row r="94" spans="1:30" ht="12.75" x14ac:dyDescent="0.2">
      <c r="AA94" s="1">
        <v>2012</v>
      </c>
      <c r="AB94" s="1047"/>
    </row>
    <row r="95" spans="1:30" ht="12.75" x14ac:dyDescent="0.2">
      <c r="AA95" s="945" t="s">
        <v>813</v>
      </c>
      <c r="AB95" s="1048">
        <f>COUNTA(AD79:AD98)</f>
        <v>12</v>
      </c>
    </row>
    <row r="96" spans="1:30" ht="12.75" x14ac:dyDescent="0.2">
      <c r="AA96" s="945" t="s">
        <v>4709</v>
      </c>
      <c r="AB96" s="1048">
        <f>COUNTIF(AD76:AD94,"en término")</f>
        <v>6</v>
      </c>
    </row>
    <row r="97" spans="1:36" ht="12.75" x14ac:dyDescent="0.2">
      <c r="AA97" s="945" t="s">
        <v>817</v>
      </c>
      <c r="AB97" s="557">
        <f>+AB96/AB95</f>
        <v>0.5</v>
      </c>
    </row>
    <row r="99" spans="1:36" ht="12" thickBot="1" x14ac:dyDescent="0.25"/>
    <row r="100" spans="1:36" s="556" customFormat="1" ht="39.950000000000003" customHeight="1" thickBot="1" x14ac:dyDescent="0.4">
      <c r="B100" s="1611">
        <v>2013</v>
      </c>
      <c r="C100" s="1612"/>
      <c r="D100" s="1612"/>
      <c r="E100" s="1612"/>
      <c r="F100" s="1612"/>
      <c r="G100" s="1612"/>
      <c r="H100" s="1612"/>
      <c r="I100" s="1612"/>
      <c r="J100" s="1612"/>
      <c r="K100" s="1612"/>
      <c r="L100" s="1612"/>
      <c r="M100" s="1612"/>
      <c r="N100" s="1612"/>
      <c r="O100" s="1612"/>
      <c r="P100" s="1612"/>
      <c r="Q100" s="1612"/>
      <c r="R100" s="1612"/>
      <c r="S100" s="1612"/>
      <c r="T100" s="1612"/>
      <c r="U100" s="1612"/>
      <c r="V100" s="1612"/>
      <c r="W100" s="1612"/>
      <c r="X100" s="1612"/>
      <c r="Y100" s="1612"/>
      <c r="Z100" s="1612"/>
      <c r="AA100" s="1612"/>
      <c r="AB100" s="1612"/>
      <c r="AC100" s="1613"/>
    </row>
    <row r="101" spans="1:36" s="441" customFormat="1" ht="60" customHeight="1" thickBot="1" x14ac:dyDescent="0.25">
      <c r="A101" s="438"/>
      <c r="B101" s="451" t="s">
        <v>130</v>
      </c>
      <c r="C101" s="451" t="s">
        <v>4</v>
      </c>
      <c r="D101" s="451" t="s">
        <v>5</v>
      </c>
      <c r="E101" s="451" t="s">
        <v>6</v>
      </c>
      <c r="F101" s="451" t="s">
        <v>7</v>
      </c>
      <c r="G101" s="451" t="s">
        <v>8</v>
      </c>
      <c r="H101" s="453" t="s">
        <v>9</v>
      </c>
      <c r="I101" s="453" t="s">
        <v>10</v>
      </c>
      <c r="J101" s="451" t="s">
        <v>11</v>
      </c>
      <c r="K101" s="451" t="s">
        <v>12</v>
      </c>
      <c r="L101" s="451" t="s">
        <v>13</v>
      </c>
      <c r="M101" s="451" t="s">
        <v>14</v>
      </c>
      <c r="N101" s="451" t="s">
        <v>15</v>
      </c>
      <c r="O101" s="452" t="s">
        <v>16</v>
      </c>
      <c r="P101" s="454" t="s">
        <v>17</v>
      </c>
      <c r="Q101" s="451" t="s">
        <v>18</v>
      </c>
      <c r="R101" s="452" t="s">
        <v>19</v>
      </c>
      <c r="S101" s="451" t="s">
        <v>20</v>
      </c>
      <c r="T101" s="451" t="s">
        <v>21</v>
      </c>
      <c r="U101" s="452" t="s">
        <v>22</v>
      </c>
      <c r="V101" s="451" t="s">
        <v>131</v>
      </c>
      <c r="W101" s="451" t="s">
        <v>24</v>
      </c>
      <c r="X101" s="451" t="s">
        <v>132</v>
      </c>
      <c r="Y101" s="451" t="s">
        <v>26</v>
      </c>
      <c r="Z101" s="451" t="s">
        <v>27</v>
      </c>
      <c r="AA101" s="451" t="s">
        <v>28</v>
      </c>
      <c r="AB101" s="451" t="s">
        <v>29</v>
      </c>
      <c r="AC101" s="451" t="s">
        <v>30</v>
      </c>
      <c r="AD101" s="439"/>
      <c r="AE101" s="440"/>
      <c r="AF101" s="440"/>
      <c r="AG101" s="440"/>
      <c r="AH101" s="440"/>
      <c r="AI101" s="440"/>
      <c r="AJ101" s="440"/>
    </row>
    <row r="102" spans="1:36" s="587" customFormat="1" ht="54.95" customHeight="1" thickBot="1" x14ac:dyDescent="0.25">
      <c r="A102" s="649"/>
      <c r="B102" s="455" t="s">
        <v>5433</v>
      </c>
      <c r="C102" s="455" t="s">
        <v>5456</v>
      </c>
      <c r="D102" s="456" t="s">
        <v>5584</v>
      </c>
      <c r="E102" s="456"/>
      <c r="F102" s="457">
        <v>4500150887</v>
      </c>
      <c r="G102" s="457" t="s">
        <v>3703</v>
      </c>
      <c r="H102" s="458">
        <v>113159.2</v>
      </c>
      <c r="I102" s="611" t="s">
        <v>5436</v>
      </c>
      <c r="J102" s="460">
        <v>41239</v>
      </c>
      <c r="K102" s="461">
        <f>+L102-J102</f>
        <v>126</v>
      </c>
      <c r="L102" s="462">
        <v>41365</v>
      </c>
      <c r="M102" s="611" t="s">
        <v>124</v>
      </c>
      <c r="N102" s="468" t="s">
        <v>4666</v>
      </c>
      <c r="O102" s="460">
        <v>41355</v>
      </c>
      <c r="P102" s="461">
        <f t="shared" ref="P102:P110" si="19">IF(S102="","",+S102-L102)</f>
        <v>7</v>
      </c>
      <c r="Q102" s="461"/>
      <c r="R102" s="460">
        <v>41367</v>
      </c>
      <c r="S102" s="471">
        <v>41372</v>
      </c>
      <c r="T102" s="836">
        <f>+S102+10</f>
        <v>41382</v>
      </c>
      <c r="U102" s="461">
        <f t="shared" ref="U102:U110" si="20">IF(T102="","",+T102-J102)</f>
        <v>143</v>
      </c>
      <c r="V102" s="468" t="s">
        <v>5585</v>
      </c>
      <c r="W102" s="493" t="s">
        <v>2227</v>
      </c>
      <c r="X102" s="592"/>
      <c r="Y102" s="592"/>
      <c r="Z102" s="468" t="s">
        <v>1708</v>
      </c>
      <c r="AA102" s="456"/>
      <c r="AB102" s="460" t="s">
        <v>5586</v>
      </c>
      <c r="AC102" s="470" t="s">
        <v>5587</v>
      </c>
      <c r="AD102" s="645" t="str">
        <f t="shared" ref="AD102:AD110" si="21">IF(P102="","",IF(P102&lt;=0,"en término","atrasado"))</f>
        <v>atrasado</v>
      </c>
    </row>
    <row r="103" spans="1:36" s="587" customFormat="1" ht="54.95" customHeight="1" thickBot="1" x14ac:dyDescent="0.25">
      <c r="A103" s="649"/>
      <c r="B103" s="455" t="s">
        <v>5433</v>
      </c>
      <c r="C103" s="455" t="s">
        <v>5434</v>
      </c>
      <c r="D103" s="456" t="s">
        <v>5588</v>
      </c>
      <c r="E103" s="456"/>
      <c r="F103" s="457" t="s">
        <v>5589</v>
      </c>
      <c r="G103" s="457" t="s">
        <v>5534</v>
      </c>
      <c r="H103" s="458">
        <v>2290</v>
      </c>
      <c r="I103" s="611" t="s">
        <v>5436</v>
      </c>
      <c r="J103" s="460">
        <v>41339</v>
      </c>
      <c r="K103" s="461">
        <v>45</v>
      </c>
      <c r="L103" s="462">
        <f>+J103+K103</f>
        <v>41384</v>
      </c>
      <c r="M103" s="611" t="s">
        <v>124</v>
      </c>
      <c r="N103" s="468" t="s">
        <v>4666</v>
      </c>
      <c r="O103" s="460">
        <v>41376</v>
      </c>
      <c r="P103" s="461">
        <f t="shared" si="19"/>
        <v>-1</v>
      </c>
      <c r="Q103" s="461"/>
      <c r="R103" s="460">
        <v>41382</v>
      </c>
      <c r="S103" s="471">
        <v>41383</v>
      </c>
      <c r="T103" s="836">
        <f>+S103+10</f>
        <v>41393</v>
      </c>
      <c r="U103" s="461">
        <f t="shared" si="20"/>
        <v>54</v>
      </c>
      <c r="V103" s="468" t="s">
        <v>53</v>
      </c>
      <c r="W103" s="493" t="s">
        <v>57</v>
      </c>
      <c r="X103" s="592"/>
      <c r="Y103" s="592"/>
      <c r="Z103" s="468" t="s">
        <v>1708</v>
      </c>
      <c r="AA103" s="456"/>
      <c r="AB103" s="460" t="s">
        <v>5590</v>
      </c>
      <c r="AC103" s="470"/>
      <c r="AD103" s="645" t="str">
        <f t="shared" si="21"/>
        <v>en término</v>
      </c>
    </row>
    <row r="104" spans="1:36" s="587" customFormat="1" ht="54.95" customHeight="1" thickBot="1" x14ac:dyDescent="0.25">
      <c r="A104" s="649"/>
      <c r="B104" s="455" t="s">
        <v>5433</v>
      </c>
      <c r="C104" s="455" t="s">
        <v>5456</v>
      </c>
      <c r="D104" s="456" t="s">
        <v>5591</v>
      </c>
      <c r="E104" s="456"/>
      <c r="F104" s="457">
        <v>4500150870</v>
      </c>
      <c r="G104" s="457" t="s">
        <v>3703</v>
      </c>
      <c r="H104" s="458">
        <v>55548.800000000003</v>
      </c>
      <c r="I104" s="611" t="s">
        <v>5436</v>
      </c>
      <c r="J104" s="460">
        <v>41295</v>
      </c>
      <c r="K104" s="461">
        <f>+L104-J104</f>
        <v>99</v>
      </c>
      <c r="L104" s="462">
        <v>41394</v>
      </c>
      <c r="M104" s="611" t="s">
        <v>124</v>
      </c>
      <c r="N104" s="468" t="s">
        <v>4666</v>
      </c>
      <c r="O104" s="460">
        <v>41387</v>
      </c>
      <c r="P104" s="461">
        <f t="shared" si="19"/>
        <v>4</v>
      </c>
      <c r="Q104" s="461"/>
      <c r="R104" s="460">
        <v>41393</v>
      </c>
      <c r="S104" s="471">
        <v>41398</v>
      </c>
      <c r="T104" s="462">
        <f>+S104+15</f>
        <v>41413</v>
      </c>
      <c r="U104" s="461">
        <f t="shared" si="20"/>
        <v>118</v>
      </c>
      <c r="V104" s="468" t="s">
        <v>5592</v>
      </c>
      <c r="W104" s="493" t="s">
        <v>2282</v>
      </c>
      <c r="X104" s="592"/>
      <c r="Y104" s="592"/>
      <c r="Z104" s="468" t="s">
        <v>5593</v>
      </c>
      <c r="AA104" s="456"/>
      <c r="AB104" s="460" t="s">
        <v>5586</v>
      </c>
      <c r="AC104" s="470"/>
      <c r="AD104" s="645" t="str">
        <f t="shared" si="21"/>
        <v>atrasado</v>
      </c>
    </row>
    <row r="105" spans="1:36" s="587" customFormat="1" ht="54.95" customHeight="1" thickBot="1" x14ac:dyDescent="0.25">
      <c r="A105" s="649"/>
      <c r="B105" s="455" t="s">
        <v>5433</v>
      </c>
      <c r="C105" s="455" t="s">
        <v>5434</v>
      </c>
      <c r="D105" s="456" t="s">
        <v>5594</v>
      </c>
      <c r="E105" s="456"/>
      <c r="F105" s="457" t="s">
        <v>5595</v>
      </c>
      <c r="G105" s="457" t="s">
        <v>5534</v>
      </c>
      <c r="H105" s="458">
        <v>76297</v>
      </c>
      <c r="I105" s="611" t="s">
        <v>5436</v>
      </c>
      <c r="J105" s="460">
        <v>41299</v>
      </c>
      <c r="K105" s="461">
        <v>120</v>
      </c>
      <c r="L105" s="462">
        <f>+J105+K105</f>
        <v>41419</v>
      </c>
      <c r="M105" s="611" t="s">
        <v>5458</v>
      </c>
      <c r="N105" s="468" t="s">
        <v>4666</v>
      </c>
      <c r="O105" s="460">
        <v>41415</v>
      </c>
      <c r="P105" s="461">
        <f t="shared" si="19"/>
        <v>-3</v>
      </c>
      <c r="Q105" s="461"/>
      <c r="R105" s="460"/>
      <c r="S105" s="471">
        <v>41416</v>
      </c>
      <c r="T105" s="462">
        <v>41419</v>
      </c>
      <c r="U105" s="461">
        <f t="shared" si="20"/>
        <v>120</v>
      </c>
      <c r="V105" s="468" t="s">
        <v>53</v>
      </c>
      <c r="W105" s="493" t="s">
        <v>2953</v>
      </c>
      <c r="X105" s="592"/>
      <c r="Y105" s="592"/>
      <c r="Z105" s="468" t="s">
        <v>1676</v>
      </c>
      <c r="AA105" s="456"/>
      <c r="AB105" s="460" t="s">
        <v>5596</v>
      </c>
      <c r="AC105" s="470"/>
      <c r="AD105" s="645" t="str">
        <f t="shared" si="21"/>
        <v>en término</v>
      </c>
    </row>
    <row r="106" spans="1:36" s="587" customFormat="1" ht="54.95" customHeight="1" thickBot="1" x14ac:dyDescent="0.25">
      <c r="A106" s="649"/>
      <c r="B106" s="455" t="s">
        <v>5433</v>
      </c>
      <c r="C106" s="455" t="s">
        <v>5434</v>
      </c>
      <c r="D106" s="456" t="s">
        <v>5597</v>
      </c>
      <c r="E106" s="456"/>
      <c r="F106" s="457" t="s">
        <v>5598</v>
      </c>
      <c r="G106" s="457" t="s">
        <v>5534</v>
      </c>
      <c r="H106" s="458">
        <v>10650</v>
      </c>
      <c r="I106" s="611" t="s">
        <v>5436</v>
      </c>
      <c r="J106" s="460">
        <v>41339</v>
      </c>
      <c r="K106" s="461">
        <v>90</v>
      </c>
      <c r="L106" s="462">
        <f>+J106+K106</f>
        <v>41429</v>
      </c>
      <c r="M106" s="611" t="s">
        <v>5458</v>
      </c>
      <c r="N106" s="468" t="s">
        <v>4666</v>
      </c>
      <c r="O106" s="460">
        <v>41429</v>
      </c>
      <c r="P106" s="461">
        <f>IF(S106="","",+S106-L106)</f>
        <v>8</v>
      </c>
      <c r="Q106" s="461"/>
      <c r="R106" s="460"/>
      <c r="S106" s="471">
        <v>41437</v>
      </c>
      <c r="T106" s="462">
        <v>41440</v>
      </c>
      <c r="U106" s="461">
        <f>IF(T106="","",+T106-J106)</f>
        <v>101</v>
      </c>
      <c r="V106" s="468" t="s">
        <v>5599</v>
      </c>
      <c r="W106" s="493" t="s">
        <v>2626</v>
      </c>
      <c r="X106" s="592"/>
      <c r="Y106" s="592"/>
      <c r="Z106" s="468" t="s">
        <v>1676</v>
      </c>
      <c r="AA106" s="456"/>
      <c r="AB106" s="460" t="s">
        <v>2802</v>
      </c>
      <c r="AC106" s="470"/>
      <c r="AD106" s="645" t="str">
        <f>IF(P106="","",IF(P106&lt;=0,"en término","atrasado"))</f>
        <v>atrasado</v>
      </c>
    </row>
    <row r="107" spans="1:36" s="587" customFormat="1" ht="54.95" customHeight="1" thickBot="1" x14ac:dyDescent="0.25">
      <c r="A107" s="649"/>
      <c r="B107" s="455" t="s">
        <v>5433</v>
      </c>
      <c r="C107" s="455" t="s">
        <v>5456</v>
      </c>
      <c r="D107" s="456" t="s">
        <v>5600</v>
      </c>
      <c r="E107" s="456"/>
      <c r="F107" s="457">
        <v>4500152323</v>
      </c>
      <c r="G107" s="457" t="s">
        <v>3703</v>
      </c>
      <c r="H107" s="458">
        <v>86727.3</v>
      </c>
      <c r="I107" s="611" t="s">
        <v>5436</v>
      </c>
      <c r="J107" s="460">
        <v>41325</v>
      </c>
      <c r="K107" s="461">
        <f>+L107-J107</f>
        <v>124</v>
      </c>
      <c r="L107" s="462">
        <v>41449</v>
      </c>
      <c r="M107" s="611" t="s">
        <v>124</v>
      </c>
      <c r="N107" s="468" t="s">
        <v>4666</v>
      </c>
      <c r="O107" s="460">
        <v>41439</v>
      </c>
      <c r="P107" s="461">
        <f t="shared" si="19"/>
        <v>7</v>
      </c>
      <c r="Q107" s="461"/>
      <c r="R107" s="460">
        <v>41451</v>
      </c>
      <c r="S107" s="471">
        <v>41456</v>
      </c>
      <c r="T107" s="462">
        <f>+S107+15</f>
        <v>41471</v>
      </c>
      <c r="U107" s="461">
        <f t="shared" si="20"/>
        <v>146</v>
      </c>
      <c r="V107" s="468" t="s">
        <v>5601</v>
      </c>
      <c r="W107" s="493" t="s">
        <v>2305</v>
      </c>
      <c r="X107" s="592"/>
      <c r="Y107" s="592"/>
      <c r="Z107" s="468" t="s">
        <v>5602</v>
      </c>
      <c r="AA107" s="456"/>
      <c r="AB107" s="460" t="s">
        <v>3827</v>
      </c>
      <c r="AC107" s="470"/>
      <c r="AD107" s="645" t="str">
        <f t="shared" si="21"/>
        <v>atrasado</v>
      </c>
    </row>
    <row r="108" spans="1:36" s="587" customFormat="1" ht="54.95" customHeight="1" thickBot="1" x14ac:dyDescent="0.25">
      <c r="A108" s="649"/>
      <c r="B108" s="455" t="s">
        <v>5433</v>
      </c>
      <c r="C108" s="455" t="s">
        <v>5434</v>
      </c>
      <c r="D108" s="456" t="s">
        <v>5603</v>
      </c>
      <c r="E108" s="456"/>
      <c r="F108" s="457" t="s">
        <v>5604</v>
      </c>
      <c r="G108" s="457" t="s">
        <v>5534</v>
      </c>
      <c r="H108" s="458">
        <v>2920</v>
      </c>
      <c r="I108" s="611" t="s">
        <v>5436</v>
      </c>
      <c r="J108" s="460">
        <v>41428</v>
      </c>
      <c r="K108" s="461">
        <v>15</v>
      </c>
      <c r="L108" s="462">
        <f>+J108+K108</f>
        <v>41443</v>
      </c>
      <c r="M108" s="611" t="s">
        <v>5445</v>
      </c>
      <c r="N108" s="468" t="s">
        <v>4666</v>
      </c>
      <c r="O108" s="460">
        <v>41450</v>
      </c>
      <c r="P108" s="461">
        <f>IF(S108="","",+S108-L108)</f>
        <v>7</v>
      </c>
      <c r="Q108" s="461"/>
      <c r="R108" s="460"/>
      <c r="S108" s="471">
        <v>41450</v>
      </c>
      <c r="T108" s="462">
        <f>+S108+5</f>
        <v>41455</v>
      </c>
      <c r="U108" s="461">
        <f>IF(T108="","",+T108-J108)</f>
        <v>27</v>
      </c>
      <c r="V108" s="468" t="s">
        <v>53</v>
      </c>
      <c r="W108" s="493" t="s">
        <v>2317</v>
      </c>
      <c r="X108" s="592"/>
      <c r="Y108" s="592"/>
      <c r="Z108" s="468"/>
      <c r="AA108" s="456"/>
      <c r="AB108" s="460" t="s">
        <v>2802</v>
      </c>
      <c r="AC108" s="470"/>
      <c r="AD108" s="645" t="str">
        <f>IF(P108="","",IF(P108&lt;=0,"en término","atrasado"))</f>
        <v>atrasado</v>
      </c>
    </row>
    <row r="109" spans="1:36" s="587" customFormat="1" ht="54.95" customHeight="1" thickBot="1" x14ac:dyDescent="0.25">
      <c r="A109" s="649"/>
      <c r="B109" s="455" t="s">
        <v>5433</v>
      </c>
      <c r="C109" s="455" t="s">
        <v>5434</v>
      </c>
      <c r="D109" s="456" t="s">
        <v>5597</v>
      </c>
      <c r="E109" s="456"/>
      <c r="F109" s="457" t="s">
        <v>5598</v>
      </c>
      <c r="G109" s="457" t="s">
        <v>5534</v>
      </c>
      <c r="H109" s="458">
        <v>3625</v>
      </c>
      <c r="I109" s="611" t="s">
        <v>5436</v>
      </c>
      <c r="J109" s="460">
        <v>41339</v>
      </c>
      <c r="K109" s="461">
        <v>90</v>
      </c>
      <c r="L109" s="462">
        <f>+J109+K109</f>
        <v>41429</v>
      </c>
      <c r="M109" s="611" t="s">
        <v>5458</v>
      </c>
      <c r="N109" s="468" t="s">
        <v>4666</v>
      </c>
      <c r="O109" s="460">
        <v>41453</v>
      </c>
      <c r="P109" s="461">
        <f>IF(S109="","",+S109-L109)</f>
        <v>31</v>
      </c>
      <c r="Q109" s="461"/>
      <c r="R109" s="460"/>
      <c r="S109" s="471">
        <v>41460</v>
      </c>
      <c r="T109" s="462">
        <f>+S109+15</f>
        <v>41475</v>
      </c>
      <c r="U109" s="461">
        <f>IF(T109="","",+T109-J109)</f>
        <v>136</v>
      </c>
      <c r="V109" s="468" t="s">
        <v>5605</v>
      </c>
      <c r="W109" s="493" t="s">
        <v>3711</v>
      </c>
      <c r="X109" s="592"/>
      <c r="Y109" s="592"/>
      <c r="Z109" s="468"/>
      <c r="AA109" s="456"/>
      <c r="AB109" s="460" t="s">
        <v>2802</v>
      </c>
      <c r="AC109" s="470"/>
      <c r="AD109" s="645" t="str">
        <f>IF(P109="","",IF(P109&lt;=0,"en término","atrasado"))</f>
        <v>atrasado</v>
      </c>
    </row>
    <row r="110" spans="1:36" s="587" customFormat="1" ht="54.95" customHeight="1" thickBot="1" x14ac:dyDescent="0.25">
      <c r="A110" s="649"/>
      <c r="B110" s="455" t="s">
        <v>5433</v>
      </c>
      <c r="C110" s="455" t="s">
        <v>5456</v>
      </c>
      <c r="D110" s="456" t="s">
        <v>5606</v>
      </c>
      <c r="E110" s="456"/>
      <c r="F110" s="457">
        <v>4500153022</v>
      </c>
      <c r="G110" s="457" t="s">
        <v>3703</v>
      </c>
      <c r="H110" s="458">
        <v>113706</v>
      </c>
      <c r="I110" s="611" t="s">
        <v>5436</v>
      </c>
      <c r="J110" s="460">
        <v>41339</v>
      </c>
      <c r="K110" s="461">
        <f>+L110-J110</f>
        <v>127</v>
      </c>
      <c r="L110" s="462">
        <v>41466</v>
      </c>
      <c r="M110" s="611" t="s">
        <v>124</v>
      </c>
      <c r="N110" s="468" t="s">
        <v>4666</v>
      </c>
      <c r="O110" s="460">
        <v>41460</v>
      </c>
      <c r="P110" s="461">
        <f t="shared" si="19"/>
        <v>0</v>
      </c>
      <c r="Q110" s="461"/>
      <c r="R110" s="460"/>
      <c r="S110" s="471">
        <v>41466</v>
      </c>
      <c r="T110" s="462">
        <v>41471</v>
      </c>
      <c r="U110" s="461">
        <f t="shared" si="20"/>
        <v>132</v>
      </c>
      <c r="V110" s="468" t="s">
        <v>5607</v>
      </c>
      <c r="W110" s="493" t="s">
        <v>2643</v>
      </c>
      <c r="X110" s="592"/>
      <c r="Y110" s="592"/>
      <c r="Z110" s="468" t="s">
        <v>5608</v>
      </c>
      <c r="AA110" s="456"/>
      <c r="AB110" s="460" t="s">
        <v>5609</v>
      </c>
      <c r="AC110" s="470"/>
      <c r="AD110" s="645" t="str">
        <f t="shared" si="21"/>
        <v>en término</v>
      </c>
    </row>
    <row r="111" spans="1:36" s="587" customFormat="1" ht="54.95" customHeight="1" thickBot="1" x14ac:dyDescent="0.25">
      <c r="A111" s="649"/>
      <c r="B111" s="455" t="s">
        <v>5433</v>
      </c>
      <c r="C111" s="455" t="s">
        <v>5456</v>
      </c>
      <c r="D111" s="456" t="s">
        <v>5610</v>
      </c>
      <c r="E111" s="456"/>
      <c r="F111" s="457">
        <v>4500155785</v>
      </c>
      <c r="G111" s="457" t="s">
        <v>3703</v>
      </c>
      <c r="H111" s="458">
        <v>6508</v>
      </c>
      <c r="I111" s="611" t="s">
        <v>5436</v>
      </c>
      <c r="J111" s="460">
        <v>41386</v>
      </c>
      <c r="K111" s="461">
        <f>+L111-J111</f>
        <v>98</v>
      </c>
      <c r="L111" s="462">
        <v>41484</v>
      </c>
      <c r="M111" s="611" t="s">
        <v>124</v>
      </c>
      <c r="N111" s="468" t="s">
        <v>4666</v>
      </c>
      <c r="O111" s="460">
        <v>41474</v>
      </c>
      <c r="P111" s="461">
        <f t="shared" ref="P111:P117" si="22">IF(S111="","",+S111-L111)</f>
        <v>2</v>
      </c>
      <c r="Q111" s="461"/>
      <c r="R111" s="460">
        <v>41481</v>
      </c>
      <c r="S111" s="471">
        <v>41486</v>
      </c>
      <c r="T111" s="462">
        <v>41491</v>
      </c>
      <c r="U111" s="461">
        <f t="shared" ref="U111:U117" si="23">IF(T111="","",+T111-J111)</f>
        <v>105</v>
      </c>
      <c r="V111" s="468" t="s">
        <v>5601</v>
      </c>
      <c r="W111" s="493" t="s">
        <v>2322</v>
      </c>
      <c r="X111" s="592"/>
      <c r="Y111" s="592"/>
      <c r="Z111" s="468"/>
      <c r="AA111" s="456"/>
      <c r="AB111" s="460" t="s">
        <v>5611</v>
      </c>
      <c r="AC111" s="470"/>
      <c r="AD111" s="645" t="str">
        <f t="shared" ref="AD111:AD117" si="24">IF(P111="","",IF(P111&lt;=0,"en término","atrasado"))</f>
        <v>atrasado</v>
      </c>
    </row>
    <row r="112" spans="1:36" s="587" customFormat="1" ht="54.95" customHeight="1" thickBot="1" x14ac:dyDescent="0.25">
      <c r="A112" s="649"/>
      <c r="B112" s="455" t="s">
        <v>5433</v>
      </c>
      <c r="C112" s="455" t="s">
        <v>5434</v>
      </c>
      <c r="D112" s="456" t="s">
        <v>5612</v>
      </c>
      <c r="E112" s="456"/>
      <c r="F112" s="457" t="s">
        <v>5613</v>
      </c>
      <c r="G112" s="457" t="s">
        <v>5534</v>
      </c>
      <c r="H112" s="458">
        <v>260381</v>
      </c>
      <c r="I112" s="611" t="s">
        <v>5436</v>
      </c>
      <c r="J112" s="460">
        <v>41442</v>
      </c>
      <c r="K112" s="461">
        <v>120</v>
      </c>
      <c r="L112" s="462">
        <f>+J112+K112</f>
        <v>41562</v>
      </c>
      <c r="M112" s="611" t="s">
        <v>5458</v>
      </c>
      <c r="N112" s="468" t="s">
        <v>4666</v>
      </c>
      <c r="O112" s="460">
        <v>41558</v>
      </c>
      <c r="P112" s="461">
        <f t="shared" si="22"/>
        <v>-4</v>
      </c>
      <c r="Q112" s="461"/>
      <c r="R112" s="460"/>
      <c r="S112" s="471">
        <v>41558</v>
      </c>
      <c r="T112" s="836">
        <v>41560</v>
      </c>
      <c r="U112" s="461">
        <f t="shared" si="23"/>
        <v>118</v>
      </c>
      <c r="V112" s="468" t="s">
        <v>5614</v>
      </c>
      <c r="W112" s="493" t="s">
        <v>3733</v>
      </c>
      <c r="X112" s="592"/>
      <c r="Y112" s="592"/>
      <c r="Z112" s="468"/>
      <c r="AA112" s="456"/>
      <c r="AB112" s="460" t="s">
        <v>2371</v>
      </c>
      <c r="AC112" s="470"/>
      <c r="AD112" s="645" t="str">
        <f t="shared" si="24"/>
        <v>en término</v>
      </c>
      <c r="AF112" s="656"/>
    </row>
    <row r="113" spans="1:36" s="587" customFormat="1" ht="54.95" customHeight="1" thickBot="1" x14ac:dyDescent="0.25">
      <c r="A113" s="649"/>
      <c r="B113" s="455" t="s">
        <v>5433</v>
      </c>
      <c r="C113" s="455" t="s">
        <v>5434</v>
      </c>
      <c r="D113" s="456" t="s">
        <v>5615</v>
      </c>
      <c r="E113" s="456"/>
      <c r="F113" s="457" t="s">
        <v>5616</v>
      </c>
      <c r="G113" s="457" t="s">
        <v>5534</v>
      </c>
      <c r="H113" s="458">
        <v>8900</v>
      </c>
      <c r="I113" s="611" t="s">
        <v>5436</v>
      </c>
      <c r="J113" s="460">
        <v>41486</v>
      </c>
      <c r="K113" s="461">
        <v>90</v>
      </c>
      <c r="L113" s="462">
        <f>+J113+K113</f>
        <v>41576</v>
      </c>
      <c r="M113" s="611" t="s">
        <v>5445</v>
      </c>
      <c r="N113" s="468" t="s">
        <v>4666</v>
      </c>
      <c r="O113" s="460">
        <v>41571</v>
      </c>
      <c r="P113" s="461">
        <f t="shared" si="22"/>
        <v>6</v>
      </c>
      <c r="Q113" s="461"/>
      <c r="R113" s="460"/>
      <c r="S113" s="471">
        <v>41582</v>
      </c>
      <c r="T113" s="836">
        <v>41592</v>
      </c>
      <c r="U113" s="461">
        <f t="shared" si="23"/>
        <v>106</v>
      </c>
      <c r="V113" s="468" t="s">
        <v>53</v>
      </c>
      <c r="W113" s="493">
        <v>101</v>
      </c>
      <c r="X113" s="592"/>
      <c r="Y113" s="592"/>
      <c r="Z113" s="468" t="s">
        <v>1676</v>
      </c>
      <c r="AA113" s="456"/>
      <c r="AB113" s="460" t="s">
        <v>2356</v>
      </c>
      <c r="AC113" s="470"/>
      <c r="AD113" s="645" t="str">
        <f t="shared" si="24"/>
        <v>atrasado</v>
      </c>
      <c r="AF113" s="656"/>
    </row>
    <row r="114" spans="1:36" s="587" customFormat="1" ht="54.95" customHeight="1" thickBot="1" x14ac:dyDescent="0.25">
      <c r="A114" s="649"/>
      <c r="B114" s="455" t="s">
        <v>5433</v>
      </c>
      <c r="C114" s="455" t="s">
        <v>5434</v>
      </c>
      <c r="D114" s="456" t="s">
        <v>5617</v>
      </c>
      <c r="E114" s="456"/>
      <c r="F114" s="457" t="s">
        <v>5618</v>
      </c>
      <c r="G114" s="457" t="s">
        <v>5534</v>
      </c>
      <c r="H114" s="458">
        <v>11370</v>
      </c>
      <c r="I114" s="611" t="s">
        <v>5436</v>
      </c>
      <c r="J114" s="460">
        <v>41535</v>
      </c>
      <c r="K114" s="461">
        <v>45</v>
      </c>
      <c r="L114" s="462">
        <f>+J114+K114</f>
        <v>41580</v>
      </c>
      <c r="M114" s="611" t="s">
        <v>5445</v>
      </c>
      <c r="N114" s="468" t="s">
        <v>4666</v>
      </c>
      <c r="O114" s="460">
        <v>41571</v>
      </c>
      <c r="P114" s="461">
        <f t="shared" si="22"/>
        <v>2</v>
      </c>
      <c r="Q114" s="461"/>
      <c r="R114" s="460"/>
      <c r="S114" s="471">
        <v>41582</v>
      </c>
      <c r="T114" s="836">
        <v>41592</v>
      </c>
      <c r="U114" s="461">
        <f t="shared" si="23"/>
        <v>57</v>
      </c>
      <c r="V114" s="468" t="s">
        <v>53</v>
      </c>
      <c r="W114" s="493">
        <v>102</v>
      </c>
      <c r="X114" s="592"/>
      <c r="Y114" s="592"/>
      <c r="Z114" s="468" t="s">
        <v>1676</v>
      </c>
      <c r="AA114" s="456"/>
      <c r="AB114" s="460" t="s">
        <v>2356</v>
      </c>
      <c r="AC114" s="470"/>
      <c r="AD114" s="645" t="str">
        <f t="shared" si="24"/>
        <v>atrasado</v>
      </c>
      <c r="AF114" s="656"/>
    </row>
    <row r="115" spans="1:36" s="587" customFormat="1" ht="54.95" customHeight="1" thickBot="1" x14ac:dyDescent="0.25">
      <c r="A115" s="649"/>
      <c r="B115" s="887" t="s">
        <v>5433</v>
      </c>
      <c r="C115" s="887" t="s">
        <v>5434</v>
      </c>
      <c r="D115" s="888" t="s">
        <v>5619</v>
      </c>
      <c r="E115" s="888"/>
      <c r="F115" s="889" t="s">
        <v>5620</v>
      </c>
      <c r="G115" s="889" t="s">
        <v>5534</v>
      </c>
      <c r="H115" s="890">
        <v>5900</v>
      </c>
      <c r="I115" s="891" t="s">
        <v>5436</v>
      </c>
      <c r="J115" s="892">
        <v>41535</v>
      </c>
      <c r="K115" s="893">
        <v>70</v>
      </c>
      <c r="L115" s="894">
        <f>+J115+K115</f>
        <v>41605</v>
      </c>
      <c r="M115" s="891" t="s">
        <v>5445</v>
      </c>
      <c r="N115" s="895" t="s">
        <v>4666</v>
      </c>
      <c r="O115" s="892">
        <v>41599</v>
      </c>
      <c r="P115" s="893">
        <f>IF(S115="","",+S115-L115)</f>
        <v>49</v>
      </c>
      <c r="Q115" s="893"/>
      <c r="R115" s="892"/>
      <c r="S115" s="896">
        <v>41654</v>
      </c>
      <c r="T115" s="904">
        <v>41655</v>
      </c>
      <c r="U115" s="893">
        <f>IF(T115="","",+T115-J115)</f>
        <v>120</v>
      </c>
      <c r="V115" s="895" t="s">
        <v>53</v>
      </c>
      <c r="W115" s="897" t="s">
        <v>94</v>
      </c>
      <c r="X115" s="905"/>
      <c r="Y115" s="905"/>
      <c r="Z115" s="895"/>
      <c r="AA115" s="888"/>
      <c r="AB115" s="892" t="s">
        <v>2238</v>
      </c>
      <c r="AC115" s="899" t="s">
        <v>5621</v>
      </c>
      <c r="AD115" s="645" t="str">
        <f>IF(P115="","",IF(P115&lt;=0,"en término","atrasado"))</f>
        <v>atrasado</v>
      </c>
      <c r="AF115" s="656"/>
    </row>
    <row r="116" spans="1:36" s="587" customFormat="1" ht="54.95" customHeight="1" thickBot="1" x14ac:dyDescent="0.25">
      <c r="A116" s="649"/>
      <c r="B116" s="455" t="s">
        <v>5433</v>
      </c>
      <c r="C116" s="455" t="s">
        <v>5456</v>
      </c>
      <c r="D116" s="456" t="s">
        <v>5622</v>
      </c>
      <c r="E116" s="456"/>
      <c r="F116" s="457">
        <v>4500162329</v>
      </c>
      <c r="G116" s="457" t="s">
        <v>3703</v>
      </c>
      <c r="H116" s="458">
        <v>140530</v>
      </c>
      <c r="I116" s="611" t="s">
        <v>5436</v>
      </c>
      <c r="J116" s="460">
        <v>41508</v>
      </c>
      <c r="K116" s="461">
        <f>+L116-J116</f>
        <v>102</v>
      </c>
      <c r="L116" s="462">
        <v>41610</v>
      </c>
      <c r="M116" s="611" t="s">
        <v>5458</v>
      </c>
      <c r="N116" s="468" t="s">
        <v>4666</v>
      </c>
      <c r="O116" s="460">
        <v>41614</v>
      </c>
      <c r="P116" s="461">
        <f t="shared" si="22"/>
        <v>10</v>
      </c>
      <c r="Q116" s="461"/>
      <c r="R116" s="460"/>
      <c r="S116" s="471">
        <v>41620</v>
      </c>
      <c r="T116" s="462">
        <f>+S116+10</f>
        <v>41630</v>
      </c>
      <c r="U116" s="461">
        <f t="shared" si="23"/>
        <v>122</v>
      </c>
      <c r="V116" s="468" t="s">
        <v>5623</v>
      </c>
      <c r="W116" s="493">
        <v>109</v>
      </c>
      <c r="X116" s="592"/>
      <c r="Y116" s="592"/>
      <c r="Z116" s="468"/>
      <c r="AA116" s="456"/>
      <c r="AB116" s="460" t="s">
        <v>5624</v>
      </c>
      <c r="AC116" s="470" t="s">
        <v>5625</v>
      </c>
      <c r="AD116" s="645" t="str">
        <f t="shared" si="24"/>
        <v>atrasado</v>
      </c>
      <c r="AF116" s="656"/>
    </row>
    <row r="117" spans="1:36" s="587" customFormat="1" ht="54.95" customHeight="1" thickBot="1" x14ac:dyDescent="0.25">
      <c r="A117" s="649"/>
      <c r="B117" s="455" t="s">
        <v>5433</v>
      </c>
      <c r="C117" s="455" t="s">
        <v>5456</v>
      </c>
      <c r="D117" s="456" t="s">
        <v>5626</v>
      </c>
      <c r="E117" s="456"/>
      <c r="F117" s="457">
        <v>4500163249</v>
      </c>
      <c r="G117" s="457" t="s">
        <v>3703</v>
      </c>
      <c r="H117" s="458">
        <v>98700</v>
      </c>
      <c r="I117" s="611" t="s">
        <v>5436</v>
      </c>
      <c r="J117" s="460">
        <v>41522</v>
      </c>
      <c r="K117" s="461">
        <f>+L117-J117</f>
        <v>123</v>
      </c>
      <c r="L117" s="462">
        <v>41645</v>
      </c>
      <c r="M117" s="611" t="s">
        <v>5458</v>
      </c>
      <c r="N117" s="468" t="s">
        <v>4666</v>
      </c>
      <c r="O117" s="460">
        <v>41979</v>
      </c>
      <c r="P117" s="461">
        <f t="shared" si="22"/>
        <v>-25</v>
      </c>
      <c r="Q117" s="461"/>
      <c r="R117" s="460"/>
      <c r="S117" s="471">
        <v>41620</v>
      </c>
      <c r="T117" s="462">
        <f>+S117+10</f>
        <v>41630</v>
      </c>
      <c r="U117" s="461">
        <f t="shared" si="23"/>
        <v>108</v>
      </c>
      <c r="V117" s="468" t="s">
        <v>5627</v>
      </c>
      <c r="W117" s="493">
        <v>115</v>
      </c>
      <c r="X117" s="592"/>
      <c r="Y117" s="592"/>
      <c r="Z117" s="468">
        <v>6173624726</v>
      </c>
      <c r="AA117" s="456"/>
      <c r="AB117" s="460" t="s">
        <v>5624</v>
      </c>
      <c r="AC117" s="470" t="s">
        <v>5628</v>
      </c>
      <c r="AD117" s="645" t="str">
        <f t="shared" si="24"/>
        <v>en término</v>
      </c>
      <c r="AF117" s="656"/>
    </row>
    <row r="118" spans="1:36" s="587" customFormat="1" ht="54.95" customHeight="1" thickBot="1" x14ac:dyDescent="0.25">
      <c r="A118" s="649"/>
      <c r="B118" s="887" t="s">
        <v>5433</v>
      </c>
      <c r="C118" s="887" t="s">
        <v>5456</v>
      </c>
      <c r="D118" s="888" t="s">
        <v>5629</v>
      </c>
      <c r="E118" s="888"/>
      <c r="F118" s="889">
        <v>4500167343</v>
      </c>
      <c r="G118" s="889" t="s">
        <v>3703</v>
      </c>
      <c r="H118" s="890">
        <v>6400</v>
      </c>
      <c r="I118" s="891" t="s">
        <v>5436</v>
      </c>
      <c r="J118" s="892">
        <v>41594</v>
      </c>
      <c r="K118" s="893">
        <f>+L118-J118</f>
        <v>65</v>
      </c>
      <c r="L118" s="894">
        <v>41659</v>
      </c>
      <c r="M118" s="891" t="s">
        <v>124</v>
      </c>
      <c r="N118" s="895" t="s">
        <v>4666</v>
      </c>
      <c r="O118" s="892">
        <v>41625</v>
      </c>
      <c r="P118" s="893">
        <f>IF(S118="","",+S118-L118)</f>
        <v>-4</v>
      </c>
      <c r="Q118" s="893"/>
      <c r="R118" s="892"/>
      <c r="S118" s="896">
        <v>41655</v>
      </c>
      <c r="T118" s="894">
        <v>41660</v>
      </c>
      <c r="U118" s="893">
        <f>IF(T118="","",+T118-J118)</f>
        <v>66</v>
      </c>
      <c r="V118" s="895" t="s">
        <v>5630</v>
      </c>
      <c r="W118" s="897">
        <v>116</v>
      </c>
      <c r="X118" s="905"/>
      <c r="Y118" s="905"/>
      <c r="Z118" s="895">
        <v>3553517774</v>
      </c>
      <c r="AA118" s="888"/>
      <c r="AB118" s="892" t="s">
        <v>5631</v>
      </c>
      <c r="AC118" s="899" t="s">
        <v>5632</v>
      </c>
      <c r="AD118" s="645" t="str">
        <f>IF(P118="","",IF(P118&lt;=0,"en término","atrasado"))</f>
        <v>en término</v>
      </c>
      <c r="AF118" s="656"/>
    </row>
    <row r="120" spans="1:36" ht="12.75" x14ac:dyDescent="0.2">
      <c r="AA120" s="1">
        <v>2013</v>
      </c>
      <c r="AB120" s="1047"/>
    </row>
    <row r="121" spans="1:36" ht="12.75" x14ac:dyDescent="0.2">
      <c r="AA121" s="945" t="s">
        <v>813</v>
      </c>
      <c r="AB121" s="1048">
        <f>COUNTA(AD102:AD121)</f>
        <v>17</v>
      </c>
    </row>
    <row r="122" spans="1:36" ht="12.75" x14ac:dyDescent="0.2">
      <c r="AA122" s="945" t="s">
        <v>4709</v>
      </c>
      <c r="AB122" s="1048">
        <f>COUNTIF(AD102:AD120,"en término")</f>
        <v>6</v>
      </c>
    </row>
    <row r="123" spans="1:36" ht="12.75" x14ac:dyDescent="0.2">
      <c r="AA123" s="945" t="s">
        <v>817</v>
      </c>
      <c r="AB123" s="557">
        <f>+AB122/AB121</f>
        <v>0.35294117647058826</v>
      </c>
    </row>
    <row r="125" spans="1:36" ht="12" thickBot="1" x14ac:dyDescent="0.25"/>
    <row r="126" spans="1:36" s="556" customFormat="1" ht="39.950000000000003" customHeight="1" thickBot="1" x14ac:dyDescent="0.4">
      <c r="B126" s="1611">
        <v>2014</v>
      </c>
      <c r="C126" s="1612"/>
      <c r="D126" s="1612"/>
      <c r="E126" s="1612"/>
      <c r="F126" s="1612"/>
      <c r="G126" s="1612"/>
      <c r="H126" s="1612"/>
      <c r="I126" s="1612"/>
      <c r="J126" s="1612"/>
      <c r="K126" s="1612"/>
      <c r="L126" s="1612"/>
      <c r="M126" s="1612"/>
      <c r="N126" s="1612"/>
      <c r="O126" s="1612"/>
      <c r="P126" s="1612"/>
      <c r="Q126" s="1612"/>
      <c r="R126" s="1612"/>
      <c r="S126" s="1612"/>
      <c r="T126" s="1612"/>
      <c r="U126" s="1612"/>
      <c r="V126" s="1612"/>
      <c r="W126" s="1612"/>
      <c r="X126" s="1612"/>
      <c r="Y126" s="1612"/>
      <c r="Z126" s="1612"/>
      <c r="AA126" s="1612"/>
      <c r="AB126" s="1612"/>
      <c r="AC126" s="1613"/>
    </row>
    <row r="127" spans="1:36" s="441" customFormat="1" ht="60" customHeight="1" thickBot="1" x14ac:dyDescent="0.25">
      <c r="A127" s="438"/>
      <c r="B127" s="451" t="s">
        <v>130</v>
      </c>
      <c r="C127" s="451" t="s">
        <v>4</v>
      </c>
      <c r="D127" s="451" t="s">
        <v>5</v>
      </c>
      <c r="E127" s="451" t="s">
        <v>6</v>
      </c>
      <c r="F127" s="451" t="s">
        <v>7</v>
      </c>
      <c r="G127" s="451" t="s">
        <v>8</v>
      </c>
      <c r="H127" s="453" t="s">
        <v>9</v>
      </c>
      <c r="I127" s="453" t="s">
        <v>10</v>
      </c>
      <c r="J127" s="451" t="s">
        <v>11</v>
      </c>
      <c r="K127" s="451" t="s">
        <v>12</v>
      </c>
      <c r="L127" s="451" t="s">
        <v>13</v>
      </c>
      <c r="M127" s="451" t="s">
        <v>14</v>
      </c>
      <c r="N127" s="451" t="s">
        <v>15</v>
      </c>
      <c r="O127" s="452" t="s">
        <v>16</v>
      </c>
      <c r="P127" s="454" t="s">
        <v>17</v>
      </c>
      <c r="Q127" s="451" t="s">
        <v>18</v>
      </c>
      <c r="R127" s="452" t="s">
        <v>19</v>
      </c>
      <c r="S127" s="451" t="s">
        <v>20</v>
      </c>
      <c r="T127" s="451" t="s">
        <v>21</v>
      </c>
      <c r="U127" s="452" t="s">
        <v>22</v>
      </c>
      <c r="V127" s="451" t="s">
        <v>131</v>
      </c>
      <c r="W127" s="451" t="s">
        <v>24</v>
      </c>
      <c r="X127" s="451" t="s">
        <v>132</v>
      </c>
      <c r="Y127" s="451" t="s">
        <v>26</v>
      </c>
      <c r="Z127" s="451" t="s">
        <v>27</v>
      </c>
      <c r="AA127" s="451" t="s">
        <v>28</v>
      </c>
      <c r="AB127" s="451" t="s">
        <v>29</v>
      </c>
      <c r="AC127" s="451" t="s">
        <v>30</v>
      </c>
      <c r="AD127" s="439"/>
      <c r="AE127" s="440"/>
      <c r="AF127" s="440"/>
      <c r="AG127" s="440"/>
      <c r="AH127" s="440"/>
      <c r="AI127" s="440"/>
      <c r="AJ127" s="440"/>
    </row>
    <row r="128" spans="1:36" s="587" customFormat="1" ht="54.95" customHeight="1" thickBot="1" x14ac:dyDescent="0.25">
      <c r="A128" s="649"/>
      <c r="B128" s="887" t="s">
        <v>5433</v>
      </c>
      <c r="C128" s="887" t="s">
        <v>5434</v>
      </c>
      <c r="D128" s="888" t="s">
        <v>5633</v>
      </c>
      <c r="E128" s="888"/>
      <c r="F128" s="889" t="s">
        <v>5634</v>
      </c>
      <c r="G128" s="889" t="s">
        <v>5534</v>
      </c>
      <c r="H128" s="890">
        <v>40626</v>
      </c>
      <c r="I128" s="891" t="s">
        <v>5436</v>
      </c>
      <c r="J128" s="892">
        <v>41631</v>
      </c>
      <c r="K128" s="893">
        <v>100</v>
      </c>
      <c r="L128" s="894">
        <f>+J128+K128</f>
        <v>41731</v>
      </c>
      <c r="M128" s="891" t="s">
        <v>5458</v>
      </c>
      <c r="N128" s="895" t="s">
        <v>4666</v>
      </c>
      <c r="O128" s="892">
        <v>41737</v>
      </c>
      <c r="P128" s="893">
        <f t="shared" ref="P128:P133" si="25">IF(S128="","",+S128-L128)</f>
        <v>7</v>
      </c>
      <c r="Q128" s="893"/>
      <c r="R128" s="892"/>
      <c r="S128" s="896">
        <v>41738</v>
      </c>
      <c r="T128" s="904">
        <f>+S128+15</f>
        <v>41753</v>
      </c>
      <c r="U128" s="893">
        <f t="shared" ref="U128:U133" si="26">IF(T128="","",+T128-J128)</f>
        <v>122</v>
      </c>
      <c r="V128" s="895" t="s">
        <v>53</v>
      </c>
      <c r="W128" s="897" t="s">
        <v>2237</v>
      </c>
      <c r="X128" s="905"/>
      <c r="Y128" s="905"/>
      <c r="Z128" s="895"/>
      <c r="AA128" s="888"/>
      <c r="AB128" s="892" t="s">
        <v>5541</v>
      </c>
      <c r="AC128" s="899"/>
      <c r="AD128" s="645" t="str">
        <f t="shared" ref="AD128:AD133" si="27">IF(P128="","",IF(P128&lt;=0,"en término","atrasado"))</f>
        <v>atrasado</v>
      </c>
      <c r="AE128" s="468"/>
      <c r="AF128" s="468" t="s">
        <v>2929</v>
      </c>
    </row>
    <row r="129" spans="1:32" s="587" customFormat="1" ht="54.95" customHeight="1" thickBot="1" x14ac:dyDescent="0.25">
      <c r="A129" s="649"/>
      <c r="B129" s="887" t="s">
        <v>5433</v>
      </c>
      <c r="C129" s="887" t="s">
        <v>5434</v>
      </c>
      <c r="D129" s="888" t="s">
        <v>5635</v>
      </c>
      <c r="E129" s="888"/>
      <c r="F129" s="889" t="s">
        <v>5636</v>
      </c>
      <c r="G129" s="889" t="s">
        <v>5534</v>
      </c>
      <c r="H129" s="890">
        <v>11600</v>
      </c>
      <c r="I129" s="891" t="s">
        <v>5436</v>
      </c>
      <c r="J129" s="892">
        <v>41649</v>
      </c>
      <c r="K129" s="893">
        <f>+L129-J129</f>
        <v>82</v>
      </c>
      <c r="L129" s="894">
        <v>41731</v>
      </c>
      <c r="M129" s="891" t="s">
        <v>5458</v>
      </c>
      <c r="N129" s="895" t="s">
        <v>4666</v>
      </c>
      <c r="O129" s="892">
        <v>41737</v>
      </c>
      <c r="P129" s="893">
        <f t="shared" si="25"/>
        <v>7</v>
      </c>
      <c r="Q129" s="893"/>
      <c r="R129" s="892"/>
      <c r="S129" s="896">
        <v>41738</v>
      </c>
      <c r="T129" s="904">
        <f>+S129+15</f>
        <v>41753</v>
      </c>
      <c r="U129" s="893">
        <f t="shared" si="26"/>
        <v>104</v>
      </c>
      <c r="V129" s="895" t="s">
        <v>53</v>
      </c>
      <c r="W129" s="897" t="s">
        <v>2227</v>
      </c>
      <c r="X129" s="905"/>
      <c r="Y129" s="905"/>
      <c r="Z129" s="895"/>
      <c r="AA129" s="888"/>
      <c r="AB129" s="892" t="s">
        <v>5541</v>
      </c>
      <c r="AC129" s="899"/>
      <c r="AD129" s="645" t="str">
        <f t="shared" si="27"/>
        <v>atrasado</v>
      </c>
      <c r="AE129" s="468"/>
      <c r="AF129" s="468" t="s">
        <v>2929</v>
      </c>
    </row>
    <row r="130" spans="1:32" s="587" customFormat="1" ht="54.95" customHeight="1" thickBot="1" x14ac:dyDescent="0.25">
      <c r="A130" s="649"/>
      <c r="B130" s="887" t="s">
        <v>5433</v>
      </c>
      <c r="C130" s="887" t="s">
        <v>5434</v>
      </c>
      <c r="D130" s="888" t="s">
        <v>5637</v>
      </c>
      <c r="E130" s="888"/>
      <c r="F130" s="889" t="s">
        <v>5638</v>
      </c>
      <c r="G130" s="889" t="s">
        <v>5534</v>
      </c>
      <c r="H130" s="890">
        <v>375</v>
      </c>
      <c r="I130" s="891" t="s">
        <v>5436</v>
      </c>
      <c r="J130" s="892">
        <v>41689</v>
      </c>
      <c r="K130" s="893">
        <v>100</v>
      </c>
      <c r="L130" s="894">
        <f>+J130+K130</f>
        <v>41789</v>
      </c>
      <c r="M130" s="891" t="s">
        <v>5458</v>
      </c>
      <c r="N130" s="895" t="s">
        <v>4666</v>
      </c>
      <c r="O130" s="892">
        <v>41737</v>
      </c>
      <c r="P130" s="893">
        <f t="shared" si="25"/>
        <v>-51</v>
      </c>
      <c r="Q130" s="893"/>
      <c r="R130" s="892"/>
      <c r="S130" s="896">
        <v>41738</v>
      </c>
      <c r="T130" s="904">
        <f>+S130+15</f>
        <v>41753</v>
      </c>
      <c r="U130" s="893">
        <f t="shared" si="26"/>
        <v>64</v>
      </c>
      <c r="V130" s="895" t="s">
        <v>53</v>
      </c>
      <c r="W130" s="897" t="s">
        <v>2240</v>
      </c>
      <c r="X130" s="905"/>
      <c r="Y130" s="905"/>
      <c r="Z130" s="895"/>
      <c r="AA130" s="888"/>
      <c r="AB130" s="892" t="s">
        <v>5541</v>
      </c>
      <c r="AC130" s="899"/>
      <c r="AD130" s="645" t="str">
        <f t="shared" si="27"/>
        <v>en término</v>
      </c>
      <c r="AE130" s="468"/>
      <c r="AF130" s="468" t="s">
        <v>2929</v>
      </c>
    </row>
    <row r="131" spans="1:32" s="587" customFormat="1" ht="54.95" customHeight="1" thickBot="1" x14ac:dyDescent="0.25">
      <c r="A131" s="649"/>
      <c r="B131" s="887" t="s">
        <v>5433</v>
      </c>
      <c r="C131" s="887" t="s">
        <v>5456</v>
      </c>
      <c r="D131" s="888" t="s">
        <v>5639</v>
      </c>
      <c r="E131" s="888"/>
      <c r="F131" s="889">
        <v>4500172539</v>
      </c>
      <c r="G131" s="889" t="s">
        <v>5534</v>
      </c>
      <c r="H131" s="890">
        <v>14984</v>
      </c>
      <c r="I131" s="891" t="s">
        <v>5436</v>
      </c>
      <c r="J131" s="892">
        <v>41696</v>
      </c>
      <c r="K131" s="893">
        <f>+L131-J131</f>
        <v>63</v>
      </c>
      <c r="L131" s="894">
        <v>41759</v>
      </c>
      <c r="M131" s="891" t="s">
        <v>124</v>
      </c>
      <c r="N131" s="895" t="s">
        <v>4666</v>
      </c>
      <c r="O131" s="892">
        <v>41754</v>
      </c>
      <c r="P131" s="893">
        <f t="shared" si="25"/>
        <v>9</v>
      </c>
      <c r="Q131" s="893"/>
      <c r="R131" s="892">
        <v>41766</v>
      </c>
      <c r="S131" s="896">
        <v>41768</v>
      </c>
      <c r="T131" s="904">
        <v>41771</v>
      </c>
      <c r="U131" s="893">
        <f t="shared" si="26"/>
        <v>75</v>
      </c>
      <c r="V131" s="895" t="s">
        <v>2806</v>
      </c>
      <c r="W131" s="897" t="s">
        <v>2792</v>
      </c>
      <c r="X131" s="905"/>
      <c r="Y131" s="905"/>
      <c r="Z131" s="895">
        <v>6531794603</v>
      </c>
      <c r="AA131" s="888"/>
      <c r="AB131" s="892" t="s">
        <v>5640</v>
      </c>
      <c r="AC131" s="899"/>
      <c r="AD131" s="645" t="str">
        <f t="shared" si="27"/>
        <v>atrasado</v>
      </c>
      <c r="AE131" s="468"/>
      <c r="AF131" s="468" t="s">
        <v>2937</v>
      </c>
    </row>
    <row r="132" spans="1:32" s="587" customFormat="1" ht="54.95" customHeight="1" thickBot="1" x14ac:dyDescent="0.25">
      <c r="A132" s="649"/>
      <c r="B132" s="887" t="s">
        <v>5433</v>
      </c>
      <c r="C132" s="887" t="s">
        <v>5434</v>
      </c>
      <c r="D132" s="888" t="s">
        <v>5641</v>
      </c>
      <c r="E132" s="888"/>
      <c r="F132" s="889" t="s">
        <v>5642</v>
      </c>
      <c r="G132" s="889" t="s">
        <v>5534</v>
      </c>
      <c r="H132" s="890">
        <v>2900</v>
      </c>
      <c r="I132" s="891" t="s">
        <v>5436</v>
      </c>
      <c r="J132" s="892">
        <v>41724</v>
      </c>
      <c r="K132" s="893">
        <v>45</v>
      </c>
      <c r="L132" s="894">
        <f>+J132+K132</f>
        <v>41769</v>
      </c>
      <c r="M132" s="891" t="s">
        <v>124</v>
      </c>
      <c r="N132" s="895" t="s">
        <v>4666</v>
      </c>
      <c r="O132" s="892">
        <v>41786</v>
      </c>
      <c r="P132" s="893">
        <f t="shared" si="25"/>
        <v>26</v>
      </c>
      <c r="Q132" s="893"/>
      <c r="R132" s="892"/>
      <c r="S132" s="896">
        <v>41795</v>
      </c>
      <c r="T132" s="904">
        <f>+S132+15</f>
        <v>41810</v>
      </c>
      <c r="U132" s="893">
        <f t="shared" si="26"/>
        <v>86</v>
      </c>
      <c r="V132" s="895" t="s">
        <v>53</v>
      </c>
      <c r="W132" s="897" t="s">
        <v>2267</v>
      </c>
      <c r="X132" s="905"/>
      <c r="Y132" s="905"/>
      <c r="Z132" s="895"/>
      <c r="AA132" s="888"/>
      <c r="AB132" s="892" t="s">
        <v>1948</v>
      </c>
      <c r="AC132" s="899"/>
      <c r="AD132" s="645" t="str">
        <f t="shared" si="27"/>
        <v>atrasado</v>
      </c>
      <c r="AE132" s="468"/>
      <c r="AF132" s="468" t="s">
        <v>2943</v>
      </c>
    </row>
    <row r="133" spans="1:32" s="587" customFormat="1" ht="54.95" customHeight="1" thickBot="1" x14ac:dyDescent="0.25">
      <c r="A133" s="649"/>
      <c r="B133" s="887" t="s">
        <v>5433</v>
      </c>
      <c r="C133" s="887" t="s">
        <v>5456</v>
      </c>
      <c r="D133" s="888" t="s">
        <v>5643</v>
      </c>
      <c r="E133" s="888"/>
      <c r="F133" s="889">
        <v>4500172425</v>
      </c>
      <c r="G133" s="889" t="s">
        <v>5534</v>
      </c>
      <c r="H133" s="890">
        <v>18510</v>
      </c>
      <c r="I133" s="891" t="s">
        <v>5436</v>
      </c>
      <c r="J133" s="892">
        <v>41694</v>
      </c>
      <c r="K133" s="893">
        <f>+L133-J133</f>
        <v>92</v>
      </c>
      <c r="L133" s="894">
        <v>41786</v>
      </c>
      <c r="M133" s="891" t="s">
        <v>124</v>
      </c>
      <c r="N133" s="895" t="s">
        <v>4666</v>
      </c>
      <c r="O133" s="892">
        <v>41796</v>
      </c>
      <c r="P133" s="893">
        <f t="shared" si="25"/>
        <v>23</v>
      </c>
      <c r="Q133" s="893"/>
      <c r="R133" s="892"/>
      <c r="S133" s="896">
        <v>41809</v>
      </c>
      <c r="T133" s="904">
        <v>41814</v>
      </c>
      <c r="U133" s="893">
        <f t="shared" si="26"/>
        <v>120</v>
      </c>
      <c r="V133" s="895" t="s">
        <v>378</v>
      </c>
      <c r="W133" s="897" t="s">
        <v>2275</v>
      </c>
      <c r="X133" s="905"/>
      <c r="Y133" s="905"/>
      <c r="Z133" s="895" t="s">
        <v>1676</v>
      </c>
      <c r="AA133" s="888"/>
      <c r="AB133" s="892" t="s">
        <v>3958</v>
      </c>
      <c r="AC133" s="899"/>
      <c r="AD133" s="645" t="str">
        <f t="shared" si="27"/>
        <v>atrasado</v>
      </c>
      <c r="AE133" s="468"/>
      <c r="AF133" s="468" t="s">
        <v>2943</v>
      </c>
    </row>
    <row r="134" spans="1:32" s="587" customFormat="1" ht="54.95" customHeight="1" thickBot="1" x14ac:dyDescent="0.25">
      <c r="A134" s="649"/>
      <c r="B134" s="887" t="s">
        <v>5433</v>
      </c>
      <c r="C134" s="887" t="s">
        <v>5456</v>
      </c>
      <c r="D134" s="888" t="s">
        <v>5644</v>
      </c>
      <c r="E134" s="888"/>
      <c r="F134" s="889">
        <v>4500175118</v>
      </c>
      <c r="G134" s="889" t="s">
        <v>5534</v>
      </c>
      <c r="H134" s="890">
        <v>29900</v>
      </c>
      <c r="I134" s="891" t="s">
        <v>5436</v>
      </c>
      <c r="J134" s="892">
        <v>41743</v>
      </c>
      <c r="K134" s="893">
        <f>+L134-J134</f>
        <v>93</v>
      </c>
      <c r="L134" s="894">
        <v>41836</v>
      </c>
      <c r="M134" s="891" t="s">
        <v>124</v>
      </c>
      <c r="N134" s="895" t="s">
        <v>4666</v>
      </c>
      <c r="O134" s="892">
        <v>41830</v>
      </c>
      <c r="P134" s="893">
        <f t="shared" ref="P134:P142" si="28">IF(S134="","",+S134-L134)</f>
        <v>7</v>
      </c>
      <c r="Q134" s="893"/>
      <c r="R134" s="892">
        <v>41837</v>
      </c>
      <c r="S134" s="896">
        <v>41843</v>
      </c>
      <c r="T134" s="904">
        <v>41849</v>
      </c>
      <c r="U134" s="893">
        <f t="shared" ref="U134:U142" si="29">IF(T134="","",+T134-J134)</f>
        <v>106</v>
      </c>
      <c r="V134" s="895" t="s">
        <v>879</v>
      </c>
      <c r="W134" s="897" t="s">
        <v>2801</v>
      </c>
      <c r="X134" s="905"/>
      <c r="Y134" s="905"/>
      <c r="Z134" s="895">
        <v>8012045683</v>
      </c>
      <c r="AA134" s="888"/>
      <c r="AB134" s="892" t="s">
        <v>5645</v>
      </c>
      <c r="AC134" s="899"/>
      <c r="AD134" s="645" t="str">
        <f t="shared" ref="AD134:AD142" si="30">IF(P134="","",IF(P134&lt;=0,"en término","atrasado"))</f>
        <v>atrasado</v>
      </c>
      <c r="AE134" s="468"/>
      <c r="AF134" s="468" t="s">
        <v>2949</v>
      </c>
    </row>
    <row r="135" spans="1:32" s="587" customFormat="1" ht="54.95" customHeight="1" thickBot="1" x14ac:dyDescent="0.25">
      <c r="A135" s="649"/>
      <c r="B135" s="887" t="s">
        <v>5433</v>
      </c>
      <c r="C135" s="887" t="s">
        <v>5456</v>
      </c>
      <c r="D135" s="888" t="s">
        <v>5646</v>
      </c>
      <c r="E135" s="888"/>
      <c r="F135" s="889">
        <v>4500175670</v>
      </c>
      <c r="G135" s="889" t="s">
        <v>5534</v>
      </c>
      <c r="H135" s="890">
        <v>6850</v>
      </c>
      <c r="I135" s="891" t="s">
        <v>5436</v>
      </c>
      <c r="J135" s="892">
        <v>41753</v>
      </c>
      <c r="K135" s="893">
        <f>+L135-J135</f>
        <v>125</v>
      </c>
      <c r="L135" s="894">
        <v>41878</v>
      </c>
      <c r="M135" s="891" t="s">
        <v>124</v>
      </c>
      <c r="N135" s="895" t="s">
        <v>4666</v>
      </c>
      <c r="O135" s="892">
        <v>41870</v>
      </c>
      <c r="P135" s="893">
        <f t="shared" si="28"/>
        <v>-1</v>
      </c>
      <c r="Q135" s="893"/>
      <c r="R135" s="892">
        <v>41872</v>
      </c>
      <c r="S135" s="896">
        <v>41877</v>
      </c>
      <c r="T135" s="904">
        <v>41882</v>
      </c>
      <c r="U135" s="893">
        <f t="shared" si="29"/>
        <v>129</v>
      </c>
      <c r="V135" s="895" t="s">
        <v>53</v>
      </c>
      <c r="W135" s="897" t="s">
        <v>2811</v>
      </c>
      <c r="X135" s="905"/>
      <c r="Y135" s="905"/>
      <c r="Z135" s="895"/>
      <c r="AA135" s="888"/>
      <c r="AB135" s="892" t="s">
        <v>5647</v>
      </c>
      <c r="AC135" s="899"/>
      <c r="AD135" s="645" t="str">
        <f t="shared" si="30"/>
        <v>en término</v>
      </c>
      <c r="AE135" s="468"/>
      <c r="AF135" s="468" t="s">
        <v>2957</v>
      </c>
    </row>
    <row r="136" spans="1:32" s="587" customFormat="1" ht="54.95" customHeight="1" thickBot="1" x14ac:dyDescent="0.25">
      <c r="A136" s="649"/>
      <c r="B136" s="887" t="s">
        <v>5433</v>
      </c>
      <c r="C136" s="887" t="s">
        <v>5456</v>
      </c>
      <c r="D136" s="888" t="s">
        <v>5648</v>
      </c>
      <c r="E136" s="888"/>
      <c r="F136" s="889">
        <v>4500178592</v>
      </c>
      <c r="G136" s="889" t="s">
        <v>5534</v>
      </c>
      <c r="H136" s="890">
        <v>5800</v>
      </c>
      <c r="I136" s="891" t="s">
        <v>5436</v>
      </c>
      <c r="J136" s="892">
        <v>41801</v>
      </c>
      <c r="K136" s="893">
        <f>+L136-J136</f>
        <v>68</v>
      </c>
      <c r="L136" s="894">
        <v>41869</v>
      </c>
      <c r="M136" s="891" t="s">
        <v>124</v>
      </c>
      <c r="N136" s="895" t="s">
        <v>4666</v>
      </c>
      <c r="O136" s="892">
        <v>41870</v>
      </c>
      <c r="P136" s="893">
        <f t="shared" si="28"/>
        <v>8</v>
      </c>
      <c r="Q136" s="893"/>
      <c r="R136" s="892">
        <v>41872</v>
      </c>
      <c r="S136" s="896">
        <v>41877</v>
      </c>
      <c r="T136" s="904">
        <v>41882</v>
      </c>
      <c r="U136" s="893">
        <f t="shared" si="29"/>
        <v>81</v>
      </c>
      <c r="V136" s="895" t="s">
        <v>53</v>
      </c>
      <c r="W136" s="897" t="s">
        <v>2308</v>
      </c>
      <c r="X136" s="905"/>
      <c r="Y136" s="905"/>
      <c r="Z136" s="895"/>
      <c r="AA136" s="888"/>
      <c r="AB136" s="892" t="s">
        <v>3717</v>
      </c>
      <c r="AC136" s="899"/>
      <c r="AD136" s="645" t="str">
        <f t="shared" si="30"/>
        <v>atrasado</v>
      </c>
      <c r="AE136" s="468"/>
      <c r="AF136" s="468" t="s">
        <v>2957</v>
      </c>
    </row>
    <row r="137" spans="1:32" s="587" customFormat="1" ht="54.95" customHeight="1" thickBot="1" x14ac:dyDescent="0.25">
      <c r="A137" s="649"/>
      <c r="B137" s="887" t="s">
        <v>5433</v>
      </c>
      <c r="C137" s="887" t="s">
        <v>5434</v>
      </c>
      <c r="D137" s="888" t="s">
        <v>5649</v>
      </c>
      <c r="E137" s="888"/>
      <c r="F137" s="889" t="s">
        <v>5650</v>
      </c>
      <c r="G137" s="889" t="s">
        <v>5534</v>
      </c>
      <c r="H137" s="890">
        <v>48555</v>
      </c>
      <c r="I137" s="891" t="s">
        <v>5436</v>
      </c>
      <c r="J137" s="892">
        <v>41806</v>
      </c>
      <c r="K137" s="893">
        <v>70</v>
      </c>
      <c r="L137" s="894">
        <f>+J137+K137</f>
        <v>41876</v>
      </c>
      <c r="M137" s="891" t="s">
        <v>5458</v>
      </c>
      <c r="N137" s="895" t="s">
        <v>4666</v>
      </c>
      <c r="O137" s="892">
        <v>41872</v>
      </c>
      <c r="P137" s="893">
        <f t="shared" si="28"/>
        <v>0</v>
      </c>
      <c r="Q137" s="893"/>
      <c r="R137" s="892"/>
      <c r="S137" s="896">
        <v>41876</v>
      </c>
      <c r="T137" s="904">
        <v>41878</v>
      </c>
      <c r="U137" s="893">
        <f t="shared" si="29"/>
        <v>72</v>
      </c>
      <c r="V137" s="895" t="s">
        <v>3841</v>
      </c>
      <c r="W137" s="897" t="s">
        <v>2626</v>
      </c>
      <c r="X137" s="905"/>
      <c r="Y137" s="905"/>
      <c r="Z137" s="895" t="s">
        <v>3728</v>
      </c>
      <c r="AA137" s="888"/>
      <c r="AB137" s="892" t="s">
        <v>5651</v>
      </c>
      <c r="AC137" s="899"/>
      <c r="AD137" s="645" t="str">
        <f t="shared" si="30"/>
        <v>en término</v>
      </c>
      <c r="AE137" s="468"/>
      <c r="AF137" s="468" t="s">
        <v>2957</v>
      </c>
    </row>
    <row r="138" spans="1:32" s="587" customFormat="1" ht="54.95" customHeight="1" thickBot="1" x14ac:dyDescent="0.25">
      <c r="A138" s="649"/>
      <c r="B138" s="887" t="s">
        <v>5433</v>
      </c>
      <c r="C138" s="887" t="s">
        <v>5434</v>
      </c>
      <c r="D138" s="888" t="s">
        <v>5649</v>
      </c>
      <c r="E138" s="888"/>
      <c r="F138" s="889" t="s">
        <v>5650</v>
      </c>
      <c r="G138" s="889" t="s">
        <v>5534</v>
      </c>
      <c r="H138" s="890">
        <v>59555</v>
      </c>
      <c r="I138" s="891" t="s">
        <v>5436</v>
      </c>
      <c r="J138" s="892">
        <v>41806</v>
      </c>
      <c r="K138" s="893">
        <v>100</v>
      </c>
      <c r="L138" s="894">
        <f>+J138+K138</f>
        <v>41906</v>
      </c>
      <c r="M138" s="891" t="s">
        <v>5458</v>
      </c>
      <c r="N138" s="895" t="s">
        <v>4666</v>
      </c>
      <c r="O138" s="892">
        <v>41906</v>
      </c>
      <c r="P138" s="893">
        <f t="shared" si="28"/>
        <v>14</v>
      </c>
      <c r="Q138" s="893"/>
      <c r="R138" s="892"/>
      <c r="S138" s="896">
        <v>41920</v>
      </c>
      <c r="T138" s="904">
        <v>41922</v>
      </c>
      <c r="U138" s="893">
        <f t="shared" si="29"/>
        <v>116</v>
      </c>
      <c r="V138" s="895" t="s">
        <v>3848</v>
      </c>
      <c r="W138" s="897" t="s">
        <v>2624</v>
      </c>
      <c r="X138" s="905"/>
      <c r="Y138" s="905"/>
      <c r="Z138" s="895" t="s">
        <v>1676</v>
      </c>
      <c r="AA138" s="888"/>
      <c r="AB138" s="892" t="s">
        <v>5441</v>
      </c>
      <c r="AC138" s="899"/>
      <c r="AD138" s="645" t="str">
        <f t="shared" si="30"/>
        <v>atrasado</v>
      </c>
      <c r="AE138" s="468"/>
      <c r="AF138" s="468" t="s">
        <v>3067</v>
      </c>
    </row>
    <row r="139" spans="1:32" s="587" customFormat="1" ht="54.95" customHeight="1" thickBot="1" x14ac:dyDescent="0.25">
      <c r="A139" s="649"/>
      <c r="B139" s="887" t="s">
        <v>5433</v>
      </c>
      <c r="C139" s="887" t="s">
        <v>5456</v>
      </c>
      <c r="D139" s="888" t="s">
        <v>5652</v>
      </c>
      <c r="E139" s="888"/>
      <c r="F139" s="889">
        <v>4500184965</v>
      </c>
      <c r="G139" s="889" t="s">
        <v>5534</v>
      </c>
      <c r="H139" s="890">
        <v>107315</v>
      </c>
      <c r="I139" s="891" t="s">
        <v>5436</v>
      </c>
      <c r="J139" s="892">
        <v>41907</v>
      </c>
      <c r="K139" s="893">
        <f>+L139-J139</f>
        <v>92</v>
      </c>
      <c r="L139" s="894">
        <v>41999</v>
      </c>
      <c r="M139" s="891" t="s">
        <v>124</v>
      </c>
      <c r="N139" s="895" t="s">
        <v>4666</v>
      </c>
      <c r="O139" s="892">
        <v>41985</v>
      </c>
      <c r="P139" s="893">
        <f t="shared" si="28"/>
        <v>-7</v>
      </c>
      <c r="Q139" s="893"/>
      <c r="R139" s="892"/>
      <c r="S139" s="896">
        <v>41992</v>
      </c>
      <c r="T139" s="904">
        <f>+S139+5</f>
        <v>41997</v>
      </c>
      <c r="U139" s="893">
        <f t="shared" si="29"/>
        <v>90</v>
      </c>
      <c r="V139" s="895" t="s">
        <v>5653</v>
      </c>
      <c r="W139" s="897" t="s">
        <v>2317</v>
      </c>
      <c r="X139" s="919"/>
      <c r="Y139" s="905"/>
      <c r="Z139" s="895">
        <v>2452170873</v>
      </c>
      <c r="AA139" s="888"/>
      <c r="AB139" s="892" t="s">
        <v>47</v>
      </c>
      <c r="AC139" s="899"/>
      <c r="AD139" s="645" t="str">
        <f t="shared" si="30"/>
        <v>en término</v>
      </c>
      <c r="AE139" s="468"/>
      <c r="AF139" s="468"/>
    </row>
    <row r="140" spans="1:32" s="587" customFormat="1" ht="54.95" customHeight="1" thickBot="1" x14ac:dyDescent="0.25">
      <c r="A140" s="649"/>
      <c r="B140" s="887" t="s">
        <v>5433</v>
      </c>
      <c r="C140" s="887" t="s">
        <v>5434</v>
      </c>
      <c r="D140" s="888" t="s">
        <v>5654</v>
      </c>
      <c r="E140" s="888"/>
      <c r="F140" s="889" t="s">
        <v>5655</v>
      </c>
      <c r="G140" s="889" t="s">
        <v>5534</v>
      </c>
      <c r="H140" s="890">
        <v>4295</v>
      </c>
      <c r="I140" s="891" t="s">
        <v>5436</v>
      </c>
      <c r="J140" s="892">
        <v>41918</v>
      </c>
      <c r="K140" s="893">
        <v>75</v>
      </c>
      <c r="L140" s="894">
        <f>+J140+K140</f>
        <v>41993</v>
      </c>
      <c r="M140" s="891" t="s">
        <v>5458</v>
      </c>
      <c r="N140" s="895" t="s">
        <v>4666</v>
      </c>
      <c r="O140" s="892">
        <v>41989</v>
      </c>
      <c r="P140" s="893">
        <f t="shared" si="28"/>
        <v>-4</v>
      </c>
      <c r="Q140" s="893"/>
      <c r="R140" s="892"/>
      <c r="S140" s="896">
        <v>41989</v>
      </c>
      <c r="T140" s="904">
        <v>41991</v>
      </c>
      <c r="U140" s="893">
        <f t="shared" si="29"/>
        <v>73</v>
      </c>
      <c r="V140" s="895" t="s">
        <v>2183</v>
      </c>
      <c r="W140" s="897" t="s">
        <v>2643</v>
      </c>
      <c r="X140" s="905"/>
      <c r="Y140" s="905"/>
      <c r="Z140" s="895"/>
      <c r="AA140" s="888"/>
      <c r="AB140" s="892" t="s">
        <v>47</v>
      </c>
      <c r="AC140" s="899"/>
      <c r="AD140" s="645" t="str">
        <f t="shared" si="30"/>
        <v>en término</v>
      </c>
      <c r="AE140" s="468"/>
      <c r="AF140" s="468" t="s">
        <v>3082</v>
      </c>
    </row>
    <row r="141" spans="1:32" s="587" customFormat="1" ht="54.95" customHeight="1" thickBot="1" x14ac:dyDescent="0.25">
      <c r="A141" s="649"/>
      <c r="B141" s="887" t="s">
        <v>5433</v>
      </c>
      <c r="C141" s="887" t="s">
        <v>5434</v>
      </c>
      <c r="D141" s="888" t="s">
        <v>5656</v>
      </c>
      <c r="E141" s="888"/>
      <c r="F141" s="889" t="s">
        <v>5657</v>
      </c>
      <c r="G141" s="889" t="s">
        <v>5534</v>
      </c>
      <c r="H141" s="890">
        <v>12420</v>
      </c>
      <c r="I141" s="891" t="s">
        <v>5436</v>
      </c>
      <c r="J141" s="892">
        <v>41919</v>
      </c>
      <c r="K141" s="893">
        <v>75</v>
      </c>
      <c r="L141" s="894">
        <f>+J141+K141</f>
        <v>41994</v>
      </c>
      <c r="M141" s="891" t="s">
        <v>5458</v>
      </c>
      <c r="N141" s="895" t="s">
        <v>4666</v>
      </c>
      <c r="O141" s="892">
        <v>41989</v>
      </c>
      <c r="P141" s="893">
        <f t="shared" si="28"/>
        <v>-5</v>
      </c>
      <c r="Q141" s="893"/>
      <c r="R141" s="892"/>
      <c r="S141" s="896">
        <v>41989</v>
      </c>
      <c r="T141" s="904">
        <v>41991</v>
      </c>
      <c r="U141" s="893">
        <f t="shared" si="29"/>
        <v>72</v>
      </c>
      <c r="V141" s="895" t="s">
        <v>2183</v>
      </c>
      <c r="W141" s="897" t="s">
        <v>2832</v>
      </c>
      <c r="X141" s="905"/>
      <c r="Y141" s="905"/>
      <c r="Z141" s="895"/>
      <c r="AA141" s="888"/>
      <c r="AB141" s="892" t="s">
        <v>47</v>
      </c>
      <c r="AC141" s="899"/>
      <c r="AD141" s="645" t="str">
        <f t="shared" si="30"/>
        <v>en término</v>
      </c>
      <c r="AE141" s="468"/>
      <c r="AF141" s="468" t="s">
        <v>3082</v>
      </c>
    </row>
    <row r="142" spans="1:32" s="587" customFormat="1" ht="54.95" customHeight="1" thickBot="1" x14ac:dyDescent="0.25">
      <c r="A142" s="649"/>
      <c r="B142" s="887" t="s">
        <v>5433</v>
      </c>
      <c r="C142" s="887" t="s">
        <v>5434</v>
      </c>
      <c r="D142" s="888" t="s">
        <v>5658</v>
      </c>
      <c r="E142" s="888"/>
      <c r="F142" s="889" t="s">
        <v>5659</v>
      </c>
      <c r="G142" s="889" t="s">
        <v>5534</v>
      </c>
      <c r="H142" s="890">
        <v>29700</v>
      </c>
      <c r="I142" s="891" t="s">
        <v>5436</v>
      </c>
      <c r="J142" s="892">
        <v>41919</v>
      </c>
      <c r="K142" s="893">
        <v>75</v>
      </c>
      <c r="L142" s="894">
        <f>+J142+K142</f>
        <v>41994</v>
      </c>
      <c r="M142" s="891" t="s">
        <v>5458</v>
      </c>
      <c r="N142" s="895" t="s">
        <v>4666</v>
      </c>
      <c r="O142" s="892">
        <v>41989</v>
      </c>
      <c r="P142" s="893">
        <f t="shared" si="28"/>
        <v>-5</v>
      </c>
      <c r="Q142" s="893"/>
      <c r="R142" s="892"/>
      <c r="S142" s="896">
        <v>41989</v>
      </c>
      <c r="T142" s="904">
        <v>41991</v>
      </c>
      <c r="U142" s="893">
        <f t="shared" si="29"/>
        <v>72</v>
      </c>
      <c r="V142" s="895" t="s">
        <v>2183</v>
      </c>
      <c r="W142" s="897" t="s">
        <v>3711</v>
      </c>
      <c r="X142" s="905"/>
      <c r="Y142" s="905"/>
      <c r="Z142" s="895"/>
      <c r="AA142" s="888"/>
      <c r="AB142" s="892" t="s">
        <v>47</v>
      </c>
      <c r="AC142" s="899"/>
      <c r="AD142" s="645" t="str">
        <f t="shared" si="30"/>
        <v>en término</v>
      </c>
      <c r="AE142" s="468"/>
      <c r="AF142" s="468" t="s">
        <v>3082</v>
      </c>
    </row>
    <row r="145" spans="1:36" ht="12.75" x14ac:dyDescent="0.2">
      <c r="AA145" s="1">
        <v>2014</v>
      </c>
      <c r="AB145" s="1047"/>
    </row>
    <row r="146" spans="1:36" ht="12.75" x14ac:dyDescent="0.2">
      <c r="AA146" s="945" t="s">
        <v>813</v>
      </c>
      <c r="AB146" s="1048">
        <f>COUNTA(AD127:AD146)</f>
        <v>15</v>
      </c>
    </row>
    <row r="147" spans="1:36" ht="12.75" x14ac:dyDescent="0.2">
      <c r="AA147" s="945" t="s">
        <v>4709</v>
      </c>
      <c r="AB147" s="1048">
        <f>COUNTIF(AD127:AD145,"en término")</f>
        <v>7</v>
      </c>
    </row>
    <row r="148" spans="1:36" ht="12.75" x14ac:dyDescent="0.2">
      <c r="AA148" s="945" t="s">
        <v>817</v>
      </c>
      <c r="AB148" s="557">
        <f>+AB147/AB146</f>
        <v>0.46666666666666667</v>
      </c>
    </row>
    <row r="149" spans="1:36" ht="12" thickBot="1" x14ac:dyDescent="0.25"/>
    <row r="150" spans="1:36" s="556" customFormat="1" ht="39.950000000000003" customHeight="1" thickBot="1" x14ac:dyDescent="0.4">
      <c r="B150" s="1611">
        <v>2015</v>
      </c>
      <c r="C150" s="1612"/>
      <c r="D150" s="1612"/>
      <c r="E150" s="1612"/>
      <c r="F150" s="1612"/>
      <c r="G150" s="1612"/>
      <c r="H150" s="1612"/>
      <c r="I150" s="1612"/>
      <c r="J150" s="1612"/>
      <c r="K150" s="1612"/>
      <c r="L150" s="1612"/>
      <c r="M150" s="1612"/>
      <c r="N150" s="1612"/>
      <c r="O150" s="1612"/>
      <c r="P150" s="1612"/>
      <c r="Q150" s="1612"/>
      <c r="R150" s="1612"/>
      <c r="S150" s="1612"/>
      <c r="T150" s="1612"/>
      <c r="U150" s="1612"/>
      <c r="V150" s="1612"/>
      <c r="W150" s="1612"/>
      <c r="X150" s="1612"/>
      <c r="Y150" s="1612"/>
      <c r="Z150" s="1612"/>
      <c r="AA150" s="1612"/>
      <c r="AB150" s="1612"/>
      <c r="AC150" s="1613"/>
    </row>
    <row r="151" spans="1:36" s="441" customFormat="1" ht="60" customHeight="1" thickBot="1" x14ac:dyDescent="0.25">
      <c r="A151" s="438"/>
      <c r="B151" s="451" t="s">
        <v>130</v>
      </c>
      <c r="C151" s="451" t="s">
        <v>4</v>
      </c>
      <c r="D151" s="451" t="s">
        <v>5</v>
      </c>
      <c r="E151" s="451" t="s">
        <v>6</v>
      </c>
      <c r="F151" s="451" t="s">
        <v>7</v>
      </c>
      <c r="G151" s="451" t="s">
        <v>8</v>
      </c>
      <c r="H151" s="453" t="s">
        <v>9</v>
      </c>
      <c r="I151" s="453" t="s">
        <v>10</v>
      </c>
      <c r="J151" s="451" t="s">
        <v>11</v>
      </c>
      <c r="K151" s="451" t="s">
        <v>12</v>
      </c>
      <c r="L151" s="451" t="s">
        <v>13</v>
      </c>
      <c r="M151" s="451" t="s">
        <v>14</v>
      </c>
      <c r="N151" s="451" t="s">
        <v>15</v>
      </c>
      <c r="O151" s="452" t="s">
        <v>16</v>
      </c>
      <c r="P151" s="454" t="s">
        <v>17</v>
      </c>
      <c r="Q151" s="451" t="s">
        <v>18</v>
      </c>
      <c r="R151" s="452" t="s">
        <v>19</v>
      </c>
      <c r="S151" s="451" t="s">
        <v>20</v>
      </c>
      <c r="T151" s="451" t="s">
        <v>21</v>
      </c>
      <c r="U151" s="452" t="s">
        <v>22</v>
      </c>
      <c r="V151" s="451" t="s">
        <v>131</v>
      </c>
      <c r="W151" s="451" t="s">
        <v>24</v>
      </c>
      <c r="X151" s="451" t="s">
        <v>132</v>
      </c>
      <c r="Y151" s="451" t="s">
        <v>26</v>
      </c>
      <c r="Z151" s="451" t="s">
        <v>27</v>
      </c>
      <c r="AA151" s="451" t="s">
        <v>28</v>
      </c>
      <c r="AB151" s="451" t="s">
        <v>29</v>
      </c>
      <c r="AC151" s="451" t="s">
        <v>30</v>
      </c>
      <c r="AD151" s="439"/>
      <c r="AE151" s="440"/>
      <c r="AF151" s="440"/>
      <c r="AG151" s="440"/>
      <c r="AH151" s="440"/>
      <c r="AI151" s="440"/>
      <c r="AJ151" s="440"/>
    </row>
    <row r="152" spans="1:36" s="587" customFormat="1" ht="54.95" customHeight="1" thickBot="1" x14ac:dyDescent="0.25">
      <c r="A152" s="649"/>
      <c r="B152" s="887" t="s">
        <v>5433</v>
      </c>
      <c r="C152" s="887" t="s">
        <v>5456</v>
      </c>
      <c r="D152" s="888" t="s">
        <v>5660</v>
      </c>
      <c r="E152" s="888"/>
      <c r="F152" s="889">
        <v>4500189520</v>
      </c>
      <c r="G152" s="889" t="s">
        <v>5534</v>
      </c>
      <c r="H152" s="890">
        <v>5760</v>
      </c>
      <c r="I152" s="891" t="s">
        <v>5436</v>
      </c>
      <c r="J152" s="892">
        <v>41977</v>
      </c>
      <c r="K152" s="893">
        <f>+L152-J152</f>
        <v>97</v>
      </c>
      <c r="L152" s="894">
        <v>42074</v>
      </c>
      <c r="M152" s="891" t="s">
        <v>124</v>
      </c>
      <c r="N152" s="895" t="s">
        <v>4666</v>
      </c>
      <c r="O152" s="892">
        <v>42059</v>
      </c>
      <c r="P152" s="893">
        <f t="shared" ref="P152:P159" si="31">IF(S152="","",+S152-L152)</f>
        <v>-6</v>
      </c>
      <c r="Q152" s="893"/>
      <c r="R152" s="892"/>
      <c r="S152" s="896">
        <v>42068</v>
      </c>
      <c r="T152" s="904">
        <v>42073</v>
      </c>
      <c r="U152" s="893">
        <f t="shared" ref="U152:U159" si="32">IF(T152="","",+T152-J152)</f>
        <v>96</v>
      </c>
      <c r="V152" s="895" t="s">
        <v>5661</v>
      </c>
      <c r="W152" s="897" t="s">
        <v>94</v>
      </c>
      <c r="X152" s="905"/>
      <c r="Y152" s="905"/>
      <c r="Z152" s="895">
        <v>1970606956</v>
      </c>
      <c r="AA152" s="888"/>
      <c r="AB152" s="892" t="s">
        <v>47</v>
      </c>
      <c r="AC152" s="899"/>
      <c r="AD152" s="645" t="str">
        <f t="shared" ref="AD152:AD159" si="33">IF(P152="","",IF(P152&lt;=0,"en término","atrasado"))</f>
        <v>en término</v>
      </c>
      <c r="AE152" s="468"/>
      <c r="AF152" s="468" t="s">
        <v>2981</v>
      </c>
    </row>
    <row r="153" spans="1:36" s="587" customFormat="1" ht="54.95" customHeight="1" thickBot="1" x14ac:dyDescent="0.25">
      <c r="A153" s="649"/>
      <c r="B153" s="887" t="s">
        <v>5433</v>
      </c>
      <c r="C153" s="887" t="s">
        <v>5456</v>
      </c>
      <c r="D153" s="888" t="s">
        <v>5662</v>
      </c>
      <c r="E153" s="888"/>
      <c r="F153" s="889">
        <v>4500193625</v>
      </c>
      <c r="G153" s="889" t="s">
        <v>5534</v>
      </c>
      <c r="H153" s="890">
        <v>24600</v>
      </c>
      <c r="I153" s="891" t="s">
        <v>5436</v>
      </c>
      <c r="J153" s="892">
        <v>42047</v>
      </c>
      <c r="K153" s="893">
        <f>+L153-J153</f>
        <v>77</v>
      </c>
      <c r="L153" s="894">
        <v>42124</v>
      </c>
      <c r="M153" s="891" t="s">
        <v>124</v>
      </c>
      <c r="N153" s="895" t="s">
        <v>4666</v>
      </c>
      <c r="O153" s="892">
        <v>42122</v>
      </c>
      <c r="P153" s="893">
        <f t="shared" si="31"/>
        <v>7</v>
      </c>
      <c r="Q153" s="893"/>
      <c r="R153" s="892"/>
      <c r="S153" s="896">
        <v>42131</v>
      </c>
      <c r="T153" s="904">
        <f>+S153+10</f>
        <v>42141</v>
      </c>
      <c r="U153" s="893">
        <f t="shared" si="32"/>
        <v>94</v>
      </c>
      <c r="V153" s="895" t="s">
        <v>2806</v>
      </c>
      <c r="W153" s="897" t="s">
        <v>2208</v>
      </c>
      <c r="X153" s="905"/>
      <c r="Y153" s="905"/>
      <c r="Z153" s="895">
        <v>8271974454</v>
      </c>
      <c r="AA153" s="888"/>
      <c r="AB153" s="892" t="s">
        <v>5663</v>
      </c>
      <c r="AC153" s="899"/>
      <c r="AD153" s="645" t="str">
        <f t="shared" si="33"/>
        <v>atrasado</v>
      </c>
      <c r="AE153" s="468" t="s">
        <v>5664</v>
      </c>
      <c r="AF153" s="468" t="s">
        <v>2937</v>
      </c>
    </row>
    <row r="154" spans="1:36" s="587" customFormat="1" ht="54.95" customHeight="1" thickBot="1" x14ac:dyDescent="0.25">
      <c r="A154" s="649"/>
      <c r="B154" s="887" t="s">
        <v>5433</v>
      </c>
      <c r="C154" s="887" t="s">
        <v>5434</v>
      </c>
      <c r="D154" s="888" t="s">
        <v>5665</v>
      </c>
      <c r="E154" s="888"/>
      <c r="F154" s="889">
        <v>4200000007</v>
      </c>
      <c r="G154" s="889" t="s">
        <v>5534</v>
      </c>
      <c r="H154" s="890">
        <v>3525</v>
      </c>
      <c r="I154" s="891" t="s">
        <v>5436</v>
      </c>
      <c r="J154" s="892">
        <v>42080</v>
      </c>
      <c r="K154" s="893">
        <v>75</v>
      </c>
      <c r="L154" s="894">
        <f>+J154+K154</f>
        <v>42155</v>
      </c>
      <c r="M154" s="891" t="s">
        <v>124</v>
      </c>
      <c r="N154" s="895" t="s">
        <v>4666</v>
      </c>
      <c r="O154" s="892">
        <v>42145</v>
      </c>
      <c r="P154" s="893">
        <f t="shared" si="31"/>
        <v>-2</v>
      </c>
      <c r="Q154" s="893"/>
      <c r="R154" s="892"/>
      <c r="S154" s="896">
        <v>42153</v>
      </c>
      <c r="T154" s="904">
        <v>42158</v>
      </c>
      <c r="U154" s="893">
        <f t="shared" si="32"/>
        <v>78</v>
      </c>
      <c r="V154" s="895" t="s">
        <v>2806</v>
      </c>
      <c r="W154" s="897" t="s">
        <v>2224</v>
      </c>
      <c r="X154" s="905"/>
      <c r="Y154" s="905"/>
      <c r="Z154" s="895" t="s">
        <v>3728</v>
      </c>
      <c r="AA154" s="888"/>
      <c r="AB154" s="892" t="s">
        <v>5333</v>
      </c>
      <c r="AC154" s="899"/>
      <c r="AD154" s="645" t="str">
        <f t="shared" si="33"/>
        <v>en término</v>
      </c>
      <c r="AE154" s="468" t="s">
        <v>5666</v>
      </c>
      <c r="AF154" s="468" t="s">
        <v>2943</v>
      </c>
    </row>
    <row r="155" spans="1:36" s="587" customFormat="1" ht="54.95" customHeight="1" thickBot="1" x14ac:dyDescent="0.25">
      <c r="A155" s="649"/>
      <c r="B155" s="887" t="s">
        <v>5433</v>
      </c>
      <c r="C155" s="887" t="s">
        <v>5456</v>
      </c>
      <c r="D155" s="888" t="s">
        <v>5667</v>
      </c>
      <c r="E155" s="888"/>
      <c r="F155" s="889">
        <v>4500198522</v>
      </c>
      <c r="G155" s="889" t="s">
        <v>5534</v>
      </c>
      <c r="H155" s="890">
        <v>6900</v>
      </c>
      <c r="I155" s="891" t="s">
        <v>5436</v>
      </c>
      <c r="J155" s="892">
        <v>42130</v>
      </c>
      <c r="K155" s="893">
        <f>+L155-J155</f>
        <v>50</v>
      </c>
      <c r="L155" s="894">
        <v>42180</v>
      </c>
      <c r="M155" s="891" t="s">
        <v>124</v>
      </c>
      <c r="N155" s="895" t="s">
        <v>4666</v>
      </c>
      <c r="O155" s="892">
        <v>42170</v>
      </c>
      <c r="P155" s="893">
        <f t="shared" si="31"/>
        <v>1</v>
      </c>
      <c r="Q155" s="893"/>
      <c r="R155" s="892">
        <v>42178</v>
      </c>
      <c r="S155" s="896">
        <v>42181</v>
      </c>
      <c r="T155" s="904">
        <f>+S155+5</f>
        <v>42186</v>
      </c>
      <c r="U155" s="893">
        <f t="shared" si="32"/>
        <v>56</v>
      </c>
      <c r="V155" s="895" t="s">
        <v>2806</v>
      </c>
      <c r="W155" s="897" t="s">
        <v>2445</v>
      </c>
      <c r="X155" s="905"/>
      <c r="Y155" s="905"/>
      <c r="Z155" s="895">
        <v>6346879534</v>
      </c>
      <c r="AA155" s="888"/>
      <c r="AB155" s="892" t="s">
        <v>5668</v>
      </c>
      <c r="AC155" s="899"/>
      <c r="AD155" s="645" t="str">
        <f t="shared" si="33"/>
        <v>atrasado</v>
      </c>
      <c r="AE155" s="468" t="s">
        <v>5669</v>
      </c>
      <c r="AF155" s="468" t="s">
        <v>2943</v>
      </c>
    </row>
    <row r="156" spans="1:36" s="587" customFormat="1" ht="54.95" customHeight="1" thickBot="1" x14ac:dyDescent="0.25">
      <c r="A156" s="649"/>
      <c r="B156" s="887" t="s">
        <v>5433</v>
      </c>
      <c r="C156" s="887" t="s">
        <v>5456</v>
      </c>
      <c r="D156" s="888" t="s">
        <v>5670</v>
      </c>
      <c r="E156" s="888"/>
      <c r="F156" s="889">
        <v>4500199665</v>
      </c>
      <c r="G156" s="889" t="s">
        <v>5534</v>
      </c>
      <c r="H156" s="890">
        <v>33560</v>
      </c>
      <c r="I156" s="891" t="s">
        <v>5436</v>
      </c>
      <c r="J156" s="892">
        <v>42151</v>
      </c>
      <c r="K156" s="893">
        <f>+L156-J156</f>
        <v>96</v>
      </c>
      <c r="L156" s="894">
        <v>42247</v>
      </c>
      <c r="M156" s="891" t="s">
        <v>124</v>
      </c>
      <c r="N156" s="895" t="s">
        <v>4666</v>
      </c>
      <c r="O156" s="892">
        <v>42241</v>
      </c>
      <c r="P156" s="893">
        <f t="shared" si="31"/>
        <v>5</v>
      </c>
      <c r="Q156" s="893"/>
      <c r="R156" s="892">
        <v>42249</v>
      </c>
      <c r="S156" s="896">
        <v>42252</v>
      </c>
      <c r="T156" s="894">
        <f>+S156+5</f>
        <v>42257</v>
      </c>
      <c r="U156" s="893">
        <f t="shared" si="32"/>
        <v>106</v>
      </c>
      <c r="V156" s="895" t="s">
        <v>2806</v>
      </c>
      <c r="W156" s="897" t="s">
        <v>2232</v>
      </c>
      <c r="X156" s="905"/>
      <c r="Y156" s="905"/>
      <c r="Z156" s="895">
        <v>8345096546</v>
      </c>
      <c r="AA156" s="888"/>
      <c r="AB156" s="892" t="s">
        <v>3664</v>
      </c>
      <c r="AC156" s="899"/>
      <c r="AD156" s="645" t="str">
        <f t="shared" si="33"/>
        <v>atrasado</v>
      </c>
      <c r="AE156" s="468"/>
      <c r="AF156" s="468"/>
    </row>
    <row r="157" spans="1:36" s="587" customFormat="1" ht="54.95" customHeight="1" thickBot="1" x14ac:dyDescent="0.25">
      <c r="A157" s="649"/>
      <c r="B157" s="887" t="s">
        <v>5433</v>
      </c>
      <c r="C157" s="887" t="s">
        <v>5456</v>
      </c>
      <c r="D157" s="888" t="s">
        <v>5671</v>
      </c>
      <c r="E157" s="888"/>
      <c r="F157" s="889">
        <v>4500201391</v>
      </c>
      <c r="G157" s="889" t="s">
        <v>5534</v>
      </c>
      <c r="H157" s="890">
        <v>15675</v>
      </c>
      <c r="I157" s="891" t="s">
        <v>5436</v>
      </c>
      <c r="J157" s="892">
        <v>42178</v>
      </c>
      <c r="K157" s="893">
        <f>+L157-J157</f>
        <v>97</v>
      </c>
      <c r="L157" s="894">
        <v>42275</v>
      </c>
      <c r="M157" s="891" t="s">
        <v>124</v>
      </c>
      <c r="N157" s="895" t="s">
        <v>4666</v>
      </c>
      <c r="O157" s="892">
        <v>42269</v>
      </c>
      <c r="P157" s="893">
        <f t="shared" si="31"/>
        <v>2</v>
      </c>
      <c r="Q157" s="893"/>
      <c r="R157" s="892">
        <v>42275</v>
      </c>
      <c r="S157" s="896">
        <v>42277</v>
      </c>
      <c r="T157" s="904">
        <v>42282</v>
      </c>
      <c r="U157" s="893">
        <f t="shared" si="32"/>
        <v>104</v>
      </c>
      <c r="V157" s="895" t="s">
        <v>2806</v>
      </c>
      <c r="W157" s="897" t="s">
        <v>2247</v>
      </c>
      <c r="X157" s="905"/>
      <c r="Y157" s="905"/>
      <c r="Z157" s="895">
        <v>4732477411</v>
      </c>
      <c r="AA157" s="888"/>
      <c r="AB157" s="892" t="s">
        <v>2387</v>
      </c>
      <c r="AC157" s="899"/>
      <c r="AD157" s="645" t="str">
        <f t="shared" si="33"/>
        <v>atrasado</v>
      </c>
      <c r="AE157" s="468" t="s">
        <v>5672</v>
      </c>
      <c r="AF157" s="468"/>
    </row>
    <row r="158" spans="1:36" s="587" customFormat="1" ht="54.95" customHeight="1" thickBot="1" x14ac:dyDescent="0.25">
      <c r="A158" s="649"/>
      <c r="B158" s="887" t="s">
        <v>5433</v>
      </c>
      <c r="C158" s="887" t="s">
        <v>5456</v>
      </c>
      <c r="D158" s="888" t="s">
        <v>5673</v>
      </c>
      <c r="E158" s="888"/>
      <c r="F158" s="889">
        <v>4500202576</v>
      </c>
      <c r="G158" s="889" t="s">
        <v>5534</v>
      </c>
      <c r="H158" s="890">
        <v>64484</v>
      </c>
      <c r="I158" s="891" t="s">
        <v>5436</v>
      </c>
      <c r="J158" s="892">
        <v>42198</v>
      </c>
      <c r="K158" s="893">
        <f>+L158-J158</f>
        <v>95</v>
      </c>
      <c r="L158" s="894">
        <v>42293</v>
      </c>
      <c r="M158" s="891" t="s">
        <v>124</v>
      </c>
      <c r="N158" s="895" t="s">
        <v>4666</v>
      </c>
      <c r="O158" s="892">
        <v>42282</v>
      </c>
      <c r="P158" s="893">
        <f t="shared" si="31"/>
        <v>-1</v>
      </c>
      <c r="Q158" s="893"/>
      <c r="R158" s="892">
        <v>42290</v>
      </c>
      <c r="S158" s="896">
        <v>42292</v>
      </c>
      <c r="T158" s="904">
        <f>+S158+10</f>
        <v>42302</v>
      </c>
      <c r="U158" s="893">
        <f t="shared" si="32"/>
        <v>104</v>
      </c>
      <c r="V158" s="895" t="s">
        <v>2806</v>
      </c>
      <c r="W158" s="897" t="s">
        <v>2251</v>
      </c>
      <c r="X158" s="905"/>
      <c r="Y158" s="905"/>
      <c r="Z158" s="895"/>
      <c r="AA158" s="888"/>
      <c r="AB158" s="892" t="s">
        <v>2387</v>
      </c>
      <c r="AC158" s="899"/>
      <c r="AD158" s="645" t="str">
        <f t="shared" si="33"/>
        <v>en término</v>
      </c>
      <c r="AE158" s="468" t="s">
        <v>5674</v>
      </c>
      <c r="AF158" s="468" t="s">
        <v>3067</v>
      </c>
    </row>
    <row r="159" spans="1:36" s="587" customFormat="1" ht="54.95" customHeight="1" thickBot="1" x14ac:dyDescent="0.25">
      <c r="A159" s="649"/>
      <c r="B159" s="887" t="s">
        <v>5433</v>
      </c>
      <c r="C159" s="887" t="s">
        <v>5456</v>
      </c>
      <c r="D159" s="888" t="s">
        <v>5675</v>
      </c>
      <c r="E159" s="888"/>
      <c r="F159" s="889">
        <v>4500202978</v>
      </c>
      <c r="G159" s="889" t="s">
        <v>5534</v>
      </c>
      <c r="H159" s="890">
        <v>43950</v>
      </c>
      <c r="I159" s="891" t="s">
        <v>5436</v>
      </c>
      <c r="J159" s="892">
        <v>42207</v>
      </c>
      <c r="K159" s="893">
        <f>+L159-J159</f>
        <v>93</v>
      </c>
      <c r="L159" s="894">
        <v>42300</v>
      </c>
      <c r="M159" s="891" t="s">
        <v>124</v>
      </c>
      <c r="N159" s="895" t="s">
        <v>4666</v>
      </c>
      <c r="O159" s="892">
        <v>42282</v>
      </c>
      <c r="P159" s="893">
        <f t="shared" si="31"/>
        <v>-8</v>
      </c>
      <c r="Q159" s="893"/>
      <c r="R159" s="892">
        <v>42290</v>
      </c>
      <c r="S159" s="896">
        <v>42292</v>
      </c>
      <c r="T159" s="904">
        <f>+S159+10</f>
        <v>42302</v>
      </c>
      <c r="U159" s="893">
        <f t="shared" si="32"/>
        <v>95</v>
      </c>
      <c r="V159" s="895" t="s">
        <v>1193</v>
      </c>
      <c r="W159" s="897" t="s">
        <v>57</v>
      </c>
      <c r="X159" s="905"/>
      <c r="Y159" s="905"/>
      <c r="Z159" s="895"/>
      <c r="AA159" s="888"/>
      <c r="AB159" s="892" t="s">
        <v>2387</v>
      </c>
      <c r="AC159" s="899"/>
      <c r="AD159" s="645" t="str">
        <f t="shared" si="33"/>
        <v>en término</v>
      </c>
      <c r="AE159" s="468" t="s">
        <v>5674</v>
      </c>
      <c r="AF159" s="468" t="s">
        <v>3067</v>
      </c>
    </row>
    <row r="160" spans="1:36" s="587" customFormat="1" ht="54.95" customHeight="1" thickBot="1" x14ac:dyDescent="0.25">
      <c r="A160" s="649"/>
      <c r="B160" s="887" t="s">
        <v>5433</v>
      </c>
      <c r="C160" s="887" t="s">
        <v>5434</v>
      </c>
      <c r="D160" s="888" t="s">
        <v>5676</v>
      </c>
      <c r="E160" s="888"/>
      <c r="F160" s="889">
        <v>4500000015</v>
      </c>
      <c r="G160" s="889" t="s">
        <v>5534</v>
      </c>
      <c r="H160" s="890">
        <v>93768</v>
      </c>
      <c r="I160" s="891" t="s">
        <v>5436</v>
      </c>
      <c r="J160" s="892">
        <v>42212</v>
      </c>
      <c r="K160" s="893">
        <v>80</v>
      </c>
      <c r="L160" s="894">
        <f>+J160+K160</f>
        <v>42292</v>
      </c>
      <c r="M160" s="891" t="s">
        <v>5458</v>
      </c>
      <c r="N160" s="895" t="s">
        <v>4666</v>
      </c>
      <c r="O160" s="892">
        <v>42290</v>
      </c>
      <c r="P160" s="893">
        <f>IF(S160="","",+S160-L160)</f>
        <v>-2</v>
      </c>
      <c r="Q160" s="893"/>
      <c r="R160" s="892">
        <v>42290</v>
      </c>
      <c r="S160" s="896">
        <v>42290</v>
      </c>
      <c r="T160" s="904">
        <v>42292</v>
      </c>
      <c r="U160" s="893">
        <f>IF(T160="","",+T160-J160)</f>
        <v>80</v>
      </c>
      <c r="V160" s="895" t="s">
        <v>5677</v>
      </c>
      <c r="W160" s="897" t="s">
        <v>2792</v>
      </c>
      <c r="X160" s="905"/>
      <c r="Y160" s="905"/>
      <c r="Z160" s="895"/>
      <c r="AA160" s="888"/>
      <c r="AB160" s="892" t="s">
        <v>5678</v>
      </c>
      <c r="AC160" s="899"/>
      <c r="AD160" s="645" t="str">
        <f>IF(P160="","",IF(P160&lt;=0,"en término","atrasado"))</f>
        <v>en término</v>
      </c>
      <c r="AE160" s="468" t="s">
        <v>5679</v>
      </c>
      <c r="AF160" s="468" t="s">
        <v>3067</v>
      </c>
    </row>
    <row r="161" spans="1:36" s="587" customFormat="1" ht="54.95" customHeight="1" thickBot="1" x14ac:dyDescent="0.25">
      <c r="A161" s="649"/>
      <c r="B161" s="887" t="s">
        <v>5433</v>
      </c>
      <c r="C161" s="887" t="s">
        <v>5456</v>
      </c>
      <c r="D161" s="888" t="s">
        <v>5680</v>
      </c>
      <c r="E161" s="888"/>
      <c r="F161" s="889">
        <v>4500205613</v>
      </c>
      <c r="G161" s="889" t="s">
        <v>5534</v>
      </c>
      <c r="H161" s="890">
        <v>3730</v>
      </c>
      <c r="I161" s="891" t="s">
        <v>5436</v>
      </c>
      <c r="J161" s="892">
        <v>42258</v>
      </c>
      <c r="K161" s="893">
        <v>60</v>
      </c>
      <c r="L161" s="894">
        <f>+J161+K161</f>
        <v>42318</v>
      </c>
      <c r="M161" s="891" t="s">
        <v>124</v>
      </c>
      <c r="N161" s="895" t="s">
        <v>4666</v>
      </c>
      <c r="O161" s="892">
        <v>42317</v>
      </c>
      <c r="P161" s="893">
        <f>IF(S161="","",+S161-L161)</f>
        <v>8</v>
      </c>
      <c r="Q161" s="893"/>
      <c r="R161" s="892">
        <v>42321</v>
      </c>
      <c r="S161" s="896">
        <v>42326</v>
      </c>
      <c r="T161" s="904">
        <f>+S161+5</f>
        <v>42331</v>
      </c>
      <c r="U161" s="893">
        <f>IF(T161="","",+T161-J161)</f>
        <v>73</v>
      </c>
      <c r="V161" s="895" t="s">
        <v>1020</v>
      </c>
      <c r="W161" s="897" t="s">
        <v>2257</v>
      </c>
      <c r="X161" s="905"/>
      <c r="Y161" s="905"/>
      <c r="Z161" s="895" t="s">
        <v>3728</v>
      </c>
      <c r="AA161" s="888"/>
      <c r="AB161" s="892" t="s">
        <v>47</v>
      </c>
      <c r="AC161" s="899"/>
      <c r="AD161" s="645" t="str">
        <f>IF(P161="","",IF(P161&lt;=0,"en término","atrasado"))</f>
        <v>atrasado</v>
      </c>
      <c r="AE161" s="468" t="s">
        <v>5681</v>
      </c>
      <c r="AF161" s="468" t="s">
        <v>3074</v>
      </c>
    </row>
    <row r="162" spans="1:36" s="587" customFormat="1" ht="54.95" customHeight="1" thickBot="1" x14ac:dyDescent="0.25">
      <c r="A162" s="649"/>
      <c r="B162" s="887" t="s">
        <v>5433</v>
      </c>
      <c r="C162" s="887" t="s">
        <v>5456</v>
      </c>
      <c r="D162" s="888" t="s">
        <v>5682</v>
      </c>
      <c r="E162" s="888"/>
      <c r="F162" s="889">
        <v>4500207147</v>
      </c>
      <c r="G162" s="889" t="s">
        <v>5534</v>
      </c>
      <c r="H162" s="890">
        <v>1250</v>
      </c>
      <c r="I162" s="891" t="s">
        <v>5436</v>
      </c>
      <c r="J162" s="892">
        <v>42278</v>
      </c>
      <c r="K162" s="893">
        <f>+L162-J162</f>
        <v>39</v>
      </c>
      <c r="L162" s="894">
        <v>42317</v>
      </c>
      <c r="M162" s="891" t="s">
        <v>124</v>
      </c>
      <c r="N162" s="895" t="s">
        <v>4666</v>
      </c>
      <c r="O162" s="892">
        <v>42317</v>
      </c>
      <c r="P162" s="893">
        <f>IF(S162="","",+S162-L162)</f>
        <v>9</v>
      </c>
      <c r="Q162" s="893"/>
      <c r="R162" s="892">
        <v>42321</v>
      </c>
      <c r="S162" s="896">
        <v>42326</v>
      </c>
      <c r="T162" s="904">
        <f>+S162+5</f>
        <v>42331</v>
      </c>
      <c r="U162" s="893">
        <f>IF(T162="","",+T162-J162)</f>
        <v>53</v>
      </c>
      <c r="V162" s="895" t="s">
        <v>53</v>
      </c>
      <c r="W162" s="897" t="s">
        <v>2261</v>
      </c>
      <c r="X162" s="905"/>
      <c r="Y162" s="905"/>
      <c r="Z162" s="895" t="s">
        <v>3728</v>
      </c>
      <c r="AA162" s="888"/>
      <c r="AB162" s="892" t="s">
        <v>1575</v>
      </c>
      <c r="AC162" s="899"/>
      <c r="AD162" s="645" t="str">
        <f>IF(P162="","",IF(P162&lt;=0,"en término","atrasado"))</f>
        <v>atrasado</v>
      </c>
      <c r="AE162" s="468" t="s">
        <v>5681</v>
      </c>
      <c r="AF162" s="468" t="s">
        <v>3074</v>
      </c>
    </row>
    <row r="165" spans="1:36" ht="12.75" x14ac:dyDescent="0.2">
      <c r="AA165" s="1">
        <v>2015</v>
      </c>
      <c r="AB165" s="1047"/>
    </row>
    <row r="166" spans="1:36" ht="12.75" x14ac:dyDescent="0.2">
      <c r="AA166" s="945" t="s">
        <v>813</v>
      </c>
      <c r="AB166" s="1048">
        <f>COUNTA(AD152:AD166)</f>
        <v>11</v>
      </c>
    </row>
    <row r="167" spans="1:36" ht="12.75" x14ac:dyDescent="0.2">
      <c r="AA167" s="945" t="s">
        <v>4709</v>
      </c>
      <c r="AB167" s="1048">
        <f>COUNTIF(AD152:AD165,"en término")</f>
        <v>5</v>
      </c>
    </row>
    <row r="168" spans="1:36" ht="12.75" x14ac:dyDescent="0.2">
      <c r="AA168" s="945" t="s">
        <v>817</v>
      </c>
      <c r="AB168" s="557">
        <f>+AB167/AB166</f>
        <v>0.45454545454545453</v>
      </c>
    </row>
    <row r="169" spans="1:36" ht="12" thickBot="1" x14ac:dyDescent="0.25"/>
    <row r="170" spans="1:36" s="556" customFormat="1" ht="39.950000000000003" customHeight="1" thickBot="1" x14ac:dyDescent="0.4">
      <c r="B170" s="1611">
        <v>2016</v>
      </c>
      <c r="C170" s="1612"/>
      <c r="D170" s="1612"/>
      <c r="E170" s="1612"/>
      <c r="F170" s="1612"/>
      <c r="G170" s="1612"/>
      <c r="H170" s="1612"/>
      <c r="I170" s="1612"/>
      <c r="J170" s="1612"/>
      <c r="K170" s="1612"/>
      <c r="L170" s="1612"/>
      <c r="M170" s="1612"/>
      <c r="N170" s="1612"/>
      <c r="O170" s="1612"/>
      <c r="P170" s="1612"/>
      <c r="Q170" s="1612"/>
      <c r="R170" s="1612"/>
      <c r="S170" s="1612"/>
      <c r="T170" s="1612"/>
      <c r="U170" s="1612"/>
      <c r="V170" s="1612"/>
      <c r="W170" s="1612"/>
      <c r="X170" s="1612"/>
      <c r="Y170" s="1612"/>
      <c r="Z170" s="1612"/>
      <c r="AA170" s="1612"/>
      <c r="AB170" s="1612"/>
      <c r="AC170" s="1613"/>
    </row>
    <row r="171" spans="1:36" s="441" customFormat="1" ht="60" customHeight="1" thickBot="1" x14ac:dyDescent="0.25">
      <c r="A171" s="438"/>
      <c r="B171" s="451" t="s">
        <v>130</v>
      </c>
      <c r="C171" s="451" t="s">
        <v>4</v>
      </c>
      <c r="D171" s="451" t="s">
        <v>5</v>
      </c>
      <c r="E171" s="451" t="s">
        <v>6</v>
      </c>
      <c r="F171" s="451" t="s">
        <v>7</v>
      </c>
      <c r="G171" s="451" t="s">
        <v>8</v>
      </c>
      <c r="H171" s="453" t="s">
        <v>9</v>
      </c>
      <c r="I171" s="453" t="s">
        <v>10</v>
      </c>
      <c r="J171" s="451" t="s">
        <v>11</v>
      </c>
      <c r="K171" s="451" t="s">
        <v>12</v>
      </c>
      <c r="L171" s="451" t="s">
        <v>13</v>
      </c>
      <c r="M171" s="451" t="s">
        <v>14</v>
      </c>
      <c r="N171" s="451" t="s">
        <v>15</v>
      </c>
      <c r="O171" s="452" t="s">
        <v>16</v>
      </c>
      <c r="P171" s="454" t="s">
        <v>17</v>
      </c>
      <c r="Q171" s="451" t="s">
        <v>18</v>
      </c>
      <c r="R171" s="452" t="s">
        <v>19</v>
      </c>
      <c r="S171" s="451" t="s">
        <v>20</v>
      </c>
      <c r="T171" s="451" t="s">
        <v>21</v>
      </c>
      <c r="U171" s="452" t="s">
        <v>22</v>
      </c>
      <c r="V171" s="451" t="s">
        <v>131</v>
      </c>
      <c r="W171" s="451" t="s">
        <v>24</v>
      </c>
      <c r="X171" s="451" t="s">
        <v>132</v>
      </c>
      <c r="Y171" s="451" t="s">
        <v>26</v>
      </c>
      <c r="Z171" s="451" t="s">
        <v>27</v>
      </c>
      <c r="AA171" s="451" t="s">
        <v>28</v>
      </c>
      <c r="AB171" s="451" t="s">
        <v>29</v>
      </c>
      <c r="AC171" s="451" t="s">
        <v>30</v>
      </c>
      <c r="AD171" s="439"/>
      <c r="AE171" s="440"/>
      <c r="AF171" s="440"/>
      <c r="AG171" s="440"/>
      <c r="AH171" s="440"/>
      <c r="AI171" s="440"/>
      <c r="AJ171" s="440"/>
    </row>
    <row r="172" spans="1:36" s="649" customFormat="1" ht="54.95" customHeight="1" thickBot="1" x14ac:dyDescent="0.25">
      <c r="B172" s="1022" t="s">
        <v>5433</v>
      </c>
      <c r="C172" s="1022" t="s">
        <v>5456</v>
      </c>
      <c r="D172" s="901" t="s">
        <v>5683</v>
      </c>
      <c r="E172" s="901"/>
      <c r="F172" s="913">
        <v>4500222913</v>
      </c>
      <c r="G172" s="889" t="s">
        <v>39</v>
      </c>
      <c r="H172" s="890">
        <v>1600</v>
      </c>
      <c r="I172" s="902"/>
      <c r="J172" s="892">
        <v>42555</v>
      </c>
      <c r="K172" s="893">
        <f>+L172-J172</f>
        <v>49</v>
      </c>
      <c r="L172" s="892">
        <v>42604</v>
      </c>
      <c r="M172" s="892" t="s">
        <v>5436</v>
      </c>
      <c r="N172" s="889" t="s">
        <v>4666</v>
      </c>
      <c r="O172" s="892">
        <v>42598</v>
      </c>
      <c r="P172" s="893">
        <f>IF(S172="","",+S172-L172)</f>
        <v>-4</v>
      </c>
      <c r="Q172" s="901"/>
      <c r="R172" s="903"/>
      <c r="S172" s="904">
        <v>42600</v>
      </c>
      <c r="T172" s="894">
        <v>42605</v>
      </c>
      <c r="U172" s="893">
        <f>IF(T172="","",+T172-J172)</f>
        <v>50</v>
      </c>
      <c r="V172" s="901" t="s">
        <v>5684</v>
      </c>
      <c r="W172" s="897" t="s">
        <v>2217</v>
      </c>
      <c r="X172" s="905"/>
      <c r="Y172" s="905"/>
      <c r="Z172" s="895">
        <v>8009882263</v>
      </c>
      <c r="AA172" s="889"/>
      <c r="AB172" s="892" t="s">
        <v>47</v>
      </c>
      <c r="AC172" s="476"/>
      <c r="AD172" s="645" t="str">
        <f>IF(P172="","",IF(P172&lt;=0,"en término","atrasado"))</f>
        <v>en término</v>
      </c>
      <c r="AE172" s="468"/>
      <c r="AF172" s="468"/>
    </row>
    <row r="173" spans="1:36" s="649" customFormat="1" ht="54.95" customHeight="1" thickBot="1" x14ac:dyDescent="0.25">
      <c r="B173" s="1022" t="s">
        <v>5433</v>
      </c>
      <c r="C173" s="1022" t="s">
        <v>5456</v>
      </c>
      <c r="D173" s="901" t="s">
        <v>5685</v>
      </c>
      <c r="E173" s="901"/>
      <c r="F173" s="913">
        <v>4500222257</v>
      </c>
      <c r="G173" s="889" t="s">
        <v>39</v>
      </c>
      <c r="H173" s="890">
        <v>7500</v>
      </c>
      <c r="I173" s="902"/>
      <c r="J173" s="892">
        <v>42542</v>
      </c>
      <c r="K173" s="893">
        <f>+L173-J173</f>
        <v>59</v>
      </c>
      <c r="L173" s="892">
        <v>42601</v>
      </c>
      <c r="M173" s="892" t="s">
        <v>5436</v>
      </c>
      <c r="N173" s="889" t="s">
        <v>4666</v>
      </c>
      <c r="O173" s="892">
        <v>42598</v>
      </c>
      <c r="P173" s="893">
        <f>IF(S173="","",+S173-L173)</f>
        <v>-1</v>
      </c>
      <c r="Q173" s="901"/>
      <c r="R173" s="903"/>
      <c r="S173" s="904">
        <v>42600</v>
      </c>
      <c r="T173" s="894">
        <v>42605</v>
      </c>
      <c r="U173" s="893">
        <f>IF(T173="","",+T173-J173)</f>
        <v>63</v>
      </c>
      <c r="V173" s="901" t="s">
        <v>5686</v>
      </c>
      <c r="W173" s="897" t="s">
        <v>2217</v>
      </c>
      <c r="X173" s="905"/>
      <c r="Y173" s="905"/>
      <c r="Z173" s="895">
        <v>8009882263</v>
      </c>
      <c r="AA173" s="889"/>
      <c r="AB173" s="892" t="s">
        <v>47</v>
      </c>
      <c r="AC173" s="476" t="s">
        <v>5687</v>
      </c>
      <c r="AD173" s="645" t="str">
        <f>IF(P173="","",IF(P173&lt;=0,"en término","atrasado"))</f>
        <v>en término</v>
      </c>
      <c r="AE173" s="468"/>
      <c r="AF173" s="468"/>
    </row>
    <row r="180" spans="1:36" ht="12" thickBot="1" x14ac:dyDescent="0.25"/>
    <row r="181" spans="1:36" s="556" customFormat="1" ht="39.950000000000003" customHeight="1" thickBot="1" x14ac:dyDescent="0.4">
      <c r="B181" s="1611">
        <v>2017</v>
      </c>
      <c r="C181" s="1612"/>
      <c r="D181" s="1612"/>
      <c r="E181" s="1612"/>
      <c r="F181" s="1612"/>
      <c r="G181" s="1612"/>
      <c r="H181" s="1612"/>
      <c r="I181" s="1612"/>
      <c r="J181" s="1612"/>
      <c r="K181" s="1612"/>
      <c r="L181" s="1612"/>
      <c r="M181" s="1612"/>
      <c r="N181" s="1612"/>
      <c r="O181" s="1612"/>
      <c r="P181" s="1612"/>
      <c r="Q181" s="1612"/>
      <c r="R181" s="1612"/>
      <c r="S181" s="1612"/>
      <c r="T181" s="1612"/>
      <c r="U181" s="1612"/>
      <c r="V181" s="1612"/>
      <c r="W181" s="1612"/>
      <c r="X181" s="1612"/>
      <c r="Y181" s="1612"/>
      <c r="Z181" s="1612"/>
      <c r="AA181" s="1612"/>
      <c r="AB181" s="1612"/>
      <c r="AC181" s="1613"/>
    </row>
    <row r="182" spans="1:36" s="441" customFormat="1" ht="60" customHeight="1" thickBot="1" x14ac:dyDescent="0.25">
      <c r="A182" s="438"/>
      <c r="B182" s="451" t="s">
        <v>130</v>
      </c>
      <c r="C182" s="451" t="s">
        <v>4</v>
      </c>
      <c r="D182" s="451" t="s">
        <v>5</v>
      </c>
      <c r="E182" s="451" t="s">
        <v>6</v>
      </c>
      <c r="F182" s="451" t="s">
        <v>7</v>
      </c>
      <c r="G182" s="451" t="s">
        <v>8</v>
      </c>
      <c r="H182" s="453" t="s">
        <v>9</v>
      </c>
      <c r="I182" s="453" t="s">
        <v>10</v>
      </c>
      <c r="J182" s="451" t="s">
        <v>11</v>
      </c>
      <c r="K182" s="451" t="s">
        <v>12</v>
      </c>
      <c r="L182" s="451" t="s">
        <v>13</v>
      </c>
      <c r="M182" s="451" t="s">
        <v>14</v>
      </c>
      <c r="N182" s="451" t="s">
        <v>15</v>
      </c>
      <c r="O182" s="452" t="s">
        <v>16</v>
      </c>
      <c r="P182" s="454" t="s">
        <v>17</v>
      </c>
      <c r="Q182" s="451" t="s">
        <v>18</v>
      </c>
      <c r="R182" s="452" t="s">
        <v>19</v>
      </c>
      <c r="S182" s="451" t="s">
        <v>20</v>
      </c>
      <c r="T182" s="451" t="s">
        <v>21</v>
      </c>
      <c r="U182" s="452" t="s">
        <v>22</v>
      </c>
      <c r="V182" s="451" t="s">
        <v>131</v>
      </c>
      <c r="W182" s="451" t="s">
        <v>24</v>
      </c>
      <c r="X182" s="451" t="s">
        <v>132</v>
      </c>
      <c r="Y182" s="451" t="s">
        <v>26</v>
      </c>
      <c r="Z182" s="451" t="s">
        <v>27</v>
      </c>
      <c r="AA182" s="451" t="s">
        <v>28</v>
      </c>
      <c r="AB182" s="451" t="s">
        <v>29</v>
      </c>
      <c r="AC182" s="451" t="s">
        <v>30</v>
      </c>
      <c r="AD182" s="439"/>
      <c r="AE182" s="440"/>
      <c r="AF182" s="440"/>
      <c r="AG182" s="440"/>
      <c r="AH182" s="440"/>
      <c r="AI182" s="440"/>
      <c r="AJ182" s="440"/>
    </row>
    <row r="183" spans="1:36" s="649" customFormat="1" ht="54.95" customHeight="1" thickBot="1" x14ac:dyDescent="0.25">
      <c r="B183" s="1022" t="s">
        <v>5433</v>
      </c>
      <c r="C183" s="1022" t="s">
        <v>5456</v>
      </c>
      <c r="D183" s="901" t="s">
        <v>5688</v>
      </c>
      <c r="E183" s="901"/>
      <c r="F183" s="913">
        <v>4500234712</v>
      </c>
      <c r="G183" s="889" t="s">
        <v>39</v>
      </c>
      <c r="H183" s="890">
        <v>6610</v>
      </c>
      <c r="I183" s="902"/>
      <c r="J183" s="892">
        <v>42755</v>
      </c>
      <c r="K183" s="893">
        <f>+L183-J183</f>
        <v>76</v>
      </c>
      <c r="L183" s="892">
        <v>42831</v>
      </c>
      <c r="M183" s="892" t="s">
        <v>5436</v>
      </c>
      <c r="N183" s="889" t="s">
        <v>4666</v>
      </c>
      <c r="O183" s="892">
        <v>42822</v>
      </c>
      <c r="P183" s="893">
        <f>IF(S183="","",+S183-L183)</f>
        <v>5</v>
      </c>
      <c r="Q183" s="901"/>
      <c r="R183" s="903">
        <v>42832</v>
      </c>
      <c r="S183" s="904">
        <v>42836</v>
      </c>
      <c r="T183" s="894">
        <f>+S183+6</f>
        <v>42842</v>
      </c>
      <c r="U183" s="893">
        <f>IF(T183="","",+T183-J183)</f>
        <v>87</v>
      </c>
      <c r="V183" s="901" t="s">
        <v>53</v>
      </c>
      <c r="W183" s="897" t="s">
        <v>2418</v>
      </c>
      <c r="X183" s="889"/>
      <c r="Y183" s="905"/>
      <c r="Z183" s="895">
        <v>3099169135</v>
      </c>
      <c r="AA183" s="889"/>
      <c r="AB183" s="892" t="s">
        <v>5689</v>
      </c>
      <c r="AC183" s="476"/>
      <c r="AD183" s="645" t="str">
        <f>IF(P183="","",IF(P183&lt;=0,"en término","atrasado"))</f>
        <v>atrasado</v>
      </c>
      <c r="AE183" s="468" t="s">
        <v>5690</v>
      </c>
      <c r="AF183" s="468" t="s">
        <v>2929</v>
      </c>
    </row>
    <row r="184" spans="1:36" s="649" customFormat="1" ht="54.95" customHeight="1" thickBot="1" x14ac:dyDescent="0.25">
      <c r="B184" s="1022" t="s">
        <v>5433</v>
      </c>
      <c r="C184" s="1022" t="s">
        <v>5456</v>
      </c>
      <c r="D184" s="901" t="s">
        <v>5691</v>
      </c>
      <c r="E184" s="901"/>
      <c r="F184" s="913">
        <v>4500235319</v>
      </c>
      <c r="G184" s="889" t="s">
        <v>39</v>
      </c>
      <c r="H184" s="890">
        <v>10400</v>
      </c>
      <c r="I184" s="902"/>
      <c r="J184" s="892">
        <v>42766</v>
      </c>
      <c r="K184" s="893">
        <f>+L184-J184</f>
        <v>91</v>
      </c>
      <c r="L184" s="892">
        <v>42857</v>
      </c>
      <c r="M184" s="892" t="s">
        <v>5436</v>
      </c>
      <c r="N184" s="889" t="s">
        <v>4666</v>
      </c>
      <c r="O184" s="892">
        <v>42850</v>
      </c>
      <c r="P184" s="893">
        <f>IF(S184="","",+S184-L184)</f>
        <v>2</v>
      </c>
      <c r="Q184" s="901"/>
      <c r="R184" s="903">
        <v>42857</v>
      </c>
      <c r="S184" s="904">
        <v>42859</v>
      </c>
      <c r="T184" s="894">
        <v>42864</v>
      </c>
      <c r="U184" s="893">
        <f>IF(T184="","",+T184-J184)</f>
        <v>98</v>
      </c>
      <c r="V184" s="901" t="s">
        <v>752</v>
      </c>
      <c r="W184" s="897" t="s">
        <v>2219</v>
      </c>
      <c r="X184" s="889"/>
      <c r="Y184" s="905"/>
      <c r="Z184" s="889" t="s">
        <v>1676</v>
      </c>
      <c r="AA184" s="889"/>
      <c r="AB184" s="892" t="s">
        <v>3819</v>
      </c>
      <c r="AC184" s="476"/>
      <c r="AD184" s="645" t="str">
        <f>IF(P184="","",IF(P184&lt;=0,"en término","atrasado"))</f>
        <v>atrasado</v>
      </c>
      <c r="AE184" s="468"/>
      <c r="AF184" s="468"/>
    </row>
    <row r="185" spans="1:36" s="649" customFormat="1" ht="54.95" customHeight="1" thickBot="1" x14ac:dyDescent="0.25">
      <c r="B185" s="1022" t="s">
        <v>5433</v>
      </c>
      <c r="C185" s="1022" t="s">
        <v>5456</v>
      </c>
      <c r="D185" s="901" t="s">
        <v>5692</v>
      </c>
      <c r="E185" s="901"/>
      <c r="F185" s="913">
        <v>4500238884</v>
      </c>
      <c r="G185" s="889" t="s">
        <v>39</v>
      </c>
      <c r="H185" s="890">
        <v>160</v>
      </c>
      <c r="I185" s="902"/>
      <c r="J185" s="892">
        <v>42824</v>
      </c>
      <c r="K185" s="893">
        <f>+L185-J185</f>
        <v>33</v>
      </c>
      <c r="L185" s="892">
        <v>42857</v>
      </c>
      <c r="M185" s="892" t="s">
        <v>5436</v>
      </c>
      <c r="N185" s="889" t="s">
        <v>4666</v>
      </c>
      <c r="O185" s="892">
        <v>42850</v>
      </c>
      <c r="P185" s="893">
        <f>IF(S185="","",+S185-L185)</f>
        <v>2</v>
      </c>
      <c r="Q185" s="901"/>
      <c r="R185" s="903">
        <v>42857</v>
      </c>
      <c r="S185" s="904">
        <v>42859</v>
      </c>
      <c r="T185" s="894">
        <v>42864</v>
      </c>
      <c r="U185" s="893">
        <f>IF(T185="","",+T185-J185)</f>
        <v>40</v>
      </c>
      <c r="V185" s="901" t="s">
        <v>5693</v>
      </c>
      <c r="W185" s="897" t="s">
        <v>2217</v>
      </c>
      <c r="X185" s="889"/>
      <c r="Y185" s="905"/>
      <c r="Z185" s="889" t="s">
        <v>1676</v>
      </c>
      <c r="AA185" s="889"/>
      <c r="AB185" s="892" t="s">
        <v>3819</v>
      </c>
      <c r="AC185" s="476"/>
      <c r="AD185" s="645" t="str">
        <f>IF(P185="","",IF(P185&lt;=0,"en término","atrasado"))</f>
        <v>atrasado</v>
      </c>
      <c r="AE185" s="468"/>
      <c r="AF185" s="468"/>
    </row>
    <row r="186" spans="1:36" s="649" customFormat="1" ht="54.95" customHeight="1" thickBot="1" x14ac:dyDescent="0.25">
      <c r="B186" s="1022" t="s">
        <v>5433</v>
      </c>
      <c r="C186" s="1022" t="s">
        <v>5434</v>
      </c>
      <c r="D186" s="901" t="s">
        <v>5694</v>
      </c>
      <c r="E186" s="901"/>
      <c r="F186" s="913">
        <v>4200000059</v>
      </c>
      <c r="G186" s="889" t="s">
        <v>39</v>
      </c>
      <c r="H186" s="890">
        <v>28230</v>
      </c>
      <c r="I186" s="902" t="s">
        <v>5436</v>
      </c>
      <c r="J186" s="892">
        <v>42998</v>
      </c>
      <c r="K186" s="893">
        <v>75</v>
      </c>
      <c r="L186" s="892">
        <v>43080</v>
      </c>
      <c r="M186" s="892" t="s">
        <v>5436</v>
      </c>
      <c r="N186" s="889" t="s">
        <v>4666</v>
      </c>
      <c r="O186" s="892">
        <v>43063</v>
      </c>
      <c r="P186" s="893">
        <f>IF(S186="","",+S186-L186)</f>
        <v>-17</v>
      </c>
      <c r="Q186" s="901"/>
      <c r="R186" s="903"/>
      <c r="S186" s="904">
        <v>43063</v>
      </c>
      <c r="T186" s="894">
        <v>43065</v>
      </c>
      <c r="U186" s="893">
        <f>IF(T186="","",+T186-J186)</f>
        <v>67</v>
      </c>
      <c r="V186" s="901" t="s">
        <v>879</v>
      </c>
      <c r="W186" s="897" t="s">
        <v>2247</v>
      </c>
      <c r="X186" s="889"/>
      <c r="Y186" s="905"/>
      <c r="Z186" s="889"/>
      <c r="AA186" s="889"/>
      <c r="AB186" s="892" t="s">
        <v>47</v>
      </c>
      <c r="AC186" s="476"/>
      <c r="AD186" s="645" t="str">
        <f>IF(P186="","",IF(P186&lt;=0,"en término","atrasado"))</f>
        <v>en término</v>
      </c>
      <c r="AE186" s="468" t="s">
        <v>5695</v>
      </c>
      <c r="AF186" s="468" t="s">
        <v>3074</v>
      </c>
    </row>
    <row r="187" spans="1:36" s="649" customFormat="1" ht="54.95" customHeight="1" thickBot="1" x14ac:dyDescent="0.25">
      <c r="B187" s="1022" t="s">
        <v>5433</v>
      </c>
      <c r="C187" s="1022" t="s">
        <v>5434</v>
      </c>
      <c r="D187" s="901" t="s">
        <v>5696</v>
      </c>
      <c r="E187" s="901"/>
      <c r="F187" s="913">
        <v>4200000071</v>
      </c>
      <c r="G187" s="889" t="s">
        <v>39</v>
      </c>
      <c r="H187" s="890">
        <v>2970</v>
      </c>
      <c r="I187" s="902" t="s">
        <v>5436</v>
      </c>
      <c r="J187" s="892">
        <v>43033</v>
      </c>
      <c r="K187" s="893">
        <v>75</v>
      </c>
      <c r="L187" s="892">
        <v>43070</v>
      </c>
      <c r="M187" s="892" t="s">
        <v>5436</v>
      </c>
      <c r="N187" s="889" t="s">
        <v>4666</v>
      </c>
      <c r="O187" s="892">
        <v>43063</v>
      </c>
      <c r="P187" s="893">
        <f>IF(S187="","",+S187-L187)</f>
        <v>-7</v>
      </c>
      <c r="Q187" s="901"/>
      <c r="R187" s="903"/>
      <c r="S187" s="904">
        <v>43063</v>
      </c>
      <c r="T187" s="894">
        <v>43065</v>
      </c>
      <c r="U187" s="893">
        <f>IF(T187="","",+T187-J187)</f>
        <v>32</v>
      </c>
      <c r="V187" s="901" t="s">
        <v>53</v>
      </c>
      <c r="W187" s="897" t="s">
        <v>2441</v>
      </c>
      <c r="X187" s="889"/>
      <c r="Y187" s="905"/>
      <c r="Z187" s="889"/>
      <c r="AA187" s="889"/>
      <c r="AB187" s="892" t="s">
        <v>47</v>
      </c>
      <c r="AC187" s="476"/>
      <c r="AD187" s="645" t="str">
        <f>IF(P187="","",IF(P187&lt;=0,"en término","atrasado"))</f>
        <v>en término</v>
      </c>
      <c r="AE187" s="468" t="s">
        <v>5695</v>
      </c>
      <c r="AF187" s="468" t="s">
        <v>3074</v>
      </c>
    </row>
    <row r="193" spans="1:36" ht="12" thickBot="1" x14ac:dyDescent="0.25"/>
    <row r="194" spans="1:36" s="556" customFormat="1" ht="39.950000000000003" customHeight="1" thickBot="1" x14ac:dyDescent="0.4">
      <c r="B194" s="1611">
        <v>2018</v>
      </c>
      <c r="C194" s="1612"/>
      <c r="D194" s="1612"/>
      <c r="E194" s="1612"/>
      <c r="F194" s="1612"/>
      <c r="G194" s="1612"/>
      <c r="H194" s="1612"/>
      <c r="I194" s="1612"/>
      <c r="J194" s="1612"/>
      <c r="K194" s="1612"/>
      <c r="L194" s="1612"/>
      <c r="M194" s="1612"/>
      <c r="N194" s="1612"/>
      <c r="O194" s="1612"/>
      <c r="P194" s="1612"/>
      <c r="Q194" s="1612"/>
      <c r="R194" s="1612"/>
      <c r="S194" s="1612"/>
      <c r="T194" s="1612"/>
      <c r="U194" s="1612"/>
      <c r="V194" s="1612"/>
      <c r="W194" s="1612"/>
      <c r="X194" s="1612"/>
      <c r="Y194" s="1612"/>
      <c r="Z194" s="1612"/>
      <c r="AA194" s="1612"/>
      <c r="AB194" s="1612"/>
      <c r="AC194" s="1613"/>
    </row>
    <row r="195" spans="1:36" s="441" customFormat="1" ht="60" customHeight="1" thickBot="1" x14ac:dyDescent="0.25">
      <c r="A195" s="438"/>
      <c r="B195" s="451" t="s">
        <v>130</v>
      </c>
      <c r="C195" s="451" t="s">
        <v>4</v>
      </c>
      <c r="D195" s="451" t="s">
        <v>5</v>
      </c>
      <c r="E195" s="451" t="s">
        <v>6</v>
      </c>
      <c r="F195" s="451" t="s">
        <v>7</v>
      </c>
      <c r="G195" s="451" t="s">
        <v>8</v>
      </c>
      <c r="H195" s="453" t="s">
        <v>9</v>
      </c>
      <c r="I195" s="453" t="s">
        <v>10</v>
      </c>
      <c r="J195" s="451" t="s">
        <v>11</v>
      </c>
      <c r="K195" s="451" t="s">
        <v>12</v>
      </c>
      <c r="L195" s="451" t="s">
        <v>13</v>
      </c>
      <c r="M195" s="451" t="s">
        <v>14</v>
      </c>
      <c r="N195" s="451" t="s">
        <v>15</v>
      </c>
      <c r="O195" s="452" t="s">
        <v>16</v>
      </c>
      <c r="P195" s="454" t="s">
        <v>17</v>
      </c>
      <c r="Q195" s="451" t="s">
        <v>18</v>
      </c>
      <c r="R195" s="452" t="s">
        <v>19</v>
      </c>
      <c r="S195" s="451" t="s">
        <v>20</v>
      </c>
      <c r="T195" s="451" t="s">
        <v>21</v>
      </c>
      <c r="U195" s="452" t="s">
        <v>22</v>
      </c>
      <c r="V195" s="451" t="s">
        <v>131</v>
      </c>
      <c r="W195" s="451" t="s">
        <v>24</v>
      </c>
      <c r="X195" s="451" t="s">
        <v>132</v>
      </c>
      <c r="Y195" s="451" t="s">
        <v>26</v>
      </c>
      <c r="Z195" s="451" t="s">
        <v>27</v>
      </c>
      <c r="AA195" s="451" t="s">
        <v>28</v>
      </c>
      <c r="AB195" s="451" t="s">
        <v>29</v>
      </c>
      <c r="AC195" s="451" t="s">
        <v>30</v>
      </c>
      <c r="AD195" s="439"/>
      <c r="AE195" s="440"/>
      <c r="AF195" s="440"/>
      <c r="AG195" s="440"/>
      <c r="AH195" s="440"/>
      <c r="AI195" s="440"/>
      <c r="AJ195" s="440"/>
    </row>
    <row r="196" spans="1:36" s="649" customFormat="1" ht="54.95" customHeight="1" thickBot="1" x14ac:dyDescent="0.25">
      <c r="B196" s="1062" t="s">
        <v>5433</v>
      </c>
      <c r="C196" s="1062" t="s">
        <v>5434</v>
      </c>
      <c r="D196" s="1063" t="s">
        <v>6431</v>
      </c>
      <c r="E196" s="1063"/>
      <c r="F196" s="974">
        <v>4200000082</v>
      </c>
      <c r="G196" s="1074" t="s">
        <v>39</v>
      </c>
      <c r="H196" s="1064">
        <v>5500</v>
      </c>
      <c r="I196" s="1065" t="s">
        <v>6432</v>
      </c>
      <c r="J196" s="1066">
        <v>43223</v>
      </c>
      <c r="K196" s="1067">
        <f>+L196-J196</f>
        <v>61</v>
      </c>
      <c r="L196" s="1066">
        <v>43284</v>
      </c>
      <c r="M196" s="1066" t="s">
        <v>6433</v>
      </c>
      <c r="N196" s="1074" t="s">
        <v>6434</v>
      </c>
      <c r="O196" s="1066">
        <v>43249</v>
      </c>
      <c r="P196" s="893">
        <f>IF(S196="","",+S196-L196)</f>
        <v>-25</v>
      </c>
      <c r="Q196" s="1063"/>
      <c r="R196" s="1068">
        <v>43251</v>
      </c>
      <c r="S196" s="1069">
        <v>43259</v>
      </c>
      <c r="T196" s="1070">
        <v>43259</v>
      </c>
      <c r="U196" s="1067">
        <f>IF(T196="","",+T196-J196)</f>
        <v>36</v>
      </c>
      <c r="V196" s="1063"/>
      <c r="W196" s="1071" t="s">
        <v>2445</v>
      </c>
      <c r="X196" s="1074"/>
      <c r="Y196" s="1072"/>
      <c r="Z196" s="1074"/>
      <c r="AA196" s="1074"/>
      <c r="AB196" s="1073"/>
      <c r="AC196" s="1075"/>
      <c r="AD196" s="645" t="str">
        <f>IF(P196="","",IF(P196&lt;=0,"en término","atrasado"))</f>
        <v>en término</v>
      </c>
      <c r="AE196" s="468"/>
      <c r="AF196" s="468"/>
    </row>
    <row r="197" spans="1:36" s="649" customFormat="1" ht="54.95" customHeight="1" thickBot="1" x14ac:dyDescent="0.25">
      <c r="B197" s="1022" t="s">
        <v>5433</v>
      </c>
      <c r="C197" s="1022" t="s">
        <v>5434</v>
      </c>
      <c r="D197" s="901" t="s">
        <v>6468</v>
      </c>
      <c r="E197" s="901"/>
      <c r="F197" s="1077">
        <v>420000096</v>
      </c>
      <c r="G197" s="889" t="s">
        <v>39</v>
      </c>
      <c r="H197" s="890">
        <v>6000</v>
      </c>
      <c r="I197" s="902" t="s">
        <v>6432</v>
      </c>
      <c r="J197" s="892">
        <v>43374</v>
      </c>
      <c r="K197" s="893">
        <f>+L197-J197</f>
        <v>60</v>
      </c>
      <c r="L197" s="892">
        <v>43434</v>
      </c>
      <c r="M197" s="892" t="s">
        <v>6433</v>
      </c>
      <c r="N197" s="889" t="s">
        <v>6434</v>
      </c>
      <c r="O197" s="892">
        <v>43430</v>
      </c>
      <c r="P197" s="893">
        <f>IF(S197="","",+S197-L197)</f>
        <v>-3</v>
      </c>
      <c r="Q197" s="901"/>
      <c r="R197" s="903"/>
      <c r="S197" s="904">
        <v>43431</v>
      </c>
      <c r="T197" s="894">
        <f>+S197+10</f>
        <v>43441</v>
      </c>
      <c r="U197" s="893">
        <f>IF(T197="","",+T197-J197)</f>
        <v>67</v>
      </c>
      <c r="V197" s="901" t="s">
        <v>53</v>
      </c>
      <c r="W197" s="897" t="s">
        <v>45</v>
      </c>
      <c r="X197" s="889"/>
      <c r="Y197" s="905"/>
      <c r="Z197" s="889"/>
      <c r="AA197" s="889"/>
      <c r="AB197" s="892" t="s">
        <v>6590</v>
      </c>
      <c r="AC197" s="476"/>
      <c r="AD197" s="645" t="str">
        <f>IF(P197="","",IF(P197&lt;=0,"en término","atrasado"))</f>
        <v>en término</v>
      </c>
      <c r="AE197" s="446"/>
      <c r="AF197" s="446"/>
    </row>
    <row r="203" spans="1:36" ht="12" thickBot="1" x14ac:dyDescent="0.25"/>
    <row r="204" spans="1:36" s="556" customFormat="1" ht="39.950000000000003" customHeight="1" thickBot="1" x14ac:dyDescent="0.4">
      <c r="B204" s="1611">
        <v>2019</v>
      </c>
      <c r="C204" s="1612"/>
      <c r="D204" s="1612"/>
      <c r="E204" s="1612"/>
      <c r="F204" s="1612"/>
      <c r="G204" s="1612"/>
      <c r="H204" s="1612"/>
      <c r="I204" s="1612"/>
      <c r="J204" s="1612"/>
      <c r="K204" s="1612"/>
      <c r="L204" s="1612"/>
      <c r="M204" s="1612"/>
      <c r="N204" s="1612"/>
      <c r="O204" s="1612"/>
      <c r="P204" s="1612"/>
      <c r="Q204" s="1612"/>
      <c r="R204" s="1612"/>
      <c r="S204" s="1612"/>
      <c r="T204" s="1612"/>
      <c r="U204" s="1612"/>
      <c r="V204" s="1612"/>
      <c r="W204" s="1612"/>
      <c r="X204" s="1612"/>
      <c r="Y204" s="1612"/>
      <c r="Z204" s="1612"/>
      <c r="AA204" s="1612"/>
      <c r="AB204" s="1612"/>
      <c r="AC204" s="1613"/>
    </row>
    <row r="205" spans="1:36" s="441" customFormat="1" ht="60" customHeight="1" thickBot="1" x14ac:dyDescent="0.25">
      <c r="A205" s="438"/>
      <c r="B205" s="451" t="s">
        <v>130</v>
      </c>
      <c r="C205" s="451" t="s">
        <v>4</v>
      </c>
      <c r="D205" s="451" t="s">
        <v>5</v>
      </c>
      <c r="E205" s="451" t="s">
        <v>6</v>
      </c>
      <c r="F205" s="451" t="s">
        <v>7</v>
      </c>
      <c r="G205" s="451" t="s">
        <v>8</v>
      </c>
      <c r="H205" s="453" t="s">
        <v>9</v>
      </c>
      <c r="I205" s="453" t="s">
        <v>10</v>
      </c>
      <c r="J205" s="451" t="s">
        <v>11</v>
      </c>
      <c r="K205" s="451" t="s">
        <v>12</v>
      </c>
      <c r="L205" s="451" t="s">
        <v>13</v>
      </c>
      <c r="M205" s="451" t="s">
        <v>14</v>
      </c>
      <c r="N205" s="451" t="s">
        <v>15</v>
      </c>
      <c r="O205" s="452" t="s">
        <v>16</v>
      </c>
      <c r="P205" s="454" t="s">
        <v>17</v>
      </c>
      <c r="Q205" s="451" t="s">
        <v>18</v>
      </c>
      <c r="R205" s="452" t="s">
        <v>19</v>
      </c>
      <c r="S205" s="451" t="s">
        <v>20</v>
      </c>
      <c r="T205" s="451" t="s">
        <v>21</v>
      </c>
      <c r="U205" s="452" t="s">
        <v>22</v>
      </c>
      <c r="V205" s="451" t="s">
        <v>131</v>
      </c>
      <c r="W205" s="451" t="s">
        <v>24</v>
      </c>
      <c r="X205" s="451" t="s">
        <v>132</v>
      </c>
      <c r="Y205" s="451" t="s">
        <v>26</v>
      </c>
      <c r="Z205" s="451" t="s">
        <v>27</v>
      </c>
      <c r="AA205" s="451" t="s">
        <v>28</v>
      </c>
      <c r="AB205" s="451" t="s">
        <v>29</v>
      </c>
      <c r="AC205" s="451" t="s">
        <v>30</v>
      </c>
      <c r="AD205" s="439"/>
      <c r="AE205" s="440"/>
      <c r="AF205" s="440"/>
      <c r="AG205" s="440"/>
      <c r="AH205" s="440"/>
      <c r="AI205" s="440"/>
      <c r="AJ205" s="440"/>
    </row>
    <row r="206" spans="1:36" s="649" customFormat="1" ht="54.95" customHeight="1" thickBot="1" x14ac:dyDescent="0.25">
      <c r="B206" s="1022" t="s">
        <v>5433</v>
      </c>
      <c r="C206" s="1022" t="s">
        <v>5456</v>
      </c>
      <c r="D206" s="901" t="s">
        <v>6598</v>
      </c>
      <c r="E206" s="901"/>
      <c r="F206" s="913">
        <v>4500271014</v>
      </c>
      <c r="G206" s="889" t="s">
        <v>39</v>
      </c>
      <c r="H206" s="890">
        <v>2542</v>
      </c>
      <c r="I206" s="902"/>
      <c r="J206" s="892">
        <v>43482</v>
      </c>
      <c r="K206" s="893">
        <f>+L206-J206</f>
        <v>57</v>
      </c>
      <c r="L206" s="892">
        <v>43539</v>
      </c>
      <c r="M206" s="892" t="s">
        <v>124</v>
      </c>
      <c r="N206" s="889" t="s">
        <v>4666</v>
      </c>
      <c r="O206" s="892">
        <v>43536</v>
      </c>
      <c r="P206" s="893">
        <f t="shared" ref="P206:P211" si="34">IF(S206="","",+S206-L206)</f>
        <v>0</v>
      </c>
      <c r="Q206" s="901"/>
      <c r="R206" s="903"/>
      <c r="S206" s="904">
        <v>43539</v>
      </c>
      <c r="T206" s="894">
        <v>43544</v>
      </c>
      <c r="U206" s="893">
        <f t="shared" ref="U206:U211" si="35">IF(T206="","",+T206-J206)</f>
        <v>62</v>
      </c>
      <c r="V206" s="901" t="s">
        <v>6581</v>
      </c>
      <c r="W206" s="897" t="s">
        <v>100</v>
      </c>
      <c r="X206" s="889"/>
      <c r="Y206" s="905"/>
      <c r="Z206" s="889"/>
      <c r="AA206" s="889"/>
      <c r="AB206" s="888">
        <v>43614</v>
      </c>
      <c r="AC206" s="476"/>
      <c r="AD206" s="645" t="str">
        <f t="shared" ref="AD206:AD211" si="36">IF(P206="","",IF(P206&lt;=0,"en término","atrasado"))</f>
        <v>en término</v>
      </c>
      <c r="AE206" s="468" t="s">
        <v>6633</v>
      </c>
      <c r="AF206" s="468" t="s">
        <v>3846</v>
      </c>
      <c r="AG206" s="1100">
        <f t="shared" ref="AG206:AG212" si="37">+S206+60</f>
        <v>43599</v>
      </c>
      <c r="AH206" s="638">
        <f t="shared" ref="AH206:AH212" si="38">IF(AB206="","",+AB206-AG206)</f>
        <v>15</v>
      </c>
      <c r="AI206" s="638" t="str">
        <f t="shared" ref="AI206:AI212" si="39">IF(AH206="","",IF(AH206&lt;=0,"en término","atrasado"))</f>
        <v>atrasado</v>
      </c>
    </row>
    <row r="207" spans="1:36" s="649" customFormat="1" ht="54.95" customHeight="1" thickBot="1" x14ac:dyDescent="0.25">
      <c r="B207" s="1022" t="s">
        <v>5433</v>
      </c>
      <c r="C207" s="1022" t="s">
        <v>5456</v>
      </c>
      <c r="D207" s="901" t="s">
        <v>6642</v>
      </c>
      <c r="E207" s="901"/>
      <c r="F207" s="913">
        <v>4500273958</v>
      </c>
      <c r="G207" s="889" t="s">
        <v>39</v>
      </c>
      <c r="H207" s="890">
        <v>6950</v>
      </c>
      <c r="I207" s="902"/>
      <c r="J207" s="892">
        <v>43559</v>
      </c>
      <c r="K207" s="893">
        <v>75</v>
      </c>
      <c r="L207" s="892">
        <f>+J207+K207</f>
        <v>43634</v>
      </c>
      <c r="M207" s="892" t="s">
        <v>124</v>
      </c>
      <c r="N207" s="889" t="s">
        <v>4666</v>
      </c>
      <c r="O207" s="892">
        <v>43627</v>
      </c>
      <c r="P207" s="893">
        <f t="shared" si="34"/>
        <v>-5</v>
      </c>
      <c r="Q207" s="901"/>
      <c r="R207" s="903"/>
      <c r="S207" s="904">
        <v>43629</v>
      </c>
      <c r="T207" s="894">
        <f>+S207+5</f>
        <v>43634</v>
      </c>
      <c r="U207" s="893">
        <f t="shared" si="35"/>
        <v>75</v>
      </c>
      <c r="V207" s="901" t="s">
        <v>6581</v>
      </c>
      <c r="W207" s="897" t="s">
        <v>2224</v>
      </c>
      <c r="X207" s="889"/>
      <c r="Y207" s="905"/>
      <c r="Z207" s="889" t="s">
        <v>1676</v>
      </c>
      <c r="AA207" s="889"/>
      <c r="AB207" s="892">
        <v>43671</v>
      </c>
      <c r="AC207" s="476"/>
      <c r="AD207" s="645" t="str">
        <f t="shared" si="36"/>
        <v>en término</v>
      </c>
      <c r="AE207" s="468" t="s">
        <v>6723</v>
      </c>
      <c r="AF207" s="468" t="s">
        <v>2949</v>
      </c>
      <c r="AG207" s="1100">
        <f t="shared" si="37"/>
        <v>43689</v>
      </c>
      <c r="AH207" s="638">
        <f t="shared" si="38"/>
        <v>-18</v>
      </c>
      <c r="AI207" s="638" t="str">
        <f t="shared" si="39"/>
        <v>en término</v>
      </c>
    </row>
    <row r="208" spans="1:36" s="649" customFormat="1" ht="54.95" customHeight="1" thickBot="1" x14ac:dyDescent="0.25">
      <c r="B208" s="1022" t="s">
        <v>5433</v>
      </c>
      <c r="C208" s="1022" t="s">
        <v>5456</v>
      </c>
      <c r="D208" s="901" t="s">
        <v>6655</v>
      </c>
      <c r="E208" s="901"/>
      <c r="F208" s="913">
        <v>4500274482</v>
      </c>
      <c r="G208" s="889" t="s">
        <v>39</v>
      </c>
      <c r="H208" s="890">
        <v>430</v>
      </c>
      <c r="I208" s="902"/>
      <c r="J208" s="892">
        <v>43573</v>
      </c>
      <c r="K208" s="893">
        <f>+L208-J208</f>
        <v>76</v>
      </c>
      <c r="L208" s="892">
        <v>43649</v>
      </c>
      <c r="M208" s="892" t="s">
        <v>124</v>
      </c>
      <c r="N208" s="889" t="s">
        <v>4666</v>
      </c>
      <c r="O208" s="892">
        <v>43627</v>
      </c>
      <c r="P208" s="893">
        <f t="shared" si="34"/>
        <v>-20</v>
      </c>
      <c r="Q208" s="901"/>
      <c r="R208" s="903"/>
      <c r="S208" s="904">
        <v>43629</v>
      </c>
      <c r="T208" s="894">
        <f>+S208+5</f>
        <v>43634</v>
      </c>
      <c r="U208" s="893">
        <f t="shared" si="35"/>
        <v>61</v>
      </c>
      <c r="V208" s="901" t="s">
        <v>6581</v>
      </c>
      <c r="W208" s="897" t="s">
        <v>2758</v>
      </c>
      <c r="X208" s="889"/>
      <c r="Y208" s="905"/>
      <c r="Z208" s="889" t="s">
        <v>1676</v>
      </c>
      <c r="AA208" s="889"/>
      <c r="AB208" s="892">
        <v>43671</v>
      </c>
      <c r="AC208" s="476"/>
      <c r="AD208" s="645" t="str">
        <f t="shared" si="36"/>
        <v>en término</v>
      </c>
      <c r="AE208" s="468" t="s">
        <v>6723</v>
      </c>
      <c r="AF208" s="468" t="s">
        <v>2949</v>
      </c>
      <c r="AG208" s="1100">
        <f t="shared" si="37"/>
        <v>43689</v>
      </c>
      <c r="AH208" s="638">
        <f t="shared" si="38"/>
        <v>-18</v>
      </c>
      <c r="AI208" s="638" t="str">
        <f t="shared" si="39"/>
        <v>en término</v>
      </c>
    </row>
    <row r="209" spans="1:36" s="649" customFormat="1" ht="54.95" customHeight="1" thickBot="1" x14ac:dyDescent="0.25">
      <c r="B209" s="1022" t="s">
        <v>5433</v>
      </c>
      <c r="C209" s="1022" t="s">
        <v>5456</v>
      </c>
      <c r="D209" s="901" t="s">
        <v>6699</v>
      </c>
      <c r="E209" s="901"/>
      <c r="F209" s="913">
        <v>4500276274</v>
      </c>
      <c r="G209" s="889" t="s">
        <v>39</v>
      </c>
      <c r="H209" s="890">
        <v>631</v>
      </c>
      <c r="I209" s="902"/>
      <c r="J209" s="892">
        <v>43627</v>
      </c>
      <c r="K209" s="893">
        <f>+L209-J209</f>
        <v>48</v>
      </c>
      <c r="L209" s="892">
        <v>43675</v>
      </c>
      <c r="M209" s="892" t="s">
        <v>124</v>
      </c>
      <c r="N209" s="889" t="s">
        <v>4666</v>
      </c>
      <c r="O209" s="892">
        <v>43672</v>
      </c>
      <c r="P209" s="893">
        <f t="shared" si="34"/>
        <v>1</v>
      </c>
      <c r="Q209" s="901"/>
      <c r="R209" s="903"/>
      <c r="S209" s="904">
        <v>43676</v>
      </c>
      <c r="T209" s="894">
        <f>+S209+5</f>
        <v>43681</v>
      </c>
      <c r="U209" s="893">
        <f t="shared" si="35"/>
        <v>54</v>
      </c>
      <c r="V209" s="901" t="s">
        <v>6581</v>
      </c>
      <c r="W209" s="897" t="s">
        <v>2247</v>
      </c>
      <c r="X209" s="905"/>
      <c r="Y209" s="905"/>
      <c r="Z209" s="889"/>
      <c r="AA209" s="889"/>
      <c r="AB209" s="892">
        <v>43713</v>
      </c>
      <c r="AC209" s="476"/>
      <c r="AD209" s="645" t="str">
        <f t="shared" si="36"/>
        <v>atrasado</v>
      </c>
      <c r="AE209" s="468"/>
      <c r="AF209" s="468" t="s">
        <v>3056</v>
      </c>
      <c r="AG209" s="1100">
        <f t="shared" si="37"/>
        <v>43736</v>
      </c>
      <c r="AH209" s="638">
        <f t="shared" si="38"/>
        <v>-23</v>
      </c>
      <c r="AI209" s="638" t="str">
        <f t="shared" si="39"/>
        <v>en término</v>
      </c>
    </row>
    <row r="210" spans="1:36" s="649" customFormat="1" ht="54.95" customHeight="1" thickBot="1" x14ac:dyDescent="0.25">
      <c r="B210" s="1022" t="s">
        <v>5433</v>
      </c>
      <c r="C210" s="1022" t="s">
        <v>5434</v>
      </c>
      <c r="D210" s="901" t="s">
        <v>6724</v>
      </c>
      <c r="E210" s="901"/>
      <c r="F210" s="913">
        <v>4200000135</v>
      </c>
      <c r="G210" s="889" t="s">
        <v>39</v>
      </c>
      <c r="H210" s="890">
        <v>3185</v>
      </c>
      <c r="I210" s="902"/>
      <c r="J210" s="892">
        <v>43655</v>
      </c>
      <c r="K210" s="893">
        <f>+L210-J210</f>
        <v>20</v>
      </c>
      <c r="L210" s="892">
        <v>43675</v>
      </c>
      <c r="M210" s="892" t="s">
        <v>124</v>
      </c>
      <c r="N210" s="889" t="s">
        <v>4666</v>
      </c>
      <c r="O210" s="892">
        <v>43658</v>
      </c>
      <c r="P210" s="893">
        <f t="shared" si="34"/>
        <v>-11</v>
      </c>
      <c r="Q210" s="901"/>
      <c r="R210" s="903"/>
      <c r="S210" s="904">
        <v>43664</v>
      </c>
      <c r="T210" s="894">
        <f>+S210+7</f>
        <v>43671</v>
      </c>
      <c r="U210" s="893">
        <f t="shared" si="35"/>
        <v>16</v>
      </c>
      <c r="V210" s="901" t="s">
        <v>2618</v>
      </c>
      <c r="W210" s="897" t="s">
        <v>2235</v>
      </c>
      <c r="X210" s="905"/>
      <c r="Y210" s="905"/>
      <c r="Z210" s="889" t="s">
        <v>1676</v>
      </c>
      <c r="AA210" s="889"/>
      <c r="AB210" s="892">
        <v>43713</v>
      </c>
      <c r="AC210" s="476"/>
      <c r="AD210" s="645" t="str">
        <f t="shared" si="36"/>
        <v>en término</v>
      </c>
      <c r="AE210" s="468"/>
      <c r="AF210" s="468" t="s">
        <v>3056</v>
      </c>
      <c r="AG210" s="1100">
        <f t="shared" si="37"/>
        <v>43724</v>
      </c>
      <c r="AH210" s="638">
        <f t="shared" si="38"/>
        <v>-11</v>
      </c>
      <c r="AI210" s="638" t="str">
        <f t="shared" si="39"/>
        <v>en término</v>
      </c>
    </row>
    <row r="211" spans="1:36" s="649" customFormat="1" ht="54.95" customHeight="1" thickBot="1" x14ac:dyDescent="0.25">
      <c r="B211" s="1022" t="s">
        <v>5433</v>
      </c>
      <c r="C211" s="1022" t="s">
        <v>5434</v>
      </c>
      <c r="D211" s="901" t="s">
        <v>6708</v>
      </c>
      <c r="E211" s="901"/>
      <c r="F211" s="913">
        <v>4200000131</v>
      </c>
      <c r="G211" s="889" t="s">
        <v>39</v>
      </c>
      <c r="H211" s="890">
        <v>12300</v>
      </c>
      <c r="I211" s="902"/>
      <c r="J211" s="892">
        <v>43642</v>
      </c>
      <c r="K211" s="893">
        <v>100</v>
      </c>
      <c r="L211" s="892">
        <f>+J211+K211</f>
        <v>43742</v>
      </c>
      <c r="M211" s="892" t="s">
        <v>5458</v>
      </c>
      <c r="N211" s="889" t="s">
        <v>4666</v>
      </c>
      <c r="O211" s="892">
        <v>43749</v>
      </c>
      <c r="P211" s="893">
        <f t="shared" si="34"/>
        <v>7</v>
      </c>
      <c r="Q211" s="901"/>
      <c r="R211" s="903"/>
      <c r="S211" s="904">
        <v>43749</v>
      </c>
      <c r="T211" s="894">
        <f>+S211+3</f>
        <v>43752</v>
      </c>
      <c r="U211" s="893">
        <f t="shared" si="35"/>
        <v>110</v>
      </c>
      <c r="V211" s="901" t="s">
        <v>2618</v>
      </c>
      <c r="W211" s="1106" t="s">
        <v>6818</v>
      </c>
      <c r="X211" s="905"/>
      <c r="Y211" s="905"/>
      <c r="Z211" s="889"/>
      <c r="AA211" s="889"/>
      <c r="AB211" s="892">
        <v>43781</v>
      </c>
      <c r="AC211" s="476"/>
      <c r="AD211" s="645" t="str">
        <f t="shared" si="36"/>
        <v>atrasado</v>
      </c>
      <c r="AE211" s="468"/>
      <c r="AF211" s="468" t="s">
        <v>3067</v>
      </c>
      <c r="AG211" s="1100">
        <f t="shared" si="37"/>
        <v>43809</v>
      </c>
      <c r="AH211" s="638">
        <f t="shared" si="38"/>
        <v>-28</v>
      </c>
      <c r="AI211" s="638" t="str">
        <f t="shared" si="39"/>
        <v>en término</v>
      </c>
    </row>
    <row r="212" spans="1:36" s="649" customFormat="1" ht="54.95" customHeight="1" thickBot="1" x14ac:dyDescent="0.25">
      <c r="B212" s="1022" t="s">
        <v>5433</v>
      </c>
      <c r="C212" s="1022" t="s">
        <v>5434</v>
      </c>
      <c r="D212" s="901" t="s">
        <v>6830</v>
      </c>
      <c r="E212" s="901"/>
      <c r="F212" s="913">
        <v>4200000150</v>
      </c>
      <c r="G212" s="889" t="s">
        <v>39</v>
      </c>
      <c r="H212" s="890">
        <v>3800</v>
      </c>
      <c r="I212" s="902"/>
      <c r="J212" s="892">
        <v>43774</v>
      </c>
      <c r="K212" s="893">
        <f>+L212-J212</f>
        <v>66</v>
      </c>
      <c r="L212" s="892">
        <v>43840</v>
      </c>
      <c r="M212" s="892" t="s">
        <v>124</v>
      </c>
      <c r="N212" s="889" t="s">
        <v>4666</v>
      </c>
      <c r="O212" s="892">
        <v>43819</v>
      </c>
      <c r="P212" s="893">
        <f>IF(S212="","",+S212-L212)</f>
        <v>-15</v>
      </c>
      <c r="Q212" s="901"/>
      <c r="R212" s="903"/>
      <c r="S212" s="904">
        <v>43825</v>
      </c>
      <c r="T212" s="894">
        <f>+S212+5</f>
        <v>43830</v>
      </c>
      <c r="U212" s="893">
        <f>IF(T212="","",+T212-J212)</f>
        <v>56</v>
      </c>
      <c r="V212" s="901" t="s">
        <v>2618</v>
      </c>
      <c r="W212" s="1106" t="s">
        <v>6911</v>
      </c>
      <c r="X212" s="905"/>
      <c r="Y212" s="905"/>
      <c r="Z212" s="889" t="s">
        <v>1676</v>
      </c>
      <c r="AA212" s="889"/>
      <c r="AB212" s="892">
        <v>43882</v>
      </c>
      <c r="AC212" s="476" t="s">
        <v>6837</v>
      </c>
      <c r="AD212" s="645" t="str">
        <f>IF(P212="","",IF(P212&lt;=0,"en término","atrasado"))</f>
        <v>en término</v>
      </c>
      <c r="AE212" s="468" t="s">
        <v>6910</v>
      </c>
      <c r="AF212" s="468" t="s">
        <v>2968</v>
      </c>
      <c r="AG212" s="1100">
        <f t="shared" si="37"/>
        <v>43885</v>
      </c>
      <c r="AH212" s="638">
        <f t="shared" si="38"/>
        <v>-3</v>
      </c>
      <c r="AI212" s="638" t="str">
        <f t="shared" si="39"/>
        <v>en término</v>
      </c>
    </row>
    <row r="217" spans="1:36" ht="12" thickBot="1" x14ac:dyDescent="0.25"/>
    <row r="218" spans="1:36" s="556" customFormat="1" ht="39.950000000000003" customHeight="1" thickBot="1" x14ac:dyDescent="0.4">
      <c r="B218" s="1611">
        <v>2020</v>
      </c>
      <c r="C218" s="1612"/>
      <c r="D218" s="1612"/>
      <c r="E218" s="1612"/>
      <c r="F218" s="1612"/>
      <c r="G218" s="1612"/>
      <c r="H218" s="1612"/>
      <c r="I218" s="1612"/>
      <c r="J218" s="1612"/>
      <c r="K218" s="1612"/>
      <c r="L218" s="1612"/>
      <c r="M218" s="1612"/>
      <c r="N218" s="1612"/>
      <c r="O218" s="1612"/>
      <c r="P218" s="1612"/>
      <c r="Q218" s="1612"/>
      <c r="R218" s="1612"/>
      <c r="S218" s="1612"/>
      <c r="T218" s="1612"/>
      <c r="U218" s="1612"/>
      <c r="V218" s="1612"/>
      <c r="W218" s="1612"/>
      <c r="X218" s="1612"/>
      <c r="Y218" s="1612"/>
      <c r="Z218" s="1612"/>
      <c r="AA218" s="1612"/>
      <c r="AB218" s="1612"/>
      <c r="AC218" s="1613"/>
    </row>
    <row r="219" spans="1:36" s="441" customFormat="1" ht="60" customHeight="1" thickBot="1" x14ac:dyDescent="0.25">
      <c r="A219" s="438"/>
      <c r="B219" s="451" t="s">
        <v>130</v>
      </c>
      <c r="C219" s="451" t="s">
        <v>4</v>
      </c>
      <c r="D219" s="451" t="s">
        <v>5</v>
      </c>
      <c r="E219" s="451" t="s">
        <v>6</v>
      </c>
      <c r="F219" s="451" t="s">
        <v>7</v>
      </c>
      <c r="G219" s="451" t="s">
        <v>8</v>
      </c>
      <c r="H219" s="453" t="s">
        <v>9</v>
      </c>
      <c r="I219" s="453" t="s">
        <v>10</v>
      </c>
      <c r="J219" s="451" t="s">
        <v>11</v>
      </c>
      <c r="K219" s="451" t="s">
        <v>12</v>
      </c>
      <c r="L219" s="451" t="s">
        <v>13</v>
      </c>
      <c r="M219" s="451" t="s">
        <v>14</v>
      </c>
      <c r="N219" s="451" t="s">
        <v>15</v>
      </c>
      <c r="O219" s="452" t="s">
        <v>16</v>
      </c>
      <c r="P219" s="454" t="s">
        <v>17</v>
      </c>
      <c r="Q219" s="451" t="s">
        <v>18</v>
      </c>
      <c r="R219" s="452" t="s">
        <v>19</v>
      </c>
      <c r="S219" s="451" t="s">
        <v>20</v>
      </c>
      <c r="T219" s="451" t="s">
        <v>21</v>
      </c>
      <c r="U219" s="452" t="s">
        <v>22</v>
      </c>
      <c r="V219" s="451" t="s">
        <v>131</v>
      </c>
      <c r="W219" s="451" t="s">
        <v>24</v>
      </c>
      <c r="X219" s="451" t="s">
        <v>132</v>
      </c>
      <c r="Y219" s="451" t="s">
        <v>26</v>
      </c>
      <c r="Z219" s="451" t="s">
        <v>27</v>
      </c>
      <c r="AA219" s="451" t="s">
        <v>28</v>
      </c>
      <c r="AB219" s="451" t="s">
        <v>29</v>
      </c>
      <c r="AC219" s="451" t="s">
        <v>30</v>
      </c>
      <c r="AD219" s="439"/>
      <c r="AE219" s="440"/>
      <c r="AF219" s="440"/>
      <c r="AG219" s="440"/>
      <c r="AH219" s="440"/>
      <c r="AI219" s="440"/>
      <c r="AJ219" s="440"/>
    </row>
    <row r="220" spans="1:36" s="649" customFormat="1" ht="54.95" customHeight="1" thickBot="1" x14ac:dyDescent="0.25">
      <c r="B220" s="1022" t="s">
        <v>5433</v>
      </c>
      <c r="C220" s="1022" t="s">
        <v>5434</v>
      </c>
      <c r="D220" s="901" t="s">
        <v>6895</v>
      </c>
      <c r="E220" s="901"/>
      <c r="F220" s="913">
        <v>4200000156</v>
      </c>
      <c r="G220" s="889" t="s">
        <v>39</v>
      </c>
      <c r="H220" s="890">
        <v>23270</v>
      </c>
      <c r="I220" s="902"/>
      <c r="J220" s="892">
        <v>43817</v>
      </c>
      <c r="K220" s="893">
        <f>+L220-J220</f>
        <v>72</v>
      </c>
      <c r="L220" s="892">
        <v>43889</v>
      </c>
      <c r="M220" s="892" t="s">
        <v>124</v>
      </c>
      <c r="N220" s="889" t="s">
        <v>4666</v>
      </c>
      <c r="O220" s="892">
        <v>43889</v>
      </c>
      <c r="P220" s="893">
        <f>IF(S220="","",+S220-L220)</f>
        <v>7</v>
      </c>
      <c r="Q220" s="901"/>
      <c r="R220" s="903"/>
      <c r="S220" s="904">
        <v>43896</v>
      </c>
      <c r="T220" s="894">
        <f>+S220+10</f>
        <v>43906</v>
      </c>
      <c r="U220" s="893">
        <f>IF(T220="","",+T220-J220)</f>
        <v>89</v>
      </c>
      <c r="V220" s="901" t="s">
        <v>7108</v>
      </c>
      <c r="W220" s="1106" t="s">
        <v>6938</v>
      </c>
      <c r="X220" s="905"/>
      <c r="Y220" s="905"/>
      <c r="Z220" s="889"/>
      <c r="AA220" s="889"/>
      <c r="AB220" s="892">
        <v>43959</v>
      </c>
      <c r="AC220" s="476" t="s">
        <v>6896</v>
      </c>
      <c r="AD220" s="645" t="str">
        <f>IF(P220="","",IF(P220&lt;=0,"en término","atrasado"))</f>
        <v>atrasado</v>
      </c>
      <c r="AE220" s="468" t="s">
        <v>7018</v>
      </c>
      <c r="AF220" s="468" t="s">
        <v>3846</v>
      </c>
      <c r="AG220" s="1100">
        <f>+S220+60</f>
        <v>43956</v>
      </c>
      <c r="AH220" s="638">
        <f>IF(AB220="","",+AB220-AG220)</f>
        <v>3</v>
      </c>
      <c r="AI220" s="638" t="str">
        <f>IF(AH220="","",IF(AH220&lt;=0,"en término","atrasado"))</f>
        <v>atrasado</v>
      </c>
    </row>
    <row r="221" spans="1:36" s="638" customFormat="1" ht="54.95" customHeight="1" thickBot="1" x14ac:dyDescent="0.25">
      <c r="B221" s="1079" t="s">
        <v>5433</v>
      </c>
      <c r="C221" s="1079" t="s">
        <v>5456</v>
      </c>
      <c r="D221" s="1080" t="s">
        <v>6805</v>
      </c>
      <c r="E221" s="1080"/>
      <c r="F221" s="1081">
        <v>4500280173</v>
      </c>
      <c r="G221" s="1082" t="s">
        <v>39</v>
      </c>
      <c r="H221" s="1083">
        <v>355</v>
      </c>
      <c r="I221" s="1084"/>
      <c r="J221" s="1085">
        <v>43737</v>
      </c>
      <c r="K221" s="1086">
        <f>+L221-J221</f>
        <v>80</v>
      </c>
      <c r="L221" s="1085">
        <v>43817</v>
      </c>
      <c r="M221" s="1085" t="s">
        <v>124</v>
      </c>
      <c r="N221" s="1082" t="s">
        <v>4666</v>
      </c>
      <c r="O221" s="1087">
        <v>43798</v>
      </c>
      <c r="P221" s="1088">
        <f>IF(S221="","",+S221-L221)</f>
        <v>-14</v>
      </c>
      <c r="Q221" s="1089"/>
      <c r="R221" s="1090">
        <v>43803</v>
      </c>
      <c r="S221" s="1091">
        <v>43803</v>
      </c>
      <c r="T221" s="1092">
        <f>+S221+5</f>
        <v>43808</v>
      </c>
      <c r="U221" s="1086">
        <f>IF(T221="","",+T221-J221)</f>
        <v>71</v>
      </c>
      <c r="V221" s="1080" t="s">
        <v>2618</v>
      </c>
      <c r="W221" s="1108" t="s">
        <v>6884</v>
      </c>
      <c r="X221" s="1093"/>
      <c r="Y221" s="1093"/>
      <c r="Z221" s="1082"/>
      <c r="AA221" s="1082"/>
      <c r="AB221" s="1094" t="str">
        <f ca="1">IF(S221="","",IF('o.c.'!$Z$1&lt;(S221+30),(S221+30),"VENCIDA"))</f>
        <v>VENCIDA</v>
      </c>
      <c r="AC221" s="1095" t="s">
        <v>6836</v>
      </c>
      <c r="AD221" s="646" t="str">
        <f>IF(P221="","",IF(P221&lt;=0,"en término","atrasado"))</f>
        <v>en término</v>
      </c>
      <c r="AE221" s="468" t="s">
        <v>6909</v>
      </c>
      <c r="AF221" s="468" t="s">
        <v>3082</v>
      </c>
      <c r="AG221" s="1100">
        <f>+S221+60</f>
        <v>43863</v>
      </c>
      <c r="AH221" s="638" t="e">
        <f ca="1">IF(AB221="","",+AB221-AG221)</f>
        <v>#VALUE!</v>
      </c>
      <c r="AI221" s="638" t="e">
        <f ca="1">IF(AH221="","",IF(AH221&lt;=0,"en término","atrasado"))</f>
        <v>#VALUE!</v>
      </c>
    </row>
  </sheetData>
  <mergeCells count="14">
    <mergeCell ref="B218:AC218"/>
    <mergeCell ref="B79:AC79"/>
    <mergeCell ref="B181:AC181"/>
    <mergeCell ref="B5:AC5"/>
    <mergeCell ref="B17:AC17"/>
    <mergeCell ref="B27:AC27"/>
    <mergeCell ref="B40:AC40"/>
    <mergeCell ref="B170:AC170"/>
    <mergeCell ref="B62:AC62"/>
    <mergeCell ref="B204:AC204"/>
    <mergeCell ref="B194:AC194"/>
    <mergeCell ref="B150:AC150"/>
    <mergeCell ref="B126:AC126"/>
    <mergeCell ref="B100:AC100"/>
  </mergeCells>
  <phoneticPr fontId="0" type="noConversion"/>
  <printOptions horizontalCentered="1"/>
  <pageMargins left="0.19685039370078741" right="0.74803149606299213" top="0.19685039370078741" bottom="0.6692913385826772" header="0.39370078740157483" footer="0.19685039370078741"/>
  <pageSetup paperSize="5" scale="35" orientation="landscape" r:id="rId1"/>
  <headerFooter alignWithMargins="0">
    <oddFooter>&amp;LBNDF 3.1085 Rev. _ 3/11/00&amp;CINFORME O/C ENTREGADAS
- &amp;D&amp;R&amp;"Tahoma,Normal"&amp;9&amp;A &amp;P de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6"/>
  <dimension ref="A1:AJ103"/>
  <sheetViews>
    <sheetView topLeftCell="H96"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30" width="11.42578125" style="2"/>
    <col min="31" max="31" width="16.5703125" style="2" customWidth="1"/>
    <col min="32" max="16384" width="11.42578125" style="2"/>
  </cols>
  <sheetData>
    <row r="1" spans="1:36" ht="25.5" x14ac:dyDescent="0.35">
      <c r="B1" s="558" t="s">
        <v>126</v>
      </c>
      <c r="Z1" s="945" t="s">
        <v>127</v>
      </c>
      <c r="AA1" s="1058">
        <f ca="1">TODAY()</f>
        <v>45457</v>
      </c>
      <c r="AB1" s="1058"/>
    </row>
    <row r="2" spans="1:36" ht="23.25" x14ac:dyDescent="0.35">
      <c r="B2" s="559" t="s">
        <v>128</v>
      </c>
    </row>
    <row r="3" spans="1:36" ht="6" customHeight="1" x14ac:dyDescent="0.2"/>
    <row r="4" spans="1:36" ht="12" thickBot="1" x14ac:dyDescent="0.25"/>
    <row r="5" spans="1:36" s="556" customFormat="1" ht="39.950000000000003" customHeight="1" thickBot="1" x14ac:dyDescent="0.4">
      <c r="B5" s="1611">
        <v>2009</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587" customFormat="1" ht="54.95" customHeight="1" thickBot="1" x14ac:dyDescent="0.25">
      <c r="A7" s="584"/>
      <c r="B7" s="455" t="s">
        <v>5697</v>
      </c>
      <c r="C7" s="455" t="s">
        <v>5698</v>
      </c>
      <c r="D7" s="456" t="s">
        <v>5699</v>
      </c>
      <c r="E7" s="456"/>
      <c r="F7" s="457" t="s">
        <v>5700</v>
      </c>
      <c r="G7" s="457" t="s">
        <v>4299</v>
      </c>
      <c r="H7" s="458">
        <v>5860</v>
      </c>
      <c r="I7" s="459" t="s">
        <v>5701</v>
      </c>
      <c r="J7" s="460">
        <v>40073</v>
      </c>
      <c r="K7" s="461">
        <v>7</v>
      </c>
      <c r="L7" s="462">
        <f>+J7+K7</f>
        <v>40080</v>
      </c>
      <c r="M7" s="459" t="s">
        <v>124</v>
      </c>
      <c r="N7" s="457" t="s">
        <v>110</v>
      </c>
      <c r="O7" s="460">
        <v>40078</v>
      </c>
      <c r="P7" s="461">
        <f>IF(S7="","",+S7-L7)</f>
        <v>4</v>
      </c>
      <c r="Q7" s="591"/>
      <c r="R7" s="460"/>
      <c r="S7" s="471">
        <v>40084</v>
      </c>
      <c r="T7" s="471">
        <v>40090</v>
      </c>
      <c r="U7" s="461">
        <f>IF(T7="","",+T7-J7)</f>
        <v>17</v>
      </c>
      <c r="V7" s="468" t="s">
        <v>5702</v>
      </c>
      <c r="W7" s="457">
        <v>425</v>
      </c>
      <c r="X7" s="592"/>
      <c r="Y7" s="467"/>
      <c r="Z7" s="468" t="s">
        <v>5703</v>
      </c>
      <c r="AA7" s="456" t="s">
        <v>5704</v>
      </c>
      <c r="AB7" s="460" t="s">
        <v>3717</v>
      </c>
      <c r="AC7" s="470"/>
      <c r="AD7" s="645" t="str">
        <f>IF(P7="","",IF(P7&lt;=0,"en término","atrasado"))</f>
        <v>atrasado</v>
      </c>
      <c r="AE7" s="645"/>
    </row>
    <row r="8" spans="1:36" s="587" customFormat="1" ht="57.6" customHeight="1" thickBot="1" x14ac:dyDescent="0.25">
      <c r="A8" s="584"/>
      <c r="B8" s="1043" t="s">
        <v>5697</v>
      </c>
      <c r="C8" s="1043" t="s">
        <v>5705</v>
      </c>
      <c r="D8" s="1044" t="s">
        <v>5706</v>
      </c>
      <c r="E8" s="1044"/>
      <c r="F8" s="659" t="s">
        <v>5707</v>
      </c>
      <c r="G8" s="1028" t="s">
        <v>39</v>
      </c>
      <c r="H8" s="1029">
        <v>10266</v>
      </c>
      <c r="I8" s="611" t="s">
        <v>5708</v>
      </c>
      <c r="J8" s="1032">
        <v>40100</v>
      </c>
      <c r="K8" s="1041">
        <v>15</v>
      </c>
      <c r="L8" s="641">
        <f>+J8+K8</f>
        <v>40115</v>
      </c>
      <c r="M8" s="1033" t="s">
        <v>124</v>
      </c>
      <c r="N8" s="1028" t="s">
        <v>42</v>
      </c>
      <c r="O8" s="1032">
        <v>40109</v>
      </c>
      <c r="P8" s="1041">
        <v>0</v>
      </c>
      <c r="Q8" s="1034"/>
      <c r="R8" s="1032"/>
      <c r="S8" s="642">
        <v>40138</v>
      </c>
      <c r="T8" s="642">
        <v>40163</v>
      </c>
      <c r="U8" s="1041">
        <f>IF(T8="","",+T8-J8)</f>
        <v>63</v>
      </c>
      <c r="V8" s="446" t="s">
        <v>752</v>
      </c>
      <c r="W8" s="1028">
        <v>431</v>
      </c>
      <c r="X8" s="1037"/>
      <c r="Y8" s="643"/>
      <c r="Z8" s="446">
        <v>9005003125</v>
      </c>
      <c r="AA8" s="1044" t="s">
        <v>5709</v>
      </c>
      <c r="AB8" s="1039" t="s">
        <v>5710</v>
      </c>
      <c r="AC8" s="644" t="s">
        <v>5711</v>
      </c>
      <c r="AD8" s="645" t="str">
        <f>IF(P8="","",IF(P8&lt;=0,"en término","atrasado"))</f>
        <v>en término</v>
      </c>
    </row>
    <row r="9" spans="1:36" s="587" customFormat="1" ht="57.6" customHeight="1" thickBot="1" x14ac:dyDescent="0.25">
      <c r="A9" s="584"/>
      <c r="B9" s="1043" t="s">
        <v>5697</v>
      </c>
      <c r="C9" s="1043" t="s">
        <v>5705</v>
      </c>
      <c r="D9" s="1044" t="s">
        <v>5712</v>
      </c>
      <c r="E9" s="1044"/>
      <c r="F9" s="659" t="s">
        <v>5713</v>
      </c>
      <c r="G9" s="1028" t="s">
        <v>39</v>
      </c>
      <c r="H9" s="1029">
        <v>280</v>
      </c>
      <c r="I9" s="1033" t="s">
        <v>5701</v>
      </c>
      <c r="J9" s="1032">
        <v>40119</v>
      </c>
      <c r="K9" s="1041">
        <v>1</v>
      </c>
      <c r="L9" s="641">
        <f>+J9+K9</f>
        <v>40120</v>
      </c>
      <c r="M9" s="1033" t="s">
        <v>124</v>
      </c>
      <c r="N9" s="1028" t="s">
        <v>110</v>
      </c>
      <c r="O9" s="1032">
        <v>40119</v>
      </c>
      <c r="P9" s="1041">
        <v>0</v>
      </c>
      <c r="Q9" s="1034"/>
      <c r="R9" s="1032"/>
      <c r="S9" s="642">
        <v>40120</v>
      </c>
      <c r="T9" s="642">
        <f>+S9+3</f>
        <v>40123</v>
      </c>
      <c r="U9" s="1041">
        <f>IF(T9="","",+T9-J9)</f>
        <v>4</v>
      </c>
      <c r="V9" s="446" t="s">
        <v>5714</v>
      </c>
      <c r="W9" s="1028">
        <v>433</v>
      </c>
      <c r="X9" s="1037"/>
      <c r="Y9" s="643"/>
      <c r="Z9" s="446" t="s">
        <v>5715</v>
      </c>
      <c r="AA9" s="1044" t="s">
        <v>5527</v>
      </c>
      <c r="AB9" s="1039" t="s">
        <v>5716</v>
      </c>
      <c r="AC9" s="644" t="s">
        <v>5717</v>
      </c>
      <c r="AD9" s="645" t="str">
        <f>IF(P9="","",IF(P9&lt;=0,"en término","atrasado"))</f>
        <v>en término</v>
      </c>
    </row>
    <row r="10" spans="1:36" s="587" customFormat="1" ht="57.6" customHeight="1" thickBot="1" x14ac:dyDescent="0.25">
      <c r="A10" s="584"/>
      <c r="B10" s="455" t="s">
        <v>5697</v>
      </c>
      <c r="C10" s="455" t="s">
        <v>5705</v>
      </c>
      <c r="D10" s="456" t="s">
        <v>5718</v>
      </c>
      <c r="E10" s="456"/>
      <c r="F10" s="493" t="s">
        <v>5719</v>
      </c>
      <c r="G10" s="457" t="s">
        <v>39</v>
      </c>
      <c r="H10" s="458">
        <v>250</v>
      </c>
      <c r="I10" s="459" t="s">
        <v>5701</v>
      </c>
      <c r="J10" s="460">
        <v>40129</v>
      </c>
      <c r="K10" s="461">
        <v>1</v>
      </c>
      <c r="L10" s="462">
        <f>+J10+K10</f>
        <v>40130</v>
      </c>
      <c r="M10" s="459" t="s">
        <v>124</v>
      </c>
      <c r="N10" s="457" t="s">
        <v>110</v>
      </c>
      <c r="O10" s="460">
        <v>40129</v>
      </c>
      <c r="P10" s="461">
        <v>0</v>
      </c>
      <c r="Q10" s="591" t="s">
        <v>5720</v>
      </c>
      <c r="R10" s="460"/>
      <c r="S10" s="471">
        <v>40130</v>
      </c>
      <c r="T10" s="471">
        <f>+S10+1</f>
        <v>40131</v>
      </c>
      <c r="U10" s="461">
        <f>IF(T10="","",+T10-J10)</f>
        <v>2</v>
      </c>
      <c r="V10" s="468" t="s">
        <v>5721</v>
      </c>
      <c r="W10" s="457">
        <v>439</v>
      </c>
      <c r="X10" s="592"/>
      <c r="Y10" s="467"/>
      <c r="Z10" s="468" t="s">
        <v>1676</v>
      </c>
      <c r="AA10" s="456" t="s">
        <v>47</v>
      </c>
      <c r="AB10" s="589" t="s">
        <v>5722</v>
      </c>
      <c r="AC10" s="470"/>
      <c r="AD10" s="645" t="str">
        <f>IF(P10="","",IF(P10&lt;=0,"en término","atrasado"))</f>
        <v>en término</v>
      </c>
    </row>
    <row r="11" spans="1:36" s="587" customFormat="1" ht="57.6" customHeight="1" thickBot="1" x14ac:dyDescent="0.25">
      <c r="A11" s="584"/>
      <c r="B11" s="455" t="s">
        <v>5697</v>
      </c>
      <c r="C11" s="455" t="s">
        <v>5705</v>
      </c>
      <c r="D11" s="456" t="s">
        <v>5723</v>
      </c>
      <c r="E11" s="456"/>
      <c r="F11" s="493" t="s">
        <v>5724</v>
      </c>
      <c r="G11" s="457" t="s">
        <v>39</v>
      </c>
      <c r="H11" s="458">
        <v>19384</v>
      </c>
      <c r="I11" s="611" t="s">
        <v>5708</v>
      </c>
      <c r="J11" s="460">
        <v>40127</v>
      </c>
      <c r="K11" s="461">
        <v>15</v>
      </c>
      <c r="L11" s="462">
        <f>+J11+K11</f>
        <v>40142</v>
      </c>
      <c r="M11" s="459" t="s">
        <v>124</v>
      </c>
      <c r="N11" s="457" t="s">
        <v>42</v>
      </c>
      <c r="O11" s="460">
        <v>40130</v>
      </c>
      <c r="P11" s="461">
        <v>0</v>
      </c>
      <c r="Q11" s="591"/>
      <c r="R11" s="460"/>
      <c r="S11" s="471">
        <v>40138</v>
      </c>
      <c r="T11" s="471">
        <v>40163</v>
      </c>
      <c r="U11" s="461">
        <f>IF(T11="","",+T11-J11)</f>
        <v>36</v>
      </c>
      <c r="V11" s="468" t="s">
        <v>1832</v>
      </c>
      <c r="W11" s="457">
        <v>440</v>
      </c>
      <c r="X11" s="592"/>
      <c r="Y11" s="467"/>
      <c r="Z11" s="468">
        <v>9005003125</v>
      </c>
      <c r="AA11" s="456" t="s">
        <v>5709</v>
      </c>
      <c r="AB11" s="589" t="s">
        <v>5725</v>
      </c>
      <c r="AC11" s="470" t="s">
        <v>5726</v>
      </c>
      <c r="AD11" s="645" t="str">
        <f>IF(P11="","",IF(P11&lt;=0,"en término","atrasado"))</f>
        <v>en término</v>
      </c>
    </row>
    <row r="17" spans="1:36" ht="12" thickBot="1" x14ac:dyDescent="0.25"/>
    <row r="18" spans="1:36" s="556" customFormat="1" ht="39.950000000000003" customHeight="1" thickBot="1" x14ac:dyDescent="0.4">
      <c r="B18" s="1611">
        <v>2010</v>
      </c>
      <c r="C18" s="1612"/>
      <c r="D18" s="1612"/>
      <c r="E18" s="1612"/>
      <c r="F18" s="1612"/>
      <c r="G18" s="1612"/>
      <c r="H18" s="1612"/>
      <c r="I18" s="1612"/>
      <c r="J18" s="1612"/>
      <c r="K18" s="1612"/>
      <c r="L18" s="1612"/>
      <c r="M18" s="1612"/>
      <c r="N18" s="1612"/>
      <c r="O18" s="1612"/>
      <c r="P18" s="1612"/>
      <c r="Q18" s="1612"/>
      <c r="R18" s="1612"/>
      <c r="S18" s="1612"/>
      <c r="T18" s="1612"/>
      <c r="U18" s="1612"/>
      <c r="V18" s="1612"/>
      <c r="W18" s="1612"/>
      <c r="X18" s="1612"/>
      <c r="Y18" s="1612"/>
      <c r="Z18" s="1612"/>
      <c r="AA18" s="1612"/>
      <c r="AB18" s="1612"/>
      <c r="AC18" s="1613"/>
    </row>
    <row r="19" spans="1:36" s="441" customFormat="1" ht="60" customHeight="1" thickBot="1" x14ac:dyDescent="0.25">
      <c r="A19" s="438"/>
      <c r="B19" s="451" t="s">
        <v>130</v>
      </c>
      <c r="C19" s="451" t="s">
        <v>4</v>
      </c>
      <c r="D19" s="451" t="s">
        <v>5</v>
      </c>
      <c r="E19" s="451" t="s">
        <v>6</v>
      </c>
      <c r="F19" s="451" t="s">
        <v>7</v>
      </c>
      <c r="G19" s="451" t="s">
        <v>8</v>
      </c>
      <c r="H19" s="453" t="s">
        <v>9</v>
      </c>
      <c r="I19" s="453" t="s">
        <v>10</v>
      </c>
      <c r="J19" s="451" t="s">
        <v>11</v>
      </c>
      <c r="K19" s="451" t="s">
        <v>12</v>
      </c>
      <c r="L19" s="451" t="s">
        <v>13</v>
      </c>
      <c r="M19" s="451" t="s">
        <v>14</v>
      </c>
      <c r="N19" s="451" t="s">
        <v>15</v>
      </c>
      <c r="O19" s="452" t="s">
        <v>16</v>
      </c>
      <c r="P19" s="454" t="s">
        <v>17</v>
      </c>
      <c r="Q19" s="451" t="s">
        <v>18</v>
      </c>
      <c r="R19" s="452" t="s">
        <v>19</v>
      </c>
      <c r="S19" s="451" t="s">
        <v>20</v>
      </c>
      <c r="T19" s="451" t="s">
        <v>21</v>
      </c>
      <c r="U19" s="452" t="s">
        <v>22</v>
      </c>
      <c r="V19" s="451" t="s">
        <v>131</v>
      </c>
      <c r="W19" s="451" t="s">
        <v>24</v>
      </c>
      <c r="X19" s="451" t="s">
        <v>132</v>
      </c>
      <c r="Y19" s="451" t="s">
        <v>26</v>
      </c>
      <c r="Z19" s="451" t="s">
        <v>27</v>
      </c>
      <c r="AA19" s="451" t="s">
        <v>28</v>
      </c>
      <c r="AB19" s="451" t="s">
        <v>29</v>
      </c>
      <c r="AC19" s="451" t="s">
        <v>30</v>
      </c>
      <c r="AD19" s="439"/>
      <c r="AE19" s="440"/>
      <c r="AF19" s="440"/>
      <c r="AG19" s="440"/>
      <c r="AH19" s="440"/>
      <c r="AI19" s="440"/>
      <c r="AJ19" s="440"/>
    </row>
    <row r="20" spans="1:36" s="587" customFormat="1" ht="54.95" customHeight="1" thickBot="1" x14ac:dyDescent="0.25">
      <c r="A20" s="584"/>
      <c r="B20" s="1043" t="s">
        <v>5697</v>
      </c>
      <c r="C20" s="1043" t="s">
        <v>5698</v>
      </c>
      <c r="D20" s="1044" t="s">
        <v>5727</v>
      </c>
      <c r="E20" s="1044"/>
      <c r="F20" s="1028" t="s">
        <v>5728</v>
      </c>
      <c r="G20" s="1028" t="s">
        <v>4633</v>
      </c>
      <c r="H20" s="1029">
        <v>1830.92</v>
      </c>
      <c r="I20" s="640" t="s">
        <v>5701</v>
      </c>
      <c r="J20" s="1032">
        <v>40310</v>
      </c>
      <c r="K20" s="1041">
        <v>14</v>
      </c>
      <c r="L20" s="641">
        <f>+J20+K20</f>
        <v>40324</v>
      </c>
      <c r="M20" s="640" t="s">
        <v>124</v>
      </c>
      <c r="N20" s="446" t="s">
        <v>110</v>
      </c>
      <c r="O20" s="1032">
        <v>40326</v>
      </c>
      <c r="P20" s="1041">
        <f>IF(S20="","",+S20-L20)</f>
        <v>6</v>
      </c>
      <c r="Q20" s="1041"/>
      <c r="R20" s="1032">
        <v>40330</v>
      </c>
      <c r="S20" s="642">
        <v>40330</v>
      </c>
      <c r="T20" s="642">
        <v>40337</v>
      </c>
      <c r="U20" s="1041">
        <f>IF(T20="","",+T20-J20)</f>
        <v>27</v>
      </c>
      <c r="V20" s="446" t="s">
        <v>2183</v>
      </c>
      <c r="W20" s="659" t="s">
        <v>2458</v>
      </c>
      <c r="X20" s="643"/>
      <c r="Y20" s="643"/>
      <c r="Z20" s="446" t="s">
        <v>5729</v>
      </c>
      <c r="AA20" s="1044" t="s">
        <v>47</v>
      </c>
      <c r="AB20" s="1032" t="s">
        <v>5730</v>
      </c>
      <c r="AC20" s="644" t="s">
        <v>5731</v>
      </c>
      <c r="AD20" s="645" t="str">
        <f>IF(P20="","",IF(P20&lt;=0,"en término","atrasado"))</f>
        <v>atrasado</v>
      </c>
    </row>
    <row r="21" spans="1:36" s="587" customFormat="1" ht="54.95" customHeight="1" thickBot="1" x14ac:dyDescent="0.25">
      <c r="A21" s="584"/>
      <c r="B21" s="1043" t="s">
        <v>5697</v>
      </c>
      <c r="C21" s="1043" t="s">
        <v>5698</v>
      </c>
      <c r="D21" s="1044" t="s">
        <v>5732</v>
      </c>
      <c r="E21" s="1044"/>
      <c r="F21" s="1028" t="s">
        <v>5733</v>
      </c>
      <c r="G21" s="1028" t="s">
        <v>1535</v>
      </c>
      <c r="H21" s="1029">
        <v>147888.79999999999</v>
      </c>
      <c r="I21" s="640" t="s">
        <v>5701</v>
      </c>
      <c r="J21" s="1032">
        <v>40329</v>
      </c>
      <c r="K21" s="1041">
        <v>60</v>
      </c>
      <c r="L21" s="641">
        <f>+J21+K21</f>
        <v>40389</v>
      </c>
      <c r="M21" s="640" t="s">
        <v>124</v>
      </c>
      <c r="N21" s="446" t="s">
        <v>1750</v>
      </c>
      <c r="O21" s="1032">
        <v>40403</v>
      </c>
      <c r="P21" s="1041">
        <f>IF(S21="","",+S21-L21)</f>
        <v>38</v>
      </c>
      <c r="Q21" s="1034" t="s">
        <v>5734</v>
      </c>
      <c r="R21" s="1032">
        <v>40415</v>
      </c>
      <c r="S21" s="642">
        <v>40427</v>
      </c>
      <c r="T21" s="642">
        <f>+S21+30</f>
        <v>40457</v>
      </c>
      <c r="U21" s="1041">
        <f>IF(T21="","",+T21-J21)</f>
        <v>128</v>
      </c>
      <c r="V21" s="446" t="s">
        <v>5735</v>
      </c>
      <c r="W21" s="659" t="s">
        <v>2832</v>
      </c>
      <c r="X21" s="643"/>
      <c r="Y21" s="643"/>
      <c r="Z21" s="446">
        <v>2192839036</v>
      </c>
      <c r="AA21" s="1027" t="s">
        <v>5736</v>
      </c>
      <c r="AB21" s="1032" t="s">
        <v>2264</v>
      </c>
      <c r="AC21" s="644" t="s">
        <v>5737</v>
      </c>
      <c r="AD21" s="645" t="str">
        <f>IF(P21="","",IF(P21&lt;=0,"en término","atrasado"))</f>
        <v>atrasado</v>
      </c>
    </row>
    <row r="22" spans="1:36" s="587" customFormat="1" ht="54.95" customHeight="1" thickBot="1" x14ac:dyDescent="0.25">
      <c r="A22" s="584"/>
      <c r="B22" s="455" t="s">
        <v>5697</v>
      </c>
      <c r="C22" s="455" t="s">
        <v>5698</v>
      </c>
      <c r="D22" s="456" t="s">
        <v>5738</v>
      </c>
      <c r="E22" s="456"/>
      <c r="F22" s="457" t="s">
        <v>5739</v>
      </c>
      <c r="G22" s="457" t="s">
        <v>1535</v>
      </c>
      <c r="H22" s="458">
        <v>95029.7</v>
      </c>
      <c r="I22" s="611" t="s">
        <v>5701</v>
      </c>
      <c r="J22" s="460">
        <v>40431</v>
      </c>
      <c r="K22" s="461">
        <v>60</v>
      </c>
      <c r="L22" s="462">
        <f>+J22+K22</f>
        <v>40491</v>
      </c>
      <c r="M22" s="611" t="s">
        <v>124</v>
      </c>
      <c r="N22" s="468" t="s">
        <v>1750</v>
      </c>
      <c r="O22" s="460">
        <v>40484</v>
      </c>
      <c r="P22" s="461">
        <f>IF(S22="","",+S22-L22)</f>
        <v>3</v>
      </c>
      <c r="Q22" s="591" t="s">
        <v>5740</v>
      </c>
      <c r="R22" s="460">
        <v>40491</v>
      </c>
      <c r="S22" s="471">
        <v>40494</v>
      </c>
      <c r="T22" s="471">
        <f>+S22+30</f>
        <v>40524</v>
      </c>
      <c r="U22" s="461">
        <f>IF(T22="","",+T22-J22)</f>
        <v>93</v>
      </c>
      <c r="V22" s="468" t="s">
        <v>5741</v>
      </c>
      <c r="W22" s="493">
        <v>103</v>
      </c>
      <c r="X22" s="467"/>
      <c r="Y22" s="467"/>
      <c r="Z22" s="468">
        <v>3109968260</v>
      </c>
      <c r="AA22" s="456" t="s">
        <v>2850</v>
      </c>
      <c r="AB22" s="460" t="s">
        <v>2238</v>
      </c>
      <c r="AC22" s="470" t="s">
        <v>5742</v>
      </c>
      <c r="AD22" s="645" t="str">
        <f>IF(P22="","",IF(P22&lt;=0,"en término","atrasado"))</f>
        <v>atrasado</v>
      </c>
    </row>
    <row r="23" spans="1:36" x14ac:dyDescent="0.2">
      <c r="H23" s="223"/>
    </row>
    <row r="24" spans="1:36" x14ac:dyDescent="0.2">
      <c r="H24" s="223"/>
    </row>
    <row r="25" spans="1:36" ht="12" thickBot="1" x14ac:dyDescent="0.25"/>
    <row r="26" spans="1:36" s="556" customFormat="1" ht="39.950000000000003" customHeight="1" thickBot="1" x14ac:dyDescent="0.4">
      <c r="B26" s="1611">
        <v>2011</v>
      </c>
      <c r="C26" s="1612"/>
      <c r="D26" s="1612"/>
      <c r="E26" s="1612"/>
      <c r="F26" s="1612"/>
      <c r="G26" s="1612"/>
      <c r="H26" s="1612"/>
      <c r="I26" s="1612"/>
      <c r="J26" s="1612"/>
      <c r="K26" s="1612"/>
      <c r="L26" s="1612"/>
      <c r="M26" s="1612"/>
      <c r="N26" s="1612"/>
      <c r="O26" s="1612"/>
      <c r="P26" s="1612"/>
      <c r="Q26" s="1612"/>
      <c r="R26" s="1612"/>
      <c r="S26" s="1612"/>
      <c r="T26" s="1612"/>
      <c r="U26" s="1612"/>
      <c r="V26" s="1612"/>
      <c r="W26" s="1612"/>
      <c r="X26" s="1612"/>
      <c r="Y26" s="1612"/>
      <c r="Z26" s="1612"/>
      <c r="AA26" s="1612"/>
      <c r="AB26" s="1612"/>
      <c r="AC26" s="1613"/>
    </row>
    <row r="27" spans="1:36" s="441" customFormat="1" ht="60" customHeight="1" thickBot="1" x14ac:dyDescent="0.25">
      <c r="A27" s="438"/>
      <c r="B27" s="451" t="s">
        <v>130</v>
      </c>
      <c r="C27" s="451" t="s">
        <v>4</v>
      </c>
      <c r="D27" s="451" t="s">
        <v>5</v>
      </c>
      <c r="E27" s="451" t="s">
        <v>6</v>
      </c>
      <c r="F27" s="451" t="s">
        <v>7</v>
      </c>
      <c r="G27" s="451" t="s">
        <v>8</v>
      </c>
      <c r="H27" s="453" t="s">
        <v>9</v>
      </c>
      <c r="I27" s="453" t="s">
        <v>10</v>
      </c>
      <c r="J27" s="451" t="s">
        <v>11</v>
      </c>
      <c r="K27" s="451" t="s">
        <v>12</v>
      </c>
      <c r="L27" s="451" t="s">
        <v>13</v>
      </c>
      <c r="M27" s="451" t="s">
        <v>14</v>
      </c>
      <c r="N27" s="451" t="s">
        <v>15</v>
      </c>
      <c r="O27" s="452" t="s">
        <v>16</v>
      </c>
      <c r="P27" s="454" t="s">
        <v>17</v>
      </c>
      <c r="Q27" s="451" t="s">
        <v>18</v>
      </c>
      <c r="R27" s="452" t="s">
        <v>19</v>
      </c>
      <c r="S27" s="451" t="s">
        <v>20</v>
      </c>
      <c r="T27" s="451" t="s">
        <v>21</v>
      </c>
      <c r="U27" s="452" t="s">
        <v>22</v>
      </c>
      <c r="V27" s="451" t="s">
        <v>131</v>
      </c>
      <c r="W27" s="451" t="s">
        <v>24</v>
      </c>
      <c r="X27" s="451" t="s">
        <v>132</v>
      </c>
      <c r="Y27" s="451" t="s">
        <v>26</v>
      </c>
      <c r="Z27" s="451" t="s">
        <v>27</v>
      </c>
      <c r="AA27" s="451" t="s">
        <v>28</v>
      </c>
      <c r="AB27" s="451" t="s">
        <v>29</v>
      </c>
      <c r="AC27" s="451" t="s">
        <v>30</v>
      </c>
      <c r="AD27" s="439"/>
      <c r="AE27" s="440"/>
      <c r="AF27" s="440"/>
      <c r="AG27" s="440"/>
      <c r="AH27" s="440"/>
      <c r="AI27" s="440"/>
      <c r="AJ27" s="440"/>
    </row>
    <row r="28" spans="1:36" s="587" customFormat="1" ht="54" customHeight="1" thickBot="1" x14ac:dyDescent="0.25">
      <c r="A28" s="584"/>
      <c r="B28" s="455" t="s">
        <v>5697</v>
      </c>
      <c r="C28" s="455" t="s">
        <v>5698</v>
      </c>
      <c r="D28" s="456" t="s">
        <v>5743</v>
      </c>
      <c r="E28" s="456"/>
      <c r="F28" s="457" t="s">
        <v>5744</v>
      </c>
      <c r="G28" s="457" t="s">
        <v>1535</v>
      </c>
      <c r="H28" s="458">
        <v>45266.05</v>
      </c>
      <c r="I28" s="611" t="s">
        <v>5745</v>
      </c>
      <c r="J28" s="460">
        <v>40682</v>
      </c>
      <c r="K28" s="461">
        <v>75</v>
      </c>
      <c r="L28" s="462">
        <v>37107</v>
      </c>
      <c r="M28" s="611" t="s">
        <v>124</v>
      </c>
      <c r="N28" s="468" t="s">
        <v>42</v>
      </c>
      <c r="O28" s="460">
        <v>40759</v>
      </c>
      <c r="P28" s="461" t="str">
        <f t="shared" ref="P28:P33" si="0">IF(S28="","",+S28-L28)</f>
        <v/>
      </c>
      <c r="Q28" s="461"/>
      <c r="R28" s="460"/>
      <c r="S28" s="462"/>
      <c r="T28" s="462"/>
      <c r="U28" s="461" t="str">
        <f t="shared" ref="U28:U33" si="1">IF(T28="","",+T28-J28)</f>
        <v/>
      </c>
      <c r="V28" s="468"/>
      <c r="W28" s="493">
        <v>94</v>
      </c>
      <c r="X28" s="467"/>
      <c r="Y28" s="467"/>
      <c r="Z28" s="468" t="s">
        <v>1676</v>
      </c>
      <c r="AA28" s="456"/>
      <c r="AB28" s="460" t="s">
        <v>2238</v>
      </c>
      <c r="AC28" s="725" t="s">
        <v>5746</v>
      </c>
      <c r="AD28" s="645" t="str">
        <f t="shared" ref="AD28:AD33" si="2">IF(P28="","",IF(P28&lt;=0,"en término","atrasado"))</f>
        <v/>
      </c>
    </row>
    <row r="29" spans="1:36" s="587" customFormat="1" ht="54" customHeight="1" thickBot="1" x14ac:dyDescent="0.25">
      <c r="A29" s="649"/>
      <c r="B29" s="455" t="s">
        <v>5697</v>
      </c>
      <c r="C29" s="455" t="s">
        <v>5698</v>
      </c>
      <c r="D29" s="456" t="s">
        <v>5747</v>
      </c>
      <c r="E29" s="456"/>
      <c r="F29" s="457" t="s">
        <v>5748</v>
      </c>
      <c r="G29" s="457" t="s">
        <v>1535</v>
      </c>
      <c r="H29" s="458">
        <v>3115</v>
      </c>
      <c r="I29" s="611" t="s">
        <v>5745</v>
      </c>
      <c r="J29" s="460">
        <v>40745</v>
      </c>
      <c r="K29" s="461"/>
      <c r="L29" s="462">
        <v>40776</v>
      </c>
      <c r="M29" s="611" t="s">
        <v>124</v>
      </c>
      <c r="N29" s="468" t="s">
        <v>110</v>
      </c>
      <c r="O29" s="460">
        <v>40757</v>
      </c>
      <c r="P29" s="461">
        <f t="shared" si="0"/>
        <v>-11</v>
      </c>
      <c r="Q29" s="461"/>
      <c r="R29" s="460"/>
      <c r="S29" s="462">
        <v>40765</v>
      </c>
      <c r="T29" s="462">
        <v>40768</v>
      </c>
      <c r="U29" s="461">
        <f t="shared" si="1"/>
        <v>23</v>
      </c>
      <c r="V29" s="468" t="s">
        <v>5749</v>
      </c>
      <c r="W29" s="457" t="s">
        <v>5750</v>
      </c>
      <c r="X29" s="457"/>
      <c r="Y29" s="457"/>
      <c r="Z29" s="468" t="s">
        <v>1676</v>
      </c>
      <c r="AA29" s="456"/>
      <c r="AB29" s="460" t="s">
        <v>2238</v>
      </c>
      <c r="AC29" s="725" t="s">
        <v>5746</v>
      </c>
      <c r="AD29" s="645" t="str">
        <f t="shared" si="2"/>
        <v>en término</v>
      </c>
    </row>
    <row r="30" spans="1:36" s="587" customFormat="1" ht="54.95" customHeight="1" thickBot="1" x14ac:dyDescent="0.25">
      <c r="A30" s="649"/>
      <c r="B30" s="455" t="s">
        <v>5697</v>
      </c>
      <c r="C30" s="455" t="s">
        <v>5698</v>
      </c>
      <c r="D30" s="456" t="s">
        <v>5751</v>
      </c>
      <c r="E30" s="456"/>
      <c r="F30" s="457" t="s">
        <v>5752</v>
      </c>
      <c r="G30" s="457" t="s">
        <v>4633</v>
      </c>
      <c r="H30" s="458">
        <v>5822.51</v>
      </c>
      <c r="I30" s="611" t="s">
        <v>5745</v>
      </c>
      <c r="J30" s="460">
        <v>40765</v>
      </c>
      <c r="K30" s="461">
        <v>84</v>
      </c>
      <c r="L30" s="462">
        <v>40780</v>
      </c>
      <c r="M30" s="611" t="s">
        <v>124</v>
      </c>
      <c r="N30" s="468" t="s">
        <v>1750</v>
      </c>
      <c r="O30" s="460">
        <v>40778</v>
      </c>
      <c r="P30" s="461">
        <f t="shared" si="0"/>
        <v>176</v>
      </c>
      <c r="Q30" s="461"/>
      <c r="R30" s="460">
        <v>40946</v>
      </c>
      <c r="S30" s="471">
        <v>40956</v>
      </c>
      <c r="T30" s="462">
        <f>+S30+30</f>
        <v>40986</v>
      </c>
      <c r="U30" s="461">
        <f t="shared" si="1"/>
        <v>221</v>
      </c>
      <c r="V30" s="468" t="s">
        <v>73</v>
      </c>
      <c r="W30" s="493">
        <v>105</v>
      </c>
      <c r="X30" s="467"/>
      <c r="Y30" s="467"/>
      <c r="Z30" s="468"/>
      <c r="AA30" s="456" t="s">
        <v>47</v>
      </c>
      <c r="AB30" s="460" t="s">
        <v>47</v>
      </c>
      <c r="AC30" s="470" t="s">
        <v>5753</v>
      </c>
      <c r="AD30" s="645" t="str">
        <f t="shared" si="2"/>
        <v>atrasado</v>
      </c>
    </row>
    <row r="31" spans="1:36" s="587" customFormat="1" ht="54" customHeight="1" thickBot="1" x14ac:dyDescent="0.25">
      <c r="A31" s="649"/>
      <c r="B31" s="455" t="s">
        <v>5697</v>
      </c>
      <c r="C31" s="455" t="s">
        <v>5698</v>
      </c>
      <c r="D31" s="456" t="s">
        <v>5754</v>
      </c>
      <c r="E31" s="456"/>
      <c r="F31" s="457" t="s">
        <v>5755</v>
      </c>
      <c r="G31" s="457" t="s">
        <v>1535</v>
      </c>
      <c r="H31" s="458">
        <v>519</v>
      </c>
      <c r="I31" s="611" t="s">
        <v>5745</v>
      </c>
      <c r="J31" s="460">
        <v>40793</v>
      </c>
      <c r="K31" s="461"/>
      <c r="L31" s="462">
        <v>40800</v>
      </c>
      <c r="M31" s="611" t="s">
        <v>124</v>
      </c>
      <c r="N31" s="468" t="s">
        <v>465</v>
      </c>
      <c r="O31" s="460">
        <v>40795</v>
      </c>
      <c r="P31" s="461">
        <f t="shared" si="0"/>
        <v>-2</v>
      </c>
      <c r="Q31" s="461"/>
      <c r="R31" s="460"/>
      <c r="S31" s="462">
        <v>40798</v>
      </c>
      <c r="T31" s="462">
        <f>+S31+3</f>
        <v>40801</v>
      </c>
      <c r="U31" s="461">
        <f t="shared" si="1"/>
        <v>8</v>
      </c>
      <c r="V31" s="468" t="s">
        <v>5756</v>
      </c>
      <c r="W31" s="457">
        <v>180</v>
      </c>
      <c r="X31" s="457"/>
      <c r="Y31" s="457"/>
      <c r="Z31" s="468" t="s">
        <v>1676</v>
      </c>
      <c r="AA31" s="456"/>
      <c r="AB31" s="460" t="s">
        <v>2238</v>
      </c>
      <c r="AC31" s="725"/>
      <c r="AD31" s="645" t="str">
        <f t="shared" si="2"/>
        <v>en término</v>
      </c>
    </row>
    <row r="32" spans="1:36" s="587" customFormat="1" ht="54.95" customHeight="1" thickBot="1" x14ac:dyDescent="0.25">
      <c r="A32" s="649"/>
      <c r="B32" s="455" t="s">
        <v>5697</v>
      </c>
      <c r="C32" s="455" t="s">
        <v>5698</v>
      </c>
      <c r="D32" s="456" t="s">
        <v>5757</v>
      </c>
      <c r="E32" s="456"/>
      <c r="F32" s="457" t="s">
        <v>5758</v>
      </c>
      <c r="G32" s="457" t="s">
        <v>4633</v>
      </c>
      <c r="H32" s="458">
        <v>548</v>
      </c>
      <c r="I32" s="611" t="s">
        <v>5759</v>
      </c>
      <c r="J32" s="460">
        <v>40798</v>
      </c>
      <c r="K32" s="461">
        <v>84</v>
      </c>
      <c r="L32" s="462">
        <v>40834</v>
      </c>
      <c r="M32" s="611" t="s">
        <v>124</v>
      </c>
      <c r="N32" s="468" t="s">
        <v>110</v>
      </c>
      <c r="O32" s="460">
        <v>40834</v>
      </c>
      <c r="P32" s="461">
        <f t="shared" si="0"/>
        <v>0</v>
      </c>
      <c r="Q32" s="461" t="s">
        <v>5760</v>
      </c>
      <c r="R32" s="460"/>
      <c r="S32" s="471">
        <v>40834</v>
      </c>
      <c r="T32" s="471">
        <f>+S32+3</f>
        <v>40837</v>
      </c>
      <c r="U32" s="461">
        <f t="shared" si="1"/>
        <v>39</v>
      </c>
      <c r="V32" s="468" t="s">
        <v>5761</v>
      </c>
      <c r="W32" s="493">
        <v>121</v>
      </c>
      <c r="X32" s="467"/>
      <c r="Y32" s="467"/>
      <c r="Z32" s="468" t="s">
        <v>1676</v>
      </c>
      <c r="AA32" s="456"/>
      <c r="AB32" s="460" t="s">
        <v>2423</v>
      </c>
      <c r="AC32" s="725"/>
      <c r="AD32" s="645" t="str">
        <f t="shared" si="2"/>
        <v>en término</v>
      </c>
    </row>
    <row r="33" spans="1:36" s="587" customFormat="1" ht="54.95" customHeight="1" thickBot="1" x14ac:dyDescent="0.25">
      <c r="A33" s="649"/>
      <c r="B33" s="455" t="s">
        <v>5697</v>
      </c>
      <c r="C33" s="455" t="s">
        <v>5698</v>
      </c>
      <c r="D33" s="456" t="s">
        <v>5762</v>
      </c>
      <c r="E33" s="456"/>
      <c r="F33" s="457" t="s">
        <v>5763</v>
      </c>
      <c r="G33" s="457" t="s">
        <v>1535</v>
      </c>
      <c r="H33" s="458">
        <v>84200</v>
      </c>
      <c r="I33" s="611" t="s">
        <v>5759</v>
      </c>
      <c r="J33" s="460">
        <v>40773</v>
      </c>
      <c r="K33" s="461">
        <v>84</v>
      </c>
      <c r="L33" s="462">
        <v>40844</v>
      </c>
      <c r="M33" s="611" t="s">
        <v>124</v>
      </c>
      <c r="N33" s="468" t="s">
        <v>1750</v>
      </c>
      <c r="O33" s="460">
        <v>40844</v>
      </c>
      <c r="P33" s="461">
        <f t="shared" si="0"/>
        <v>112</v>
      </c>
      <c r="Q33" s="461"/>
      <c r="R33" s="460">
        <v>40946</v>
      </c>
      <c r="S33" s="471">
        <v>40956</v>
      </c>
      <c r="T33" s="462">
        <f>+S33+30</f>
        <v>40986</v>
      </c>
      <c r="U33" s="461">
        <f t="shared" si="1"/>
        <v>213</v>
      </c>
      <c r="V33" s="468" t="s">
        <v>955</v>
      </c>
      <c r="W33" s="493" t="s">
        <v>2215</v>
      </c>
      <c r="X33" s="467"/>
      <c r="Y33" s="467"/>
      <c r="Z33" s="468"/>
      <c r="AA33" s="456" t="s">
        <v>47</v>
      </c>
      <c r="AB33" s="477" t="s">
        <v>5764</v>
      </c>
      <c r="AC33" s="725" t="s">
        <v>5765</v>
      </c>
      <c r="AD33" s="645" t="str">
        <f t="shared" si="2"/>
        <v>atrasado</v>
      </c>
    </row>
    <row r="39" spans="1:36" ht="12" thickBot="1" x14ac:dyDescent="0.25"/>
    <row r="40" spans="1:36" s="556" customFormat="1" ht="39.950000000000003" customHeight="1" thickBot="1" x14ac:dyDescent="0.4">
      <c r="B40" s="1611">
        <v>2013</v>
      </c>
      <c r="C40" s="1612"/>
      <c r="D40" s="1612"/>
      <c r="E40" s="1612"/>
      <c r="F40" s="1612"/>
      <c r="G40" s="1612"/>
      <c r="H40" s="1612"/>
      <c r="I40" s="1612"/>
      <c r="J40" s="1612"/>
      <c r="K40" s="1612"/>
      <c r="L40" s="1612"/>
      <c r="M40" s="1612"/>
      <c r="N40" s="1612"/>
      <c r="O40" s="1612"/>
      <c r="P40" s="1612"/>
      <c r="Q40" s="1612"/>
      <c r="R40" s="1612"/>
      <c r="S40" s="1612"/>
      <c r="T40" s="1612"/>
      <c r="U40" s="1612"/>
      <c r="V40" s="1612"/>
      <c r="W40" s="1612"/>
      <c r="X40" s="1612"/>
      <c r="Y40" s="1612"/>
      <c r="Z40" s="1612"/>
      <c r="AA40" s="1612"/>
      <c r="AB40" s="1612"/>
      <c r="AC40" s="1613"/>
    </row>
    <row r="41" spans="1:36" s="441" customFormat="1" ht="60" customHeight="1" thickBot="1" x14ac:dyDescent="0.25">
      <c r="A41" s="438"/>
      <c r="B41" s="451" t="s">
        <v>130</v>
      </c>
      <c r="C41" s="451" t="s">
        <v>4</v>
      </c>
      <c r="D41" s="451" t="s">
        <v>5</v>
      </c>
      <c r="E41" s="451" t="s">
        <v>6</v>
      </c>
      <c r="F41" s="451" t="s">
        <v>7</v>
      </c>
      <c r="G41" s="451" t="s">
        <v>8</v>
      </c>
      <c r="H41" s="453" t="s">
        <v>9</v>
      </c>
      <c r="I41" s="453" t="s">
        <v>10</v>
      </c>
      <c r="J41" s="451" t="s">
        <v>11</v>
      </c>
      <c r="K41" s="451" t="s">
        <v>12</v>
      </c>
      <c r="L41" s="451" t="s">
        <v>13</v>
      </c>
      <c r="M41" s="451" t="s">
        <v>14</v>
      </c>
      <c r="N41" s="451" t="s">
        <v>15</v>
      </c>
      <c r="O41" s="452" t="s">
        <v>16</v>
      </c>
      <c r="P41" s="454" t="s">
        <v>17</v>
      </c>
      <c r="Q41" s="451" t="s">
        <v>18</v>
      </c>
      <c r="R41" s="452" t="s">
        <v>19</v>
      </c>
      <c r="S41" s="451" t="s">
        <v>20</v>
      </c>
      <c r="T41" s="451" t="s">
        <v>21</v>
      </c>
      <c r="U41" s="452" t="s">
        <v>22</v>
      </c>
      <c r="V41" s="451" t="s">
        <v>131</v>
      </c>
      <c r="W41" s="451" t="s">
        <v>24</v>
      </c>
      <c r="X41" s="451" t="s">
        <v>132</v>
      </c>
      <c r="Y41" s="451" t="s">
        <v>26</v>
      </c>
      <c r="Z41" s="451" t="s">
        <v>27</v>
      </c>
      <c r="AA41" s="451" t="s">
        <v>28</v>
      </c>
      <c r="AB41" s="451" t="s">
        <v>29</v>
      </c>
      <c r="AC41" s="451" t="s">
        <v>30</v>
      </c>
      <c r="AD41" s="439"/>
      <c r="AE41" s="440"/>
      <c r="AF41" s="440"/>
      <c r="AG41" s="440"/>
      <c r="AH41" s="440"/>
      <c r="AI41" s="440"/>
      <c r="AJ41" s="440"/>
    </row>
    <row r="42" spans="1:36" s="587" customFormat="1" ht="54.95" customHeight="1" thickBot="1" x14ac:dyDescent="0.25">
      <c r="A42" s="649"/>
      <c r="B42" s="887" t="s">
        <v>5697</v>
      </c>
      <c r="C42" s="887" t="s">
        <v>5698</v>
      </c>
      <c r="D42" s="888" t="s">
        <v>5766</v>
      </c>
      <c r="E42" s="888"/>
      <c r="F42" s="889" t="s">
        <v>5767</v>
      </c>
      <c r="G42" s="889" t="s">
        <v>4633</v>
      </c>
      <c r="H42" s="890">
        <v>505</v>
      </c>
      <c r="I42" s="891" t="s">
        <v>5701</v>
      </c>
      <c r="J42" s="892">
        <v>41333</v>
      </c>
      <c r="K42" s="893">
        <v>7</v>
      </c>
      <c r="L42" s="894">
        <f>+J42+K42</f>
        <v>41340</v>
      </c>
      <c r="M42" s="891" t="s">
        <v>124</v>
      </c>
      <c r="N42" s="895" t="s">
        <v>110</v>
      </c>
      <c r="O42" s="892"/>
      <c r="P42" s="893">
        <f>IF(S42="","",+S42-L42)</f>
        <v>-2</v>
      </c>
      <c r="Q42" s="893"/>
      <c r="R42" s="892"/>
      <c r="S42" s="896">
        <v>41338</v>
      </c>
      <c r="T42" s="894">
        <f>+S42+10</f>
        <v>41348</v>
      </c>
      <c r="U42" s="893">
        <f>IF(T42="","",+T42-J42)</f>
        <v>15</v>
      </c>
      <c r="V42" s="895" t="s">
        <v>5768</v>
      </c>
      <c r="W42" s="897" t="s">
        <v>2447</v>
      </c>
      <c r="X42" s="898"/>
      <c r="Y42" s="898"/>
      <c r="Z42" s="895" t="s">
        <v>5769</v>
      </c>
      <c r="AA42" s="888"/>
      <c r="AB42" s="892" t="s">
        <v>3734</v>
      </c>
      <c r="AC42" s="899" t="s">
        <v>5770</v>
      </c>
      <c r="AD42" s="645" t="str">
        <f>IF(P42="","",IF(P42&lt;=0,"en término","atrasado"))</f>
        <v>en término</v>
      </c>
      <c r="AF42" s="656"/>
    </row>
    <row r="43" spans="1:36" s="587" customFormat="1" ht="54.95" customHeight="1" thickBot="1" x14ac:dyDescent="0.25">
      <c r="A43" s="649"/>
      <c r="B43" s="455" t="s">
        <v>5697</v>
      </c>
      <c r="C43" s="455" t="s">
        <v>5698</v>
      </c>
      <c r="D43" s="456" t="s">
        <v>5771</v>
      </c>
      <c r="E43" s="456"/>
      <c r="F43" s="457" t="s">
        <v>5772</v>
      </c>
      <c r="G43" s="457" t="s">
        <v>4633</v>
      </c>
      <c r="H43" s="458">
        <v>73198.7</v>
      </c>
      <c r="I43" s="611" t="s">
        <v>5701</v>
      </c>
      <c r="J43" s="460">
        <v>41291</v>
      </c>
      <c r="K43" s="461">
        <v>105</v>
      </c>
      <c r="L43" s="462">
        <f>+J43+K43</f>
        <v>41396</v>
      </c>
      <c r="M43" s="611" t="s">
        <v>124</v>
      </c>
      <c r="N43" s="468" t="s">
        <v>1750</v>
      </c>
      <c r="O43" s="460">
        <v>41418</v>
      </c>
      <c r="P43" s="461">
        <f>IF(S43="","",+S43-L43)</f>
        <v>40</v>
      </c>
      <c r="Q43" s="461" t="s">
        <v>5773</v>
      </c>
      <c r="R43" s="460">
        <v>41430</v>
      </c>
      <c r="S43" s="471">
        <v>41436</v>
      </c>
      <c r="T43" s="462">
        <v>41480</v>
      </c>
      <c r="U43" s="461">
        <f>IF(T43="","",+T43-J43)</f>
        <v>189</v>
      </c>
      <c r="V43" s="468" t="s">
        <v>5774</v>
      </c>
      <c r="W43" s="493" t="s">
        <v>2293</v>
      </c>
      <c r="X43" s="467"/>
      <c r="Y43" s="467"/>
      <c r="Z43" s="468" t="s">
        <v>5775</v>
      </c>
      <c r="AA43" s="456"/>
      <c r="AB43" s="460" t="s">
        <v>2754</v>
      </c>
      <c r="AC43" s="634" t="s">
        <v>5776</v>
      </c>
      <c r="AD43" s="645" t="str">
        <f>IF(P43="","",IF(P43&lt;=0,"en término","atrasado"))</f>
        <v>atrasado</v>
      </c>
    </row>
    <row r="44" spans="1:36" s="587" customFormat="1" ht="54.95" customHeight="1" thickBot="1" x14ac:dyDescent="0.25">
      <c r="A44" s="649"/>
      <c r="B44" s="455" t="s">
        <v>5697</v>
      </c>
      <c r="C44" s="455" t="s">
        <v>5698</v>
      </c>
      <c r="D44" s="456" t="s">
        <v>5777</v>
      </c>
      <c r="E44" s="456"/>
      <c r="F44" s="457" t="s">
        <v>5778</v>
      </c>
      <c r="G44" s="457" t="s">
        <v>4633</v>
      </c>
      <c r="H44" s="458">
        <v>3780.3</v>
      </c>
      <c r="I44" s="611" t="s">
        <v>5701</v>
      </c>
      <c r="J44" s="460">
        <v>41358</v>
      </c>
      <c r="K44" s="461">
        <v>90</v>
      </c>
      <c r="L44" s="462">
        <f>+J44+K44</f>
        <v>41448</v>
      </c>
      <c r="M44" s="611" t="s">
        <v>124</v>
      </c>
      <c r="N44" s="468" t="s">
        <v>1750</v>
      </c>
      <c r="O44" s="460">
        <v>41537</v>
      </c>
      <c r="P44" s="461">
        <f>IF(S44="","",+S44-L44)</f>
        <v>107</v>
      </c>
      <c r="Q44" s="461"/>
      <c r="R44" s="460">
        <v>41554</v>
      </c>
      <c r="S44" s="471">
        <v>41555</v>
      </c>
      <c r="T44" s="462">
        <v>41559</v>
      </c>
      <c r="U44" s="461">
        <f>IF(T44="","",+T44-J44)</f>
        <v>201</v>
      </c>
      <c r="V44" s="468" t="s">
        <v>5779</v>
      </c>
      <c r="W44" s="493" t="s">
        <v>2688</v>
      </c>
      <c r="X44" s="467"/>
      <c r="Y44" s="467"/>
      <c r="Z44" s="468"/>
      <c r="AA44" s="456"/>
      <c r="AB44" s="460" t="s">
        <v>5780</v>
      </c>
      <c r="AC44" s="470" t="s">
        <v>5776</v>
      </c>
      <c r="AD44" s="645" t="str">
        <f>IF(P44="","",IF(P44&lt;=0,"en término","atrasado"))</f>
        <v>atrasado</v>
      </c>
    </row>
    <row r="45" spans="1:36" s="587" customFormat="1" ht="54.95" customHeight="1" thickBot="1" x14ac:dyDescent="0.25">
      <c r="A45" s="649"/>
      <c r="B45" s="455" t="s">
        <v>5697</v>
      </c>
      <c r="C45" s="455" t="s">
        <v>5698</v>
      </c>
      <c r="D45" s="456" t="s">
        <v>5781</v>
      </c>
      <c r="E45" s="456"/>
      <c r="F45" s="457" t="s">
        <v>5782</v>
      </c>
      <c r="G45" s="457" t="s">
        <v>4633</v>
      </c>
      <c r="H45" s="458">
        <v>59257</v>
      </c>
      <c r="I45" s="611" t="s">
        <v>5701</v>
      </c>
      <c r="J45" s="460">
        <v>41407</v>
      </c>
      <c r="K45" s="461">
        <v>90</v>
      </c>
      <c r="L45" s="462">
        <f>+J45+K45</f>
        <v>41497</v>
      </c>
      <c r="M45" s="611" t="s">
        <v>124</v>
      </c>
      <c r="N45" s="468" t="s">
        <v>1750</v>
      </c>
      <c r="O45" s="460">
        <v>41537</v>
      </c>
      <c r="P45" s="461">
        <f>IF(S45="","",+S45-L45)</f>
        <v>68</v>
      </c>
      <c r="Q45" s="591" t="s">
        <v>5783</v>
      </c>
      <c r="R45" s="460">
        <v>41555</v>
      </c>
      <c r="S45" s="471">
        <v>41565</v>
      </c>
      <c r="T45" s="462">
        <v>41600</v>
      </c>
      <c r="U45" s="461">
        <f>IF(T45="","",+T45-J45)</f>
        <v>193</v>
      </c>
      <c r="V45" s="468" t="s">
        <v>5779</v>
      </c>
      <c r="W45" s="493" t="s">
        <v>2684</v>
      </c>
      <c r="X45" s="467"/>
      <c r="Y45" s="467"/>
      <c r="Z45" s="468">
        <v>9449644186</v>
      </c>
      <c r="AA45" s="456"/>
      <c r="AB45" s="460" t="s">
        <v>5780</v>
      </c>
      <c r="AC45" s="470"/>
      <c r="AD45" s="645" t="str">
        <f>IF(P45="","",IF(P45&lt;=0,"en término","atrasado"))</f>
        <v>atrasado</v>
      </c>
    </row>
    <row r="52" spans="1:36" ht="12" thickBot="1" x14ac:dyDescent="0.25"/>
    <row r="53" spans="1:36" s="556" customFormat="1" ht="39.950000000000003" customHeight="1" thickBot="1" x14ac:dyDescent="0.4">
      <c r="B53" s="1611">
        <v>2014</v>
      </c>
      <c r="C53" s="1612"/>
      <c r="D53" s="1612"/>
      <c r="E53" s="1612"/>
      <c r="F53" s="1612"/>
      <c r="G53" s="1612"/>
      <c r="H53" s="1612"/>
      <c r="I53" s="1612"/>
      <c r="J53" s="1612"/>
      <c r="K53" s="1612"/>
      <c r="L53" s="1612"/>
      <c r="M53" s="1612"/>
      <c r="N53" s="1612"/>
      <c r="O53" s="1612"/>
      <c r="P53" s="1612"/>
      <c r="Q53" s="1612"/>
      <c r="R53" s="1612"/>
      <c r="S53" s="1612"/>
      <c r="T53" s="1612"/>
      <c r="U53" s="1612"/>
      <c r="V53" s="1612"/>
      <c r="W53" s="1612"/>
      <c r="X53" s="1612"/>
      <c r="Y53" s="1612"/>
      <c r="Z53" s="1612"/>
      <c r="AA53" s="1612"/>
      <c r="AB53" s="1612"/>
      <c r="AC53" s="1613"/>
    </row>
    <row r="54" spans="1:36" s="441" customFormat="1" ht="60" customHeight="1" thickBot="1" x14ac:dyDescent="0.25">
      <c r="A54" s="438"/>
      <c r="B54" s="451" t="s">
        <v>130</v>
      </c>
      <c r="C54" s="451" t="s">
        <v>4</v>
      </c>
      <c r="D54" s="451" t="s">
        <v>5</v>
      </c>
      <c r="E54" s="451" t="s">
        <v>6</v>
      </c>
      <c r="F54" s="451" t="s">
        <v>7</v>
      </c>
      <c r="G54" s="451" t="s">
        <v>8</v>
      </c>
      <c r="H54" s="453" t="s">
        <v>9</v>
      </c>
      <c r="I54" s="453" t="s">
        <v>10</v>
      </c>
      <c r="J54" s="451" t="s">
        <v>11</v>
      </c>
      <c r="K54" s="451" t="s">
        <v>12</v>
      </c>
      <c r="L54" s="451" t="s">
        <v>13</v>
      </c>
      <c r="M54" s="451" t="s">
        <v>14</v>
      </c>
      <c r="N54" s="451" t="s">
        <v>15</v>
      </c>
      <c r="O54" s="452" t="s">
        <v>16</v>
      </c>
      <c r="P54" s="454" t="s">
        <v>17</v>
      </c>
      <c r="Q54" s="451" t="s">
        <v>18</v>
      </c>
      <c r="R54" s="452" t="s">
        <v>19</v>
      </c>
      <c r="S54" s="451" t="s">
        <v>20</v>
      </c>
      <c r="T54" s="451" t="s">
        <v>21</v>
      </c>
      <c r="U54" s="452" t="s">
        <v>22</v>
      </c>
      <c r="V54" s="451" t="s">
        <v>131</v>
      </c>
      <c r="W54" s="451" t="s">
        <v>24</v>
      </c>
      <c r="X54" s="451" t="s">
        <v>132</v>
      </c>
      <c r="Y54" s="451" t="s">
        <v>26</v>
      </c>
      <c r="Z54" s="451" t="s">
        <v>27</v>
      </c>
      <c r="AA54" s="451" t="s">
        <v>28</v>
      </c>
      <c r="AB54" s="451" t="s">
        <v>29</v>
      </c>
      <c r="AC54" s="451" t="s">
        <v>30</v>
      </c>
      <c r="AD54" s="439"/>
      <c r="AE54" s="440"/>
      <c r="AF54" s="440"/>
      <c r="AG54" s="440"/>
      <c r="AH54" s="440"/>
      <c r="AI54" s="440"/>
      <c r="AJ54" s="440"/>
    </row>
    <row r="55" spans="1:36" s="587" customFormat="1" ht="54.95" customHeight="1" thickBot="1" x14ac:dyDescent="0.25">
      <c r="A55" s="649"/>
      <c r="B55" s="887" t="s">
        <v>5697</v>
      </c>
      <c r="C55" s="887" t="s">
        <v>5698</v>
      </c>
      <c r="D55" s="888" t="s">
        <v>5784</v>
      </c>
      <c r="E55" s="888"/>
      <c r="F55" s="889" t="s">
        <v>5785</v>
      </c>
      <c r="G55" s="889" t="s">
        <v>4633</v>
      </c>
      <c r="H55" s="890">
        <v>41550</v>
      </c>
      <c r="I55" s="891" t="s">
        <v>5701</v>
      </c>
      <c r="J55" s="892">
        <v>41473</v>
      </c>
      <c r="K55" s="893">
        <v>120</v>
      </c>
      <c r="L55" s="894">
        <f>+J55+K55</f>
        <v>41593</v>
      </c>
      <c r="M55" s="891" t="s">
        <v>124</v>
      </c>
      <c r="N55" s="895" t="s">
        <v>1750</v>
      </c>
      <c r="O55" s="892">
        <v>41649</v>
      </c>
      <c r="P55" s="893">
        <f>IF(S55="","",+S55-L55)</f>
        <v>76</v>
      </c>
      <c r="Q55" s="893"/>
      <c r="R55" s="892">
        <v>41660</v>
      </c>
      <c r="S55" s="896">
        <v>41669</v>
      </c>
      <c r="T55" s="894">
        <f>+S55+45</f>
        <v>41714</v>
      </c>
      <c r="U55" s="893">
        <f>IF(T55="","",+T55-J55)</f>
        <v>241</v>
      </c>
      <c r="V55" s="895" t="s">
        <v>5786</v>
      </c>
      <c r="W55" s="897" t="s">
        <v>2418</v>
      </c>
      <c r="X55" s="898"/>
      <c r="Y55" s="898"/>
      <c r="Z55" s="895" t="s">
        <v>5787</v>
      </c>
      <c r="AA55" s="888"/>
      <c r="AB55" s="892" t="s">
        <v>3734</v>
      </c>
      <c r="AC55" s="899" t="s">
        <v>5788</v>
      </c>
      <c r="AD55" s="645" t="str">
        <f>IF(P55="","",IF(P55&lt;=0,"en término","atrasado"))</f>
        <v>atrasado</v>
      </c>
      <c r="AF55" s="656"/>
    </row>
    <row r="56" spans="1:36" s="587" customFormat="1" ht="54.95" customHeight="1" thickBot="1" x14ac:dyDescent="0.25">
      <c r="A56" s="649"/>
      <c r="B56" s="887" t="s">
        <v>5697</v>
      </c>
      <c r="C56" s="911" t="s">
        <v>5698</v>
      </c>
      <c r="D56" s="888" t="s">
        <v>5789</v>
      </c>
      <c r="E56" s="888"/>
      <c r="F56" s="889" t="s">
        <v>5790</v>
      </c>
      <c r="G56" s="889" t="s">
        <v>4633</v>
      </c>
      <c r="H56" s="890">
        <v>4375</v>
      </c>
      <c r="I56" s="891" t="s">
        <v>5701</v>
      </c>
      <c r="J56" s="892">
        <v>41949</v>
      </c>
      <c r="K56" s="893">
        <v>20</v>
      </c>
      <c r="L56" s="894">
        <f>+J56+K56</f>
        <v>41969</v>
      </c>
      <c r="M56" s="891" t="s">
        <v>124</v>
      </c>
      <c r="N56" s="895" t="s">
        <v>42</v>
      </c>
      <c r="O56" s="892">
        <v>41968</v>
      </c>
      <c r="P56" s="893">
        <f>IF(S56="","",+S56-L56)</f>
        <v>41</v>
      </c>
      <c r="Q56" s="893" t="s">
        <v>5791</v>
      </c>
      <c r="R56" s="892">
        <v>41996</v>
      </c>
      <c r="S56" s="896">
        <v>42010</v>
      </c>
      <c r="T56" s="894">
        <f>+S56+45</f>
        <v>42055</v>
      </c>
      <c r="U56" s="893">
        <f>IF(T56="","",+T56-J56)</f>
        <v>106</v>
      </c>
      <c r="V56" s="895" t="s">
        <v>5792</v>
      </c>
      <c r="W56" s="897" t="s">
        <v>2825</v>
      </c>
      <c r="X56" s="905"/>
      <c r="Y56" s="905"/>
      <c r="Z56" s="895">
        <v>2543572102</v>
      </c>
      <c r="AA56" s="888"/>
      <c r="AB56" s="892" t="s">
        <v>2852</v>
      </c>
      <c r="AC56" s="899"/>
      <c r="AD56" s="645" t="str">
        <f>IF(P56="","",IF(P56&lt;=0,"en término","atrasado"))</f>
        <v>atrasado</v>
      </c>
      <c r="AE56" s="468" t="s">
        <v>5793</v>
      </c>
      <c r="AF56" s="468" t="s">
        <v>60</v>
      </c>
    </row>
    <row r="64" spans="1:36" ht="12" thickBot="1" x14ac:dyDescent="0.25"/>
    <row r="65" spans="1:36" s="556" customFormat="1" ht="39.950000000000003" customHeight="1" thickBot="1" x14ac:dyDescent="0.4">
      <c r="B65" s="1611">
        <v>2015</v>
      </c>
      <c r="C65" s="1612"/>
      <c r="D65" s="1612"/>
      <c r="E65" s="1612"/>
      <c r="F65" s="1612"/>
      <c r="G65" s="1612"/>
      <c r="H65" s="1612"/>
      <c r="I65" s="1612"/>
      <c r="J65" s="1612"/>
      <c r="K65" s="1612"/>
      <c r="L65" s="1612"/>
      <c r="M65" s="1612"/>
      <c r="N65" s="1612"/>
      <c r="O65" s="1612"/>
      <c r="P65" s="1612"/>
      <c r="Q65" s="1612"/>
      <c r="R65" s="1612"/>
      <c r="S65" s="1612"/>
      <c r="T65" s="1612"/>
      <c r="U65" s="1612"/>
      <c r="V65" s="1612"/>
      <c r="W65" s="1612"/>
      <c r="X65" s="1612"/>
      <c r="Y65" s="1612"/>
      <c r="Z65" s="1612"/>
      <c r="AA65" s="1612"/>
      <c r="AB65" s="1612"/>
      <c r="AC65" s="1613"/>
    </row>
    <row r="66" spans="1:36" s="441" customFormat="1" ht="60" customHeight="1" thickBot="1" x14ac:dyDescent="0.25">
      <c r="A66" s="438"/>
      <c r="B66" s="451" t="s">
        <v>130</v>
      </c>
      <c r="C66" s="451" t="s">
        <v>4</v>
      </c>
      <c r="D66" s="451" t="s">
        <v>5</v>
      </c>
      <c r="E66" s="451" t="s">
        <v>6</v>
      </c>
      <c r="F66" s="451" t="s">
        <v>7</v>
      </c>
      <c r="G66" s="451" t="s">
        <v>8</v>
      </c>
      <c r="H66" s="453" t="s">
        <v>9</v>
      </c>
      <c r="I66" s="453" t="s">
        <v>10</v>
      </c>
      <c r="J66" s="451" t="s">
        <v>11</v>
      </c>
      <c r="K66" s="451" t="s">
        <v>12</v>
      </c>
      <c r="L66" s="451" t="s">
        <v>13</v>
      </c>
      <c r="M66" s="451" t="s">
        <v>14</v>
      </c>
      <c r="N66" s="451" t="s">
        <v>15</v>
      </c>
      <c r="O66" s="452" t="s">
        <v>16</v>
      </c>
      <c r="P66" s="454" t="s">
        <v>17</v>
      </c>
      <c r="Q66" s="451" t="s">
        <v>18</v>
      </c>
      <c r="R66" s="452" t="s">
        <v>19</v>
      </c>
      <c r="S66" s="451" t="s">
        <v>20</v>
      </c>
      <c r="T66" s="451" t="s">
        <v>21</v>
      </c>
      <c r="U66" s="452" t="s">
        <v>22</v>
      </c>
      <c r="V66" s="451" t="s">
        <v>131</v>
      </c>
      <c r="W66" s="451" t="s">
        <v>24</v>
      </c>
      <c r="X66" s="451" t="s">
        <v>132</v>
      </c>
      <c r="Y66" s="451" t="s">
        <v>26</v>
      </c>
      <c r="Z66" s="451" t="s">
        <v>27</v>
      </c>
      <c r="AA66" s="451" t="s">
        <v>28</v>
      </c>
      <c r="AB66" s="451" t="s">
        <v>29</v>
      </c>
      <c r="AC66" s="451" t="s">
        <v>30</v>
      </c>
      <c r="AD66" s="439"/>
      <c r="AE66" s="440"/>
      <c r="AF66" s="440"/>
      <c r="AG66" s="440"/>
      <c r="AH66" s="440"/>
      <c r="AI66" s="440"/>
      <c r="AJ66" s="440"/>
    </row>
    <row r="67" spans="1:36" s="587" customFormat="1" ht="54.95" customHeight="1" thickBot="1" x14ac:dyDescent="0.25">
      <c r="A67" s="649"/>
      <c r="B67" s="887" t="s">
        <v>5697</v>
      </c>
      <c r="C67" s="911" t="s">
        <v>5698</v>
      </c>
      <c r="D67" s="888" t="s">
        <v>5794</v>
      </c>
      <c r="E67" s="888"/>
      <c r="F67" s="889" t="s">
        <v>5795</v>
      </c>
      <c r="G67" s="889" t="s">
        <v>4633</v>
      </c>
      <c r="H67" s="890">
        <v>9685.2999999999993</v>
      </c>
      <c r="I67" s="891" t="s">
        <v>5701</v>
      </c>
      <c r="J67" s="892">
        <v>41963</v>
      </c>
      <c r="K67" s="893">
        <v>90</v>
      </c>
      <c r="L67" s="894">
        <f>+J67+K67</f>
        <v>42053</v>
      </c>
      <c r="M67" s="891" t="s">
        <v>124</v>
      </c>
      <c r="N67" s="895" t="s">
        <v>42</v>
      </c>
      <c r="O67" s="892">
        <v>42128</v>
      </c>
      <c r="P67" s="893">
        <f>IF(S67="","",+S67-L67)</f>
        <v>113</v>
      </c>
      <c r="Q67" s="893" t="s">
        <v>5796</v>
      </c>
      <c r="R67" s="892">
        <v>42157</v>
      </c>
      <c r="S67" s="896">
        <v>42166</v>
      </c>
      <c r="T67" s="894">
        <v>42189</v>
      </c>
      <c r="U67" s="893">
        <f>IF(T67="","",+T67-J67)</f>
        <v>226</v>
      </c>
      <c r="V67" s="895" t="s">
        <v>5792</v>
      </c>
      <c r="W67" s="897" t="s">
        <v>2217</v>
      </c>
      <c r="X67" s="905"/>
      <c r="Y67" s="905"/>
      <c r="Z67" s="895">
        <v>3225552724</v>
      </c>
      <c r="AA67" s="888"/>
      <c r="AB67" s="892" t="s">
        <v>5797</v>
      </c>
      <c r="AC67" s="899" t="s">
        <v>5798</v>
      </c>
      <c r="AD67" s="645" t="str">
        <f>IF(P67="","",IF(P67&lt;=0,"en término","atrasado"))</f>
        <v>atrasado</v>
      </c>
      <c r="AE67" s="468"/>
      <c r="AF67" s="468" t="s">
        <v>2937</v>
      </c>
    </row>
    <row r="77" spans="1:36" ht="12" thickBot="1" x14ac:dyDescent="0.25"/>
    <row r="78" spans="1:36" s="556" customFormat="1" ht="39.950000000000003" customHeight="1" thickBot="1" x14ac:dyDescent="0.4">
      <c r="B78" s="1611">
        <v>2020</v>
      </c>
      <c r="C78" s="1612"/>
      <c r="D78" s="1612"/>
      <c r="E78" s="1612"/>
      <c r="F78" s="1612"/>
      <c r="G78" s="1612"/>
      <c r="H78" s="1612"/>
      <c r="I78" s="1612"/>
      <c r="J78" s="1612"/>
      <c r="K78" s="1612"/>
      <c r="L78" s="1612"/>
      <c r="M78" s="1612"/>
      <c r="N78" s="1612"/>
      <c r="O78" s="1612"/>
      <c r="P78" s="1612"/>
      <c r="Q78" s="1612"/>
      <c r="R78" s="1612"/>
      <c r="S78" s="1612"/>
      <c r="T78" s="1612"/>
      <c r="U78" s="1612"/>
      <c r="V78" s="1612"/>
      <c r="W78" s="1612"/>
      <c r="X78" s="1612"/>
      <c r="Y78" s="1612"/>
      <c r="Z78" s="1612"/>
      <c r="AA78" s="1612"/>
      <c r="AB78" s="1612"/>
      <c r="AC78" s="1613"/>
    </row>
    <row r="79" spans="1:36" s="441" customFormat="1" ht="60" customHeight="1" thickBot="1" x14ac:dyDescent="0.25">
      <c r="A79" s="438"/>
      <c r="B79" s="451" t="s">
        <v>130</v>
      </c>
      <c r="C79" s="451" t="s">
        <v>4</v>
      </c>
      <c r="D79" s="451" t="s">
        <v>5</v>
      </c>
      <c r="E79" s="451" t="s">
        <v>6</v>
      </c>
      <c r="F79" s="451" t="s">
        <v>7</v>
      </c>
      <c r="G79" s="451" t="s">
        <v>8</v>
      </c>
      <c r="H79" s="453" t="s">
        <v>9</v>
      </c>
      <c r="I79" s="453" t="s">
        <v>10</v>
      </c>
      <c r="J79" s="451" t="s">
        <v>11</v>
      </c>
      <c r="K79" s="451" t="s">
        <v>12</v>
      </c>
      <c r="L79" s="451" t="s">
        <v>13</v>
      </c>
      <c r="M79" s="451" t="s">
        <v>14</v>
      </c>
      <c r="N79" s="451" t="s">
        <v>15</v>
      </c>
      <c r="O79" s="452" t="s">
        <v>16</v>
      </c>
      <c r="P79" s="454" t="s">
        <v>17</v>
      </c>
      <c r="Q79" s="451" t="s">
        <v>18</v>
      </c>
      <c r="R79" s="452" t="s">
        <v>19</v>
      </c>
      <c r="S79" s="451" t="s">
        <v>20</v>
      </c>
      <c r="T79" s="451" t="s">
        <v>21</v>
      </c>
      <c r="U79" s="452" t="s">
        <v>22</v>
      </c>
      <c r="V79" s="451" t="s">
        <v>131</v>
      </c>
      <c r="W79" s="451" t="s">
        <v>24</v>
      </c>
      <c r="X79" s="451" t="s">
        <v>132</v>
      </c>
      <c r="Y79" s="451" t="s">
        <v>26</v>
      </c>
      <c r="Z79" s="451" t="s">
        <v>27</v>
      </c>
      <c r="AA79" s="451" t="s">
        <v>28</v>
      </c>
      <c r="AB79" s="451" t="s">
        <v>29</v>
      </c>
      <c r="AC79" s="451" t="s">
        <v>30</v>
      </c>
      <c r="AD79" s="439"/>
      <c r="AE79" s="440"/>
      <c r="AF79" s="440"/>
      <c r="AG79" s="440"/>
      <c r="AH79" s="440"/>
      <c r="AI79" s="440"/>
      <c r="AJ79" s="440"/>
    </row>
    <row r="80" spans="1:36" s="649" customFormat="1" ht="54.95" customHeight="1" thickBot="1" x14ac:dyDescent="0.25">
      <c r="B80" s="1022" t="s">
        <v>5697</v>
      </c>
      <c r="C80" s="1022" t="s">
        <v>5698</v>
      </c>
      <c r="D80" s="901" t="s">
        <v>7111</v>
      </c>
      <c r="E80" s="901"/>
      <c r="F80" s="913" t="s">
        <v>7109</v>
      </c>
      <c r="G80" s="889" t="s">
        <v>39</v>
      </c>
      <c r="H80" s="890">
        <v>2175</v>
      </c>
      <c r="I80" s="902"/>
      <c r="J80" s="892">
        <v>44110</v>
      </c>
      <c r="K80" s="893">
        <v>60</v>
      </c>
      <c r="L80" s="892">
        <f>+J80+K80</f>
        <v>44170</v>
      </c>
      <c r="M80" s="892" t="s">
        <v>124</v>
      </c>
      <c r="N80" s="889" t="s">
        <v>4551</v>
      </c>
      <c r="O80" s="892">
        <v>44183</v>
      </c>
      <c r="P80" s="893">
        <f>IF(S80="","",+S80-L80)</f>
        <v>18</v>
      </c>
      <c r="Q80" s="901"/>
      <c r="R80" s="903"/>
      <c r="S80" s="904">
        <v>44188</v>
      </c>
      <c r="T80" s="894">
        <v>44192</v>
      </c>
      <c r="U80" s="893">
        <f>IF(T80="","",+T80-J80)</f>
        <v>82</v>
      </c>
      <c r="V80" s="901" t="s">
        <v>7141</v>
      </c>
      <c r="W80" s="1106" t="s">
        <v>7185</v>
      </c>
      <c r="X80" s="905"/>
      <c r="Y80" s="905"/>
      <c r="Z80" s="889">
        <v>3663849022</v>
      </c>
      <c r="AA80" s="889"/>
      <c r="AB80" s="892" t="s">
        <v>7169</v>
      </c>
      <c r="AC80" s="476" t="s">
        <v>7184</v>
      </c>
      <c r="AD80" s="645" t="str">
        <f>IF(P80="","",IF(P80&lt;=0,"en término","atrasado"))</f>
        <v>atrasado</v>
      </c>
      <c r="AE80" s="468" t="s">
        <v>6909</v>
      </c>
      <c r="AF80" s="468" t="s">
        <v>3082</v>
      </c>
    </row>
    <row r="87" spans="1:36" ht="12" thickBot="1" x14ac:dyDescent="0.25"/>
    <row r="88" spans="1:36" s="556" customFormat="1" ht="39.950000000000003" customHeight="1" thickBot="1" x14ac:dyDescent="0.4">
      <c r="B88" s="1611">
        <v>2021</v>
      </c>
      <c r="C88" s="1612"/>
      <c r="D88" s="1612"/>
      <c r="E88" s="1612"/>
      <c r="F88" s="1612"/>
      <c r="G88" s="1612"/>
      <c r="H88" s="1612"/>
      <c r="I88" s="1612"/>
      <c r="J88" s="1612"/>
      <c r="K88" s="1612"/>
      <c r="L88" s="1612"/>
      <c r="M88" s="1612"/>
      <c r="N88" s="1612"/>
      <c r="O88" s="1612"/>
      <c r="P88" s="1612"/>
      <c r="Q88" s="1612"/>
      <c r="R88" s="1612"/>
      <c r="S88" s="1612"/>
      <c r="T88" s="1612"/>
      <c r="U88" s="1612"/>
      <c r="V88" s="1612"/>
      <c r="W88" s="1612"/>
      <c r="X88" s="1612"/>
      <c r="Y88" s="1612"/>
      <c r="Z88" s="1612"/>
      <c r="AA88" s="1612"/>
      <c r="AB88" s="1612"/>
      <c r="AC88" s="1613"/>
    </row>
    <row r="89" spans="1:36" s="441" customFormat="1" ht="60" customHeight="1" thickBot="1" x14ac:dyDescent="0.25">
      <c r="A89" s="438"/>
      <c r="B89" s="451" t="s">
        <v>130</v>
      </c>
      <c r="C89" s="451" t="s">
        <v>4</v>
      </c>
      <c r="D89" s="451" t="s">
        <v>5</v>
      </c>
      <c r="E89" s="451" t="s">
        <v>6</v>
      </c>
      <c r="F89" s="451" t="s">
        <v>7</v>
      </c>
      <c r="G89" s="451" t="s">
        <v>8</v>
      </c>
      <c r="H89" s="453" t="s">
        <v>9</v>
      </c>
      <c r="I89" s="453" t="s">
        <v>10</v>
      </c>
      <c r="J89" s="451" t="s">
        <v>11</v>
      </c>
      <c r="K89" s="451" t="s">
        <v>12</v>
      </c>
      <c r="L89" s="451" t="s">
        <v>13</v>
      </c>
      <c r="M89" s="451" t="s">
        <v>14</v>
      </c>
      <c r="N89" s="451" t="s">
        <v>15</v>
      </c>
      <c r="O89" s="452" t="s">
        <v>16</v>
      </c>
      <c r="P89" s="454" t="s">
        <v>17</v>
      </c>
      <c r="Q89" s="451" t="s">
        <v>18</v>
      </c>
      <c r="R89" s="452" t="s">
        <v>19</v>
      </c>
      <c r="S89" s="451" t="s">
        <v>20</v>
      </c>
      <c r="T89" s="451" t="s">
        <v>21</v>
      </c>
      <c r="U89" s="452" t="s">
        <v>22</v>
      </c>
      <c r="V89" s="451" t="s">
        <v>131</v>
      </c>
      <c r="W89" s="451" t="s">
        <v>24</v>
      </c>
      <c r="X89" s="451" t="s">
        <v>132</v>
      </c>
      <c r="Y89" s="451" t="s">
        <v>26</v>
      </c>
      <c r="Z89" s="451" t="s">
        <v>27</v>
      </c>
      <c r="AA89" s="451" t="s">
        <v>28</v>
      </c>
      <c r="AB89" s="451" t="s">
        <v>29</v>
      </c>
      <c r="AC89" s="451" t="s">
        <v>30</v>
      </c>
      <c r="AD89" s="439"/>
      <c r="AE89" s="440"/>
      <c r="AF89" s="440"/>
      <c r="AG89" s="440"/>
      <c r="AH89" s="440"/>
      <c r="AI89" s="440"/>
      <c r="AJ89" s="440"/>
    </row>
    <row r="90" spans="1:36" s="649" customFormat="1" ht="66.75" customHeight="1" thickBot="1" x14ac:dyDescent="0.25">
      <c r="B90" s="1022" t="s">
        <v>5697</v>
      </c>
      <c r="C90" s="1022" t="s">
        <v>5698</v>
      </c>
      <c r="D90" s="901" t="s">
        <v>7318</v>
      </c>
      <c r="E90" s="901"/>
      <c r="F90" s="1061" t="s">
        <v>7317</v>
      </c>
      <c r="G90" s="889" t="s">
        <v>39</v>
      </c>
      <c r="H90" s="890">
        <v>9767</v>
      </c>
      <c r="I90" s="902"/>
      <c r="J90" s="892">
        <v>44300</v>
      </c>
      <c r="K90" s="893">
        <v>110</v>
      </c>
      <c r="L90" s="892">
        <f>+J90+K90</f>
        <v>44410</v>
      </c>
      <c r="M90" s="892" t="s">
        <v>124</v>
      </c>
      <c r="N90" s="889" t="s">
        <v>110</v>
      </c>
      <c r="O90" s="892">
        <v>44439</v>
      </c>
      <c r="P90" s="893">
        <f>IF(S90="","",+S90-L90)</f>
        <v>129</v>
      </c>
      <c r="Q90" s="901" t="s">
        <v>7543</v>
      </c>
      <c r="R90" s="903">
        <v>44519</v>
      </c>
      <c r="S90" s="904">
        <v>44539</v>
      </c>
      <c r="T90" s="904">
        <f>+S90+5</f>
        <v>44544</v>
      </c>
      <c r="U90" s="893">
        <f>IF(T90="","",+T90-J90)</f>
        <v>244</v>
      </c>
      <c r="V90" s="901" t="s">
        <v>7316</v>
      </c>
      <c r="W90" s="1106" t="s">
        <v>7554</v>
      </c>
      <c r="X90" s="905"/>
      <c r="Y90" s="905"/>
      <c r="Z90" s="895" t="s">
        <v>7549</v>
      </c>
      <c r="AA90" s="889"/>
      <c r="AB90" s="909" t="s">
        <v>7315</v>
      </c>
      <c r="AC90" s="476" t="s">
        <v>7572</v>
      </c>
      <c r="AD90" s="645" t="str">
        <f>IF(P90="","",IF(P90&lt;=0,"en término","atrasado"))</f>
        <v>atrasado</v>
      </c>
      <c r="AE90" s="468" t="s">
        <v>7548</v>
      </c>
      <c r="AF90" s="468" t="s">
        <v>3846</v>
      </c>
    </row>
    <row r="99" spans="1:36" ht="12" thickBot="1" x14ac:dyDescent="0.25"/>
    <row r="100" spans="1:36" s="556" customFormat="1" ht="39.950000000000003" customHeight="1" thickBot="1" x14ac:dyDescent="0.4">
      <c r="B100" s="1611">
        <v>2023</v>
      </c>
      <c r="C100" s="1612"/>
      <c r="D100" s="1612"/>
      <c r="E100" s="1612"/>
      <c r="F100" s="1612"/>
      <c r="G100" s="1612"/>
      <c r="H100" s="1612"/>
      <c r="I100" s="1612"/>
      <c r="J100" s="1612"/>
      <c r="K100" s="1612"/>
      <c r="L100" s="1612"/>
      <c r="M100" s="1612"/>
      <c r="N100" s="1612"/>
      <c r="O100" s="1612"/>
      <c r="P100" s="1612"/>
      <c r="Q100" s="1612"/>
      <c r="R100" s="1612"/>
      <c r="S100" s="1612"/>
      <c r="T100" s="1612"/>
      <c r="U100" s="1612"/>
      <c r="V100" s="1612"/>
      <c r="W100" s="1612"/>
      <c r="X100" s="1612"/>
      <c r="Y100" s="1612"/>
      <c r="Z100" s="1612"/>
      <c r="AA100" s="1612"/>
      <c r="AB100" s="1612"/>
      <c r="AC100" s="1613"/>
    </row>
    <row r="101" spans="1:36" s="441" customFormat="1" ht="60" customHeight="1" thickBot="1" x14ac:dyDescent="0.25">
      <c r="A101" s="438"/>
      <c r="B101" s="451" t="s">
        <v>130</v>
      </c>
      <c r="C101" s="451" t="s">
        <v>4</v>
      </c>
      <c r="D101" s="451" t="s">
        <v>5</v>
      </c>
      <c r="E101" s="451" t="s">
        <v>6</v>
      </c>
      <c r="F101" s="451" t="s">
        <v>7</v>
      </c>
      <c r="G101" s="451" t="s">
        <v>8</v>
      </c>
      <c r="H101" s="453" t="s">
        <v>9</v>
      </c>
      <c r="I101" s="453" t="s">
        <v>10</v>
      </c>
      <c r="J101" s="451" t="s">
        <v>11</v>
      </c>
      <c r="K101" s="451" t="s">
        <v>12</v>
      </c>
      <c r="L101" s="451" t="s">
        <v>13</v>
      </c>
      <c r="M101" s="451" t="s">
        <v>14</v>
      </c>
      <c r="N101" s="451" t="s">
        <v>15</v>
      </c>
      <c r="O101" s="452" t="s">
        <v>16</v>
      </c>
      <c r="P101" s="454" t="s">
        <v>17</v>
      </c>
      <c r="Q101" s="451" t="s">
        <v>18</v>
      </c>
      <c r="R101" s="452" t="s">
        <v>19</v>
      </c>
      <c r="S101" s="451" t="s">
        <v>20</v>
      </c>
      <c r="T101" s="451" t="s">
        <v>21</v>
      </c>
      <c r="U101" s="452" t="s">
        <v>22</v>
      </c>
      <c r="V101" s="451" t="s">
        <v>131</v>
      </c>
      <c r="W101" s="451" t="s">
        <v>24</v>
      </c>
      <c r="X101" s="451" t="s">
        <v>132</v>
      </c>
      <c r="Y101" s="451" t="s">
        <v>26</v>
      </c>
      <c r="Z101" s="451" t="s">
        <v>27</v>
      </c>
      <c r="AA101" s="451" t="s">
        <v>28</v>
      </c>
      <c r="AB101" s="451" t="s">
        <v>29</v>
      </c>
      <c r="AC101" s="451" t="s">
        <v>30</v>
      </c>
      <c r="AD101" s="439"/>
      <c r="AE101" s="440"/>
      <c r="AF101" s="440"/>
      <c r="AG101" s="440" t="s">
        <v>7188</v>
      </c>
      <c r="AH101" s="440" t="s">
        <v>7189</v>
      </c>
      <c r="AI101" s="440" t="s">
        <v>7190</v>
      </c>
      <c r="AJ101" s="440" t="s">
        <v>8057</v>
      </c>
    </row>
    <row r="102" spans="1:36" s="649" customFormat="1" ht="54.95" customHeight="1" thickBot="1" x14ac:dyDescent="0.25">
      <c r="B102" s="1022" t="s">
        <v>5697</v>
      </c>
      <c r="C102" s="1022" t="s">
        <v>5698</v>
      </c>
      <c r="D102" s="901" t="s">
        <v>7830</v>
      </c>
      <c r="E102" s="901"/>
      <c r="F102" s="913" t="s">
        <v>7831</v>
      </c>
      <c r="G102" s="889" t="s">
        <v>39</v>
      </c>
      <c r="H102" s="890">
        <v>8481.6</v>
      </c>
      <c r="I102" s="902"/>
      <c r="J102" s="892">
        <v>44931</v>
      </c>
      <c r="K102" s="893">
        <v>100</v>
      </c>
      <c r="L102" s="892">
        <f>+J102+K102</f>
        <v>45031</v>
      </c>
      <c r="M102" s="892" t="s">
        <v>124</v>
      </c>
      <c r="N102" s="889" t="s">
        <v>110</v>
      </c>
      <c r="O102" s="892">
        <v>45089</v>
      </c>
      <c r="P102" s="893">
        <f>IF(S102="","",+S102-L102)</f>
        <v>77</v>
      </c>
      <c r="Q102" s="901" t="s">
        <v>8005</v>
      </c>
      <c r="R102" s="903">
        <v>45106</v>
      </c>
      <c r="S102" s="904">
        <v>45108</v>
      </c>
      <c r="T102" s="894">
        <v>45110</v>
      </c>
      <c r="U102" s="893">
        <f>IF(T102="","",+T102-J102)</f>
        <v>179</v>
      </c>
      <c r="V102" s="901" t="s">
        <v>53</v>
      </c>
      <c r="W102" s="1106" t="s">
        <v>8006</v>
      </c>
      <c r="X102" s="889"/>
      <c r="Y102" s="905"/>
      <c r="Z102" s="889"/>
      <c r="AA102" s="889"/>
      <c r="AB102" s="892">
        <v>45089</v>
      </c>
      <c r="AC102" s="476" t="s">
        <v>7977</v>
      </c>
      <c r="AD102" s="645" t="str">
        <f>IF(P102="","",IF(P102&lt;=0,"en término","atrasado"))</f>
        <v>atrasado</v>
      </c>
      <c r="AE102" s="468" t="s">
        <v>8004</v>
      </c>
      <c r="AF102" s="468" t="s">
        <v>2943</v>
      </c>
      <c r="AG102" s="1540">
        <v>45089</v>
      </c>
      <c r="AH102" s="649">
        <f>IF(AB102="","",+AB102-AG102)</f>
        <v>0</v>
      </c>
      <c r="AI102" s="649" t="str">
        <f t="shared" ref="AI102" si="3">IF(AH102="","",IF(AH102&lt;=0,"en término","atrasado"))</f>
        <v>en término</v>
      </c>
    </row>
    <row r="103" spans="1:36" s="649" customFormat="1" ht="83.25" customHeight="1" thickBot="1" x14ac:dyDescent="0.25">
      <c r="B103" s="1022" t="s">
        <v>5697</v>
      </c>
      <c r="C103" s="1022" t="s">
        <v>5698</v>
      </c>
      <c r="D103" s="901" t="s">
        <v>7749</v>
      </c>
      <c r="E103" s="901"/>
      <c r="F103" s="913" t="s">
        <v>7750</v>
      </c>
      <c r="G103" s="889" t="s">
        <v>39</v>
      </c>
      <c r="H103" s="890">
        <v>57773</v>
      </c>
      <c r="I103" s="902"/>
      <c r="J103" s="892">
        <v>44872</v>
      </c>
      <c r="K103" s="893">
        <v>130</v>
      </c>
      <c r="L103" s="892">
        <f>+J103+K103</f>
        <v>45002</v>
      </c>
      <c r="M103" s="892" t="s">
        <v>124</v>
      </c>
      <c r="N103" s="889" t="s">
        <v>42</v>
      </c>
      <c r="O103" s="892">
        <v>44938</v>
      </c>
      <c r="P103" s="893">
        <f>IF(S103="","",+S103-L103)</f>
        <v>32</v>
      </c>
      <c r="Q103" s="901" t="s">
        <v>7903</v>
      </c>
      <c r="R103" s="903">
        <v>45027</v>
      </c>
      <c r="S103" s="904">
        <v>45034</v>
      </c>
      <c r="T103" s="894">
        <f>+S103+45</f>
        <v>45079</v>
      </c>
      <c r="U103" s="893">
        <f>IF(T103="","",+T103-J103)</f>
        <v>207</v>
      </c>
      <c r="V103" s="901" t="s">
        <v>1269</v>
      </c>
      <c r="W103" s="1106" t="s">
        <v>7901</v>
      </c>
      <c r="X103" s="889"/>
      <c r="Y103" s="905"/>
      <c r="Z103" s="889"/>
      <c r="AA103" s="889"/>
      <c r="AB103" s="892">
        <v>45209</v>
      </c>
      <c r="AC103" s="476" t="s">
        <v>8066</v>
      </c>
      <c r="AD103" s="645" t="str">
        <f>IF(P103="","",IF(P103&lt;=0,"en término","atrasado"))</f>
        <v>atrasado</v>
      </c>
      <c r="AE103" s="468" t="s">
        <v>7899</v>
      </c>
      <c r="AF103" s="468" t="s">
        <v>2968</v>
      </c>
      <c r="AG103" s="1540">
        <f>+T103+30</f>
        <v>45109</v>
      </c>
      <c r="AH103" s="649">
        <f>IF(AB103="","",+AB103-AG103)</f>
        <v>100</v>
      </c>
      <c r="AI103" s="649" t="str">
        <f>IF(AH103="","",IF(AH103&lt;=0,"en término","atrasado"))</f>
        <v>atrasado</v>
      </c>
    </row>
  </sheetData>
  <mergeCells count="9">
    <mergeCell ref="B100:AC100"/>
    <mergeCell ref="B88:AC88"/>
    <mergeCell ref="B78:AC78"/>
    <mergeCell ref="B65:AC65"/>
    <mergeCell ref="B5:AC5"/>
    <mergeCell ref="B18:AC18"/>
    <mergeCell ref="B26:AC26"/>
    <mergeCell ref="B40:AC40"/>
    <mergeCell ref="B53:AC53"/>
  </mergeCells>
  <phoneticPr fontId="0" type="noConversion"/>
  <printOptions horizontalCentered="1"/>
  <pageMargins left="0.19685039370078741" right="0.31496062992125984" top="0.19685039370078741" bottom="0.55118110236220474" header="0" footer="0.19685039370078741"/>
  <pageSetup paperSize="5" scale="35" orientation="landscape" r:id="rId1"/>
  <headerFooter alignWithMargins="0">
    <oddFooter>&amp;LBNDF 3.1085 Rev. _ 3/11/00&amp;CINFORME O/C ENTREGADAS
- &amp;D&amp;R&amp;"Tahoma,Normal"&amp;9&amp;A &amp;P de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7">
    <pageSetUpPr fitToPage="1"/>
  </sheetPr>
  <dimension ref="A1:AJ20"/>
  <sheetViews>
    <sheetView topLeftCell="G11" zoomScaleNormal="100" workbookViewId="0">
      <selection activeCell="B8" sqref="B8:AC8"/>
    </sheetView>
  </sheetViews>
  <sheetFormatPr baseColWidth="10" defaultColWidth="11.42578125" defaultRowHeight="12.75" x14ac:dyDescent="0.2"/>
  <cols>
    <col min="1" max="1" width="2.5703125" customWidth="1"/>
    <col min="3" max="3" width="22.5703125" customWidth="1"/>
    <col min="4" max="4" width="10.7109375" customWidth="1"/>
    <col min="5" max="5" width="24.28515625" customWidth="1"/>
    <col min="6" max="6" width="20.85546875" customWidth="1"/>
    <col min="8" max="8" width="11.5703125" customWidth="1"/>
    <col min="10" max="10" width="12.140625" customWidth="1"/>
    <col min="11" max="11" width="10.140625" customWidth="1"/>
    <col min="12" max="12" width="14.28515625" customWidth="1"/>
    <col min="13" max="13" width="17.5703125" customWidth="1"/>
    <col min="14" max="14" width="17.140625" customWidth="1"/>
    <col min="15" max="15" width="13.7109375" customWidth="1"/>
    <col min="16" max="16" width="11.5703125" customWidth="1"/>
    <col min="17" max="17" width="14.140625" customWidth="1"/>
    <col min="18" max="18" width="17.85546875" customWidth="1"/>
    <col min="19" max="19" width="16" customWidth="1"/>
    <col min="20" max="20" width="16.42578125" customWidth="1"/>
    <col min="22" max="22" width="30.28515625" customWidth="1"/>
    <col min="23" max="23" width="11.85546875" customWidth="1"/>
    <col min="24" max="24" width="12.7109375" customWidth="1"/>
    <col min="26" max="26" width="13.28515625" customWidth="1"/>
    <col min="27" max="27" width="17.42578125" customWidth="1"/>
    <col min="29" max="29" width="69.140625" customWidth="1"/>
    <col min="30" max="30" width="9.28515625" customWidth="1"/>
  </cols>
  <sheetData>
    <row r="1" spans="1:36" s="2" customFormat="1" ht="25.5" x14ac:dyDescent="0.35">
      <c r="B1" s="558" t="s">
        <v>126</v>
      </c>
      <c r="D1" s="41"/>
      <c r="E1" s="41"/>
      <c r="F1" s="3"/>
      <c r="G1" s="3"/>
      <c r="I1" s="3"/>
      <c r="S1" s="310"/>
      <c r="W1" s="3"/>
      <c r="X1" s="3"/>
      <c r="Y1" s="3"/>
      <c r="Z1" s="945" t="s">
        <v>127</v>
      </c>
      <c r="AA1" s="1058">
        <f ca="1">TODAY()</f>
        <v>45457</v>
      </c>
      <c r="AB1" s="1058"/>
      <c r="AC1" s="3"/>
    </row>
    <row r="2" spans="1:36" s="2" customFormat="1" ht="23.25" x14ac:dyDescent="0.35">
      <c r="B2" s="559" t="s">
        <v>128</v>
      </c>
      <c r="D2" s="41"/>
      <c r="E2" s="41"/>
      <c r="F2" s="3"/>
      <c r="G2" s="3"/>
      <c r="I2" s="3"/>
      <c r="S2" s="310"/>
      <c r="W2" s="3"/>
      <c r="X2" s="3"/>
      <c r="Y2" s="3"/>
      <c r="AC2" s="3"/>
    </row>
    <row r="3" spans="1:36" s="2" customFormat="1" ht="6" customHeight="1" x14ac:dyDescent="0.2">
      <c r="B3" s="310"/>
      <c r="D3" s="41"/>
      <c r="E3" s="41"/>
      <c r="F3" s="3"/>
      <c r="G3" s="3"/>
      <c r="I3" s="3"/>
      <c r="S3" s="310"/>
      <c r="W3" s="3"/>
      <c r="X3" s="3"/>
      <c r="Y3" s="3"/>
      <c r="AC3" s="3"/>
    </row>
    <row r="4" spans="1:36" s="2" customFormat="1" ht="12" thickBot="1" x14ac:dyDescent="0.25">
      <c r="B4" s="310"/>
      <c r="D4" s="41"/>
      <c r="E4" s="41"/>
      <c r="F4" s="3"/>
      <c r="G4" s="3"/>
      <c r="I4" s="3"/>
      <c r="S4" s="310"/>
      <c r="W4" s="3"/>
      <c r="X4" s="3"/>
      <c r="Y4" s="3"/>
      <c r="AC4" s="3"/>
    </row>
    <row r="5" spans="1:36" s="556" customFormat="1" ht="39.950000000000003" customHeight="1" thickBot="1" x14ac:dyDescent="0.4">
      <c r="B5" s="1611">
        <v>2011</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ht="47.25" customHeight="1" thickBot="1" x14ac:dyDescent="0.25">
      <c r="B7" s="768" t="s">
        <v>5799</v>
      </c>
      <c r="C7" s="768" t="s">
        <v>5800</v>
      </c>
      <c r="D7" s="769" t="s">
        <v>5801</v>
      </c>
      <c r="E7" s="769"/>
      <c r="F7" s="770" t="s">
        <v>5802</v>
      </c>
      <c r="G7" s="770" t="s">
        <v>1535</v>
      </c>
      <c r="H7" s="771">
        <v>10384</v>
      </c>
      <c r="I7" s="772" t="s">
        <v>5803</v>
      </c>
      <c r="J7" s="773">
        <v>40536</v>
      </c>
      <c r="K7" s="774">
        <v>90</v>
      </c>
      <c r="L7" s="775">
        <f>+J7+K7</f>
        <v>40626</v>
      </c>
      <c r="M7" s="772" t="s">
        <v>124</v>
      </c>
      <c r="N7" s="776" t="s">
        <v>1750</v>
      </c>
      <c r="O7" s="773">
        <v>40620</v>
      </c>
      <c r="P7" s="774">
        <f>IF(S7="","",+S7-L7)</f>
        <v>32</v>
      </c>
      <c r="Q7" s="774" t="s">
        <v>5804</v>
      </c>
      <c r="R7" s="773">
        <v>40648</v>
      </c>
      <c r="S7" s="777">
        <v>40658</v>
      </c>
      <c r="T7" s="775">
        <f>+S7+40</f>
        <v>40698</v>
      </c>
      <c r="U7" s="774">
        <f>IF(T7="","",+T7-J7)</f>
        <v>162</v>
      </c>
      <c r="V7" s="776" t="s">
        <v>5805</v>
      </c>
      <c r="W7" s="778" t="s">
        <v>2261</v>
      </c>
      <c r="X7" s="779"/>
      <c r="Y7" s="779"/>
      <c r="Z7" s="776">
        <v>3110071646</v>
      </c>
      <c r="AA7" s="769"/>
      <c r="AB7" s="773" t="s">
        <v>5806</v>
      </c>
      <c r="AC7" s="780" t="s">
        <v>5807</v>
      </c>
      <c r="AD7" s="639" t="str">
        <f>IF(O7="","",IF(O7&lt;=0,"en término","atrasado"))</f>
        <v>atrasado</v>
      </c>
      <c r="AE7" s="646"/>
    </row>
    <row r="17" spans="1:36" ht="13.5" thickBot="1" x14ac:dyDescent="0.25"/>
    <row r="18" spans="1:36" s="556" customFormat="1" ht="39.950000000000003" customHeight="1" thickBot="1" x14ac:dyDescent="0.4">
      <c r="B18" s="1611">
        <v>2014</v>
      </c>
      <c r="C18" s="1612"/>
      <c r="D18" s="1612"/>
      <c r="E18" s="1612"/>
      <c r="F18" s="1612"/>
      <c r="G18" s="1612"/>
      <c r="H18" s="1612"/>
      <c r="I18" s="1612"/>
      <c r="J18" s="1612"/>
      <c r="K18" s="1612"/>
      <c r="L18" s="1612"/>
      <c r="M18" s="1612"/>
      <c r="N18" s="1612"/>
      <c r="O18" s="1612"/>
      <c r="P18" s="1612"/>
      <c r="Q18" s="1612"/>
      <c r="R18" s="1612"/>
      <c r="S18" s="1612"/>
      <c r="T18" s="1612"/>
      <c r="U18" s="1612"/>
      <c r="V18" s="1612"/>
      <c r="W18" s="1612"/>
      <c r="X18" s="1612"/>
      <c r="Y18" s="1612"/>
      <c r="Z18" s="1612"/>
      <c r="AA18" s="1612"/>
      <c r="AB18" s="1612"/>
      <c r="AC18" s="1613"/>
    </row>
    <row r="19" spans="1:36" s="441" customFormat="1" ht="60" customHeight="1" thickBot="1" x14ac:dyDescent="0.25">
      <c r="A19" s="438"/>
      <c r="B19" s="451" t="s">
        <v>130</v>
      </c>
      <c r="C19" s="451" t="s">
        <v>4</v>
      </c>
      <c r="D19" s="451" t="s">
        <v>5</v>
      </c>
      <c r="E19" s="451" t="s">
        <v>6</v>
      </c>
      <c r="F19" s="451" t="s">
        <v>7</v>
      </c>
      <c r="G19" s="451" t="s">
        <v>8</v>
      </c>
      <c r="H19" s="453" t="s">
        <v>9</v>
      </c>
      <c r="I19" s="453" t="s">
        <v>10</v>
      </c>
      <c r="J19" s="451" t="s">
        <v>11</v>
      </c>
      <c r="K19" s="451" t="s">
        <v>12</v>
      </c>
      <c r="L19" s="451" t="s">
        <v>13</v>
      </c>
      <c r="M19" s="451" t="s">
        <v>14</v>
      </c>
      <c r="N19" s="451" t="s">
        <v>15</v>
      </c>
      <c r="O19" s="452" t="s">
        <v>16</v>
      </c>
      <c r="P19" s="454" t="s">
        <v>17</v>
      </c>
      <c r="Q19" s="451" t="s">
        <v>18</v>
      </c>
      <c r="R19" s="452" t="s">
        <v>19</v>
      </c>
      <c r="S19" s="451" t="s">
        <v>20</v>
      </c>
      <c r="T19" s="451" t="s">
        <v>21</v>
      </c>
      <c r="U19" s="452" t="s">
        <v>22</v>
      </c>
      <c r="V19" s="451" t="s">
        <v>131</v>
      </c>
      <c r="W19" s="451" t="s">
        <v>24</v>
      </c>
      <c r="X19" s="451" t="s">
        <v>132</v>
      </c>
      <c r="Y19" s="451" t="s">
        <v>26</v>
      </c>
      <c r="Z19" s="451" t="s">
        <v>27</v>
      </c>
      <c r="AA19" s="451" t="s">
        <v>28</v>
      </c>
      <c r="AB19" s="451" t="s">
        <v>29</v>
      </c>
      <c r="AC19" s="451" t="s">
        <v>30</v>
      </c>
      <c r="AD19" s="439"/>
      <c r="AE19" s="440"/>
      <c r="AF19" s="440"/>
      <c r="AG19" s="440"/>
      <c r="AH19" s="440"/>
      <c r="AI19" s="440"/>
      <c r="AJ19" s="440"/>
    </row>
    <row r="20" spans="1:36" s="587" customFormat="1" ht="54.95" customHeight="1" thickBot="1" x14ac:dyDescent="0.25">
      <c r="A20" s="649"/>
      <c r="B20" s="887" t="s">
        <v>5799</v>
      </c>
      <c r="C20" s="911" t="s">
        <v>5808</v>
      </c>
      <c r="D20" s="888" t="s">
        <v>5809</v>
      </c>
      <c r="E20" s="888"/>
      <c r="F20" s="889" t="s">
        <v>5810</v>
      </c>
      <c r="G20" s="889" t="s">
        <v>4633</v>
      </c>
      <c r="H20" s="890">
        <v>2874.11</v>
      </c>
      <c r="I20" s="891" t="s">
        <v>5803</v>
      </c>
      <c r="J20" s="892">
        <v>41795</v>
      </c>
      <c r="K20" s="893">
        <v>45</v>
      </c>
      <c r="L20" s="894">
        <f>+J20+K20</f>
        <v>41840</v>
      </c>
      <c r="M20" s="891" t="s">
        <v>124</v>
      </c>
      <c r="N20" s="895" t="s">
        <v>110</v>
      </c>
      <c r="O20" s="892">
        <v>41842</v>
      </c>
      <c r="P20" s="893">
        <f>IF(S20="","",+S20-L20)</f>
        <v>24</v>
      </c>
      <c r="Q20" s="893"/>
      <c r="R20" s="892">
        <v>41862</v>
      </c>
      <c r="S20" s="896">
        <v>41864</v>
      </c>
      <c r="T20" s="894">
        <f>+S20+15</f>
        <v>41879</v>
      </c>
      <c r="U20" s="893">
        <f>IF(T20="","",+T20-J20)</f>
        <v>84</v>
      </c>
      <c r="V20" s="895" t="s">
        <v>2183</v>
      </c>
      <c r="W20" s="897" t="s">
        <v>2298</v>
      </c>
      <c r="X20" s="905"/>
      <c r="Y20" s="905"/>
      <c r="Z20" s="895"/>
      <c r="AA20" s="888"/>
      <c r="AB20" s="892" t="s">
        <v>5640</v>
      </c>
      <c r="AC20" s="899" t="s">
        <v>5811</v>
      </c>
      <c r="AD20" s="645" t="str">
        <f>IF(P20="","",IF(P20&lt;=0,"en término","atrasado"))</f>
        <v>atrasado</v>
      </c>
      <c r="AE20" s="468"/>
      <c r="AF20" s="468" t="s">
        <v>2957</v>
      </c>
    </row>
  </sheetData>
  <mergeCells count="2">
    <mergeCell ref="B5:AC5"/>
    <mergeCell ref="B18:AC18"/>
  </mergeCells>
  <phoneticPr fontId="66" type="noConversion"/>
  <pageMargins left="0.34" right="0.47" top="0.64" bottom="0.98425196850393704" header="0" footer="0"/>
  <pageSetup paperSize="5" scale="33"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8"/>
  <dimension ref="A1:AJ21"/>
  <sheetViews>
    <sheetView topLeftCell="G12"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2" customWidth="1"/>
    <col min="29" max="29" width="68.85546875" style="3" customWidth="1"/>
    <col min="30" max="16384" width="11.42578125" style="2"/>
  </cols>
  <sheetData>
    <row r="1" spans="1:36" ht="25.5" x14ac:dyDescent="0.35">
      <c r="B1" s="558" t="s">
        <v>126</v>
      </c>
      <c r="Z1" s="945" t="s">
        <v>127</v>
      </c>
      <c r="AA1" s="1058">
        <f ca="1">TODAY()</f>
        <v>45457</v>
      </c>
      <c r="AB1" s="1058"/>
    </row>
    <row r="2" spans="1:36" ht="23.25" x14ac:dyDescent="0.35">
      <c r="B2" s="559" t="s">
        <v>128</v>
      </c>
    </row>
    <row r="3" spans="1:36" ht="6" customHeight="1" x14ac:dyDescent="0.2"/>
    <row r="4" spans="1:36" ht="12" thickBot="1" x14ac:dyDescent="0.25"/>
    <row r="5" spans="1:36" s="556" customFormat="1" ht="39.950000000000003" customHeight="1" thickBot="1" x14ac:dyDescent="0.4">
      <c r="B5" s="1611">
        <v>2004</v>
      </c>
      <c r="C5" s="1612"/>
      <c r="D5" s="1612"/>
      <c r="E5" s="1612"/>
      <c r="F5" s="1612"/>
      <c r="G5" s="1612"/>
      <c r="H5" s="1612"/>
      <c r="I5" s="1612"/>
      <c r="J5" s="1612"/>
      <c r="K5" s="1612"/>
      <c r="L5" s="1612"/>
      <c r="M5" s="1612"/>
      <c r="N5" s="1612"/>
      <c r="O5" s="1612"/>
      <c r="P5" s="1612"/>
      <c r="Q5" s="1612"/>
      <c r="R5" s="1612"/>
      <c r="S5" s="1612"/>
      <c r="T5" s="1612"/>
      <c r="U5" s="1612"/>
      <c r="V5" s="1612"/>
      <c r="W5" s="1612"/>
      <c r="X5" s="1612"/>
      <c r="Y5" s="1612"/>
      <c r="Z5" s="1612"/>
      <c r="AA5" s="1612"/>
      <c r="AB5" s="1612"/>
      <c r="AC5" s="1613"/>
    </row>
    <row r="6" spans="1:36" s="441" customFormat="1" ht="60" customHeight="1" thickBot="1" x14ac:dyDescent="0.25">
      <c r="A6" s="438"/>
      <c r="B6" s="451" t="s">
        <v>130</v>
      </c>
      <c r="C6" s="451" t="s">
        <v>4</v>
      </c>
      <c r="D6" s="451" t="s">
        <v>5</v>
      </c>
      <c r="E6" s="451" t="s">
        <v>6</v>
      </c>
      <c r="F6" s="451" t="s">
        <v>7</v>
      </c>
      <c r="G6" s="451" t="s">
        <v>8</v>
      </c>
      <c r="H6" s="453" t="s">
        <v>9</v>
      </c>
      <c r="I6" s="453" t="s">
        <v>10</v>
      </c>
      <c r="J6" s="451" t="s">
        <v>11</v>
      </c>
      <c r="K6" s="451" t="s">
        <v>12</v>
      </c>
      <c r="L6" s="451" t="s">
        <v>13</v>
      </c>
      <c r="M6" s="451" t="s">
        <v>14</v>
      </c>
      <c r="N6" s="451" t="s">
        <v>15</v>
      </c>
      <c r="O6" s="452" t="s">
        <v>16</v>
      </c>
      <c r="P6" s="454" t="s">
        <v>17</v>
      </c>
      <c r="Q6" s="451" t="s">
        <v>18</v>
      </c>
      <c r="R6" s="452" t="s">
        <v>19</v>
      </c>
      <c r="S6" s="451" t="s">
        <v>20</v>
      </c>
      <c r="T6" s="451" t="s">
        <v>21</v>
      </c>
      <c r="U6" s="452" t="s">
        <v>22</v>
      </c>
      <c r="V6" s="451" t="s">
        <v>131</v>
      </c>
      <c r="W6" s="451" t="s">
        <v>24</v>
      </c>
      <c r="X6" s="451" t="s">
        <v>132</v>
      </c>
      <c r="Y6" s="451" t="s">
        <v>26</v>
      </c>
      <c r="Z6" s="451" t="s">
        <v>27</v>
      </c>
      <c r="AA6" s="451" t="s">
        <v>28</v>
      </c>
      <c r="AB6" s="451" t="s">
        <v>29</v>
      </c>
      <c r="AC6" s="451" t="s">
        <v>30</v>
      </c>
      <c r="AD6" s="439"/>
      <c r="AE6" s="440"/>
      <c r="AF6" s="440"/>
      <c r="AG6" s="440"/>
      <c r="AH6" s="440"/>
      <c r="AI6" s="440"/>
      <c r="AJ6" s="440"/>
    </row>
    <row r="7" spans="1:36" s="9" customFormat="1" x14ac:dyDescent="0.2">
      <c r="A7" s="328"/>
      <c r="B7" s="11"/>
      <c r="C7" s="11"/>
      <c r="D7" s="91"/>
      <c r="E7" s="91"/>
      <c r="F7" s="12"/>
      <c r="G7" s="12"/>
      <c r="H7" s="13"/>
      <c r="I7" s="13"/>
      <c r="J7" s="91"/>
      <c r="K7" s="91"/>
      <c r="L7" s="134"/>
      <c r="M7" s="12"/>
      <c r="N7" s="12"/>
      <c r="O7" s="12"/>
      <c r="P7" s="12"/>
      <c r="Q7" s="12"/>
      <c r="R7" s="12"/>
      <c r="S7" s="12"/>
      <c r="T7" s="12"/>
      <c r="U7" s="12"/>
      <c r="V7" s="238" t="s">
        <v>5812</v>
      </c>
      <c r="W7" s="12"/>
      <c r="X7" s="57"/>
      <c r="Y7" s="57"/>
      <c r="Z7" s="12"/>
      <c r="AA7" s="12"/>
      <c r="AB7" s="12"/>
      <c r="AC7" s="12"/>
      <c r="AD7" s="330"/>
    </row>
    <row r="8" spans="1:36" s="9" customFormat="1" x14ac:dyDescent="0.2">
      <c r="A8" s="328"/>
      <c r="B8" s="16" t="s">
        <v>5813</v>
      </c>
      <c r="C8" s="16" t="s">
        <v>5814</v>
      </c>
      <c r="D8" s="7" t="s">
        <v>5815</v>
      </c>
      <c r="E8" s="7"/>
      <c r="F8" s="6">
        <v>6600056082</v>
      </c>
      <c r="G8" s="6" t="s">
        <v>5816</v>
      </c>
      <c r="H8" s="17">
        <v>3597.87</v>
      </c>
      <c r="I8" s="39" t="s">
        <v>5817</v>
      </c>
      <c r="J8" s="7">
        <v>38264</v>
      </c>
      <c r="K8" s="331">
        <v>30</v>
      </c>
      <c r="L8" s="23">
        <f>+J8+30</f>
        <v>38294</v>
      </c>
      <c r="M8" s="18" t="s">
        <v>5818</v>
      </c>
      <c r="N8" s="6" t="s">
        <v>4666</v>
      </c>
      <c r="O8" s="7">
        <v>38268</v>
      </c>
      <c r="P8" s="331">
        <f>IF(T8="","",+T8-L8)</f>
        <v>-21</v>
      </c>
      <c r="Q8" s="331"/>
      <c r="R8" s="331"/>
      <c r="S8" s="7"/>
      <c r="T8" s="7">
        <v>38273</v>
      </c>
      <c r="U8" s="331">
        <f>IF(T8="","",+T8-J8)</f>
        <v>9</v>
      </c>
      <c r="V8" s="67" t="s">
        <v>5819</v>
      </c>
      <c r="W8" s="6">
        <v>7564</v>
      </c>
      <c r="X8" s="59"/>
      <c r="Y8" s="59"/>
      <c r="Z8" s="6" t="s">
        <v>5820</v>
      </c>
      <c r="AA8" s="7" t="s">
        <v>47</v>
      </c>
      <c r="AB8" s="507" t="s">
        <v>47</v>
      </c>
      <c r="AC8" s="507"/>
      <c r="AD8" s="333"/>
    </row>
    <row r="9" spans="1:36" s="9" customFormat="1" ht="12" thickBot="1" x14ac:dyDescent="0.25">
      <c r="A9" s="328"/>
      <c r="B9" s="19"/>
      <c r="C9" s="19" t="s">
        <v>5821</v>
      </c>
      <c r="D9" s="5"/>
      <c r="E9" s="5"/>
      <c r="F9" s="5"/>
      <c r="G9" s="5"/>
      <c r="H9" s="26"/>
      <c r="I9" s="21"/>
      <c r="J9" s="5"/>
      <c r="K9" s="5"/>
      <c r="L9" s="27"/>
      <c r="M9" s="5"/>
      <c r="N9" s="5" t="s">
        <v>5822</v>
      </c>
      <c r="O9" s="5"/>
      <c r="P9" s="5"/>
      <c r="Q9" s="5"/>
      <c r="R9" s="5"/>
      <c r="S9" s="27"/>
      <c r="T9" s="5"/>
      <c r="U9" s="5"/>
      <c r="V9" s="334" t="s">
        <v>5823</v>
      </c>
      <c r="W9" s="5"/>
      <c r="X9" s="61"/>
      <c r="Y9" s="61"/>
      <c r="Z9" s="5"/>
      <c r="AA9" s="5"/>
      <c r="AB9" s="27">
        <v>38359</v>
      </c>
      <c r="AC9" s="27"/>
      <c r="AD9" s="330"/>
    </row>
    <row r="10" spans="1:36" s="28" customFormat="1" ht="15.75" customHeight="1" x14ac:dyDescent="0.2">
      <c r="A10" s="328"/>
      <c r="B10" s="335"/>
      <c r="C10" s="336"/>
      <c r="D10" s="336"/>
      <c r="E10" s="336"/>
      <c r="F10" s="336"/>
      <c r="G10" s="336"/>
      <c r="H10" s="336"/>
      <c r="I10" s="336"/>
      <c r="J10" s="336"/>
      <c r="K10" s="336"/>
      <c r="L10" s="336"/>
      <c r="M10" s="336"/>
      <c r="N10" s="336"/>
      <c r="O10" s="336"/>
      <c r="P10" s="336"/>
      <c r="Q10" s="336"/>
      <c r="R10" s="336"/>
      <c r="S10" s="336"/>
      <c r="W10" s="337"/>
      <c r="X10" s="337"/>
      <c r="Y10" s="337"/>
      <c r="Z10" s="337"/>
      <c r="AA10" s="337"/>
      <c r="AB10" s="337"/>
      <c r="AC10" s="337"/>
      <c r="AD10" s="330"/>
    </row>
    <row r="18" spans="1:36" ht="12" thickBot="1" x14ac:dyDescent="0.25"/>
    <row r="19" spans="1:36" s="556" customFormat="1" ht="39.950000000000003" customHeight="1" thickBot="1" x14ac:dyDescent="0.4">
      <c r="B19" s="1611">
        <v>2009</v>
      </c>
      <c r="C19" s="1612"/>
      <c r="D19" s="1612"/>
      <c r="E19" s="1612"/>
      <c r="F19" s="1612"/>
      <c r="G19" s="1612"/>
      <c r="H19" s="1612"/>
      <c r="I19" s="1612"/>
      <c r="J19" s="1612"/>
      <c r="K19" s="1612"/>
      <c r="L19" s="1612"/>
      <c r="M19" s="1612"/>
      <c r="N19" s="1612"/>
      <c r="O19" s="1612"/>
      <c r="P19" s="1612"/>
      <c r="Q19" s="1612"/>
      <c r="R19" s="1612"/>
      <c r="S19" s="1612"/>
      <c r="T19" s="1612"/>
      <c r="U19" s="1612"/>
      <c r="V19" s="1612"/>
      <c r="W19" s="1612"/>
      <c r="X19" s="1612"/>
      <c r="Y19" s="1612"/>
      <c r="Z19" s="1612"/>
      <c r="AA19" s="1612"/>
      <c r="AB19" s="1612"/>
      <c r="AC19" s="1613"/>
    </row>
    <row r="20" spans="1:36" s="441" customFormat="1" ht="60" customHeight="1" thickBot="1" x14ac:dyDescent="0.25">
      <c r="A20" s="438"/>
      <c r="B20" s="451" t="s">
        <v>130</v>
      </c>
      <c r="C20" s="451" t="s">
        <v>4</v>
      </c>
      <c r="D20" s="451" t="s">
        <v>5</v>
      </c>
      <c r="E20" s="451" t="s">
        <v>6</v>
      </c>
      <c r="F20" s="451" t="s">
        <v>7</v>
      </c>
      <c r="G20" s="451" t="s">
        <v>8</v>
      </c>
      <c r="H20" s="453" t="s">
        <v>9</v>
      </c>
      <c r="I20" s="453" t="s">
        <v>10</v>
      </c>
      <c r="J20" s="451" t="s">
        <v>11</v>
      </c>
      <c r="K20" s="451" t="s">
        <v>12</v>
      </c>
      <c r="L20" s="451" t="s">
        <v>13</v>
      </c>
      <c r="M20" s="451" t="s">
        <v>14</v>
      </c>
      <c r="N20" s="451" t="s">
        <v>15</v>
      </c>
      <c r="O20" s="452" t="s">
        <v>16</v>
      </c>
      <c r="P20" s="454" t="s">
        <v>17</v>
      </c>
      <c r="Q20" s="451" t="s">
        <v>18</v>
      </c>
      <c r="R20" s="452" t="s">
        <v>19</v>
      </c>
      <c r="S20" s="451" t="s">
        <v>20</v>
      </c>
      <c r="T20" s="451" t="s">
        <v>21</v>
      </c>
      <c r="U20" s="452" t="s">
        <v>22</v>
      </c>
      <c r="V20" s="451" t="s">
        <v>131</v>
      </c>
      <c r="W20" s="451" t="s">
        <v>24</v>
      </c>
      <c r="X20" s="451" t="s">
        <v>132</v>
      </c>
      <c r="Y20" s="451" t="s">
        <v>26</v>
      </c>
      <c r="Z20" s="451" t="s">
        <v>27</v>
      </c>
      <c r="AA20" s="451" t="s">
        <v>28</v>
      </c>
      <c r="AB20" s="451" t="s">
        <v>29</v>
      </c>
      <c r="AC20" s="451" t="s">
        <v>30</v>
      </c>
      <c r="AD20" s="439"/>
      <c r="AE20" s="440"/>
      <c r="AF20" s="440"/>
      <c r="AG20" s="440"/>
      <c r="AH20" s="440"/>
      <c r="AI20" s="440"/>
      <c r="AJ20" s="440"/>
    </row>
    <row r="21" spans="1:36" s="587" customFormat="1" ht="54.95" customHeight="1" thickBot="1" x14ac:dyDescent="0.25">
      <c r="A21" s="584"/>
      <c r="B21" s="455" t="s">
        <v>5813</v>
      </c>
      <c r="C21" s="455" t="s">
        <v>5824</v>
      </c>
      <c r="D21" s="456" t="s">
        <v>5825</v>
      </c>
      <c r="E21" s="456"/>
      <c r="F21" s="457">
        <v>70905</v>
      </c>
      <c r="G21" s="457" t="s">
        <v>4299</v>
      </c>
      <c r="H21" s="458">
        <v>1377</v>
      </c>
      <c r="I21" s="459" t="s">
        <v>124</v>
      </c>
      <c r="J21" s="460">
        <v>40009</v>
      </c>
      <c r="K21" s="461">
        <v>7</v>
      </c>
      <c r="L21" s="462">
        <f>+J21+K21</f>
        <v>40016</v>
      </c>
      <c r="M21" s="459" t="s">
        <v>124</v>
      </c>
      <c r="N21" s="457" t="s">
        <v>4666</v>
      </c>
      <c r="O21" s="460">
        <v>40011</v>
      </c>
      <c r="P21" s="461" t="str">
        <f>IF(S21="","",+S21-L21)</f>
        <v/>
      </c>
      <c r="Q21" s="591" t="s">
        <v>5826</v>
      </c>
      <c r="R21" s="1657">
        <v>40016</v>
      </c>
      <c r="S21" s="1658"/>
      <c r="T21" s="1659"/>
      <c r="U21" s="461">
        <f>IF(R21="","",+R21-J21)</f>
        <v>7</v>
      </c>
      <c r="V21" s="468" t="s">
        <v>5827</v>
      </c>
      <c r="W21" s="457">
        <v>5386</v>
      </c>
      <c r="X21" s="592"/>
      <c r="Y21" s="467"/>
      <c r="Z21" s="468" t="s">
        <v>1676</v>
      </c>
      <c r="AA21" s="456" t="s">
        <v>5828</v>
      </c>
      <c r="AB21" s="589" t="s">
        <v>5829</v>
      </c>
      <c r="AC21" s="470"/>
      <c r="AD21" s="586"/>
      <c r="AE21" s="645" t="str">
        <f>IF(O21&lt;=L21,"en término","atrasado")</f>
        <v>en término</v>
      </c>
    </row>
  </sheetData>
  <mergeCells count="3">
    <mergeCell ref="B5:AC5"/>
    <mergeCell ref="R21:T21"/>
    <mergeCell ref="B19:AC19"/>
  </mergeCells>
  <phoneticPr fontId="0" type="noConversion"/>
  <printOptions horizontalCentered="1"/>
  <pageMargins left="0.19685039370078741" right="0.75" top="0.19685039370078741" bottom="0.55118110236220474" header="0" footer="0.19685039370078741"/>
  <pageSetup paperSize="5" scale="37" orientation="landscape" horizontalDpi="300" verticalDpi="300" r:id="rId1"/>
  <headerFooter alignWithMargins="0">
    <oddFooter>&amp;LBNDF 3.1085 Rev. _ 3/11/00&amp;CINFORME O/C ENTREGADAS
- &amp;D&amp;R&amp;"Tahoma,Normal"&amp;9&amp;A &amp;P de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K93"/>
  <sheetViews>
    <sheetView topLeftCell="G82"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4" ht="25.5" x14ac:dyDescent="0.35">
      <c r="B1" s="558" t="s">
        <v>126</v>
      </c>
      <c r="Z1" s="945" t="s">
        <v>127</v>
      </c>
      <c r="AA1" s="1058">
        <f ca="1">TODAY()</f>
        <v>45457</v>
      </c>
    </row>
    <row r="2" spans="1:34" ht="23.25" x14ac:dyDescent="0.35">
      <c r="B2" s="559" t="s">
        <v>128</v>
      </c>
    </row>
    <row r="3" spans="1:34" ht="6" customHeight="1" x14ac:dyDescent="0.2"/>
    <row r="4" spans="1:34" ht="6" customHeight="1" x14ac:dyDescent="0.2"/>
    <row r="5" spans="1:34" ht="12" thickBot="1" x14ac:dyDescent="0.25"/>
    <row r="6" spans="1:34" s="556" customFormat="1" ht="39.950000000000003" customHeight="1" thickBot="1" x14ac:dyDescent="0.4">
      <c r="B6" s="1611">
        <v>2004</v>
      </c>
      <c r="C6" s="1612"/>
      <c r="D6" s="1612"/>
      <c r="E6" s="1612"/>
      <c r="F6" s="1612"/>
      <c r="G6" s="1612"/>
      <c r="H6" s="1612"/>
      <c r="I6" s="1612"/>
      <c r="J6" s="1612"/>
      <c r="K6" s="1612"/>
      <c r="L6" s="1612"/>
      <c r="M6" s="1612"/>
      <c r="N6" s="1612"/>
      <c r="O6" s="1612"/>
      <c r="P6" s="1612"/>
      <c r="Q6" s="1612"/>
      <c r="R6" s="1612"/>
      <c r="S6" s="1612"/>
      <c r="T6" s="1612"/>
      <c r="U6" s="1612"/>
      <c r="V6" s="1612"/>
      <c r="W6" s="1612"/>
      <c r="X6" s="1612"/>
      <c r="Y6" s="1612"/>
      <c r="Z6" s="1612"/>
      <c r="AA6" s="1612"/>
      <c r="AB6" s="1612"/>
      <c r="AC6" s="1613"/>
      <c r="AD6" s="555"/>
    </row>
    <row r="7" spans="1:34" s="441" customFormat="1" ht="60" customHeight="1" thickBot="1" x14ac:dyDescent="0.25">
      <c r="A7" s="438"/>
      <c r="B7" s="451" t="s">
        <v>130</v>
      </c>
      <c r="C7" s="451" t="s">
        <v>4</v>
      </c>
      <c r="D7" s="451" t="s">
        <v>5</v>
      </c>
      <c r="E7" s="451" t="s">
        <v>6</v>
      </c>
      <c r="F7" s="451" t="s">
        <v>7</v>
      </c>
      <c r="G7" s="451" t="s">
        <v>8</v>
      </c>
      <c r="H7" s="453" t="s">
        <v>9</v>
      </c>
      <c r="I7" s="453" t="s">
        <v>10</v>
      </c>
      <c r="J7" s="451" t="s">
        <v>11</v>
      </c>
      <c r="K7" s="451" t="s">
        <v>12</v>
      </c>
      <c r="L7" s="451" t="s">
        <v>13</v>
      </c>
      <c r="M7" s="451" t="s">
        <v>14</v>
      </c>
      <c r="N7" s="451" t="s">
        <v>15</v>
      </c>
      <c r="O7" s="452" t="s">
        <v>16</v>
      </c>
      <c r="P7" s="454" t="s">
        <v>17</v>
      </c>
      <c r="Q7" s="451" t="s">
        <v>18</v>
      </c>
      <c r="R7" s="452" t="s">
        <v>19</v>
      </c>
      <c r="S7" s="451" t="s">
        <v>20</v>
      </c>
      <c r="T7" s="451" t="s">
        <v>21</v>
      </c>
      <c r="U7" s="452" t="s">
        <v>22</v>
      </c>
      <c r="V7" s="451" t="s">
        <v>131</v>
      </c>
      <c r="W7" s="451" t="s">
        <v>24</v>
      </c>
      <c r="X7" s="451" t="s">
        <v>132</v>
      </c>
      <c r="Y7" s="451" t="s">
        <v>26</v>
      </c>
      <c r="Z7" s="451" t="s">
        <v>27</v>
      </c>
      <c r="AA7" s="451" t="s">
        <v>28</v>
      </c>
      <c r="AB7" s="451" t="s">
        <v>29</v>
      </c>
      <c r="AC7" s="451" t="s">
        <v>30</v>
      </c>
      <c r="AD7" s="439"/>
      <c r="AE7" s="440"/>
      <c r="AF7" s="440"/>
      <c r="AG7" s="440"/>
      <c r="AH7" s="440"/>
    </row>
    <row r="8" spans="1:34" s="9" customFormat="1" x14ac:dyDescent="0.2">
      <c r="B8" s="312"/>
      <c r="C8" s="16"/>
      <c r="D8" s="7"/>
      <c r="E8" s="7"/>
      <c r="F8" s="6"/>
      <c r="G8" s="6"/>
      <c r="H8" s="17"/>
      <c r="I8" s="17"/>
      <c r="J8" s="7"/>
      <c r="K8" s="7"/>
      <c r="L8" s="23"/>
      <c r="M8" s="6"/>
      <c r="N8" s="6"/>
      <c r="O8" s="6"/>
      <c r="P8" s="6"/>
      <c r="Q8" s="6"/>
      <c r="R8" s="6"/>
      <c r="S8" s="6"/>
      <c r="T8" s="6"/>
      <c r="U8" s="6"/>
      <c r="V8" s="138" t="s">
        <v>5830</v>
      </c>
      <c r="W8" s="6"/>
      <c r="X8" s="59"/>
      <c r="Y8" s="59"/>
      <c r="Z8" s="6"/>
      <c r="AA8" s="6"/>
      <c r="AB8" s="6"/>
      <c r="AC8" s="6"/>
    </row>
    <row r="9" spans="1:34" s="9" customFormat="1" x14ac:dyDescent="0.2">
      <c r="B9" s="312" t="s">
        <v>5831</v>
      </c>
      <c r="C9" s="16" t="s">
        <v>5832</v>
      </c>
      <c r="D9" s="7" t="s">
        <v>5833</v>
      </c>
      <c r="E9" s="7"/>
      <c r="F9" s="6" t="s">
        <v>5834</v>
      </c>
      <c r="G9" s="6" t="s">
        <v>1173</v>
      </c>
      <c r="H9" s="17">
        <v>611.41999999999996</v>
      </c>
      <c r="I9" s="39"/>
      <c r="J9" s="7">
        <v>38350</v>
      </c>
      <c r="K9" s="7"/>
      <c r="L9" s="23">
        <f>+J9+30</f>
        <v>38380</v>
      </c>
      <c r="M9" s="18" t="s">
        <v>5835</v>
      </c>
      <c r="N9" s="6" t="s">
        <v>110</v>
      </c>
      <c r="O9" s="23">
        <v>38009</v>
      </c>
      <c r="P9" s="23"/>
      <c r="Q9" s="23"/>
      <c r="R9" s="23"/>
      <c r="S9" s="23">
        <v>38020</v>
      </c>
      <c r="T9" s="23">
        <f>+S9+30</f>
        <v>38050</v>
      </c>
      <c r="U9" s="23"/>
      <c r="V9" s="6" t="s">
        <v>597</v>
      </c>
      <c r="W9" s="6">
        <v>957</v>
      </c>
      <c r="X9" s="59"/>
      <c r="Y9" s="59"/>
      <c r="Z9" s="6">
        <v>6651255796</v>
      </c>
      <c r="AA9" s="6"/>
      <c r="AB9" s="6" t="s">
        <v>47</v>
      </c>
      <c r="AC9" s="6"/>
      <c r="AD9" s="10" t="str">
        <f>IF(T9&lt;=L9,"en término","atrasado")</f>
        <v>en término</v>
      </c>
    </row>
    <row r="10" spans="1:34" s="9" customFormat="1" ht="12" thickBot="1" x14ac:dyDescent="0.25">
      <c r="B10" s="313"/>
      <c r="C10" s="19"/>
      <c r="D10" s="5"/>
      <c r="E10" s="5"/>
      <c r="F10" s="5"/>
      <c r="G10" s="5"/>
      <c r="H10" s="105"/>
      <c r="I10" s="21"/>
      <c r="J10" s="5"/>
      <c r="K10" s="5"/>
      <c r="L10" s="27"/>
      <c r="M10" s="5"/>
      <c r="N10" s="5"/>
      <c r="O10" s="27"/>
      <c r="P10" s="27"/>
      <c r="Q10" s="27"/>
      <c r="R10" s="27"/>
      <c r="S10" s="313"/>
      <c r="T10" s="19"/>
      <c r="U10" s="19"/>
      <c r="V10" s="224" t="s">
        <v>4907</v>
      </c>
      <c r="W10" s="5"/>
      <c r="X10" s="61"/>
      <c r="Y10" s="61"/>
      <c r="Z10" s="5" t="s">
        <v>1676</v>
      </c>
      <c r="AA10" s="5"/>
      <c r="AB10" s="5"/>
      <c r="AC10" s="5"/>
    </row>
    <row r="11" spans="1:34" s="9" customFormat="1" x14ac:dyDescent="0.2">
      <c r="B11" s="312"/>
      <c r="C11" s="16"/>
      <c r="D11" s="7"/>
      <c r="E11" s="7"/>
      <c r="F11" s="6"/>
      <c r="G11" s="6"/>
      <c r="H11" s="17"/>
      <c r="I11" s="17"/>
      <c r="J11" s="7"/>
      <c r="K11" s="7"/>
      <c r="L11" s="23"/>
      <c r="M11" s="6"/>
      <c r="N11" s="6"/>
      <c r="O11" s="6"/>
      <c r="P11" s="6"/>
      <c r="Q11" s="6"/>
      <c r="R11" s="6"/>
      <c r="S11" s="6" t="s">
        <v>5836</v>
      </c>
      <c r="T11" s="6"/>
      <c r="U11" s="6"/>
      <c r="V11" s="138" t="s">
        <v>5837</v>
      </c>
      <c r="W11" s="6"/>
      <c r="X11" s="59"/>
      <c r="Y11" s="59"/>
      <c r="Z11" s="6"/>
      <c r="AA11" s="6"/>
      <c r="AB11" s="6"/>
      <c r="AC11" s="6"/>
    </row>
    <row r="12" spans="1:34" s="9" customFormat="1" x14ac:dyDescent="0.2">
      <c r="B12" s="312" t="s">
        <v>5831</v>
      </c>
      <c r="C12" s="16" t="s">
        <v>5838</v>
      </c>
      <c r="D12" s="7" t="s">
        <v>5839</v>
      </c>
      <c r="E12" s="7"/>
      <c r="F12" s="6" t="s">
        <v>5840</v>
      </c>
      <c r="G12" s="6" t="s">
        <v>1173</v>
      </c>
      <c r="H12" s="17">
        <v>7442.59</v>
      </c>
      <c r="I12" s="39"/>
      <c r="J12" s="7">
        <v>38028</v>
      </c>
      <c r="K12" s="7"/>
      <c r="L12" s="23">
        <v>38085</v>
      </c>
      <c r="M12" s="18"/>
      <c r="N12" s="6" t="s">
        <v>42</v>
      </c>
      <c r="O12" s="23">
        <v>38069</v>
      </c>
      <c r="P12" s="23"/>
      <c r="Q12" s="23"/>
      <c r="R12" s="23"/>
      <c r="S12" s="23">
        <v>38081</v>
      </c>
      <c r="T12" s="23">
        <f>+S12+30</f>
        <v>38111</v>
      </c>
      <c r="U12" s="23"/>
      <c r="V12" s="6" t="s">
        <v>5841</v>
      </c>
      <c r="W12" s="6">
        <v>966</v>
      </c>
      <c r="X12" s="59"/>
      <c r="Y12" s="59"/>
      <c r="Z12" s="6">
        <v>6642683294</v>
      </c>
      <c r="AA12" s="6"/>
      <c r="AB12" s="6" t="s">
        <v>47</v>
      </c>
      <c r="AC12" s="6"/>
      <c r="AD12" s="10" t="str">
        <f>IF(T12&lt;=L12,"en término","atrasado")</f>
        <v>atrasado</v>
      </c>
    </row>
    <row r="13" spans="1:34" s="9" customFormat="1" ht="12" thickBot="1" x14ac:dyDescent="0.25">
      <c r="B13" s="313"/>
      <c r="C13" s="19"/>
      <c r="D13" s="5"/>
      <c r="E13" s="5"/>
      <c r="F13" s="5"/>
      <c r="G13" s="5"/>
      <c r="H13" s="105"/>
      <c r="I13" s="21"/>
      <c r="J13" s="5"/>
      <c r="K13" s="5"/>
      <c r="L13" s="27"/>
      <c r="M13" s="5"/>
      <c r="N13" s="5"/>
      <c r="O13" s="27"/>
      <c r="P13" s="27"/>
      <c r="Q13" s="27"/>
      <c r="R13" s="27"/>
      <c r="S13" s="313"/>
      <c r="T13" s="19"/>
      <c r="U13" s="19"/>
      <c r="V13" s="224" t="s">
        <v>4907</v>
      </c>
      <c r="W13" s="5"/>
      <c r="X13" s="61"/>
      <c r="Y13" s="61"/>
      <c r="Z13" s="5"/>
      <c r="AA13" s="5"/>
      <c r="AB13" s="5"/>
      <c r="AC13" s="5"/>
    </row>
    <row r="14" spans="1:34" s="9" customFormat="1" x14ac:dyDescent="0.2">
      <c r="B14" s="312"/>
      <c r="C14" s="16"/>
      <c r="D14" s="7"/>
      <c r="E14" s="7"/>
      <c r="F14" s="6"/>
      <c r="G14" s="6"/>
      <c r="H14" s="17"/>
      <c r="I14" s="17"/>
      <c r="J14" s="7"/>
      <c r="K14" s="7"/>
      <c r="L14" s="23"/>
      <c r="M14" s="6"/>
      <c r="N14" s="6"/>
      <c r="O14" s="6"/>
      <c r="P14" s="6"/>
      <c r="Q14" s="6"/>
      <c r="R14" s="6"/>
      <c r="S14" s="6" t="s">
        <v>5842</v>
      </c>
      <c r="T14" s="6"/>
      <c r="U14" s="6"/>
      <c r="V14" s="138" t="s">
        <v>5837</v>
      </c>
      <c r="W14" s="6"/>
      <c r="X14" s="59"/>
      <c r="Y14" s="59"/>
      <c r="Z14" s="6"/>
      <c r="AA14" s="6"/>
      <c r="AB14" s="6"/>
      <c r="AC14" s="6"/>
    </row>
    <row r="15" spans="1:34" s="9" customFormat="1" x14ac:dyDescent="0.2">
      <c r="B15" s="312" t="s">
        <v>5831</v>
      </c>
      <c r="C15" s="16" t="s">
        <v>5838</v>
      </c>
      <c r="D15" s="7" t="s">
        <v>5843</v>
      </c>
      <c r="E15" s="7"/>
      <c r="F15" s="6" t="s">
        <v>5844</v>
      </c>
      <c r="G15" s="6" t="s">
        <v>1173</v>
      </c>
      <c r="H15" s="17">
        <v>4586.8500000000004</v>
      </c>
      <c r="I15" s="39"/>
      <c r="J15" s="7">
        <v>38076</v>
      </c>
      <c r="K15" s="7"/>
      <c r="L15" s="23">
        <f>+J15+75</f>
        <v>38151</v>
      </c>
      <c r="M15" s="18"/>
      <c r="N15" s="6" t="s">
        <v>42</v>
      </c>
      <c r="O15" s="23">
        <v>38142</v>
      </c>
      <c r="P15" s="23"/>
      <c r="Q15" s="23"/>
      <c r="R15" s="23"/>
      <c r="S15" s="23">
        <v>38151</v>
      </c>
      <c r="T15" s="23">
        <f>+S15+30</f>
        <v>38181</v>
      </c>
      <c r="U15" s="23"/>
      <c r="V15" s="6" t="s">
        <v>53</v>
      </c>
      <c r="W15" s="6">
        <v>990</v>
      </c>
      <c r="X15" s="59"/>
      <c r="Y15" s="59"/>
      <c r="Z15" s="6">
        <v>6642683401</v>
      </c>
      <c r="AA15" s="6"/>
      <c r="AB15" s="6" t="s">
        <v>47</v>
      </c>
      <c r="AC15" s="6"/>
      <c r="AD15" s="10" t="str">
        <f>IF(T15&lt;=L15,"en término","atrasado")</f>
        <v>atrasado</v>
      </c>
    </row>
    <row r="16" spans="1:34" s="9" customFormat="1" ht="12" thickBot="1" x14ac:dyDescent="0.25">
      <c r="B16" s="313"/>
      <c r="C16" s="19"/>
      <c r="D16" s="5"/>
      <c r="E16" s="5"/>
      <c r="F16" s="5"/>
      <c r="G16" s="5"/>
      <c r="H16" s="105"/>
      <c r="I16" s="21"/>
      <c r="J16" s="5"/>
      <c r="K16" s="5"/>
      <c r="L16" s="27"/>
      <c r="M16" s="5"/>
      <c r="N16" s="5"/>
      <c r="O16" s="27"/>
      <c r="P16" s="27"/>
      <c r="Q16" s="27"/>
      <c r="R16" s="27"/>
      <c r="S16" s="313"/>
      <c r="T16" s="19"/>
      <c r="U16" s="19"/>
      <c r="V16" s="224" t="s">
        <v>5845</v>
      </c>
      <c r="W16" s="5"/>
      <c r="X16" s="61"/>
      <c r="Y16" s="61"/>
      <c r="Z16" s="5"/>
      <c r="AA16" s="5"/>
      <c r="AB16" s="5"/>
      <c r="AC16" s="5"/>
    </row>
    <row r="17" spans="1:34" s="9" customFormat="1" x14ac:dyDescent="0.2">
      <c r="B17" s="312"/>
      <c r="C17" s="16"/>
      <c r="D17" s="7"/>
      <c r="E17" s="7"/>
      <c r="F17" s="6"/>
      <c r="G17" s="6"/>
      <c r="H17" s="17"/>
      <c r="I17" s="17"/>
      <c r="J17" s="7"/>
      <c r="K17" s="7"/>
      <c r="L17" s="23"/>
      <c r="M17" s="6"/>
      <c r="N17" s="6"/>
      <c r="O17" s="6"/>
      <c r="P17" s="6"/>
      <c r="Q17" s="6"/>
      <c r="R17" s="6"/>
      <c r="S17" s="6" t="s">
        <v>5842</v>
      </c>
      <c r="T17" s="6"/>
      <c r="U17" s="6"/>
      <c r="V17" s="138" t="s">
        <v>5837</v>
      </c>
      <c r="W17" s="6"/>
      <c r="X17" s="59"/>
      <c r="Y17" s="59"/>
      <c r="Z17" s="6"/>
      <c r="AA17" s="6"/>
      <c r="AB17" s="6"/>
      <c r="AC17" s="6"/>
    </row>
    <row r="18" spans="1:34" s="9" customFormat="1" x14ac:dyDescent="0.2">
      <c r="B18" s="312" t="s">
        <v>5831</v>
      </c>
      <c r="C18" s="16" t="s">
        <v>5838</v>
      </c>
      <c r="D18" s="7" t="s">
        <v>5846</v>
      </c>
      <c r="E18" s="7"/>
      <c r="F18" s="6" t="s">
        <v>5847</v>
      </c>
      <c r="G18" s="6" t="s">
        <v>1173</v>
      </c>
      <c r="H18" s="17">
        <v>22957.66</v>
      </c>
      <c r="I18" s="39"/>
      <c r="J18" s="7">
        <v>38076</v>
      </c>
      <c r="K18" s="7"/>
      <c r="L18" s="23">
        <f>+J18+75</f>
        <v>38151</v>
      </c>
      <c r="M18" s="18"/>
      <c r="N18" s="6" t="s">
        <v>42</v>
      </c>
      <c r="O18" s="23">
        <v>38142</v>
      </c>
      <c r="P18" s="23"/>
      <c r="Q18" s="23"/>
      <c r="R18" s="23"/>
      <c r="S18" s="23">
        <v>38151</v>
      </c>
      <c r="T18" s="23">
        <f>+S18+30</f>
        <v>38181</v>
      </c>
      <c r="U18" s="23"/>
      <c r="V18" s="6" t="s">
        <v>5848</v>
      </c>
      <c r="W18" s="6">
        <v>991</v>
      </c>
      <c r="X18" s="59"/>
      <c r="Y18" s="59"/>
      <c r="Z18" s="6">
        <v>6642683401</v>
      </c>
      <c r="AA18" s="6"/>
      <c r="AB18" s="6" t="s">
        <v>47</v>
      </c>
      <c r="AC18" s="6"/>
      <c r="AD18" s="10" t="str">
        <f>IF(T18&lt;=L18,"en término","atrasado")</f>
        <v>atrasado</v>
      </c>
    </row>
    <row r="19" spans="1:34" s="9" customFormat="1" ht="12" thickBot="1" x14ac:dyDescent="0.25">
      <c r="B19" s="313"/>
      <c r="C19" s="19"/>
      <c r="D19" s="5"/>
      <c r="E19" s="5"/>
      <c r="F19" s="5"/>
      <c r="G19" s="5"/>
      <c r="H19" s="105"/>
      <c r="I19" s="21"/>
      <c r="J19" s="5"/>
      <c r="K19" s="5"/>
      <c r="L19" s="27"/>
      <c r="M19" s="5"/>
      <c r="N19" s="5"/>
      <c r="O19" s="27"/>
      <c r="P19" s="27"/>
      <c r="Q19" s="27"/>
      <c r="R19" s="27"/>
      <c r="S19" s="27"/>
      <c r="T19" s="19"/>
      <c r="U19" s="19"/>
      <c r="V19" s="224" t="s">
        <v>5845</v>
      </c>
      <c r="W19" s="5"/>
      <c r="X19" s="61"/>
      <c r="Y19" s="61"/>
      <c r="Z19" s="5"/>
      <c r="AA19" s="5"/>
      <c r="AB19" s="5"/>
      <c r="AC19" s="5"/>
    </row>
    <row r="20" spans="1:34" s="9" customFormat="1" x14ac:dyDescent="0.2">
      <c r="A20" s="328"/>
      <c r="B20" s="11"/>
      <c r="C20" s="11"/>
      <c r="D20" s="91"/>
      <c r="E20" s="91"/>
      <c r="F20" s="12"/>
      <c r="G20" s="12"/>
      <c r="H20" s="13"/>
      <c r="I20" s="13"/>
      <c r="J20" s="91"/>
      <c r="K20" s="91"/>
      <c r="L20" s="134"/>
      <c r="M20" s="12"/>
      <c r="N20" s="12"/>
      <c r="O20" s="12"/>
      <c r="P20" s="12"/>
      <c r="Q20" s="12"/>
      <c r="R20" s="12"/>
      <c r="S20" s="12"/>
      <c r="T20" s="12"/>
      <c r="U20" s="12"/>
      <c r="V20" s="238"/>
      <c r="W20" s="12"/>
      <c r="X20" s="57"/>
      <c r="Y20" s="57"/>
      <c r="Z20" s="12"/>
      <c r="AA20" s="12"/>
      <c r="AB20" s="12"/>
      <c r="AC20" s="12"/>
      <c r="AD20" s="330"/>
    </row>
    <row r="21" spans="1:34" s="9" customFormat="1" x14ac:dyDescent="0.2">
      <c r="A21" s="328"/>
      <c r="B21" s="16" t="s">
        <v>5831</v>
      </c>
      <c r="C21" s="16" t="s">
        <v>5832</v>
      </c>
      <c r="D21" s="7" t="s">
        <v>5849</v>
      </c>
      <c r="E21" s="7"/>
      <c r="F21" s="6" t="s">
        <v>5850</v>
      </c>
      <c r="G21" s="6" t="s">
        <v>4299</v>
      </c>
      <c r="H21" s="17">
        <v>144.5</v>
      </c>
      <c r="I21" s="39" t="s">
        <v>5835</v>
      </c>
      <c r="J21" s="7">
        <v>38237</v>
      </c>
      <c r="K21" s="331">
        <v>10</v>
      </c>
      <c r="L21" s="23">
        <f>+J21+K21</f>
        <v>38247</v>
      </c>
      <c r="M21" s="18" t="s">
        <v>5835</v>
      </c>
      <c r="N21" s="6" t="s">
        <v>1705</v>
      </c>
      <c r="O21" s="7">
        <v>38244</v>
      </c>
      <c r="P21" s="331">
        <f>IF(O21="","",+O21-L21)</f>
        <v>-3</v>
      </c>
      <c r="Q21" s="331"/>
      <c r="R21" s="331"/>
      <c r="S21" s="175">
        <v>38245</v>
      </c>
      <c r="T21" s="175">
        <v>38247</v>
      </c>
      <c r="U21" s="331">
        <f>IF(T21="","",+T21-J21)</f>
        <v>10</v>
      </c>
      <c r="V21" s="67" t="s">
        <v>3468</v>
      </c>
      <c r="W21" s="6">
        <v>1039</v>
      </c>
      <c r="X21" s="59"/>
      <c r="Y21" s="59"/>
      <c r="Z21" s="6">
        <v>6655850401</v>
      </c>
      <c r="AA21" s="7" t="s">
        <v>47</v>
      </c>
      <c r="AB21" s="507" t="s">
        <v>47</v>
      </c>
      <c r="AC21" s="507"/>
      <c r="AD21" s="10" t="str">
        <f>IF(T21&lt;=L21,"en término","atrasado")</f>
        <v>en término</v>
      </c>
    </row>
    <row r="22" spans="1:34" s="9" customFormat="1" ht="12" thickBot="1" x14ac:dyDescent="0.25">
      <c r="A22" s="328"/>
      <c r="B22" s="19"/>
      <c r="C22" s="19"/>
      <c r="D22" s="5"/>
      <c r="E22" s="5"/>
      <c r="F22" s="5"/>
      <c r="G22" s="5"/>
      <c r="H22" s="26"/>
      <c r="I22" s="21"/>
      <c r="J22" s="5"/>
      <c r="K22" s="5"/>
      <c r="L22" s="27"/>
      <c r="M22" s="5"/>
      <c r="N22" s="5" t="s">
        <v>465</v>
      </c>
      <c r="O22" s="5"/>
      <c r="P22" s="5"/>
      <c r="Q22" s="5"/>
      <c r="R22" s="5"/>
      <c r="S22" s="27"/>
      <c r="T22" s="5"/>
      <c r="U22" s="5"/>
      <c r="V22" s="332" t="s">
        <v>4907</v>
      </c>
      <c r="W22" s="5"/>
      <c r="X22" s="61"/>
      <c r="Y22" s="61"/>
      <c r="Z22" s="5"/>
      <c r="AA22" s="5"/>
      <c r="AB22" s="5"/>
      <c r="AC22" s="5"/>
      <c r="AD22" s="330"/>
    </row>
    <row r="25" spans="1:34" ht="12.75" x14ac:dyDescent="0.2">
      <c r="AA25" s="1">
        <v>2004</v>
      </c>
      <c r="AB25" s="1048"/>
    </row>
    <row r="26" spans="1:34" ht="12.75" x14ac:dyDescent="0.2">
      <c r="AA26" s="945" t="s">
        <v>813</v>
      </c>
      <c r="AB26" s="1048">
        <f>COUNTA(AD9:AD18)</f>
        <v>4</v>
      </c>
    </row>
    <row r="27" spans="1:34" ht="12.75" x14ac:dyDescent="0.2">
      <c r="AA27" s="945" t="s">
        <v>815</v>
      </c>
      <c r="AB27" s="1048">
        <f>COUNTIF(AD9:AD18,"en término")</f>
        <v>1</v>
      </c>
    </row>
    <row r="28" spans="1:34" ht="12.75" x14ac:dyDescent="0.2">
      <c r="AA28" s="945" t="s">
        <v>817</v>
      </c>
      <c r="AB28" s="557">
        <f>+AB27/AB26</f>
        <v>0.25</v>
      </c>
    </row>
    <row r="30" spans="1:34" ht="12" thickBot="1" x14ac:dyDescent="0.25"/>
    <row r="31" spans="1:34" s="556" customFormat="1" ht="39.950000000000003" customHeight="1" thickBot="1" x14ac:dyDescent="0.4">
      <c r="B31" s="1611">
        <v>2005</v>
      </c>
      <c r="C31" s="1612"/>
      <c r="D31" s="1612"/>
      <c r="E31" s="1612"/>
      <c r="F31" s="1612"/>
      <c r="G31" s="1612"/>
      <c r="H31" s="1612"/>
      <c r="I31" s="1612"/>
      <c r="J31" s="1612"/>
      <c r="K31" s="1612"/>
      <c r="L31" s="1612"/>
      <c r="M31" s="1612"/>
      <c r="N31" s="1612"/>
      <c r="O31" s="1612"/>
      <c r="P31" s="1612"/>
      <c r="Q31" s="1612"/>
      <c r="R31" s="1612"/>
      <c r="S31" s="1612"/>
      <c r="T31" s="1612"/>
      <c r="U31" s="1612"/>
      <c r="V31" s="1612"/>
      <c r="W31" s="1612"/>
      <c r="X31" s="1612"/>
      <c r="Y31" s="1612"/>
      <c r="Z31" s="1612"/>
      <c r="AA31" s="1612"/>
      <c r="AB31" s="1612"/>
      <c r="AC31" s="1613"/>
      <c r="AD31" s="555"/>
    </row>
    <row r="32" spans="1:34" s="441" customFormat="1" ht="60" customHeight="1" thickBot="1" x14ac:dyDescent="0.25">
      <c r="A32" s="438"/>
      <c r="B32" s="451" t="s">
        <v>130</v>
      </c>
      <c r="C32" s="451" t="s">
        <v>4</v>
      </c>
      <c r="D32" s="451" t="s">
        <v>5</v>
      </c>
      <c r="E32" s="451" t="s">
        <v>6</v>
      </c>
      <c r="F32" s="451" t="s">
        <v>7</v>
      </c>
      <c r="G32" s="451" t="s">
        <v>8</v>
      </c>
      <c r="H32" s="453" t="s">
        <v>9</v>
      </c>
      <c r="I32" s="453" t="s">
        <v>10</v>
      </c>
      <c r="J32" s="451" t="s">
        <v>11</v>
      </c>
      <c r="K32" s="451" t="s">
        <v>12</v>
      </c>
      <c r="L32" s="451" t="s">
        <v>13</v>
      </c>
      <c r="M32" s="451" t="s">
        <v>14</v>
      </c>
      <c r="N32" s="451" t="s">
        <v>15</v>
      </c>
      <c r="O32" s="452" t="s">
        <v>16</v>
      </c>
      <c r="P32" s="454" t="s">
        <v>17</v>
      </c>
      <c r="Q32" s="451" t="s">
        <v>18</v>
      </c>
      <c r="R32" s="452" t="s">
        <v>19</v>
      </c>
      <c r="S32" s="451" t="s">
        <v>20</v>
      </c>
      <c r="T32" s="451" t="s">
        <v>21</v>
      </c>
      <c r="U32" s="452" t="s">
        <v>22</v>
      </c>
      <c r="V32" s="451" t="s">
        <v>131</v>
      </c>
      <c r="W32" s="451" t="s">
        <v>24</v>
      </c>
      <c r="X32" s="451" t="s">
        <v>132</v>
      </c>
      <c r="Y32" s="451" t="s">
        <v>26</v>
      </c>
      <c r="Z32" s="451" t="s">
        <v>27</v>
      </c>
      <c r="AA32" s="451" t="s">
        <v>28</v>
      </c>
      <c r="AB32" s="451" t="s">
        <v>29</v>
      </c>
      <c r="AC32" s="451" t="s">
        <v>30</v>
      </c>
      <c r="AD32" s="439"/>
      <c r="AE32" s="440"/>
      <c r="AF32" s="440"/>
      <c r="AG32" s="440"/>
      <c r="AH32" s="440"/>
    </row>
    <row r="33" spans="1:34" s="9" customFormat="1" x14ac:dyDescent="0.2">
      <c r="A33" s="328"/>
      <c r="B33" s="11"/>
      <c r="C33" s="11"/>
      <c r="D33" s="91"/>
      <c r="E33" s="91"/>
      <c r="F33" s="12"/>
      <c r="G33" s="12"/>
      <c r="H33" s="13"/>
      <c r="I33" s="13"/>
      <c r="J33" s="91"/>
      <c r="K33" s="91"/>
      <c r="L33" s="134"/>
      <c r="M33" s="12"/>
      <c r="N33" s="12"/>
      <c r="O33" s="12"/>
      <c r="P33" s="12"/>
      <c r="Q33" s="12"/>
      <c r="R33" s="12"/>
      <c r="S33" s="12" t="s">
        <v>5851</v>
      </c>
      <c r="T33" s="243" t="s">
        <v>5852</v>
      </c>
      <c r="U33" s="12"/>
      <c r="V33" s="244" t="s">
        <v>4907</v>
      </c>
      <c r="W33" s="12"/>
      <c r="X33" s="57"/>
      <c r="Y33" s="57"/>
      <c r="Z33" s="12"/>
      <c r="AA33" s="12"/>
      <c r="AB33" s="12"/>
      <c r="AC33" s="12"/>
      <c r="AD33" s="330"/>
    </row>
    <row r="34" spans="1:34" s="9" customFormat="1" x14ac:dyDescent="0.2">
      <c r="A34" s="328"/>
      <c r="B34" s="16" t="s">
        <v>5831</v>
      </c>
      <c r="C34" s="16" t="s">
        <v>5832</v>
      </c>
      <c r="D34" s="7" t="s">
        <v>5853</v>
      </c>
      <c r="E34" s="7"/>
      <c r="F34" s="6" t="s">
        <v>5854</v>
      </c>
      <c r="G34" s="6" t="s">
        <v>1535</v>
      </c>
      <c r="H34" s="17">
        <v>3930.53</v>
      </c>
      <c r="I34" s="39" t="s">
        <v>5835</v>
      </c>
      <c r="J34" s="18">
        <v>38348</v>
      </c>
      <c r="K34" s="331">
        <v>120</v>
      </c>
      <c r="L34" s="348">
        <f>+J34+K34</f>
        <v>38468</v>
      </c>
      <c r="M34" s="18" t="s">
        <v>124</v>
      </c>
      <c r="N34" s="6" t="s">
        <v>42</v>
      </c>
      <c r="O34" s="18">
        <v>38454</v>
      </c>
      <c r="P34" s="331">
        <f>IF(S34="","",+S34-L34)</f>
        <v>-7</v>
      </c>
      <c r="Q34" s="331"/>
      <c r="R34" s="331"/>
      <c r="S34" s="349">
        <v>38461</v>
      </c>
      <c r="T34" s="349">
        <f>+S34+30</f>
        <v>38491</v>
      </c>
      <c r="U34" s="331">
        <f>IF(T34="","",+T34-J34)</f>
        <v>143</v>
      </c>
      <c r="V34" s="6" t="s">
        <v>5855</v>
      </c>
      <c r="W34" s="340" t="s">
        <v>5856</v>
      </c>
      <c r="X34" s="59"/>
      <c r="Y34" s="59"/>
      <c r="Z34" s="6">
        <v>6671346463</v>
      </c>
      <c r="AA34" s="6" t="s">
        <v>47</v>
      </c>
      <c r="AB34" s="7" t="s">
        <v>47</v>
      </c>
      <c r="AC34" s="7"/>
      <c r="AD34" s="10" t="str">
        <f>IF(S34&lt;=L34,"en término","atrasado")</f>
        <v>en término</v>
      </c>
    </row>
    <row r="35" spans="1:34" s="9" customFormat="1" ht="12" thickBot="1" x14ac:dyDescent="0.25">
      <c r="A35" s="328"/>
      <c r="B35" s="19"/>
      <c r="C35" s="19"/>
      <c r="D35" s="5"/>
      <c r="E35" s="5"/>
      <c r="F35" s="5"/>
      <c r="G35" s="5"/>
      <c r="H35" s="26"/>
      <c r="I35" s="21"/>
      <c r="J35" s="5"/>
      <c r="K35" s="5"/>
      <c r="L35" s="27"/>
      <c r="M35" s="5"/>
      <c r="N35" s="5"/>
      <c r="O35" s="19"/>
      <c r="P35" s="19"/>
      <c r="Q35" s="19"/>
      <c r="R35" s="19"/>
      <c r="S35" s="19"/>
      <c r="T35" s="19" t="s">
        <v>5857</v>
      </c>
      <c r="U35" s="19"/>
      <c r="V35" s="224"/>
      <c r="W35" s="5"/>
      <c r="X35" s="61"/>
      <c r="Y35" s="61"/>
      <c r="Z35" s="5"/>
      <c r="AA35" s="5"/>
      <c r="AB35" s="5"/>
      <c r="AC35" s="5"/>
      <c r="AD35" s="330"/>
    </row>
    <row r="36" spans="1:34" s="9" customFormat="1" x14ac:dyDescent="0.2">
      <c r="A36" s="328"/>
      <c r="B36" s="11"/>
      <c r="C36" s="11"/>
      <c r="D36" s="91"/>
      <c r="E36" s="91"/>
      <c r="F36" s="12"/>
      <c r="G36" s="12"/>
      <c r="H36" s="13"/>
      <c r="I36" s="13"/>
      <c r="J36" s="91"/>
      <c r="K36" s="91"/>
      <c r="L36" s="134"/>
      <c r="M36" s="12"/>
      <c r="N36" s="12"/>
      <c r="O36" s="12"/>
      <c r="P36" s="12"/>
      <c r="Q36" s="12"/>
      <c r="R36" s="12"/>
      <c r="S36" s="12" t="s">
        <v>5858</v>
      </c>
      <c r="T36" s="243" t="s">
        <v>5859</v>
      </c>
      <c r="U36" s="12"/>
      <c r="V36" s="244" t="s">
        <v>4907</v>
      </c>
      <c r="W36" s="12"/>
      <c r="X36" s="57"/>
      <c r="Y36" s="57"/>
      <c r="Z36" s="12"/>
      <c r="AA36" s="12"/>
      <c r="AB36" s="12"/>
      <c r="AC36" s="12"/>
      <c r="AD36" s="330"/>
    </row>
    <row r="37" spans="1:34" s="9" customFormat="1" x14ac:dyDescent="0.2">
      <c r="A37" s="328"/>
      <c r="B37" s="16" t="s">
        <v>5831</v>
      </c>
      <c r="C37" s="16" t="s">
        <v>5832</v>
      </c>
      <c r="D37" s="7" t="s">
        <v>5860</v>
      </c>
      <c r="E37" s="7"/>
      <c r="F37" s="6" t="s">
        <v>5861</v>
      </c>
      <c r="G37" s="6" t="s">
        <v>1535</v>
      </c>
      <c r="H37" s="17">
        <v>9816.7099999999991</v>
      </c>
      <c r="I37" s="39" t="s">
        <v>5835</v>
      </c>
      <c r="J37" s="18">
        <v>38377</v>
      </c>
      <c r="K37" s="331">
        <v>120</v>
      </c>
      <c r="L37" s="348">
        <f>+J37+K37</f>
        <v>38497</v>
      </c>
      <c r="M37" s="18" t="s">
        <v>124</v>
      </c>
      <c r="N37" s="6" t="s">
        <v>42</v>
      </c>
      <c r="O37" s="18">
        <v>38485</v>
      </c>
      <c r="P37" s="331">
        <f>IF(S37="","",+S37-L37)</f>
        <v>0</v>
      </c>
      <c r="Q37" s="331"/>
      <c r="R37" s="331"/>
      <c r="S37" s="349">
        <v>38497</v>
      </c>
      <c r="T37" s="349">
        <v>38526</v>
      </c>
      <c r="U37" s="331">
        <f>IF(T37="","",+T37-J37)</f>
        <v>149</v>
      </c>
      <c r="V37" s="6" t="s">
        <v>5862</v>
      </c>
      <c r="W37" s="340" t="s">
        <v>5863</v>
      </c>
      <c r="X37" s="59"/>
      <c r="Y37" s="59"/>
      <c r="Z37" s="6">
        <v>6671346485</v>
      </c>
      <c r="AA37" s="6" t="s">
        <v>47</v>
      </c>
      <c r="AB37" s="18" t="s">
        <v>47</v>
      </c>
      <c r="AC37" s="18"/>
      <c r="AD37" s="10" t="str">
        <f>IF(S37&lt;=L37,"en término","atrasado")</f>
        <v>en término</v>
      </c>
    </row>
    <row r="38" spans="1:34" s="9" customFormat="1" ht="12" thickBot="1" x14ac:dyDescent="0.25">
      <c r="A38" s="328"/>
      <c r="B38" s="19"/>
      <c r="C38" s="19"/>
      <c r="D38" s="5"/>
      <c r="E38" s="5"/>
      <c r="F38" s="5"/>
      <c r="G38" s="5"/>
      <c r="H38" s="26"/>
      <c r="I38" s="21"/>
      <c r="J38" s="5"/>
      <c r="K38" s="5"/>
      <c r="L38" s="27"/>
      <c r="M38" s="5"/>
      <c r="N38" s="5"/>
      <c r="O38" s="19"/>
      <c r="P38" s="19"/>
      <c r="Q38" s="19"/>
      <c r="R38" s="19"/>
      <c r="S38" s="19"/>
      <c r="T38" s="19"/>
      <c r="U38" s="19"/>
      <c r="V38" s="224"/>
      <c r="W38" s="5"/>
      <c r="X38" s="61"/>
      <c r="Y38" s="61"/>
      <c r="Z38" s="5">
        <v>6668470620</v>
      </c>
      <c r="AA38" s="27">
        <v>38547</v>
      </c>
      <c r="AB38" s="5"/>
      <c r="AC38" s="5"/>
      <c r="AD38" s="330"/>
    </row>
    <row r="40" spans="1:34" ht="12.75" x14ac:dyDescent="0.2">
      <c r="AA40" s="1">
        <v>2005</v>
      </c>
      <c r="AB40" s="1048"/>
    </row>
    <row r="41" spans="1:34" ht="12.75" x14ac:dyDescent="0.2">
      <c r="AA41" s="945" t="s">
        <v>813</v>
      </c>
      <c r="AB41" s="1048">
        <f>COUNTA(AD33:AD37)</f>
        <v>2</v>
      </c>
    </row>
    <row r="42" spans="1:34" ht="12.75" x14ac:dyDescent="0.2">
      <c r="AA42" s="945" t="s">
        <v>815</v>
      </c>
      <c r="AB42" s="1048">
        <f>COUNTIF(AD33:AD37,"en término")</f>
        <v>2</v>
      </c>
    </row>
    <row r="43" spans="1:34" ht="12.75" x14ac:dyDescent="0.2">
      <c r="AA43" s="945" t="s">
        <v>817</v>
      </c>
      <c r="AB43" s="557">
        <f>+AB42/AB41</f>
        <v>1</v>
      </c>
    </row>
    <row r="44" spans="1:34" ht="12.75" thickBot="1" x14ac:dyDescent="0.25">
      <c r="AA44" s="24"/>
      <c r="AB44" s="201"/>
      <c r="AC44" s="201"/>
    </row>
    <row r="45" spans="1:34" s="556" customFormat="1" ht="39.950000000000003" customHeight="1" thickBot="1" x14ac:dyDescent="0.4">
      <c r="B45" s="1611">
        <v>2006</v>
      </c>
      <c r="C45" s="1612"/>
      <c r="D45" s="1612"/>
      <c r="E45" s="1612"/>
      <c r="F45" s="1612"/>
      <c r="G45" s="1612"/>
      <c r="H45" s="1612"/>
      <c r="I45" s="1612"/>
      <c r="J45" s="1612"/>
      <c r="K45" s="1612"/>
      <c r="L45" s="1612"/>
      <c r="M45" s="1612"/>
      <c r="N45" s="1612"/>
      <c r="O45" s="1612"/>
      <c r="P45" s="1612"/>
      <c r="Q45" s="1612"/>
      <c r="R45" s="1612"/>
      <c r="S45" s="1612"/>
      <c r="T45" s="1612"/>
      <c r="U45" s="1612"/>
      <c r="V45" s="1612"/>
      <c r="W45" s="1612"/>
      <c r="X45" s="1612"/>
      <c r="Y45" s="1612"/>
      <c r="Z45" s="1612"/>
      <c r="AA45" s="1612"/>
      <c r="AB45" s="1612"/>
      <c r="AC45" s="1613"/>
      <c r="AD45" s="555"/>
    </row>
    <row r="46" spans="1:34" s="441" customFormat="1" ht="60" customHeight="1" thickBot="1" x14ac:dyDescent="0.25">
      <c r="A46" s="438"/>
      <c r="B46" s="451" t="s">
        <v>130</v>
      </c>
      <c r="C46" s="451" t="s">
        <v>4</v>
      </c>
      <c r="D46" s="451" t="s">
        <v>5</v>
      </c>
      <c r="E46" s="451" t="s">
        <v>6</v>
      </c>
      <c r="F46" s="451" t="s">
        <v>7</v>
      </c>
      <c r="G46" s="451" t="s">
        <v>8</v>
      </c>
      <c r="H46" s="453" t="s">
        <v>9</v>
      </c>
      <c r="I46" s="453" t="s">
        <v>10</v>
      </c>
      <c r="J46" s="451" t="s">
        <v>11</v>
      </c>
      <c r="K46" s="451" t="s">
        <v>12</v>
      </c>
      <c r="L46" s="451" t="s">
        <v>13</v>
      </c>
      <c r="M46" s="451" t="s">
        <v>14</v>
      </c>
      <c r="N46" s="451" t="s">
        <v>15</v>
      </c>
      <c r="O46" s="452" t="s">
        <v>16</v>
      </c>
      <c r="P46" s="454" t="s">
        <v>17</v>
      </c>
      <c r="Q46" s="451" t="s">
        <v>18</v>
      </c>
      <c r="R46" s="452" t="s">
        <v>19</v>
      </c>
      <c r="S46" s="451" t="s">
        <v>20</v>
      </c>
      <c r="T46" s="451" t="s">
        <v>21</v>
      </c>
      <c r="U46" s="452" t="s">
        <v>22</v>
      </c>
      <c r="V46" s="451" t="s">
        <v>131</v>
      </c>
      <c r="W46" s="451" t="s">
        <v>24</v>
      </c>
      <c r="X46" s="451" t="s">
        <v>132</v>
      </c>
      <c r="Y46" s="451" t="s">
        <v>26</v>
      </c>
      <c r="Z46" s="451" t="s">
        <v>27</v>
      </c>
      <c r="AA46" s="451" t="s">
        <v>28</v>
      </c>
      <c r="AB46" s="451" t="s">
        <v>29</v>
      </c>
      <c r="AC46" s="451" t="s">
        <v>30</v>
      </c>
      <c r="AD46" s="439"/>
      <c r="AE46" s="440"/>
      <c r="AF46" s="440"/>
      <c r="AG46" s="440"/>
      <c r="AH46" s="440"/>
    </row>
    <row r="47" spans="1:34" s="9" customFormat="1" x14ac:dyDescent="0.2">
      <c r="A47" s="328"/>
      <c r="B47" s="16"/>
      <c r="C47" s="16"/>
      <c r="D47" s="7"/>
      <c r="E47" s="7"/>
      <c r="F47" s="6"/>
      <c r="G47" s="6"/>
      <c r="H47" s="17" t="s">
        <v>77</v>
      </c>
      <c r="I47" s="17"/>
      <c r="J47" s="7"/>
      <c r="K47" s="7"/>
      <c r="L47" s="23"/>
      <c r="M47" s="6"/>
      <c r="N47" s="6"/>
      <c r="O47" s="6"/>
      <c r="P47" s="6"/>
      <c r="Q47" s="6"/>
      <c r="R47" s="6"/>
      <c r="S47" s="6" t="s">
        <v>5864</v>
      </c>
      <c r="T47" s="6"/>
      <c r="U47" s="6"/>
      <c r="V47" s="220" t="s">
        <v>4907</v>
      </c>
      <c r="W47" s="6"/>
      <c r="X47" s="59"/>
      <c r="Y47" s="59"/>
      <c r="Z47" s="6"/>
      <c r="AA47" s="6"/>
      <c r="AB47" s="6"/>
      <c r="AC47" s="1608" t="s">
        <v>5865</v>
      </c>
      <c r="AD47" s="330"/>
    </row>
    <row r="48" spans="1:34" s="9" customFormat="1" x14ac:dyDescent="0.2">
      <c r="A48" s="328"/>
      <c r="B48" s="16" t="s">
        <v>5831</v>
      </c>
      <c r="C48" s="16" t="s">
        <v>5866</v>
      </c>
      <c r="D48" s="7" t="s">
        <v>5867</v>
      </c>
      <c r="E48" s="7"/>
      <c r="F48" s="6" t="s">
        <v>5868</v>
      </c>
      <c r="G48" s="6" t="s">
        <v>39</v>
      </c>
      <c r="H48" s="17">
        <v>61483.68</v>
      </c>
      <c r="I48" s="39" t="s">
        <v>5835</v>
      </c>
      <c r="J48" s="18">
        <v>38863</v>
      </c>
      <c r="K48" s="331">
        <v>120</v>
      </c>
      <c r="L48" s="348">
        <f>+J48+K48</f>
        <v>38983</v>
      </c>
      <c r="M48" s="18" t="s">
        <v>124</v>
      </c>
      <c r="N48" s="6" t="s">
        <v>42</v>
      </c>
      <c r="O48" s="18">
        <v>38986</v>
      </c>
      <c r="P48" s="331">
        <f>IF(S48="","",+S48-L48)</f>
        <v>14</v>
      </c>
      <c r="Q48" s="331"/>
      <c r="R48" s="331"/>
      <c r="S48" s="349">
        <v>38997</v>
      </c>
      <c r="T48" s="18">
        <v>39024</v>
      </c>
      <c r="U48" s="331">
        <f>IF(T48="","",+T48-J48)</f>
        <v>161</v>
      </c>
      <c r="V48" s="6" t="s">
        <v>53</v>
      </c>
      <c r="W48" s="340">
        <v>160</v>
      </c>
      <c r="X48" s="59"/>
      <c r="Y48" s="59"/>
      <c r="Z48" s="6">
        <v>6619840264</v>
      </c>
      <c r="AA48" s="6" t="s">
        <v>47</v>
      </c>
      <c r="AB48" s="18" t="s">
        <v>47</v>
      </c>
      <c r="AC48" s="1609"/>
      <c r="AD48" s="10" t="str">
        <f>IF(S48&lt;=L48,"en término","atrasado")</f>
        <v>atrasado</v>
      </c>
    </row>
    <row r="49" spans="1:30" s="9" customFormat="1" ht="13.5" customHeight="1" thickBot="1" x14ac:dyDescent="0.25">
      <c r="A49" s="328"/>
      <c r="B49" s="19"/>
      <c r="C49" s="19"/>
      <c r="D49" s="5"/>
      <c r="E49" s="5"/>
      <c r="F49" s="5"/>
      <c r="G49" s="5"/>
      <c r="H49" s="26"/>
      <c r="I49" s="21"/>
      <c r="J49" s="5"/>
      <c r="K49" s="5"/>
      <c r="L49" s="27"/>
      <c r="M49" s="5"/>
      <c r="N49" s="5"/>
      <c r="O49" s="19"/>
      <c r="P49" s="19"/>
      <c r="Q49" s="19"/>
      <c r="R49" s="19"/>
      <c r="S49" s="5" t="s">
        <v>5869</v>
      </c>
      <c r="T49" s="404" t="s">
        <v>5870</v>
      </c>
      <c r="U49" s="19"/>
      <c r="V49" s="224"/>
      <c r="W49" s="5"/>
      <c r="X49" s="61"/>
      <c r="Y49" s="61"/>
      <c r="Z49" s="5"/>
      <c r="AA49" s="5"/>
      <c r="AB49" s="27">
        <v>38989</v>
      </c>
      <c r="AC49" s="1610"/>
      <c r="AD49" s="330"/>
    </row>
    <row r="50" spans="1:30" s="9" customFormat="1" x14ac:dyDescent="0.2">
      <c r="A50" s="328"/>
      <c r="B50" s="16"/>
      <c r="C50" s="16"/>
      <c r="D50" s="7"/>
      <c r="E50" s="7"/>
      <c r="F50" s="6"/>
      <c r="G50" s="6"/>
      <c r="H50" s="17" t="s">
        <v>77</v>
      </c>
      <c r="I50" s="17"/>
      <c r="J50" s="7"/>
      <c r="K50" s="7"/>
      <c r="L50" s="23"/>
      <c r="M50" s="6"/>
      <c r="N50" s="6"/>
      <c r="O50" s="6"/>
      <c r="P50" s="6"/>
      <c r="Q50" s="6"/>
      <c r="R50" s="6"/>
      <c r="S50" s="6"/>
      <c r="T50" s="6"/>
      <c r="U50" s="6"/>
      <c r="V50" s="220" t="s">
        <v>5871</v>
      </c>
      <c r="W50" s="6"/>
      <c r="X50" s="59"/>
      <c r="Y50" s="59"/>
      <c r="Z50" s="6"/>
      <c r="AA50" s="6"/>
      <c r="AB50" s="6"/>
      <c r="AC50" s="1608" t="s">
        <v>5872</v>
      </c>
      <c r="AD50" s="28"/>
    </row>
    <row r="51" spans="1:30" s="9" customFormat="1" x14ac:dyDescent="0.2">
      <c r="A51" s="328"/>
      <c r="B51" s="16" t="s">
        <v>5831</v>
      </c>
      <c r="C51" s="16" t="s">
        <v>5866</v>
      </c>
      <c r="D51" s="7" t="s">
        <v>5873</v>
      </c>
      <c r="E51" s="7"/>
      <c r="F51" s="6" t="s">
        <v>5874</v>
      </c>
      <c r="G51" s="6" t="s">
        <v>39</v>
      </c>
      <c r="H51" s="17">
        <v>6553.2</v>
      </c>
      <c r="I51" s="39" t="s">
        <v>5835</v>
      </c>
      <c r="J51" s="18">
        <v>38967</v>
      </c>
      <c r="K51" s="331">
        <v>22</v>
      </c>
      <c r="L51" s="348">
        <f>+J51+K51</f>
        <v>38989</v>
      </c>
      <c r="M51" s="18" t="s">
        <v>280</v>
      </c>
      <c r="N51" s="6" t="s">
        <v>110</v>
      </c>
      <c r="O51" s="18">
        <v>38989</v>
      </c>
      <c r="P51" s="331">
        <f>IF(S51="","",+S51-L51)</f>
        <v>24</v>
      </c>
      <c r="Q51" s="331"/>
      <c r="R51" s="331"/>
      <c r="S51" s="349">
        <v>39013</v>
      </c>
      <c r="T51" s="18">
        <f>+S51+5</f>
        <v>39018</v>
      </c>
      <c r="U51" s="331">
        <f>IF(T51="","",+T51-J51)</f>
        <v>51</v>
      </c>
      <c r="V51" s="6" t="s">
        <v>5875</v>
      </c>
      <c r="W51" s="6" t="s">
        <v>5876</v>
      </c>
      <c r="X51" s="59"/>
      <c r="Y51" s="59"/>
      <c r="Z51" s="6"/>
      <c r="AA51" s="6" t="s">
        <v>47</v>
      </c>
      <c r="AB51" s="18" t="s">
        <v>47</v>
      </c>
      <c r="AC51" s="1609"/>
      <c r="AD51" s="10" t="str">
        <f>IF(S51&lt;=L51,"en término","atrasado")</f>
        <v>atrasado</v>
      </c>
    </row>
    <row r="52" spans="1:30" s="9" customFormat="1" x14ac:dyDescent="0.2">
      <c r="A52" s="328"/>
      <c r="B52" s="16"/>
      <c r="C52" s="16"/>
      <c r="D52" s="7"/>
      <c r="E52" s="7"/>
      <c r="F52" s="6"/>
      <c r="G52" s="6"/>
      <c r="H52" s="17"/>
      <c r="I52" s="39"/>
      <c r="J52" s="18"/>
      <c r="K52" s="331"/>
      <c r="L52" s="348"/>
      <c r="M52" s="18"/>
      <c r="N52" s="6" t="s">
        <v>5877</v>
      </c>
      <c r="O52" s="18"/>
      <c r="P52" s="331"/>
      <c r="Q52" s="331"/>
      <c r="R52" s="331"/>
      <c r="S52" s="349"/>
      <c r="T52" s="18"/>
      <c r="U52" s="331"/>
      <c r="V52" s="138" t="s">
        <v>5878</v>
      </c>
      <c r="W52" s="340"/>
      <c r="X52" s="59"/>
      <c r="Y52" s="59"/>
      <c r="Z52" s="6"/>
      <c r="AA52" s="7">
        <v>39022</v>
      </c>
      <c r="AB52" s="18"/>
      <c r="AC52" s="1609"/>
      <c r="AD52" s="28"/>
    </row>
    <row r="53" spans="1:30" s="9" customFormat="1" ht="12" thickBot="1" x14ac:dyDescent="0.25">
      <c r="A53" s="328"/>
      <c r="B53" s="400" t="s">
        <v>5879</v>
      </c>
      <c r="C53" s="19"/>
      <c r="D53" s="5"/>
      <c r="E53" s="5"/>
      <c r="F53" s="5"/>
      <c r="G53" s="5"/>
      <c r="H53" s="26"/>
      <c r="I53" s="21"/>
      <c r="J53" s="5"/>
      <c r="K53" s="5"/>
      <c r="L53" s="27"/>
      <c r="M53" s="5"/>
      <c r="N53" s="5"/>
      <c r="O53" s="19"/>
      <c r="P53" s="19"/>
      <c r="Q53" s="19"/>
      <c r="R53" s="19"/>
      <c r="S53" s="5"/>
      <c r="T53" s="5"/>
      <c r="U53" s="19"/>
      <c r="V53" s="139"/>
      <c r="W53" s="5"/>
      <c r="X53" s="61"/>
      <c r="Y53" s="61"/>
      <c r="Z53" s="5"/>
      <c r="AA53" s="5"/>
      <c r="AB53" s="27"/>
      <c r="AC53" s="1610"/>
      <c r="AD53" s="28"/>
    </row>
    <row r="54" spans="1:30" s="9" customFormat="1" ht="15.75" customHeight="1" x14ac:dyDescent="0.2">
      <c r="A54" s="328"/>
      <c r="B54" s="16"/>
      <c r="C54" s="16"/>
      <c r="D54" s="7"/>
      <c r="E54" s="7"/>
      <c r="F54" s="6"/>
      <c r="G54" s="6"/>
      <c r="H54" s="17">
        <v>1979.05</v>
      </c>
      <c r="I54" s="17"/>
      <c r="J54" s="7"/>
      <c r="K54" s="7"/>
      <c r="L54" s="23"/>
      <c r="M54" s="6"/>
      <c r="N54" s="6"/>
      <c r="O54" s="6"/>
      <c r="P54" s="6"/>
      <c r="Q54" s="6"/>
      <c r="R54" s="6"/>
      <c r="S54" s="6" t="s">
        <v>5880</v>
      </c>
      <c r="T54" s="6"/>
      <c r="U54" s="6"/>
      <c r="V54" s="220" t="s">
        <v>4907</v>
      </c>
      <c r="W54" s="6"/>
      <c r="X54" s="59"/>
      <c r="Y54" s="59"/>
      <c r="Z54" s="6"/>
      <c r="AA54" s="6"/>
      <c r="AB54" s="6"/>
      <c r="AC54" s="1608" t="s">
        <v>5881</v>
      </c>
      <c r="AD54" s="28"/>
    </row>
    <row r="55" spans="1:30" s="9" customFormat="1" ht="14.25" customHeight="1" x14ac:dyDescent="0.2">
      <c r="A55" s="328"/>
      <c r="B55" s="16" t="s">
        <v>5831</v>
      </c>
      <c r="C55" s="16" t="s">
        <v>5866</v>
      </c>
      <c r="D55" s="7" t="s">
        <v>5873</v>
      </c>
      <c r="E55" s="7"/>
      <c r="F55" s="6" t="s">
        <v>5882</v>
      </c>
      <c r="G55" s="6" t="s">
        <v>39</v>
      </c>
      <c r="H55" s="17">
        <v>2824.85</v>
      </c>
      <c r="I55" s="39" t="s">
        <v>5835</v>
      </c>
      <c r="J55" s="18">
        <v>38954</v>
      </c>
      <c r="K55" s="331">
        <v>60</v>
      </c>
      <c r="L55" s="348">
        <f>+J55+K55</f>
        <v>39014</v>
      </c>
      <c r="M55" s="18" t="s">
        <v>124</v>
      </c>
      <c r="N55" s="6" t="s">
        <v>42</v>
      </c>
      <c r="O55" s="18">
        <v>39021</v>
      </c>
      <c r="P55" s="331">
        <f>IF(S55="","",+S55-L55)</f>
        <v>26</v>
      </c>
      <c r="Q55" s="331"/>
      <c r="R55" s="331"/>
      <c r="S55" s="349">
        <v>39040</v>
      </c>
      <c r="T55" s="18">
        <v>39063</v>
      </c>
      <c r="U55" s="331">
        <f>IF(T55="","",+T55-J55)</f>
        <v>109</v>
      </c>
      <c r="V55" s="6" t="s">
        <v>53</v>
      </c>
      <c r="W55" s="340">
        <v>173</v>
      </c>
      <c r="X55" s="59"/>
      <c r="Y55" s="59"/>
      <c r="Z55" s="6">
        <v>66198440216</v>
      </c>
      <c r="AA55" s="6" t="s">
        <v>47</v>
      </c>
      <c r="AB55" s="18" t="s">
        <v>47</v>
      </c>
      <c r="AC55" s="1627"/>
      <c r="AD55" s="10" t="str">
        <f>IF(S55&lt;=L55,"en término","atrasado")</f>
        <v>atrasado</v>
      </c>
    </row>
    <row r="56" spans="1:30" s="9" customFormat="1" ht="18" customHeight="1" x14ac:dyDescent="0.2">
      <c r="A56" s="328"/>
      <c r="B56" s="405"/>
      <c r="C56" s="16"/>
      <c r="D56" s="7"/>
      <c r="E56" s="7"/>
      <c r="F56" s="6"/>
      <c r="G56" s="6"/>
      <c r="H56" s="17"/>
      <c r="I56" s="39"/>
      <c r="J56" s="18"/>
      <c r="K56" s="331"/>
      <c r="L56" s="348"/>
      <c r="M56" s="18"/>
      <c r="N56" s="6"/>
      <c r="O56" s="18"/>
      <c r="P56" s="331"/>
      <c r="Q56" s="331"/>
      <c r="R56" s="331"/>
      <c r="S56" s="18" t="s">
        <v>5883</v>
      </c>
      <c r="T56" s="18"/>
      <c r="U56" s="331"/>
      <c r="V56" s="138" t="s">
        <v>4410</v>
      </c>
      <c r="W56" s="340"/>
      <c r="X56" s="59"/>
      <c r="Y56" s="59"/>
      <c r="Z56" s="6"/>
      <c r="AA56" s="7">
        <v>39071</v>
      </c>
      <c r="AB56" s="7">
        <v>39015</v>
      </c>
      <c r="AC56" s="1627" t="s">
        <v>5884</v>
      </c>
      <c r="AD56" s="28"/>
    </row>
    <row r="57" spans="1:30" s="9" customFormat="1" ht="29.25" customHeight="1" thickBot="1" x14ac:dyDescent="0.25">
      <c r="A57" s="328"/>
      <c r="B57" s="400"/>
      <c r="C57" s="19"/>
      <c r="D57" s="5"/>
      <c r="E57" s="5"/>
      <c r="F57" s="5"/>
      <c r="G57" s="5"/>
      <c r="H57" s="26"/>
      <c r="I57" s="21"/>
      <c r="J57" s="5"/>
      <c r="K57" s="5"/>
      <c r="L57" s="27"/>
      <c r="M57" s="5"/>
      <c r="N57" s="5"/>
      <c r="O57" s="19"/>
      <c r="P57" s="19"/>
      <c r="Q57" s="19"/>
      <c r="R57" s="19"/>
      <c r="S57" s="5"/>
      <c r="T57" s="5"/>
      <c r="U57" s="19"/>
      <c r="V57" s="139"/>
      <c r="W57" s="5"/>
      <c r="X57" s="61"/>
      <c r="Y57" s="61"/>
      <c r="Z57" s="5"/>
      <c r="AA57" s="5"/>
      <c r="AB57" s="27"/>
      <c r="AC57" s="1628"/>
      <c r="AD57" s="28"/>
    </row>
    <row r="58" spans="1:30" s="9" customFormat="1" x14ac:dyDescent="0.2">
      <c r="A58" s="328"/>
      <c r="B58" s="16"/>
      <c r="C58" s="16"/>
      <c r="D58" s="7"/>
      <c r="E58" s="7"/>
      <c r="F58" s="6"/>
      <c r="G58" s="6"/>
      <c r="H58" s="17">
        <v>761.4</v>
      </c>
      <c r="I58" s="17"/>
      <c r="J58" s="7"/>
      <c r="K58" s="7"/>
      <c r="L58" s="23"/>
      <c r="M58" s="6"/>
      <c r="N58" s="6"/>
      <c r="O58" s="6"/>
      <c r="P58" s="6"/>
      <c r="Q58" s="6"/>
      <c r="R58" s="6"/>
      <c r="S58" s="6"/>
      <c r="T58" s="6"/>
      <c r="U58" s="6"/>
      <c r="V58" s="220" t="s">
        <v>4907</v>
      </c>
      <c r="W58" s="6"/>
      <c r="X58" s="59"/>
      <c r="Y58" s="59"/>
      <c r="Z58" s="6"/>
      <c r="AA58" s="6"/>
      <c r="AB58" s="6"/>
      <c r="AC58" s="1608" t="s">
        <v>5885</v>
      </c>
      <c r="AD58" s="28"/>
    </row>
    <row r="59" spans="1:30" s="9" customFormat="1" x14ac:dyDescent="0.2">
      <c r="A59" s="328"/>
      <c r="B59" s="16" t="s">
        <v>5831</v>
      </c>
      <c r="C59" s="16" t="s">
        <v>5866</v>
      </c>
      <c r="D59" s="7" t="s">
        <v>5873</v>
      </c>
      <c r="E59" s="7"/>
      <c r="F59" s="6" t="s">
        <v>5882</v>
      </c>
      <c r="G59" s="6" t="s">
        <v>39</v>
      </c>
      <c r="H59" s="17">
        <v>2824.85</v>
      </c>
      <c r="I59" s="39" t="s">
        <v>5835</v>
      </c>
      <c r="J59" s="18">
        <v>38954</v>
      </c>
      <c r="K59" s="331">
        <v>60</v>
      </c>
      <c r="L59" s="348">
        <f>+J59+K59</f>
        <v>39014</v>
      </c>
      <c r="M59" s="18" t="s">
        <v>124</v>
      </c>
      <c r="N59" s="6" t="s">
        <v>110</v>
      </c>
      <c r="O59" s="18">
        <v>39028</v>
      </c>
      <c r="P59" s="331">
        <f>IF(S59="","",+S59-L59)</f>
        <v>21</v>
      </c>
      <c r="Q59" s="331"/>
      <c r="R59" s="331"/>
      <c r="S59" s="349">
        <v>39035</v>
      </c>
      <c r="T59" s="18">
        <f>+S59+3</f>
        <v>39038</v>
      </c>
      <c r="U59" s="331">
        <f>IF(T59="","",+T59-J59)</f>
        <v>84</v>
      </c>
      <c r="V59" s="6" t="s">
        <v>53</v>
      </c>
      <c r="W59" s="340">
        <v>176</v>
      </c>
      <c r="X59" s="59"/>
      <c r="Y59" s="59"/>
      <c r="Z59" s="6">
        <v>6619839811</v>
      </c>
      <c r="AA59" s="6" t="s">
        <v>47</v>
      </c>
      <c r="AB59" s="18" t="s">
        <v>47</v>
      </c>
      <c r="AC59" s="1609"/>
      <c r="AD59" s="10" t="str">
        <f>IF(S59&lt;=L59,"en término","atrasado")</f>
        <v>atrasado</v>
      </c>
    </row>
    <row r="60" spans="1:30" s="9" customFormat="1" ht="20.25" customHeight="1" thickBot="1" x14ac:dyDescent="0.25">
      <c r="A60" s="328"/>
      <c r="B60" s="400" t="s">
        <v>5886</v>
      </c>
      <c r="C60" s="19"/>
      <c r="D60" s="5"/>
      <c r="E60" s="5"/>
      <c r="F60" s="5"/>
      <c r="G60" s="5"/>
      <c r="H60" s="26"/>
      <c r="I60" s="21"/>
      <c r="J60" s="5"/>
      <c r="K60" s="5"/>
      <c r="L60" s="27"/>
      <c r="M60" s="5"/>
      <c r="N60" s="5"/>
      <c r="O60" s="19"/>
      <c r="P60" s="19"/>
      <c r="Q60" s="19"/>
      <c r="R60" s="19"/>
      <c r="S60" s="5"/>
      <c r="T60" s="5"/>
      <c r="U60" s="19"/>
      <c r="V60" s="139" t="s">
        <v>4423</v>
      </c>
      <c r="W60" s="5"/>
      <c r="X60" s="61"/>
      <c r="Y60" s="61"/>
      <c r="Z60" s="5"/>
      <c r="AA60" s="5"/>
      <c r="AB60" s="27">
        <v>39015</v>
      </c>
      <c r="AC60" s="1610"/>
      <c r="AD60" s="28"/>
    </row>
    <row r="62" spans="1:30" ht="12.75" x14ac:dyDescent="0.2">
      <c r="G62" s="353"/>
      <c r="AA62" s="1">
        <v>2006</v>
      </c>
      <c r="AB62" s="1048"/>
    </row>
    <row r="63" spans="1:30" ht="12.75" x14ac:dyDescent="0.2">
      <c r="AA63" s="945" t="s">
        <v>813</v>
      </c>
      <c r="AB63" s="1048">
        <f>COUNTA(AD45:AD61)</f>
        <v>4</v>
      </c>
    </row>
    <row r="64" spans="1:30" ht="12.75" x14ac:dyDescent="0.2">
      <c r="AA64" s="945" t="s">
        <v>815</v>
      </c>
      <c r="AB64" s="1048">
        <f>COUNTIF(AD45:AD61,"en término")</f>
        <v>0</v>
      </c>
    </row>
    <row r="65" spans="1:34" ht="12.75" x14ac:dyDescent="0.2">
      <c r="AA65" s="945" t="s">
        <v>817</v>
      </c>
      <c r="AB65" s="557">
        <f>+AB64/AB63</f>
        <v>0</v>
      </c>
    </row>
    <row r="66" spans="1:34" ht="12" thickBot="1" x14ac:dyDescent="0.25"/>
    <row r="67" spans="1:34" s="556" customFormat="1" ht="39.950000000000003" customHeight="1" thickBot="1" x14ac:dyDescent="0.4">
      <c r="B67" s="1611">
        <v>2007</v>
      </c>
      <c r="C67" s="1612"/>
      <c r="D67" s="1612"/>
      <c r="E67" s="1612"/>
      <c r="F67" s="1612"/>
      <c r="G67" s="1612"/>
      <c r="H67" s="1612"/>
      <c r="I67" s="1612"/>
      <c r="J67" s="1612"/>
      <c r="K67" s="1612"/>
      <c r="L67" s="1612"/>
      <c r="M67" s="1612"/>
      <c r="N67" s="1612"/>
      <c r="O67" s="1612"/>
      <c r="P67" s="1612"/>
      <c r="Q67" s="1612"/>
      <c r="R67" s="1612"/>
      <c r="S67" s="1612"/>
      <c r="T67" s="1612"/>
      <c r="U67" s="1612"/>
      <c r="V67" s="1612"/>
      <c r="W67" s="1612"/>
      <c r="X67" s="1612"/>
      <c r="Y67" s="1612"/>
      <c r="Z67" s="1612"/>
      <c r="AA67" s="1612"/>
      <c r="AB67" s="1612"/>
      <c r="AC67" s="1613"/>
      <c r="AD67" s="555"/>
    </row>
    <row r="68" spans="1:34" s="441" customFormat="1" ht="60" customHeight="1" thickBot="1" x14ac:dyDescent="0.25">
      <c r="A68" s="438"/>
      <c r="B68" s="451" t="s">
        <v>130</v>
      </c>
      <c r="C68" s="451" t="s">
        <v>4</v>
      </c>
      <c r="D68" s="451" t="s">
        <v>5</v>
      </c>
      <c r="E68" s="451" t="s">
        <v>6</v>
      </c>
      <c r="F68" s="451" t="s">
        <v>7</v>
      </c>
      <c r="G68" s="451" t="s">
        <v>8</v>
      </c>
      <c r="H68" s="453" t="s">
        <v>9</v>
      </c>
      <c r="I68" s="453" t="s">
        <v>10</v>
      </c>
      <c r="J68" s="451" t="s">
        <v>11</v>
      </c>
      <c r="K68" s="451" t="s">
        <v>12</v>
      </c>
      <c r="L68" s="451" t="s">
        <v>13</v>
      </c>
      <c r="M68" s="451" t="s">
        <v>14</v>
      </c>
      <c r="N68" s="451" t="s">
        <v>15</v>
      </c>
      <c r="O68" s="452" t="s">
        <v>16</v>
      </c>
      <c r="P68" s="454" t="s">
        <v>17</v>
      </c>
      <c r="Q68" s="451" t="s">
        <v>18</v>
      </c>
      <c r="R68" s="452" t="s">
        <v>19</v>
      </c>
      <c r="S68" s="451" t="s">
        <v>20</v>
      </c>
      <c r="T68" s="451" t="s">
        <v>21</v>
      </c>
      <c r="U68" s="452" t="s">
        <v>22</v>
      </c>
      <c r="V68" s="451" t="s">
        <v>131</v>
      </c>
      <c r="W68" s="451" t="s">
        <v>24</v>
      </c>
      <c r="X68" s="451" t="s">
        <v>132</v>
      </c>
      <c r="Y68" s="451" t="s">
        <v>26</v>
      </c>
      <c r="Z68" s="451" t="s">
        <v>27</v>
      </c>
      <c r="AA68" s="451" t="s">
        <v>28</v>
      </c>
      <c r="AB68" s="451" t="s">
        <v>29</v>
      </c>
      <c r="AC68" s="451" t="s">
        <v>30</v>
      </c>
      <c r="AD68" s="439"/>
      <c r="AE68" s="440"/>
      <c r="AF68" s="440"/>
      <c r="AG68" s="440"/>
      <c r="AH68" s="440"/>
    </row>
    <row r="69" spans="1:34" s="9" customFormat="1" ht="54.95" customHeight="1" thickBot="1" x14ac:dyDescent="0.25">
      <c r="A69" s="328"/>
      <c r="B69" s="455" t="s">
        <v>5831</v>
      </c>
      <c r="C69" s="455" t="s">
        <v>5832</v>
      </c>
      <c r="D69" s="456" t="s">
        <v>5887</v>
      </c>
      <c r="E69" s="456"/>
      <c r="F69" s="457" t="s">
        <v>5888</v>
      </c>
      <c r="G69" s="457" t="s">
        <v>39</v>
      </c>
      <c r="H69" s="458">
        <v>5605.8</v>
      </c>
      <c r="I69" s="459" t="s">
        <v>5835</v>
      </c>
      <c r="J69" s="460">
        <v>39150</v>
      </c>
      <c r="K69" s="461">
        <v>35</v>
      </c>
      <c r="L69" s="462">
        <f>+J69+K69</f>
        <v>39185</v>
      </c>
      <c r="M69" s="460" t="s">
        <v>280</v>
      </c>
      <c r="N69" s="457" t="s">
        <v>110</v>
      </c>
      <c r="O69" s="460">
        <v>39160</v>
      </c>
      <c r="P69" s="461">
        <f>IF(S69="","",+S69-L69)</f>
        <v>-23</v>
      </c>
      <c r="Q69" s="461"/>
      <c r="R69" s="461"/>
      <c r="S69" s="471">
        <v>39162</v>
      </c>
      <c r="T69" s="460">
        <f>+S69+2</f>
        <v>39164</v>
      </c>
      <c r="U69" s="461">
        <f>IF(T69="","",+T69-J69)</f>
        <v>14</v>
      </c>
      <c r="V69" s="468" t="s">
        <v>5889</v>
      </c>
      <c r="W69" s="457" t="s">
        <v>5890</v>
      </c>
      <c r="X69" s="467"/>
      <c r="Y69" s="467"/>
      <c r="Z69" s="457"/>
      <c r="AA69" s="457" t="s">
        <v>5891</v>
      </c>
      <c r="AB69" s="456" t="s">
        <v>5892</v>
      </c>
      <c r="AC69" s="456"/>
      <c r="AD69" s="330"/>
    </row>
    <row r="71" spans="1:34" ht="12.75" x14ac:dyDescent="0.2">
      <c r="AA71" s="1">
        <v>2007</v>
      </c>
      <c r="AB71" s="1048"/>
    </row>
    <row r="72" spans="1:34" ht="12.75" x14ac:dyDescent="0.2">
      <c r="AA72" s="945" t="s">
        <v>813</v>
      </c>
      <c r="AB72" s="1048">
        <f>COUNTA(AD67:AD69)</f>
        <v>0</v>
      </c>
    </row>
    <row r="73" spans="1:34" ht="12.75" x14ac:dyDescent="0.2">
      <c r="AA73" s="945" t="s">
        <v>815</v>
      </c>
      <c r="AB73" s="1048">
        <f>COUNTIF(AD67:AD69,"en término")</f>
        <v>0</v>
      </c>
    </row>
    <row r="74" spans="1:34" ht="12.75" x14ac:dyDescent="0.2">
      <c r="AA74" s="945" t="s">
        <v>817</v>
      </c>
      <c r="AB74" s="557" t="e">
        <f>+AB73/AB72</f>
        <v>#DIV/0!</v>
      </c>
    </row>
    <row r="78" spans="1:34" ht="12" thickBot="1" x14ac:dyDescent="0.25"/>
    <row r="79" spans="1:34" s="556" customFormat="1" ht="39.950000000000003" customHeight="1" thickBot="1" x14ac:dyDescent="0.4">
      <c r="B79" s="1611">
        <v>2008</v>
      </c>
      <c r="C79" s="1612"/>
      <c r="D79" s="1612"/>
      <c r="E79" s="1612"/>
      <c r="F79" s="1612"/>
      <c r="G79" s="1612"/>
      <c r="H79" s="1612"/>
      <c r="I79" s="1612"/>
      <c r="J79" s="1612"/>
      <c r="K79" s="1612"/>
      <c r="L79" s="1612"/>
      <c r="M79" s="1612"/>
      <c r="N79" s="1612"/>
      <c r="O79" s="1612"/>
      <c r="P79" s="1612"/>
      <c r="Q79" s="1612"/>
      <c r="R79" s="1612"/>
      <c r="S79" s="1612"/>
      <c r="T79" s="1612"/>
      <c r="U79" s="1612"/>
      <c r="V79" s="1612"/>
      <c r="W79" s="1612"/>
      <c r="X79" s="1612"/>
      <c r="Y79" s="1612"/>
      <c r="Z79" s="1612"/>
      <c r="AA79" s="1612"/>
      <c r="AB79" s="1612"/>
      <c r="AC79" s="1613"/>
      <c r="AD79" s="555"/>
    </row>
    <row r="80" spans="1:34" s="441" customFormat="1" ht="60" customHeight="1" thickBot="1" x14ac:dyDescent="0.25">
      <c r="A80" s="438"/>
      <c r="B80" s="451" t="s">
        <v>130</v>
      </c>
      <c r="C80" s="451" t="s">
        <v>4</v>
      </c>
      <c r="D80" s="451" t="s">
        <v>5</v>
      </c>
      <c r="E80" s="451" t="s">
        <v>6</v>
      </c>
      <c r="F80" s="451" t="s">
        <v>7</v>
      </c>
      <c r="G80" s="451" t="s">
        <v>8</v>
      </c>
      <c r="H80" s="453" t="s">
        <v>9</v>
      </c>
      <c r="I80" s="453" t="s">
        <v>10</v>
      </c>
      <c r="J80" s="451" t="s">
        <v>11</v>
      </c>
      <c r="K80" s="451" t="s">
        <v>12</v>
      </c>
      <c r="L80" s="451" t="s">
        <v>13</v>
      </c>
      <c r="M80" s="451" t="s">
        <v>14</v>
      </c>
      <c r="N80" s="451" t="s">
        <v>15</v>
      </c>
      <c r="O80" s="452" t="s">
        <v>16</v>
      </c>
      <c r="P80" s="454" t="s">
        <v>17</v>
      </c>
      <c r="Q80" s="451" t="s">
        <v>18</v>
      </c>
      <c r="R80" s="452" t="s">
        <v>19</v>
      </c>
      <c r="S80" s="451" t="s">
        <v>20</v>
      </c>
      <c r="T80" s="451" t="s">
        <v>21</v>
      </c>
      <c r="U80" s="452" t="s">
        <v>22</v>
      </c>
      <c r="V80" s="451" t="s">
        <v>131</v>
      </c>
      <c r="W80" s="451" t="s">
        <v>24</v>
      </c>
      <c r="X80" s="451" t="s">
        <v>132</v>
      </c>
      <c r="Y80" s="451" t="s">
        <v>26</v>
      </c>
      <c r="Z80" s="451" t="s">
        <v>27</v>
      </c>
      <c r="AA80" s="451" t="s">
        <v>28</v>
      </c>
      <c r="AB80" s="451" t="s">
        <v>29</v>
      </c>
      <c r="AC80" s="451" t="s">
        <v>30</v>
      </c>
      <c r="AD80" s="439"/>
      <c r="AE80" s="440"/>
      <c r="AF80" s="440"/>
      <c r="AG80" s="440"/>
      <c r="AH80" s="440"/>
    </row>
    <row r="81" spans="1:37" s="587" customFormat="1" ht="54.95" customHeight="1" thickBot="1" x14ac:dyDescent="0.25">
      <c r="A81" s="584"/>
      <c r="B81" s="455" t="s">
        <v>5831</v>
      </c>
      <c r="C81" s="455" t="s">
        <v>5832</v>
      </c>
      <c r="D81" s="456" t="s">
        <v>5893</v>
      </c>
      <c r="E81" s="456"/>
      <c r="F81" s="457" t="s">
        <v>5894</v>
      </c>
      <c r="G81" s="457" t="s">
        <v>4299</v>
      </c>
      <c r="H81" s="458">
        <v>1560</v>
      </c>
      <c r="I81" s="459" t="s">
        <v>5835</v>
      </c>
      <c r="J81" s="460">
        <v>39756</v>
      </c>
      <c r="K81" s="461">
        <v>35</v>
      </c>
      <c r="L81" s="462">
        <f>+J81+K81</f>
        <v>39791</v>
      </c>
      <c r="M81" s="459" t="s">
        <v>124</v>
      </c>
      <c r="N81" s="457" t="s">
        <v>5895</v>
      </c>
      <c r="O81" s="460">
        <v>39784</v>
      </c>
      <c r="P81" s="461">
        <f>IF(O81="","",+O81-L81)</f>
        <v>-7</v>
      </c>
      <c r="Q81" s="461"/>
      <c r="R81" s="460">
        <v>39794</v>
      </c>
      <c r="S81" s="471">
        <v>39794</v>
      </c>
      <c r="T81" s="471">
        <f>+S81+5</f>
        <v>39799</v>
      </c>
      <c r="U81" s="461">
        <f>IF(T81="","",+T81-J81)</f>
        <v>43</v>
      </c>
      <c r="V81" s="468" t="s">
        <v>5896</v>
      </c>
      <c r="W81" s="457">
        <v>369</v>
      </c>
      <c r="X81" s="592"/>
      <c r="Y81" s="467"/>
      <c r="Z81" s="468" t="s">
        <v>5897</v>
      </c>
      <c r="AA81" s="456" t="s">
        <v>47</v>
      </c>
      <c r="AB81" s="460" t="s">
        <v>5898</v>
      </c>
      <c r="AC81" s="470"/>
      <c r="AD81" s="645" t="str">
        <f>IF(P81="","",IF(P81&lt;=0,"en término","atrasado"))</f>
        <v>en término</v>
      </c>
    </row>
    <row r="82" spans="1:37" s="587" customFormat="1" ht="54.95" customHeight="1" thickBot="1" x14ac:dyDescent="0.25">
      <c r="A82" s="584"/>
      <c r="B82" s="455" t="s">
        <v>5831</v>
      </c>
      <c r="C82" s="455" t="s">
        <v>5832</v>
      </c>
      <c r="D82" s="456" t="s">
        <v>5893</v>
      </c>
      <c r="E82" s="456"/>
      <c r="F82" s="457" t="s">
        <v>5899</v>
      </c>
      <c r="G82" s="457" t="s">
        <v>4299</v>
      </c>
      <c r="H82" s="458">
        <v>9150</v>
      </c>
      <c r="I82" s="459" t="s">
        <v>5835</v>
      </c>
      <c r="J82" s="460">
        <v>39757</v>
      </c>
      <c r="K82" s="461">
        <v>41</v>
      </c>
      <c r="L82" s="462">
        <f>+J82+K82</f>
        <v>39798</v>
      </c>
      <c r="M82" s="459" t="s">
        <v>124</v>
      </c>
      <c r="N82" s="457" t="s">
        <v>5895</v>
      </c>
      <c r="O82" s="460">
        <v>39787</v>
      </c>
      <c r="P82" s="461">
        <f>IF(O82="","",+O82-L82)</f>
        <v>-11</v>
      </c>
      <c r="Q82" s="461"/>
      <c r="R82" s="460"/>
      <c r="S82" s="471">
        <v>39801</v>
      </c>
      <c r="T82" s="471">
        <f>+S82+10</f>
        <v>39811</v>
      </c>
      <c r="U82" s="461">
        <f>IF(T82="","",+T82-J82)</f>
        <v>54</v>
      </c>
      <c r="V82" s="468" t="s">
        <v>5900</v>
      </c>
      <c r="W82" s="457" t="s">
        <v>5901</v>
      </c>
      <c r="X82" s="592"/>
      <c r="Y82" s="467"/>
      <c r="Z82" s="457" t="s">
        <v>1676</v>
      </c>
      <c r="AA82" s="456" t="s">
        <v>47</v>
      </c>
      <c r="AB82" s="460" t="s">
        <v>5902</v>
      </c>
      <c r="AC82" s="470"/>
      <c r="AD82" s="645" t="str">
        <f>IF(P82="","",IF(P82&lt;=0,"en término","atrasado"))</f>
        <v>en término</v>
      </c>
      <c r="AE82" s="645"/>
    </row>
    <row r="85" spans="1:37" ht="12.75" x14ac:dyDescent="0.2">
      <c r="AA85" s="1">
        <v>2008</v>
      </c>
      <c r="AB85" s="1048"/>
    </row>
    <row r="86" spans="1:37" ht="12.75" x14ac:dyDescent="0.2">
      <c r="AA86" s="945" t="s">
        <v>813</v>
      </c>
      <c r="AB86" s="1048">
        <f>COUNTA(AD81:AD83)</f>
        <v>2</v>
      </c>
    </row>
    <row r="87" spans="1:37" ht="12.75" x14ac:dyDescent="0.2">
      <c r="AA87" s="945" t="s">
        <v>815</v>
      </c>
      <c r="AB87" s="1048">
        <f>COUNTIF(AD81:AD83,"en término")</f>
        <v>2</v>
      </c>
    </row>
    <row r="88" spans="1:37" ht="12.75" x14ac:dyDescent="0.2">
      <c r="AA88" s="945" t="s">
        <v>817</v>
      </c>
      <c r="AB88" s="557">
        <f>+AB87/AB86</f>
        <v>1</v>
      </c>
    </row>
    <row r="91" spans="1:37" ht="12" thickBot="1" x14ac:dyDescent="0.25"/>
    <row r="92" spans="1:37" s="556" customFormat="1" ht="39.950000000000003" customHeight="1" thickBot="1" x14ac:dyDescent="0.4">
      <c r="B92" s="1611">
        <v>2009</v>
      </c>
      <c r="C92" s="1612"/>
      <c r="D92" s="1612"/>
      <c r="E92" s="1612"/>
      <c r="F92" s="1612"/>
      <c r="G92" s="1612"/>
      <c r="H92" s="1612"/>
      <c r="I92" s="1612"/>
      <c r="J92" s="1612"/>
      <c r="K92" s="1612"/>
      <c r="L92" s="1612"/>
      <c r="M92" s="1612"/>
      <c r="N92" s="1612"/>
      <c r="O92" s="1612"/>
      <c r="P92" s="1612"/>
      <c r="Q92" s="1612"/>
      <c r="R92" s="1612"/>
      <c r="S92" s="1612"/>
      <c r="T92" s="1612"/>
      <c r="U92" s="1612"/>
      <c r="V92" s="1612"/>
      <c r="W92" s="1612"/>
      <c r="X92" s="1612"/>
      <c r="Y92" s="1612"/>
      <c r="Z92" s="1612"/>
      <c r="AA92" s="1612"/>
      <c r="AB92" s="1612"/>
      <c r="AC92" s="1613"/>
      <c r="AD92" s="560"/>
    </row>
    <row r="93" spans="1:37" s="441" customFormat="1" ht="60" customHeight="1" thickBot="1" x14ac:dyDescent="0.25">
      <c r="A93" s="438"/>
      <c r="B93" s="451" t="s">
        <v>130</v>
      </c>
      <c r="C93" s="451" t="s">
        <v>4</v>
      </c>
      <c r="D93" s="451" t="s">
        <v>5</v>
      </c>
      <c r="E93" s="451" t="s">
        <v>6</v>
      </c>
      <c r="F93" s="451" t="s">
        <v>7</v>
      </c>
      <c r="G93" s="451" t="s">
        <v>8</v>
      </c>
      <c r="H93" s="453" t="s">
        <v>9</v>
      </c>
      <c r="I93" s="453" t="s">
        <v>10</v>
      </c>
      <c r="J93" s="451" t="s">
        <v>11</v>
      </c>
      <c r="K93" s="451" t="s">
        <v>12</v>
      </c>
      <c r="L93" s="451" t="s">
        <v>13</v>
      </c>
      <c r="M93" s="451" t="s">
        <v>14</v>
      </c>
      <c r="N93" s="451" t="s">
        <v>15</v>
      </c>
      <c r="O93" s="452" t="s">
        <v>16</v>
      </c>
      <c r="P93" s="454" t="s">
        <v>17</v>
      </c>
      <c r="Q93" s="451" t="s">
        <v>18</v>
      </c>
      <c r="R93" s="452" t="s">
        <v>19</v>
      </c>
      <c r="S93" s="451" t="s">
        <v>20</v>
      </c>
      <c r="T93" s="451" t="s">
        <v>21</v>
      </c>
      <c r="U93" s="452" t="s">
        <v>22</v>
      </c>
      <c r="V93" s="451" t="s">
        <v>131</v>
      </c>
      <c r="W93" s="451" t="s">
        <v>24</v>
      </c>
      <c r="X93" s="451" t="s">
        <v>132</v>
      </c>
      <c r="Y93" s="451" t="s">
        <v>26</v>
      </c>
      <c r="Z93" s="451" t="s">
        <v>27</v>
      </c>
      <c r="AA93" s="451" t="s">
        <v>28</v>
      </c>
      <c r="AB93" s="451" t="s">
        <v>29</v>
      </c>
      <c r="AC93" s="451" t="s">
        <v>30</v>
      </c>
      <c r="AD93" s="439"/>
      <c r="AE93" s="440"/>
      <c r="AF93" s="440"/>
      <c r="AG93" s="440"/>
      <c r="AH93" s="440"/>
      <c r="AI93" s="440"/>
      <c r="AJ93" s="440"/>
      <c r="AK93" s="440"/>
    </row>
  </sheetData>
  <mergeCells count="11">
    <mergeCell ref="AC50:AC53"/>
    <mergeCell ref="B92:AC92"/>
    <mergeCell ref="B79:AC79"/>
    <mergeCell ref="B67:AC67"/>
    <mergeCell ref="B6:AC6"/>
    <mergeCell ref="B31:AC31"/>
    <mergeCell ref="AC58:AC60"/>
    <mergeCell ref="AC47:AC49"/>
    <mergeCell ref="B45:AC45"/>
    <mergeCell ref="AC54:AC55"/>
    <mergeCell ref="AC56:AC57"/>
  </mergeCells>
  <phoneticPr fontId="0" type="noConversion"/>
  <printOptions horizontalCentered="1"/>
  <pageMargins left="0.19685039370078741" right="0.75" top="0.19685039370078741" bottom="0.55118110236220474" header="0.23622047244094491" footer="0.19685039370078741"/>
  <pageSetup paperSize="5" scale="37" orientation="landscape" horizontalDpi="300" verticalDpi="300" r:id="rId1"/>
  <headerFooter alignWithMargins="0">
    <oddFooter>&amp;LBNDF 3.1085 Rev. _ 3/11/00&amp;CINFORME O/C ENTREGADAS
- &amp;D&amp;R&amp;"Tahoma,Normal"&amp;9Polonia &amp;P de &amp;N</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4"/>
  <dimension ref="A1:AJ209"/>
  <sheetViews>
    <sheetView topLeftCell="L201" zoomScaleNormal="100" workbookViewId="0">
      <selection activeCell="B8" sqref="B8:AC8"/>
    </sheetView>
  </sheetViews>
  <sheetFormatPr baseColWidth="10" defaultColWidth="11.42578125" defaultRowHeight="11.25" x14ac:dyDescent="0.2"/>
  <cols>
    <col min="1" max="1" width="5" style="2" customWidth="1"/>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30" width="11.42578125" style="3"/>
    <col min="31" max="31" width="17.7109375" style="2" customWidth="1"/>
    <col min="32" max="32" width="13.5703125" style="2" customWidth="1"/>
    <col min="33" max="16384" width="11.42578125" style="2"/>
  </cols>
  <sheetData>
    <row r="1" spans="1:36" ht="25.5" x14ac:dyDescent="0.35">
      <c r="B1" s="558" t="s">
        <v>126</v>
      </c>
      <c r="Z1" s="945" t="s">
        <v>127</v>
      </c>
      <c r="AA1" s="1058">
        <f ca="1">TODAY()</f>
        <v>45457</v>
      </c>
    </row>
    <row r="2" spans="1:36" ht="24" thickBot="1" x14ac:dyDescent="0.4">
      <c r="B2" s="559" t="s">
        <v>128</v>
      </c>
    </row>
    <row r="3" spans="1:36" s="556" customFormat="1" ht="39.950000000000003" customHeight="1" thickBot="1" x14ac:dyDescent="0.4">
      <c r="B3" s="1654">
        <v>1998</v>
      </c>
      <c r="C3" s="1655"/>
      <c r="D3" s="1655"/>
      <c r="E3" s="1655"/>
      <c r="F3" s="1655"/>
      <c r="G3" s="1655"/>
      <c r="H3" s="1655"/>
      <c r="I3" s="1655"/>
      <c r="J3" s="1655"/>
      <c r="K3" s="1655"/>
      <c r="L3" s="1655"/>
      <c r="M3" s="1655"/>
      <c r="N3" s="1655"/>
      <c r="O3" s="1655"/>
      <c r="P3" s="1655"/>
      <c r="Q3" s="1655"/>
      <c r="R3" s="1655"/>
      <c r="S3" s="1655"/>
      <c r="T3" s="1655"/>
      <c r="U3" s="1655"/>
      <c r="V3" s="1655"/>
      <c r="W3" s="1655"/>
      <c r="X3" s="1655"/>
      <c r="Y3" s="1655"/>
      <c r="Z3" s="1655"/>
      <c r="AA3" s="1655"/>
      <c r="AB3" s="1655"/>
      <c r="AC3" s="1656"/>
      <c r="AD3" s="555"/>
    </row>
    <row r="4" spans="1:36" s="441" customFormat="1" ht="60" customHeight="1" thickBot="1" x14ac:dyDescent="0.25">
      <c r="A4" s="438"/>
      <c r="B4" s="451" t="s">
        <v>130</v>
      </c>
      <c r="C4" s="451" t="s">
        <v>4</v>
      </c>
      <c r="D4" s="451" t="s">
        <v>5</v>
      </c>
      <c r="E4" s="451" t="s">
        <v>6</v>
      </c>
      <c r="F4" s="451" t="s">
        <v>7</v>
      </c>
      <c r="G4" s="451" t="s">
        <v>8</v>
      </c>
      <c r="H4" s="453" t="s">
        <v>9</v>
      </c>
      <c r="I4" s="453" t="s">
        <v>10</v>
      </c>
      <c r="J4" s="451" t="s">
        <v>11</v>
      </c>
      <c r="K4" s="451" t="s">
        <v>12</v>
      </c>
      <c r="L4" s="451" t="s">
        <v>13</v>
      </c>
      <c r="M4" s="451" t="s">
        <v>14</v>
      </c>
      <c r="N4" s="451" t="s">
        <v>15</v>
      </c>
      <c r="O4" s="452" t="s">
        <v>16</v>
      </c>
      <c r="P4" s="454" t="s">
        <v>17</v>
      </c>
      <c r="Q4" s="451"/>
      <c r="R4" s="452"/>
      <c r="S4" s="451" t="s">
        <v>4659</v>
      </c>
      <c r="T4" s="451" t="s">
        <v>4660</v>
      </c>
      <c r="U4" s="452" t="s">
        <v>22</v>
      </c>
      <c r="V4" s="451" t="s">
        <v>131</v>
      </c>
      <c r="W4" s="451" t="s">
        <v>24</v>
      </c>
      <c r="X4" s="451" t="s">
        <v>132</v>
      </c>
      <c r="Y4" s="451" t="s">
        <v>26</v>
      </c>
      <c r="Z4" s="451" t="s">
        <v>27</v>
      </c>
      <c r="AA4" s="451" t="s">
        <v>28</v>
      </c>
      <c r="AB4" s="451" t="s">
        <v>29</v>
      </c>
      <c r="AC4" s="451" t="s">
        <v>30</v>
      </c>
      <c r="AD4" s="439"/>
      <c r="AE4" s="440"/>
      <c r="AF4" s="440"/>
      <c r="AG4" s="440"/>
      <c r="AH4" s="440"/>
      <c r="AI4" s="440"/>
      <c r="AJ4" s="440"/>
    </row>
    <row r="5" spans="1:36" s="9" customFormat="1" x14ac:dyDescent="0.2">
      <c r="B5" s="312"/>
      <c r="C5" s="16"/>
      <c r="D5" s="6"/>
      <c r="E5" s="6"/>
      <c r="F5" s="6"/>
      <c r="G5" s="6"/>
      <c r="H5" s="17"/>
      <c r="I5" s="39"/>
      <c r="J5" s="6"/>
      <c r="K5" s="6"/>
      <c r="L5" s="40"/>
      <c r="M5" s="6"/>
      <c r="N5" s="6"/>
      <c r="O5" s="6"/>
      <c r="P5" s="6"/>
      <c r="Q5" s="6"/>
      <c r="R5" s="6"/>
      <c r="S5" s="6"/>
      <c r="T5" s="16"/>
      <c r="U5" s="16"/>
      <c r="V5" s="6"/>
      <c r="W5" s="47"/>
      <c r="X5" s="57"/>
      <c r="Y5" s="57"/>
      <c r="Z5" s="58"/>
      <c r="AA5" s="47"/>
      <c r="AB5" s="6"/>
      <c r="AC5" s="6"/>
      <c r="AD5" s="10"/>
    </row>
    <row r="6" spans="1:36" s="9" customFormat="1" x14ac:dyDescent="0.2">
      <c r="B6" s="312" t="s">
        <v>972</v>
      </c>
      <c r="C6" s="16" t="s">
        <v>283</v>
      </c>
      <c r="D6" s="6"/>
      <c r="E6" s="6"/>
      <c r="F6" s="6"/>
      <c r="G6" s="6"/>
      <c r="H6" s="17">
        <v>85841</v>
      </c>
      <c r="I6" s="6" t="s">
        <v>287</v>
      </c>
      <c r="J6" s="7"/>
      <c r="K6" s="7"/>
      <c r="L6" s="23"/>
      <c r="M6" s="18" t="s">
        <v>287</v>
      </c>
      <c r="N6" s="6" t="s">
        <v>42</v>
      </c>
      <c r="O6" s="6"/>
      <c r="P6" s="6"/>
      <c r="Q6" s="6"/>
      <c r="R6" s="6"/>
      <c r="S6" s="7">
        <v>35791</v>
      </c>
      <c r="T6" s="7">
        <v>35803</v>
      </c>
      <c r="U6" s="7"/>
      <c r="V6" s="6"/>
      <c r="W6" s="47"/>
      <c r="X6" s="59"/>
      <c r="Y6" s="59"/>
      <c r="Z6" s="60"/>
      <c r="AA6" s="35" t="s">
        <v>5903</v>
      </c>
      <c r="AB6" s="6"/>
      <c r="AC6" s="6"/>
      <c r="AD6" s="10"/>
    </row>
    <row r="7" spans="1:36" s="9" customFormat="1" ht="12" thickBot="1" x14ac:dyDescent="0.25">
      <c r="B7" s="313"/>
      <c r="C7" s="19"/>
      <c r="D7" s="5"/>
      <c r="E7" s="5"/>
      <c r="F7" s="5"/>
      <c r="G7" s="5"/>
      <c r="H7" s="20"/>
      <c r="I7" s="21"/>
      <c r="J7" s="5"/>
      <c r="K7" s="5"/>
      <c r="L7" s="22"/>
      <c r="M7" s="5"/>
      <c r="N7" s="5"/>
      <c r="O7" s="5"/>
      <c r="P7" s="5"/>
      <c r="Q7" s="5"/>
      <c r="R7" s="5"/>
      <c r="S7" s="5"/>
      <c r="T7" s="19"/>
      <c r="U7" s="19"/>
      <c r="V7" s="5"/>
      <c r="W7" s="36"/>
      <c r="X7" s="61"/>
      <c r="Y7" s="61"/>
      <c r="Z7" s="62"/>
      <c r="AA7" s="36"/>
      <c r="AB7" s="5"/>
      <c r="AC7" s="5"/>
      <c r="AD7" s="10"/>
    </row>
    <row r="8" spans="1:36" s="9" customFormat="1" x14ac:dyDescent="0.2">
      <c r="B8" s="314"/>
      <c r="C8" s="11"/>
      <c r="D8" s="12"/>
      <c r="E8" s="12"/>
      <c r="F8" s="12"/>
      <c r="G8" s="12"/>
      <c r="H8" s="13"/>
      <c r="I8" s="14"/>
      <c r="J8" s="12"/>
      <c r="K8" s="12"/>
      <c r="L8" s="15"/>
      <c r="M8" s="12"/>
      <c r="N8" s="12"/>
      <c r="O8" s="12"/>
      <c r="P8" s="12"/>
      <c r="Q8" s="12"/>
      <c r="R8" s="12"/>
      <c r="S8" s="12"/>
      <c r="T8" s="11"/>
      <c r="U8" s="11"/>
      <c r="V8" s="12"/>
      <c r="W8" s="47"/>
      <c r="X8" s="57"/>
      <c r="Y8" s="57"/>
      <c r="Z8" s="58"/>
      <c r="AA8" s="34"/>
      <c r="AB8" s="6"/>
      <c r="AC8" s="6"/>
      <c r="AD8" s="10"/>
    </row>
    <row r="9" spans="1:36" s="9" customFormat="1" x14ac:dyDescent="0.2">
      <c r="B9" s="312" t="s">
        <v>972</v>
      </c>
      <c r="C9" s="16" t="s">
        <v>283</v>
      </c>
      <c r="D9" s="6"/>
      <c r="E9" s="6"/>
      <c r="F9" s="6"/>
      <c r="G9" s="6"/>
      <c r="H9" s="17">
        <v>17345</v>
      </c>
      <c r="I9" s="6" t="s">
        <v>287</v>
      </c>
      <c r="J9" s="7"/>
      <c r="K9" s="7"/>
      <c r="L9" s="23"/>
      <c r="M9" s="18" t="s">
        <v>287</v>
      </c>
      <c r="N9" s="6" t="s">
        <v>42</v>
      </c>
      <c r="O9" s="6"/>
      <c r="P9" s="6"/>
      <c r="Q9" s="6"/>
      <c r="R9" s="6"/>
      <c r="S9" s="7"/>
      <c r="T9" s="7">
        <v>35810</v>
      </c>
      <c r="U9" s="7"/>
      <c r="V9" s="6"/>
      <c r="W9" s="47"/>
      <c r="X9" s="59"/>
      <c r="Y9" s="59"/>
      <c r="Z9" s="60"/>
      <c r="AA9" s="35" t="s">
        <v>5904</v>
      </c>
      <c r="AB9" s="6"/>
      <c r="AC9" s="6"/>
      <c r="AD9" s="10"/>
    </row>
    <row r="10" spans="1:36" s="9" customFormat="1" ht="12" thickBot="1" x14ac:dyDescent="0.25">
      <c r="B10" s="313"/>
      <c r="C10" s="19"/>
      <c r="D10" s="5"/>
      <c r="E10" s="5"/>
      <c r="F10" s="5"/>
      <c r="G10" s="5"/>
      <c r="H10" s="20"/>
      <c r="I10" s="21"/>
      <c r="J10" s="5"/>
      <c r="K10" s="5"/>
      <c r="L10" s="22"/>
      <c r="M10" s="5"/>
      <c r="N10" s="5"/>
      <c r="O10" s="5"/>
      <c r="P10" s="5"/>
      <c r="Q10" s="5"/>
      <c r="R10" s="5"/>
      <c r="S10" s="5"/>
      <c r="T10" s="19"/>
      <c r="U10" s="19"/>
      <c r="V10" s="5"/>
      <c r="W10" s="36"/>
      <c r="X10" s="61"/>
      <c r="Y10" s="61"/>
      <c r="Z10" s="62"/>
      <c r="AA10" s="36"/>
      <c r="AB10" s="5"/>
      <c r="AC10" s="5"/>
      <c r="AD10" s="10"/>
    </row>
    <row r="11" spans="1:36" s="9" customFormat="1" x14ac:dyDescent="0.2">
      <c r="B11" s="314"/>
      <c r="C11" s="11"/>
      <c r="D11" s="12"/>
      <c r="E11" s="12"/>
      <c r="F11" s="12"/>
      <c r="G11" s="12"/>
      <c r="H11" s="13"/>
      <c r="I11" s="14"/>
      <c r="J11" s="12"/>
      <c r="K11" s="12"/>
      <c r="L11" s="15"/>
      <c r="M11" s="12"/>
      <c r="N11" s="12"/>
      <c r="O11" s="12"/>
      <c r="P11" s="12"/>
      <c r="Q11" s="12"/>
      <c r="R11" s="12"/>
      <c r="S11" s="12"/>
      <c r="T11" s="11"/>
      <c r="U11" s="11"/>
      <c r="V11" s="12"/>
      <c r="W11" s="47"/>
      <c r="X11" s="57"/>
      <c r="Y11" s="57"/>
      <c r="Z11" s="58"/>
      <c r="AA11" s="34"/>
      <c r="AB11" s="6"/>
      <c r="AC11" s="6"/>
      <c r="AD11" s="10"/>
    </row>
    <row r="12" spans="1:36" s="9" customFormat="1" x14ac:dyDescent="0.2">
      <c r="B12" s="312" t="s">
        <v>972</v>
      </c>
      <c r="C12" s="16" t="s">
        <v>5905</v>
      </c>
      <c r="D12" s="6"/>
      <c r="E12" s="6"/>
      <c r="F12" s="6" t="s">
        <v>5906</v>
      </c>
      <c r="G12" s="6"/>
      <c r="H12" s="17">
        <v>153977</v>
      </c>
      <c r="I12" s="6" t="s">
        <v>287</v>
      </c>
      <c r="J12" s="7">
        <v>35815</v>
      </c>
      <c r="K12" s="7"/>
      <c r="L12" s="23" t="s">
        <v>5907</v>
      </c>
      <c r="M12" s="18" t="s">
        <v>287</v>
      </c>
      <c r="N12" s="6" t="s">
        <v>42</v>
      </c>
      <c r="O12" s="6"/>
      <c r="P12" s="6"/>
      <c r="Q12" s="6"/>
      <c r="R12" s="6"/>
      <c r="S12" s="7">
        <v>35922</v>
      </c>
      <c r="T12" s="7">
        <v>35923</v>
      </c>
      <c r="U12" s="7"/>
      <c r="V12" s="6" t="s">
        <v>5908</v>
      </c>
      <c r="W12" s="47">
        <v>399</v>
      </c>
      <c r="X12" s="59"/>
      <c r="Y12" s="59"/>
      <c r="Z12" s="60"/>
      <c r="AA12" s="35">
        <v>35959</v>
      </c>
      <c r="AB12" s="6" t="s">
        <v>211</v>
      </c>
      <c r="AC12" s="6"/>
      <c r="AD12" s="10"/>
    </row>
    <row r="13" spans="1:36" s="9" customFormat="1" ht="12" thickBot="1" x14ac:dyDescent="0.25">
      <c r="B13" s="313"/>
      <c r="C13" s="19"/>
      <c r="D13" s="5"/>
      <c r="E13" s="5"/>
      <c r="F13" s="5" t="s">
        <v>5909</v>
      </c>
      <c r="G13" s="5"/>
      <c r="H13" s="20"/>
      <c r="I13" s="21"/>
      <c r="J13" s="5" t="s">
        <v>3365</v>
      </c>
      <c r="K13" s="5"/>
      <c r="L13" s="22"/>
      <c r="M13" s="5"/>
      <c r="N13" s="5"/>
      <c r="O13" s="5"/>
      <c r="P13" s="5"/>
      <c r="Q13" s="5"/>
      <c r="R13" s="5"/>
      <c r="S13" s="5"/>
      <c r="T13" s="7" t="s">
        <v>5910</v>
      </c>
      <c r="U13" s="7"/>
      <c r="V13" s="5" t="s">
        <v>5911</v>
      </c>
      <c r="W13" s="36"/>
      <c r="X13" s="61"/>
      <c r="Y13" s="61"/>
      <c r="Z13" s="62"/>
      <c r="AA13" s="36"/>
      <c r="AB13" s="5"/>
      <c r="AC13" s="5"/>
      <c r="AD13" s="10"/>
    </row>
    <row r="14" spans="1:36" s="9" customFormat="1" x14ac:dyDescent="0.2">
      <c r="B14" s="314"/>
      <c r="C14" s="11"/>
      <c r="D14" s="12"/>
      <c r="E14" s="12"/>
      <c r="F14" s="12"/>
      <c r="G14" s="12"/>
      <c r="H14" s="13"/>
      <c r="I14" s="14"/>
      <c r="J14" s="12"/>
      <c r="K14" s="12"/>
      <c r="L14" s="15"/>
      <c r="M14" s="12"/>
      <c r="N14" s="12"/>
      <c r="O14" s="12"/>
      <c r="P14" s="12"/>
      <c r="Q14" s="12"/>
      <c r="R14" s="12"/>
      <c r="S14" s="12"/>
      <c r="T14" s="11"/>
      <c r="U14" s="11"/>
      <c r="V14" s="12"/>
      <c r="W14" s="47"/>
      <c r="X14" s="57"/>
      <c r="Y14" s="57"/>
      <c r="Z14" s="58"/>
      <c r="AA14" s="34"/>
      <c r="AB14" s="338"/>
      <c r="AC14" s="338"/>
      <c r="AD14" s="10"/>
    </row>
    <row r="15" spans="1:36" s="9" customFormat="1" x14ac:dyDescent="0.2">
      <c r="B15" s="312" t="s">
        <v>972</v>
      </c>
      <c r="C15" s="16" t="s">
        <v>5905</v>
      </c>
      <c r="D15" s="6"/>
      <c r="E15" s="6"/>
      <c r="F15" s="6" t="s">
        <v>5912</v>
      </c>
      <c r="G15" s="6"/>
      <c r="H15" s="17">
        <v>163313</v>
      </c>
      <c r="I15" s="6" t="s">
        <v>287</v>
      </c>
      <c r="J15" s="7">
        <v>35942</v>
      </c>
      <c r="K15" s="7"/>
      <c r="L15" s="23" t="s">
        <v>5913</v>
      </c>
      <c r="M15" s="18" t="s">
        <v>287</v>
      </c>
      <c r="N15" s="6" t="s">
        <v>42</v>
      </c>
      <c r="O15" s="6"/>
      <c r="P15" s="6"/>
      <c r="Q15" s="6"/>
      <c r="R15" s="6"/>
      <c r="S15" s="7">
        <v>35997</v>
      </c>
      <c r="T15" s="7">
        <v>35998</v>
      </c>
      <c r="U15" s="7"/>
      <c r="V15" s="6" t="s">
        <v>5914</v>
      </c>
      <c r="W15" s="47">
        <v>410</v>
      </c>
      <c r="X15" s="59"/>
      <c r="Y15" s="59"/>
      <c r="Z15" s="60"/>
      <c r="AA15" s="35">
        <v>36041</v>
      </c>
      <c r="AB15" s="6" t="s">
        <v>211</v>
      </c>
      <c r="AC15" s="6"/>
      <c r="AD15" s="10"/>
    </row>
    <row r="16" spans="1:36" s="9" customFormat="1" ht="12" thickBot="1" x14ac:dyDescent="0.25">
      <c r="B16" s="313"/>
      <c r="C16" s="19"/>
      <c r="D16" s="5"/>
      <c r="E16" s="5"/>
      <c r="F16" s="5"/>
      <c r="G16" s="5"/>
      <c r="H16" s="26"/>
      <c r="I16" s="21"/>
      <c r="J16" s="5" t="s">
        <v>3365</v>
      </c>
      <c r="K16" s="5"/>
      <c r="L16" s="22"/>
      <c r="M16" s="5"/>
      <c r="N16" s="5"/>
      <c r="O16" s="5"/>
      <c r="P16" s="5"/>
      <c r="Q16" s="5"/>
      <c r="R16" s="5"/>
      <c r="S16" s="5" t="s">
        <v>5915</v>
      </c>
      <c r="T16" s="5"/>
      <c r="U16" s="5"/>
      <c r="V16" s="5" t="s">
        <v>5916</v>
      </c>
      <c r="W16" s="36"/>
      <c r="X16" s="61"/>
      <c r="Y16" s="61"/>
      <c r="Z16" s="62"/>
      <c r="AA16" s="36" t="s">
        <v>5917</v>
      </c>
      <c r="AB16" s="65"/>
      <c r="AC16" s="65"/>
      <c r="AD16" s="10"/>
    </row>
    <row r="17" spans="1:36" s="9" customFormat="1" x14ac:dyDescent="0.2">
      <c r="B17" s="314"/>
      <c r="C17" s="11"/>
      <c r="D17" s="12"/>
      <c r="E17" s="12"/>
      <c r="F17" s="12"/>
      <c r="G17" s="12"/>
      <c r="H17" s="13"/>
      <c r="I17" s="14"/>
      <c r="J17" s="12"/>
      <c r="K17" s="12"/>
      <c r="L17" s="15"/>
      <c r="M17" s="12"/>
      <c r="N17" s="12"/>
      <c r="O17" s="12"/>
      <c r="P17" s="12"/>
      <c r="Q17" s="12"/>
      <c r="R17" s="12"/>
      <c r="S17" s="12"/>
      <c r="T17" s="11"/>
      <c r="U17" s="11"/>
      <c r="V17" s="12"/>
      <c r="W17" s="47"/>
      <c r="X17" s="57"/>
      <c r="Y17" s="57"/>
      <c r="Z17" s="58"/>
      <c r="AA17" s="34"/>
      <c r="AB17" s="56"/>
      <c r="AC17" s="56"/>
      <c r="AD17" s="10"/>
    </row>
    <row r="18" spans="1:36" s="9" customFormat="1" x14ac:dyDescent="0.2">
      <c r="B18" s="312" t="s">
        <v>972</v>
      </c>
      <c r="C18" s="16" t="s">
        <v>5905</v>
      </c>
      <c r="D18" s="6"/>
      <c r="E18" s="6"/>
      <c r="F18" s="6" t="s">
        <v>5912</v>
      </c>
      <c r="G18" s="6"/>
      <c r="H18" s="17">
        <v>81877</v>
      </c>
      <c r="I18" s="6" t="s">
        <v>287</v>
      </c>
      <c r="J18" s="7">
        <v>35942</v>
      </c>
      <c r="K18" s="7"/>
      <c r="L18" s="23" t="s">
        <v>5913</v>
      </c>
      <c r="M18" s="18" t="s">
        <v>287</v>
      </c>
      <c r="N18" s="6" t="s">
        <v>42</v>
      </c>
      <c r="O18" s="6"/>
      <c r="P18" s="6"/>
      <c r="Q18" s="6"/>
      <c r="R18" s="6"/>
      <c r="S18" s="7">
        <v>36018</v>
      </c>
      <c r="T18" s="7">
        <v>36020</v>
      </c>
      <c r="U18" s="7"/>
      <c r="V18" s="6" t="s">
        <v>5918</v>
      </c>
      <c r="W18" s="47">
        <v>424</v>
      </c>
      <c r="X18" s="59"/>
      <c r="Y18" s="59"/>
      <c r="Z18" s="60"/>
      <c r="AA18" s="35">
        <v>36069</v>
      </c>
      <c r="AB18" s="6" t="s">
        <v>211</v>
      </c>
      <c r="AC18" s="6"/>
      <c r="AD18" s="10"/>
    </row>
    <row r="19" spans="1:36" s="9" customFormat="1" ht="12" thickBot="1" x14ac:dyDescent="0.25">
      <c r="B19" s="313"/>
      <c r="C19" s="19"/>
      <c r="D19" s="5"/>
      <c r="E19" s="5"/>
      <c r="F19" s="5"/>
      <c r="G19" s="5"/>
      <c r="H19" s="26"/>
      <c r="I19" s="21"/>
      <c r="J19" s="5" t="s">
        <v>3365</v>
      </c>
      <c r="K19" s="5"/>
      <c r="L19" s="22"/>
      <c r="M19" s="5"/>
      <c r="N19" s="5"/>
      <c r="O19" s="5"/>
      <c r="P19" s="5"/>
      <c r="Q19" s="5"/>
      <c r="R19" s="5"/>
      <c r="S19" s="5"/>
      <c r="T19" s="5"/>
      <c r="U19" s="5"/>
      <c r="V19" s="5" t="s">
        <v>5919</v>
      </c>
      <c r="W19" s="36"/>
      <c r="X19" s="61"/>
      <c r="Y19" s="61"/>
      <c r="Z19" s="62"/>
      <c r="AA19" s="36"/>
      <c r="AB19" s="65"/>
      <c r="AC19" s="65"/>
      <c r="AD19" s="10"/>
    </row>
    <row r="20" spans="1:36" s="9" customFormat="1" x14ac:dyDescent="0.2">
      <c r="B20" s="314"/>
      <c r="C20" s="11"/>
      <c r="D20" s="12"/>
      <c r="E20" s="12"/>
      <c r="F20" s="12"/>
      <c r="G20" s="12"/>
      <c r="H20" s="13"/>
      <c r="I20" s="14"/>
      <c r="J20" s="12"/>
      <c r="K20" s="12"/>
      <c r="L20" s="15"/>
      <c r="M20" s="12"/>
      <c r="N20" s="12"/>
      <c r="O20" s="12"/>
      <c r="P20" s="12"/>
      <c r="Q20" s="12"/>
      <c r="R20" s="12"/>
      <c r="S20" s="12"/>
      <c r="T20" s="11"/>
      <c r="U20" s="11"/>
      <c r="V20" s="12"/>
      <c r="W20" s="47"/>
      <c r="X20" s="57"/>
      <c r="Y20" s="57"/>
      <c r="Z20" s="58"/>
      <c r="AA20" s="34"/>
      <c r="AB20" s="6"/>
      <c r="AC20" s="6"/>
      <c r="AD20" s="10"/>
    </row>
    <row r="21" spans="1:36" s="9" customFormat="1" x14ac:dyDescent="0.2">
      <c r="B21" s="312" t="s">
        <v>972</v>
      </c>
      <c r="C21" s="16" t="s">
        <v>5905</v>
      </c>
      <c r="D21" s="6"/>
      <c r="E21" s="6"/>
      <c r="F21" s="6" t="s">
        <v>5920</v>
      </c>
      <c r="G21" s="6"/>
      <c r="H21" s="17">
        <v>70267</v>
      </c>
      <c r="I21" s="6" t="s">
        <v>287</v>
      </c>
      <c r="J21" s="7">
        <v>35989</v>
      </c>
      <c r="K21" s="7"/>
      <c r="L21" s="23" t="s">
        <v>5921</v>
      </c>
      <c r="M21" s="18" t="s">
        <v>287</v>
      </c>
      <c r="N21" s="6" t="s">
        <v>42</v>
      </c>
      <c r="O21" s="6"/>
      <c r="P21" s="6"/>
      <c r="Q21" s="6"/>
      <c r="R21" s="6"/>
      <c r="S21" s="7">
        <v>36053</v>
      </c>
      <c r="T21" s="7">
        <v>36053</v>
      </c>
      <c r="U21" s="7"/>
      <c r="V21" s="6" t="s">
        <v>5922</v>
      </c>
      <c r="W21" s="47">
        <v>441</v>
      </c>
      <c r="X21" s="59"/>
      <c r="Y21" s="59"/>
      <c r="Z21" s="60"/>
      <c r="AA21" s="35">
        <v>36101</v>
      </c>
      <c r="AB21" s="6" t="s">
        <v>211</v>
      </c>
      <c r="AC21" s="6"/>
      <c r="AD21" s="10"/>
    </row>
    <row r="22" spans="1:36" s="9" customFormat="1" ht="12" thickBot="1" x14ac:dyDescent="0.25">
      <c r="B22" s="313"/>
      <c r="C22" s="19"/>
      <c r="D22" s="5"/>
      <c r="E22" s="5"/>
      <c r="F22" s="5"/>
      <c r="G22" s="5"/>
      <c r="H22" s="26"/>
      <c r="I22" s="21"/>
      <c r="J22" s="5" t="s">
        <v>3365</v>
      </c>
      <c r="K22" s="5"/>
      <c r="L22" s="22"/>
      <c r="M22" s="5"/>
      <c r="N22" s="5"/>
      <c r="O22" s="5"/>
      <c r="P22" s="5"/>
      <c r="Q22" s="5"/>
      <c r="R22" s="5"/>
      <c r="S22" s="5" t="s">
        <v>5923</v>
      </c>
      <c r="T22" s="5"/>
      <c r="U22" s="5"/>
      <c r="V22" s="5"/>
      <c r="W22" s="36"/>
      <c r="X22" s="61"/>
      <c r="Y22" s="61"/>
      <c r="Z22" s="62"/>
      <c r="AA22" s="36"/>
      <c r="AB22" s="5"/>
      <c r="AC22" s="5"/>
      <c r="AD22" s="10"/>
    </row>
    <row r="23" spans="1:36" s="9" customFormat="1" x14ac:dyDescent="0.2">
      <c r="B23" s="314"/>
      <c r="C23" s="11"/>
      <c r="D23" s="12"/>
      <c r="E23" s="12"/>
      <c r="F23" s="12"/>
      <c r="G23" s="12"/>
      <c r="H23" s="13"/>
      <c r="I23" s="14"/>
      <c r="J23" s="12"/>
      <c r="K23" s="12"/>
      <c r="L23" s="15"/>
      <c r="M23" s="12"/>
      <c r="N23" s="12"/>
      <c r="O23" s="12"/>
      <c r="P23" s="12"/>
      <c r="Q23" s="12"/>
      <c r="R23" s="12"/>
      <c r="S23" s="12"/>
      <c r="T23" s="11"/>
      <c r="U23" s="11"/>
      <c r="V23" s="12"/>
      <c r="W23" s="47"/>
      <c r="X23" s="57"/>
      <c r="Y23" s="57"/>
      <c r="Z23" s="11"/>
      <c r="AA23" s="34" t="s">
        <v>5924</v>
      </c>
      <c r="AB23" s="6"/>
      <c r="AC23" s="6"/>
      <c r="AD23" s="10"/>
    </row>
    <row r="24" spans="1:36" s="9" customFormat="1" x14ac:dyDescent="0.2">
      <c r="B24" s="312" t="s">
        <v>972</v>
      </c>
      <c r="C24" s="16" t="s">
        <v>5905</v>
      </c>
      <c r="D24" s="6"/>
      <c r="E24" s="6"/>
      <c r="F24" s="6" t="s">
        <v>5925</v>
      </c>
      <c r="G24" s="6"/>
      <c r="H24" s="17">
        <v>53422</v>
      </c>
      <c r="I24" s="6" t="s">
        <v>287</v>
      </c>
      <c r="J24" s="7">
        <v>36047</v>
      </c>
      <c r="K24" s="7"/>
      <c r="L24" s="23" t="s">
        <v>5926</v>
      </c>
      <c r="M24" s="18" t="s">
        <v>287</v>
      </c>
      <c r="N24" s="6" t="s">
        <v>42</v>
      </c>
      <c r="O24" s="6"/>
      <c r="P24" s="6"/>
      <c r="Q24" s="6"/>
      <c r="R24" s="6"/>
      <c r="S24" s="7">
        <v>36122</v>
      </c>
      <c r="T24" s="7">
        <v>36140</v>
      </c>
      <c r="U24" s="7"/>
      <c r="V24" s="6" t="s">
        <v>5927</v>
      </c>
      <c r="W24" s="47">
        <v>459</v>
      </c>
      <c r="X24" s="59"/>
      <c r="Y24" s="59"/>
      <c r="Z24" s="16">
        <v>6519678104</v>
      </c>
      <c r="AA24" s="35">
        <v>36179</v>
      </c>
      <c r="AB24" s="6" t="s">
        <v>211</v>
      </c>
      <c r="AC24" s="6"/>
      <c r="AD24" s="10"/>
    </row>
    <row r="25" spans="1:36" s="9" customFormat="1" ht="12" thickBot="1" x14ac:dyDescent="0.25">
      <c r="B25" s="313"/>
      <c r="C25" s="19"/>
      <c r="D25" s="5"/>
      <c r="E25" s="5"/>
      <c r="F25" s="5"/>
      <c r="G25" s="5"/>
      <c r="H25" s="26"/>
      <c r="I25" s="21"/>
      <c r="J25" s="5" t="s">
        <v>3365</v>
      </c>
      <c r="K25" s="5"/>
      <c r="L25" s="22"/>
      <c r="M25" s="5"/>
      <c r="N25" s="5"/>
      <c r="O25" s="5"/>
      <c r="P25" s="5"/>
      <c r="Q25" s="5"/>
      <c r="R25" s="5"/>
      <c r="S25" s="5" t="s">
        <v>296</v>
      </c>
      <c r="T25" s="5" t="s">
        <v>5928</v>
      </c>
      <c r="U25" s="5"/>
      <c r="V25" s="5" t="s">
        <v>5929</v>
      </c>
      <c r="W25" s="36"/>
      <c r="X25" s="61"/>
      <c r="Y25" s="61"/>
      <c r="Z25" s="19"/>
      <c r="AA25" s="36" t="s">
        <v>5930</v>
      </c>
      <c r="AB25" s="5"/>
      <c r="AC25" s="5"/>
      <c r="AD25" s="10"/>
    </row>
    <row r="26" spans="1:36" s="9" customFormat="1" x14ac:dyDescent="0.2">
      <c r="B26" s="315"/>
      <c r="C26" s="28"/>
      <c r="D26" s="43"/>
      <c r="E26" s="43"/>
      <c r="F26" s="30"/>
      <c r="G26" s="30"/>
      <c r="H26" s="119"/>
      <c r="I26" s="31"/>
      <c r="J26" s="30"/>
      <c r="K26" s="30"/>
      <c r="L26" s="32"/>
      <c r="M26" s="30"/>
      <c r="N26" s="30"/>
      <c r="O26" s="30"/>
      <c r="P26" s="30"/>
      <c r="Q26" s="30"/>
      <c r="R26" s="30"/>
      <c r="S26" s="30"/>
      <c r="T26" s="30"/>
      <c r="U26" s="30"/>
      <c r="V26" s="29"/>
      <c r="W26" s="30"/>
      <c r="X26" s="30"/>
      <c r="Y26" s="30"/>
      <c r="Z26" s="28"/>
      <c r="AA26" s="30"/>
      <c r="AB26" s="30"/>
      <c r="AC26" s="30"/>
      <c r="AD26" s="10"/>
    </row>
    <row r="27" spans="1:36" ht="12" customHeight="1" x14ac:dyDescent="0.2"/>
    <row r="28" spans="1:36" ht="3" customHeight="1" thickBot="1" x14ac:dyDescent="0.25"/>
    <row r="29" spans="1:36" s="556" customFormat="1" ht="39.950000000000003" customHeight="1" thickBot="1" x14ac:dyDescent="0.4">
      <c r="B29" s="1654">
        <v>2000</v>
      </c>
      <c r="C29" s="1655"/>
      <c r="D29" s="1655"/>
      <c r="E29" s="1655"/>
      <c r="F29" s="1655"/>
      <c r="G29" s="1655"/>
      <c r="H29" s="1655"/>
      <c r="I29" s="1655"/>
      <c r="J29" s="1655"/>
      <c r="K29" s="1655"/>
      <c r="L29" s="1655"/>
      <c r="M29" s="1655"/>
      <c r="N29" s="1655"/>
      <c r="O29" s="1655"/>
      <c r="P29" s="1655"/>
      <c r="Q29" s="1655"/>
      <c r="R29" s="1655"/>
      <c r="S29" s="1655"/>
      <c r="T29" s="1655"/>
      <c r="U29" s="1655"/>
      <c r="V29" s="1655"/>
      <c r="W29" s="1655"/>
      <c r="X29" s="1655"/>
      <c r="Y29" s="1655"/>
      <c r="Z29" s="1655"/>
      <c r="AA29" s="1655"/>
      <c r="AB29" s="1655"/>
      <c r="AC29" s="1656"/>
      <c r="AD29" s="555"/>
    </row>
    <row r="30" spans="1:36" s="441" customFormat="1" ht="60" customHeight="1" thickBot="1" x14ac:dyDescent="0.25">
      <c r="A30" s="438"/>
      <c r="B30" s="451" t="s">
        <v>130</v>
      </c>
      <c r="C30" s="451" t="s">
        <v>4</v>
      </c>
      <c r="D30" s="451" t="s">
        <v>5</v>
      </c>
      <c r="E30" s="451" t="s">
        <v>6</v>
      </c>
      <c r="F30" s="451" t="s">
        <v>7</v>
      </c>
      <c r="G30" s="451" t="s">
        <v>8</v>
      </c>
      <c r="H30" s="453" t="s">
        <v>9</v>
      </c>
      <c r="I30" s="453" t="s">
        <v>10</v>
      </c>
      <c r="J30" s="451" t="s">
        <v>11</v>
      </c>
      <c r="K30" s="451" t="s">
        <v>12</v>
      </c>
      <c r="L30" s="451" t="s">
        <v>13</v>
      </c>
      <c r="M30" s="451" t="s">
        <v>14</v>
      </c>
      <c r="N30" s="451" t="s">
        <v>15</v>
      </c>
      <c r="O30" s="452" t="s">
        <v>16</v>
      </c>
      <c r="P30" s="454" t="s">
        <v>17</v>
      </c>
      <c r="Q30" s="451"/>
      <c r="R30" s="452"/>
      <c r="S30" s="451" t="s">
        <v>4659</v>
      </c>
      <c r="T30" s="451" t="s">
        <v>4660</v>
      </c>
      <c r="U30" s="452" t="s">
        <v>22</v>
      </c>
      <c r="V30" s="451" t="s">
        <v>131</v>
      </c>
      <c r="W30" s="451" t="s">
        <v>24</v>
      </c>
      <c r="X30" s="451" t="s">
        <v>132</v>
      </c>
      <c r="Y30" s="451" t="s">
        <v>26</v>
      </c>
      <c r="Z30" s="451" t="s">
        <v>27</v>
      </c>
      <c r="AA30" s="451" t="s">
        <v>28</v>
      </c>
      <c r="AB30" s="451" t="s">
        <v>29</v>
      </c>
      <c r="AC30" s="451" t="s">
        <v>30</v>
      </c>
      <c r="AD30" s="439"/>
      <c r="AE30" s="440"/>
      <c r="AF30" s="440"/>
      <c r="AG30" s="440"/>
      <c r="AH30" s="440"/>
      <c r="AI30" s="440"/>
      <c r="AJ30" s="440"/>
    </row>
    <row r="31" spans="1:36" s="9" customFormat="1" x14ac:dyDescent="0.2">
      <c r="B31" s="314"/>
      <c r="C31" s="11"/>
      <c r="D31" s="12"/>
      <c r="E31" s="12"/>
      <c r="F31" s="12"/>
      <c r="G31" s="12"/>
      <c r="H31" s="13"/>
      <c r="I31" s="14"/>
      <c r="J31" s="12"/>
      <c r="K31" s="12"/>
      <c r="L31" s="12"/>
      <c r="M31" s="12"/>
      <c r="N31" s="12"/>
      <c r="O31" s="12"/>
      <c r="P31" s="12"/>
      <c r="Q31" s="12"/>
      <c r="R31" s="12"/>
      <c r="S31" s="12"/>
      <c r="T31" s="12"/>
      <c r="U31" s="12"/>
      <c r="V31" s="12"/>
      <c r="W31" s="11"/>
      <c r="X31" s="58"/>
      <c r="Y31" s="58"/>
      <c r="Z31" s="12"/>
      <c r="AA31" s="11"/>
      <c r="AB31" s="12"/>
      <c r="AC31" s="12"/>
      <c r="AD31" s="10"/>
    </row>
    <row r="32" spans="1:36" s="9" customFormat="1" x14ac:dyDescent="0.2">
      <c r="B32" s="312" t="s">
        <v>972</v>
      </c>
      <c r="C32" s="16" t="s">
        <v>5905</v>
      </c>
      <c r="D32" s="6" t="s">
        <v>5931</v>
      </c>
      <c r="E32" s="6"/>
      <c r="F32" s="6" t="s">
        <v>5932</v>
      </c>
      <c r="G32" s="6"/>
      <c r="H32" s="17">
        <v>62000</v>
      </c>
      <c r="I32" s="39"/>
      <c r="J32" s="7"/>
      <c r="K32" s="7"/>
      <c r="L32" s="40"/>
      <c r="M32" s="6" t="s">
        <v>287</v>
      </c>
      <c r="N32" s="6" t="s">
        <v>42</v>
      </c>
      <c r="O32" s="6"/>
      <c r="P32" s="6"/>
      <c r="Q32" s="6"/>
      <c r="R32" s="6"/>
      <c r="S32" s="7">
        <v>36603</v>
      </c>
      <c r="T32" s="7">
        <v>36623</v>
      </c>
      <c r="U32" s="7"/>
      <c r="V32" s="40" t="s">
        <v>5933</v>
      </c>
      <c r="W32" s="6">
        <v>577</v>
      </c>
      <c r="X32" s="60"/>
      <c r="Y32" s="60"/>
      <c r="Z32" s="6">
        <v>6582985172</v>
      </c>
      <c r="AA32" s="16"/>
      <c r="AB32" s="6" t="s">
        <v>211</v>
      </c>
      <c r="AC32" s="6"/>
      <c r="AD32" s="10"/>
    </row>
    <row r="33" spans="1:36" s="9" customFormat="1" ht="12" thickBot="1" x14ac:dyDescent="0.25">
      <c r="B33" s="313"/>
      <c r="C33" s="19"/>
      <c r="D33" s="5"/>
      <c r="E33" s="5"/>
      <c r="F33" s="5" t="s">
        <v>5934</v>
      </c>
      <c r="G33" s="5"/>
      <c r="H33" s="26"/>
      <c r="I33" s="21"/>
      <c r="J33" s="5"/>
      <c r="K33" s="5"/>
      <c r="L33" s="5"/>
      <c r="M33" s="5"/>
      <c r="N33" s="5"/>
      <c r="O33" s="5"/>
      <c r="P33" s="5"/>
      <c r="Q33" s="5"/>
      <c r="R33" s="5"/>
      <c r="S33" s="5" t="s">
        <v>296</v>
      </c>
      <c r="T33" s="5" t="s">
        <v>3359</v>
      </c>
      <c r="U33" s="5"/>
      <c r="V33" s="5" t="s">
        <v>5935</v>
      </c>
      <c r="W33" s="19"/>
      <c r="X33" s="62"/>
      <c r="Y33" s="62"/>
      <c r="Z33" s="5"/>
      <c r="AA33" s="19"/>
      <c r="AB33" s="5"/>
      <c r="AC33" s="5"/>
      <c r="AD33" s="10"/>
    </row>
    <row r="34" spans="1:36" s="9" customFormat="1" x14ac:dyDescent="0.2">
      <c r="B34" s="314"/>
      <c r="C34" s="11"/>
      <c r="D34" s="12"/>
      <c r="E34" s="12"/>
      <c r="F34" s="12"/>
      <c r="G34" s="12"/>
      <c r="H34" s="13"/>
      <c r="I34" s="14"/>
      <c r="J34" s="12"/>
      <c r="K34" s="12"/>
      <c r="L34" s="12"/>
      <c r="M34" s="12"/>
      <c r="N34" s="12"/>
      <c r="O34" s="12"/>
      <c r="P34" s="12"/>
      <c r="Q34" s="12"/>
      <c r="R34" s="12"/>
      <c r="S34" s="91">
        <v>36700</v>
      </c>
      <c r="T34" s="12"/>
      <c r="U34" s="12"/>
      <c r="V34" s="12"/>
      <c r="W34" s="11"/>
      <c r="X34" s="58"/>
      <c r="Y34" s="58"/>
      <c r="Z34" s="12"/>
      <c r="AA34" s="11"/>
      <c r="AB34" s="12"/>
      <c r="AC34" s="12"/>
      <c r="AD34" s="10"/>
    </row>
    <row r="35" spans="1:36" s="9" customFormat="1" x14ac:dyDescent="0.2">
      <c r="B35" s="312" t="s">
        <v>972</v>
      </c>
      <c r="C35" s="16" t="s">
        <v>5905</v>
      </c>
      <c r="D35" s="6" t="s">
        <v>5936</v>
      </c>
      <c r="E35" s="6"/>
      <c r="F35" s="6" t="s">
        <v>5937</v>
      </c>
      <c r="G35" s="6"/>
      <c r="H35" s="17">
        <v>107260</v>
      </c>
      <c r="I35" s="39"/>
      <c r="J35" s="7"/>
      <c r="K35" s="7"/>
      <c r="L35" s="40"/>
      <c r="M35" s="6" t="s">
        <v>287</v>
      </c>
      <c r="N35" s="6" t="s">
        <v>42</v>
      </c>
      <c r="O35" s="6"/>
      <c r="P35" s="6"/>
      <c r="Q35" s="6"/>
      <c r="R35" s="6"/>
      <c r="S35" s="143">
        <v>36696</v>
      </c>
      <c r="T35" s="7">
        <v>36731</v>
      </c>
      <c r="U35" s="7"/>
      <c r="V35" s="40" t="s">
        <v>5938</v>
      </c>
      <c r="W35" s="6">
        <v>617</v>
      </c>
      <c r="X35" s="60"/>
      <c r="Y35" s="60"/>
      <c r="Z35" s="6">
        <v>6638142976</v>
      </c>
      <c r="AA35" s="16"/>
      <c r="AB35" s="6" t="s">
        <v>211</v>
      </c>
      <c r="AC35" s="6"/>
      <c r="AD35" s="10"/>
    </row>
    <row r="36" spans="1:36" s="9" customFormat="1" ht="12" thickBot="1" x14ac:dyDescent="0.25">
      <c r="B36" s="313"/>
      <c r="C36" s="19"/>
      <c r="D36" s="5"/>
      <c r="E36" s="5"/>
      <c r="F36" s="5"/>
      <c r="G36" s="5"/>
      <c r="H36" s="26"/>
      <c r="I36" s="21"/>
      <c r="J36" s="5"/>
      <c r="K36" s="5"/>
      <c r="L36" s="5"/>
      <c r="M36" s="5"/>
      <c r="N36" s="5"/>
      <c r="O36" s="5"/>
      <c r="P36" s="5"/>
      <c r="Q36" s="5"/>
      <c r="R36" s="5"/>
      <c r="S36" s="5" t="s">
        <v>296</v>
      </c>
      <c r="T36" s="5" t="s">
        <v>3359</v>
      </c>
      <c r="U36" s="5"/>
      <c r="V36" s="5"/>
      <c r="W36" s="19"/>
      <c r="X36" s="62"/>
      <c r="Y36" s="62"/>
      <c r="Z36" s="5"/>
      <c r="AA36" s="19"/>
      <c r="AB36" s="5"/>
      <c r="AC36" s="5"/>
      <c r="AD36" s="10"/>
    </row>
    <row r="37" spans="1:36" s="9" customFormat="1" x14ac:dyDescent="0.2">
      <c r="B37" s="314"/>
      <c r="C37" s="11"/>
      <c r="D37" s="12"/>
      <c r="E37" s="12"/>
      <c r="F37" s="12"/>
      <c r="G37" s="12"/>
      <c r="H37" s="13"/>
      <c r="I37" s="14"/>
      <c r="J37" s="12"/>
      <c r="K37" s="12"/>
      <c r="L37" s="12"/>
      <c r="M37" s="12"/>
      <c r="N37" s="12"/>
      <c r="O37" s="12"/>
      <c r="P37" s="12"/>
      <c r="Q37" s="12"/>
      <c r="R37" s="12"/>
      <c r="S37" s="12"/>
      <c r="T37" s="12"/>
      <c r="U37" s="12"/>
      <c r="V37" s="12"/>
      <c r="W37" s="11"/>
      <c r="X37" s="58"/>
      <c r="Y37" s="58"/>
      <c r="Z37" s="12"/>
      <c r="AA37" s="11"/>
      <c r="AB37" s="12"/>
      <c r="AC37" s="12"/>
      <c r="AD37" s="10"/>
    </row>
    <row r="38" spans="1:36" s="9" customFormat="1" x14ac:dyDescent="0.2">
      <c r="B38" s="312" t="s">
        <v>972</v>
      </c>
      <c r="C38" s="16" t="s">
        <v>5905</v>
      </c>
      <c r="D38" s="6" t="s">
        <v>5936</v>
      </c>
      <c r="E38" s="6"/>
      <c r="F38" s="6" t="s">
        <v>5937</v>
      </c>
      <c r="G38" s="6"/>
      <c r="H38" s="17">
        <v>170000</v>
      </c>
      <c r="I38" s="39"/>
      <c r="J38" s="7"/>
      <c r="K38" s="7"/>
      <c r="L38" s="40"/>
      <c r="M38" s="6" t="s">
        <v>287</v>
      </c>
      <c r="N38" s="6" t="s">
        <v>42</v>
      </c>
      <c r="O38" s="6"/>
      <c r="P38" s="6"/>
      <c r="Q38" s="6"/>
      <c r="R38" s="6"/>
      <c r="S38" s="7">
        <v>36746</v>
      </c>
      <c r="T38" s="7">
        <v>36770</v>
      </c>
      <c r="U38" s="7"/>
      <c r="V38" s="40" t="s">
        <v>5939</v>
      </c>
      <c r="W38" s="6">
        <v>624</v>
      </c>
      <c r="X38" s="60"/>
      <c r="Y38" s="60"/>
      <c r="Z38" s="6">
        <v>6638142910</v>
      </c>
      <c r="AA38" s="16"/>
      <c r="AB38" s="6" t="s">
        <v>211</v>
      </c>
      <c r="AC38" s="6"/>
      <c r="AD38" s="10"/>
    </row>
    <row r="39" spans="1:36" s="9" customFormat="1" ht="12" thickBot="1" x14ac:dyDescent="0.25">
      <c r="B39" s="313"/>
      <c r="C39" s="19"/>
      <c r="D39" s="5"/>
      <c r="E39" s="5"/>
      <c r="F39" s="5"/>
      <c r="G39" s="5"/>
      <c r="H39" s="26"/>
      <c r="I39" s="21"/>
      <c r="J39" s="5"/>
      <c r="K39" s="5"/>
      <c r="L39" s="5"/>
      <c r="M39" s="5"/>
      <c r="N39" s="5"/>
      <c r="O39" s="5"/>
      <c r="P39" s="5"/>
      <c r="Q39" s="5"/>
      <c r="R39" s="5"/>
      <c r="S39" s="5" t="s">
        <v>296</v>
      </c>
      <c r="T39" s="5" t="s">
        <v>3359</v>
      </c>
      <c r="U39" s="5"/>
      <c r="V39" s="5"/>
      <c r="W39" s="19"/>
      <c r="X39" s="62"/>
      <c r="Y39" s="62"/>
      <c r="Z39" s="5"/>
      <c r="AA39" s="19"/>
      <c r="AB39" s="5"/>
      <c r="AC39" s="5"/>
      <c r="AD39" s="10"/>
    </row>
    <row r="40" spans="1:36" s="9" customFormat="1" x14ac:dyDescent="0.2">
      <c r="B40" s="314"/>
      <c r="C40" s="11"/>
      <c r="D40" s="12"/>
      <c r="E40" s="12"/>
      <c r="F40" s="12"/>
      <c r="G40" s="12"/>
      <c r="H40" s="13"/>
      <c r="I40" s="14"/>
      <c r="J40" s="12"/>
      <c r="K40" s="12"/>
      <c r="L40" s="12"/>
      <c r="M40" s="12"/>
      <c r="N40" s="12"/>
      <c r="O40" s="12"/>
      <c r="P40" s="12"/>
      <c r="Q40" s="12"/>
      <c r="R40" s="12"/>
      <c r="S40" s="12"/>
      <c r="T40" s="12"/>
      <c r="U40" s="12"/>
      <c r="V40" s="12"/>
      <c r="W40" s="11"/>
      <c r="X40" s="58"/>
      <c r="Y40" s="58"/>
      <c r="Z40" s="12"/>
      <c r="AA40" s="11"/>
      <c r="AB40" s="12"/>
      <c r="AC40" s="12"/>
      <c r="AD40" s="10"/>
    </row>
    <row r="41" spans="1:36" s="9" customFormat="1" x14ac:dyDescent="0.2">
      <c r="B41" s="312" t="s">
        <v>972</v>
      </c>
      <c r="C41" s="16" t="s">
        <v>5905</v>
      </c>
      <c r="D41" s="6" t="s">
        <v>5940</v>
      </c>
      <c r="E41" s="6"/>
      <c r="F41" s="6" t="s">
        <v>5941</v>
      </c>
      <c r="G41" s="6"/>
      <c r="H41" s="17">
        <v>108661</v>
      </c>
      <c r="I41" s="39"/>
      <c r="J41" s="7">
        <v>36755</v>
      </c>
      <c r="K41" s="7"/>
      <c r="L41" s="40" t="s">
        <v>5942</v>
      </c>
      <c r="M41" s="6" t="s">
        <v>287</v>
      </c>
      <c r="N41" s="6" t="s">
        <v>42</v>
      </c>
      <c r="O41" s="6"/>
      <c r="P41" s="6"/>
      <c r="Q41" s="6"/>
      <c r="R41" s="6"/>
      <c r="S41" s="7">
        <v>36844</v>
      </c>
      <c r="T41" s="7">
        <v>36872</v>
      </c>
      <c r="U41" s="7"/>
      <c r="V41" s="40"/>
      <c r="W41" s="6">
        <v>668</v>
      </c>
      <c r="X41" s="60"/>
      <c r="Y41" s="60"/>
      <c r="Z41" s="6">
        <v>6667111566</v>
      </c>
      <c r="AA41" s="16"/>
      <c r="AB41" s="6" t="s">
        <v>211</v>
      </c>
      <c r="AC41" s="6"/>
      <c r="AD41" s="10"/>
    </row>
    <row r="42" spans="1:36" s="9" customFormat="1" ht="12" thickBot="1" x14ac:dyDescent="0.25">
      <c r="B42" s="313"/>
      <c r="C42" s="19"/>
      <c r="D42" s="5"/>
      <c r="E42" s="5"/>
      <c r="F42" s="5"/>
      <c r="G42" s="5"/>
      <c r="H42" s="26"/>
      <c r="I42" s="21"/>
      <c r="J42" s="5"/>
      <c r="K42" s="5"/>
      <c r="L42" s="5"/>
      <c r="M42" s="5"/>
      <c r="N42" s="5"/>
      <c r="O42" s="5"/>
      <c r="P42" s="5"/>
      <c r="Q42" s="5"/>
      <c r="R42" s="5"/>
      <c r="S42" s="5" t="s">
        <v>296</v>
      </c>
      <c r="T42" s="5" t="s">
        <v>3359</v>
      </c>
      <c r="U42" s="5"/>
      <c r="V42" s="5"/>
      <c r="W42" s="19"/>
      <c r="X42" s="62"/>
      <c r="Y42" s="62"/>
      <c r="Z42" s="5"/>
      <c r="AA42" s="19"/>
      <c r="AB42" s="5"/>
      <c r="AC42" s="5"/>
      <c r="AD42" s="10"/>
    </row>
    <row r="43" spans="1:36" s="9" customFormat="1" ht="13.5" customHeight="1" x14ac:dyDescent="0.2">
      <c r="B43" s="315"/>
      <c r="C43" s="28"/>
      <c r="D43" s="29"/>
      <c r="E43" s="29"/>
      <c r="F43" s="30"/>
      <c r="G43" s="30"/>
      <c r="H43" s="119"/>
      <c r="I43" s="31"/>
      <c r="J43" s="30"/>
      <c r="K43" s="30"/>
      <c r="L43" s="30"/>
      <c r="M43" s="30"/>
      <c r="N43" s="30"/>
      <c r="O43" s="30"/>
      <c r="P43" s="30"/>
      <c r="Q43" s="30"/>
      <c r="R43" s="30"/>
      <c r="S43" s="30"/>
      <c r="T43" s="30"/>
      <c r="U43" s="30"/>
      <c r="V43" s="30"/>
      <c r="W43" s="28"/>
      <c r="X43" s="28"/>
      <c r="Y43" s="28"/>
      <c r="Z43" s="29"/>
      <c r="AA43" s="28"/>
      <c r="AB43" s="30"/>
      <c r="AC43" s="30"/>
      <c r="AD43" s="10"/>
    </row>
    <row r="44" spans="1:36" ht="15.75" customHeight="1" thickBot="1" x14ac:dyDescent="0.25">
      <c r="H44" s="223"/>
    </row>
    <row r="45" spans="1:36" s="556" customFormat="1" ht="39.950000000000003" customHeight="1" thickBot="1" x14ac:dyDescent="0.4">
      <c r="B45" s="1654">
        <v>2001</v>
      </c>
      <c r="C45" s="1655"/>
      <c r="D45" s="1655"/>
      <c r="E45" s="1655"/>
      <c r="F45" s="1655"/>
      <c r="G45" s="1655"/>
      <c r="H45" s="1655"/>
      <c r="I45" s="1655"/>
      <c r="J45" s="1655"/>
      <c r="K45" s="1655"/>
      <c r="L45" s="1655"/>
      <c r="M45" s="1655"/>
      <c r="N45" s="1655"/>
      <c r="O45" s="1655"/>
      <c r="P45" s="1655"/>
      <c r="Q45" s="1655"/>
      <c r="R45" s="1655"/>
      <c r="S45" s="1655"/>
      <c r="T45" s="1655"/>
      <c r="U45" s="1655"/>
      <c r="V45" s="1655"/>
      <c r="W45" s="1655"/>
      <c r="X45" s="1655"/>
      <c r="Y45" s="1655"/>
      <c r="Z45" s="1655"/>
      <c r="AA45" s="1655"/>
      <c r="AB45" s="1655"/>
      <c r="AC45" s="1656"/>
      <c r="AD45" s="555"/>
    </row>
    <row r="46" spans="1:36" s="441" customFormat="1" ht="60" customHeight="1" thickBot="1" x14ac:dyDescent="0.25">
      <c r="A46" s="438"/>
      <c r="B46" s="451" t="s">
        <v>130</v>
      </c>
      <c r="C46" s="451" t="s">
        <v>4</v>
      </c>
      <c r="D46" s="451" t="s">
        <v>5</v>
      </c>
      <c r="E46" s="451" t="s">
        <v>6</v>
      </c>
      <c r="F46" s="451" t="s">
        <v>7</v>
      </c>
      <c r="G46" s="451" t="s">
        <v>8</v>
      </c>
      <c r="H46" s="453" t="s">
        <v>9</v>
      </c>
      <c r="I46" s="453" t="s">
        <v>10</v>
      </c>
      <c r="J46" s="451" t="s">
        <v>11</v>
      </c>
      <c r="K46" s="451" t="s">
        <v>12</v>
      </c>
      <c r="L46" s="451" t="s">
        <v>13</v>
      </c>
      <c r="M46" s="451" t="s">
        <v>14</v>
      </c>
      <c r="N46" s="451" t="s">
        <v>15</v>
      </c>
      <c r="O46" s="452" t="s">
        <v>16</v>
      </c>
      <c r="P46" s="454" t="s">
        <v>17</v>
      </c>
      <c r="Q46" s="451"/>
      <c r="R46" s="452"/>
      <c r="S46" s="451" t="s">
        <v>4659</v>
      </c>
      <c r="T46" s="451" t="s">
        <v>4660</v>
      </c>
      <c r="U46" s="452" t="s">
        <v>22</v>
      </c>
      <c r="V46" s="451" t="s">
        <v>131</v>
      </c>
      <c r="W46" s="451" t="s">
        <v>24</v>
      </c>
      <c r="X46" s="451" t="s">
        <v>132</v>
      </c>
      <c r="Y46" s="451" t="s">
        <v>26</v>
      </c>
      <c r="Z46" s="451" t="s">
        <v>27</v>
      </c>
      <c r="AA46" s="451" t="s">
        <v>28</v>
      </c>
      <c r="AB46" s="451" t="s">
        <v>29</v>
      </c>
      <c r="AC46" s="451" t="s">
        <v>30</v>
      </c>
      <c r="AD46" s="439"/>
      <c r="AE46" s="440"/>
      <c r="AF46" s="440"/>
      <c r="AG46" s="440"/>
      <c r="AH46" s="440"/>
      <c r="AI46" s="440"/>
      <c r="AJ46" s="440"/>
    </row>
    <row r="47" spans="1:36" s="9" customFormat="1" x14ac:dyDescent="0.2">
      <c r="B47" s="314"/>
      <c r="C47" s="11"/>
      <c r="D47" s="12"/>
      <c r="E47" s="12"/>
      <c r="F47" s="12"/>
      <c r="G47" s="12"/>
      <c r="H47" s="13"/>
      <c r="I47" s="14"/>
      <c r="J47" s="12"/>
      <c r="K47" s="12"/>
      <c r="L47" s="12"/>
      <c r="M47" s="12"/>
      <c r="N47" s="12"/>
      <c r="O47" s="12"/>
      <c r="P47" s="12"/>
      <c r="Q47" s="12"/>
      <c r="R47" s="12"/>
      <c r="S47" s="12"/>
      <c r="T47" s="12"/>
      <c r="U47" s="12"/>
      <c r="V47" s="12"/>
      <c r="W47" s="11"/>
      <c r="X47" s="58"/>
      <c r="Y47" s="58"/>
      <c r="Z47" s="12"/>
      <c r="AA47" s="11"/>
      <c r="AB47" s="12"/>
      <c r="AC47" s="12"/>
      <c r="AD47" s="10"/>
    </row>
    <row r="48" spans="1:36" s="9" customFormat="1" x14ac:dyDescent="0.2">
      <c r="B48" s="312" t="s">
        <v>972</v>
      </c>
      <c r="C48" s="16" t="s">
        <v>5905</v>
      </c>
      <c r="D48" s="6" t="s">
        <v>5943</v>
      </c>
      <c r="E48" s="6"/>
      <c r="F48" s="6" t="s">
        <v>5944</v>
      </c>
      <c r="G48" s="6"/>
      <c r="H48" s="17">
        <v>96903.75</v>
      </c>
      <c r="I48" s="39"/>
      <c r="J48" s="7">
        <v>36805</v>
      </c>
      <c r="K48" s="7"/>
      <c r="L48" s="23">
        <v>36897</v>
      </c>
      <c r="M48" s="6" t="s">
        <v>287</v>
      </c>
      <c r="N48" s="6" t="s">
        <v>42</v>
      </c>
      <c r="O48" s="6"/>
      <c r="P48" s="6"/>
      <c r="Q48" s="6"/>
      <c r="R48" s="6"/>
      <c r="S48" s="7">
        <v>36887</v>
      </c>
      <c r="T48" s="7">
        <v>36928</v>
      </c>
      <c r="U48" s="7"/>
      <c r="V48" s="40" t="s">
        <v>674</v>
      </c>
      <c r="W48" s="6">
        <v>686</v>
      </c>
      <c r="X48" s="60"/>
      <c r="Y48" s="60"/>
      <c r="Z48" s="6">
        <v>6666060170</v>
      </c>
      <c r="AA48" s="16"/>
      <c r="AB48" s="7">
        <f>+T48+150</f>
        <v>37078</v>
      </c>
      <c r="AC48" s="7"/>
      <c r="AD48" s="10" t="str">
        <f>IF(T48&lt;=L48,"en término","atrasado")</f>
        <v>atrasado</v>
      </c>
    </row>
    <row r="49" spans="2:30" s="9" customFormat="1" ht="12" thickBot="1" x14ac:dyDescent="0.25">
      <c r="B49" s="313"/>
      <c r="C49" s="19"/>
      <c r="D49" s="5"/>
      <c r="E49" s="5"/>
      <c r="F49" s="5" t="s">
        <v>5945</v>
      </c>
      <c r="G49" s="5"/>
      <c r="H49" s="26"/>
      <c r="I49" s="21"/>
      <c r="J49" s="5"/>
      <c r="K49" s="6"/>
      <c r="L49" s="40" t="s">
        <v>5946</v>
      </c>
      <c r="M49" s="5"/>
      <c r="N49" s="5"/>
      <c r="O49" s="5"/>
      <c r="P49" s="5"/>
      <c r="Q49" s="5"/>
      <c r="R49" s="5"/>
      <c r="S49" s="5"/>
      <c r="T49" s="5" t="s">
        <v>3359</v>
      </c>
      <c r="U49" s="5"/>
      <c r="V49" s="5"/>
      <c r="W49" s="19"/>
      <c r="X49" s="62"/>
      <c r="Y49" s="62"/>
      <c r="Z49" s="5"/>
      <c r="AA49" s="19"/>
      <c r="AB49" s="5"/>
      <c r="AC49" s="5"/>
      <c r="AD49" s="10"/>
    </row>
    <row r="50" spans="2:30" s="9" customFormat="1" x14ac:dyDescent="0.2">
      <c r="B50" s="314"/>
      <c r="C50" s="11"/>
      <c r="D50" s="12" t="s">
        <v>5943</v>
      </c>
      <c r="E50" s="12"/>
      <c r="F50" s="12"/>
      <c r="G50" s="12"/>
      <c r="H50" s="13"/>
      <c r="I50" s="14"/>
      <c r="J50" s="12"/>
      <c r="K50" s="12"/>
      <c r="L50" s="12"/>
      <c r="M50" s="12"/>
      <c r="N50" s="12"/>
      <c r="O50" s="12"/>
      <c r="P50" s="12"/>
      <c r="Q50" s="12"/>
      <c r="R50" s="12"/>
      <c r="S50" s="12"/>
      <c r="T50" s="12"/>
      <c r="U50" s="12"/>
      <c r="V50" s="12"/>
      <c r="W50" s="11"/>
      <c r="X50" s="58"/>
      <c r="Y50" s="58"/>
      <c r="Z50" s="12"/>
      <c r="AA50" s="11"/>
      <c r="AB50" s="12"/>
      <c r="AC50" s="12"/>
      <c r="AD50" s="10"/>
    </row>
    <row r="51" spans="2:30" s="9" customFormat="1" x14ac:dyDescent="0.2">
      <c r="B51" s="312" t="s">
        <v>972</v>
      </c>
      <c r="C51" s="16" t="s">
        <v>5905</v>
      </c>
      <c r="D51" s="6" t="s">
        <v>5947</v>
      </c>
      <c r="E51" s="6"/>
      <c r="F51" s="6" t="s">
        <v>5948</v>
      </c>
      <c r="G51" s="6"/>
      <c r="H51" s="17">
        <v>73897</v>
      </c>
      <c r="I51" s="39"/>
      <c r="J51" s="7"/>
      <c r="K51" s="7"/>
      <c r="L51" s="23"/>
      <c r="M51" s="6" t="s">
        <v>287</v>
      </c>
      <c r="N51" s="6" t="s">
        <v>42</v>
      </c>
      <c r="O51" s="6"/>
      <c r="P51" s="6"/>
      <c r="Q51" s="6"/>
      <c r="R51" s="6"/>
      <c r="S51" s="7">
        <v>36963</v>
      </c>
      <c r="T51" s="7">
        <v>36985</v>
      </c>
      <c r="U51" s="7"/>
      <c r="V51" s="40" t="s">
        <v>5949</v>
      </c>
      <c r="W51" s="6">
        <v>702</v>
      </c>
      <c r="X51" s="60"/>
      <c r="Y51" s="60"/>
      <c r="Z51" s="6">
        <v>6666060251</v>
      </c>
      <c r="AA51" s="16"/>
      <c r="AB51" s="7">
        <f>150+T51</f>
        <v>37135</v>
      </c>
      <c r="AC51" s="7"/>
      <c r="AD51" s="10" t="str">
        <f>IF(T51&lt;=L51,"en término","atrasado")</f>
        <v>atrasado</v>
      </c>
    </row>
    <row r="52" spans="2:30" s="9" customFormat="1" ht="12" thickBot="1" x14ac:dyDescent="0.25">
      <c r="B52" s="313"/>
      <c r="C52" s="19"/>
      <c r="D52" s="5" t="s">
        <v>5950</v>
      </c>
      <c r="E52" s="5"/>
      <c r="F52" s="5" t="s">
        <v>5951</v>
      </c>
      <c r="G52" s="5"/>
      <c r="H52" s="26"/>
      <c r="I52" s="21"/>
      <c r="J52" s="5"/>
      <c r="K52" s="6"/>
      <c r="L52" s="40"/>
      <c r="M52" s="5"/>
      <c r="N52" s="5"/>
      <c r="O52" s="5"/>
      <c r="P52" s="5"/>
      <c r="Q52" s="5"/>
      <c r="R52" s="5"/>
      <c r="S52" s="5"/>
      <c r="T52" s="5"/>
      <c r="U52" s="5"/>
      <c r="V52" s="5"/>
      <c r="W52" s="19"/>
      <c r="X52" s="62"/>
      <c r="Y52" s="62"/>
      <c r="Z52" s="5"/>
      <c r="AA52" s="19"/>
      <c r="AB52" s="5"/>
      <c r="AC52" s="5"/>
      <c r="AD52" s="10"/>
    </row>
    <row r="53" spans="2:30" s="9" customFormat="1" x14ac:dyDescent="0.2">
      <c r="B53" s="314"/>
      <c r="C53" s="11"/>
      <c r="D53" s="12" t="s">
        <v>5943</v>
      </c>
      <c r="E53" s="12"/>
      <c r="F53" s="12" t="s">
        <v>5948</v>
      </c>
      <c r="G53" s="12"/>
      <c r="H53" s="13"/>
      <c r="I53" s="14"/>
      <c r="J53" s="12"/>
      <c r="K53" s="12"/>
      <c r="L53" s="12"/>
      <c r="M53" s="12"/>
      <c r="N53" s="12"/>
      <c r="O53" s="12"/>
      <c r="P53" s="12"/>
      <c r="Q53" s="12"/>
      <c r="R53" s="12"/>
      <c r="S53" s="12"/>
      <c r="T53" s="12"/>
      <c r="U53" s="12"/>
      <c r="V53" s="12"/>
      <c r="W53" s="11"/>
      <c r="X53" s="58"/>
      <c r="Y53" s="58"/>
      <c r="Z53" s="12"/>
      <c r="AA53" s="11"/>
      <c r="AB53" s="12"/>
      <c r="AC53" s="12"/>
      <c r="AD53" s="10"/>
    </row>
    <row r="54" spans="2:30" s="9" customFormat="1" x14ac:dyDescent="0.2">
      <c r="B54" s="312" t="s">
        <v>972</v>
      </c>
      <c r="C54" s="16" t="s">
        <v>5905</v>
      </c>
      <c r="D54" s="6" t="s">
        <v>5947</v>
      </c>
      <c r="E54" s="6"/>
      <c r="F54" s="6" t="s">
        <v>5951</v>
      </c>
      <c r="G54" s="6"/>
      <c r="H54" s="17">
        <v>125658</v>
      </c>
      <c r="I54" s="39"/>
      <c r="J54" s="7"/>
      <c r="K54" s="7"/>
      <c r="L54" s="23"/>
      <c r="M54" s="6" t="s">
        <v>287</v>
      </c>
      <c r="N54" s="6" t="s">
        <v>42</v>
      </c>
      <c r="O54" s="6"/>
      <c r="P54" s="6"/>
      <c r="Q54" s="6"/>
      <c r="R54" s="6"/>
      <c r="S54" s="7">
        <v>37008</v>
      </c>
      <c r="T54" s="7">
        <v>37025</v>
      </c>
      <c r="U54" s="7"/>
      <c r="V54" s="40" t="s">
        <v>5949</v>
      </c>
      <c r="W54" s="6">
        <v>711</v>
      </c>
      <c r="X54" s="60"/>
      <c r="Y54" s="60"/>
      <c r="Z54" s="6">
        <v>6512520722</v>
      </c>
      <c r="AA54" s="16"/>
      <c r="AB54" s="7">
        <f>150+T54</f>
        <v>37175</v>
      </c>
      <c r="AC54" s="7"/>
      <c r="AD54" s="10" t="str">
        <f>IF(T54&lt;=L54,"en término","atrasado")</f>
        <v>atrasado</v>
      </c>
    </row>
    <row r="55" spans="2:30" s="9" customFormat="1" ht="12" thickBot="1" x14ac:dyDescent="0.25">
      <c r="B55" s="313"/>
      <c r="C55" s="19"/>
      <c r="D55" s="5" t="s">
        <v>5950</v>
      </c>
      <c r="E55" s="5"/>
      <c r="F55" s="5"/>
      <c r="G55" s="5"/>
      <c r="H55" s="26"/>
      <c r="I55" s="21"/>
      <c r="J55" s="5"/>
      <c r="K55" s="6"/>
      <c r="L55" s="40"/>
      <c r="M55" s="5"/>
      <c r="N55" s="5"/>
      <c r="O55" s="5"/>
      <c r="P55" s="5"/>
      <c r="Q55" s="5"/>
      <c r="R55" s="5"/>
      <c r="S55" s="5" t="s">
        <v>730</v>
      </c>
      <c r="T55" s="5" t="s">
        <v>5952</v>
      </c>
      <c r="U55" s="5"/>
      <c r="V55" s="5"/>
      <c r="W55" s="5"/>
      <c r="X55" s="62"/>
      <c r="Y55" s="62"/>
      <c r="Z55" s="5"/>
      <c r="AA55" s="19"/>
      <c r="AB55" s="5"/>
      <c r="AC55" s="5"/>
      <c r="AD55" s="10"/>
    </row>
    <row r="56" spans="2:30" s="9" customFormat="1" x14ac:dyDescent="0.2">
      <c r="B56" s="314"/>
      <c r="C56" s="11"/>
      <c r="D56" s="12" t="s">
        <v>5953</v>
      </c>
      <c r="E56" s="12"/>
      <c r="F56" s="12" t="s">
        <v>5954</v>
      </c>
      <c r="G56" s="12"/>
      <c r="H56" s="13"/>
      <c r="I56" s="14"/>
      <c r="J56" s="12"/>
      <c r="K56" s="12"/>
      <c r="L56" s="12"/>
      <c r="M56" s="12"/>
      <c r="N56" s="12"/>
      <c r="O56" s="12"/>
      <c r="P56" s="12"/>
      <c r="Q56" s="12"/>
      <c r="R56" s="12"/>
      <c r="S56" s="12"/>
      <c r="T56" s="12"/>
      <c r="U56" s="12"/>
      <c r="V56" s="15"/>
      <c r="W56" s="11"/>
      <c r="X56" s="58"/>
      <c r="Y56" s="58"/>
      <c r="Z56" s="12"/>
      <c r="AA56" s="11"/>
      <c r="AB56" s="12"/>
      <c r="AC56" s="12"/>
      <c r="AD56" s="10"/>
    </row>
    <row r="57" spans="2:30" s="9" customFormat="1" x14ac:dyDescent="0.2">
      <c r="B57" s="312" t="s">
        <v>972</v>
      </c>
      <c r="C57" s="16" t="s">
        <v>5905</v>
      </c>
      <c r="D57" s="6" t="s">
        <v>5950</v>
      </c>
      <c r="E57" s="6"/>
      <c r="F57" s="6" t="s">
        <v>5955</v>
      </c>
      <c r="G57" s="6"/>
      <c r="H57" s="17">
        <v>95835</v>
      </c>
      <c r="I57" s="39"/>
      <c r="J57" s="7"/>
      <c r="K57" s="7"/>
      <c r="L57" s="23"/>
      <c r="M57" s="6" t="s">
        <v>287</v>
      </c>
      <c r="N57" s="6" t="s">
        <v>42</v>
      </c>
      <c r="O57" s="6"/>
      <c r="P57" s="6"/>
      <c r="Q57" s="6"/>
      <c r="R57" s="6"/>
      <c r="S57" s="7">
        <v>37046</v>
      </c>
      <c r="T57" s="7">
        <v>37069</v>
      </c>
      <c r="U57" s="7"/>
      <c r="V57" s="40" t="s">
        <v>5949</v>
      </c>
      <c r="W57" s="6">
        <v>728</v>
      </c>
      <c r="X57" s="60"/>
      <c r="Y57" s="60"/>
      <c r="Z57" s="6">
        <v>6515210774</v>
      </c>
      <c r="AA57" s="16"/>
      <c r="AB57" s="7">
        <f>150+T57</f>
        <v>37219</v>
      </c>
      <c r="AC57" s="7"/>
      <c r="AD57" s="10" t="str">
        <f>IF(T57&lt;=L57,"en término","atrasado")</f>
        <v>atrasado</v>
      </c>
    </row>
    <row r="58" spans="2:30" s="9" customFormat="1" ht="12" thickBot="1" x14ac:dyDescent="0.25">
      <c r="B58" s="313"/>
      <c r="C58" s="19"/>
      <c r="D58" s="5" t="s">
        <v>5956</v>
      </c>
      <c r="E58" s="5"/>
      <c r="F58" s="5" t="s">
        <v>5957</v>
      </c>
      <c r="G58" s="5"/>
      <c r="H58" s="26"/>
      <c r="I58" s="21"/>
      <c r="J58" s="187"/>
      <c r="K58" s="18"/>
      <c r="L58" s="186"/>
      <c r="M58" s="5"/>
      <c r="N58" s="5"/>
      <c r="O58" s="5"/>
      <c r="P58" s="5"/>
      <c r="Q58" s="5"/>
      <c r="R58" s="5"/>
      <c r="S58" s="5" t="s">
        <v>730</v>
      </c>
      <c r="T58" s="5" t="s">
        <v>5952</v>
      </c>
      <c r="U58" s="5"/>
      <c r="V58" s="191"/>
      <c r="W58" s="5"/>
      <c r="X58" s="62"/>
      <c r="Y58" s="62"/>
      <c r="Z58" s="5"/>
      <c r="AA58" s="19"/>
      <c r="AB58" s="5"/>
      <c r="AC58" s="5"/>
      <c r="AD58" s="10"/>
    </row>
    <row r="59" spans="2:30" s="9" customFormat="1" x14ac:dyDescent="0.2">
      <c r="B59" s="314"/>
      <c r="C59" s="11"/>
      <c r="D59" s="12"/>
      <c r="E59" s="12"/>
      <c r="F59" s="12"/>
      <c r="G59" s="12"/>
      <c r="H59" s="13"/>
      <c r="I59" s="14"/>
      <c r="J59" s="12"/>
      <c r="K59" s="12"/>
      <c r="L59" s="12"/>
      <c r="M59" s="12"/>
      <c r="N59" s="12"/>
      <c r="O59" s="12"/>
      <c r="P59" s="12"/>
      <c r="Q59" s="12"/>
      <c r="R59" s="12"/>
      <c r="S59" s="12"/>
      <c r="T59" s="12"/>
      <c r="U59" s="12"/>
      <c r="V59" s="12"/>
      <c r="W59" s="11"/>
      <c r="X59" s="58"/>
      <c r="Y59" s="58"/>
      <c r="Z59" s="12"/>
      <c r="AA59" s="11"/>
      <c r="AB59" s="12"/>
      <c r="AC59" s="12"/>
      <c r="AD59" s="10"/>
    </row>
    <row r="60" spans="2:30" s="9" customFormat="1" x14ac:dyDescent="0.2">
      <c r="B60" s="312" t="s">
        <v>972</v>
      </c>
      <c r="C60" s="16" t="s">
        <v>5905</v>
      </c>
      <c r="D60" s="6" t="s">
        <v>5943</v>
      </c>
      <c r="E60" s="6"/>
      <c r="F60" s="6" t="s">
        <v>5958</v>
      </c>
      <c r="G60" s="6"/>
      <c r="H60" s="17">
        <v>147249.4</v>
      </c>
      <c r="I60" s="39"/>
      <c r="J60" s="7"/>
      <c r="K60" s="7"/>
      <c r="L60" s="23"/>
      <c r="M60" s="6" t="s">
        <v>287</v>
      </c>
      <c r="N60" s="6" t="s">
        <v>42</v>
      </c>
      <c r="O60" s="6"/>
      <c r="P60" s="6"/>
      <c r="Q60" s="6"/>
      <c r="R60" s="6"/>
      <c r="S60" s="7"/>
      <c r="T60" s="7">
        <v>37118</v>
      </c>
      <c r="U60" s="7"/>
      <c r="V60" s="40" t="s">
        <v>5949</v>
      </c>
      <c r="W60" s="6">
        <v>738</v>
      </c>
      <c r="X60" s="60"/>
      <c r="Y60" s="60"/>
      <c r="Z60" s="6"/>
      <c r="AA60" s="16"/>
      <c r="AB60" s="7"/>
      <c r="AC60" s="7"/>
      <c r="AD60" s="10"/>
    </row>
    <row r="61" spans="2:30" s="9" customFormat="1" ht="12" thickBot="1" x14ac:dyDescent="0.25">
      <c r="B61" s="313"/>
      <c r="C61" s="19"/>
      <c r="D61" s="5" t="s">
        <v>5959</v>
      </c>
      <c r="E61" s="5"/>
      <c r="F61" s="5"/>
      <c r="G61" s="5"/>
      <c r="H61" s="26"/>
      <c r="I61" s="21"/>
      <c r="J61" s="5"/>
      <c r="K61" s="5"/>
      <c r="L61" s="22"/>
      <c r="M61" s="5"/>
      <c r="N61" s="5"/>
      <c r="O61" s="5"/>
      <c r="P61" s="5"/>
      <c r="Q61" s="5"/>
      <c r="R61" s="5"/>
      <c r="S61" s="5"/>
      <c r="T61" s="5"/>
      <c r="U61" s="5"/>
      <c r="V61" s="5"/>
      <c r="W61" s="5"/>
      <c r="X61" s="62"/>
      <c r="Y61" s="62"/>
      <c r="Z61" s="5"/>
      <c r="AA61" s="19"/>
      <c r="AB61" s="5"/>
      <c r="AC61" s="5"/>
      <c r="AD61" s="10"/>
    </row>
    <row r="62" spans="2:30" s="9" customFormat="1" x14ac:dyDescent="0.2">
      <c r="B62" s="314"/>
      <c r="C62" s="11"/>
      <c r="D62" s="12" t="s">
        <v>5960</v>
      </c>
      <c r="E62" s="12"/>
      <c r="F62" s="12" t="s">
        <v>5961</v>
      </c>
      <c r="G62" s="12"/>
      <c r="H62" s="14"/>
      <c r="I62" s="14"/>
      <c r="J62" s="12"/>
      <c r="K62" s="12"/>
      <c r="L62" s="12"/>
      <c r="M62" s="12"/>
      <c r="N62" s="12"/>
      <c r="O62" s="12"/>
      <c r="P62" s="12"/>
      <c r="Q62" s="12"/>
      <c r="R62" s="12"/>
      <c r="S62" s="12"/>
      <c r="T62" s="12"/>
      <c r="U62" s="12"/>
      <c r="V62" s="12"/>
      <c r="W62" s="11"/>
      <c r="X62" s="58"/>
      <c r="Y62" s="58"/>
      <c r="Z62" s="12"/>
      <c r="AA62" s="11"/>
      <c r="AB62" s="12"/>
      <c r="AC62" s="12"/>
      <c r="AD62" s="10"/>
    </row>
    <row r="63" spans="2:30" s="9" customFormat="1" x14ac:dyDescent="0.2">
      <c r="B63" s="312" t="s">
        <v>972</v>
      </c>
      <c r="C63" s="16" t="s">
        <v>5905</v>
      </c>
      <c r="D63" s="6" t="s">
        <v>5962</v>
      </c>
      <c r="E63" s="6"/>
      <c r="F63" s="6" t="s">
        <v>5963</v>
      </c>
      <c r="G63" s="6"/>
      <c r="H63" s="153">
        <v>103907.73</v>
      </c>
      <c r="I63" s="39"/>
      <c r="J63" s="7">
        <v>37076</v>
      </c>
      <c r="K63" s="7"/>
      <c r="L63" s="192">
        <v>37168</v>
      </c>
      <c r="M63" s="6" t="s">
        <v>287</v>
      </c>
      <c r="N63" s="6" t="s">
        <v>42</v>
      </c>
      <c r="O63" s="6"/>
      <c r="P63" s="6"/>
      <c r="Q63" s="6"/>
      <c r="R63" s="6"/>
      <c r="S63" s="7" t="s">
        <v>5964</v>
      </c>
      <c r="T63" s="7">
        <v>37159</v>
      </c>
      <c r="U63" s="7"/>
      <c r="V63" s="40"/>
      <c r="W63" s="6">
        <v>751</v>
      </c>
      <c r="X63" s="60"/>
      <c r="Y63" s="60"/>
      <c r="Z63" s="6">
        <v>6584205106</v>
      </c>
      <c r="AA63" s="16"/>
      <c r="AB63" s="6"/>
      <c r="AC63" s="6"/>
      <c r="AD63" s="10" t="str">
        <f>IF(T63&lt;=L63,"en término","atrasado")</f>
        <v>en término</v>
      </c>
    </row>
    <row r="64" spans="2:30" s="9" customFormat="1" ht="12" thickBot="1" x14ac:dyDescent="0.25">
      <c r="B64" s="313"/>
      <c r="C64" s="19"/>
      <c r="D64" s="5" t="s">
        <v>5965</v>
      </c>
      <c r="E64" s="5"/>
      <c r="F64" s="5"/>
      <c r="G64" s="5"/>
      <c r="H64" s="26"/>
      <c r="I64" s="21"/>
      <c r="J64" s="187"/>
      <c r="K64" s="187"/>
      <c r="L64" s="210"/>
      <c r="M64" s="5"/>
      <c r="N64" s="5"/>
      <c r="O64" s="5"/>
      <c r="P64" s="5"/>
      <c r="Q64" s="5"/>
      <c r="R64" s="5"/>
      <c r="S64" s="5" t="s">
        <v>730</v>
      </c>
      <c r="T64" s="5" t="s">
        <v>3359</v>
      </c>
      <c r="U64" s="5"/>
      <c r="V64" s="5"/>
      <c r="W64" s="19"/>
      <c r="X64" s="62"/>
      <c r="Y64" s="62"/>
      <c r="Z64" s="5"/>
      <c r="AA64" s="19"/>
      <c r="AB64" s="5"/>
      <c r="AC64" s="5"/>
      <c r="AD64" s="10"/>
    </row>
    <row r="65" spans="1:36" s="9" customFormat="1" x14ac:dyDescent="0.2">
      <c r="B65" s="315"/>
      <c r="C65" s="28"/>
      <c r="D65" s="30"/>
      <c r="E65" s="30"/>
      <c r="F65" s="30"/>
      <c r="G65" s="30"/>
      <c r="H65" s="119"/>
      <c r="I65" s="31"/>
      <c r="J65" s="364"/>
      <c r="K65" s="364"/>
      <c r="L65" s="572"/>
      <c r="M65" s="30"/>
      <c r="N65" s="30"/>
      <c r="O65" s="30"/>
      <c r="P65" s="30"/>
      <c r="Q65" s="30"/>
      <c r="R65" s="30"/>
      <c r="S65" s="30"/>
      <c r="T65" s="30"/>
      <c r="U65" s="30"/>
      <c r="V65" s="30"/>
      <c r="W65" s="28"/>
      <c r="X65" s="28"/>
      <c r="Y65" s="28"/>
      <c r="Z65" s="30"/>
      <c r="AA65" s="28"/>
      <c r="AB65" s="30"/>
      <c r="AC65" s="30"/>
      <c r="AD65" s="10"/>
    </row>
    <row r="66" spans="1:36" ht="12.75" x14ac:dyDescent="0.2">
      <c r="H66" s="223"/>
      <c r="AA66" s="1">
        <v>2002</v>
      </c>
      <c r="AB66" s="1048"/>
    </row>
    <row r="67" spans="1:36" ht="12.75" x14ac:dyDescent="0.2">
      <c r="AA67" s="945" t="s">
        <v>813</v>
      </c>
      <c r="AB67" s="1048">
        <f>COUNTA(AD47:AD64)</f>
        <v>5</v>
      </c>
    </row>
    <row r="68" spans="1:36" ht="12.75" x14ac:dyDescent="0.2">
      <c r="AA68" s="945" t="s">
        <v>4709</v>
      </c>
      <c r="AB68" s="1048">
        <f>COUNTIF(AD47:AD64,"en término")</f>
        <v>1</v>
      </c>
    </row>
    <row r="69" spans="1:36" ht="12.75" x14ac:dyDescent="0.2">
      <c r="AA69" s="945" t="s">
        <v>817</v>
      </c>
      <c r="AB69" s="557">
        <f>+AB68/AB67</f>
        <v>0.2</v>
      </c>
    </row>
    <row r="71" spans="1:36" ht="12" thickBot="1" x14ac:dyDescent="0.25"/>
    <row r="72" spans="1:36" s="556" customFormat="1" ht="39.950000000000003" customHeight="1" thickBot="1" x14ac:dyDescent="0.4">
      <c r="B72" s="1654">
        <v>2003</v>
      </c>
      <c r="C72" s="1655"/>
      <c r="D72" s="1655"/>
      <c r="E72" s="1655"/>
      <c r="F72" s="1655"/>
      <c r="G72" s="1655"/>
      <c r="H72" s="1655"/>
      <c r="I72" s="1655"/>
      <c r="J72" s="1655"/>
      <c r="K72" s="1655"/>
      <c r="L72" s="1655"/>
      <c r="M72" s="1655"/>
      <c r="N72" s="1655"/>
      <c r="O72" s="1655"/>
      <c r="P72" s="1655"/>
      <c r="Q72" s="1655"/>
      <c r="R72" s="1655"/>
      <c r="S72" s="1655"/>
      <c r="T72" s="1655"/>
      <c r="U72" s="1655"/>
      <c r="V72" s="1655"/>
      <c r="W72" s="1655"/>
      <c r="X72" s="1655"/>
      <c r="Y72" s="1655"/>
      <c r="Z72" s="1655"/>
      <c r="AA72" s="1655"/>
      <c r="AB72" s="1655"/>
      <c r="AC72" s="1656"/>
      <c r="AD72" s="555"/>
    </row>
    <row r="73" spans="1:36" s="441" customFormat="1" ht="60" customHeight="1" thickBot="1" x14ac:dyDescent="0.25">
      <c r="A73" s="438"/>
      <c r="B73" s="451" t="s">
        <v>130</v>
      </c>
      <c r="C73" s="451" t="s">
        <v>4</v>
      </c>
      <c r="D73" s="451" t="s">
        <v>5</v>
      </c>
      <c r="E73" s="451" t="s">
        <v>6</v>
      </c>
      <c r="F73" s="451" t="s">
        <v>7</v>
      </c>
      <c r="G73" s="451" t="s">
        <v>8</v>
      </c>
      <c r="H73" s="453" t="s">
        <v>9</v>
      </c>
      <c r="I73" s="453" t="s">
        <v>10</v>
      </c>
      <c r="J73" s="451" t="s">
        <v>11</v>
      </c>
      <c r="K73" s="451" t="s">
        <v>12</v>
      </c>
      <c r="L73" s="451" t="s">
        <v>13</v>
      </c>
      <c r="M73" s="451" t="s">
        <v>14</v>
      </c>
      <c r="N73" s="451" t="s">
        <v>15</v>
      </c>
      <c r="O73" s="452" t="s">
        <v>16</v>
      </c>
      <c r="P73" s="454" t="s">
        <v>17</v>
      </c>
      <c r="Q73" s="451"/>
      <c r="R73" s="452"/>
      <c r="S73" s="451" t="s">
        <v>4659</v>
      </c>
      <c r="T73" s="451" t="s">
        <v>4660</v>
      </c>
      <c r="U73" s="452" t="s">
        <v>22</v>
      </c>
      <c r="V73" s="451" t="s">
        <v>131</v>
      </c>
      <c r="W73" s="451" t="s">
        <v>24</v>
      </c>
      <c r="X73" s="451" t="s">
        <v>132</v>
      </c>
      <c r="Y73" s="451" t="s">
        <v>26</v>
      </c>
      <c r="Z73" s="451" t="s">
        <v>27</v>
      </c>
      <c r="AA73" s="451" t="s">
        <v>28</v>
      </c>
      <c r="AB73" s="451" t="s">
        <v>29</v>
      </c>
      <c r="AC73" s="451" t="s">
        <v>30</v>
      </c>
      <c r="AD73" s="439"/>
      <c r="AE73" s="440"/>
      <c r="AF73" s="440"/>
      <c r="AG73" s="440"/>
      <c r="AH73" s="440"/>
      <c r="AI73" s="440"/>
      <c r="AJ73" s="440"/>
    </row>
    <row r="74" spans="1:36" s="9" customFormat="1" x14ac:dyDescent="0.2">
      <c r="B74" s="314"/>
      <c r="C74" s="11"/>
      <c r="D74" s="12"/>
      <c r="E74" s="12"/>
      <c r="F74" s="12"/>
      <c r="G74" s="12"/>
      <c r="H74" s="563"/>
      <c r="I74" s="14"/>
      <c r="J74" s="12"/>
      <c r="K74" s="12"/>
      <c r="L74" s="12"/>
      <c r="M74" s="12"/>
      <c r="N74" s="12"/>
      <c r="O74" s="12"/>
      <c r="P74" s="12"/>
      <c r="Q74" s="12"/>
      <c r="R74" s="12"/>
      <c r="S74" s="12"/>
      <c r="T74" s="12" t="s">
        <v>5966</v>
      </c>
      <c r="U74" s="12"/>
      <c r="V74" s="12"/>
      <c r="W74" s="12"/>
      <c r="X74" s="58"/>
      <c r="Y74" s="58"/>
      <c r="Z74" s="12"/>
      <c r="AA74" s="11"/>
      <c r="AB74" s="12"/>
      <c r="AC74" s="12"/>
    </row>
    <row r="75" spans="1:36" s="9" customFormat="1" x14ac:dyDescent="0.2">
      <c r="B75" s="312" t="s">
        <v>972</v>
      </c>
      <c r="C75" s="16" t="s">
        <v>5967</v>
      </c>
      <c r="D75" s="6" t="s">
        <v>5968</v>
      </c>
      <c r="E75" s="6"/>
      <c r="F75" s="6" t="s">
        <v>5969</v>
      </c>
      <c r="G75" s="6"/>
      <c r="H75" s="564">
        <v>34965.199999999997</v>
      </c>
      <c r="I75" s="39" t="s">
        <v>287</v>
      </c>
      <c r="J75" s="7">
        <v>37523</v>
      </c>
      <c r="K75" s="7"/>
      <c r="L75" s="23">
        <f>150+J75</f>
        <v>37673</v>
      </c>
      <c r="M75" s="6" t="s">
        <v>280</v>
      </c>
      <c r="N75" s="6" t="s">
        <v>42</v>
      </c>
      <c r="O75" s="6"/>
      <c r="P75" s="6"/>
      <c r="Q75" s="6"/>
      <c r="R75" s="6"/>
      <c r="S75" s="23">
        <v>37645</v>
      </c>
      <c r="T75" s="23">
        <v>37657</v>
      </c>
      <c r="U75" s="23"/>
      <c r="V75" s="40" t="s">
        <v>5970</v>
      </c>
      <c r="W75" s="6">
        <v>855</v>
      </c>
      <c r="X75" s="60"/>
      <c r="Y75" s="60"/>
      <c r="Z75" s="6" t="s">
        <v>5971</v>
      </c>
      <c r="AA75" s="16"/>
      <c r="AB75" s="6" t="s">
        <v>47</v>
      </c>
      <c r="AC75" s="6"/>
      <c r="AD75" s="10" t="str">
        <f>IF(T75&lt;=L75,"en término","atrasado")</f>
        <v>en término</v>
      </c>
    </row>
    <row r="76" spans="1:36" s="9" customFormat="1" ht="12" thickBot="1" x14ac:dyDescent="0.25">
      <c r="B76" s="313"/>
      <c r="C76" s="19" t="s">
        <v>5972</v>
      </c>
      <c r="D76" s="5"/>
      <c r="E76" s="5"/>
      <c r="F76" s="5"/>
      <c r="G76" s="5"/>
      <c r="H76" s="26"/>
      <c r="I76" s="21"/>
      <c r="J76" s="5"/>
      <c r="K76" s="5"/>
      <c r="L76" s="5"/>
      <c r="M76" s="5"/>
      <c r="N76" s="5"/>
      <c r="O76" s="5"/>
      <c r="P76" s="5"/>
      <c r="Q76" s="5"/>
      <c r="R76" s="5"/>
      <c r="S76" s="22"/>
      <c r="T76" s="5" t="s">
        <v>5973</v>
      </c>
      <c r="U76" s="5"/>
      <c r="V76" s="224" t="s">
        <v>5075</v>
      </c>
      <c r="W76" s="5"/>
      <c r="X76" s="62"/>
      <c r="Y76" s="62"/>
      <c r="Z76" s="5" t="s">
        <v>5974</v>
      </c>
      <c r="AA76" s="19"/>
      <c r="AB76" s="5"/>
      <c r="AC76" s="5"/>
    </row>
    <row r="77" spans="1:36" s="9" customFormat="1" x14ac:dyDescent="0.2">
      <c r="B77" s="314"/>
      <c r="C77" s="11"/>
      <c r="D77" s="12"/>
      <c r="E77" s="12"/>
      <c r="F77" s="12"/>
      <c r="G77" s="12"/>
      <c r="H77" s="563"/>
      <c r="I77" s="14"/>
      <c r="J77" s="12"/>
      <c r="K77" s="12"/>
      <c r="L77" s="12"/>
      <c r="M77" s="12"/>
      <c r="N77" s="12"/>
      <c r="O77" s="12"/>
      <c r="P77" s="12"/>
      <c r="Q77" s="12"/>
      <c r="R77" s="12"/>
      <c r="S77" s="15"/>
      <c r="T77" s="12" t="s">
        <v>5966</v>
      </c>
      <c r="U77" s="12"/>
      <c r="V77" s="12"/>
      <c r="W77" s="12"/>
      <c r="X77" s="58"/>
      <c r="Y77" s="58"/>
      <c r="Z77" s="12"/>
      <c r="AA77" s="11"/>
      <c r="AB77" s="12"/>
      <c r="AC77" s="12"/>
    </row>
    <row r="78" spans="1:36" s="9" customFormat="1" x14ac:dyDescent="0.2">
      <c r="B78" s="312" t="s">
        <v>972</v>
      </c>
      <c r="C78" s="16" t="s">
        <v>5967</v>
      </c>
      <c r="D78" s="6" t="s">
        <v>5975</v>
      </c>
      <c r="E78" s="6"/>
      <c r="F78" s="6" t="s">
        <v>5976</v>
      </c>
      <c r="G78" s="6"/>
      <c r="H78" s="564">
        <v>51984.12</v>
      </c>
      <c r="I78" s="39" t="s">
        <v>287</v>
      </c>
      <c r="J78" s="7">
        <v>37523</v>
      </c>
      <c r="K78" s="7"/>
      <c r="L78" s="23">
        <f>150+J78</f>
        <v>37673</v>
      </c>
      <c r="M78" s="6" t="s">
        <v>280</v>
      </c>
      <c r="N78" s="6" t="s">
        <v>42</v>
      </c>
      <c r="O78" s="6"/>
      <c r="P78" s="6"/>
      <c r="Q78" s="6"/>
      <c r="R78" s="6"/>
      <c r="S78" s="23">
        <v>37645</v>
      </c>
      <c r="T78" s="23">
        <v>37657</v>
      </c>
      <c r="U78" s="23"/>
      <c r="V78" s="40" t="s">
        <v>5977</v>
      </c>
      <c r="W78" s="6">
        <v>856</v>
      </c>
      <c r="X78" s="60"/>
      <c r="Y78" s="60"/>
      <c r="Z78" s="6" t="s">
        <v>5971</v>
      </c>
      <c r="AA78" s="16"/>
      <c r="AB78" s="6" t="s">
        <v>47</v>
      </c>
      <c r="AC78" s="6"/>
      <c r="AD78" s="10" t="str">
        <f>IF(T78&lt;=L78,"en término","atrasado")</f>
        <v>en término</v>
      </c>
    </row>
    <row r="79" spans="1:36" s="9" customFormat="1" ht="12" thickBot="1" x14ac:dyDescent="0.25">
      <c r="B79" s="313"/>
      <c r="C79" s="19" t="s">
        <v>5978</v>
      </c>
      <c r="D79" s="5"/>
      <c r="E79" s="5"/>
      <c r="F79" s="5"/>
      <c r="G79" s="5"/>
      <c r="H79" s="26"/>
      <c r="I79" s="21"/>
      <c r="J79" s="5"/>
      <c r="K79" s="5"/>
      <c r="L79" s="5"/>
      <c r="M79" s="5"/>
      <c r="N79" s="5"/>
      <c r="O79" s="5"/>
      <c r="P79" s="5"/>
      <c r="Q79" s="5"/>
      <c r="R79" s="5"/>
      <c r="S79" s="5"/>
      <c r="T79" s="5" t="s">
        <v>5973</v>
      </c>
      <c r="U79" s="5"/>
      <c r="V79" s="224" t="s">
        <v>5075</v>
      </c>
      <c r="W79" s="5"/>
      <c r="X79" s="62"/>
      <c r="Y79" s="62"/>
      <c r="Z79" s="5" t="s">
        <v>5974</v>
      </c>
      <c r="AA79" s="19"/>
      <c r="AB79" s="5"/>
      <c r="AC79" s="5"/>
    </row>
    <row r="80" spans="1:36" s="9" customFormat="1" x14ac:dyDescent="0.2">
      <c r="B80" s="314"/>
      <c r="C80" s="11"/>
      <c r="D80" s="12"/>
      <c r="E80" s="12"/>
      <c r="F80" s="12"/>
      <c r="G80" s="12"/>
      <c r="H80" s="563"/>
      <c r="I80" s="14"/>
      <c r="J80" s="12"/>
      <c r="K80" s="12"/>
      <c r="L80" s="12"/>
      <c r="M80" s="12"/>
      <c r="N80" s="12"/>
      <c r="O80" s="12"/>
      <c r="P80" s="12"/>
      <c r="Q80" s="12"/>
      <c r="R80" s="12"/>
      <c r="S80" s="12"/>
      <c r="T80" s="12" t="s">
        <v>5979</v>
      </c>
      <c r="U80" s="12"/>
      <c r="V80" s="244" t="s">
        <v>5980</v>
      </c>
      <c r="W80" s="12"/>
      <c r="X80" s="58"/>
      <c r="Y80" s="58"/>
      <c r="Z80" s="12"/>
      <c r="AA80" s="11"/>
      <c r="AB80" s="12"/>
      <c r="AC80" s="12"/>
    </row>
    <row r="81" spans="1:36" s="9" customFormat="1" x14ac:dyDescent="0.2">
      <c r="B81" s="312" t="s">
        <v>972</v>
      </c>
      <c r="C81" s="16" t="s">
        <v>5981</v>
      </c>
      <c r="D81" s="6" t="s">
        <v>5982</v>
      </c>
      <c r="E81" s="6"/>
      <c r="F81" s="6" t="s">
        <v>5983</v>
      </c>
      <c r="G81" s="6"/>
      <c r="H81" s="564">
        <v>10131.52</v>
      </c>
      <c r="I81" s="39"/>
      <c r="J81" s="7">
        <v>37739</v>
      </c>
      <c r="K81" s="7"/>
      <c r="L81" s="23">
        <f>90+J81</f>
        <v>37829</v>
      </c>
      <c r="M81" s="6" t="s">
        <v>280</v>
      </c>
      <c r="N81" s="6" t="s">
        <v>42</v>
      </c>
      <c r="O81" s="6"/>
      <c r="P81" s="6"/>
      <c r="Q81" s="6"/>
      <c r="R81" s="6"/>
      <c r="S81" s="23">
        <v>37793</v>
      </c>
      <c r="T81" s="23">
        <v>37804</v>
      </c>
      <c r="U81" s="23"/>
      <c r="V81" s="40" t="s">
        <v>5984</v>
      </c>
      <c r="W81" s="6">
        <v>897</v>
      </c>
      <c r="X81" s="60"/>
      <c r="Y81" s="60"/>
      <c r="Z81" s="6" t="s">
        <v>5985</v>
      </c>
      <c r="AA81" s="16"/>
      <c r="AB81" s="6" t="s">
        <v>47</v>
      </c>
      <c r="AC81" s="6"/>
      <c r="AD81" s="10" t="str">
        <f>IF(T81&lt;=L81,"en término","atrasado")</f>
        <v>en término</v>
      </c>
    </row>
    <row r="82" spans="1:36" s="9" customFormat="1" ht="34.5" thickBot="1" x14ac:dyDescent="0.25">
      <c r="B82" s="313"/>
      <c r="C82" s="19" t="s">
        <v>5978</v>
      </c>
      <c r="D82" s="5"/>
      <c r="E82" s="5"/>
      <c r="F82" s="5"/>
      <c r="G82" s="5"/>
      <c r="H82" s="26"/>
      <c r="I82" s="21"/>
      <c r="J82" s="5"/>
      <c r="K82" s="5"/>
      <c r="L82" s="5" t="s">
        <v>5986</v>
      </c>
      <c r="M82" s="5"/>
      <c r="N82" s="5"/>
      <c r="O82" s="5"/>
      <c r="P82" s="5"/>
      <c r="Q82" s="5"/>
      <c r="R82" s="5"/>
      <c r="S82" s="22"/>
      <c r="T82" s="27">
        <v>37827</v>
      </c>
      <c r="U82" s="27"/>
      <c r="V82" s="571" t="s">
        <v>5987</v>
      </c>
      <c r="W82" s="5"/>
      <c r="X82" s="62"/>
      <c r="Y82" s="62"/>
      <c r="Z82" s="5" t="s">
        <v>5988</v>
      </c>
      <c r="AA82" s="19"/>
      <c r="AB82" s="5"/>
      <c r="AC82" s="5"/>
    </row>
    <row r="83" spans="1:36" s="9" customFormat="1" x14ac:dyDescent="0.2">
      <c r="B83" s="314"/>
      <c r="C83" s="11"/>
      <c r="D83" s="12"/>
      <c r="E83" s="12"/>
      <c r="F83" s="12"/>
      <c r="G83" s="12"/>
      <c r="H83" s="563"/>
      <c r="I83" s="14"/>
      <c r="J83" s="12"/>
      <c r="K83" s="12"/>
      <c r="L83" s="12"/>
      <c r="M83" s="12"/>
      <c r="N83" s="12"/>
      <c r="O83" s="12"/>
      <c r="P83" s="12"/>
      <c r="Q83" s="12"/>
      <c r="R83" s="12"/>
      <c r="S83" s="15"/>
      <c r="T83" s="12" t="s">
        <v>5979</v>
      </c>
      <c r="U83" s="12"/>
      <c r="V83" s="244" t="s">
        <v>5980</v>
      </c>
      <c r="W83" s="12"/>
      <c r="X83" s="58"/>
      <c r="Y83" s="58"/>
      <c r="Z83" s="12"/>
      <c r="AA83" s="11"/>
      <c r="AB83" s="12"/>
      <c r="AC83" s="12"/>
    </row>
    <row r="84" spans="1:36" s="9" customFormat="1" x14ac:dyDescent="0.2">
      <c r="B84" s="312" t="s">
        <v>972</v>
      </c>
      <c r="C84" s="16" t="s">
        <v>5981</v>
      </c>
      <c r="D84" s="6" t="s">
        <v>5989</v>
      </c>
      <c r="E84" s="6"/>
      <c r="F84" s="6" t="s">
        <v>5990</v>
      </c>
      <c r="G84" s="6"/>
      <c r="H84" s="564">
        <v>35554.370000000003</v>
      </c>
      <c r="I84" s="39"/>
      <c r="J84" s="7">
        <v>37739</v>
      </c>
      <c r="K84" s="7"/>
      <c r="L84" s="23">
        <f>90+J84</f>
        <v>37829</v>
      </c>
      <c r="M84" s="6" t="s">
        <v>280</v>
      </c>
      <c r="N84" s="6" t="s">
        <v>42</v>
      </c>
      <c r="O84" s="6"/>
      <c r="P84" s="6"/>
      <c r="Q84" s="6"/>
      <c r="R84" s="6"/>
      <c r="S84" s="23">
        <v>37793</v>
      </c>
      <c r="T84" s="23">
        <v>37804</v>
      </c>
      <c r="U84" s="23"/>
      <c r="V84" s="40" t="s">
        <v>5991</v>
      </c>
      <c r="W84" s="6">
        <v>896</v>
      </c>
      <c r="X84" s="60"/>
      <c r="Y84" s="60"/>
      <c r="Z84" s="6" t="s">
        <v>5985</v>
      </c>
      <c r="AA84" s="16"/>
      <c r="AB84" s="6" t="s">
        <v>47</v>
      </c>
      <c r="AC84" s="6"/>
      <c r="AD84" s="10" t="str">
        <f>IF(T84&lt;=L84,"en término","atrasado")</f>
        <v>en término</v>
      </c>
    </row>
    <row r="85" spans="1:36" s="9" customFormat="1" ht="20.25" customHeight="1" thickBot="1" x14ac:dyDescent="0.25">
      <c r="B85" s="313"/>
      <c r="C85" s="19" t="s">
        <v>5972</v>
      </c>
      <c r="D85" s="5"/>
      <c r="E85" s="5"/>
      <c r="F85" s="5"/>
      <c r="G85" s="5"/>
      <c r="H85" s="26"/>
      <c r="I85" s="21"/>
      <c r="J85" s="5"/>
      <c r="K85" s="5"/>
      <c r="L85" s="5" t="s">
        <v>5986</v>
      </c>
      <c r="M85" s="5"/>
      <c r="N85" s="5"/>
      <c r="O85" s="5"/>
      <c r="P85" s="5"/>
      <c r="Q85" s="5"/>
      <c r="R85" s="5"/>
      <c r="S85" s="22"/>
      <c r="T85" s="5" t="s">
        <v>5992</v>
      </c>
      <c r="U85" s="5"/>
      <c r="V85" s="571" t="s">
        <v>5987</v>
      </c>
      <c r="W85" s="5"/>
      <c r="X85" s="62"/>
      <c r="Y85" s="62"/>
      <c r="Z85" s="5" t="s">
        <v>5988</v>
      </c>
      <c r="AA85" s="19"/>
      <c r="AB85" s="5"/>
      <c r="AC85" s="5"/>
    </row>
    <row r="86" spans="1:36" s="9" customFormat="1" x14ac:dyDescent="0.2">
      <c r="B86" s="314"/>
      <c r="C86" s="11"/>
      <c r="D86" s="12"/>
      <c r="E86" s="12"/>
      <c r="F86" s="12"/>
      <c r="G86" s="12"/>
      <c r="H86" s="563"/>
      <c r="I86" s="14"/>
      <c r="J86" s="12"/>
      <c r="K86" s="12"/>
      <c r="L86" s="12"/>
      <c r="M86" s="12"/>
      <c r="N86" s="12"/>
      <c r="O86" s="12"/>
      <c r="P86" s="12"/>
      <c r="Q86" s="12"/>
      <c r="R86" s="12"/>
      <c r="S86" s="12"/>
      <c r="T86" s="12" t="s">
        <v>5993</v>
      </c>
      <c r="U86" s="12"/>
      <c r="V86" s="245" t="s">
        <v>5994</v>
      </c>
      <c r="W86" s="12"/>
      <c r="X86" s="58"/>
      <c r="Y86" s="58"/>
      <c r="Z86" s="12"/>
      <c r="AA86" s="11"/>
      <c r="AB86" s="12"/>
      <c r="AC86" s="12"/>
    </row>
    <row r="87" spans="1:36" s="9" customFormat="1" x14ac:dyDescent="0.2">
      <c r="B87" s="312" t="s">
        <v>972</v>
      </c>
      <c r="C87" s="16" t="s">
        <v>5995</v>
      </c>
      <c r="D87" s="6" t="s">
        <v>5996</v>
      </c>
      <c r="E87" s="6"/>
      <c r="F87" s="6" t="s">
        <v>5997</v>
      </c>
      <c r="G87" s="6"/>
      <c r="H87" s="564">
        <v>40895.97</v>
      </c>
      <c r="I87" s="39" t="s">
        <v>972</v>
      </c>
      <c r="J87" s="7">
        <v>37889</v>
      </c>
      <c r="K87" s="7"/>
      <c r="L87" s="23">
        <v>37947</v>
      </c>
      <c r="M87" s="6" t="s">
        <v>280</v>
      </c>
      <c r="N87" s="6" t="s">
        <v>42</v>
      </c>
      <c r="O87" s="6"/>
      <c r="P87" s="6"/>
      <c r="Q87" s="6"/>
      <c r="R87" s="6"/>
      <c r="S87" s="7">
        <v>37925</v>
      </c>
      <c r="T87" s="23">
        <v>37953</v>
      </c>
      <c r="U87" s="23"/>
      <c r="V87" s="40" t="s">
        <v>53</v>
      </c>
      <c r="W87" s="6">
        <v>935</v>
      </c>
      <c r="X87" s="60"/>
      <c r="Y87" s="60"/>
      <c r="Z87" s="6" t="s">
        <v>5998</v>
      </c>
      <c r="AA87" s="16"/>
      <c r="AB87" s="6" t="s">
        <v>47</v>
      </c>
      <c r="AC87" s="6"/>
      <c r="AD87" s="10" t="str">
        <f>IF(S87&lt;=L87,"en término","atrasado")</f>
        <v>en término</v>
      </c>
    </row>
    <row r="88" spans="1:36" s="9" customFormat="1" ht="12" thickBot="1" x14ac:dyDescent="0.25">
      <c r="B88" s="313"/>
      <c r="C88" s="19"/>
      <c r="D88" s="5"/>
      <c r="E88" s="5"/>
      <c r="F88" s="5"/>
      <c r="G88" s="5"/>
      <c r="H88" s="26"/>
      <c r="I88" s="21"/>
      <c r="J88" s="5"/>
      <c r="K88" s="5"/>
      <c r="L88" s="5"/>
      <c r="M88" s="5"/>
      <c r="N88" s="5"/>
      <c r="O88" s="5"/>
      <c r="P88" s="5"/>
      <c r="Q88" s="5"/>
      <c r="R88" s="5"/>
      <c r="S88" s="5"/>
      <c r="T88" s="5" t="s">
        <v>5999</v>
      </c>
      <c r="U88" s="6"/>
      <c r="V88" s="298" t="s">
        <v>6000</v>
      </c>
      <c r="W88" s="5"/>
      <c r="X88" s="62"/>
      <c r="Y88" s="62"/>
      <c r="Z88" s="5" t="s">
        <v>6001</v>
      </c>
      <c r="AA88" s="19"/>
      <c r="AB88" s="5"/>
      <c r="AC88" s="5"/>
    </row>
    <row r="89" spans="1:36" s="9" customFormat="1" x14ac:dyDescent="0.2">
      <c r="B89" s="315"/>
      <c r="C89" s="28"/>
      <c r="D89" s="30"/>
      <c r="E89" s="30"/>
      <c r="F89" s="30"/>
      <c r="G89" s="30"/>
      <c r="H89" s="119"/>
      <c r="I89" s="31"/>
      <c r="J89" s="30"/>
      <c r="K89" s="30"/>
      <c r="L89" s="30"/>
      <c r="M89" s="30"/>
      <c r="N89" s="30"/>
      <c r="O89" s="30"/>
      <c r="P89" s="30"/>
      <c r="Q89" s="30"/>
      <c r="R89" s="30"/>
      <c r="S89" s="30"/>
      <c r="T89" s="30"/>
      <c r="U89" s="30"/>
      <c r="V89" s="298"/>
      <c r="W89" s="30"/>
      <c r="X89" s="28"/>
      <c r="Y89" s="28"/>
      <c r="Z89" s="30"/>
      <c r="AA89" s="28"/>
      <c r="AB89" s="30"/>
      <c r="AC89" s="30"/>
    </row>
    <row r="90" spans="1:36" ht="12.75" x14ac:dyDescent="0.2">
      <c r="D90" s="2"/>
      <c r="E90" s="2"/>
      <c r="V90" s="1667" t="s">
        <v>3586</v>
      </c>
      <c r="AA90" s="1">
        <v>2003</v>
      </c>
    </row>
    <row r="91" spans="1:36" ht="13.5" thickBot="1" x14ac:dyDescent="0.25">
      <c r="H91" s="223"/>
      <c r="V91" s="1668"/>
      <c r="AA91" s="945" t="s">
        <v>813</v>
      </c>
      <c r="AB91" s="1048">
        <f>COUNTA(AD75:AD84)</f>
        <v>4</v>
      </c>
    </row>
    <row r="92" spans="1:36" ht="12.75" x14ac:dyDescent="0.2">
      <c r="H92" s="223"/>
      <c r="AA92" s="945" t="s">
        <v>4709</v>
      </c>
      <c r="AB92" s="1048">
        <f>COUNTIF(AD75:AD84,"en término")</f>
        <v>4</v>
      </c>
    </row>
    <row r="93" spans="1:36" ht="12.75" x14ac:dyDescent="0.2">
      <c r="AA93" s="945" t="s">
        <v>817</v>
      </c>
      <c r="AB93" s="557">
        <f>+AB92/AB91</f>
        <v>1</v>
      </c>
    </row>
    <row r="94" spans="1:36" ht="12" thickBot="1" x14ac:dyDescent="0.25"/>
    <row r="95" spans="1:36" s="556" customFormat="1" ht="39.950000000000003" customHeight="1" thickBot="1" x14ac:dyDescent="0.4">
      <c r="B95" s="1654">
        <v>2004</v>
      </c>
      <c r="C95" s="1655"/>
      <c r="D95" s="1655"/>
      <c r="E95" s="1655"/>
      <c r="F95" s="1655"/>
      <c r="G95" s="1655"/>
      <c r="H95" s="1655"/>
      <c r="I95" s="1655"/>
      <c r="J95" s="1655"/>
      <c r="K95" s="1655"/>
      <c r="L95" s="1655"/>
      <c r="M95" s="1655"/>
      <c r="N95" s="1655"/>
      <c r="O95" s="1655"/>
      <c r="P95" s="1655"/>
      <c r="Q95" s="1655"/>
      <c r="R95" s="1655"/>
      <c r="S95" s="1655"/>
      <c r="T95" s="1655"/>
      <c r="U95" s="1655"/>
      <c r="V95" s="1655"/>
      <c r="W95" s="1655"/>
      <c r="X95" s="1655"/>
      <c r="Y95" s="1655"/>
      <c r="Z95" s="1655"/>
      <c r="AA95" s="1655"/>
      <c r="AB95" s="1655"/>
      <c r="AC95" s="1656"/>
      <c r="AD95" s="555"/>
    </row>
    <row r="96" spans="1:36" s="441" customFormat="1" ht="60" customHeight="1" thickBot="1" x14ac:dyDescent="0.25">
      <c r="A96" s="438"/>
      <c r="B96" s="451" t="s">
        <v>130</v>
      </c>
      <c r="C96" s="451" t="s">
        <v>4</v>
      </c>
      <c r="D96" s="451" t="s">
        <v>5</v>
      </c>
      <c r="E96" s="451" t="s">
        <v>6</v>
      </c>
      <c r="F96" s="451" t="s">
        <v>7</v>
      </c>
      <c r="G96" s="451" t="s">
        <v>8</v>
      </c>
      <c r="H96" s="453" t="s">
        <v>9</v>
      </c>
      <c r="I96" s="453" t="s">
        <v>10</v>
      </c>
      <c r="J96" s="451" t="s">
        <v>11</v>
      </c>
      <c r="K96" s="451" t="s">
        <v>12</v>
      </c>
      <c r="L96" s="451" t="s">
        <v>13</v>
      </c>
      <c r="M96" s="451" t="s">
        <v>14</v>
      </c>
      <c r="N96" s="451" t="s">
        <v>15</v>
      </c>
      <c r="O96" s="452" t="s">
        <v>16</v>
      </c>
      <c r="P96" s="454" t="s">
        <v>17</v>
      </c>
      <c r="Q96" s="451"/>
      <c r="R96" s="452"/>
      <c r="S96" s="451" t="s">
        <v>4659</v>
      </c>
      <c r="T96" s="451" t="s">
        <v>4660</v>
      </c>
      <c r="U96" s="452" t="s">
        <v>22</v>
      </c>
      <c r="V96" s="451" t="s">
        <v>131</v>
      </c>
      <c r="W96" s="451" t="s">
        <v>24</v>
      </c>
      <c r="X96" s="451" t="s">
        <v>132</v>
      </c>
      <c r="Y96" s="451" t="s">
        <v>26</v>
      </c>
      <c r="Z96" s="451" t="s">
        <v>27</v>
      </c>
      <c r="AA96" s="451" t="s">
        <v>28</v>
      </c>
      <c r="AB96" s="451" t="s">
        <v>29</v>
      </c>
      <c r="AC96" s="451" t="s">
        <v>30</v>
      </c>
      <c r="AD96" s="439"/>
      <c r="AE96" s="440"/>
      <c r="AF96" s="440"/>
      <c r="AG96" s="440"/>
      <c r="AH96" s="440"/>
      <c r="AI96" s="440"/>
      <c r="AJ96" s="440"/>
    </row>
    <row r="97" spans="1:30" s="9" customFormat="1" x14ac:dyDescent="0.2">
      <c r="B97" s="312"/>
      <c r="C97" s="16"/>
      <c r="D97" s="7"/>
      <c r="E97" s="7"/>
      <c r="F97" s="6"/>
      <c r="G97" s="6"/>
      <c r="H97" s="17"/>
      <c r="I97" s="17"/>
      <c r="J97" s="7"/>
      <c r="K97" s="7"/>
      <c r="L97" s="23"/>
      <c r="M97" s="6"/>
      <c r="N97" s="6"/>
      <c r="O97" s="6"/>
      <c r="P97" s="6"/>
      <c r="Q97" s="6"/>
      <c r="R97" s="6"/>
      <c r="S97" s="6" t="s">
        <v>6002</v>
      </c>
      <c r="T97" s="6"/>
      <c r="U97" s="6"/>
      <c r="V97" s="138"/>
      <c r="W97" s="6"/>
      <c r="X97" s="59"/>
      <c r="Y97" s="59"/>
      <c r="Z97" s="6"/>
      <c r="AA97" s="6"/>
      <c r="AB97" s="6"/>
      <c r="AC97" s="6"/>
    </row>
    <row r="98" spans="1:30" s="9" customFormat="1" x14ac:dyDescent="0.2">
      <c r="B98" s="312" t="s">
        <v>972</v>
      </c>
      <c r="C98" s="16" t="s">
        <v>5995</v>
      </c>
      <c r="D98" s="7" t="s">
        <v>6003</v>
      </c>
      <c r="E98" s="7"/>
      <c r="F98" s="6">
        <v>4403</v>
      </c>
      <c r="G98" s="6" t="s">
        <v>1173</v>
      </c>
      <c r="H98" s="17">
        <v>16659.59</v>
      </c>
      <c r="I98" s="39"/>
      <c r="J98" s="7">
        <v>38050</v>
      </c>
      <c r="K98" s="7"/>
      <c r="L98" s="23">
        <f>+J98+90</f>
        <v>38140</v>
      </c>
      <c r="M98" s="18"/>
      <c r="N98" s="6" t="s">
        <v>42</v>
      </c>
      <c r="O98" s="23">
        <v>38135</v>
      </c>
      <c r="P98" s="23"/>
      <c r="Q98" s="23"/>
      <c r="R98" s="23"/>
      <c r="S98" s="23">
        <v>38178</v>
      </c>
      <c r="T98" s="23">
        <f>+S98+20</f>
        <v>38198</v>
      </c>
      <c r="U98" s="23"/>
      <c r="V98" s="6" t="s">
        <v>6004</v>
      </c>
      <c r="W98" s="6">
        <v>987</v>
      </c>
      <c r="X98" s="59"/>
      <c r="Y98" s="59"/>
      <c r="Z98" s="6" t="s">
        <v>6005</v>
      </c>
      <c r="AA98" s="7">
        <v>38204</v>
      </c>
      <c r="AB98" s="507" t="s">
        <v>47</v>
      </c>
      <c r="AC98" s="507"/>
      <c r="AD98" s="10" t="str">
        <f>IF(T98&lt;=L98,"en término","atrasado")</f>
        <v>atrasado</v>
      </c>
    </row>
    <row r="99" spans="1:30" s="9" customFormat="1" ht="12" thickBot="1" x14ac:dyDescent="0.25">
      <c r="B99" s="313"/>
      <c r="C99" s="19"/>
      <c r="D99" s="5"/>
      <c r="E99" s="5"/>
      <c r="F99" s="5"/>
      <c r="G99" s="5"/>
      <c r="H99" s="105"/>
      <c r="I99" s="21"/>
      <c r="J99" s="5"/>
      <c r="K99" s="5"/>
      <c r="L99" s="27" t="s">
        <v>5986</v>
      </c>
      <c r="M99" s="5"/>
      <c r="N99" s="5"/>
      <c r="O99" s="27"/>
      <c r="P99" s="27"/>
      <c r="Q99" s="27"/>
      <c r="R99" s="27"/>
      <c r="S99" s="27"/>
      <c r="T99" s="5"/>
      <c r="U99" s="6"/>
      <c r="V99" s="1665" t="s">
        <v>6006</v>
      </c>
      <c r="W99" s="5"/>
      <c r="X99" s="61"/>
      <c r="Y99" s="61"/>
      <c r="Z99" s="5" t="s">
        <v>6007</v>
      </c>
      <c r="AA99" s="5"/>
      <c r="AB99" s="5"/>
      <c r="AC99" s="5"/>
    </row>
    <row r="100" spans="1:30" s="9" customFormat="1" x14ac:dyDescent="0.2">
      <c r="B100" s="312"/>
      <c r="C100" s="16"/>
      <c r="D100" s="7"/>
      <c r="E100" s="7"/>
      <c r="F100" s="6"/>
      <c r="G100" s="6"/>
      <c r="H100" s="17"/>
      <c r="I100" s="17"/>
      <c r="J100" s="7"/>
      <c r="K100" s="7"/>
      <c r="L100" s="23"/>
      <c r="M100" s="6"/>
      <c r="N100" s="6"/>
      <c r="O100" s="6"/>
      <c r="P100" s="6"/>
      <c r="Q100" s="6"/>
      <c r="R100" s="6"/>
      <c r="S100" s="6" t="s">
        <v>6002</v>
      </c>
      <c r="T100" s="6"/>
      <c r="U100" s="6"/>
      <c r="V100" s="1666"/>
      <c r="W100" s="6"/>
      <c r="X100" s="59"/>
      <c r="Y100" s="59"/>
      <c r="Z100" s="6"/>
      <c r="AA100" s="6"/>
      <c r="AB100" s="6"/>
      <c r="AC100" s="6"/>
    </row>
    <row r="101" spans="1:30" s="9" customFormat="1" x14ac:dyDescent="0.2">
      <c r="B101" s="312" t="s">
        <v>972</v>
      </c>
      <c r="C101" s="16" t="s">
        <v>5995</v>
      </c>
      <c r="D101" s="7" t="s">
        <v>6008</v>
      </c>
      <c r="E101" s="7"/>
      <c r="F101" s="6">
        <v>4396</v>
      </c>
      <c r="G101" s="6" t="s">
        <v>1173</v>
      </c>
      <c r="H101" s="17">
        <v>32969.97</v>
      </c>
      <c r="I101" s="39"/>
      <c r="J101" s="7">
        <v>38068</v>
      </c>
      <c r="K101" s="7"/>
      <c r="L101" s="23">
        <f>+J101+90</f>
        <v>38158</v>
      </c>
      <c r="M101" s="18"/>
      <c r="N101" s="6" t="s">
        <v>42</v>
      </c>
      <c r="O101" s="23">
        <v>38135</v>
      </c>
      <c r="P101" s="23"/>
      <c r="Q101" s="23"/>
      <c r="R101" s="23"/>
      <c r="S101" s="23">
        <v>38178</v>
      </c>
      <c r="T101" s="23">
        <f>+S101+20</f>
        <v>38198</v>
      </c>
      <c r="U101" s="23"/>
      <c r="V101" s="6" t="s">
        <v>6009</v>
      </c>
      <c r="W101" s="6">
        <v>988</v>
      </c>
      <c r="X101" s="59"/>
      <c r="Y101" s="59"/>
      <c r="Z101" s="6" t="s">
        <v>6005</v>
      </c>
      <c r="AA101" s="7">
        <v>38204</v>
      </c>
      <c r="AB101" s="507" t="s">
        <v>47</v>
      </c>
      <c r="AC101" s="507"/>
      <c r="AD101" s="10" t="str">
        <f>IF(T101&lt;=L101,"en término","atrasado")</f>
        <v>atrasado</v>
      </c>
    </row>
    <row r="102" spans="1:30" s="9" customFormat="1" ht="12" thickBot="1" x14ac:dyDescent="0.25">
      <c r="B102" s="313"/>
      <c r="C102" s="19"/>
      <c r="D102" s="5"/>
      <c r="E102" s="5"/>
      <c r="F102" s="5"/>
      <c r="G102" s="5"/>
      <c r="H102" s="105"/>
      <c r="I102" s="21"/>
      <c r="J102" s="5"/>
      <c r="K102" s="5"/>
      <c r="L102" s="27" t="s">
        <v>5986</v>
      </c>
      <c r="M102" s="5"/>
      <c r="N102" s="5"/>
      <c r="O102" s="5"/>
      <c r="P102" s="5"/>
      <c r="Q102" s="5"/>
      <c r="R102" s="5"/>
      <c r="S102" s="27"/>
      <c r="T102" s="5"/>
      <c r="U102" s="5"/>
      <c r="V102" s="224"/>
      <c r="W102" s="5"/>
      <c r="X102" s="61"/>
      <c r="Y102" s="61"/>
      <c r="Z102" s="5" t="s">
        <v>6007</v>
      </c>
      <c r="AA102" s="5"/>
      <c r="AB102" s="5"/>
      <c r="AC102" s="5"/>
    </row>
    <row r="103" spans="1:30" s="9" customFormat="1" x14ac:dyDescent="0.2">
      <c r="A103" s="328"/>
      <c r="B103" s="11"/>
      <c r="C103" s="11"/>
      <c r="D103" s="91"/>
      <c r="E103" s="91"/>
      <c r="F103" s="12"/>
      <c r="G103" s="12"/>
      <c r="H103" s="13"/>
      <c r="I103" s="13"/>
      <c r="J103" s="91"/>
      <c r="K103" s="91"/>
      <c r="L103" s="134"/>
      <c r="M103" s="12"/>
      <c r="N103" s="12"/>
      <c r="O103" s="12"/>
      <c r="P103" s="12"/>
      <c r="Q103" s="12"/>
      <c r="R103" s="12"/>
      <c r="S103" s="12" t="s">
        <v>6010</v>
      </c>
      <c r="T103" s="12"/>
      <c r="U103" s="12"/>
      <c r="V103" s="339" t="s">
        <v>1344</v>
      </c>
      <c r="W103" s="12"/>
      <c r="X103" s="57"/>
      <c r="Y103" s="57"/>
      <c r="Z103" s="12"/>
      <c r="AA103" s="12"/>
      <c r="AB103" s="12"/>
      <c r="AC103" s="12"/>
      <c r="AD103" s="330"/>
    </row>
    <row r="104" spans="1:30" s="9" customFormat="1" x14ac:dyDescent="0.2">
      <c r="A104" s="328"/>
      <c r="B104" s="16" t="s">
        <v>972</v>
      </c>
      <c r="C104" s="16" t="s">
        <v>5995</v>
      </c>
      <c r="D104" s="7" t="s">
        <v>6011</v>
      </c>
      <c r="E104" s="7"/>
      <c r="F104" s="6">
        <v>4504</v>
      </c>
      <c r="G104" s="6" t="s">
        <v>1173</v>
      </c>
      <c r="H104" s="17">
        <v>23266.78</v>
      </c>
      <c r="I104" s="39" t="s">
        <v>280</v>
      </c>
      <c r="J104" s="7">
        <v>38218</v>
      </c>
      <c r="K104" s="331">
        <v>120</v>
      </c>
      <c r="L104" s="23">
        <f>+J104+K104</f>
        <v>38338</v>
      </c>
      <c r="M104" s="18" t="s">
        <v>280</v>
      </c>
      <c r="N104" s="6" t="s">
        <v>42</v>
      </c>
      <c r="O104" s="7">
        <v>38293</v>
      </c>
      <c r="P104" s="331">
        <f>IF(T104="","",+T104-L104)</f>
        <v>-6</v>
      </c>
      <c r="Q104" s="331"/>
      <c r="R104" s="331"/>
      <c r="S104" s="175">
        <v>38307</v>
      </c>
      <c r="T104" s="7">
        <f>+S104+25</f>
        <v>38332</v>
      </c>
      <c r="U104" s="331">
        <f>IF(T104="","",+T104-J104)</f>
        <v>114</v>
      </c>
      <c r="V104" s="67" t="s">
        <v>6009</v>
      </c>
      <c r="W104" s="6">
        <v>1056</v>
      </c>
      <c r="X104" s="59"/>
      <c r="Y104" s="59"/>
      <c r="Z104" s="6" t="s">
        <v>6012</v>
      </c>
      <c r="AA104" s="7" t="s">
        <v>47</v>
      </c>
      <c r="AB104" s="7" t="s">
        <v>47</v>
      </c>
      <c r="AC104" s="7"/>
      <c r="AD104" s="10" t="str">
        <f>IF(T104&lt;=L104,"en término","atrasado")</f>
        <v>en término</v>
      </c>
    </row>
    <row r="105" spans="1:30" s="9" customFormat="1" ht="12" thickBot="1" x14ac:dyDescent="0.25">
      <c r="A105" s="328"/>
      <c r="B105" s="19"/>
      <c r="C105" s="19"/>
      <c r="D105" s="5"/>
      <c r="E105" s="5"/>
      <c r="F105" s="5"/>
      <c r="G105" s="5"/>
      <c r="H105" s="26" t="s">
        <v>6013</v>
      </c>
      <c r="I105" s="21"/>
      <c r="J105" s="5"/>
      <c r="K105" s="5"/>
      <c r="L105" s="27"/>
      <c r="M105" s="5"/>
      <c r="N105" s="5"/>
      <c r="O105" s="5" t="s">
        <v>6014</v>
      </c>
      <c r="P105" s="5"/>
      <c r="Q105" s="5"/>
      <c r="R105" s="5"/>
      <c r="S105" s="27"/>
      <c r="T105" s="5"/>
      <c r="U105" s="5"/>
      <c r="V105" s="332"/>
      <c r="W105" s="5"/>
      <c r="X105" s="61"/>
      <c r="Y105" s="61"/>
      <c r="Z105" s="5" t="s">
        <v>6015</v>
      </c>
      <c r="AA105" s="5"/>
      <c r="AB105" s="5"/>
      <c r="AC105" s="5"/>
      <c r="AD105" s="330"/>
    </row>
    <row r="106" spans="1:30" s="9" customFormat="1" x14ac:dyDescent="0.2">
      <c r="A106" s="328"/>
      <c r="B106" s="11"/>
      <c r="C106" s="11"/>
      <c r="D106" s="91"/>
      <c r="E106" s="91"/>
      <c r="F106" s="12"/>
      <c r="G106" s="12"/>
      <c r="H106" s="13"/>
      <c r="I106" s="13"/>
      <c r="J106" s="91"/>
      <c r="K106" s="91"/>
      <c r="L106" s="134"/>
      <c r="M106" s="12"/>
      <c r="N106" s="12"/>
      <c r="O106" s="12"/>
      <c r="P106" s="12"/>
      <c r="Q106" s="12"/>
      <c r="R106" s="12"/>
      <c r="S106" s="12" t="s">
        <v>6010</v>
      </c>
      <c r="T106" s="12"/>
      <c r="U106" s="12"/>
      <c r="V106" s="339" t="s">
        <v>1344</v>
      </c>
      <c r="W106" s="12"/>
      <c r="X106" s="57"/>
      <c r="Y106" s="57"/>
      <c r="Z106" s="12"/>
      <c r="AA106" s="12"/>
      <c r="AB106" s="12"/>
      <c r="AC106" s="12"/>
      <c r="AD106" s="330"/>
    </row>
    <row r="107" spans="1:30" s="9" customFormat="1" x14ac:dyDescent="0.2">
      <c r="A107" s="328"/>
      <c r="B107" s="16" t="s">
        <v>972</v>
      </c>
      <c r="C107" s="16" t="s">
        <v>5995</v>
      </c>
      <c r="D107" s="7" t="s">
        <v>6016</v>
      </c>
      <c r="E107" s="7"/>
      <c r="F107" s="6">
        <v>4503</v>
      </c>
      <c r="G107" s="6" t="s">
        <v>1173</v>
      </c>
      <c r="H107" s="17">
        <v>69867</v>
      </c>
      <c r="I107" s="39" t="s">
        <v>280</v>
      </c>
      <c r="J107" s="7">
        <v>38218</v>
      </c>
      <c r="K107" s="331">
        <v>120</v>
      </c>
      <c r="L107" s="23">
        <f>+J107+120</f>
        <v>38338</v>
      </c>
      <c r="M107" s="18" t="s">
        <v>280</v>
      </c>
      <c r="N107" s="6" t="s">
        <v>42</v>
      </c>
      <c r="O107" s="7">
        <v>38293</v>
      </c>
      <c r="P107" s="331">
        <f>IF(T107="","",+T107-L107)</f>
        <v>-6</v>
      </c>
      <c r="Q107" s="331"/>
      <c r="R107" s="331"/>
      <c r="S107" s="175">
        <v>38307</v>
      </c>
      <c r="T107" s="7">
        <f>+S107+25</f>
        <v>38332</v>
      </c>
      <c r="U107" s="331">
        <f>IF(T107="","",+T107-J107)</f>
        <v>114</v>
      </c>
      <c r="V107" s="67" t="s">
        <v>6009</v>
      </c>
      <c r="W107" s="6">
        <v>1055</v>
      </c>
      <c r="X107" s="59"/>
      <c r="Y107" s="59"/>
      <c r="Z107" s="6" t="s">
        <v>6012</v>
      </c>
      <c r="AA107" s="7" t="s">
        <v>47</v>
      </c>
      <c r="AB107" s="7" t="s">
        <v>47</v>
      </c>
      <c r="AC107" s="7"/>
      <c r="AD107" s="10" t="str">
        <f>IF(T107&lt;=L107,"en término","atrasado")</f>
        <v>en término</v>
      </c>
    </row>
    <row r="108" spans="1:30" s="9" customFormat="1" ht="12" thickBot="1" x14ac:dyDescent="0.25">
      <c r="A108" s="328"/>
      <c r="B108" s="19"/>
      <c r="C108" s="19"/>
      <c r="D108" s="5"/>
      <c r="E108" s="5"/>
      <c r="F108" s="5"/>
      <c r="G108" s="5"/>
      <c r="H108" s="26" t="s">
        <v>6017</v>
      </c>
      <c r="I108" s="21"/>
      <c r="J108" s="5"/>
      <c r="K108" s="5"/>
      <c r="L108" s="27"/>
      <c r="M108" s="5"/>
      <c r="N108" s="5"/>
      <c r="O108" s="5" t="s">
        <v>6014</v>
      </c>
      <c r="P108" s="5"/>
      <c r="Q108" s="5"/>
      <c r="R108" s="5"/>
      <c r="S108" s="27"/>
      <c r="T108" s="5"/>
      <c r="U108" s="5"/>
      <c r="V108" s="332"/>
      <c r="W108" s="5"/>
      <c r="X108" s="61"/>
      <c r="Y108" s="61"/>
      <c r="Z108" s="5" t="s">
        <v>6015</v>
      </c>
      <c r="AA108" s="5"/>
      <c r="AB108" s="5"/>
      <c r="AC108" s="5"/>
      <c r="AD108" s="330"/>
    </row>
    <row r="109" spans="1:30" s="9" customFormat="1" x14ac:dyDescent="0.2">
      <c r="A109" s="328"/>
      <c r="B109" s="11"/>
      <c r="C109" s="11"/>
      <c r="D109" s="91"/>
      <c r="E109" s="91"/>
      <c r="F109" s="12"/>
      <c r="G109" s="12"/>
      <c r="H109" s="13"/>
      <c r="I109" s="13"/>
      <c r="J109" s="91"/>
      <c r="K109" s="91"/>
      <c r="L109" s="134"/>
      <c r="M109" s="12"/>
      <c r="N109" s="12"/>
      <c r="O109" s="12"/>
      <c r="P109" s="12"/>
      <c r="Q109" s="12"/>
      <c r="R109" s="12"/>
      <c r="S109" s="12" t="s">
        <v>6010</v>
      </c>
      <c r="T109" s="12"/>
      <c r="U109" s="12"/>
      <c r="V109" s="238"/>
      <c r="W109" s="12"/>
      <c r="X109" s="57"/>
      <c r="Y109" s="57"/>
      <c r="Z109" s="12"/>
      <c r="AA109" s="12"/>
      <c r="AB109" s="12"/>
      <c r="AC109" s="12"/>
      <c r="AD109" s="330"/>
    </row>
    <row r="110" spans="1:30" s="9" customFormat="1" x14ac:dyDescent="0.2">
      <c r="A110" s="328"/>
      <c r="B110" s="16" t="s">
        <v>972</v>
      </c>
      <c r="C110" s="16" t="s">
        <v>5995</v>
      </c>
      <c r="D110" s="7" t="s">
        <v>6018</v>
      </c>
      <c r="E110" s="7"/>
      <c r="F110" s="6">
        <v>4524</v>
      </c>
      <c r="G110" s="6" t="s">
        <v>1173</v>
      </c>
      <c r="H110" s="17">
        <v>2778</v>
      </c>
      <c r="I110" s="39" t="s">
        <v>280</v>
      </c>
      <c r="J110" s="7">
        <v>38231</v>
      </c>
      <c r="K110" s="331">
        <v>120</v>
      </c>
      <c r="L110" s="23">
        <f>+J110+120</f>
        <v>38351</v>
      </c>
      <c r="M110" s="18" t="s">
        <v>280</v>
      </c>
      <c r="N110" s="6" t="s">
        <v>42</v>
      </c>
      <c r="O110" s="7">
        <v>38293</v>
      </c>
      <c r="P110" s="331">
        <f>IF(T110="","",+T110-L110)</f>
        <v>-19</v>
      </c>
      <c r="Q110" s="331"/>
      <c r="R110" s="331"/>
      <c r="S110" s="175">
        <v>38307</v>
      </c>
      <c r="T110" s="7">
        <f>+S110+25</f>
        <v>38332</v>
      </c>
      <c r="U110" s="331">
        <f>IF(T110="","",+T110-J110)</f>
        <v>101</v>
      </c>
      <c r="V110" s="67" t="s">
        <v>6019</v>
      </c>
      <c r="W110" s="6">
        <v>1055</v>
      </c>
      <c r="X110" s="59"/>
      <c r="Y110" s="59"/>
      <c r="Z110" s="6" t="s">
        <v>6012</v>
      </c>
      <c r="AA110" s="7" t="s">
        <v>47</v>
      </c>
      <c r="AB110" s="7" t="s">
        <v>47</v>
      </c>
      <c r="AC110" s="7"/>
      <c r="AD110" s="10" t="str">
        <f>IF(T110&lt;=L110,"en término","atrasado")</f>
        <v>en término</v>
      </c>
    </row>
    <row r="111" spans="1:30" s="9" customFormat="1" ht="12" thickBot="1" x14ac:dyDescent="0.25">
      <c r="A111" s="328"/>
      <c r="B111" s="19"/>
      <c r="C111" s="19"/>
      <c r="D111" s="5"/>
      <c r="E111" s="5"/>
      <c r="F111" s="5"/>
      <c r="G111" s="5"/>
      <c r="H111" s="26"/>
      <c r="I111" s="21"/>
      <c r="J111" s="5"/>
      <c r="K111" s="5"/>
      <c r="L111" s="27"/>
      <c r="M111" s="5"/>
      <c r="N111" s="5"/>
      <c r="O111" s="5"/>
      <c r="P111" s="5"/>
      <c r="Q111" s="5"/>
      <c r="R111" s="5"/>
      <c r="S111" s="27"/>
      <c r="T111" s="5"/>
      <c r="U111" s="5"/>
      <c r="V111" s="332" t="s">
        <v>6020</v>
      </c>
      <c r="W111" s="5"/>
      <c r="X111" s="61"/>
      <c r="Y111" s="61"/>
      <c r="Z111" s="5" t="s">
        <v>6015</v>
      </c>
      <c r="AA111" s="5"/>
      <c r="AB111" s="5"/>
      <c r="AC111" s="5"/>
      <c r="AD111" s="330"/>
    </row>
    <row r="112" spans="1:30" ht="12" thickBot="1" x14ac:dyDescent="0.25">
      <c r="D112" s="2"/>
      <c r="E112" s="2"/>
      <c r="H112" s="223"/>
    </row>
    <row r="113" spans="2:30" s="28" customFormat="1" x14ac:dyDescent="0.2">
      <c r="B113" s="314"/>
      <c r="C113" s="11"/>
      <c r="D113" s="12"/>
      <c r="E113" s="12"/>
      <c r="F113" s="12"/>
      <c r="G113" s="12"/>
      <c r="H113" s="563"/>
      <c r="I113" s="14"/>
      <c r="J113" s="12"/>
      <c r="K113" s="12"/>
      <c r="L113" s="12"/>
      <c r="M113" s="12"/>
      <c r="N113" s="12"/>
      <c r="O113" s="12"/>
      <c r="P113" s="12"/>
      <c r="Q113" s="12"/>
      <c r="R113" s="12"/>
      <c r="S113" s="12"/>
      <c r="T113" s="12"/>
      <c r="U113" s="12"/>
      <c r="V113" s="12"/>
      <c r="W113" s="12"/>
      <c r="X113" s="58"/>
      <c r="Y113" s="58"/>
      <c r="Z113" s="12"/>
      <c r="AA113" s="11"/>
      <c r="AB113" s="12"/>
      <c r="AC113" s="12"/>
    </row>
    <row r="114" spans="2:30" s="9" customFormat="1" x14ac:dyDescent="0.2">
      <c r="B114" s="312" t="s">
        <v>972</v>
      </c>
      <c r="C114" s="16" t="s">
        <v>5905</v>
      </c>
      <c r="D114" s="6" t="s">
        <v>6021</v>
      </c>
      <c r="E114" s="6"/>
      <c r="F114" s="6" t="s">
        <v>6022</v>
      </c>
      <c r="G114" s="6"/>
      <c r="H114" s="564">
        <v>53000</v>
      </c>
      <c r="I114" s="39"/>
      <c r="J114" s="7"/>
      <c r="K114" s="7"/>
      <c r="L114" s="40"/>
      <c r="M114" s="6"/>
      <c r="N114" s="6"/>
      <c r="O114" s="7"/>
      <c r="P114" s="7"/>
      <c r="Q114" s="7"/>
      <c r="R114" s="7"/>
      <c r="S114" s="7"/>
      <c r="T114" s="7"/>
      <c r="U114" s="7"/>
      <c r="V114" s="138"/>
      <c r="W114" s="6"/>
      <c r="X114" s="60"/>
      <c r="Y114" s="60"/>
      <c r="Z114" s="6"/>
      <c r="AA114" s="16"/>
      <c r="AB114" s="6"/>
      <c r="AC114" s="6"/>
    </row>
    <row r="115" spans="2:30" s="9" customFormat="1" ht="12" thickBot="1" x14ac:dyDescent="0.25">
      <c r="B115" s="313"/>
      <c r="C115" s="19"/>
      <c r="D115" s="5"/>
      <c r="E115" s="5"/>
      <c r="F115" s="5"/>
      <c r="G115" s="5"/>
      <c r="H115" s="26" t="s">
        <v>611</v>
      </c>
      <c r="I115" s="21"/>
      <c r="J115" s="5"/>
      <c r="K115" s="5"/>
      <c r="L115" s="5"/>
      <c r="M115" s="5"/>
      <c r="N115" s="5"/>
      <c r="O115" s="5"/>
      <c r="P115" s="5"/>
      <c r="Q115" s="5"/>
      <c r="R115" s="5"/>
      <c r="S115" s="5"/>
      <c r="T115" s="5"/>
      <c r="U115" s="5"/>
      <c r="V115" s="5"/>
      <c r="W115" s="5"/>
      <c r="X115" s="62"/>
      <c r="Y115" s="62"/>
      <c r="Z115" s="5"/>
      <c r="AA115" s="19"/>
      <c r="AB115" s="5"/>
      <c r="AC115" s="5"/>
    </row>
    <row r="116" spans="2:30" s="9" customFormat="1" x14ac:dyDescent="0.2">
      <c r="B116" s="314"/>
      <c r="C116" s="11"/>
      <c r="D116" s="12"/>
      <c r="E116" s="12"/>
      <c r="F116" s="12"/>
      <c r="G116" s="12"/>
      <c r="H116" s="563"/>
      <c r="I116" s="14"/>
      <c r="J116" s="12"/>
      <c r="K116" s="12"/>
      <c r="L116" s="12"/>
      <c r="M116" s="12"/>
      <c r="N116" s="12"/>
      <c r="O116" s="12"/>
      <c r="P116" s="12"/>
      <c r="Q116" s="12"/>
      <c r="R116" s="12"/>
      <c r="S116" s="12"/>
      <c r="T116" s="12"/>
      <c r="U116" s="12"/>
      <c r="V116" s="12"/>
      <c r="W116" s="12"/>
      <c r="X116" s="58"/>
      <c r="Y116" s="58"/>
      <c r="Z116" s="12"/>
      <c r="AA116" s="11"/>
      <c r="AB116" s="12"/>
      <c r="AC116" s="12"/>
    </row>
    <row r="117" spans="2:30" s="9" customFormat="1" x14ac:dyDescent="0.2">
      <c r="B117" s="312" t="s">
        <v>972</v>
      </c>
      <c r="C117" s="16" t="s">
        <v>5905</v>
      </c>
      <c r="D117" s="6" t="s">
        <v>6023</v>
      </c>
      <c r="E117" s="6"/>
      <c r="F117" s="6" t="s">
        <v>6024</v>
      </c>
      <c r="G117" s="6"/>
      <c r="H117" s="564">
        <v>31567.7</v>
      </c>
      <c r="I117" s="39"/>
      <c r="J117" s="7">
        <v>37179</v>
      </c>
      <c r="K117" s="7"/>
      <c r="L117" s="40" t="s">
        <v>6025</v>
      </c>
      <c r="M117" s="6" t="s">
        <v>280</v>
      </c>
      <c r="N117" s="6" t="s">
        <v>42</v>
      </c>
      <c r="O117" s="7"/>
      <c r="P117" s="7"/>
      <c r="Q117" s="7"/>
      <c r="R117" s="7"/>
      <c r="S117" s="7"/>
      <c r="T117" s="7"/>
      <c r="U117" s="7"/>
      <c r="V117" s="40" t="s">
        <v>6026</v>
      </c>
      <c r="W117" s="6"/>
      <c r="X117" s="60"/>
      <c r="Y117" s="60"/>
      <c r="Z117" s="6"/>
      <c r="AA117" s="16"/>
      <c r="AB117" s="6"/>
      <c r="AC117" s="6"/>
    </row>
    <row r="118" spans="2:30" s="9" customFormat="1" ht="12" thickBot="1" x14ac:dyDescent="0.25">
      <c r="B118" s="313"/>
      <c r="C118" s="19"/>
      <c r="D118" s="5"/>
      <c r="E118" s="5"/>
      <c r="F118" s="5"/>
      <c r="G118" s="5"/>
      <c r="H118" s="26"/>
      <c r="I118" s="21"/>
      <c r="J118" s="5"/>
      <c r="K118" s="5"/>
      <c r="L118" s="5"/>
      <c r="M118" s="5"/>
      <c r="N118" s="5"/>
      <c r="O118" s="5"/>
      <c r="P118" s="5"/>
      <c r="Q118" s="5"/>
      <c r="R118" s="5"/>
      <c r="S118" s="5"/>
      <c r="T118" s="5"/>
      <c r="U118" s="5"/>
      <c r="V118" s="5"/>
      <c r="W118" s="5"/>
      <c r="X118" s="62"/>
      <c r="Y118" s="62"/>
      <c r="Z118" s="5"/>
      <c r="AA118" s="19"/>
      <c r="AB118" s="5"/>
      <c r="AC118" s="5"/>
    </row>
    <row r="119" spans="2:30" s="9" customFormat="1" x14ac:dyDescent="0.2">
      <c r="B119" s="314"/>
      <c r="C119" s="11"/>
      <c r="D119" s="12"/>
      <c r="E119" s="12"/>
      <c r="F119" s="12"/>
      <c r="G119" s="12"/>
      <c r="H119" s="563"/>
      <c r="I119" s="14"/>
      <c r="J119" s="12"/>
      <c r="K119" s="12"/>
      <c r="L119" s="12"/>
      <c r="M119" s="12"/>
      <c r="N119" s="12"/>
      <c r="O119" s="12"/>
      <c r="P119" s="12"/>
      <c r="Q119" s="12"/>
      <c r="R119" s="12"/>
      <c r="S119" s="12"/>
      <c r="T119" s="12"/>
      <c r="U119" s="12"/>
      <c r="V119" s="12"/>
      <c r="W119" s="12"/>
      <c r="X119" s="58"/>
      <c r="Y119" s="58"/>
      <c r="Z119" s="12"/>
      <c r="AA119" s="11"/>
      <c r="AB119" s="12"/>
      <c r="AC119" s="12"/>
    </row>
    <row r="120" spans="2:30" s="9" customFormat="1" x14ac:dyDescent="0.2">
      <c r="B120" s="312" t="s">
        <v>972</v>
      </c>
      <c r="C120" s="16" t="s">
        <v>5905</v>
      </c>
      <c r="D120" s="6" t="s">
        <v>6027</v>
      </c>
      <c r="E120" s="6"/>
      <c r="F120" s="6" t="s">
        <v>6028</v>
      </c>
      <c r="G120" s="6"/>
      <c r="H120" s="564">
        <v>137501.97</v>
      </c>
      <c r="I120" s="39"/>
      <c r="J120" s="7">
        <v>37179</v>
      </c>
      <c r="K120" s="7"/>
      <c r="L120" s="40" t="s">
        <v>6025</v>
      </c>
      <c r="M120" s="6" t="s">
        <v>280</v>
      </c>
      <c r="N120" s="6" t="s">
        <v>42</v>
      </c>
      <c r="O120" s="7"/>
      <c r="P120" s="7"/>
      <c r="Q120" s="7"/>
      <c r="R120" s="7"/>
      <c r="S120" s="7"/>
      <c r="T120" s="7"/>
      <c r="U120" s="7"/>
      <c r="V120" s="40"/>
      <c r="W120" s="6"/>
      <c r="X120" s="60"/>
      <c r="Y120" s="60"/>
      <c r="Z120" s="6"/>
      <c r="AA120" s="16"/>
      <c r="AB120" s="6"/>
      <c r="AC120" s="6"/>
    </row>
    <row r="121" spans="2:30" s="9" customFormat="1" ht="12" thickBot="1" x14ac:dyDescent="0.25">
      <c r="B121" s="313"/>
      <c r="C121" s="19"/>
      <c r="D121" s="5"/>
      <c r="E121" s="5"/>
      <c r="F121" s="5"/>
      <c r="G121" s="5"/>
      <c r="H121" s="26"/>
      <c r="I121" s="21"/>
      <c r="J121" s="5"/>
      <c r="K121" s="5"/>
      <c r="L121" s="5"/>
      <c r="M121" s="5"/>
      <c r="N121" s="5"/>
      <c r="O121" s="5"/>
      <c r="P121" s="5"/>
      <c r="Q121" s="5"/>
      <c r="R121" s="5"/>
      <c r="S121" s="5"/>
      <c r="T121" s="5"/>
      <c r="U121" s="5"/>
      <c r="V121" s="5"/>
      <c r="W121" s="5"/>
      <c r="X121" s="62"/>
      <c r="Y121" s="62"/>
      <c r="Z121" s="5"/>
      <c r="AA121" s="19"/>
      <c r="AB121" s="5"/>
      <c r="AC121" s="5"/>
    </row>
    <row r="122" spans="2:30" s="9" customFormat="1" x14ac:dyDescent="0.2">
      <c r="B122" s="315"/>
      <c r="C122" s="28"/>
      <c r="D122" s="30"/>
      <c r="E122" s="30"/>
      <c r="F122" s="30"/>
      <c r="G122" s="30"/>
      <c r="H122" s="119"/>
      <c r="I122" s="31"/>
      <c r="J122" s="30"/>
      <c r="K122" s="30"/>
      <c r="L122" s="30"/>
      <c r="M122" s="30"/>
      <c r="N122" s="30"/>
      <c r="O122" s="30"/>
      <c r="P122" s="30"/>
      <c r="Q122" s="30"/>
      <c r="R122" s="30"/>
      <c r="S122" s="30"/>
      <c r="T122" s="30"/>
      <c r="U122" s="30"/>
      <c r="V122" s="30"/>
      <c r="W122" s="30"/>
      <c r="X122" s="28"/>
      <c r="Y122" s="28"/>
      <c r="Z122" s="30"/>
      <c r="AA122" s="28"/>
      <c r="AB122" s="30"/>
      <c r="AC122" s="30"/>
    </row>
    <row r="123" spans="2:30" ht="12.75" x14ac:dyDescent="0.2">
      <c r="AA123" s="1">
        <v>2004</v>
      </c>
      <c r="AB123" s="1048"/>
    </row>
    <row r="124" spans="2:30" ht="12.75" x14ac:dyDescent="0.2">
      <c r="AA124" s="945" t="s">
        <v>813</v>
      </c>
      <c r="AB124" s="1048">
        <f>COUNTA(AD92:AD110)</f>
        <v>5</v>
      </c>
    </row>
    <row r="125" spans="2:30" ht="12.75" x14ac:dyDescent="0.2">
      <c r="AA125" s="945" t="s">
        <v>4709</v>
      </c>
      <c r="AB125" s="1048">
        <f>COUNTIF(AD90:AD110,"en término")</f>
        <v>3</v>
      </c>
    </row>
    <row r="126" spans="2:30" ht="12.75" x14ac:dyDescent="0.2">
      <c r="AA126" s="945" t="s">
        <v>817</v>
      </c>
      <c r="AB126" s="557">
        <f>+AB125/AB124</f>
        <v>0.6</v>
      </c>
    </row>
    <row r="127" spans="2:30" ht="12" thickBot="1" x14ac:dyDescent="0.25"/>
    <row r="128" spans="2:30" s="556" customFormat="1" ht="39.950000000000003" customHeight="1" thickBot="1" x14ac:dyDescent="0.4">
      <c r="B128" s="1654">
        <v>2005</v>
      </c>
      <c r="C128" s="1655"/>
      <c r="D128" s="1655"/>
      <c r="E128" s="1655"/>
      <c r="F128" s="1655"/>
      <c r="G128" s="1655"/>
      <c r="H128" s="1655"/>
      <c r="I128" s="1655"/>
      <c r="J128" s="1655"/>
      <c r="K128" s="1655"/>
      <c r="L128" s="1655"/>
      <c r="M128" s="1655"/>
      <c r="N128" s="1655"/>
      <c r="O128" s="1655"/>
      <c r="P128" s="1655"/>
      <c r="Q128" s="1655"/>
      <c r="R128" s="1655"/>
      <c r="S128" s="1655"/>
      <c r="T128" s="1655"/>
      <c r="U128" s="1655"/>
      <c r="V128" s="1655"/>
      <c r="W128" s="1655"/>
      <c r="X128" s="1655"/>
      <c r="Y128" s="1655"/>
      <c r="Z128" s="1655"/>
      <c r="AA128" s="1655"/>
      <c r="AB128" s="1655"/>
      <c r="AC128" s="1656"/>
      <c r="AD128" s="555"/>
    </row>
    <row r="129" spans="1:36" s="441" customFormat="1" ht="60" customHeight="1" thickBot="1" x14ac:dyDescent="0.25">
      <c r="A129" s="438"/>
      <c r="B129" s="451" t="s">
        <v>130</v>
      </c>
      <c r="C129" s="451" t="s">
        <v>4</v>
      </c>
      <c r="D129" s="451" t="s">
        <v>5</v>
      </c>
      <c r="E129" s="451" t="s">
        <v>6</v>
      </c>
      <c r="F129" s="451" t="s">
        <v>7</v>
      </c>
      <c r="G129" s="451" t="s">
        <v>8</v>
      </c>
      <c r="H129" s="453" t="s">
        <v>9</v>
      </c>
      <c r="I129" s="453" t="s">
        <v>10</v>
      </c>
      <c r="J129" s="451" t="s">
        <v>11</v>
      </c>
      <c r="K129" s="451" t="s">
        <v>12</v>
      </c>
      <c r="L129" s="451" t="s">
        <v>13</v>
      </c>
      <c r="M129" s="451" t="s">
        <v>14</v>
      </c>
      <c r="N129" s="451" t="s">
        <v>15</v>
      </c>
      <c r="O129" s="452" t="s">
        <v>16</v>
      </c>
      <c r="P129" s="454" t="s">
        <v>17</v>
      </c>
      <c r="Q129" s="451"/>
      <c r="R129" s="452"/>
      <c r="S129" s="451" t="s">
        <v>4659</v>
      </c>
      <c r="T129" s="451" t="s">
        <v>4660</v>
      </c>
      <c r="U129" s="452" t="s">
        <v>22</v>
      </c>
      <c r="V129" s="451" t="s">
        <v>131</v>
      </c>
      <c r="W129" s="451" t="s">
        <v>24</v>
      </c>
      <c r="X129" s="451" t="s">
        <v>132</v>
      </c>
      <c r="Y129" s="451" t="s">
        <v>26</v>
      </c>
      <c r="Z129" s="451" t="s">
        <v>27</v>
      </c>
      <c r="AA129" s="451" t="s">
        <v>28</v>
      </c>
      <c r="AB129" s="451" t="s">
        <v>29</v>
      </c>
      <c r="AC129" s="451" t="s">
        <v>30</v>
      </c>
      <c r="AD129" s="439"/>
      <c r="AE129" s="440"/>
      <c r="AF129" s="440"/>
      <c r="AG129" s="440"/>
      <c r="AH129" s="440"/>
      <c r="AI129" s="440"/>
      <c r="AJ129" s="440"/>
    </row>
    <row r="130" spans="1:36" s="9" customFormat="1" x14ac:dyDescent="0.2">
      <c r="A130" s="328"/>
      <c r="B130" s="11"/>
      <c r="C130" s="11"/>
      <c r="D130" s="91"/>
      <c r="E130" s="91"/>
      <c r="F130" s="12"/>
      <c r="G130" s="12"/>
      <c r="H130" s="13">
        <v>9344</v>
      </c>
      <c r="I130" s="13"/>
      <c r="J130" s="91"/>
      <c r="K130" s="91"/>
      <c r="L130" s="134"/>
      <c r="M130" s="12"/>
      <c r="N130" s="12"/>
      <c r="O130" s="12"/>
      <c r="P130" s="12"/>
      <c r="Q130" s="12"/>
      <c r="R130" s="12"/>
      <c r="S130" s="12" t="s">
        <v>6029</v>
      </c>
      <c r="T130" s="12"/>
      <c r="U130" s="12"/>
      <c r="V130" s="238"/>
      <c r="W130" s="12"/>
      <c r="X130" s="57"/>
      <c r="Y130" s="57"/>
      <c r="Z130" s="12"/>
      <c r="AA130" s="12"/>
      <c r="AB130" s="12"/>
      <c r="AC130" s="12"/>
      <c r="AD130" s="330"/>
    </row>
    <row r="131" spans="1:36" s="9" customFormat="1" x14ac:dyDescent="0.2">
      <c r="A131" s="328"/>
      <c r="B131" s="16" t="s">
        <v>972</v>
      </c>
      <c r="C131" s="16" t="s">
        <v>5995</v>
      </c>
      <c r="D131" s="7" t="s">
        <v>6011</v>
      </c>
      <c r="E131" s="7"/>
      <c r="F131" s="6">
        <v>4504</v>
      </c>
      <c r="G131" s="6" t="s">
        <v>1173</v>
      </c>
      <c r="H131" s="1662" t="s">
        <v>6030</v>
      </c>
      <c r="I131" s="39" t="s">
        <v>280</v>
      </c>
      <c r="J131" s="7">
        <v>38218</v>
      </c>
      <c r="K131" s="331">
        <v>120</v>
      </c>
      <c r="L131" s="23">
        <f>+J131+K131</f>
        <v>38338</v>
      </c>
      <c r="M131" s="18" t="s">
        <v>280</v>
      </c>
      <c r="N131" s="6" t="s">
        <v>42</v>
      </c>
      <c r="O131" s="7">
        <v>38363</v>
      </c>
      <c r="P131" s="331">
        <f>IF(T131="","",+T131-L131)</f>
        <v>68</v>
      </c>
      <c r="Q131" s="331"/>
      <c r="R131" s="331"/>
      <c r="S131" s="175">
        <v>38376</v>
      </c>
      <c r="T131" s="7">
        <f>+S131+30</f>
        <v>38406</v>
      </c>
      <c r="U131" s="331">
        <f>IF(T131="","",+T131-J131)</f>
        <v>188</v>
      </c>
      <c r="V131" s="67" t="s">
        <v>6031</v>
      </c>
      <c r="W131" s="340" t="s">
        <v>6032</v>
      </c>
      <c r="X131" s="59"/>
      <c r="Y131" s="59"/>
      <c r="Z131" s="6" t="s">
        <v>6033</v>
      </c>
      <c r="AA131" s="7" t="s">
        <v>47</v>
      </c>
      <c r="AB131" s="7" t="s">
        <v>47</v>
      </c>
      <c r="AC131" s="7"/>
      <c r="AD131" s="10" t="str">
        <f>IF(T131&lt;=L131,"en término","atrasado")</f>
        <v>atrasado</v>
      </c>
    </row>
    <row r="132" spans="1:36" s="9" customFormat="1" ht="12" thickBot="1" x14ac:dyDescent="0.25">
      <c r="A132" s="328"/>
      <c r="B132" s="19"/>
      <c r="C132" s="19"/>
      <c r="D132" s="5"/>
      <c r="E132" s="5"/>
      <c r="F132" s="5"/>
      <c r="G132" s="5"/>
      <c r="H132" s="1663"/>
      <c r="I132" s="21"/>
      <c r="J132" s="5"/>
      <c r="K132" s="5"/>
      <c r="L132" s="27"/>
      <c r="M132" s="5"/>
      <c r="N132" s="5"/>
      <c r="O132" s="5"/>
      <c r="P132" s="5"/>
      <c r="Q132" s="5"/>
      <c r="R132" s="5"/>
      <c r="S132" s="27"/>
      <c r="T132" s="5"/>
      <c r="U132" s="5"/>
      <c r="V132" s="332"/>
      <c r="W132" s="5"/>
      <c r="X132" s="61"/>
      <c r="Y132" s="61"/>
      <c r="Z132" s="5" t="s">
        <v>6034</v>
      </c>
      <c r="AA132" s="27">
        <v>38408</v>
      </c>
      <c r="AB132" s="5"/>
      <c r="AC132" s="5"/>
      <c r="AD132" s="330"/>
    </row>
    <row r="133" spans="1:36" s="9" customFormat="1" x14ac:dyDescent="0.2">
      <c r="A133" s="328"/>
      <c r="B133" s="11"/>
      <c r="C133" s="11"/>
      <c r="D133" s="91"/>
      <c r="E133" s="91"/>
      <c r="F133" s="12"/>
      <c r="G133" s="12"/>
      <c r="H133" s="1663"/>
      <c r="I133" s="13"/>
      <c r="J133" s="91"/>
      <c r="K133" s="91"/>
      <c r="L133" s="134"/>
      <c r="M133" s="12"/>
      <c r="N133" s="12"/>
      <c r="O133" s="12"/>
      <c r="P133" s="12"/>
      <c r="Q133" s="12"/>
      <c r="R133" s="12"/>
      <c r="S133" s="12" t="s">
        <v>6029</v>
      </c>
      <c r="T133" s="12"/>
      <c r="U133" s="12"/>
      <c r="V133" s="238"/>
      <c r="W133" s="12"/>
      <c r="X133" s="57"/>
      <c r="Y133" s="57"/>
      <c r="Z133" s="12"/>
      <c r="AA133" s="12"/>
      <c r="AB133" s="12"/>
      <c r="AC133" s="12"/>
      <c r="AD133" s="330"/>
    </row>
    <row r="134" spans="1:36" s="9" customFormat="1" x14ac:dyDescent="0.2">
      <c r="A134" s="328"/>
      <c r="B134" s="16" t="s">
        <v>972</v>
      </c>
      <c r="C134" s="16" t="s">
        <v>5995</v>
      </c>
      <c r="D134" s="7" t="s">
        <v>6016</v>
      </c>
      <c r="E134" s="7"/>
      <c r="F134" s="6">
        <v>4503</v>
      </c>
      <c r="G134" s="6" t="s">
        <v>1173</v>
      </c>
      <c r="H134" s="1663"/>
      <c r="I134" s="39" t="s">
        <v>280</v>
      </c>
      <c r="J134" s="7">
        <v>38218</v>
      </c>
      <c r="K134" s="331">
        <v>120</v>
      </c>
      <c r="L134" s="23">
        <f>+J134+120</f>
        <v>38338</v>
      </c>
      <c r="M134" s="18" t="s">
        <v>280</v>
      </c>
      <c r="N134" s="6" t="s">
        <v>42</v>
      </c>
      <c r="O134" s="7">
        <v>38363</v>
      </c>
      <c r="P134" s="331">
        <f>IF(T134="","",+T134-L134)</f>
        <v>68</v>
      </c>
      <c r="Q134" s="331"/>
      <c r="R134" s="331"/>
      <c r="S134" s="175">
        <v>38376</v>
      </c>
      <c r="T134" s="7">
        <f>+S134+30</f>
        <v>38406</v>
      </c>
      <c r="U134" s="331">
        <f>IF(T134="","",+T134-J134)</f>
        <v>188</v>
      </c>
      <c r="V134" s="67" t="s">
        <v>6031</v>
      </c>
      <c r="W134" s="340" t="s">
        <v>6035</v>
      </c>
      <c r="X134" s="59"/>
      <c r="Y134" s="59"/>
      <c r="Z134" s="6" t="s">
        <v>6033</v>
      </c>
      <c r="AA134" s="7" t="s">
        <v>47</v>
      </c>
      <c r="AB134" s="7" t="s">
        <v>47</v>
      </c>
      <c r="AC134" s="7"/>
      <c r="AD134" s="10" t="str">
        <f>IF(T134&lt;=L134,"en término","atrasado")</f>
        <v>atrasado</v>
      </c>
    </row>
    <row r="135" spans="1:36" s="9" customFormat="1" ht="12" thickBot="1" x14ac:dyDescent="0.25">
      <c r="A135" s="328"/>
      <c r="B135" s="19"/>
      <c r="C135" s="19"/>
      <c r="D135" s="5"/>
      <c r="E135" s="5"/>
      <c r="F135" s="5"/>
      <c r="G135" s="5"/>
      <c r="H135" s="26">
        <v>6835</v>
      </c>
      <c r="I135" s="21"/>
      <c r="J135" s="5"/>
      <c r="K135" s="5"/>
      <c r="L135" s="27"/>
      <c r="M135" s="5"/>
      <c r="N135" s="5"/>
      <c r="O135" s="5"/>
      <c r="P135" s="5"/>
      <c r="Q135" s="5"/>
      <c r="R135" s="5"/>
      <c r="S135" s="27"/>
      <c r="T135" s="5"/>
      <c r="U135" s="5"/>
      <c r="V135" s="332"/>
      <c r="W135" s="5"/>
      <c r="X135" s="61"/>
      <c r="Y135" s="61"/>
      <c r="Z135" s="5" t="s">
        <v>6034</v>
      </c>
      <c r="AA135" s="27">
        <v>38408</v>
      </c>
      <c r="AB135" s="5"/>
      <c r="AC135" s="5"/>
      <c r="AD135" s="330"/>
    </row>
    <row r="137" spans="1:36" ht="12.75" x14ac:dyDescent="0.2">
      <c r="AA137" s="1">
        <v>2005</v>
      </c>
      <c r="AB137" s="1048"/>
    </row>
    <row r="138" spans="1:36" ht="12.75" x14ac:dyDescent="0.2">
      <c r="AA138" s="945" t="s">
        <v>813</v>
      </c>
      <c r="AB138" s="1048">
        <f>COUNTA(AD131:AD134)</f>
        <v>2</v>
      </c>
    </row>
    <row r="139" spans="1:36" ht="12.75" x14ac:dyDescent="0.2">
      <c r="AA139" s="945" t="s">
        <v>4709</v>
      </c>
      <c r="AB139" s="1048">
        <f>COUNTIF(AD131:AD134,"en término")</f>
        <v>0</v>
      </c>
    </row>
    <row r="140" spans="1:36" ht="12.75" x14ac:dyDescent="0.2">
      <c r="AA140" s="945" t="s">
        <v>817</v>
      </c>
      <c r="AB140" s="557">
        <f>+AB139/AB138</f>
        <v>0</v>
      </c>
    </row>
    <row r="142" spans="1:36" ht="12" thickBot="1" x14ac:dyDescent="0.25"/>
    <row r="143" spans="1:36" s="556" customFormat="1" ht="39.950000000000003" customHeight="1" thickBot="1" x14ac:dyDescent="0.4">
      <c r="B143" s="1654">
        <v>2006</v>
      </c>
      <c r="C143" s="1655"/>
      <c r="D143" s="1655"/>
      <c r="E143" s="1655"/>
      <c r="F143" s="1655"/>
      <c r="G143" s="1655"/>
      <c r="H143" s="1655"/>
      <c r="I143" s="1655"/>
      <c r="J143" s="1655"/>
      <c r="K143" s="1655"/>
      <c r="L143" s="1655"/>
      <c r="M143" s="1655"/>
      <c r="N143" s="1655"/>
      <c r="O143" s="1655"/>
      <c r="P143" s="1655"/>
      <c r="Q143" s="1655"/>
      <c r="R143" s="1655"/>
      <c r="S143" s="1655"/>
      <c r="T143" s="1655"/>
      <c r="U143" s="1655"/>
      <c r="V143" s="1655"/>
      <c r="W143" s="1655"/>
      <c r="X143" s="1655"/>
      <c r="Y143" s="1655"/>
      <c r="Z143" s="1655"/>
      <c r="AA143" s="1655"/>
      <c r="AB143" s="1655"/>
      <c r="AC143" s="1656"/>
      <c r="AD143" s="555"/>
    </row>
    <row r="144" spans="1:36" s="441" customFormat="1" ht="60" customHeight="1" thickBot="1" x14ac:dyDescent="0.25">
      <c r="A144" s="438"/>
      <c r="B144" s="451" t="s">
        <v>130</v>
      </c>
      <c r="C144" s="451" t="s">
        <v>4</v>
      </c>
      <c r="D144" s="451" t="s">
        <v>5</v>
      </c>
      <c r="E144" s="451" t="s">
        <v>6</v>
      </c>
      <c r="F144" s="451" t="s">
        <v>7</v>
      </c>
      <c r="G144" s="451" t="s">
        <v>8</v>
      </c>
      <c r="H144" s="453" t="s">
        <v>9</v>
      </c>
      <c r="I144" s="453" t="s">
        <v>10</v>
      </c>
      <c r="J144" s="451" t="s">
        <v>11</v>
      </c>
      <c r="K144" s="451" t="s">
        <v>12</v>
      </c>
      <c r="L144" s="451" t="s">
        <v>13</v>
      </c>
      <c r="M144" s="451" t="s">
        <v>14</v>
      </c>
      <c r="N144" s="451" t="s">
        <v>15</v>
      </c>
      <c r="O144" s="452" t="s">
        <v>16</v>
      </c>
      <c r="P144" s="454" t="s">
        <v>17</v>
      </c>
      <c r="Q144" s="451"/>
      <c r="R144" s="452"/>
      <c r="S144" s="451" t="s">
        <v>4659</v>
      </c>
      <c r="T144" s="451" t="s">
        <v>4660</v>
      </c>
      <c r="U144" s="452" t="s">
        <v>22</v>
      </c>
      <c r="V144" s="451" t="s">
        <v>131</v>
      </c>
      <c r="W144" s="451" t="s">
        <v>24</v>
      </c>
      <c r="X144" s="451" t="s">
        <v>132</v>
      </c>
      <c r="Y144" s="451" t="s">
        <v>26</v>
      </c>
      <c r="Z144" s="451" t="s">
        <v>27</v>
      </c>
      <c r="AA144" s="451" t="s">
        <v>28</v>
      </c>
      <c r="AB144" s="451" t="s">
        <v>29</v>
      </c>
      <c r="AC144" s="451" t="s">
        <v>30</v>
      </c>
      <c r="AD144" s="439"/>
      <c r="AE144" s="440"/>
      <c r="AF144" s="440"/>
      <c r="AG144" s="440"/>
      <c r="AH144" s="440"/>
      <c r="AI144" s="440"/>
      <c r="AJ144" s="440"/>
    </row>
    <row r="145" spans="1:30" s="9" customFormat="1" x14ac:dyDescent="0.2">
      <c r="A145" s="328"/>
      <c r="B145" s="16"/>
      <c r="C145" s="16"/>
      <c r="D145" s="7"/>
      <c r="E145" s="7"/>
      <c r="F145" s="6"/>
      <c r="G145" s="6"/>
      <c r="H145" s="17" t="s">
        <v>77</v>
      </c>
      <c r="I145" s="17"/>
      <c r="J145" s="7"/>
      <c r="K145" s="7"/>
      <c r="L145" s="23"/>
      <c r="M145" s="6"/>
      <c r="N145" s="6"/>
      <c r="O145" s="6"/>
      <c r="P145" s="6"/>
      <c r="Q145" s="6"/>
      <c r="R145" s="6"/>
      <c r="S145" s="6"/>
      <c r="T145" s="6"/>
      <c r="U145" s="6"/>
      <c r="V145" s="138" t="s">
        <v>4907</v>
      </c>
      <c r="W145" s="6"/>
      <c r="X145" s="59"/>
      <c r="Y145" s="59"/>
      <c r="Z145" s="6"/>
      <c r="AA145" s="6"/>
      <c r="AB145" s="6"/>
      <c r="AC145" s="6"/>
      <c r="AD145" s="330"/>
    </row>
    <row r="146" spans="1:30" s="9" customFormat="1" x14ac:dyDescent="0.2">
      <c r="A146" s="328"/>
      <c r="B146" s="16" t="s">
        <v>972</v>
      </c>
      <c r="C146" s="16" t="s">
        <v>6036</v>
      </c>
      <c r="D146" s="7" t="s">
        <v>6037</v>
      </c>
      <c r="E146" s="7"/>
      <c r="F146" s="6">
        <v>6302</v>
      </c>
      <c r="G146" s="6" t="s">
        <v>39</v>
      </c>
      <c r="H146" s="17">
        <v>375.91</v>
      </c>
      <c r="I146" s="39" t="s">
        <v>6038</v>
      </c>
      <c r="J146" s="18">
        <v>38817</v>
      </c>
      <c r="K146" s="331">
        <v>135</v>
      </c>
      <c r="L146" s="348">
        <v>38859</v>
      </c>
      <c r="M146" s="18" t="s">
        <v>124</v>
      </c>
      <c r="N146" s="6" t="s">
        <v>110</v>
      </c>
      <c r="O146" s="18">
        <v>38849</v>
      </c>
      <c r="P146" s="331">
        <f>IF(S146="","",+S146-L146)</f>
        <v>-5</v>
      </c>
      <c r="Q146" s="331"/>
      <c r="R146" s="331"/>
      <c r="S146" s="349">
        <v>38854</v>
      </c>
      <c r="T146" s="18">
        <v>38859</v>
      </c>
      <c r="U146" s="331">
        <f>IF(T146="","",+T146-J146)</f>
        <v>42</v>
      </c>
      <c r="V146" s="6" t="s">
        <v>6039</v>
      </c>
      <c r="W146" s="340">
        <v>119</v>
      </c>
      <c r="X146" s="59"/>
      <c r="Y146" s="59"/>
      <c r="Z146" s="1660" t="s">
        <v>6040</v>
      </c>
      <c r="AA146" s="7">
        <v>38863</v>
      </c>
      <c r="AB146" s="18" t="s">
        <v>47</v>
      </c>
      <c r="AC146" s="18"/>
      <c r="AD146" s="10" t="str">
        <f>IF(T146&lt;=L146,"en término","atrasado")</f>
        <v>en término</v>
      </c>
    </row>
    <row r="147" spans="1:30" s="9" customFormat="1" ht="12" thickBot="1" x14ac:dyDescent="0.25">
      <c r="A147" s="328"/>
      <c r="B147" s="19"/>
      <c r="C147" s="19"/>
      <c r="D147" s="5"/>
      <c r="E147" s="5"/>
      <c r="F147" s="5"/>
      <c r="G147" s="5"/>
      <c r="H147" s="26"/>
      <c r="I147" s="21"/>
      <c r="J147" s="5"/>
      <c r="K147" s="5"/>
      <c r="L147" s="27"/>
      <c r="M147" s="5"/>
      <c r="N147" s="5"/>
      <c r="O147" s="19"/>
      <c r="P147" s="19"/>
      <c r="Q147" s="19"/>
      <c r="R147" s="19"/>
      <c r="S147" s="5"/>
      <c r="T147" s="5"/>
      <c r="U147" s="19"/>
      <c r="V147" s="224" t="s">
        <v>6041</v>
      </c>
      <c r="W147" s="5"/>
      <c r="X147" s="61"/>
      <c r="Y147" s="61"/>
      <c r="Z147" s="1661"/>
      <c r="AA147" s="5"/>
      <c r="AB147" s="27">
        <v>38846</v>
      </c>
      <c r="AC147" s="27"/>
      <c r="AD147" s="330"/>
    </row>
    <row r="148" spans="1:30" s="9" customFormat="1" x14ac:dyDescent="0.2">
      <c r="A148" s="328"/>
      <c r="B148" s="16"/>
      <c r="C148" s="16"/>
      <c r="D148" s="7"/>
      <c r="E148" s="7"/>
      <c r="F148" s="6"/>
      <c r="G148" s="6"/>
      <c r="H148" s="17" t="s">
        <v>77</v>
      </c>
      <c r="I148" s="17"/>
      <c r="J148" s="7"/>
      <c r="K148" s="7"/>
      <c r="L148" s="23"/>
      <c r="M148" s="6"/>
      <c r="N148" s="6"/>
      <c r="O148" s="6"/>
      <c r="P148" s="6"/>
      <c r="Q148" s="6"/>
      <c r="R148" s="6"/>
      <c r="S148" s="6" t="s">
        <v>5880</v>
      </c>
      <c r="T148" s="6"/>
      <c r="U148" s="6"/>
      <c r="V148" s="220"/>
      <c r="W148" s="6"/>
      <c r="X148" s="59"/>
      <c r="Y148" s="59"/>
      <c r="Z148" s="6"/>
      <c r="AA148" s="6"/>
      <c r="AB148" s="6"/>
      <c r="AC148" s="1664" t="s">
        <v>6042</v>
      </c>
      <c r="AD148" s="28"/>
    </row>
    <row r="149" spans="1:30" s="9" customFormat="1" x14ac:dyDescent="0.2">
      <c r="A149" s="328"/>
      <c r="B149" s="16" t="s">
        <v>972</v>
      </c>
      <c r="C149" s="16" t="s">
        <v>6043</v>
      </c>
      <c r="D149" s="7" t="s">
        <v>6044</v>
      </c>
      <c r="E149" s="7"/>
      <c r="F149" s="6" t="s">
        <v>6045</v>
      </c>
      <c r="G149" s="6" t="s">
        <v>6046</v>
      </c>
      <c r="H149" s="17">
        <v>9278.81</v>
      </c>
      <c r="I149" s="39" t="s">
        <v>6047</v>
      </c>
      <c r="J149" s="18">
        <v>38994</v>
      </c>
      <c r="K149" s="331">
        <v>10</v>
      </c>
      <c r="L149" s="348">
        <f>+J149+K149</f>
        <v>39004</v>
      </c>
      <c r="M149" s="18" t="s">
        <v>6047</v>
      </c>
      <c r="N149" s="6" t="s">
        <v>42</v>
      </c>
      <c r="O149" s="18">
        <v>39000</v>
      </c>
      <c r="P149" s="331">
        <f>IF(S149="","",+S149-L149)</f>
        <v>43</v>
      </c>
      <c r="Q149" s="331"/>
      <c r="R149" s="331"/>
      <c r="S149" s="349">
        <v>39047</v>
      </c>
      <c r="T149" s="18">
        <v>39078</v>
      </c>
      <c r="U149" s="331">
        <f>IF(T149="","",+T149-J149)</f>
        <v>84</v>
      </c>
      <c r="V149" s="6" t="s">
        <v>6048</v>
      </c>
      <c r="W149" s="340"/>
      <c r="X149" s="59"/>
      <c r="Y149" s="59"/>
      <c r="Z149" s="6"/>
      <c r="AA149" s="6" t="s">
        <v>47</v>
      </c>
      <c r="AB149" s="7" t="s">
        <v>47</v>
      </c>
      <c r="AC149" s="1609"/>
      <c r="AD149" s="10" t="str">
        <f>IF(T149&lt;=L149,"en término","atrasado")</f>
        <v>atrasado</v>
      </c>
    </row>
    <row r="150" spans="1:30" s="9" customFormat="1" ht="14.25" customHeight="1" x14ac:dyDescent="0.2">
      <c r="A150" s="328"/>
      <c r="B150" s="16"/>
      <c r="C150" s="16"/>
      <c r="D150" s="7"/>
      <c r="E150" s="7"/>
      <c r="F150" s="6"/>
      <c r="G150" s="6"/>
      <c r="H150" s="17"/>
      <c r="I150" s="39"/>
      <c r="J150" s="18"/>
      <c r="K150" s="331"/>
      <c r="L150" s="348"/>
      <c r="M150" s="18"/>
      <c r="N150" s="6"/>
      <c r="O150" s="18"/>
      <c r="P150" s="331"/>
      <c r="Q150" s="331"/>
      <c r="R150" s="331"/>
      <c r="S150" s="349"/>
      <c r="T150" s="18" t="s">
        <v>6049</v>
      </c>
      <c r="U150" s="331"/>
      <c r="V150" s="6"/>
      <c r="W150" s="340"/>
      <c r="X150" s="59"/>
      <c r="Y150" s="59"/>
      <c r="Z150" s="6"/>
      <c r="AA150" s="7">
        <v>39108</v>
      </c>
      <c r="AB150" s="338"/>
      <c r="AC150" s="1609"/>
      <c r="AD150" s="28"/>
    </row>
    <row r="151" spans="1:30" s="9" customFormat="1" ht="20.25" customHeight="1" thickBot="1" x14ac:dyDescent="0.25">
      <c r="A151" s="328"/>
      <c r="B151" s="400" t="s">
        <v>6050</v>
      </c>
      <c r="C151" s="19"/>
      <c r="D151" s="5"/>
      <c r="E151" s="5"/>
      <c r="F151" s="5"/>
      <c r="G151" s="5"/>
      <c r="H151" s="26"/>
      <c r="I151" s="21"/>
      <c r="J151" s="5"/>
      <c r="K151" s="5"/>
      <c r="L151" s="27"/>
      <c r="M151" s="5"/>
      <c r="N151" s="5"/>
      <c r="O151" s="19"/>
      <c r="P151" s="19"/>
      <c r="Q151" s="19"/>
      <c r="R151" s="19"/>
      <c r="S151" s="5"/>
      <c r="T151" s="5"/>
      <c r="U151" s="19"/>
      <c r="V151" s="224"/>
      <c r="W151" s="5"/>
      <c r="X151" s="61"/>
      <c r="Y151" s="61"/>
      <c r="Z151" s="5"/>
      <c r="AA151" s="5"/>
      <c r="AB151" s="27"/>
      <c r="AC151" s="1610"/>
      <c r="AD151" s="28"/>
    </row>
    <row r="153" spans="1:30" ht="12.75" x14ac:dyDescent="0.2">
      <c r="AA153" s="1">
        <v>2006</v>
      </c>
      <c r="AB153" s="1048"/>
    </row>
    <row r="154" spans="1:30" ht="12.75" x14ac:dyDescent="0.2">
      <c r="AA154" s="945" t="s">
        <v>813</v>
      </c>
      <c r="AB154" s="1048">
        <f>COUNTA(AD145:AD149)</f>
        <v>2</v>
      </c>
    </row>
    <row r="155" spans="1:30" ht="12.75" x14ac:dyDescent="0.2">
      <c r="AA155" s="945" t="s">
        <v>4709</v>
      </c>
      <c r="AB155" s="1048">
        <f>COUNTIF(AD145:AD149,"en término")</f>
        <v>1</v>
      </c>
    </row>
    <row r="156" spans="1:30" ht="12.75" x14ac:dyDescent="0.2">
      <c r="AA156" s="945" t="s">
        <v>817</v>
      </c>
      <c r="AB156" s="557">
        <f>+AB155/AB154</f>
        <v>0.5</v>
      </c>
    </row>
    <row r="160" spans="1:30" ht="12" thickBot="1" x14ac:dyDescent="0.25"/>
    <row r="161" spans="1:36" s="556" customFormat="1" ht="39.950000000000003" customHeight="1" thickBot="1" x14ac:dyDescent="0.4">
      <c r="B161" s="1654">
        <v>2013</v>
      </c>
      <c r="C161" s="1655"/>
      <c r="D161" s="1655"/>
      <c r="E161" s="1655"/>
      <c r="F161" s="1655"/>
      <c r="G161" s="1655"/>
      <c r="H161" s="1655"/>
      <c r="I161" s="1655"/>
      <c r="J161" s="1655"/>
      <c r="K161" s="1655"/>
      <c r="L161" s="1655"/>
      <c r="M161" s="1655"/>
      <c r="N161" s="1655"/>
      <c r="O161" s="1655"/>
      <c r="P161" s="1655"/>
      <c r="Q161" s="1655"/>
      <c r="R161" s="1655"/>
      <c r="S161" s="1655"/>
      <c r="T161" s="1655"/>
      <c r="U161" s="1655"/>
      <c r="V161" s="1655"/>
      <c r="W161" s="1655"/>
      <c r="X161" s="1655"/>
      <c r="Y161" s="1655"/>
      <c r="Z161" s="1655"/>
      <c r="AA161" s="1655"/>
      <c r="AB161" s="1655"/>
      <c r="AC161" s="1656"/>
      <c r="AD161" s="555"/>
    </row>
    <row r="162" spans="1:36" s="441" customFormat="1" ht="60" customHeight="1" thickBot="1" x14ac:dyDescent="0.25">
      <c r="A162" s="438"/>
      <c r="B162" s="451" t="s">
        <v>130</v>
      </c>
      <c r="C162" s="451" t="s">
        <v>4</v>
      </c>
      <c r="D162" s="451" t="s">
        <v>5</v>
      </c>
      <c r="E162" s="451" t="s">
        <v>6</v>
      </c>
      <c r="F162" s="451" t="s">
        <v>7</v>
      </c>
      <c r="G162" s="451" t="s">
        <v>8</v>
      </c>
      <c r="H162" s="453" t="s">
        <v>9</v>
      </c>
      <c r="I162" s="453" t="s">
        <v>10</v>
      </c>
      <c r="J162" s="451" t="s">
        <v>11</v>
      </c>
      <c r="K162" s="451" t="s">
        <v>12</v>
      </c>
      <c r="L162" s="451" t="s">
        <v>13</v>
      </c>
      <c r="M162" s="451" t="s">
        <v>14</v>
      </c>
      <c r="N162" s="451" t="s">
        <v>15</v>
      </c>
      <c r="O162" s="452" t="s">
        <v>16</v>
      </c>
      <c r="P162" s="454" t="s">
        <v>17</v>
      </c>
      <c r="Q162" s="451"/>
      <c r="R162" s="452"/>
      <c r="S162" s="451" t="s">
        <v>4659</v>
      </c>
      <c r="T162" s="451" t="s">
        <v>4660</v>
      </c>
      <c r="U162" s="452" t="s">
        <v>22</v>
      </c>
      <c r="V162" s="451" t="s">
        <v>131</v>
      </c>
      <c r="W162" s="451" t="s">
        <v>24</v>
      </c>
      <c r="X162" s="451" t="s">
        <v>132</v>
      </c>
      <c r="Y162" s="451" t="s">
        <v>26</v>
      </c>
      <c r="Z162" s="451" t="s">
        <v>27</v>
      </c>
      <c r="AA162" s="451" t="s">
        <v>28</v>
      </c>
      <c r="AB162" s="451" t="s">
        <v>29</v>
      </c>
      <c r="AC162" s="451" t="s">
        <v>30</v>
      </c>
      <c r="AD162" s="439"/>
      <c r="AE162" s="440"/>
      <c r="AF162" s="440"/>
      <c r="AG162" s="440"/>
      <c r="AH162" s="440"/>
      <c r="AI162" s="440"/>
      <c r="AJ162" s="440"/>
    </row>
    <row r="163" spans="1:36" s="587" customFormat="1" ht="54.95" customHeight="1" thickBot="1" x14ac:dyDescent="0.25">
      <c r="A163" s="649"/>
      <c r="B163" s="455" t="s">
        <v>972</v>
      </c>
      <c r="C163" s="494" t="s">
        <v>6051</v>
      </c>
      <c r="D163" s="456" t="s">
        <v>6052</v>
      </c>
      <c r="E163" s="456"/>
      <c r="F163" s="457" t="s">
        <v>6053</v>
      </c>
      <c r="G163" s="457" t="s">
        <v>1535</v>
      </c>
      <c r="H163" s="458">
        <v>234121.3</v>
      </c>
      <c r="I163" s="611" t="s">
        <v>6054</v>
      </c>
      <c r="J163" s="460">
        <v>41247</v>
      </c>
      <c r="K163" s="461">
        <f>+L163-J163</f>
        <v>202</v>
      </c>
      <c r="L163" s="462">
        <v>41449</v>
      </c>
      <c r="M163" s="611" t="s">
        <v>124</v>
      </c>
      <c r="N163" s="468" t="s">
        <v>1750</v>
      </c>
      <c r="O163" s="460">
        <v>41390</v>
      </c>
      <c r="P163" s="461">
        <f>IF(S163="","",+S163-L163)</f>
        <v>-42</v>
      </c>
      <c r="Q163" s="591" t="s">
        <v>6055</v>
      </c>
      <c r="R163" s="460">
        <v>41400</v>
      </c>
      <c r="S163" s="471">
        <v>41407</v>
      </c>
      <c r="T163" s="462">
        <v>41437</v>
      </c>
      <c r="U163" s="461">
        <f>IF(T163="","",+T163-J163)</f>
        <v>190</v>
      </c>
      <c r="V163" s="468" t="s">
        <v>6056</v>
      </c>
      <c r="W163" s="493" t="s">
        <v>2267</v>
      </c>
      <c r="X163" s="467"/>
      <c r="Y163" s="467"/>
      <c r="Z163" s="468" t="s">
        <v>6057</v>
      </c>
      <c r="AA163" s="456"/>
      <c r="AB163" s="460" t="s">
        <v>47</v>
      </c>
      <c r="AC163" s="634" t="s">
        <v>6058</v>
      </c>
      <c r="AD163" s="645" t="str">
        <f>IF(P163="","",IF(P163&lt;=0,"en término","atrasado"))</f>
        <v>en término</v>
      </c>
    </row>
    <row r="164" spans="1:36" s="587" customFormat="1" ht="54.95" customHeight="1" thickBot="1" x14ac:dyDescent="0.25">
      <c r="A164" s="649"/>
      <c r="B164" s="455" t="s">
        <v>972</v>
      </c>
      <c r="C164" s="494" t="s">
        <v>6051</v>
      </c>
      <c r="D164" s="456" t="s">
        <v>6052</v>
      </c>
      <c r="E164" s="456"/>
      <c r="F164" s="457" t="s">
        <v>6053</v>
      </c>
      <c r="G164" s="457" t="s">
        <v>1535</v>
      </c>
      <c r="H164" s="458">
        <v>48281.2</v>
      </c>
      <c r="I164" s="611" t="s">
        <v>6054</v>
      </c>
      <c r="J164" s="460">
        <v>41247</v>
      </c>
      <c r="K164" s="461">
        <f>+L164-J164</f>
        <v>202</v>
      </c>
      <c r="L164" s="462">
        <v>41449</v>
      </c>
      <c r="M164" s="611" t="s">
        <v>124</v>
      </c>
      <c r="N164" s="468" t="s">
        <v>1750</v>
      </c>
      <c r="O164" s="460">
        <v>41443</v>
      </c>
      <c r="P164" s="461">
        <f>IF(S164="","",+S164-L164)</f>
        <v>26</v>
      </c>
      <c r="Q164" s="461"/>
      <c r="R164" s="460">
        <v>41451</v>
      </c>
      <c r="S164" s="471">
        <v>41475</v>
      </c>
      <c r="T164" s="462">
        <f>+S164+21</f>
        <v>41496</v>
      </c>
      <c r="U164" s="461">
        <f>IF(T164="","",+T164-J164)</f>
        <v>249</v>
      </c>
      <c r="V164" s="468" t="s">
        <v>6059</v>
      </c>
      <c r="W164" s="493" t="s">
        <v>2302</v>
      </c>
      <c r="X164" s="467"/>
      <c r="Y164" s="467"/>
      <c r="Z164" s="468" t="s">
        <v>6060</v>
      </c>
      <c r="AA164" s="456"/>
      <c r="AB164" s="460" t="s">
        <v>47</v>
      </c>
      <c r="AC164" s="470" t="s">
        <v>6061</v>
      </c>
      <c r="AD164" s="645" t="str">
        <f>IF(P164="","",IF(P164&lt;=0,"en término","atrasado"))</f>
        <v>atrasado</v>
      </c>
    </row>
    <row r="167" spans="1:36" ht="12.75" x14ac:dyDescent="0.2">
      <c r="AA167" s="1">
        <v>2013</v>
      </c>
      <c r="AB167" s="1048"/>
    </row>
    <row r="168" spans="1:36" ht="12.75" x14ac:dyDescent="0.2">
      <c r="AA168" s="945" t="s">
        <v>813</v>
      </c>
      <c r="AB168" s="1048">
        <f>COUNTA(AD162:AD164)</f>
        <v>2</v>
      </c>
    </row>
    <row r="169" spans="1:36" ht="12.75" x14ac:dyDescent="0.2">
      <c r="AA169" s="945" t="s">
        <v>4709</v>
      </c>
      <c r="AB169" s="1048">
        <f>COUNTIF(AD162:AD164,"en término")</f>
        <v>1</v>
      </c>
    </row>
    <row r="170" spans="1:36" ht="12.75" x14ac:dyDescent="0.2">
      <c r="AA170" s="945" t="s">
        <v>817</v>
      </c>
      <c r="AB170" s="557">
        <f>+AB169/AB168</f>
        <v>0.5</v>
      </c>
    </row>
    <row r="174" spans="1:36" ht="12" thickBot="1" x14ac:dyDescent="0.25"/>
    <row r="175" spans="1:36" s="556" customFormat="1" ht="39.950000000000003" customHeight="1" thickBot="1" x14ac:dyDescent="0.4">
      <c r="B175" s="1654">
        <v>2014</v>
      </c>
      <c r="C175" s="1655"/>
      <c r="D175" s="1655"/>
      <c r="E175" s="1655"/>
      <c r="F175" s="1655"/>
      <c r="G175" s="1655"/>
      <c r="H175" s="1655"/>
      <c r="I175" s="1655"/>
      <c r="J175" s="1655"/>
      <c r="K175" s="1655"/>
      <c r="L175" s="1655"/>
      <c r="M175" s="1655"/>
      <c r="N175" s="1655"/>
      <c r="O175" s="1655"/>
      <c r="P175" s="1655"/>
      <c r="Q175" s="1655"/>
      <c r="R175" s="1655"/>
      <c r="S175" s="1655"/>
      <c r="T175" s="1655"/>
      <c r="U175" s="1655"/>
      <c r="V175" s="1655"/>
      <c r="W175" s="1655"/>
      <c r="X175" s="1655"/>
      <c r="Y175" s="1655"/>
      <c r="Z175" s="1655"/>
      <c r="AA175" s="1655"/>
      <c r="AB175" s="1655"/>
      <c r="AC175" s="1656"/>
      <c r="AD175" s="555"/>
    </row>
    <row r="176" spans="1:36" s="441" customFormat="1" ht="60" customHeight="1" thickBot="1" x14ac:dyDescent="0.25">
      <c r="A176" s="438"/>
      <c r="B176" s="451" t="s">
        <v>130</v>
      </c>
      <c r="C176" s="451" t="s">
        <v>4</v>
      </c>
      <c r="D176" s="451" t="s">
        <v>5</v>
      </c>
      <c r="E176" s="451" t="s">
        <v>6</v>
      </c>
      <c r="F176" s="451" t="s">
        <v>7</v>
      </c>
      <c r="G176" s="451" t="s">
        <v>8</v>
      </c>
      <c r="H176" s="453" t="s">
        <v>9</v>
      </c>
      <c r="I176" s="453" t="s">
        <v>10</v>
      </c>
      <c r="J176" s="451" t="s">
        <v>11</v>
      </c>
      <c r="K176" s="451" t="s">
        <v>12</v>
      </c>
      <c r="L176" s="451" t="s">
        <v>13</v>
      </c>
      <c r="M176" s="451" t="s">
        <v>14</v>
      </c>
      <c r="N176" s="451" t="s">
        <v>15</v>
      </c>
      <c r="O176" s="452" t="s">
        <v>16</v>
      </c>
      <c r="P176" s="454" t="s">
        <v>17</v>
      </c>
      <c r="Q176" s="451"/>
      <c r="R176" s="452"/>
      <c r="S176" s="451" t="s">
        <v>4659</v>
      </c>
      <c r="T176" s="451" t="s">
        <v>4660</v>
      </c>
      <c r="U176" s="452" t="s">
        <v>22</v>
      </c>
      <c r="V176" s="451" t="s">
        <v>131</v>
      </c>
      <c r="W176" s="451" t="s">
        <v>24</v>
      </c>
      <c r="X176" s="451" t="s">
        <v>132</v>
      </c>
      <c r="Y176" s="451" t="s">
        <v>26</v>
      </c>
      <c r="Z176" s="451" t="s">
        <v>27</v>
      </c>
      <c r="AA176" s="451" t="s">
        <v>28</v>
      </c>
      <c r="AB176" s="451" t="s">
        <v>29</v>
      </c>
      <c r="AC176" s="451" t="s">
        <v>30</v>
      </c>
      <c r="AD176" s="439"/>
      <c r="AE176" s="440"/>
      <c r="AF176" s="440"/>
      <c r="AG176" s="440"/>
      <c r="AH176" s="440"/>
      <c r="AI176" s="440"/>
      <c r="AJ176" s="440"/>
    </row>
    <row r="177" spans="1:36" s="587" customFormat="1" ht="54.95" customHeight="1" thickBot="1" x14ac:dyDescent="0.25">
      <c r="A177" s="649"/>
      <c r="B177" s="887" t="s">
        <v>972</v>
      </c>
      <c r="C177" s="911" t="s">
        <v>6051</v>
      </c>
      <c r="D177" s="888" t="s">
        <v>6062</v>
      </c>
      <c r="E177" s="888"/>
      <c r="F177" s="889" t="s">
        <v>6063</v>
      </c>
      <c r="G177" s="889" t="s">
        <v>1535</v>
      </c>
      <c r="H177" s="890">
        <v>217904.7</v>
      </c>
      <c r="I177" s="891" t="s">
        <v>6054</v>
      </c>
      <c r="J177" s="892">
        <v>41597</v>
      </c>
      <c r="K177" s="893">
        <f>+L177-J177</f>
        <v>153</v>
      </c>
      <c r="L177" s="894">
        <v>41750</v>
      </c>
      <c r="M177" s="891" t="s">
        <v>124</v>
      </c>
      <c r="N177" s="895" t="s">
        <v>42</v>
      </c>
      <c r="O177" s="892">
        <v>41799</v>
      </c>
      <c r="P177" s="893">
        <f>IF(S177="","",+S177-L177)</f>
        <v>60</v>
      </c>
      <c r="Q177" s="893" t="s">
        <v>6064</v>
      </c>
      <c r="R177" s="892">
        <v>41807</v>
      </c>
      <c r="S177" s="896">
        <v>41810</v>
      </c>
      <c r="T177" s="894">
        <v>41845</v>
      </c>
      <c r="U177" s="893">
        <f>IF(T177="","",+T177-J177)</f>
        <v>248</v>
      </c>
      <c r="V177" s="895" t="s">
        <v>6065</v>
      </c>
      <c r="W177" s="897" t="s">
        <v>2265</v>
      </c>
      <c r="X177" s="905"/>
      <c r="Y177" s="905"/>
      <c r="Z177" s="895">
        <v>5617640884</v>
      </c>
      <c r="AA177" s="888"/>
      <c r="AB177" s="892" t="s">
        <v>47</v>
      </c>
      <c r="AC177" s="899" t="s">
        <v>6066</v>
      </c>
      <c r="AD177" s="645" t="str">
        <f>IF(P177="","",IF(P177&lt;=0,"en término","atrasado"))</f>
        <v>atrasado</v>
      </c>
      <c r="AE177" s="468"/>
      <c r="AF177" s="468"/>
    </row>
    <row r="179" spans="1:36" ht="12.75" x14ac:dyDescent="0.2">
      <c r="AA179" s="1">
        <v>2014</v>
      </c>
      <c r="AB179" s="1048"/>
    </row>
    <row r="180" spans="1:36" ht="12.75" x14ac:dyDescent="0.2">
      <c r="AA180" s="945" t="s">
        <v>813</v>
      </c>
      <c r="AB180" s="1048">
        <f>COUNTA(AD175:AD177)</f>
        <v>1</v>
      </c>
    </row>
    <row r="181" spans="1:36" ht="12.75" x14ac:dyDescent="0.2">
      <c r="AA181" s="945" t="s">
        <v>4709</v>
      </c>
      <c r="AB181" s="1048">
        <f>COUNTIF(AD175:AD177,"en término")</f>
        <v>0</v>
      </c>
    </row>
    <row r="182" spans="1:36" ht="12.75" x14ac:dyDescent="0.2">
      <c r="AA182" s="945" t="s">
        <v>817</v>
      </c>
      <c r="AB182" s="557">
        <f>+AB181/AB180</f>
        <v>0</v>
      </c>
    </row>
    <row r="184" spans="1:36" ht="12" thickBot="1" x14ac:dyDescent="0.25"/>
    <row r="185" spans="1:36" s="556" customFormat="1" ht="39.950000000000003" customHeight="1" thickBot="1" x14ac:dyDescent="0.4">
      <c r="B185" s="1654">
        <v>2015</v>
      </c>
      <c r="C185" s="1655"/>
      <c r="D185" s="1655"/>
      <c r="E185" s="1655"/>
      <c r="F185" s="1655"/>
      <c r="G185" s="1655"/>
      <c r="H185" s="1655"/>
      <c r="I185" s="1655"/>
      <c r="J185" s="1655"/>
      <c r="K185" s="1655"/>
      <c r="L185" s="1655"/>
      <c r="M185" s="1655"/>
      <c r="N185" s="1655"/>
      <c r="O185" s="1655"/>
      <c r="P185" s="1655"/>
      <c r="Q185" s="1655"/>
      <c r="R185" s="1655"/>
      <c r="S185" s="1655"/>
      <c r="T185" s="1655"/>
      <c r="U185" s="1655"/>
      <c r="V185" s="1655"/>
      <c r="W185" s="1655"/>
      <c r="X185" s="1655"/>
      <c r="Y185" s="1655"/>
      <c r="Z185" s="1655"/>
      <c r="AA185" s="1655"/>
      <c r="AB185" s="1655"/>
      <c r="AC185" s="1656"/>
      <c r="AD185" s="555"/>
    </row>
    <row r="186" spans="1:36" s="441" customFormat="1" ht="60" customHeight="1" thickBot="1" x14ac:dyDescent="0.25">
      <c r="A186" s="438"/>
      <c r="B186" s="451" t="s">
        <v>130</v>
      </c>
      <c r="C186" s="451" t="s">
        <v>4</v>
      </c>
      <c r="D186" s="451" t="s">
        <v>5</v>
      </c>
      <c r="E186" s="451" t="s">
        <v>6</v>
      </c>
      <c r="F186" s="451" t="s">
        <v>7</v>
      </c>
      <c r="G186" s="451" t="s">
        <v>8</v>
      </c>
      <c r="H186" s="453" t="s">
        <v>9</v>
      </c>
      <c r="I186" s="453" t="s">
        <v>10</v>
      </c>
      <c r="J186" s="451" t="s">
        <v>11</v>
      </c>
      <c r="K186" s="451" t="s">
        <v>12</v>
      </c>
      <c r="L186" s="451" t="s">
        <v>13</v>
      </c>
      <c r="M186" s="451" t="s">
        <v>14</v>
      </c>
      <c r="N186" s="451" t="s">
        <v>15</v>
      </c>
      <c r="O186" s="452" t="s">
        <v>16</v>
      </c>
      <c r="P186" s="454" t="s">
        <v>17</v>
      </c>
      <c r="Q186" s="451"/>
      <c r="R186" s="452"/>
      <c r="S186" s="451" t="s">
        <v>4659</v>
      </c>
      <c r="T186" s="451" t="s">
        <v>4660</v>
      </c>
      <c r="U186" s="452" t="s">
        <v>22</v>
      </c>
      <c r="V186" s="451" t="s">
        <v>131</v>
      </c>
      <c r="W186" s="451" t="s">
        <v>24</v>
      </c>
      <c r="X186" s="451" t="s">
        <v>132</v>
      </c>
      <c r="Y186" s="451" t="s">
        <v>26</v>
      </c>
      <c r="Z186" s="451" t="s">
        <v>27</v>
      </c>
      <c r="AA186" s="451" t="s">
        <v>28</v>
      </c>
      <c r="AB186" s="451" t="s">
        <v>29</v>
      </c>
      <c r="AC186" s="451" t="s">
        <v>30</v>
      </c>
      <c r="AD186" s="439"/>
      <c r="AE186" s="440"/>
      <c r="AF186" s="440"/>
      <c r="AG186" s="440"/>
      <c r="AH186" s="440"/>
      <c r="AI186" s="440"/>
      <c r="AJ186" s="440"/>
    </row>
    <row r="187" spans="1:36" s="587" customFormat="1" ht="54.95" customHeight="1" thickBot="1" x14ac:dyDescent="0.25">
      <c r="A187" s="649"/>
      <c r="B187" s="887" t="s">
        <v>972</v>
      </c>
      <c r="C187" s="911" t="s">
        <v>6051</v>
      </c>
      <c r="D187" s="888" t="s">
        <v>6067</v>
      </c>
      <c r="E187" s="888"/>
      <c r="F187" s="889" t="s">
        <v>6068</v>
      </c>
      <c r="G187" s="889" t="s">
        <v>1535</v>
      </c>
      <c r="H187" s="890">
        <v>397840</v>
      </c>
      <c r="I187" s="891" t="s">
        <v>6054</v>
      </c>
      <c r="J187" s="892">
        <v>41947</v>
      </c>
      <c r="K187" s="893">
        <v>120</v>
      </c>
      <c r="L187" s="894">
        <f>+J187+K187</f>
        <v>42067</v>
      </c>
      <c r="M187" s="891" t="s">
        <v>124</v>
      </c>
      <c r="N187" s="895" t="s">
        <v>42</v>
      </c>
      <c r="O187" s="892">
        <v>42083</v>
      </c>
      <c r="P187" s="893">
        <f>IF(S187="","",+S187-L187)</f>
        <v>34</v>
      </c>
      <c r="Q187" s="893" t="s">
        <v>6069</v>
      </c>
      <c r="R187" s="892">
        <v>42095</v>
      </c>
      <c r="S187" s="896">
        <v>42101</v>
      </c>
      <c r="T187" s="894">
        <v>42132</v>
      </c>
      <c r="U187" s="893">
        <f>IF(T187="","",+T187-J187)</f>
        <v>185</v>
      </c>
      <c r="V187" s="895" t="s">
        <v>6065</v>
      </c>
      <c r="W187" s="897" t="s">
        <v>2415</v>
      </c>
      <c r="X187" s="905"/>
      <c r="Y187" s="905"/>
      <c r="Z187" s="895" t="s">
        <v>6070</v>
      </c>
      <c r="AA187" s="888"/>
      <c r="AB187" s="892" t="s">
        <v>47</v>
      </c>
      <c r="AC187" s="899" t="s">
        <v>6071</v>
      </c>
      <c r="AD187" s="645" t="str">
        <f>IF(P187="","",IF(P187&lt;=0,"en término","atrasado"))</f>
        <v>atrasado</v>
      </c>
      <c r="AE187" s="468"/>
      <c r="AF187" s="468" t="s">
        <v>6072</v>
      </c>
    </row>
    <row r="188" spans="1:36" s="587" customFormat="1" ht="54.95" customHeight="1" thickBot="1" x14ac:dyDescent="0.25">
      <c r="A188" s="649"/>
      <c r="B188" s="887" t="s">
        <v>972</v>
      </c>
      <c r="C188" s="911" t="s">
        <v>6073</v>
      </c>
      <c r="D188" s="888" t="s">
        <v>6074</v>
      </c>
      <c r="E188" s="888"/>
      <c r="F188" s="889">
        <v>9624</v>
      </c>
      <c r="G188" s="889" t="s">
        <v>4633</v>
      </c>
      <c r="H188" s="890">
        <v>5021</v>
      </c>
      <c r="I188" s="891" t="s">
        <v>6075</v>
      </c>
      <c r="J188" s="892">
        <v>42200</v>
      </c>
      <c r="K188" s="893">
        <v>90</v>
      </c>
      <c r="L188" s="894">
        <f>+J188+K188</f>
        <v>42290</v>
      </c>
      <c r="M188" s="891" t="s">
        <v>124</v>
      </c>
      <c r="N188" s="895" t="s">
        <v>110</v>
      </c>
      <c r="O188" s="892">
        <v>42269</v>
      </c>
      <c r="P188" s="893">
        <f>IF(S188="","",+S188-L188)</f>
        <v>-11</v>
      </c>
      <c r="Q188" s="893"/>
      <c r="R188" s="892">
        <v>42275</v>
      </c>
      <c r="S188" s="896">
        <v>42279</v>
      </c>
      <c r="T188" s="894">
        <v>42286</v>
      </c>
      <c r="U188" s="893">
        <f>IF(T188="","",+T188-J188)</f>
        <v>86</v>
      </c>
      <c r="V188" s="895" t="s">
        <v>2183</v>
      </c>
      <c r="W188" s="897" t="s">
        <v>2227</v>
      </c>
      <c r="X188" s="905"/>
      <c r="Y188" s="905"/>
      <c r="Z188" s="895"/>
      <c r="AA188" s="888"/>
      <c r="AB188" s="892" t="s">
        <v>47</v>
      </c>
      <c r="AC188" s="899" t="s">
        <v>6076</v>
      </c>
      <c r="AD188" s="645" t="str">
        <f>IF(P188="","",IF(P188&lt;=0,"en término","atrasado"))</f>
        <v>en término</v>
      </c>
      <c r="AE188" s="468" t="s">
        <v>6077</v>
      </c>
      <c r="AF188" s="468"/>
    </row>
    <row r="191" spans="1:36" ht="12.75" x14ac:dyDescent="0.2">
      <c r="AA191" s="1">
        <v>2015</v>
      </c>
      <c r="AB191" s="1048"/>
    </row>
    <row r="192" spans="1:36" ht="12.75" x14ac:dyDescent="0.2">
      <c r="AA192" s="945" t="s">
        <v>813</v>
      </c>
      <c r="AB192" s="1048">
        <f>COUNTA(AD186:AD189)</f>
        <v>2</v>
      </c>
    </row>
    <row r="193" spans="1:36" ht="12.75" x14ac:dyDescent="0.2">
      <c r="AA193" s="945" t="s">
        <v>4709</v>
      </c>
      <c r="AB193" s="1048">
        <f>COUNTIF(AD186:AD189,"en término")</f>
        <v>1</v>
      </c>
    </row>
    <row r="194" spans="1:36" ht="12.75" x14ac:dyDescent="0.2">
      <c r="AA194" s="945" t="s">
        <v>817</v>
      </c>
      <c r="AB194" s="557">
        <f>+AB193/AB192</f>
        <v>0.5</v>
      </c>
    </row>
    <row r="195" spans="1:36" ht="12.75" x14ac:dyDescent="0.2">
      <c r="AA195" s="945"/>
      <c r="AB195" s="557"/>
    </row>
    <row r="196" spans="1:36" ht="12" thickBot="1" x14ac:dyDescent="0.25"/>
    <row r="197" spans="1:36" s="556" customFormat="1" ht="39.950000000000003" customHeight="1" thickBot="1" x14ac:dyDescent="0.4">
      <c r="B197" s="1654">
        <v>2017</v>
      </c>
      <c r="C197" s="1655"/>
      <c r="D197" s="1655"/>
      <c r="E197" s="1655"/>
      <c r="F197" s="1655"/>
      <c r="G197" s="1655"/>
      <c r="H197" s="1655"/>
      <c r="I197" s="1655"/>
      <c r="J197" s="1655"/>
      <c r="K197" s="1655"/>
      <c r="L197" s="1655"/>
      <c r="M197" s="1655"/>
      <c r="N197" s="1655"/>
      <c r="O197" s="1655"/>
      <c r="P197" s="1655"/>
      <c r="Q197" s="1655"/>
      <c r="R197" s="1655"/>
      <c r="S197" s="1655"/>
      <c r="T197" s="1655"/>
      <c r="U197" s="1655"/>
      <c r="V197" s="1655"/>
      <c r="W197" s="1655"/>
      <c r="X197" s="1655"/>
      <c r="Y197" s="1655"/>
      <c r="Z197" s="1655"/>
      <c r="AA197" s="1655"/>
      <c r="AB197" s="1655"/>
      <c r="AC197" s="1656"/>
      <c r="AD197" s="555"/>
    </row>
    <row r="198" spans="1:36" s="441" customFormat="1" ht="60" customHeight="1" thickBot="1" x14ac:dyDescent="0.25">
      <c r="A198" s="438"/>
      <c r="B198" s="451" t="s">
        <v>130</v>
      </c>
      <c r="C198" s="451" t="s">
        <v>4</v>
      </c>
      <c r="D198" s="451" t="s">
        <v>5</v>
      </c>
      <c r="E198" s="451" t="s">
        <v>6</v>
      </c>
      <c r="F198" s="451" t="s">
        <v>7</v>
      </c>
      <c r="G198" s="451" t="s">
        <v>8</v>
      </c>
      <c r="H198" s="453" t="s">
        <v>9</v>
      </c>
      <c r="I198" s="453" t="s">
        <v>10</v>
      </c>
      <c r="J198" s="451" t="s">
        <v>11</v>
      </c>
      <c r="K198" s="451" t="s">
        <v>12</v>
      </c>
      <c r="L198" s="451" t="s">
        <v>13</v>
      </c>
      <c r="M198" s="451" t="s">
        <v>14</v>
      </c>
      <c r="N198" s="451" t="s">
        <v>15</v>
      </c>
      <c r="O198" s="452" t="s">
        <v>16</v>
      </c>
      <c r="P198" s="454" t="s">
        <v>17</v>
      </c>
      <c r="Q198" s="451"/>
      <c r="R198" s="452"/>
      <c r="S198" s="451" t="s">
        <v>4659</v>
      </c>
      <c r="T198" s="451" t="s">
        <v>4660</v>
      </c>
      <c r="U198" s="452" t="s">
        <v>22</v>
      </c>
      <c r="V198" s="451" t="s">
        <v>131</v>
      </c>
      <c r="W198" s="451" t="s">
        <v>24</v>
      </c>
      <c r="X198" s="451" t="s">
        <v>132</v>
      </c>
      <c r="Y198" s="451" t="s">
        <v>26</v>
      </c>
      <c r="Z198" s="451" t="s">
        <v>27</v>
      </c>
      <c r="AA198" s="451" t="s">
        <v>28</v>
      </c>
      <c r="AB198" s="451" t="s">
        <v>29</v>
      </c>
      <c r="AC198" s="451" t="s">
        <v>30</v>
      </c>
      <c r="AD198" s="439"/>
      <c r="AE198" s="440"/>
      <c r="AF198" s="440"/>
      <c r="AG198" s="440"/>
      <c r="AH198" s="440"/>
      <c r="AI198" s="440"/>
      <c r="AJ198" s="440"/>
    </row>
    <row r="199" spans="1:36" s="649" customFormat="1" ht="54.95" customHeight="1" thickBot="1" x14ac:dyDescent="0.25">
      <c r="B199" s="1022" t="s">
        <v>972</v>
      </c>
      <c r="C199" s="1022" t="s">
        <v>6078</v>
      </c>
      <c r="D199" s="901" t="s">
        <v>6079</v>
      </c>
      <c r="E199" s="901"/>
      <c r="F199" s="913" t="s">
        <v>6080</v>
      </c>
      <c r="G199" s="889" t="s">
        <v>39</v>
      </c>
      <c r="H199" s="890">
        <v>6183.8</v>
      </c>
      <c r="I199" s="902"/>
      <c r="J199" s="892">
        <v>42759</v>
      </c>
      <c r="K199" s="893">
        <v>90</v>
      </c>
      <c r="L199" s="892">
        <f>+J199+K199</f>
        <v>42849</v>
      </c>
      <c r="M199" s="892" t="s">
        <v>6081</v>
      </c>
      <c r="N199" s="889" t="s">
        <v>465</v>
      </c>
      <c r="O199" s="892">
        <v>42836</v>
      </c>
      <c r="P199" s="893">
        <f>IF(S199="","",+S199-L199)</f>
        <v>-4</v>
      </c>
      <c r="Q199" s="901" t="s">
        <v>465</v>
      </c>
      <c r="R199" s="903"/>
      <c r="S199" s="904">
        <v>42845</v>
      </c>
      <c r="T199" s="894">
        <f>+S199+3</f>
        <v>42848</v>
      </c>
      <c r="U199" s="893">
        <f>IF(T199="","",+T199-J199)</f>
        <v>89</v>
      </c>
      <c r="V199" s="901" t="s">
        <v>5361</v>
      </c>
      <c r="W199" s="897" t="s">
        <v>2203</v>
      </c>
      <c r="X199" s="889"/>
      <c r="Y199" s="905"/>
      <c r="Z199" s="889">
        <v>5522342350</v>
      </c>
      <c r="AA199" s="889"/>
      <c r="AB199" s="892" t="s">
        <v>6082</v>
      </c>
      <c r="AC199" s="476" t="s">
        <v>6083</v>
      </c>
      <c r="AD199" s="645" t="str">
        <f>IF(P199="","",IF(P199&lt;=0,"en término","atrasado"))</f>
        <v>en término</v>
      </c>
      <c r="AE199" s="468" t="s">
        <v>6084</v>
      </c>
      <c r="AF199" s="468" t="s">
        <v>2929</v>
      </c>
    </row>
    <row r="206" spans="1:36" ht="12" thickBot="1" x14ac:dyDescent="0.25"/>
    <row r="207" spans="1:36" s="556" customFormat="1" ht="39.950000000000003" customHeight="1" thickBot="1" x14ac:dyDescent="0.4">
      <c r="B207" s="1654">
        <v>2024</v>
      </c>
      <c r="C207" s="1655"/>
      <c r="D207" s="1655"/>
      <c r="E207" s="1655"/>
      <c r="F207" s="1655"/>
      <c r="G207" s="1655"/>
      <c r="H207" s="1655"/>
      <c r="I207" s="1655"/>
      <c r="J207" s="1655"/>
      <c r="K207" s="1655"/>
      <c r="L207" s="1655"/>
      <c r="M207" s="1655"/>
      <c r="N207" s="1655"/>
      <c r="O207" s="1655"/>
      <c r="P207" s="1655"/>
      <c r="Q207" s="1655"/>
      <c r="R207" s="1655"/>
      <c r="S207" s="1655"/>
      <c r="T207" s="1655"/>
      <c r="U207" s="1655"/>
      <c r="V207" s="1655"/>
      <c r="W207" s="1655"/>
      <c r="X207" s="1655"/>
      <c r="Y207" s="1655"/>
      <c r="Z207" s="1655"/>
      <c r="AA207" s="1655"/>
      <c r="AB207" s="1655"/>
      <c r="AC207" s="1656"/>
      <c r="AD207" s="555"/>
    </row>
    <row r="208" spans="1:36" s="441" customFormat="1" ht="60" customHeight="1" thickBot="1" x14ac:dyDescent="0.25">
      <c r="A208" s="438"/>
      <c r="B208" s="451" t="s">
        <v>130</v>
      </c>
      <c r="C208" s="451" t="s">
        <v>4</v>
      </c>
      <c r="D208" s="451" t="s">
        <v>5</v>
      </c>
      <c r="E208" s="451" t="s">
        <v>6</v>
      </c>
      <c r="F208" s="451" t="s">
        <v>7</v>
      </c>
      <c r="G208" s="451" t="s">
        <v>8</v>
      </c>
      <c r="H208" s="453" t="s">
        <v>9</v>
      </c>
      <c r="I208" s="453" t="s">
        <v>10</v>
      </c>
      <c r="J208" s="451" t="s">
        <v>11</v>
      </c>
      <c r="K208" s="451" t="s">
        <v>12</v>
      </c>
      <c r="L208" s="451" t="s">
        <v>13</v>
      </c>
      <c r="M208" s="451" t="s">
        <v>14</v>
      </c>
      <c r="N208" s="451" t="s">
        <v>15</v>
      </c>
      <c r="O208" s="452" t="s">
        <v>16</v>
      </c>
      <c r="P208" s="454" t="s">
        <v>17</v>
      </c>
      <c r="Q208" s="451"/>
      <c r="R208" s="452"/>
      <c r="S208" s="451" t="s">
        <v>4659</v>
      </c>
      <c r="T208" s="451" t="s">
        <v>4660</v>
      </c>
      <c r="U208" s="452" t="s">
        <v>22</v>
      </c>
      <c r="V208" s="451" t="s">
        <v>131</v>
      </c>
      <c r="W208" s="451" t="s">
        <v>24</v>
      </c>
      <c r="X208" s="451" t="s">
        <v>132</v>
      </c>
      <c r="Y208" s="451" t="s">
        <v>26</v>
      </c>
      <c r="Z208" s="451" t="s">
        <v>27</v>
      </c>
      <c r="AA208" s="451" t="s">
        <v>28</v>
      </c>
      <c r="AB208" s="451" t="s">
        <v>29</v>
      </c>
      <c r="AC208" s="451" t="s">
        <v>30</v>
      </c>
      <c r="AD208" s="439"/>
      <c r="AE208" s="440"/>
      <c r="AF208" s="440"/>
      <c r="AG208" s="440"/>
      <c r="AH208" s="440"/>
      <c r="AI208" s="440"/>
      <c r="AJ208" s="440"/>
    </row>
    <row r="209" spans="2:32" s="649" customFormat="1" ht="54.95" customHeight="1" thickBot="1" x14ac:dyDescent="0.25">
      <c r="B209" s="1022" t="s">
        <v>972</v>
      </c>
      <c r="C209" s="1022" t="s">
        <v>8088</v>
      </c>
      <c r="D209" s="901" t="s">
        <v>8089</v>
      </c>
      <c r="E209" s="901"/>
      <c r="F209" s="1563">
        <v>77071</v>
      </c>
      <c r="G209" s="889" t="s">
        <v>39</v>
      </c>
      <c r="H209" s="1291">
        <v>14926</v>
      </c>
      <c r="I209" s="902"/>
      <c r="J209" s="892">
        <v>45246</v>
      </c>
      <c r="K209" s="893">
        <f>+L209-J209</f>
        <v>67</v>
      </c>
      <c r="L209" s="892">
        <v>45313</v>
      </c>
      <c r="M209" s="892" t="s">
        <v>8090</v>
      </c>
      <c r="N209" s="889" t="s">
        <v>4666</v>
      </c>
      <c r="O209" s="903">
        <v>45303</v>
      </c>
      <c r="P209" s="893">
        <f>IF(O209="","",+O209-L209)</f>
        <v>-10</v>
      </c>
      <c r="Q209" s="901"/>
      <c r="R209" s="903"/>
      <c r="S209" s="904">
        <v>45329</v>
      </c>
      <c r="T209" s="904">
        <f>+S209+5</f>
        <v>45334</v>
      </c>
      <c r="U209" s="893">
        <f>IF(T209="","",+T209-J209)</f>
        <v>88</v>
      </c>
      <c r="V209" s="901" t="s">
        <v>2183</v>
      </c>
      <c r="W209" s="1106" t="s">
        <v>8117</v>
      </c>
      <c r="X209" s="905"/>
      <c r="Y209" s="905"/>
      <c r="Z209" s="889"/>
      <c r="AA209" s="889"/>
      <c r="AB209" s="892" t="s">
        <v>6082</v>
      </c>
      <c r="AC209" s="476" t="s">
        <v>8113</v>
      </c>
      <c r="AD209" s="645" t="str">
        <f>IF(P209="","",IF(P209&lt;=0,"en término","atrasado"))</f>
        <v>en término</v>
      </c>
      <c r="AE209" s="468" t="s">
        <v>8116</v>
      </c>
      <c r="AF209" s="468" t="s">
        <v>2968</v>
      </c>
    </row>
  </sheetData>
  <customSheetViews>
    <customSheetView guid="{4C4B61E0-A90E-11D1-A823-006097B607DD}" showPageBreaks="1" showRuler="0">
      <pageMargins left="0" right="0" top="0" bottom="0" header="0" footer="0"/>
      <printOptions gridLines="1"/>
      <pageSetup orientation="portrait" horizontalDpi="300" verticalDpi="300" r:id="rId1"/>
      <headerFooter alignWithMargins="0">
        <oddHeader>&amp;A</oddHeader>
        <oddFooter>Página &amp;P</oddFooter>
      </headerFooter>
    </customSheetView>
  </customSheetViews>
  <mergeCells count="17">
    <mergeCell ref="B3:AC3"/>
    <mergeCell ref="B29:AC29"/>
    <mergeCell ref="B45:AC45"/>
    <mergeCell ref="B128:AC128"/>
    <mergeCell ref="V99:V100"/>
    <mergeCell ref="V90:V91"/>
    <mergeCell ref="B207:AC207"/>
    <mergeCell ref="B72:AC72"/>
    <mergeCell ref="B95:AC95"/>
    <mergeCell ref="Z146:Z147"/>
    <mergeCell ref="B161:AC161"/>
    <mergeCell ref="B197:AC197"/>
    <mergeCell ref="B185:AC185"/>
    <mergeCell ref="B143:AC143"/>
    <mergeCell ref="H131:H134"/>
    <mergeCell ref="AC148:AC151"/>
    <mergeCell ref="B175:AC175"/>
  </mergeCells>
  <phoneticPr fontId="0" type="noConversion"/>
  <printOptions horizontalCentered="1"/>
  <pageMargins left="0.19685039370078741" right="0.38" top="0.41" bottom="0.55118110236220474" header="0.51181102362204722" footer="0.19685039370078741"/>
  <pageSetup paperSize="5" scale="37" orientation="landscape" r:id="rId2"/>
  <headerFooter alignWithMargins="0">
    <oddFooter>&amp;LBNDF 3.1085 Rev. _ 3/11/00&amp;CINFORME O/C ENTREGADAS
- &amp;D&amp;R&amp;"Tahoma,Normal"&amp;9U.S.A.  &amp;P de &amp;N</oddFooter>
  </headerFooter>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0"/>
  <dimension ref="A1:AJ82"/>
  <sheetViews>
    <sheetView topLeftCell="F60"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6" customHeight="1" x14ac:dyDescent="0.2"/>
    <row r="5" spans="1:36" ht="12" thickBot="1" x14ac:dyDescent="0.25"/>
    <row r="6" spans="1:36" s="556" customFormat="1" ht="39.950000000000003" customHeight="1" thickBot="1" x14ac:dyDescent="0.4">
      <c r="B6" s="1611">
        <v>2002</v>
      </c>
      <c r="C6" s="1612"/>
      <c r="D6" s="1612"/>
      <c r="E6" s="1612"/>
      <c r="F6" s="1612"/>
      <c r="G6" s="1612"/>
      <c r="H6" s="1612"/>
      <c r="I6" s="1612"/>
      <c r="J6" s="1612"/>
      <c r="K6" s="1612"/>
      <c r="L6" s="1612"/>
      <c r="M6" s="1612"/>
      <c r="N6" s="1612"/>
      <c r="O6" s="1612"/>
      <c r="P6" s="1612"/>
      <c r="Q6" s="1612"/>
      <c r="R6" s="1612"/>
      <c r="S6" s="1612"/>
      <c r="T6" s="1612"/>
      <c r="U6" s="1612"/>
      <c r="V6" s="1612"/>
      <c r="W6" s="1612"/>
      <c r="X6" s="1612"/>
      <c r="Y6" s="1612"/>
      <c r="Z6" s="1612"/>
      <c r="AA6" s="1612"/>
      <c r="AB6" s="1612"/>
      <c r="AC6" s="1613"/>
    </row>
    <row r="7" spans="1:36" s="441" customFormat="1" ht="60" customHeight="1" thickBot="1" x14ac:dyDescent="0.25">
      <c r="A7" s="438"/>
      <c r="B7" s="451" t="s">
        <v>130</v>
      </c>
      <c r="C7" s="451" t="s">
        <v>4</v>
      </c>
      <c r="D7" s="451" t="s">
        <v>5</v>
      </c>
      <c r="E7" s="451" t="s">
        <v>6</v>
      </c>
      <c r="F7" s="451" t="s">
        <v>7</v>
      </c>
      <c r="G7" s="451" t="s">
        <v>8</v>
      </c>
      <c r="H7" s="453" t="s">
        <v>9</v>
      </c>
      <c r="I7" s="453" t="s">
        <v>10</v>
      </c>
      <c r="J7" s="451" t="s">
        <v>11</v>
      </c>
      <c r="K7" s="451" t="s">
        <v>12</v>
      </c>
      <c r="L7" s="451" t="s">
        <v>13</v>
      </c>
      <c r="M7" s="451" t="s">
        <v>14</v>
      </c>
      <c r="N7" s="451" t="s">
        <v>15</v>
      </c>
      <c r="O7" s="452" t="s">
        <v>16</v>
      </c>
      <c r="P7" s="454" t="s">
        <v>17</v>
      </c>
      <c r="Q7" s="451"/>
      <c r="R7" s="452"/>
      <c r="S7" s="451" t="s">
        <v>4659</v>
      </c>
      <c r="T7" s="451" t="s">
        <v>4660</v>
      </c>
      <c r="U7" s="452" t="s">
        <v>22</v>
      </c>
      <c r="V7" s="451" t="s">
        <v>131</v>
      </c>
      <c r="W7" s="451" t="s">
        <v>24</v>
      </c>
      <c r="X7" s="451" t="s">
        <v>132</v>
      </c>
      <c r="Y7" s="451" t="s">
        <v>26</v>
      </c>
      <c r="Z7" s="451" t="s">
        <v>27</v>
      </c>
      <c r="AA7" s="451" t="s">
        <v>28</v>
      </c>
      <c r="AB7" s="451" t="s">
        <v>29</v>
      </c>
      <c r="AC7" s="451" t="s">
        <v>30</v>
      </c>
      <c r="AD7" s="439"/>
      <c r="AE7" s="440"/>
      <c r="AF7" s="440"/>
      <c r="AG7" s="440"/>
      <c r="AH7" s="440"/>
      <c r="AI7" s="440"/>
      <c r="AJ7" s="440"/>
    </row>
    <row r="8" spans="1:36" s="76" customFormat="1" x14ac:dyDescent="0.2">
      <c r="B8" s="314"/>
      <c r="C8" s="11"/>
      <c r="D8" s="12"/>
      <c r="E8" s="12"/>
      <c r="F8" s="12"/>
      <c r="G8" s="12"/>
      <c r="H8" s="504"/>
      <c r="I8" s="14"/>
      <c r="J8" s="12"/>
      <c r="K8" s="12"/>
      <c r="L8" s="15"/>
      <c r="M8" s="12"/>
      <c r="N8" s="12"/>
      <c r="O8" s="12"/>
      <c r="P8" s="12"/>
      <c r="Q8" s="12"/>
      <c r="R8" s="12"/>
      <c r="S8" s="141"/>
      <c r="T8" s="15" t="s">
        <v>6085</v>
      </c>
      <c r="U8" s="15"/>
      <c r="V8" s="12"/>
      <c r="W8" s="80"/>
      <c r="X8" s="82"/>
      <c r="Y8" s="82"/>
      <c r="Z8" s="80"/>
      <c r="AA8" s="80"/>
      <c r="AB8" s="80"/>
      <c r="AC8" s="80"/>
    </row>
    <row r="9" spans="1:36" s="76" customFormat="1" x14ac:dyDescent="0.2">
      <c r="B9" s="312" t="s">
        <v>6086</v>
      </c>
      <c r="C9" s="16" t="s">
        <v>6087</v>
      </c>
      <c r="D9" s="6" t="s">
        <v>6088</v>
      </c>
      <c r="E9" s="6"/>
      <c r="F9" s="6" t="s">
        <v>6089</v>
      </c>
      <c r="G9" s="6"/>
      <c r="H9" s="17">
        <v>5495</v>
      </c>
      <c r="I9" s="39"/>
      <c r="J9" s="7">
        <v>37435</v>
      </c>
      <c r="K9" s="7"/>
      <c r="L9" s="23">
        <f>30+J9</f>
        <v>37465</v>
      </c>
      <c r="M9" s="18" t="s">
        <v>5104</v>
      </c>
      <c r="N9" s="6" t="s">
        <v>42</v>
      </c>
      <c r="O9" s="6"/>
      <c r="P9" s="6"/>
      <c r="Q9" s="6"/>
      <c r="R9" s="6"/>
      <c r="S9" s="23">
        <v>37465</v>
      </c>
      <c r="T9" s="23">
        <v>37478</v>
      </c>
      <c r="U9" s="23"/>
      <c r="V9" s="6" t="s">
        <v>4183</v>
      </c>
      <c r="W9" s="70">
        <v>806</v>
      </c>
      <c r="X9" s="75"/>
      <c r="Y9" s="75"/>
      <c r="Z9" s="6">
        <v>6554881270</v>
      </c>
      <c r="AA9" s="74"/>
      <c r="AB9" s="70" t="s">
        <v>47</v>
      </c>
      <c r="AC9" s="70"/>
      <c r="AD9" s="10" t="str">
        <f>IF(T9&lt;=L9,"en término","atrasado")</f>
        <v>atrasado</v>
      </c>
    </row>
    <row r="10" spans="1:36" s="76" customFormat="1" ht="12" thickBot="1" x14ac:dyDescent="0.25">
      <c r="B10" s="313"/>
      <c r="C10" s="19"/>
      <c r="D10" s="5"/>
      <c r="E10" s="5"/>
      <c r="F10" s="5"/>
      <c r="G10" s="5"/>
      <c r="H10" s="20"/>
      <c r="I10" s="21"/>
      <c r="J10" s="5"/>
      <c r="K10" s="5"/>
      <c r="L10" s="127"/>
      <c r="M10" s="5"/>
      <c r="N10" s="5"/>
      <c r="O10" s="5"/>
      <c r="P10" s="5"/>
      <c r="Q10" s="5"/>
      <c r="R10" s="5"/>
      <c r="S10" s="127"/>
      <c r="T10" s="22" t="s">
        <v>6090</v>
      </c>
      <c r="U10" s="22"/>
      <c r="V10" s="224" t="s">
        <v>6091</v>
      </c>
      <c r="W10" s="87"/>
      <c r="X10" s="90"/>
      <c r="Y10" s="90"/>
      <c r="Z10" s="87"/>
      <c r="AA10" s="87"/>
      <c r="AB10" s="87"/>
      <c r="AC10" s="87"/>
    </row>
    <row r="11" spans="1:36" s="98" customFormat="1" x14ac:dyDescent="0.2">
      <c r="B11" s="315"/>
      <c r="C11" s="28"/>
      <c r="D11" s="30"/>
      <c r="E11" s="30"/>
      <c r="F11" s="30"/>
      <c r="G11" s="30"/>
      <c r="H11" s="33"/>
      <c r="I11" s="31"/>
      <c r="J11" s="30"/>
      <c r="K11" s="30"/>
      <c r="L11" s="140"/>
      <c r="M11" s="30"/>
      <c r="N11" s="30"/>
      <c r="O11" s="30"/>
      <c r="P11" s="30"/>
      <c r="Q11" s="30"/>
      <c r="R11" s="30"/>
      <c r="S11" s="140"/>
      <c r="T11" s="32"/>
      <c r="U11" s="32"/>
      <c r="V11" s="226"/>
      <c r="W11" s="99"/>
      <c r="X11" s="99"/>
      <c r="Y11" s="99"/>
      <c r="Z11" s="99"/>
      <c r="AA11" s="99"/>
      <c r="AB11" s="99"/>
      <c r="AC11" s="99"/>
    </row>
    <row r="12" spans="1:36" s="76" customFormat="1" ht="12.75" x14ac:dyDescent="0.2">
      <c r="B12" s="315"/>
      <c r="C12" s="28"/>
      <c r="D12" s="30"/>
      <c r="E12" s="30"/>
      <c r="F12" s="30"/>
      <c r="G12" s="30"/>
      <c r="H12" s="33"/>
      <c r="I12" s="31"/>
      <c r="J12" s="30"/>
      <c r="K12" s="30"/>
      <c r="L12" s="140"/>
      <c r="M12" s="30"/>
      <c r="N12" s="30"/>
      <c r="O12" s="30"/>
      <c r="P12" s="30"/>
      <c r="Q12" s="30"/>
      <c r="R12" s="30"/>
      <c r="S12" s="219"/>
      <c r="T12" s="241"/>
      <c r="U12" s="241"/>
      <c r="V12" s="226"/>
      <c r="W12" s="99"/>
      <c r="X12" s="99"/>
      <c r="Y12" s="99"/>
      <c r="Z12" s="120"/>
      <c r="AA12" s="568">
        <v>2002</v>
      </c>
      <c r="AB12" s="569"/>
      <c r="AC12" s="99"/>
    </row>
    <row r="13" spans="1:36" s="76" customFormat="1" ht="12.75" x14ac:dyDescent="0.2">
      <c r="B13" s="315"/>
      <c r="C13" s="28"/>
      <c r="D13" s="30"/>
      <c r="E13" s="30"/>
      <c r="F13" s="30"/>
      <c r="G13" s="30"/>
      <c r="H13" s="33"/>
      <c r="I13" s="31"/>
      <c r="J13" s="30"/>
      <c r="K13" s="30"/>
      <c r="L13" s="140"/>
      <c r="M13" s="30"/>
      <c r="N13" s="30"/>
      <c r="O13" s="30"/>
      <c r="P13" s="30"/>
      <c r="Q13" s="30"/>
      <c r="R13" s="30"/>
      <c r="S13" s="219"/>
      <c r="T13" s="241"/>
      <c r="U13" s="241"/>
      <c r="V13" s="226"/>
      <c r="W13" s="99"/>
      <c r="X13" s="99"/>
      <c r="Y13" s="99"/>
      <c r="Z13" s="120"/>
      <c r="AA13" s="945" t="s">
        <v>813</v>
      </c>
      <c r="AB13" s="1048">
        <f>COUNTA(AD6:AD10)</f>
        <v>1</v>
      </c>
    </row>
    <row r="14" spans="1:36" s="76" customFormat="1" ht="12.75" x14ac:dyDescent="0.2">
      <c r="B14" s="315"/>
      <c r="C14" s="28"/>
      <c r="D14" s="30"/>
      <c r="E14" s="30"/>
      <c r="F14" s="30"/>
      <c r="G14" s="30"/>
      <c r="H14" s="33"/>
      <c r="I14" s="31"/>
      <c r="J14" s="30"/>
      <c r="K14" s="30"/>
      <c r="L14" s="140"/>
      <c r="M14" s="30"/>
      <c r="N14" s="30"/>
      <c r="O14" s="30"/>
      <c r="P14" s="30"/>
      <c r="Q14" s="30"/>
      <c r="R14" s="30"/>
      <c r="S14" s="219"/>
      <c r="T14" s="241"/>
      <c r="U14" s="241"/>
      <c r="V14" s="226"/>
      <c r="W14" s="99"/>
      <c r="X14" s="99"/>
      <c r="Y14" s="99"/>
      <c r="Z14" s="120"/>
      <c r="AA14" s="945" t="s">
        <v>4709</v>
      </c>
      <c r="AB14" s="1048">
        <f>COUNTIF(AD6:AD10,"en término")</f>
        <v>0</v>
      </c>
    </row>
    <row r="15" spans="1:36" s="76" customFormat="1" ht="12.75" x14ac:dyDescent="0.2">
      <c r="B15" s="315"/>
      <c r="C15" s="28"/>
      <c r="D15" s="30"/>
      <c r="E15" s="30"/>
      <c r="F15" s="30"/>
      <c r="G15" s="30"/>
      <c r="H15" s="33"/>
      <c r="I15" s="31"/>
      <c r="J15" s="30"/>
      <c r="K15" s="30"/>
      <c r="L15" s="140"/>
      <c r="M15" s="30"/>
      <c r="N15" s="30"/>
      <c r="O15" s="30"/>
      <c r="P15" s="30"/>
      <c r="Q15" s="30"/>
      <c r="R15" s="30"/>
      <c r="S15" s="219"/>
      <c r="T15" s="241"/>
      <c r="U15" s="241"/>
      <c r="V15" s="226"/>
      <c r="W15" s="99"/>
      <c r="X15" s="99"/>
      <c r="Y15" s="99"/>
      <c r="Z15" s="120"/>
      <c r="AA15" s="945" t="s">
        <v>817</v>
      </c>
      <c r="AB15" s="557">
        <f>+AB14/AB13</f>
        <v>0</v>
      </c>
    </row>
    <row r="16" spans="1:36" s="76" customFormat="1" x14ac:dyDescent="0.2">
      <c r="B16" s="315"/>
      <c r="C16" s="28"/>
      <c r="D16" s="30"/>
      <c r="E16" s="30"/>
      <c r="F16" s="30"/>
      <c r="G16" s="30"/>
      <c r="H16" s="33"/>
      <c r="I16" s="31"/>
      <c r="J16" s="30"/>
      <c r="K16" s="30"/>
      <c r="L16" s="140"/>
      <c r="M16" s="30"/>
      <c r="N16" s="30"/>
      <c r="O16" s="30"/>
      <c r="P16" s="30"/>
      <c r="Q16" s="30"/>
      <c r="R16" s="30"/>
      <c r="S16" s="219"/>
      <c r="T16" s="241"/>
      <c r="U16" s="241"/>
      <c r="V16" s="226"/>
      <c r="W16" s="99"/>
      <c r="X16" s="99"/>
      <c r="Y16" s="99"/>
      <c r="Z16" s="120"/>
      <c r="AA16" s="99"/>
      <c r="AB16" s="99"/>
      <c r="AC16" s="99"/>
    </row>
    <row r="17" spans="1:36" s="76" customFormat="1" x14ac:dyDescent="0.2">
      <c r="B17" s="315"/>
      <c r="C17" s="28"/>
      <c r="D17" s="30"/>
      <c r="E17" s="30"/>
      <c r="F17" s="30"/>
      <c r="G17" s="30"/>
      <c r="H17" s="33"/>
      <c r="I17" s="31"/>
      <c r="J17" s="30"/>
      <c r="K17" s="30"/>
      <c r="L17" s="140"/>
      <c r="M17" s="30"/>
      <c r="N17" s="30"/>
      <c r="O17" s="30"/>
      <c r="P17" s="30"/>
      <c r="Q17" s="30"/>
      <c r="R17" s="30"/>
      <c r="S17" s="219"/>
      <c r="T17" s="241"/>
      <c r="U17" s="241"/>
      <c r="V17" s="226"/>
      <c r="W17" s="99"/>
      <c r="X17" s="99"/>
      <c r="Y17" s="99"/>
      <c r="Z17" s="120"/>
      <c r="AA17" s="99"/>
      <c r="AB17" s="99"/>
      <c r="AC17" s="99"/>
    </row>
    <row r="18" spans="1:36" s="76" customFormat="1" ht="12" thickBot="1" x14ac:dyDescent="0.25">
      <c r="B18" s="315"/>
      <c r="C18" s="28"/>
      <c r="D18" s="30"/>
      <c r="E18" s="30"/>
      <c r="F18" s="30"/>
      <c r="G18" s="30"/>
      <c r="H18" s="33"/>
      <c r="I18" s="31"/>
      <c r="J18" s="30"/>
      <c r="K18" s="30"/>
      <c r="L18" s="140"/>
      <c r="M18" s="30"/>
      <c r="N18" s="30"/>
      <c r="O18" s="30"/>
      <c r="P18" s="30"/>
      <c r="Q18" s="30"/>
      <c r="R18" s="30"/>
      <c r="S18" s="219"/>
      <c r="T18" s="241"/>
      <c r="U18" s="241"/>
      <c r="V18" s="226"/>
      <c r="W18" s="99"/>
      <c r="X18" s="229"/>
      <c r="Y18" s="229"/>
      <c r="Z18" s="120"/>
      <c r="AA18" s="99"/>
      <c r="AB18" s="99"/>
      <c r="AC18" s="99"/>
    </row>
    <row r="19" spans="1:36" s="556" customFormat="1" ht="39.950000000000003" customHeight="1" thickBot="1" x14ac:dyDescent="0.4">
      <c r="B19" s="1611">
        <v>2003</v>
      </c>
      <c r="C19" s="1612"/>
      <c r="D19" s="1612"/>
      <c r="E19" s="1612"/>
      <c r="F19" s="1612"/>
      <c r="G19" s="1612"/>
      <c r="H19" s="1612"/>
      <c r="I19" s="1612"/>
      <c r="J19" s="1612"/>
      <c r="K19" s="1612"/>
      <c r="L19" s="1612"/>
      <c r="M19" s="1612"/>
      <c r="N19" s="1612"/>
      <c r="O19" s="1612"/>
      <c r="P19" s="1612"/>
      <c r="Q19" s="1612"/>
      <c r="R19" s="1612"/>
      <c r="S19" s="1612"/>
      <c r="T19" s="1612"/>
      <c r="U19" s="1612"/>
      <c r="V19" s="1612"/>
      <c r="W19" s="1612"/>
      <c r="X19" s="1612"/>
      <c r="Y19" s="1612"/>
      <c r="Z19" s="1612"/>
      <c r="AA19" s="1612"/>
      <c r="AB19" s="1612"/>
      <c r="AC19" s="1613"/>
    </row>
    <row r="20" spans="1:36" s="441" customFormat="1" ht="60" customHeight="1" thickBot="1" x14ac:dyDescent="0.25">
      <c r="A20" s="438"/>
      <c r="B20" s="451" t="s">
        <v>130</v>
      </c>
      <c r="C20" s="451" t="s">
        <v>4</v>
      </c>
      <c r="D20" s="451" t="s">
        <v>5</v>
      </c>
      <c r="E20" s="451" t="s">
        <v>6</v>
      </c>
      <c r="F20" s="451" t="s">
        <v>7</v>
      </c>
      <c r="G20" s="451" t="s">
        <v>8</v>
      </c>
      <c r="H20" s="453" t="s">
        <v>9</v>
      </c>
      <c r="I20" s="453" t="s">
        <v>10</v>
      </c>
      <c r="J20" s="451" t="s">
        <v>11</v>
      </c>
      <c r="K20" s="451" t="s">
        <v>12</v>
      </c>
      <c r="L20" s="451" t="s">
        <v>13</v>
      </c>
      <c r="M20" s="451" t="s">
        <v>14</v>
      </c>
      <c r="N20" s="451" t="s">
        <v>15</v>
      </c>
      <c r="O20" s="452" t="s">
        <v>16</v>
      </c>
      <c r="P20" s="454" t="s">
        <v>17</v>
      </c>
      <c r="Q20" s="451"/>
      <c r="R20" s="452"/>
      <c r="S20" s="451" t="s">
        <v>4659</v>
      </c>
      <c r="T20" s="451" t="s">
        <v>4660</v>
      </c>
      <c r="U20" s="452" t="s">
        <v>22</v>
      </c>
      <c r="V20" s="451" t="s">
        <v>131</v>
      </c>
      <c r="W20" s="451" t="s">
        <v>24</v>
      </c>
      <c r="X20" s="451" t="s">
        <v>132</v>
      </c>
      <c r="Y20" s="451" t="s">
        <v>26</v>
      </c>
      <c r="Z20" s="451" t="s">
        <v>27</v>
      </c>
      <c r="AA20" s="451" t="s">
        <v>28</v>
      </c>
      <c r="AB20" s="451" t="s">
        <v>29</v>
      </c>
      <c r="AC20" s="451" t="s">
        <v>30</v>
      </c>
      <c r="AD20" s="439"/>
      <c r="AE20" s="440"/>
      <c r="AF20" s="440"/>
      <c r="AG20" s="440"/>
      <c r="AH20" s="440"/>
      <c r="AI20" s="440"/>
      <c r="AJ20" s="440"/>
    </row>
    <row r="21" spans="1:36" s="76" customFormat="1" x14ac:dyDescent="0.2">
      <c r="B21" s="314"/>
      <c r="C21" s="11"/>
      <c r="D21" s="12"/>
      <c r="E21" s="12"/>
      <c r="F21" s="12"/>
      <c r="G21" s="12"/>
      <c r="H21" s="504"/>
      <c r="I21" s="14"/>
      <c r="J21" s="12"/>
      <c r="K21" s="12"/>
      <c r="L21" s="134">
        <f>60+J22</f>
        <v>37647</v>
      </c>
      <c r="M21" s="12"/>
      <c r="N21" s="12"/>
      <c r="O21" s="12"/>
      <c r="P21" s="12"/>
      <c r="Q21" s="12"/>
      <c r="R21" s="12"/>
      <c r="S21" s="141"/>
      <c r="T21" s="12" t="s">
        <v>6092</v>
      </c>
      <c r="U21" s="12"/>
      <c r="V21" s="12"/>
      <c r="W21" s="80"/>
      <c r="X21" s="75"/>
      <c r="Y21" s="75"/>
      <c r="Z21" s="80"/>
      <c r="AA21" s="80"/>
      <c r="AB21" s="80"/>
      <c r="AC21" s="80"/>
    </row>
    <row r="22" spans="1:36" s="76" customFormat="1" x14ac:dyDescent="0.2">
      <c r="B22" s="312" t="s">
        <v>6086</v>
      </c>
      <c r="C22" s="16" t="s">
        <v>6087</v>
      </c>
      <c r="D22" s="6" t="s">
        <v>6093</v>
      </c>
      <c r="E22" s="6"/>
      <c r="F22" s="6" t="s">
        <v>6094</v>
      </c>
      <c r="G22" s="6"/>
      <c r="H22" s="17">
        <v>15380</v>
      </c>
      <c r="I22" s="39"/>
      <c r="J22" s="7">
        <v>37587</v>
      </c>
      <c r="K22" s="7"/>
      <c r="L22" s="23">
        <v>37669</v>
      </c>
      <c r="M22" s="18" t="s">
        <v>5104</v>
      </c>
      <c r="N22" s="6" t="s">
        <v>42</v>
      </c>
      <c r="O22" s="6"/>
      <c r="P22" s="6"/>
      <c r="Q22" s="6"/>
      <c r="R22" s="6"/>
      <c r="S22" s="23">
        <v>37276</v>
      </c>
      <c r="T22" s="23">
        <v>37663</v>
      </c>
      <c r="U22" s="23"/>
      <c r="V22" s="40" t="s">
        <v>883</v>
      </c>
      <c r="W22" s="70">
        <v>850</v>
      </c>
      <c r="X22" s="75"/>
      <c r="Y22" s="75"/>
      <c r="Z22" s="6">
        <v>6552932234</v>
      </c>
      <c r="AA22" s="74"/>
      <c r="AB22" s="70" t="s">
        <v>47</v>
      </c>
      <c r="AC22" s="70"/>
      <c r="AD22" s="10" t="str">
        <f>IF(T22&lt;=L21:L22,"en término","atrasado")</f>
        <v>en término</v>
      </c>
    </row>
    <row r="23" spans="1:36" s="98" customFormat="1" ht="12" thickBot="1" x14ac:dyDescent="0.25">
      <c r="B23" s="313"/>
      <c r="C23" s="19"/>
      <c r="D23" s="5"/>
      <c r="E23" s="5"/>
      <c r="F23" s="5"/>
      <c r="G23" s="5"/>
      <c r="H23" s="105"/>
      <c r="I23" s="21"/>
      <c r="J23" s="5"/>
      <c r="K23" s="5"/>
      <c r="L23" s="86"/>
      <c r="M23" s="5"/>
      <c r="N23" s="5"/>
      <c r="O23" s="5"/>
      <c r="P23" s="5"/>
      <c r="Q23" s="5"/>
      <c r="R23" s="5"/>
      <c r="S23" s="127"/>
      <c r="T23" s="5" t="s">
        <v>6095</v>
      </c>
      <c r="U23" s="5"/>
      <c r="V23" s="224" t="s">
        <v>5075</v>
      </c>
      <c r="W23" s="87"/>
      <c r="X23" s="90"/>
      <c r="Y23" s="90"/>
      <c r="Z23" s="87"/>
      <c r="AA23" s="87"/>
      <c r="AB23" s="87"/>
      <c r="AC23" s="87"/>
    </row>
    <row r="24" spans="1:36" s="76" customFormat="1" x14ac:dyDescent="0.2">
      <c r="B24" s="314"/>
      <c r="C24" s="11"/>
      <c r="D24" s="12"/>
      <c r="E24" s="12"/>
      <c r="F24" s="12"/>
      <c r="G24" s="12"/>
      <c r="H24" s="504"/>
      <c r="I24" s="14"/>
      <c r="J24" s="12"/>
      <c r="K24" s="12"/>
      <c r="L24" s="15"/>
      <c r="M24" s="12"/>
      <c r="N24" s="12"/>
      <c r="O24" s="12"/>
      <c r="P24" s="12"/>
      <c r="Q24" s="12"/>
      <c r="R24" s="12"/>
      <c r="S24" s="141"/>
      <c r="T24" s="12"/>
      <c r="U24" s="12"/>
      <c r="V24" s="227" t="s">
        <v>6096</v>
      </c>
      <c r="W24" s="80"/>
      <c r="X24" s="75"/>
      <c r="Y24" s="75"/>
      <c r="Z24" s="80"/>
      <c r="AA24" s="80"/>
      <c r="AB24" s="80"/>
      <c r="AC24" s="80"/>
    </row>
    <row r="25" spans="1:36" s="76" customFormat="1" x14ac:dyDescent="0.2">
      <c r="B25" s="312" t="s">
        <v>6086</v>
      </c>
      <c r="C25" s="16" t="s">
        <v>6087</v>
      </c>
      <c r="D25" s="6" t="s">
        <v>6097</v>
      </c>
      <c r="E25" s="6"/>
      <c r="F25" s="6" t="s">
        <v>6098</v>
      </c>
      <c r="G25" s="6"/>
      <c r="H25" s="17">
        <v>2415.25</v>
      </c>
      <c r="I25" s="39"/>
      <c r="J25" s="7">
        <v>37650</v>
      </c>
      <c r="K25" s="7"/>
      <c r="L25" s="23">
        <f>60+J25</f>
        <v>37710</v>
      </c>
      <c r="M25" s="18" t="s">
        <v>5104</v>
      </c>
      <c r="N25" s="6" t="s">
        <v>110</v>
      </c>
      <c r="O25" s="6"/>
      <c r="P25" s="6"/>
      <c r="Q25" s="6"/>
      <c r="R25" s="6"/>
      <c r="S25" s="23">
        <v>37700</v>
      </c>
      <c r="T25" s="23">
        <v>37703</v>
      </c>
      <c r="U25" s="23"/>
      <c r="V25" s="40" t="s">
        <v>53</v>
      </c>
      <c r="W25" s="70">
        <v>860</v>
      </c>
      <c r="X25" s="75"/>
      <c r="Y25" s="75"/>
      <c r="Z25" s="6" t="s">
        <v>6099</v>
      </c>
      <c r="AA25" s="74"/>
      <c r="AB25" s="70" t="s">
        <v>47</v>
      </c>
      <c r="AC25" s="70"/>
      <c r="AD25" s="10" t="str">
        <f>IF(T25&lt;=L25,"en término","atrasado")</f>
        <v>en término</v>
      </c>
    </row>
    <row r="26" spans="1:36" s="98" customFormat="1" ht="12" thickBot="1" x14ac:dyDescent="0.25">
      <c r="B26" s="313"/>
      <c r="C26" s="19"/>
      <c r="D26" s="5"/>
      <c r="E26" s="5"/>
      <c r="F26" s="5"/>
      <c r="G26" s="5"/>
      <c r="H26" s="105"/>
      <c r="I26" s="21"/>
      <c r="J26" s="5"/>
      <c r="K26" s="5"/>
      <c r="L26" s="127"/>
      <c r="M26" s="5"/>
      <c r="N26" s="5"/>
      <c r="O26" s="5"/>
      <c r="P26" s="5"/>
      <c r="Q26" s="5"/>
      <c r="R26" s="5"/>
      <c r="S26" s="127"/>
      <c r="T26" s="5" t="s">
        <v>6100</v>
      </c>
      <c r="U26" s="5"/>
      <c r="V26" s="224"/>
      <c r="W26" s="87"/>
      <c r="X26" s="90"/>
      <c r="Y26" s="90"/>
      <c r="Z26" s="5" t="s">
        <v>6101</v>
      </c>
      <c r="AA26" s="87"/>
      <c r="AB26" s="87"/>
      <c r="AC26" s="87"/>
    </row>
    <row r="27" spans="1:36" s="76" customFormat="1" x14ac:dyDescent="0.2">
      <c r="B27" s="314"/>
      <c r="C27" s="11"/>
      <c r="D27" s="12"/>
      <c r="E27" s="12"/>
      <c r="F27" s="12"/>
      <c r="G27" s="12"/>
      <c r="H27" s="504"/>
      <c r="I27" s="14"/>
      <c r="J27" s="12"/>
      <c r="K27" s="12"/>
      <c r="L27" s="15"/>
      <c r="M27" s="12"/>
      <c r="N27" s="12"/>
      <c r="O27" s="12"/>
      <c r="P27" s="12"/>
      <c r="Q27" s="12"/>
      <c r="R27" s="12"/>
      <c r="S27" s="141"/>
      <c r="T27" s="579"/>
      <c r="U27" s="579"/>
      <c r="V27" s="227" t="s">
        <v>6096</v>
      </c>
      <c r="W27" s="80"/>
      <c r="X27" s="75"/>
      <c r="Y27" s="75"/>
      <c r="Z27" s="12">
        <v>9051564281</v>
      </c>
      <c r="AA27" s="80"/>
      <c r="AB27" s="80"/>
      <c r="AC27" s="80"/>
    </row>
    <row r="28" spans="1:36" s="76" customFormat="1" x14ac:dyDescent="0.2">
      <c r="B28" s="312" t="s">
        <v>6086</v>
      </c>
      <c r="C28" s="16" t="s">
        <v>6087</v>
      </c>
      <c r="D28" s="6" t="s">
        <v>6102</v>
      </c>
      <c r="E28" s="6"/>
      <c r="F28" s="6" t="s">
        <v>6103</v>
      </c>
      <c r="G28" s="6"/>
      <c r="H28" s="17">
        <v>3548.12</v>
      </c>
      <c r="I28" s="39"/>
      <c r="J28" s="7">
        <v>37698</v>
      </c>
      <c r="K28" s="7"/>
      <c r="L28" s="23">
        <f>30+J28</f>
        <v>37728</v>
      </c>
      <c r="M28" s="18" t="s">
        <v>5104</v>
      </c>
      <c r="N28" s="6" t="s">
        <v>42</v>
      </c>
      <c r="O28" s="6"/>
      <c r="P28" s="6"/>
      <c r="Q28" s="6"/>
      <c r="R28" s="6"/>
      <c r="S28" s="23">
        <v>37722</v>
      </c>
      <c r="T28" s="23">
        <v>37727</v>
      </c>
      <c r="U28" s="23"/>
      <c r="V28" s="40" t="s">
        <v>4713</v>
      </c>
      <c r="W28" s="70">
        <v>867</v>
      </c>
      <c r="X28" s="75"/>
      <c r="Y28" s="75"/>
      <c r="Z28" s="6">
        <v>9051564233</v>
      </c>
      <c r="AA28" s="74"/>
      <c r="AB28" s="70" t="s">
        <v>47</v>
      </c>
      <c r="AC28" s="70"/>
      <c r="AD28" s="10" t="str">
        <f>IF(T28&lt;=L28,"en término","atrasado")</f>
        <v>en término</v>
      </c>
    </row>
    <row r="29" spans="1:36" s="98" customFormat="1" ht="12" thickBot="1" x14ac:dyDescent="0.25">
      <c r="B29" s="313"/>
      <c r="C29" s="19"/>
      <c r="D29" s="5"/>
      <c r="E29" s="5"/>
      <c r="F29" s="5"/>
      <c r="G29" s="5"/>
      <c r="H29" s="105"/>
      <c r="I29" s="21"/>
      <c r="J29" s="5"/>
      <c r="K29" s="5"/>
      <c r="L29" s="127"/>
      <c r="M29" s="5"/>
      <c r="N29" s="5"/>
      <c r="O29" s="5"/>
      <c r="P29" s="5"/>
      <c r="Q29" s="5"/>
      <c r="R29" s="5"/>
      <c r="S29" s="127"/>
      <c r="T29" s="5" t="s">
        <v>6104</v>
      </c>
      <c r="U29" s="5"/>
      <c r="V29" s="224"/>
      <c r="W29" s="87"/>
      <c r="X29" s="90"/>
      <c r="Y29" s="90"/>
      <c r="Z29" s="87"/>
      <c r="AA29" s="87"/>
      <c r="AB29" s="87"/>
      <c r="AC29" s="87"/>
    </row>
    <row r="30" spans="1:36" s="76" customFormat="1" x14ac:dyDescent="0.2">
      <c r="B30" s="314"/>
      <c r="C30" s="11"/>
      <c r="D30" s="12"/>
      <c r="E30" s="12"/>
      <c r="F30" s="12"/>
      <c r="G30" s="12"/>
      <c r="H30" s="504"/>
      <c r="I30" s="14"/>
      <c r="J30" s="12"/>
      <c r="K30" s="12"/>
      <c r="L30" s="15"/>
      <c r="M30" s="12"/>
      <c r="N30" s="12"/>
      <c r="O30" s="12"/>
      <c r="P30" s="12"/>
      <c r="Q30" s="12"/>
      <c r="R30" s="12"/>
      <c r="S30" s="141"/>
      <c r="T30" s="12" t="s">
        <v>3532</v>
      </c>
      <c r="U30" s="12"/>
      <c r="V30" s="244" t="s">
        <v>6105</v>
      </c>
      <c r="W30" s="80"/>
      <c r="X30" s="82"/>
      <c r="Y30" s="82"/>
      <c r="Z30" s="12">
        <v>9051564104</v>
      </c>
      <c r="AA30" s="80"/>
      <c r="AB30" s="80"/>
      <c r="AC30" s="80"/>
    </row>
    <row r="31" spans="1:36" s="76" customFormat="1" x14ac:dyDescent="0.2">
      <c r="B31" s="312" t="s">
        <v>6086</v>
      </c>
      <c r="C31" s="16" t="s">
        <v>6087</v>
      </c>
      <c r="D31" s="6" t="s">
        <v>6106</v>
      </c>
      <c r="E31" s="6"/>
      <c r="F31" s="6" t="s">
        <v>6107</v>
      </c>
      <c r="G31" s="6"/>
      <c r="H31" s="17">
        <v>20125.87</v>
      </c>
      <c r="I31" s="39" t="s">
        <v>5104</v>
      </c>
      <c r="J31" s="7">
        <v>37734</v>
      </c>
      <c r="K31" s="7"/>
      <c r="L31" s="23">
        <f>60+J31</f>
        <v>37794</v>
      </c>
      <c r="M31" s="18" t="s">
        <v>5104</v>
      </c>
      <c r="N31" s="6" t="s">
        <v>42</v>
      </c>
      <c r="O31" s="6"/>
      <c r="P31" s="6"/>
      <c r="Q31" s="6"/>
      <c r="R31" s="6"/>
      <c r="S31" s="23">
        <v>37782</v>
      </c>
      <c r="T31" s="23">
        <v>37794</v>
      </c>
      <c r="U31" s="23"/>
      <c r="V31" s="40" t="s">
        <v>2442</v>
      </c>
      <c r="W31" s="70">
        <v>888</v>
      </c>
      <c r="X31" s="75"/>
      <c r="Y31" s="75"/>
      <c r="Z31" s="6">
        <v>9025335966</v>
      </c>
      <c r="AA31" s="74"/>
      <c r="AB31" s="70" t="s">
        <v>47</v>
      </c>
      <c r="AC31" s="70"/>
      <c r="AD31" s="10" t="str">
        <f>IF(T31&lt;=L31,"en término","atrasado")</f>
        <v>en término</v>
      </c>
    </row>
    <row r="32" spans="1:36" s="76" customFormat="1" ht="12" thickBot="1" x14ac:dyDescent="0.25">
      <c r="B32" s="313"/>
      <c r="C32" s="19"/>
      <c r="D32" s="5"/>
      <c r="E32" s="5"/>
      <c r="F32" s="5"/>
      <c r="G32" s="5"/>
      <c r="H32" s="105"/>
      <c r="I32" s="21"/>
      <c r="J32" s="5"/>
      <c r="K32" s="5"/>
      <c r="L32" s="127"/>
      <c r="M32" s="5"/>
      <c r="N32" s="5"/>
      <c r="O32" s="5"/>
      <c r="P32" s="5"/>
      <c r="Q32" s="5"/>
      <c r="R32" s="5"/>
      <c r="S32" s="127"/>
      <c r="T32" s="5" t="s">
        <v>6108</v>
      </c>
      <c r="U32" s="5"/>
      <c r="V32" s="224"/>
      <c r="W32" s="87"/>
      <c r="X32" s="90"/>
      <c r="Y32" s="90"/>
      <c r="Z32" s="87"/>
      <c r="AA32" s="87"/>
      <c r="AB32" s="87"/>
      <c r="AC32" s="87"/>
    </row>
    <row r="33" spans="1:36" s="76" customFormat="1" x14ac:dyDescent="0.2">
      <c r="B33" s="314"/>
      <c r="C33" s="11"/>
      <c r="D33" s="12"/>
      <c r="E33" s="12"/>
      <c r="F33" s="12"/>
      <c r="G33" s="12"/>
      <c r="H33" s="504"/>
      <c r="I33" s="14"/>
      <c r="J33" s="12"/>
      <c r="K33" s="12"/>
      <c r="L33" s="15"/>
      <c r="M33" s="12"/>
      <c r="N33" s="12"/>
      <c r="O33" s="12"/>
      <c r="P33" s="12"/>
      <c r="Q33" s="12"/>
      <c r="R33" s="12"/>
      <c r="S33" s="141"/>
      <c r="T33" s="12"/>
      <c r="U33" s="12"/>
      <c r="V33" s="244" t="s">
        <v>6105</v>
      </c>
      <c r="W33" s="80"/>
      <c r="X33" s="82"/>
      <c r="Y33" s="82"/>
      <c r="Z33" s="12">
        <v>9051564012</v>
      </c>
      <c r="AA33" s="80"/>
      <c r="AB33" s="80"/>
      <c r="AC33" s="80"/>
    </row>
    <row r="34" spans="1:36" s="76" customFormat="1" x14ac:dyDescent="0.2">
      <c r="B34" s="312" t="s">
        <v>6086</v>
      </c>
      <c r="C34" s="16" t="s">
        <v>6087</v>
      </c>
      <c r="D34" s="6" t="s">
        <v>6109</v>
      </c>
      <c r="E34" s="6"/>
      <c r="F34" s="6" t="s">
        <v>6110</v>
      </c>
      <c r="G34" s="6"/>
      <c r="H34" s="17">
        <v>733.6</v>
      </c>
      <c r="I34" s="39" t="s">
        <v>5104</v>
      </c>
      <c r="J34" s="7">
        <v>37776</v>
      </c>
      <c r="K34" s="7"/>
      <c r="L34" s="23">
        <f>30+J34</f>
        <v>37806</v>
      </c>
      <c r="M34" s="18" t="s">
        <v>5104</v>
      </c>
      <c r="N34" s="6" t="s">
        <v>110</v>
      </c>
      <c r="O34" s="6"/>
      <c r="P34" s="6"/>
      <c r="Q34" s="6"/>
      <c r="R34" s="6"/>
      <c r="S34" s="23">
        <v>37799</v>
      </c>
      <c r="T34" s="23">
        <v>37805</v>
      </c>
      <c r="U34" s="23"/>
      <c r="V34" s="40" t="s">
        <v>6111</v>
      </c>
      <c r="W34" s="70">
        <v>898</v>
      </c>
      <c r="X34" s="75"/>
      <c r="Y34" s="75"/>
      <c r="Z34" s="70"/>
      <c r="AA34" s="74"/>
      <c r="AB34" s="70" t="s">
        <v>1575</v>
      </c>
      <c r="AC34" s="70"/>
      <c r="AD34" s="10" t="str">
        <f>IF(T34&lt;=L34,"en término","atrasado")</f>
        <v>en término</v>
      </c>
    </row>
    <row r="35" spans="1:36" s="76" customFormat="1" ht="12" thickBot="1" x14ac:dyDescent="0.25">
      <c r="B35" s="313"/>
      <c r="C35" s="19"/>
      <c r="D35" s="5"/>
      <c r="E35" s="5"/>
      <c r="F35" s="5"/>
      <c r="G35" s="5"/>
      <c r="H35" s="105"/>
      <c r="I35" s="21"/>
      <c r="J35" s="5"/>
      <c r="K35" s="5"/>
      <c r="L35" s="127"/>
      <c r="M35" s="5"/>
      <c r="N35" s="5"/>
      <c r="O35" s="5"/>
      <c r="P35" s="5"/>
      <c r="Q35" s="5"/>
      <c r="R35" s="5"/>
      <c r="S35" s="127"/>
      <c r="T35" s="22" t="s">
        <v>6112</v>
      </c>
      <c r="U35" s="22"/>
      <c r="V35" s="224"/>
      <c r="W35" s="87"/>
      <c r="X35" s="90"/>
      <c r="Y35" s="90"/>
      <c r="Z35" s="87"/>
      <c r="AA35" s="87"/>
      <c r="AB35" s="87"/>
      <c r="AC35" s="87"/>
    </row>
    <row r="36" spans="1:36" s="76" customFormat="1" x14ac:dyDescent="0.2">
      <c r="B36" s="314"/>
      <c r="C36" s="11"/>
      <c r="D36" s="12"/>
      <c r="E36" s="12"/>
      <c r="F36" s="12"/>
      <c r="G36" s="12"/>
      <c r="H36" s="504"/>
      <c r="I36" s="14"/>
      <c r="J36" s="12"/>
      <c r="K36" s="12"/>
      <c r="L36" s="15"/>
      <c r="M36" s="12"/>
      <c r="N36" s="12"/>
      <c r="O36" s="12"/>
      <c r="P36" s="12"/>
      <c r="Q36" s="12"/>
      <c r="R36" s="12"/>
      <c r="S36" s="141"/>
      <c r="T36" s="15"/>
      <c r="U36" s="15"/>
      <c r="V36" s="244"/>
      <c r="W36" s="80"/>
      <c r="X36" s="82"/>
      <c r="Y36" s="82"/>
      <c r="Z36" s="12">
        <v>9051564001</v>
      </c>
      <c r="AA36" s="80"/>
      <c r="AB36" s="80"/>
      <c r="AC36" s="80"/>
    </row>
    <row r="37" spans="1:36" s="76" customFormat="1" x14ac:dyDescent="0.2">
      <c r="B37" s="312" t="s">
        <v>6086</v>
      </c>
      <c r="C37" s="16" t="s">
        <v>6086</v>
      </c>
      <c r="D37" s="6" t="s">
        <v>6113</v>
      </c>
      <c r="E37" s="6"/>
      <c r="F37" s="6" t="s">
        <v>6114</v>
      </c>
      <c r="G37" s="6"/>
      <c r="H37" s="17">
        <v>334.55</v>
      </c>
      <c r="I37" s="39" t="s">
        <v>5104</v>
      </c>
      <c r="J37" s="7">
        <v>37812</v>
      </c>
      <c r="K37" s="7"/>
      <c r="L37" s="23">
        <f>15+J37</f>
        <v>37827</v>
      </c>
      <c r="M37" s="18" t="s">
        <v>5104</v>
      </c>
      <c r="N37" s="6" t="s">
        <v>110</v>
      </c>
      <c r="O37" s="6"/>
      <c r="P37" s="6"/>
      <c r="Q37" s="6"/>
      <c r="R37" s="6"/>
      <c r="S37" s="23">
        <v>37820</v>
      </c>
      <c r="T37" s="23">
        <v>37835</v>
      </c>
      <c r="U37" s="23"/>
      <c r="V37" s="40" t="s">
        <v>6115</v>
      </c>
      <c r="W37" s="70">
        <v>908</v>
      </c>
      <c r="X37" s="75"/>
      <c r="Y37" s="75"/>
      <c r="Z37" s="70"/>
      <c r="AA37" s="74"/>
      <c r="AB37" s="70" t="s">
        <v>47</v>
      </c>
      <c r="AC37" s="70"/>
      <c r="AD37" s="10" t="str">
        <f>IF(T37&lt;=L37,"en término","atrasado")</f>
        <v>atrasado</v>
      </c>
    </row>
    <row r="38" spans="1:36" s="76" customFormat="1" ht="12" thickBot="1" x14ac:dyDescent="0.25">
      <c r="B38" s="313"/>
      <c r="C38" s="19"/>
      <c r="D38" s="5"/>
      <c r="E38" s="5"/>
      <c r="F38" s="5"/>
      <c r="G38" s="5"/>
      <c r="H38" s="105"/>
      <c r="I38" s="21"/>
      <c r="J38" s="5"/>
      <c r="K38" s="5"/>
      <c r="L38" s="127"/>
      <c r="M38" s="5"/>
      <c r="N38" s="5"/>
      <c r="O38" s="5"/>
      <c r="P38" s="5"/>
      <c r="Q38" s="5"/>
      <c r="R38" s="5"/>
      <c r="S38" s="580" t="s">
        <v>6116</v>
      </c>
      <c r="T38" s="22"/>
      <c r="U38" s="22"/>
      <c r="V38" s="224" t="s">
        <v>6117</v>
      </c>
      <c r="W38" s="87"/>
      <c r="X38" s="90"/>
      <c r="Y38" s="90"/>
      <c r="Z38" s="87"/>
      <c r="AA38" s="87"/>
      <c r="AB38" s="87"/>
      <c r="AC38" s="87"/>
    </row>
    <row r="39" spans="1:36" s="76" customFormat="1" x14ac:dyDescent="0.2">
      <c r="B39" s="315"/>
      <c r="C39" s="28"/>
      <c r="D39" s="30"/>
      <c r="E39" s="30"/>
      <c r="F39" s="30"/>
      <c r="G39" s="30"/>
      <c r="H39" s="217"/>
      <c r="I39" s="31"/>
      <c r="J39" s="30"/>
      <c r="K39" s="30"/>
      <c r="L39" s="140"/>
      <c r="M39" s="30"/>
      <c r="N39" s="30"/>
      <c r="O39" s="30"/>
      <c r="P39" s="30"/>
      <c r="Q39" s="30"/>
      <c r="R39" s="30"/>
      <c r="S39" s="581"/>
      <c r="T39" s="32"/>
      <c r="U39" s="32"/>
      <c r="V39" s="226"/>
      <c r="W39" s="99"/>
      <c r="X39" s="99"/>
      <c r="Y39" s="99"/>
      <c r="Z39" s="99"/>
      <c r="AA39" s="99"/>
      <c r="AB39" s="99"/>
      <c r="AC39" s="99"/>
    </row>
    <row r="40" spans="1:36" ht="12.75" x14ac:dyDescent="0.2">
      <c r="AA40" s="1">
        <v>2003</v>
      </c>
      <c r="AB40" s="1048"/>
    </row>
    <row r="41" spans="1:36" ht="12.75" x14ac:dyDescent="0.2">
      <c r="AA41" s="945" t="s">
        <v>813</v>
      </c>
      <c r="AB41" s="1048">
        <f>COUNTA(AD21:AD37)</f>
        <v>6</v>
      </c>
    </row>
    <row r="42" spans="1:36" ht="12.75" x14ac:dyDescent="0.2">
      <c r="AA42" s="945" t="s">
        <v>4709</v>
      </c>
      <c r="AB42" s="1048">
        <f>COUNTIF(AD22:AD37,"en término")</f>
        <v>5</v>
      </c>
    </row>
    <row r="43" spans="1:36" ht="12.75" x14ac:dyDescent="0.2">
      <c r="AA43" s="945" t="s">
        <v>817</v>
      </c>
      <c r="AB43" s="557">
        <f>+AB42/AB41</f>
        <v>0.83333333333333337</v>
      </c>
    </row>
    <row r="45" spans="1:36" ht="12" thickBot="1" x14ac:dyDescent="0.25"/>
    <row r="46" spans="1:36" s="556" customFormat="1" ht="39.950000000000003" customHeight="1" thickBot="1" x14ac:dyDescent="0.4">
      <c r="B46" s="1611">
        <v>2004</v>
      </c>
      <c r="C46" s="1612"/>
      <c r="D46" s="1612"/>
      <c r="E46" s="1612"/>
      <c r="F46" s="1612"/>
      <c r="G46" s="1612"/>
      <c r="H46" s="1612"/>
      <c r="I46" s="1612"/>
      <c r="J46" s="1612"/>
      <c r="K46" s="1612"/>
      <c r="L46" s="1612"/>
      <c r="M46" s="1612"/>
      <c r="N46" s="1612"/>
      <c r="O46" s="1612"/>
      <c r="P46" s="1612"/>
      <c r="Q46" s="1612"/>
      <c r="R46" s="1612"/>
      <c r="S46" s="1612"/>
      <c r="T46" s="1612"/>
      <c r="U46" s="1612"/>
      <c r="V46" s="1612"/>
      <c r="W46" s="1612"/>
      <c r="X46" s="1612"/>
      <c r="Y46" s="1612"/>
      <c r="Z46" s="1612"/>
      <c r="AA46" s="1612"/>
      <c r="AB46" s="1612"/>
      <c r="AC46" s="1613"/>
      <c r="AD46" s="555"/>
    </row>
    <row r="47" spans="1:36" s="441" customFormat="1" ht="60" customHeight="1" thickBot="1" x14ac:dyDescent="0.25">
      <c r="A47" s="438"/>
      <c r="B47" s="451" t="s">
        <v>130</v>
      </c>
      <c r="C47" s="451" t="s">
        <v>4</v>
      </c>
      <c r="D47" s="451" t="s">
        <v>5</v>
      </c>
      <c r="E47" s="451" t="s">
        <v>6</v>
      </c>
      <c r="F47" s="451" t="s">
        <v>7</v>
      </c>
      <c r="G47" s="451" t="s">
        <v>8</v>
      </c>
      <c r="H47" s="453" t="s">
        <v>9</v>
      </c>
      <c r="I47" s="453" t="s">
        <v>10</v>
      </c>
      <c r="J47" s="451" t="s">
        <v>11</v>
      </c>
      <c r="K47" s="451" t="s">
        <v>12</v>
      </c>
      <c r="L47" s="451" t="s">
        <v>13</v>
      </c>
      <c r="M47" s="451" t="s">
        <v>14</v>
      </c>
      <c r="N47" s="451" t="s">
        <v>15</v>
      </c>
      <c r="O47" s="452" t="s">
        <v>16</v>
      </c>
      <c r="P47" s="454" t="s">
        <v>17</v>
      </c>
      <c r="Q47" s="451"/>
      <c r="R47" s="452"/>
      <c r="S47" s="451" t="s">
        <v>4659</v>
      </c>
      <c r="T47" s="451" t="s">
        <v>4660</v>
      </c>
      <c r="U47" s="452" t="s">
        <v>22</v>
      </c>
      <c r="V47" s="451" t="s">
        <v>131</v>
      </c>
      <c r="W47" s="451" t="s">
        <v>24</v>
      </c>
      <c r="X47" s="451" t="s">
        <v>132</v>
      </c>
      <c r="Y47" s="451" t="s">
        <v>26</v>
      </c>
      <c r="Z47" s="451" t="s">
        <v>27</v>
      </c>
      <c r="AA47" s="451" t="s">
        <v>28</v>
      </c>
      <c r="AB47" s="451" t="s">
        <v>29</v>
      </c>
      <c r="AC47" s="451" t="s">
        <v>30</v>
      </c>
      <c r="AD47" s="439"/>
      <c r="AE47" s="440"/>
      <c r="AF47" s="440"/>
      <c r="AG47" s="440"/>
      <c r="AH47" s="440"/>
      <c r="AI47" s="440"/>
      <c r="AJ47" s="440"/>
    </row>
    <row r="48" spans="1:36" s="9" customFormat="1" x14ac:dyDescent="0.2">
      <c r="B48" s="312"/>
      <c r="C48" s="16"/>
      <c r="D48" s="7"/>
      <c r="E48" s="7"/>
      <c r="F48" s="6"/>
      <c r="G48" s="6"/>
      <c r="H48" s="17"/>
      <c r="I48" s="17"/>
      <c r="J48" s="7"/>
      <c r="K48" s="7"/>
      <c r="L48" s="23"/>
      <c r="M48" s="6"/>
      <c r="N48" s="6"/>
      <c r="O48" s="6"/>
      <c r="P48" s="6"/>
      <c r="Q48" s="6"/>
      <c r="R48" s="6"/>
      <c r="S48" s="6" t="s">
        <v>6118</v>
      </c>
      <c r="T48" s="6"/>
      <c r="U48" s="6"/>
      <c r="V48" s="138" t="s">
        <v>6119</v>
      </c>
      <c r="W48" s="6"/>
      <c r="X48" s="59"/>
      <c r="Y48" s="59"/>
      <c r="Z48" s="6"/>
      <c r="AA48" s="6"/>
      <c r="AB48" s="6"/>
      <c r="AC48" s="6"/>
    </row>
    <row r="49" spans="1:30" s="9" customFormat="1" x14ac:dyDescent="0.2">
      <c r="B49" s="312" t="s">
        <v>6086</v>
      </c>
      <c r="C49" s="16" t="s">
        <v>6087</v>
      </c>
      <c r="D49" s="7" t="s">
        <v>6120</v>
      </c>
      <c r="E49" s="7"/>
      <c r="F49" s="6" t="s">
        <v>6121</v>
      </c>
      <c r="G49" s="6" t="s">
        <v>1173</v>
      </c>
      <c r="H49" s="17">
        <v>12912.94</v>
      </c>
      <c r="I49" s="39" t="s">
        <v>5104</v>
      </c>
      <c r="J49" s="7">
        <v>38033</v>
      </c>
      <c r="K49" s="7"/>
      <c r="L49" s="23">
        <f>+J49+90</f>
        <v>38123</v>
      </c>
      <c r="M49" s="18" t="s">
        <v>124</v>
      </c>
      <c r="N49" s="6" t="s">
        <v>42</v>
      </c>
      <c r="O49" s="23">
        <v>38125</v>
      </c>
      <c r="P49" s="23"/>
      <c r="Q49" s="23"/>
      <c r="R49" s="23"/>
      <c r="S49" s="23">
        <v>38147</v>
      </c>
      <c r="T49" s="23">
        <f>+S49+30</f>
        <v>38177</v>
      </c>
      <c r="U49" s="23"/>
      <c r="V49" s="6" t="s">
        <v>53</v>
      </c>
      <c r="W49" s="6">
        <v>984</v>
      </c>
      <c r="X49" s="59"/>
      <c r="Y49" s="59"/>
      <c r="Z49" s="6">
        <v>6642683412</v>
      </c>
      <c r="AA49" s="6"/>
      <c r="AB49" s="6" t="s">
        <v>47</v>
      </c>
      <c r="AC49" s="6"/>
      <c r="AD49" s="10" t="str">
        <f>IF(S49&lt;=L49,"en término","atrasado")</f>
        <v>atrasado</v>
      </c>
    </row>
    <row r="50" spans="1:30" s="9" customFormat="1" ht="12" thickBot="1" x14ac:dyDescent="0.25">
      <c r="B50" s="313"/>
      <c r="C50" s="19"/>
      <c r="D50" s="5"/>
      <c r="E50" s="5"/>
      <c r="F50" s="5"/>
      <c r="G50" s="5"/>
      <c r="H50" s="105"/>
      <c r="I50" s="21"/>
      <c r="J50" s="5"/>
      <c r="K50" s="5"/>
      <c r="L50" s="27"/>
      <c r="M50" s="5"/>
      <c r="N50" s="5"/>
      <c r="O50" s="5"/>
      <c r="P50" s="5"/>
      <c r="Q50" s="5"/>
      <c r="R50" s="5"/>
      <c r="S50" s="27"/>
      <c r="T50" s="5"/>
      <c r="U50" s="5"/>
      <c r="V50" s="224" t="s">
        <v>4907</v>
      </c>
      <c r="W50" s="5"/>
      <c r="X50" s="61"/>
      <c r="Y50" s="61"/>
      <c r="Z50" s="5"/>
      <c r="AA50" s="5"/>
      <c r="AB50" s="5"/>
      <c r="AC50" s="5"/>
    </row>
    <row r="51" spans="1:30" s="9" customFormat="1" ht="12" thickBot="1" x14ac:dyDescent="0.25">
      <c r="B51" s="327" t="s">
        <v>6086</v>
      </c>
      <c r="C51" s="297" t="s">
        <v>6122</v>
      </c>
      <c r="D51" s="279"/>
      <c r="E51" s="279"/>
      <c r="F51" s="279"/>
      <c r="G51" s="279"/>
      <c r="H51" s="280"/>
      <c r="I51" s="281"/>
      <c r="J51" s="279"/>
      <c r="K51" s="279"/>
      <c r="L51" s="282"/>
      <c r="M51" s="279"/>
      <c r="N51" s="279"/>
      <c r="O51" s="279"/>
      <c r="P51" s="279"/>
      <c r="Q51" s="279"/>
      <c r="R51" s="279"/>
      <c r="S51" s="302" t="s">
        <v>6123</v>
      </c>
      <c r="T51" s="577"/>
      <c r="U51" s="578"/>
      <c r="V51" s="283"/>
      <c r="W51" s="279"/>
      <c r="X51" s="279"/>
      <c r="Y51" s="279"/>
      <c r="Z51" s="279"/>
      <c r="AA51" s="279"/>
      <c r="AB51" s="279"/>
      <c r="AC51" s="279"/>
    </row>
    <row r="52" spans="1:30" s="9" customFormat="1" x14ac:dyDescent="0.2">
      <c r="B52" s="312"/>
      <c r="C52" s="16"/>
      <c r="D52" s="7"/>
      <c r="E52" s="7"/>
      <c r="F52" s="6"/>
      <c r="G52" s="6"/>
      <c r="H52" s="17"/>
      <c r="I52" s="17"/>
      <c r="J52" s="7"/>
      <c r="K52" s="7"/>
      <c r="L52" s="23"/>
      <c r="M52" s="6"/>
      <c r="N52" s="6"/>
      <c r="O52" s="6"/>
      <c r="P52" s="6"/>
      <c r="Q52" s="6"/>
      <c r="R52" s="6"/>
      <c r="S52" s="6" t="s">
        <v>6118</v>
      </c>
      <c r="T52" s="6"/>
      <c r="U52" s="6"/>
      <c r="V52" s="138"/>
      <c r="W52" s="6"/>
      <c r="X52" s="59"/>
      <c r="Y52" s="59"/>
      <c r="Z52" s="6"/>
      <c r="AA52" s="6"/>
      <c r="AB52" s="6"/>
      <c r="AC52" s="6"/>
    </row>
    <row r="53" spans="1:30" s="9" customFormat="1" x14ac:dyDescent="0.2">
      <c r="B53" s="312" t="s">
        <v>6086</v>
      </c>
      <c r="C53" s="16" t="s">
        <v>6087</v>
      </c>
      <c r="D53" s="7" t="s">
        <v>6124</v>
      </c>
      <c r="E53" s="7"/>
      <c r="F53" s="6" t="s">
        <v>6125</v>
      </c>
      <c r="G53" s="6" t="s">
        <v>1173</v>
      </c>
      <c r="H53" s="17">
        <v>1564.15</v>
      </c>
      <c r="I53" s="39" t="s">
        <v>5104</v>
      </c>
      <c r="J53" s="7">
        <v>38096</v>
      </c>
      <c r="K53" s="7"/>
      <c r="L53" s="23">
        <f>+J53+35</f>
        <v>38131</v>
      </c>
      <c r="M53" s="18" t="s">
        <v>124</v>
      </c>
      <c r="N53" s="6" t="s">
        <v>42</v>
      </c>
      <c r="O53" s="23">
        <v>38125</v>
      </c>
      <c r="P53" s="23"/>
      <c r="Q53" s="23"/>
      <c r="R53" s="23"/>
      <c r="S53" s="23">
        <v>38147</v>
      </c>
      <c r="T53" s="23">
        <f>+S53+30</f>
        <v>38177</v>
      </c>
      <c r="U53" s="23"/>
      <c r="V53" s="6" t="s">
        <v>53</v>
      </c>
      <c r="W53" s="6">
        <v>985</v>
      </c>
      <c r="X53" s="59"/>
      <c r="Y53" s="59"/>
      <c r="Z53" s="6">
        <v>6642683412</v>
      </c>
      <c r="AA53" s="6"/>
      <c r="AB53" s="6" t="s">
        <v>47</v>
      </c>
      <c r="AC53" s="6"/>
      <c r="AD53" s="10" t="str">
        <f>IF(S53&lt;=L53,"en término","atrasado")</f>
        <v>atrasado</v>
      </c>
    </row>
    <row r="54" spans="1:30" s="9" customFormat="1" ht="12" thickBot="1" x14ac:dyDescent="0.25">
      <c r="B54" s="313"/>
      <c r="C54" s="19"/>
      <c r="D54" s="5"/>
      <c r="E54" s="5"/>
      <c r="F54" s="5"/>
      <c r="G54" s="5"/>
      <c r="H54" s="105"/>
      <c r="I54" s="21"/>
      <c r="J54" s="5"/>
      <c r="K54" s="5"/>
      <c r="L54" s="27"/>
      <c r="M54" s="5"/>
      <c r="N54" s="5"/>
      <c r="O54" s="5"/>
      <c r="P54" s="5"/>
      <c r="Q54" s="5"/>
      <c r="R54" s="5"/>
      <c r="S54" s="27"/>
      <c r="T54" s="5"/>
      <c r="U54" s="5"/>
      <c r="V54" s="224" t="s">
        <v>4907</v>
      </c>
      <c r="W54" s="5"/>
      <c r="X54" s="61"/>
      <c r="Y54" s="61"/>
      <c r="Z54" s="5"/>
      <c r="AA54" s="5"/>
      <c r="AB54" s="5"/>
      <c r="AC54" s="5"/>
    </row>
    <row r="55" spans="1:30" s="9" customFormat="1" x14ac:dyDescent="0.2">
      <c r="B55" s="312"/>
      <c r="C55" s="16"/>
      <c r="D55" s="7"/>
      <c r="E55" s="7"/>
      <c r="F55" s="6"/>
      <c r="G55" s="6"/>
      <c r="H55" s="17"/>
      <c r="I55" s="17"/>
      <c r="J55" s="7"/>
      <c r="K55" s="7"/>
      <c r="L55" s="23"/>
      <c r="M55" s="6"/>
      <c r="N55" s="6"/>
      <c r="O55" s="6"/>
      <c r="P55" s="6"/>
      <c r="Q55" s="6"/>
      <c r="R55" s="6"/>
      <c r="S55" s="6"/>
      <c r="T55" s="6"/>
      <c r="U55" s="6"/>
      <c r="V55" s="138"/>
      <c r="W55" s="6"/>
      <c r="X55" s="59"/>
      <c r="Y55" s="59"/>
      <c r="Z55" s="6" t="s">
        <v>6126</v>
      </c>
      <c r="AA55" s="6"/>
      <c r="AB55" s="6"/>
      <c r="AC55" s="6"/>
    </row>
    <row r="56" spans="1:30" s="9" customFormat="1" x14ac:dyDescent="0.2">
      <c r="B56" s="312" t="s">
        <v>6086</v>
      </c>
      <c r="C56" s="16" t="s">
        <v>6087</v>
      </c>
      <c r="D56" s="7" t="s">
        <v>6127</v>
      </c>
      <c r="E56" s="7"/>
      <c r="F56" s="6" t="s">
        <v>6128</v>
      </c>
      <c r="G56" s="6" t="s">
        <v>1535</v>
      </c>
      <c r="H56" s="17">
        <v>1365.15</v>
      </c>
      <c r="I56" s="39" t="s">
        <v>5104</v>
      </c>
      <c r="J56" s="7">
        <v>38169</v>
      </c>
      <c r="K56" s="7"/>
      <c r="L56" s="23">
        <f>+J56+45</f>
        <v>38214</v>
      </c>
      <c r="M56" s="18" t="s">
        <v>124</v>
      </c>
      <c r="N56" s="6" t="s">
        <v>110</v>
      </c>
      <c r="O56" s="7">
        <v>38205</v>
      </c>
      <c r="P56" s="7"/>
      <c r="Q56" s="7"/>
      <c r="R56" s="7"/>
      <c r="S56" s="175">
        <v>38210</v>
      </c>
      <c r="T56" s="23">
        <v>38213</v>
      </c>
      <c r="U56" s="23"/>
      <c r="V56" s="6" t="s">
        <v>53</v>
      </c>
      <c r="W56" s="6">
        <v>1025</v>
      </c>
      <c r="X56" s="59"/>
      <c r="Y56" s="59"/>
      <c r="Z56" s="6" t="s">
        <v>6129</v>
      </c>
      <c r="AA56" s="7">
        <v>38219</v>
      </c>
      <c r="AB56" s="6" t="s">
        <v>47</v>
      </c>
      <c r="AC56" s="6"/>
      <c r="AD56" s="10" t="str">
        <f>IF(S56&lt;=L56,"en término","atrasado")</f>
        <v>en término</v>
      </c>
    </row>
    <row r="57" spans="1:30" s="9" customFormat="1" ht="12" thickBot="1" x14ac:dyDescent="0.25">
      <c r="B57" s="313"/>
      <c r="C57" s="19"/>
      <c r="D57" s="5"/>
      <c r="E57" s="5"/>
      <c r="F57" s="5"/>
      <c r="G57" s="5"/>
      <c r="H57" s="105"/>
      <c r="I57" s="21"/>
      <c r="J57" s="5"/>
      <c r="K57" s="5"/>
      <c r="L57" s="27"/>
      <c r="M57" s="5"/>
      <c r="N57" s="5"/>
      <c r="O57" s="5"/>
      <c r="P57" s="5"/>
      <c r="Q57" s="5"/>
      <c r="R57" s="5"/>
      <c r="S57" s="5"/>
      <c r="T57" s="5"/>
      <c r="U57" s="5"/>
      <c r="V57" s="224" t="s">
        <v>4907</v>
      </c>
      <c r="W57" s="5"/>
      <c r="X57" s="61"/>
      <c r="Y57" s="61"/>
      <c r="Z57" s="5" t="s">
        <v>6130</v>
      </c>
      <c r="AA57" s="5"/>
      <c r="AB57" s="5"/>
      <c r="AC57" s="5"/>
    </row>
    <row r="58" spans="1:30" s="9" customFormat="1" x14ac:dyDescent="0.2">
      <c r="A58" s="328"/>
      <c r="B58" s="16"/>
      <c r="C58" s="16"/>
      <c r="D58" s="7"/>
      <c r="E58" s="7"/>
      <c r="F58" s="6"/>
      <c r="G58" s="6"/>
      <c r="H58" s="17"/>
      <c r="I58" s="17"/>
      <c r="J58" s="7"/>
      <c r="K58" s="7"/>
      <c r="L58" s="23"/>
      <c r="M58" s="6"/>
      <c r="N58" s="6"/>
      <c r="O58" s="6"/>
      <c r="P58" s="6"/>
      <c r="Q58" s="6"/>
      <c r="R58" s="6"/>
      <c r="S58" s="6"/>
      <c r="T58" s="6"/>
      <c r="U58" s="6"/>
      <c r="V58" s="138"/>
      <c r="W58" s="6"/>
      <c r="X58" s="59"/>
      <c r="Y58" s="59"/>
      <c r="Z58" s="6" t="s">
        <v>6126</v>
      </c>
      <c r="AA58" s="6"/>
      <c r="AB58" s="6"/>
      <c r="AC58" s="6"/>
      <c r="AD58" s="330"/>
    </row>
    <row r="59" spans="1:30" s="9" customFormat="1" x14ac:dyDescent="0.2">
      <c r="A59" s="328"/>
      <c r="B59" s="16" t="s">
        <v>6086</v>
      </c>
      <c r="C59" s="16" t="s">
        <v>6087</v>
      </c>
      <c r="D59" s="7" t="s">
        <v>6127</v>
      </c>
      <c r="E59" s="7"/>
      <c r="F59" s="6" t="s">
        <v>6128</v>
      </c>
      <c r="G59" s="6" t="s">
        <v>4299</v>
      </c>
      <c r="H59" s="17">
        <v>1365.15</v>
      </c>
      <c r="I59" s="39" t="s">
        <v>5104</v>
      </c>
      <c r="J59" s="7">
        <v>38169</v>
      </c>
      <c r="K59" s="331">
        <v>45</v>
      </c>
      <c r="L59" s="23">
        <f>+J59+K59</f>
        <v>38214</v>
      </c>
      <c r="M59" s="18" t="s">
        <v>124</v>
      </c>
      <c r="N59" s="6" t="s">
        <v>110</v>
      </c>
      <c r="O59" s="7">
        <v>38205</v>
      </c>
      <c r="P59" s="331">
        <f>IF(O59="","",+O59-L59)</f>
        <v>-9</v>
      </c>
      <c r="Q59" s="331"/>
      <c r="R59" s="331"/>
      <c r="S59" s="175">
        <v>38210</v>
      </c>
      <c r="T59" s="175">
        <v>38213</v>
      </c>
      <c r="U59" s="331">
        <f>IF(T59="","",+T59-J59)</f>
        <v>44</v>
      </c>
      <c r="V59" s="6" t="s">
        <v>53</v>
      </c>
      <c r="W59" s="6">
        <v>1025</v>
      </c>
      <c r="X59" s="59"/>
      <c r="Y59" s="59"/>
      <c r="Z59" s="6" t="s">
        <v>6129</v>
      </c>
      <c r="AA59" s="7" t="s">
        <v>47</v>
      </c>
      <c r="AB59" s="6" t="s">
        <v>47</v>
      </c>
      <c r="AC59" s="6"/>
      <c r="AD59" s="10" t="str">
        <f>IF(S59&lt;=L59,"en término","atrasado")</f>
        <v>en término</v>
      </c>
    </row>
    <row r="60" spans="1:30" s="9" customFormat="1" ht="12" thickBot="1" x14ac:dyDescent="0.25">
      <c r="A60" s="328"/>
      <c r="B60" s="19"/>
      <c r="C60" s="19"/>
      <c r="D60" s="5"/>
      <c r="E60" s="5"/>
      <c r="F60" s="5"/>
      <c r="G60" s="5"/>
      <c r="H60" s="105"/>
      <c r="I60" s="21"/>
      <c r="J60" s="5"/>
      <c r="K60" s="5"/>
      <c r="L60" s="27"/>
      <c r="M60" s="5"/>
      <c r="N60" s="5"/>
      <c r="O60" s="5"/>
      <c r="P60" s="5"/>
      <c r="Q60" s="5"/>
      <c r="R60" s="5"/>
      <c r="S60" s="5"/>
      <c r="T60" s="5"/>
      <c r="U60" s="5"/>
      <c r="V60" s="224" t="s">
        <v>4907</v>
      </c>
      <c r="W60" s="5"/>
      <c r="X60" s="61"/>
      <c r="Y60" s="61"/>
      <c r="Z60" s="5" t="s">
        <v>6130</v>
      </c>
      <c r="AA60" s="27">
        <v>38217</v>
      </c>
      <c r="AB60" s="5"/>
      <c r="AC60" s="5"/>
      <c r="AD60" s="330"/>
    </row>
    <row r="61" spans="1:30" s="9" customFormat="1" x14ac:dyDescent="0.2">
      <c r="A61" s="328"/>
      <c r="B61" s="11"/>
      <c r="C61" s="11"/>
      <c r="D61" s="91"/>
      <c r="E61" s="91"/>
      <c r="F61" s="12"/>
      <c r="G61" s="12"/>
      <c r="H61" s="13"/>
      <c r="I61" s="13"/>
      <c r="J61" s="91"/>
      <c r="K61" s="91"/>
      <c r="L61" s="134"/>
      <c r="M61" s="12"/>
      <c r="N61" s="12"/>
      <c r="O61" s="12"/>
      <c r="P61" s="12"/>
      <c r="Q61" s="12"/>
      <c r="R61" s="12"/>
      <c r="S61" s="12" t="s">
        <v>6131</v>
      </c>
      <c r="T61" s="12"/>
      <c r="U61" s="12"/>
      <c r="V61" s="244"/>
      <c r="W61" s="12"/>
      <c r="X61" s="57"/>
      <c r="Y61" s="57"/>
      <c r="Z61" s="12"/>
      <c r="AA61" s="12"/>
      <c r="AB61" s="12"/>
      <c r="AC61" s="12"/>
      <c r="AD61" s="330"/>
    </row>
    <row r="62" spans="1:30" s="9" customFormat="1" x14ac:dyDescent="0.2">
      <c r="A62" s="328"/>
      <c r="B62" s="16" t="s">
        <v>6086</v>
      </c>
      <c r="C62" s="16" t="s">
        <v>6087</v>
      </c>
      <c r="D62" s="7" t="s">
        <v>6132</v>
      </c>
      <c r="E62" s="7"/>
      <c r="F62" s="6" t="s">
        <v>6133</v>
      </c>
      <c r="G62" s="6" t="s">
        <v>4299</v>
      </c>
      <c r="H62" s="17">
        <v>2092.33</v>
      </c>
      <c r="I62" s="39" t="s">
        <v>5104</v>
      </c>
      <c r="J62" s="7">
        <v>38159</v>
      </c>
      <c r="K62" s="331">
        <v>45</v>
      </c>
      <c r="L62" s="23">
        <f>+J62+K62</f>
        <v>38204</v>
      </c>
      <c r="M62" s="18" t="s">
        <v>124</v>
      </c>
      <c r="N62" s="6" t="s">
        <v>42</v>
      </c>
      <c r="O62" s="7">
        <v>38205</v>
      </c>
      <c r="P62" s="331">
        <f>IF(O62="","",+O62-L62)</f>
        <v>1</v>
      </c>
      <c r="Q62" s="331"/>
      <c r="R62" s="331"/>
      <c r="S62" s="175">
        <v>38221</v>
      </c>
      <c r="T62" s="175">
        <f>+S62+30</f>
        <v>38251</v>
      </c>
      <c r="U62" s="331">
        <f>IF(T62="","",+T62-J62)</f>
        <v>92</v>
      </c>
      <c r="V62" s="6" t="s">
        <v>53</v>
      </c>
      <c r="W62" s="6">
        <v>1024</v>
      </c>
      <c r="X62" s="59"/>
      <c r="Y62" s="59"/>
      <c r="Z62" s="6">
        <v>6657506214</v>
      </c>
      <c r="AA62" s="6" t="s">
        <v>47</v>
      </c>
      <c r="AB62" s="6" t="s">
        <v>47</v>
      </c>
      <c r="AC62" s="6"/>
      <c r="AD62" s="10" t="str">
        <f>IF(S62&lt;=L62,"en término","atrasado")</f>
        <v>atrasado</v>
      </c>
    </row>
    <row r="63" spans="1:30" s="9" customFormat="1" ht="12" thickBot="1" x14ac:dyDescent="0.25">
      <c r="A63" s="328"/>
      <c r="B63" s="19"/>
      <c r="C63" s="19"/>
      <c r="D63" s="5"/>
      <c r="E63" s="5"/>
      <c r="F63" s="5"/>
      <c r="G63" s="5"/>
      <c r="H63" s="105"/>
      <c r="I63" s="21"/>
      <c r="J63" s="5"/>
      <c r="K63" s="5"/>
      <c r="L63" s="27"/>
      <c r="M63" s="5"/>
      <c r="N63" s="5"/>
      <c r="O63" s="19"/>
      <c r="P63" s="19"/>
      <c r="Q63" s="19"/>
      <c r="R63" s="19"/>
      <c r="S63" s="19"/>
      <c r="T63" s="19"/>
      <c r="U63" s="19"/>
      <c r="V63" s="224" t="s">
        <v>4907</v>
      </c>
      <c r="W63" s="5"/>
      <c r="X63" s="61"/>
      <c r="Y63" s="61"/>
      <c r="Z63" s="5"/>
      <c r="AA63" s="5"/>
      <c r="AB63" s="5"/>
      <c r="AC63" s="5"/>
      <c r="AD63" s="330"/>
    </row>
    <row r="64" spans="1:30" s="9" customFormat="1" x14ac:dyDescent="0.2">
      <c r="A64" s="328"/>
      <c r="B64" s="16"/>
      <c r="C64" s="16"/>
      <c r="D64" s="7"/>
      <c r="E64" s="7"/>
      <c r="F64" s="6"/>
      <c r="G64" s="6"/>
      <c r="H64" s="17"/>
      <c r="I64" s="17"/>
      <c r="J64" s="7"/>
      <c r="K64" s="7"/>
      <c r="L64" s="23"/>
      <c r="M64" s="6"/>
      <c r="N64" s="6"/>
      <c r="O64" s="6"/>
      <c r="P64" s="6"/>
      <c r="Q64" s="6"/>
      <c r="R64" s="6"/>
      <c r="S64" s="6"/>
      <c r="T64" s="6"/>
      <c r="U64" s="6"/>
      <c r="V64" s="138"/>
      <c r="W64" s="6"/>
      <c r="X64" s="59"/>
      <c r="Y64" s="59"/>
      <c r="Z64" s="6" t="s">
        <v>6134</v>
      </c>
      <c r="AA64" s="6"/>
      <c r="AB64" s="6"/>
      <c r="AC64" s="6"/>
      <c r="AD64" s="330"/>
    </row>
    <row r="65" spans="1:36" s="9" customFormat="1" x14ac:dyDescent="0.2">
      <c r="A65" s="328"/>
      <c r="B65" s="16" t="s">
        <v>6086</v>
      </c>
      <c r="C65" s="16" t="s">
        <v>6087</v>
      </c>
      <c r="D65" s="7" t="s">
        <v>6135</v>
      </c>
      <c r="E65" s="7"/>
      <c r="F65" s="6" t="s">
        <v>6136</v>
      </c>
      <c r="G65" s="6" t="s">
        <v>39</v>
      </c>
      <c r="H65" s="17">
        <v>308.7</v>
      </c>
      <c r="I65" s="39" t="s">
        <v>5104</v>
      </c>
      <c r="J65" s="7">
        <v>38281</v>
      </c>
      <c r="K65" s="331">
        <v>30</v>
      </c>
      <c r="L65" s="23">
        <f>+J65+K65</f>
        <v>38311</v>
      </c>
      <c r="M65" s="18" t="s">
        <v>124</v>
      </c>
      <c r="N65" s="6" t="s">
        <v>110</v>
      </c>
      <c r="O65" s="7">
        <v>38307</v>
      </c>
      <c r="P65" s="331">
        <f>IF(S65="","",+S65-L65)</f>
        <v>-2</v>
      </c>
      <c r="Q65" s="331"/>
      <c r="R65" s="331"/>
      <c r="S65" s="175">
        <v>38309</v>
      </c>
      <c r="T65" s="7">
        <f>+S65+5</f>
        <v>38314</v>
      </c>
      <c r="U65" s="331">
        <f>IF(T65="","",+T65-J65)</f>
        <v>33</v>
      </c>
      <c r="V65" s="6" t="s">
        <v>53</v>
      </c>
      <c r="W65" s="6">
        <v>1061</v>
      </c>
      <c r="X65" s="59"/>
      <c r="Y65" s="59"/>
      <c r="Z65" s="6" t="s">
        <v>4465</v>
      </c>
      <c r="AA65" s="6" t="s">
        <v>47</v>
      </c>
      <c r="AB65" s="7" t="s">
        <v>47</v>
      </c>
      <c r="AC65" s="7"/>
      <c r="AD65" s="10" t="str">
        <f>IF(S65&lt;=L65,"en término","atrasado")</f>
        <v>en término</v>
      </c>
    </row>
    <row r="66" spans="1:36" s="9" customFormat="1" ht="12" thickBot="1" x14ac:dyDescent="0.25">
      <c r="A66" s="328"/>
      <c r="B66" s="19"/>
      <c r="C66" s="19"/>
      <c r="D66" s="5"/>
      <c r="E66" s="5"/>
      <c r="F66" s="5"/>
      <c r="G66" s="5"/>
      <c r="H66" s="26"/>
      <c r="I66" s="21"/>
      <c r="J66" s="5"/>
      <c r="K66" s="5"/>
      <c r="L66" s="27"/>
      <c r="M66" s="5"/>
      <c r="N66" s="5"/>
      <c r="O66" s="19"/>
      <c r="P66" s="19"/>
      <c r="Q66" s="19"/>
      <c r="R66" s="19"/>
      <c r="S66" s="19"/>
      <c r="T66" s="19"/>
      <c r="U66" s="19"/>
      <c r="V66" s="224" t="s">
        <v>4907</v>
      </c>
      <c r="W66" s="5"/>
      <c r="X66" s="61"/>
      <c r="Y66" s="61"/>
      <c r="Z66" s="5"/>
      <c r="AA66" s="27">
        <v>38316</v>
      </c>
      <c r="AB66" s="5"/>
      <c r="AC66" s="5"/>
      <c r="AD66" s="330"/>
    </row>
    <row r="68" spans="1:36" ht="12.75" x14ac:dyDescent="0.2">
      <c r="AA68" s="1">
        <v>2004</v>
      </c>
      <c r="AB68" s="1048"/>
    </row>
    <row r="69" spans="1:36" ht="12.75" x14ac:dyDescent="0.2">
      <c r="AA69" s="945" t="s">
        <v>813</v>
      </c>
      <c r="AB69" s="1048">
        <f>COUNTA(AD49:AD65)</f>
        <v>6</v>
      </c>
    </row>
    <row r="70" spans="1:36" ht="12.75" x14ac:dyDescent="0.2">
      <c r="AA70" s="945" t="s">
        <v>4709</v>
      </c>
      <c r="AB70" s="1048">
        <f>COUNTIF(AD49:AD65,"en término")</f>
        <v>3</v>
      </c>
    </row>
    <row r="71" spans="1:36" ht="12.75" x14ac:dyDescent="0.2">
      <c r="AA71" s="945" t="s">
        <v>817</v>
      </c>
      <c r="AB71" s="557">
        <f>+AB70/AB69</f>
        <v>0.5</v>
      </c>
    </row>
    <row r="73" spans="1:36" ht="12" thickBot="1" x14ac:dyDescent="0.25"/>
    <row r="74" spans="1:36" s="556" customFormat="1" ht="39.950000000000003" customHeight="1" thickBot="1" x14ac:dyDescent="0.4">
      <c r="B74" s="1611">
        <v>2005</v>
      </c>
      <c r="C74" s="1612"/>
      <c r="D74" s="1612"/>
      <c r="E74" s="1612"/>
      <c r="F74" s="1612"/>
      <c r="G74" s="1612"/>
      <c r="H74" s="1612"/>
      <c r="I74" s="1612"/>
      <c r="J74" s="1612"/>
      <c r="K74" s="1612"/>
      <c r="L74" s="1612"/>
      <c r="M74" s="1612"/>
      <c r="N74" s="1612"/>
      <c r="O74" s="1612"/>
      <c r="P74" s="1612"/>
      <c r="Q74" s="1612"/>
      <c r="R74" s="1612"/>
      <c r="S74" s="1612"/>
      <c r="T74" s="1612"/>
      <c r="U74" s="1612"/>
      <c r="V74" s="1612"/>
      <c r="W74" s="1612"/>
      <c r="X74" s="1612"/>
      <c r="Y74" s="1612"/>
      <c r="Z74" s="1612"/>
      <c r="AA74" s="1612"/>
      <c r="AB74" s="1612"/>
      <c r="AC74" s="1613"/>
      <c r="AD74" s="555"/>
    </row>
    <row r="75" spans="1:36" s="441" customFormat="1" ht="60" customHeight="1" thickBot="1" x14ac:dyDescent="0.25">
      <c r="A75" s="438"/>
      <c r="B75" s="451" t="s">
        <v>130</v>
      </c>
      <c r="C75" s="451" t="s">
        <v>4</v>
      </c>
      <c r="D75" s="451" t="s">
        <v>5</v>
      </c>
      <c r="E75" s="451" t="s">
        <v>6</v>
      </c>
      <c r="F75" s="451" t="s">
        <v>7</v>
      </c>
      <c r="G75" s="451" t="s">
        <v>8</v>
      </c>
      <c r="H75" s="453" t="s">
        <v>9</v>
      </c>
      <c r="I75" s="453" t="s">
        <v>10</v>
      </c>
      <c r="J75" s="451" t="s">
        <v>11</v>
      </c>
      <c r="K75" s="451" t="s">
        <v>12</v>
      </c>
      <c r="L75" s="451" t="s">
        <v>13</v>
      </c>
      <c r="M75" s="451" t="s">
        <v>14</v>
      </c>
      <c r="N75" s="451" t="s">
        <v>15</v>
      </c>
      <c r="O75" s="452" t="s">
        <v>16</v>
      </c>
      <c r="P75" s="454" t="s">
        <v>17</v>
      </c>
      <c r="Q75" s="451"/>
      <c r="R75" s="452"/>
      <c r="S75" s="451" t="s">
        <v>4659</v>
      </c>
      <c r="T75" s="451" t="s">
        <v>4660</v>
      </c>
      <c r="U75" s="452" t="s">
        <v>22</v>
      </c>
      <c r="V75" s="451" t="s">
        <v>131</v>
      </c>
      <c r="W75" s="451" t="s">
        <v>24</v>
      </c>
      <c r="X75" s="451" t="s">
        <v>132</v>
      </c>
      <c r="Y75" s="451" t="s">
        <v>26</v>
      </c>
      <c r="Z75" s="451" t="s">
        <v>27</v>
      </c>
      <c r="AA75" s="451" t="s">
        <v>28</v>
      </c>
      <c r="AB75" s="451" t="s">
        <v>29</v>
      </c>
      <c r="AC75" s="451" t="s">
        <v>30</v>
      </c>
      <c r="AD75" s="439"/>
      <c r="AE75" s="440"/>
      <c r="AF75" s="440"/>
      <c r="AG75" s="440"/>
      <c r="AH75" s="440"/>
      <c r="AI75" s="440"/>
      <c r="AJ75" s="440"/>
    </row>
    <row r="79" spans="1:36" ht="12.75" x14ac:dyDescent="0.2">
      <c r="AA79" s="1">
        <v>2005</v>
      </c>
      <c r="AB79" s="1048"/>
    </row>
    <row r="80" spans="1:36" ht="12.75" x14ac:dyDescent="0.2">
      <c r="AA80" s="945" t="s">
        <v>813</v>
      </c>
      <c r="AB80" s="1048">
        <f>COUNTA(AD76:AD76)</f>
        <v>0</v>
      </c>
    </row>
    <row r="81" spans="27:28" ht="12.75" x14ac:dyDescent="0.2">
      <c r="AA81" s="945" t="s">
        <v>4709</v>
      </c>
      <c r="AB81" s="1048">
        <f>COUNTIF(AD76:AD76,"en término")</f>
        <v>0</v>
      </c>
    </row>
    <row r="82" spans="27:28" ht="12.75" x14ac:dyDescent="0.2">
      <c r="AA82" s="945" t="s">
        <v>817</v>
      </c>
      <c r="AB82" s="557" t="e">
        <f>+AB81/AB80</f>
        <v>#DIV/0!</v>
      </c>
    </row>
  </sheetData>
  <mergeCells count="4">
    <mergeCell ref="B6:AC6"/>
    <mergeCell ref="B19:AC19"/>
    <mergeCell ref="B46:AC46"/>
    <mergeCell ref="B74:AC74"/>
  </mergeCells>
  <phoneticPr fontId="0" type="noConversion"/>
  <printOptions horizontalCentered="1"/>
  <pageMargins left="0.19685039370078741" right="0.75" top="0.33" bottom="0.55118110236220474" header="0" footer="0.19685039370078741"/>
  <pageSetup paperSize="5" scale="37" orientation="landscape" horizontalDpi="300" verticalDpi="300" r:id="rId1"/>
  <headerFooter alignWithMargins="0">
    <oddFooter>&amp;LBNDF 3.1085 Rev. _ 3/11/00&amp;CINFORME O/C ENTREGADAS
- &amp;D&amp;R&amp;"Tahoma,Normal"&amp;9Myanmar &amp;P de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dimension ref="A1:AJ20"/>
  <sheetViews>
    <sheetView topLeftCell="F11" zoomScaleNormal="100" workbookViewId="0">
      <selection activeCell="B8" sqref="B8:AC8"/>
    </sheetView>
  </sheetViews>
  <sheetFormatPr baseColWidth="10" defaultColWidth="11.42578125" defaultRowHeight="11.25" x14ac:dyDescent="0.2"/>
  <cols>
    <col min="1" max="1" width="11.42578125" style="2"/>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6" customHeight="1" x14ac:dyDescent="0.2"/>
    <row r="6" spans="1:36" x14ac:dyDescent="0.2">
      <c r="B6" s="311"/>
      <c r="C6" s="9"/>
      <c r="D6" s="42"/>
      <c r="E6" s="42"/>
      <c r="F6" s="10"/>
      <c r="G6" s="10"/>
      <c r="H6" s="9"/>
      <c r="I6" s="10"/>
      <c r="J6" s="9"/>
      <c r="K6" s="9"/>
      <c r="L6" s="9"/>
      <c r="M6" s="9"/>
      <c r="N6" s="9"/>
      <c r="O6" s="9"/>
      <c r="P6" s="9"/>
      <c r="Q6" s="9"/>
      <c r="R6" s="9"/>
      <c r="S6" s="311"/>
      <c r="T6" s="9"/>
      <c r="U6" s="9"/>
      <c r="V6" s="9"/>
      <c r="AA6" s="9"/>
    </row>
    <row r="7" spans="1:36" x14ac:dyDescent="0.2">
      <c r="W7" s="38"/>
      <c r="X7" s="38"/>
      <c r="Y7" s="38"/>
      <c r="Z7" s="37"/>
      <c r="AB7" s="38"/>
      <c r="AC7" s="38"/>
    </row>
    <row r="8" spans="1:36" ht="12" thickBot="1" x14ac:dyDescent="0.25"/>
    <row r="9" spans="1:36" s="556" customFormat="1" ht="39.950000000000003" customHeight="1" thickBot="1" x14ac:dyDescent="0.4">
      <c r="B9" s="1611">
        <v>2012</v>
      </c>
      <c r="C9" s="1612"/>
      <c r="D9" s="1612"/>
      <c r="E9" s="1612"/>
      <c r="F9" s="1612"/>
      <c r="G9" s="1612"/>
      <c r="H9" s="1612"/>
      <c r="I9" s="1612"/>
      <c r="J9" s="1612"/>
      <c r="K9" s="1612"/>
      <c r="L9" s="1612"/>
      <c r="M9" s="1612"/>
      <c r="N9" s="1612"/>
      <c r="O9" s="1612"/>
      <c r="P9" s="1612"/>
      <c r="Q9" s="1612"/>
      <c r="R9" s="1612"/>
      <c r="S9" s="1612"/>
      <c r="T9" s="1612"/>
      <c r="U9" s="1612"/>
      <c r="V9" s="1612"/>
      <c r="W9" s="1612"/>
      <c r="X9" s="1612"/>
      <c r="Y9" s="1612"/>
      <c r="Z9" s="1612"/>
      <c r="AA9" s="1612"/>
      <c r="AB9" s="1612"/>
      <c r="AC9" s="1613"/>
    </row>
    <row r="10" spans="1:36" s="441" customFormat="1" ht="60" customHeight="1" thickBot="1" x14ac:dyDescent="0.25">
      <c r="A10" s="438"/>
      <c r="B10" s="451" t="s">
        <v>130</v>
      </c>
      <c r="C10" s="451" t="s">
        <v>4</v>
      </c>
      <c r="D10" s="451" t="s">
        <v>5</v>
      </c>
      <c r="E10" s="451" t="s">
        <v>6</v>
      </c>
      <c r="F10" s="451" t="s">
        <v>7</v>
      </c>
      <c r="G10" s="451" t="s">
        <v>8</v>
      </c>
      <c r="H10" s="453" t="s">
        <v>9</v>
      </c>
      <c r="I10" s="453" t="s">
        <v>10</v>
      </c>
      <c r="J10" s="451" t="s">
        <v>11</v>
      </c>
      <c r="K10" s="451" t="s">
        <v>12</v>
      </c>
      <c r="L10" s="451" t="s">
        <v>13</v>
      </c>
      <c r="M10" s="451" t="s">
        <v>14</v>
      </c>
      <c r="N10" s="451" t="s">
        <v>15</v>
      </c>
      <c r="O10" s="452" t="s">
        <v>16</v>
      </c>
      <c r="P10" s="454" t="s">
        <v>17</v>
      </c>
      <c r="Q10" s="451" t="s">
        <v>18</v>
      </c>
      <c r="R10" s="452" t="s">
        <v>19</v>
      </c>
      <c r="S10" s="451" t="s">
        <v>20</v>
      </c>
      <c r="T10" s="451" t="s">
        <v>21</v>
      </c>
      <c r="U10" s="452" t="s">
        <v>22</v>
      </c>
      <c r="V10" s="451" t="s">
        <v>131</v>
      </c>
      <c r="W10" s="451" t="s">
        <v>24</v>
      </c>
      <c r="X10" s="451" t="s">
        <v>132</v>
      </c>
      <c r="Y10" s="451" t="s">
        <v>26</v>
      </c>
      <c r="Z10" s="451" t="s">
        <v>27</v>
      </c>
      <c r="AA10" s="451" t="s">
        <v>28</v>
      </c>
      <c r="AB10" s="451" t="s">
        <v>29</v>
      </c>
      <c r="AC10" s="451" t="s">
        <v>30</v>
      </c>
      <c r="AD10" s="439"/>
      <c r="AE10" s="440"/>
      <c r="AF10" s="440"/>
      <c r="AG10" s="440"/>
      <c r="AH10" s="440"/>
      <c r="AI10" s="440"/>
      <c r="AJ10" s="440"/>
    </row>
    <row r="11" spans="1:36" s="587" customFormat="1" ht="54.95" customHeight="1" thickBot="1" x14ac:dyDescent="0.25">
      <c r="A11" s="649"/>
      <c r="B11" s="455" t="s">
        <v>6137</v>
      </c>
      <c r="C11" s="455" t="s">
        <v>6138</v>
      </c>
      <c r="D11" s="456" t="s">
        <v>6139</v>
      </c>
      <c r="E11" s="456"/>
      <c r="F11" s="457">
        <v>1477</v>
      </c>
      <c r="G11" s="457" t="s">
        <v>4633</v>
      </c>
      <c r="H11" s="458" t="s">
        <v>6140</v>
      </c>
      <c r="I11" s="611" t="s">
        <v>6141</v>
      </c>
      <c r="J11" s="460">
        <v>41185</v>
      </c>
      <c r="K11" s="461">
        <v>119</v>
      </c>
      <c r="L11" s="462">
        <f>+J11+K11</f>
        <v>41304</v>
      </c>
      <c r="M11" s="611" t="s">
        <v>124</v>
      </c>
      <c r="N11" s="468" t="s">
        <v>1750</v>
      </c>
      <c r="O11" s="460">
        <v>41278</v>
      </c>
      <c r="P11" s="461">
        <f>IF(S11="","",+S11-L11)</f>
        <v>-6</v>
      </c>
      <c r="Q11" s="461"/>
      <c r="R11" s="460"/>
      <c r="S11" s="471">
        <v>41298</v>
      </c>
      <c r="T11" s="462">
        <f>+S11+45</f>
        <v>41343</v>
      </c>
      <c r="U11" s="461">
        <f>IF(T11="","",+T11-J11)</f>
        <v>158</v>
      </c>
      <c r="V11" s="468" t="s">
        <v>5430</v>
      </c>
      <c r="W11" s="493" t="s">
        <v>90</v>
      </c>
      <c r="X11" s="467"/>
      <c r="Y11" s="467"/>
      <c r="Z11" s="468" t="s">
        <v>6142</v>
      </c>
      <c r="AA11" s="456"/>
      <c r="AB11" s="460" t="s">
        <v>6143</v>
      </c>
      <c r="AC11" s="634" t="s">
        <v>6144</v>
      </c>
      <c r="AD11" s="645" t="str">
        <f>IF(P11="","",IF(P11&lt;=0,"en término","atrasado"))</f>
        <v>en término</v>
      </c>
    </row>
    <row r="17" spans="1:36" ht="12" thickBot="1" x14ac:dyDescent="0.25"/>
    <row r="18" spans="1:36" s="556" customFormat="1" ht="39.950000000000003" customHeight="1" thickBot="1" x14ac:dyDescent="0.4">
      <c r="B18" s="1611">
        <v>2021</v>
      </c>
      <c r="C18" s="1612"/>
      <c r="D18" s="1612"/>
      <c r="E18" s="1612"/>
      <c r="F18" s="1612"/>
      <c r="G18" s="1612"/>
      <c r="H18" s="1612"/>
      <c r="I18" s="1612"/>
      <c r="J18" s="1612"/>
      <c r="K18" s="1612"/>
      <c r="L18" s="1612"/>
      <c r="M18" s="1612"/>
      <c r="N18" s="1612"/>
      <c r="O18" s="1612"/>
      <c r="P18" s="1612"/>
      <c r="Q18" s="1612"/>
      <c r="R18" s="1612"/>
      <c r="S18" s="1612"/>
      <c r="T18" s="1612"/>
      <c r="U18" s="1612"/>
      <c r="V18" s="1612"/>
      <c r="W18" s="1612"/>
      <c r="X18" s="1612"/>
      <c r="Y18" s="1612"/>
      <c r="Z18" s="1612"/>
      <c r="AA18" s="1612"/>
      <c r="AB18" s="1612"/>
      <c r="AC18" s="1613"/>
    </row>
    <row r="19" spans="1:36" s="441" customFormat="1" ht="60" customHeight="1" thickBot="1" x14ac:dyDescent="0.25">
      <c r="A19" s="438"/>
      <c r="B19" s="451" t="s">
        <v>130</v>
      </c>
      <c r="C19" s="451" t="s">
        <v>4</v>
      </c>
      <c r="D19" s="451" t="s">
        <v>5</v>
      </c>
      <c r="E19" s="451" t="s">
        <v>6</v>
      </c>
      <c r="F19" s="451" t="s">
        <v>7</v>
      </c>
      <c r="G19" s="451" t="s">
        <v>8</v>
      </c>
      <c r="H19" s="453" t="s">
        <v>9</v>
      </c>
      <c r="I19" s="453" t="s">
        <v>10</v>
      </c>
      <c r="J19" s="451" t="s">
        <v>11</v>
      </c>
      <c r="K19" s="451" t="s">
        <v>12</v>
      </c>
      <c r="L19" s="451" t="s">
        <v>13</v>
      </c>
      <c r="M19" s="451" t="s">
        <v>14</v>
      </c>
      <c r="N19" s="451" t="s">
        <v>15</v>
      </c>
      <c r="O19" s="452" t="s">
        <v>16</v>
      </c>
      <c r="P19" s="454" t="s">
        <v>17</v>
      </c>
      <c r="Q19" s="451" t="s">
        <v>18</v>
      </c>
      <c r="R19" s="452" t="s">
        <v>19</v>
      </c>
      <c r="S19" s="451" t="s">
        <v>20</v>
      </c>
      <c r="T19" s="451" t="s">
        <v>21</v>
      </c>
      <c r="U19" s="452" t="s">
        <v>22</v>
      </c>
      <c r="V19" s="451" t="s">
        <v>131</v>
      </c>
      <c r="W19" s="451" t="s">
        <v>24</v>
      </c>
      <c r="X19" s="451" t="s">
        <v>132</v>
      </c>
      <c r="Y19" s="451" t="s">
        <v>26</v>
      </c>
      <c r="Z19" s="451" t="s">
        <v>27</v>
      </c>
      <c r="AA19" s="451" t="s">
        <v>28</v>
      </c>
      <c r="AB19" s="451" t="s">
        <v>29</v>
      </c>
      <c r="AC19" s="451" t="s">
        <v>30</v>
      </c>
      <c r="AD19" s="439"/>
      <c r="AE19" s="440"/>
      <c r="AF19" s="440"/>
      <c r="AG19" s="440"/>
      <c r="AH19" s="440"/>
      <c r="AI19" s="440"/>
      <c r="AJ19" s="440"/>
    </row>
    <row r="20" spans="1:36" s="649" customFormat="1" ht="54.95" customHeight="1" thickBot="1" x14ac:dyDescent="0.25">
      <c r="B20" s="1022" t="s">
        <v>7112</v>
      </c>
      <c r="C20" s="1022" t="s">
        <v>6138</v>
      </c>
      <c r="D20" s="901" t="s">
        <v>7113</v>
      </c>
      <c r="E20" s="901"/>
      <c r="F20" s="1061" t="s">
        <v>7140</v>
      </c>
      <c r="G20" s="889" t="s">
        <v>39</v>
      </c>
      <c r="H20" s="890">
        <v>48345</v>
      </c>
      <c r="I20" s="902"/>
      <c r="J20" s="892">
        <v>44492</v>
      </c>
      <c r="K20" s="893">
        <v>90</v>
      </c>
      <c r="L20" s="892">
        <f>+J20+K20</f>
        <v>44582</v>
      </c>
      <c r="M20" s="892" t="s">
        <v>124</v>
      </c>
      <c r="N20" s="889" t="s">
        <v>42</v>
      </c>
      <c r="O20" s="892">
        <v>44218</v>
      </c>
      <c r="P20" s="893">
        <f>IF(S20="","",+S20-L20)</f>
        <v>-280</v>
      </c>
      <c r="Q20" s="901" t="s">
        <v>7323</v>
      </c>
      <c r="R20" s="903">
        <v>44284</v>
      </c>
      <c r="S20" s="904">
        <v>44302</v>
      </c>
      <c r="T20" s="894">
        <v>44327</v>
      </c>
      <c r="U20" s="893">
        <f>IF(T20="","",+T20-J20)</f>
        <v>-165</v>
      </c>
      <c r="V20" s="901" t="s">
        <v>7142</v>
      </c>
      <c r="W20" s="1106" t="s">
        <v>7266</v>
      </c>
      <c r="X20" s="905"/>
      <c r="Y20" s="905"/>
      <c r="Z20" s="889" t="s">
        <v>7345</v>
      </c>
      <c r="AA20" s="889"/>
      <c r="AB20" s="909" t="s">
        <v>7265</v>
      </c>
      <c r="AC20" s="476" t="s">
        <v>7303</v>
      </c>
      <c r="AD20" s="645" t="str">
        <f>IF(P20="","",IF(P20&lt;=0,"en término","atrasado"))</f>
        <v>en término</v>
      </c>
      <c r="AE20" s="468" t="s">
        <v>7278</v>
      </c>
      <c r="AF20" s="468" t="s">
        <v>3846</v>
      </c>
    </row>
  </sheetData>
  <mergeCells count="2">
    <mergeCell ref="B9:AC9"/>
    <mergeCell ref="B18:AC18"/>
  </mergeCells>
  <printOptions horizontalCentered="1"/>
  <pageMargins left="0.19685039370078741" right="0.75" top="0.26" bottom="0.55118110236220474" header="0" footer="0.19685039370078741"/>
  <pageSetup paperSize="5" scale="37" orientation="landscape" horizontalDpi="300" verticalDpi="300" r:id="rId1"/>
  <headerFooter alignWithMargins="0">
    <oddFooter>&amp;LBNDF 3.1085 Rev. _ 3/11/00&amp;CINFORME O/C ENTREGADAS
- &amp;D&amp;R&amp;"Tahoma,Normal"&amp;9India &amp;P de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2"/>
  <dimension ref="A1:AJ18"/>
  <sheetViews>
    <sheetView topLeftCell="F11" zoomScaleNormal="100" workbookViewId="0">
      <selection activeCell="B8" sqref="B8:AC8"/>
    </sheetView>
  </sheetViews>
  <sheetFormatPr baseColWidth="10" defaultColWidth="11.42578125" defaultRowHeight="11.25" x14ac:dyDescent="0.2"/>
  <cols>
    <col min="1" max="1" width="3.5703125" style="2" customWidth="1"/>
    <col min="2" max="2" width="11" style="310" customWidth="1"/>
    <col min="3" max="3" width="22.28515625" style="2" customWidth="1"/>
    <col min="4" max="4" width="10.42578125" style="41" customWidth="1"/>
    <col min="5" max="5" width="24.28515625" style="41" customWidth="1"/>
    <col min="6" max="6" width="21.5703125" style="3" customWidth="1"/>
    <col min="7" max="7" width="11.5703125" style="3" customWidth="1"/>
    <col min="8" max="8" width="11.85546875" style="2" customWidth="1"/>
    <col min="9" max="9" width="10.5703125" style="3" customWidth="1"/>
    <col min="10" max="10" width="12.7109375" style="2" customWidth="1"/>
    <col min="11" max="11" width="9.42578125" style="2" customWidth="1"/>
    <col min="12" max="12" width="14.5703125" style="2" customWidth="1"/>
    <col min="13" max="13" width="16.7109375" style="2" customWidth="1"/>
    <col min="14" max="14" width="15.5703125" style="2" customWidth="1"/>
    <col min="15" max="15" width="14.140625" style="2" customWidth="1"/>
    <col min="16" max="16" width="11.140625" style="2" customWidth="1"/>
    <col min="17" max="17" width="14.7109375" style="2" customWidth="1"/>
    <col min="18" max="18" width="17.5703125" style="2" customWidth="1"/>
    <col min="19" max="19" width="16.5703125" style="310" customWidth="1"/>
    <col min="20" max="20" width="16" style="2" customWidth="1"/>
    <col min="21" max="21" width="11" style="2" customWidth="1"/>
    <col min="22" max="22" width="32" style="2" customWidth="1"/>
    <col min="23" max="23" width="10.140625" style="3" customWidth="1"/>
    <col min="24" max="24" width="13.140625" style="3" customWidth="1"/>
    <col min="25" max="25" width="10.42578125" style="3" customWidth="1"/>
    <col min="26" max="26" width="14.28515625" style="2" customWidth="1"/>
    <col min="27" max="27" width="16.42578125" style="2" customWidth="1"/>
    <col min="28" max="28" width="12.28515625" style="3" customWidth="1"/>
    <col min="29" max="29" width="68.85546875" style="3" customWidth="1"/>
    <col min="30" max="16384" width="11.42578125" style="2"/>
  </cols>
  <sheetData>
    <row r="1" spans="1:36" ht="25.5" x14ac:dyDescent="0.35">
      <c r="B1" s="558" t="s">
        <v>126</v>
      </c>
      <c r="Z1" s="945" t="s">
        <v>127</v>
      </c>
      <c r="AA1" s="1058">
        <f ca="1">TODAY()</f>
        <v>45457</v>
      </c>
    </row>
    <row r="2" spans="1:36" ht="23.25" x14ac:dyDescent="0.35">
      <c r="B2" s="559" t="s">
        <v>128</v>
      </c>
    </row>
    <row r="3" spans="1:36" ht="6" customHeight="1" x14ac:dyDescent="0.2"/>
    <row r="4" spans="1:36" ht="6" customHeight="1" x14ac:dyDescent="0.2"/>
    <row r="6" spans="1:36" x14ac:dyDescent="0.2">
      <c r="B6" s="311"/>
      <c r="C6" s="9"/>
      <c r="D6" s="42"/>
      <c r="E6" s="42"/>
      <c r="F6" s="10"/>
      <c r="G6" s="10"/>
      <c r="H6" s="9"/>
      <c r="I6" s="10"/>
      <c r="J6" s="9"/>
      <c r="K6" s="9"/>
      <c r="L6" s="9"/>
      <c r="M6" s="9"/>
      <c r="N6" s="9"/>
      <c r="O6" s="9"/>
      <c r="P6" s="9"/>
      <c r="Q6" s="9"/>
      <c r="R6" s="9"/>
      <c r="S6" s="311"/>
      <c r="T6" s="9"/>
      <c r="U6" s="9"/>
      <c r="V6" s="9"/>
      <c r="AA6" s="9"/>
    </row>
    <row r="7" spans="1:36" ht="12" thickBot="1" x14ac:dyDescent="0.25">
      <c r="W7" s="38"/>
      <c r="X7" s="38"/>
      <c r="Y7" s="38"/>
      <c r="Z7" s="37"/>
      <c r="AB7" s="38"/>
      <c r="AC7" s="38"/>
    </row>
    <row r="8" spans="1:36" s="556" customFormat="1" ht="39.950000000000003" customHeight="1" thickBot="1" x14ac:dyDescent="0.4">
      <c r="B8" s="1611">
        <v>1999</v>
      </c>
      <c r="C8" s="1612"/>
      <c r="D8" s="1612"/>
      <c r="E8" s="1612"/>
      <c r="F8" s="1612"/>
      <c r="G8" s="1612"/>
      <c r="H8" s="1612"/>
      <c r="I8" s="1612"/>
      <c r="J8" s="1612"/>
      <c r="K8" s="1612"/>
      <c r="L8" s="1612"/>
      <c r="M8" s="1612"/>
      <c r="N8" s="1612"/>
      <c r="O8" s="1612"/>
      <c r="P8" s="1612"/>
      <c r="Q8" s="1612"/>
      <c r="R8" s="1612"/>
      <c r="S8" s="1612"/>
      <c r="T8" s="1612"/>
      <c r="U8" s="1612"/>
      <c r="V8" s="1612"/>
      <c r="W8" s="1612"/>
      <c r="X8" s="1612"/>
      <c r="Y8" s="1612"/>
      <c r="Z8" s="1612"/>
      <c r="AA8" s="1612"/>
      <c r="AB8" s="1612"/>
      <c r="AC8" s="1613"/>
    </row>
    <row r="9" spans="1:36" s="441" customFormat="1" ht="60" customHeight="1" thickBot="1" x14ac:dyDescent="0.25">
      <c r="A9" s="438"/>
      <c r="B9" s="451" t="s">
        <v>130</v>
      </c>
      <c r="C9" s="451" t="s">
        <v>4</v>
      </c>
      <c r="D9" s="451" t="s">
        <v>5</v>
      </c>
      <c r="E9" s="451" t="s">
        <v>6</v>
      </c>
      <c r="F9" s="451" t="s">
        <v>7</v>
      </c>
      <c r="G9" s="451" t="s">
        <v>8</v>
      </c>
      <c r="H9" s="453" t="s">
        <v>9</v>
      </c>
      <c r="I9" s="453" t="s">
        <v>10</v>
      </c>
      <c r="J9" s="451" t="s">
        <v>11</v>
      </c>
      <c r="K9" s="451" t="s">
        <v>12</v>
      </c>
      <c r="L9" s="451" t="s">
        <v>13</v>
      </c>
      <c r="M9" s="451" t="s">
        <v>14</v>
      </c>
      <c r="N9" s="451" t="s">
        <v>15</v>
      </c>
      <c r="O9" s="452" t="s">
        <v>16</v>
      </c>
      <c r="P9" s="454" t="s">
        <v>17</v>
      </c>
      <c r="Q9" s="451"/>
      <c r="R9" s="452"/>
      <c r="S9" s="451" t="s">
        <v>4659</v>
      </c>
      <c r="T9" s="451" t="s">
        <v>4660</v>
      </c>
      <c r="U9" s="452" t="s">
        <v>22</v>
      </c>
      <c r="V9" s="451" t="s">
        <v>131</v>
      </c>
      <c r="W9" s="451" t="s">
        <v>24</v>
      </c>
      <c r="X9" s="451" t="s">
        <v>132</v>
      </c>
      <c r="Y9" s="451" t="s">
        <v>26</v>
      </c>
      <c r="Z9" s="451" t="s">
        <v>27</v>
      </c>
      <c r="AA9" s="451" t="s">
        <v>28</v>
      </c>
      <c r="AB9" s="451" t="s">
        <v>29</v>
      </c>
      <c r="AC9" s="451" t="s">
        <v>30</v>
      </c>
      <c r="AD9" s="439"/>
      <c r="AE9" s="440"/>
      <c r="AF9" s="440"/>
      <c r="AG9" s="440"/>
      <c r="AH9" s="440"/>
      <c r="AI9" s="440"/>
      <c r="AJ9" s="440"/>
    </row>
    <row r="10" spans="1:36" ht="12" thickBot="1" x14ac:dyDescent="0.25"/>
    <row r="11" spans="1:36" s="556" customFormat="1" ht="39.950000000000003" customHeight="1" thickBot="1" x14ac:dyDescent="0.4">
      <c r="B11" s="1611">
        <v>2001</v>
      </c>
      <c r="C11" s="1612"/>
      <c r="D11" s="1612"/>
      <c r="E11" s="1612"/>
      <c r="F11" s="1612"/>
      <c r="G11" s="1612"/>
      <c r="H11" s="1612"/>
      <c r="I11" s="1612"/>
      <c r="J11" s="1612"/>
      <c r="K11" s="1612"/>
      <c r="L11" s="1612"/>
      <c r="M11" s="1612"/>
      <c r="N11" s="1612"/>
      <c r="O11" s="1612"/>
      <c r="P11" s="1612"/>
      <c r="Q11" s="1612"/>
      <c r="R11" s="1612"/>
      <c r="S11" s="1612"/>
      <c r="T11" s="1612"/>
      <c r="U11" s="1612"/>
      <c r="V11" s="1612"/>
      <c r="W11" s="1612"/>
      <c r="X11" s="1612"/>
      <c r="Y11" s="1612"/>
      <c r="Z11" s="1612"/>
      <c r="AA11" s="1612"/>
      <c r="AB11" s="1612"/>
      <c r="AC11" s="1613"/>
    </row>
    <row r="12" spans="1:36" s="441" customFormat="1" ht="60" customHeight="1" thickBot="1" x14ac:dyDescent="0.25">
      <c r="A12" s="438"/>
      <c r="B12" s="451" t="s">
        <v>130</v>
      </c>
      <c r="C12" s="451" t="s">
        <v>4</v>
      </c>
      <c r="D12" s="451" t="s">
        <v>5</v>
      </c>
      <c r="E12" s="451" t="s">
        <v>6</v>
      </c>
      <c r="F12" s="451" t="s">
        <v>7</v>
      </c>
      <c r="G12" s="451" t="s">
        <v>8</v>
      </c>
      <c r="H12" s="453" t="s">
        <v>9</v>
      </c>
      <c r="I12" s="453" t="s">
        <v>10</v>
      </c>
      <c r="J12" s="451" t="s">
        <v>11</v>
      </c>
      <c r="K12" s="451" t="s">
        <v>12</v>
      </c>
      <c r="L12" s="451" t="s">
        <v>13</v>
      </c>
      <c r="M12" s="451" t="s">
        <v>14</v>
      </c>
      <c r="N12" s="451" t="s">
        <v>15</v>
      </c>
      <c r="O12" s="452" t="s">
        <v>16</v>
      </c>
      <c r="P12" s="454" t="s">
        <v>17</v>
      </c>
      <c r="Q12" s="451"/>
      <c r="R12" s="452"/>
      <c r="S12" s="451" t="s">
        <v>4659</v>
      </c>
      <c r="T12" s="451" t="s">
        <v>4660</v>
      </c>
      <c r="U12" s="452" t="s">
        <v>22</v>
      </c>
      <c r="V12" s="451" t="s">
        <v>131</v>
      </c>
      <c r="W12" s="451" t="s">
        <v>24</v>
      </c>
      <c r="X12" s="451" t="s">
        <v>132</v>
      </c>
      <c r="Y12" s="451" t="s">
        <v>26</v>
      </c>
      <c r="Z12" s="451" t="s">
        <v>27</v>
      </c>
      <c r="AA12" s="451" t="s">
        <v>28</v>
      </c>
      <c r="AB12" s="451" t="s">
        <v>29</v>
      </c>
      <c r="AC12" s="451" t="s">
        <v>30</v>
      </c>
      <c r="AD12" s="439"/>
      <c r="AE12" s="440"/>
      <c r="AF12" s="440"/>
      <c r="AG12" s="440"/>
      <c r="AH12" s="440"/>
      <c r="AI12" s="440"/>
      <c r="AJ12" s="440"/>
    </row>
    <row r="13" spans="1:36" s="9" customFormat="1" x14ac:dyDescent="0.2">
      <c r="B13" s="314"/>
      <c r="C13" s="11"/>
      <c r="D13" s="12"/>
      <c r="E13" s="12"/>
      <c r="F13" s="12"/>
      <c r="G13" s="12"/>
      <c r="H13" s="13"/>
      <c r="I13" s="14"/>
      <c r="J13" s="12"/>
      <c r="K13" s="12"/>
      <c r="L13" s="12"/>
      <c r="M13" s="12"/>
      <c r="N13" s="12"/>
      <c r="O13" s="12"/>
      <c r="P13" s="12"/>
      <c r="Q13" s="12"/>
      <c r="R13" s="12"/>
      <c r="S13" s="12"/>
      <c r="T13" s="12"/>
      <c r="U13" s="12"/>
      <c r="V13" s="12"/>
      <c r="W13" s="11"/>
      <c r="X13" s="58"/>
      <c r="Y13" s="58"/>
      <c r="Z13" s="12"/>
      <c r="AA13" s="11"/>
      <c r="AB13" s="12"/>
      <c r="AC13" s="12"/>
    </row>
    <row r="14" spans="1:36" s="9" customFormat="1" ht="11.25" customHeight="1" x14ac:dyDescent="0.2">
      <c r="B14" s="312" t="s">
        <v>6145</v>
      </c>
      <c r="C14" s="16" t="s">
        <v>6146</v>
      </c>
      <c r="D14" s="6" t="s">
        <v>6147</v>
      </c>
      <c r="E14" s="6"/>
      <c r="F14" s="6" t="s">
        <v>6148</v>
      </c>
      <c r="G14" s="6"/>
      <c r="H14" s="17">
        <v>12183.3</v>
      </c>
      <c r="I14" s="39"/>
      <c r="J14" s="7">
        <v>36761</v>
      </c>
      <c r="K14" s="7"/>
      <c r="L14" s="23">
        <f>+J14+60</f>
        <v>36821</v>
      </c>
      <c r="M14" s="6"/>
      <c r="N14" s="6"/>
      <c r="O14" s="6"/>
      <c r="P14" s="6"/>
      <c r="Q14" s="6"/>
      <c r="R14" s="6"/>
      <c r="S14" s="7" t="s">
        <v>6149</v>
      </c>
      <c r="T14" s="7">
        <v>36875</v>
      </c>
      <c r="U14" s="7"/>
      <c r="V14" s="40" t="s">
        <v>6150</v>
      </c>
      <c r="W14" s="16">
        <v>669</v>
      </c>
      <c r="X14" s="60"/>
      <c r="Y14" s="60"/>
      <c r="Z14" s="6"/>
      <c r="AA14" s="16"/>
      <c r="AB14" s="6" t="s">
        <v>47</v>
      </c>
      <c r="AC14" s="6"/>
    </row>
    <row r="15" spans="1:36" s="9" customFormat="1" ht="12" customHeight="1" thickBot="1" x14ac:dyDescent="0.25">
      <c r="B15" s="313"/>
      <c r="C15" s="19"/>
      <c r="D15" s="5"/>
      <c r="E15" s="5"/>
      <c r="F15" s="5" t="s">
        <v>6151</v>
      </c>
      <c r="G15" s="5"/>
      <c r="H15" s="26"/>
      <c r="I15" s="21"/>
      <c r="J15" s="5"/>
      <c r="K15" s="5"/>
      <c r="L15" s="5"/>
      <c r="M15" s="5"/>
      <c r="N15" s="5"/>
      <c r="O15" s="5"/>
      <c r="P15" s="5"/>
      <c r="Q15" s="5"/>
      <c r="R15" s="5"/>
      <c r="S15" s="27">
        <v>36812</v>
      </c>
      <c r="T15" s="5"/>
      <c r="U15" s="5"/>
      <c r="V15" s="5"/>
      <c r="W15" s="19"/>
      <c r="X15" s="62"/>
      <c r="Y15" s="62"/>
      <c r="Z15" s="5"/>
      <c r="AA15" s="19"/>
      <c r="AB15" s="194" t="s">
        <v>6152</v>
      </c>
      <c r="AC15" s="194"/>
    </row>
    <row r="16" spans="1:36" ht="12" thickBot="1" x14ac:dyDescent="0.25"/>
    <row r="17" spans="1:36" s="556" customFormat="1" ht="39.950000000000003" customHeight="1" thickBot="1" x14ac:dyDescent="0.4">
      <c r="B17" s="1611">
        <v>2004</v>
      </c>
      <c r="C17" s="1612"/>
      <c r="D17" s="1612"/>
      <c r="E17" s="1612"/>
      <c r="F17" s="1612"/>
      <c r="G17" s="1612"/>
      <c r="H17" s="1612"/>
      <c r="I17" s="1612"/>
      <c r="J17" s="1612"/>
      <c r="K17" s="1612"/>
      <c r="L17" s="1612"/>
      <c r="M17" s="1612"/>
      <c r="N17" s="1612"/>
      <c r="O17" s="1612"/>
      <c r="P17" s="1612"/>
      <c r="Q17" s="1612"/>
      <c r="R17" s="1612"/>
      <c r="S17" s="1612"/>
      <c r="T17" s="1612"/>
      <c r="U17" s="1612"/>
      <c r="V17" s="1612"/>
      <c r="W17" s="1612"/>
      <c r="X17" s="1612"/>
      <c r="Y17" s="1612"/>
      <c r="Z17" s="1612"/>
      <c r="AA17" s="1612"/>
      <c r="AB17" s="1612"/>
      <c r="AC17" s="1613"/>
    </row>
    <row r="18" spans="1:36" s="441" customFormat="1" ht="60" customHeight="1" thickBot="1" x14ac:dyDescent="0.25">
      <c r="A18" s="438"/>
      <c r="B18" s="451" t="s">
        <v>130</v>
      </c>
      <c r="C18" s="451" t="s">
        <v>4</v>
      </c>
      <c r="D18" s="451" t="s">
        <v>5</v>
      </c>
      <c r="E18" s="451" t="s">
        <v>6</v>
      </c>
      <c r="F18" s="451" t="s">
        <v>7</v>
      </c>
      <c r="G18" s="451" t="s">
        <v>8</v>
      </c>
      <c r="H18" s="453" t="s">
        <v>9</v>
      </c>
      <c r="I18" s="453" t="s">
        <v>10</v>
      </c>
      <c r="J18" s="451" t="s">
        <v>11</v>
      </c>
      <c r="K18" s="451" t="s">
        <v>12</v>
      </c>
      <c r="L18" s="451" t="s">
        <v>13</v>
      </c>
      <c r="M18" s="451" t="s">
        <v>14</v>
      </c>
      <c r="N18" s="451" t="s">
        <v>15</v>
      </c>
      <c r="O18" s="452" t="s">
        <v>16</v>
      </c>
      <c r="P18" s="454" t="s">
        <v>17</v>
      </c>
      <c r="Q18" s="451" t="s">
        <v>18</v>
      </c>
      <c r="R18" s="452" t="s">
        <v>19</v>
      </c>
      <c r="S18" s="451" t="s">
        <v>20</v>
      </c>
      <c r="T18" s="451" t="s">
        <v>21</v>
      </c>
      <c r="U18" s="452" t="s">
        <v>22</v>
      </c>
      <c r="V18" s="451" t="s">
        <v>131</v>
      </c>
      <c r="W18" s="451" t="s">
        <v>24</v>
      </c>
      <c r="X18" s="451" t="s">
        <v>132</v>
      </c>
      <c r="Y18" s="451" t="s">
        <v>26</v>
      </c>
      <c r="Z18" s="451" t="s">
        <v>27</v>
      </c>
      <c r="AA18" s="451" t="s">
        <v>28</v>
      </c>
      <c r="AB18" s="451" t="s">
        <v>29</v>
      </c>
      <c r="AC18" s="451" t="s">
        <v>30</v>
      </c>
      <c r="AD18" s="439"/>
      <c r="AE18" s="440"/>
      <c r="AF18" s="440"/>
      <c r="AG18" s="440"/>
      <c r="AH18" s="440"/>
      <c r="AI18" s="440"/>
      <c r="AJ18" s="440"/>
    </row>
  </sheetData>
  <mergeCells count="3">
    <mergeCell ref="B17:AC17"/>
    <mergeCell ref="B11:AC11"/>
    <mergeCell ref="B8:AC8"/>
  </mergeCells>
  <phoneticPr fontId="0" type="noConversion"/>
  <pageMargins left="0.19685039370078741" right="0.43307086614173229" top="0.27559055118110237" bottom="0.55118110236220474" header="0" footer="0.19685039370078741"/>
  <pageSetup paperSize="5" scale="35" orientation="landscape" horizontalDpi="300" verticalDpi="300" r:id="rId1"/>
  <headerFooter alignWithMargins="0">
    <oddFooter>&amp;LBNDF 3.1085 Rev. _ 3/11/00&amp;CINFORME O/C ENTREGADAS
- &amp;D&amp;R&amp;"Tahoma,Normal"&amp;9India &amp;P de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3"/>
  <dimension ref="B1:LU92"/>
  <sheetViews>
    <sheetView zoomScaleNormal="100" workbookViewId="0">
      <pane xSplit="128" ySplit="1" topLeftCell="IO2" activePane="bottomRight" state="frozen"/>
      <selection pane="topRight" activeCell="DY1" sqref="DY1"/>
      <selection pane="bottomLeft" activeCell="A2" sqref="A2"/>
      <selection pane="bottomRight" activeCell="LQ40" sqref="LQ40"/>
    </sheetView>
  </sheetViews>
  <sheetFormatPr baseColWidth="10" defaultColWidth="11.42578125" defaultRowHeight="12.75" x14ac:dyDescent="0.2"/>
  <cols>
    <col min="1" max="1" width="4.5703125" customWidth="1"/>
    <col min="2" max="2" width="13.140625" bestFit="1" customWidth="1"/>
    <col min="3" max="3" width="16.140625" customWidth="1"/>
    <col min="4" max="4" width="8.28515625" hidden="1" customWidth="1"/>
    <col min="5" max="5" width="8" hidden="1" customWidth="1"/>
    <col min="6" max="6" width="9.7109375" hidden="1" customWidth="1"/>
    <col min="7" max="9" width="9.140625" hidden="1" customWidth="1"/>
    <col min="10" max="10" width="7" hidden="1" customWidth="1"/>
    <col min="11" max="12" width="8.28515625" hidden="1" customWidth="1"/>
    <col min="13" max="13" width="8" hidden="1" customWidth="1"/>
    <col min="14" max="14" width="8.28515625" hidden="1" customWidth="1"/>
    <col min="15" max="15" width="8" hidden="1" customWidth="1"/>
    <col min="16" max="18" width="9.140625" hidden="1" customWidth="1"/>
    <col min="19" max="19" width="8" hidden="1" customWidth="1"/>
    <col min="20" max="20" width="9.140625" hidden="1" customWidth="1"/>
    <col min="21" max="21" width="8.28515625" hidden="1" customWidth="1"/>
    <col min="22" max="22" width="7" hidden="1" customWidth="1"/>
    <col min="23" max="23" width="8.28515625" hidden="1" customWidth="1"/>
    <col min="24" max="24" width="9.140625" hidden="1" customWidth="1"/>
    <col min="25" max="25" width="8.28515625" hidden="1" customWidth="1"/>
    <col min="26" max="26" width="8" hidden="1" customWidth="1"/>
    <col min="27" max="28" width="8.28515625" hidden="1" customWidth="1"/>
    <col min="29" max="29" width="8" hidden="1" customWidth="1"/>
    <col min="30" max="30" width="9.140625" hidden="1" customWidth="1"/>
    <col min="31" max="31" width="8" hidden="1" customWidth="1"/>
    <col min="32" max="33" width="8.28515625" hidden="1" customWidth="1"/>
    <col min="34" max="34" width="7" hidden="1" customWidth="1"/>
    <col min="35" max="35" width="7.140625" hidden="1" customWidth="1"/>
    <col min="36" max="36" width="8.28515625" hidden="1" customWidth="1"/>
    <col min="37" max="37" width="9.140625" hidden="1" customWidth="1"/>
    <col min="38" max="42" width="8.28515625" hidden="1" customWidth="1"/>
    <col min="43" max="43" width="9.42578125" hidden="1" customWidth="1"/>
    <col min="44" max="44" width="8.28515625" hidden="1" customWidth="1"/>
    <col min="45" max="45" width="8.7109375" hidden="1" customWidth="1"/>
    <col min="46" max="46" width="7.5703125" hidden="1" customWidth="1"/>
    <col min="47" max="63" width="8.28515625" hidden="1" customWidth="1"/>
    <col min="64" max="64" width="9.140625" hidden="1" customWidth="1"/>
    <col min="65" max="65" width="8.85546875" hidden="1" customWidth="1"/>
    <col min="66" max="67" width="8.28515625" hidden="1" customWidth="1"/>
    <col min="68" max="68" width="8.85546875" hidden="1" customWidth="1"/>
    <col min="69" max="106" width="9.28515625" hidden="1" customWidth="1"/>
    <col min="107" max="248" width="10" hidden="1" customWidth="1"/>
    <col min="249" max="265" width="10" customWidth="1"/>
    <col min="266" max="266" width="22.5703125" customWidth="1"/>
    <col min="267" max="267" width="8.85546875" customWidth="1"/>
    <col min="269" max="304" width="11.42578125" hidden="1" customWidth="1"/>
    <col min="305" max="316" width="0" hidden="1" customWidth="1"/>
  </cols>
  <sheetData>
    <row r="1" spans="2:333" ht="17.25" thickBot="1" x14ac:dyDescent="0.35">
      <c r="B1" s="1016"/>
      <c r="C1" s="1017"/>
      <c r="D1" s="1018">
        <v>37469</v>
      </c>
      <c r="E1" s="1019">
        <v>37500</v>
      </c>
      <c r="F1" s="1018">
        <v>37530</v>
      </c>
      <c r="G1" s="1019">
        <v>37561</v>
      </c>
      <c r="H1" s="1018">
        <v>37591</v>
      </c>
      <c r="I1" s="1019">
        <v>37622</v>
      </c>
      <c r="J1" s="1018">
        <v>37653</v>
      </c>
      <c r="K1" s="1019">
        <v>37681</v>
      </c>
      <c r="L1" s="1018">
        <v>37712</v>
      </c>
      <c r="M1" s="1020">
        <v>37742</v>
      </c>
      <c r="N1" s="1020">
        <v>37773</v>
      </c>
      <c r="O1" s="1020">
        <v>37803</v>
      </c>
      <c r="P1" s="1020">
        <v>37834</v>
      </c>
      <c r="Q1" s="1020">
        <v>37865</v>
      </c>
      <c r="R1" s="1020">
        <v>37895</v>
      </c>
      <c r="S1" s="1020">
        <v>37926</v>
      </c>
      <c r="T1" s="1020">
        <v>37956</v>
      </c>
      <c r="U1" s="1020">
        <v>37987</v>
      </c>
      <c r="V1" s="1020">
        <v>38018</v>
      </c>
      <c r="W1" s="1020">
        <v>38047</v>
      </c>
      <c r="X1" s="1020">
        <v>38078</v>
      </c>
      <c r="Y1" s="1020">
        <v>38108</v>
      </c>
      <c r="Z1" s="1020">
        <v>38139</v>
      </c>
      <c r="AA1" s="1020">
        <v>38169</v>
      </c>
      <c r="AB1" s="1020">
        <v>38200</v>
      </c>
      <c r="AC1" s="1020">
        <v>38231</v>
      </c>
      <c r="AD1" s="1020">
        <v>38261</v>
      </c>
      <c r="AE1" s="1020">
        <v>38292</v>
      </c>
      <c r="AF1" s="1020">
        <v>38322</v>
      </c>
      <c r="AG1" s="1020">
        <v>38353</v>
      </c>
      <c r="AH1" s="1020">
        <v>38384</v>
      </c>
      <c r="AI1" s="1020">
        <v>38412</v>
      </c>
      <c r="AJ1" s="1020">
        <v>38443</v>
      </c>
      <c r="AK1" s="1020">
        <v>38473</v>
      </c>
      <c r="AL1" s="1020">
        <v>38504</v>
      </c>
      <c r="AM1" s="1020">
        <v>38534</v>
      </c>
      <c r="AN1" s="1020">
        <v>38565</v>
      </c>
      <c r="AO1" s="1020">
        <v>38596</v>
      </c>
      <c r="AP1" s="1020">
        <v>38626</v>
      </c>
      <c r="AQ1" s="1020">
        <v>38657</v>
      </c>
      <c r="AR1" s="1020">
        <v>38687</v>
      </c>
      <c r="AS1" s="1020">
        <v>38718</v>
      </c>
      <c r="AT1" s="1020">
        <v>38749</v>
      </c>
      <c r="AU1" s="1020">
        <v>38777</v>
      </c>
      <c r="AV1" s="1020">
        <v>38808</v>
      </c>
      <c r="AW1" s="1020">
        <v>38838</v>
      </c>
      <c r="AX1" s="1020">
        <v>38869</v>
      </c>
      <c r="AY1" s="1020">
        <v>38899</v>
      </c>
      <c r="AZ1" s="1020">
        <v>38930</v>
      </c>
      <c r="BA1" s="1020">
        <v>38961</v>
      </c>
      <c r="BB1" s="1020">
        <v>38991</v>
      </c>
      <c r="BC1" s="1020">
        <v>39022</v>
      </c>
      <c r="BD1" s="1020">
        <v>39052</v>
      </c>
      <c r="BE1" s="1020">
        <v>39083</v>
      </c>
      <c r="BF1" s="1020">
        <v>39114</v>
      </c>
      <c r="BG1" s="1020">
        <v>39142</v>
      </c>
      <c r="BH1" s="1020">
        <v>39173</v>
      </c>
      <c r="BI1" s="1020">
        <v>39203</v>
      </c>
      <c r="BJ1" s="1020">
        <v>39234</v>
      </c>
      <c r="BK1" s="1020">
        <v>39264</v>
      </c>
      <c r="BL1" s="1020">
        <v>39295</v>
      </c>
      <c r="BM1" s="1020">
        <v>39326</v>
      </c>
      <c r="BN1" s="1020">
        <v>39356</v>
      </c>
      <c r="BO1" s="1020">
        <v>39387</v>
      </c>
      <c r="BP1" s="1020">
        <v>39417</v>
      </c>
      <c r="BQ1" s="1020">
        <v>39448</v>
      </c>
      <c r="BR1" s="1020">
        <v>39479</v>
      </c>
      <c r="BS1" s="1020">
        <v>39508</v>
      </c>
      <c r="BT1" s="1020">
        <v>39539</v>
      </c>
      <c r="BU1" s="1020">
        <v>39569</v>
      </c>
      <c r="BV1" s="1020">
        <v>39600</v>
      </c>
      <c r="BW1" s="1020">
        <v>39630</v>
      </c>
      <c r="BX1" s="1020">
        <v>39661</v>
      </c>
      <c r="BY1" s="1020">
        <v>39692</v>
      </c>
      <c r="BZ1" s="1020">
        <v>39722</v>
      </c>
      <c r="CA1" s="1020">
        <v>39753</v>
      </c>
      <c r="CB1" s="1020">
        <v>39783</v>
      </c>
      <c r="CC1" s="1020">
        <v>39814</v>
      </c>
      <c r="CD1" s="1020">
        <v>39845</v>
      </c>
      <c r="CE1" s="1020">
        <v>39873</v>
      </c>
      <c r="CF1" s="1020">
        <v>39904</v>
      </c>
      <c r="CG1" s="1020">
        <v>39934</v>
      </c>
      <c r="CH1" s="1020">
        <v>39965</v>
      </c>
      <c r="CI1" s="1020">
        <v>39995</v>
      </c>
      <c r="CJ1" s="1020">
        <v>40026</v>
      </c>
      <c r="CK1" s="1020">
        <v>40057</v>
      </c>
      <c r="CL1" s="1020">
        <v>40087</v>
      </c>
      <c r="CM1" s="1020">
        <v>40118</v>
      </c>
      <c r="CN1" s="1020">
        <v>40148</v>
      </c>
      <c r="CO1" s="1020">
        <v>40179</v>
      </c>
      <c r="CP1" s="1020">
        <v>40210</v>
      </c>
      <c r="CQ1" s="1020">
        <v>40238</v>
      </c>
      <c r="CR1" s="1020">
        <v>40269</v>
      </c>
      <c r="CS1" s="1020">
        <v>40299</v>
      </c>
      <c r="CT1" s="1020">
        <v>40330</v>
      </c>
      <c r="CU1" s="1020">
        <v>40360</v>
      </c>
      <c r="CV1" s="1020">
        <v>40391</v>
      </c>
      <c r="CW1" s="1020">
        <v>40422</v>
      </c>
      <c r="CX1" s="1020">
        <v>40452</v>
      </c>
      <c r="CY1" s="1020">
        <v>40483</v>
      </c>
      <c r="CZ1" s="1020">
        <v>40513</v>
      </c>
      <c r="DA1" s="1020">
        <v>40544</v>
      </c>
      <c r="DB1" s="1020">
        <v>40575</v>
      </c>
      <c r="DC1" s="1020">
        <v>40603</v>
      </c>
      <c r="DD1" s="1020">
        <v>40634</v>
      </c>
      <c r="DE1" s="1021">
        <v>40664</v>
      </c>
      <c r="DF1" s="1021">
        <v>40695</v>
      </c>
      <c r="DG1" s="1021">
        <v>40725</v>
      </c>
      <c r="DH1" s="1021">
        <v>40756</v>
      </c>
      <c r="DI1" s="1021" t="s">
        <v>6153</v>
      </c>
      <c r="DJ1" s="1021">
        <v>40817</v>
      </c>
      <c r="DK1" s="1021">
        <v>40848</v>
      </c>
      <c r="DL1" s="1021">
        <v>40878</v>
      </c>
      <c r="DM1" s="1021">
        <v>40909</v>
      </c>
      <c r="DN1" s="1021">
        <v>40940</v>
      </c>
      <c r="DO1" s="1021">
        <v>40969</v>
      </c>
      <c r="DP1" s="1021">
        <v>41000</v>
      </c>
      <c r="DQ1" s="1021">
        <v>41030</v>
      </c>
      <c r="DR1" s="1021">
        <v>41061</v>
      </c>
      <c r="DS1" s="1021">
        <v>41091</v>
      </c>
      <c r="DT1" s="1021">
        <v>41122</v>
      </c>
      <c r="DU1" s="1021">
        <v>41153</v>
      </c>
      <c r="DV1" s="1021">
        <v>41183</v>
      </c>
      <c r="DW1" s="1021">
        <v>41214</v>
      </c>
      <c r="DX1" s="1021">
        <v>41244</v>
      </c>
      <c r="DY1" s="1021">
        <v>41275</v>
      </c>
      <c r="DZ1" s="1021">
        <v>41306</v>
      </c>
      <c r="EA1" s="1021">
        <v>41334</v>
      </c>
      <c r="EB1" s="1021">
        <v>41365</v>
      </c>
      <c r="EC1" s="1021">
        <v>41395</v>
      </c>
      <c r="ED1" s="1021">
        <v>41426</v>
      </c>
      <c r="EE1" s="1021">
        <v>41456</v>
      </c>
      <c r="EF1" s="1021">
        <v>41487</v>
      </c>
      <c r="EG1" s="1021">
        <v>41518</v>
      </c>
      <c r="EH1" s="1021">
        <v>41548</v>
      </c>
      <c r="EI1" s="1021">
        <v>41579</v>
      </c>
      <c r="EJ1" s="1021">
        <v>41609</v>
      </c>
      <c r="EK1" s="1021">
        <v>41640</v>
      </c>
      <c r="EL1" s="1021">
        <v>41671</v>
      </c>
      <c r="EM1" s="1021">
        <v>41699</v>
      </c>
      <c r="EN1" s="1021">
        <v>41730</v>
      </c>
      <c r="EO1" s="1021">
        <v>41760</v>
      </c>
      <c r="EP1" s="1021">
        <v>41791</v>
      </c>
      <c r="EQ1" s="1021">
        <v>41821</v>
      </c>
      <c r="ER1" s="1021">
        <v>41852</v>
      </c>
      <c r="ES1" s="1021">
        <v>41883</v>
      </c>
      <c r="ET1" s="1021">
        <v>41913</v>
      </c>
      <c r="EU1" s="1021">
        <v>41944</v>
      </c>
      <c r="EV1" s="1021">
        <v>41974</v>
      </c>
      <c r="EW1" s="1021">
        <v>42005</v>
      </c>
      <c r="EX1" s="1021">
        <v>42036</v>
      </c>
      <c r="EY1" s="1021">
        <v>42064</v>
      </c>
      <c r="EZ1" s="1021">
        <v>42095</v>
      </c>
      <c r="FA1" s="1021">
        <v>42125</v>
      </c>
      <c r="FB1" s="1021">
        <v>42156</v>
      </c>
      <c r="FC1" s="1021">
        <v>42186</v>
      </c>
      <c r="FD1" s="1021">
        <v>42217</v>
      </c>
      <c r="FE1" s="1021">
        <v>42248</v>
      </c>
      <c r="FF1" s="1021">
        <v>42278</v>
      </c>
      <c r="FG1" s="1021">
        <v>42309</v>
      </c>
      <c r="FH1" s="1021">
        <v>42339</v>
      </c>
      <c r="FI1" s="1021">
        <v>42370</v>
      </c>
      <c r="FJ1" s="1021">
        <v>42401</v>
      </c>
      <c r="FK1" s="1021">
        <v>42430</v>
      </c>
      <c r="FL1" s="1021">
        <v>42461</v>
      </c>
      <c r="FM1" s="1021">
        <v>42491</v>
      </c>
      <c r="FN1" s="1021">
        <v>42522</v>
      </c>
      <c r="FO1" s="1021">
        <v>42552</v>
      </c>
      <c r="FP1" s="1021">
        <v>42583</v>
      </c>
      <c r="FQ1" s="1021">
        <v>42614</v>
      </c>
      <c r="FR1" s="1021">
        <v>42644</v>
      </c>
      <c r="FS1" s="1021">
        <v>42675</v>
      </c>
      <c r="FT1" s="1021">
        <v>42705</v>
      </c>
      <c r="FU1" s="1021">
        <v>42736</v>
      </c>
      <c r="FV1" s="1021">
        <v>42767</v>
      </c>
      <c r="FW1" s="1021">
        <v>42795</v>
      </c>
      <c r="FX1" s="1021">
        <v>42826</v>
      </c>
      <c r="FY1" s="1021">
        <v>42856</v>
      </c>
      <c r="FZ1" s="1021">
        <v>42887</v>
      </c>
      <c r="GA1" s="1021">
        <v>42917</v>
      </c>
      <c r="GB1" s="1021">
        <v>42948</v>
      </c>
      <c r="GC1" s="1021">
        <v>42979</v>
      </c>
      <c r="GD1" s="1021">
        <v>43009</v>
      </c>
      <c r="GE1" s="1021">
        <v>43040</v>
      </c>
      <c r="GF1" s="1021">
        <v>43070</v>
      </c>
      <c r="GG1" s="1021">
        <v>43101</v>
      </c>
      <c r="GH1" s="1021">
        <v>43132</v>
      </c>
      <c r="GI1" s="1021">
        <v>43160</v>
      </c>
      <c r="GJ1" s="1021">
        <v>43191</v>
      </c>
      <c r="GK1" s="1021">
        <v>43221</v>
      </c>
      <c r="GL1" s="1021">
        <v>43252</v>
      </c>
      <c r="GM1" s="1021">
        <v>43282</v>
      </c>
      <c r="GN1" s="1021">
        <v>43313</v>
      </c>
      <c r="GO1" s="1021">
        <v>43344</v>
      </c>
      <c r="GP1" s="1021">
        <v>43374</v>
      </c>
      <c r="GQ1" s="1021">
        <v>43405</v>
      </c>
      <c r="GR1" s="1021">
        <v>43435</v>
      </c>
      <c r="GS1" s="1021">
        <v>43466</v>
      </c>
      <c r="GT1" s="1021">
        <v>43497</v>
      </c>
      <c r="GU1" s="1021">
        <v>43525</v>
      </c>
      <c r="GV1" s="1021">
        <v>43556</v>
      </c>
      <c r="GW1" s="1021">
        <v>43586</v>
      </c>
      <c r="GX1" s="1021">
        <v>43617</v>
      </c>
      <c r="GY1" s="1021">
        <v>43647</v>
      </c>
      <c r="GZ1" s="1021">
        <v>43678</v>
      </c>
      <c r="HA1" s="1021">
        <v>43709</v>
      </c>
      <c r="HB1" s="1021">
        <v>43739</v>
      </c>
      <c r="HC1" s="1021">
        <v>43770</v>
      </c>
      <c r="HD1" s="1021">
        <v>43800</v>
      </c>
      <c r="HE1" s="1021">
        <v>43831</v>
      </c>
      <c r="HF1" s="1021">
        <v>43862</v>
      </c>
      <c r="HG1" s="1021">
        <v>43891</v>
      </c>
      <c r="HH1" s="1021">
        <v>43922</v>
      </c>
      <c r="HI1" s="1021">
        <v>43952</v>
      </c>
      <c r="HJ1" s="1021">
        <v>43983</v>
      </c>
      <c r="HK1" s="1021">
        <v>44013</v>
      </c>
      <c r="HL1" s="1021">
        <v>44044</v>
      </c>
      <c r="HM1" s="1021">
        <v>44075</v>
      </c>
      <c r="HN1" s="1021">
        <v>44105</v>
      </c>
      <c r="HO1" s="1021">
        <v>44136</v>
      </c>
      <c r="HP1" s="1021">
        <v>44166</v>
      </c>
      <c r="HQ1" s="1021">
        <v>44197</v>
      </c>
      <c r="HR1" s="1021">
        <v>44228</v>
      </c>
      <c r="HS1" s="1021">
        <v>44256</v>
      </c>
      <c r="HT1" s="1021">
        <v>44287</v>
      </c>
      <c r="HU1" s="1021">
        <v>44317</v>
      </c>
      <c r="HV1" s="1021">
        <v>44348</v>
      </c>
      <c r="HW1" s="1021">
        <v>44378</v>
      </c>
      <c r="HX1" s="1021">
        <v>44409</v>
      </c>
      <c r="HY1" s="1021">
        <v>44440</v>
      </c>
      <c r="HZ1" s="1021">
        <v>44470</v>
      </c>
      <c r="IA1" s="1021">
        <v>44501</v>
      </c>
      <c r="IB1" s="1021">
        <v>44531</v>
      </c>
      <c r="IC1" s="1021">
        <v>44562</v>
      </c>
      <c r="ID1" s="1021">
        <v>44593</v>
      </c>
      <c r="IE1" s="1021">
        <v>44621</v>
      </c>
      <c r="IF1" s="1021">
        <v>44652</v>
      </c>
      <c r="IG1" s="1021">
        <v>44682</v>
      </c>
      <c r="IH1" s="1021">
        <v>44713</v>
      </c>
      <c r="II1" s="1021">
        <v>44743</v>
      </c>
      <c r="IJ1" s="1021">
        <v>44774</v>
      </c>
      <c r="IK1" s="1021">
        <v>44805</v>
      </c>
      <c r="IL1" s="1021">
        <v>44835</v>
      </c>
      <c r="IM1" s="1021">
        <v>44866</v>
      </c>
      <c r="IN1" s="1021">
        <v>44896</v>
      </c>
      <c r="IO1" s="1021">
        <v>44927</v>
      </c>
      <c r="IP1" s="1021">
        <v>44958</v>
      </c>
      <c r="IQ1" s="1021">
        <v>44986</v>
      </c>
      <c r="IR1" s="1021">
        <v>45017</v>
      </c>
      <c r="IS1" s="1021">
        <v>45047</v>
      </c>
      <c r="IT1" s="1021">
        <v>45078</v>
      </c>
      <c r="IU1" s="1021">
        <v>45108</v>
      </c>
      <c r="IV1" s="1021">
        <v>45139</v>
      </c>
      <c r="IW1" s="1021">
        <v>45170</v>
      </c>
      <c r="IX1" s="1021">
        <v>45200</v>
      </c>
      <c r="IY1" s="1021">
        <v>45231</v>
      </c>
      <c r="IZ1" s="1021">
        <v>45261</v>
      </c>
      <c r="JA1" s="1021">
        <v>45292</v>
      </c>
      <c r="JB1" s="1021">
        <v>45323</v>
      </c>
      <c r="JC1" s="1021">
        <v>45352</v>
      </c>
      <c r="JD1" s="1021">
        <v>45383</v>
      </c>
      <c r="JE1" s="1021">
        <v>45413</v>
      </c>
      <c r="JF1" s="1020" t="s">
        <v>6154</v>
      </c>
      <c r="JH1" s="1102" t="s">
        <v>29</v>
      </c>
      <c r="JI1" s="1021">
        <v>43466</v>
      </c>
      <c r="JJ1" s="1021">
        <v>43497</v>
      </c>
      <c r="JK1" s="1021">
        <v>43525</v>
      </c>
      <c r="JL1" s="1021">
        <v>43556</v>
      </c>
      <c r="JM1" s="1021">
        <v>43586</v>
      </c>
      <c r="JN1" s="1021">
        <v>43617</v>
      </c>
      <c r="JO1" s="1021">
        <v>43647</v>
      </c>
      <c r="JP1" s="1021">
        <v>43678</v>
      </c>
      <c r="JQ1" s="1021">
        <v>43709</v>
      </c>
      <c r="JR1" s="1021">
        <v>43739</v>
      </c>
      <c r="JS1" s="1021">
        <v>43770</v>
      </c>
      <c r="JT1" s="1021">
        <v>43800</v>
      </c>
      <c r="JU1" s="1021">
        <v>43831</v>
      </c>
      <c r="JV1" s="1021">
        <v>43862</v>
      </c>
      <c r="JW1" s="1021">
        <v>43891</v>
      </c>
      <c r="JX1" s="1021">
        <v>43922</v>
      </c>
      <c r="JY1" s="1021">
        <v>43952</v>
      </c>
      <c r="JZ1" s="1021">
        <v>43983</v>
      </c>
      <c r="KA1" s="1021">
        <v>44013</v>
      </c>
      <c r="KB1" s="1021">
        <v>44044</v>
      </c>
      <c r="KC1" s="1021">
        <v>44075</v>
      </c>
      <c r="KD1" s="1021">
        <v>44105</v>
      </c>
      <c r="KE1" s="1021">
        <v>44136</v>
      </c>
      <c r="KF1" s="1021">
        <v>44166</v>
      </c>
      <c r="KG1" s="1021">
        <v>44197</v>
      </c>
      <c r="KH1" s="1021">
        <v>44228</v>
      </c>
      <c r="KI1" s="1021">
        <v>44256</v>
      </c>
      <c r="KJ1" s="1021">
        <v>44287</v>
      </c>
      <c r="KK1" s="1021">
        <v>44317</v>
      </c>
      <c r="KL1" s="1021">
        <v>44348</v>
      </c>
      <c r="KM1" s="1021">
        <v>44378</v>
      </c>
      <c r="KN1" s="1021">
        <v>44409</v>
      </c>
      <c r="KO1" s="1021">
        <v>44440</v>
      </c>
      <c r="KP1" s="1021">
        <v>44470</v>
      </c>
      <c r="KQ1" s="1021">
        <v>44501</v>
      </c>
      <c r="KR1" s="1021">
        <v>44531</v>
      </c>
      <c r="KS1" s="1021">
        <v>44562</v>
      </c>
      <c r="KT1" s="1021">
        <v>44593</v>
      </c>
      <c r="KU1" s="1021">
        <v>44621</v>
      </c>
      <c r="KV1" s="1021">
        <v>44652</v>
      </c>
      <c r="KW1" s="1021">
        <v>44682</v>
      </c>
      <c r="KX1" s="1021">
        <v>44713</v>
      </c>
      <c r="KY1" s="1021">
        <v>44743</v>
      </c>
      <c r="KZ1" s="1021">
        <v>44774</v>
      </c>
      <c r="LA1" s="1021">
        <v>44805</v>
      </c>
      <c r="LB1" s="1021">
        <v>44835</v>
      </c>
      <c r="LC1" s="1021">
        <v>44866</v>
      </c>
      <c r="LD1" s="1021">
        <v>44896</v>
      </c>
      <c r="LE1" s="1021">
        <v>44927</v>
      </c>
      <c r="LF1" s="1021">
        <v>44958</v>
      </c>
      <c r="LG1" s="1021">
        <v>44986</v>
      </c>
      <c r="LH1" s="1021">
        <v>45017</v>
      </c>
      <c r="LI1" s="1021">
        <v>45047</v>
      </c>
      <c r="LJ1" s="1021">
        <v>45078</v>
      </c>
      <c r="LK1" s="1021">
        <v>45108</v>
      </c>
      <c r="LL1" s="1021">
        <v>45139</v>
      </c>
      <c r="LM1" s="1021">
        <v>45170</v>
      </c>
      <c r="LN1" s="1021">
        <v>45200</v>
      </c>
      <c r="LO1" s="1021">
        <v>45231</v>
      </c>
      <c r="LP1" s="1021">
        <v>45261</v>
      </c>
      <c r="LQ1" s="1021">
        <v>45292</v>
      </c>
      <c r="LR1" s="1021">
        <v>45323</v>
      </c>
      <c r="LS1" s="1021">
        <v>45352</v>
      </c>
      <c r="LT1" s="1021">
        <v>45383</v>
      </c>
      <c r="LU1" s="1021">
        <v>45413</v>
      </c>
    </row>
    <row r="2" spans="2:333" ht="16.5" x14ac:dyDescent="0.3">
      <c r="B2" s="1004" t="s">
        <v>6155</v>
      </c>
      <c r="C2" s="269" t="s">
        <v>6156</v>
      </c>
      <c r="D2" s="271">
        <f>COUNTA(Brasil!AD718:AD727)</f>
        <v>4</v>
      </c>
      <c r="E2" s="271">
        <f>COUNTA(Brasil!AD730:AD742)</f>
        <v>5</v>
      </c>
      <c r="F2" s="271">
        <v>0</v>
      </c>
      <c r="G2" s="271">
        <f>COUNTA(Brasil!AD745:AD763)</f>
        <v>7</v>
      </c>
      <c r="H2" s="271">
        <f>COUNTA(Brasil!AD766:AD769)</f>
        <v>2</v>
      </c>
      <c r="I2" s="271">
        <f>COUNTA(Brasil!AD781:AD790,Brasil!AD796:AD799)</f>
        <v>6</v>
      </c>
      <c r="J2" s="288"/>
      <c r="K2" s="271">
        <f>COUNTA(Brasil!AD805:AD814)</f>
        <v>4</v>
      </c>
      <c r="L2" s="271">
        <f>COUNTA(Brasil!AD817:AD826)</f>
        <v>4</v>
      </c>
      <c r="M2" s="271">
        <f>COUNTA(Brasil!AD832:AD847)</f>
        <v>6</v>
      </c>
      <c r="N2" s="271">
        <f>COUNTA(Brasil!AD856,Brasil!AD862:AD868)</f>
        <v>4</v>
      </c>
      <c r="O2" s="271">
        <f>COUNTA(Brasil!AD871:AD877)</f>
        <v>3</v>
      </c>
      <c r="P2" s="271">
        <f>COUNTA(Brasil!AD880:AD886)</f>
        <v>3</v>
      </c>
      <c r="Q2" s="271">
        <f>COUNTA(Brasil!AD892:AD898)</f>
        <v>3</v>
      </c>
      <c r="R2" s="271">
        <f>COUNTA(Brasil!AD901:AD910)</f>
        <v>4</v>
      </c>
      <c r="S2" s="271">
        <f>COUNTA(Brasil!AD916:AD919)</f>
        <v>2</v>
      </c>
      <c r="T2" s="271">
        <f>COUNTA(Brasil!AD922:AD928)</f>
        <v>3</v>
      </c>
      <c r="U2" s="271">
        <f>COUNTA(Brasil!AD948:AD966)</f>
        <v>7</v>
      </c>
      <c r="V2" s="288"/>
      <c r="W2" s="271">
        <f>COUNTA(Brasil!AD972:AD975)</f>
        <v>2</v>
      </c>
      <c r="X2" s="271">
        <f>COUNTA(Brasil!AD981:AD984)</f>
        <v>2</v>
      </c>
      <c r="Y2" s="271">
        <f>COUNTA(Brasil!AD987:AD1005)</f>
        <v>7</v>
      </c>
      <c r="Z2" s="271">
        <f>COUNTA(Brasil!AD1008:AD1026)</f>
        <v>7</v>
      </c>
      <c r="AA2" s="271">
        <f>COUNTA(Brasil!AD1029:AD1050)</f>
        <v>8</v>
      </c>
      <c r="AB2" s="271">
        <f>COUNTA(Brasil!AD1056:AD1071)</f>
        <v>6</v>
      </c>
      <c r="AC2" s="271">
        <f>COUNTA(Brasil!AD1074:AD1086)</f>
        <v>5</v>
      </c>
      <c r="AD2" s="271">
        <f>COUNTA(Brasil!AD1089:AD1104)</f>
        <v>6</v>
      </c>
      <c r="AE2" s="271">
        <f>COUNTA(Brasil!AD1107:AD1122)</f>
        <v>6</v>
      </c>
      <c r="AF2" s="271">
        <f>COUNTA(Brasil!AD1125:AD1137)</f>
        <v>5</v>
      </c>
      <c r="AG2" s="271">
        <f>COUNTA(Brasil!AD1149:AD1167)</f>
        <v>7</v>
      </c>
      <c r="AH2" s="288"/>
      <c r="AI2" s="271">
        <f>COUNTA(Brasil!AD1170)</f>
        <v>1</v>
      </c>
      <c r="AJ2" s="271">
        <f>COUNTA(Brasil!AD1174:AD1216)</f>
        <v>15</v>
      </c>
      <c r="AK2" s="271">
        <f>COUNTA(Brasil!AD1219:AD1225)</f>
        <v>3</v>
      </c>
      <c r="AL2" s="271">
        <f>COUNTA(Brasil!AD1228:AD1237)</f>
        <v>4</v>
      </c>
      <c r="AM2" s="271">
        <f>COUNTA(Brasil!AD1240:AD1246)</f>
        <v>3</v>
      </c>
      <c r="AN2" s="271">
        <f>COUNTA(Brasil!AD1249:AD1258)</f>
        <v>4</v>
      </c>
      <c r="AO2" s="271">
        <f>COUNTA(Brasil!AD1261:AD1288)</f>
        <v>10</v>
      </c>
      <c r="AP2" s="271">
        <f>COUNTA(Brasil!AD1300:AD1303)</f>
        <v>2</v>
      </c>
      <c r="AQ2" s="271">
        <v>0</v>
      </c>
      <c r="AR2" s="271">
        <f>COUNTA(Brasil!AD1306:AD1324)</f>
        <v>7</v>
      </c>
      <c r="AS2" s="271">
        <v>0</v>
      </c>
      <c r="AT2" s="288"/>
      <c r="AU2" s="271">
        <f>COUNTA(Brasil!AD1337:AD1346)</f>
        <v>4</v>
      </c>
      <c r="AV2" s="271">
        <v>0</v>
      </c>
      <c r="AW2" s="271">
        <f>COUNTA(Brasil!AD1349:AD1370)</f>
        <v>8</v>
      </c>
      <c r="AX2" s="361">
        <v>0</v>
      </c>
      <c r="AY2" s="271">
        <f>COUNTA(Brasil!AD1377:AD1383)</f>
        <v>3</v>
      </c>
      <c r="AZ2" s="271">
        <f>COUNTA(Brasil!AD1386:AD1398)</f>
        <v>5</v>
      </c>
      <c r="BA2" s="271">
        <f>COUNTA(Brasil!AD1437)</f>
        <v>1</v>
      </c>
      <c r="BB2" s="271">
        <f>COUNTA(Brasil!AD1404:AD1434)+COUNTA(Brasil!AD1440)</f>
        <v>12</v>
      </c>
      <c r="BC2" s="271">
        <f>COUNTA(Brasil!AD1443:AD1446)</f>
        <v>2</v>
      </c>
      <c r="BD2" s="271">
        <f>COUNTA(Brasil!AD1449)</f>
        <v>1</v>
      </c>
      <c r="BE2" s="271">
        <f>COUNTA(Brasil!AD1452:AD1457)</f>
        <v>3</v>
      </c>
      <c r="BF2" s="271">
        <f>COUNTA(Brasil!AD1466:AD1470)</f>
        <v>5</v>
      </c>
      <c r="BG2" s="271">
        <f>COUNTA(Brasil!AD1471:AD1473)</f>
        <v>3</v>
      </c>
      <c r="BH2" s="271">
        <v>0</v>
      </c>
      <c r="BI2" s="271">
        <f>COUNTA(Brasil!AD1474:AD1478)</f>
        <v>5</v>
      </c>
      <c r="BJ2" s="271">
        <v>0</v>
      </c>
      <c r="BK2" s="271">
        <f>COUNTA(Brasil!AD1479:AD1486)</f>
        <v>8</v>
      </c>
      <c r="BL2" s="271">
        <f>COUNTA(Brasil!AD1488:AD1498)</f>
        <v>11</v>
      </c>
      <c r="BM2" s="271">
        <v>0</v>
      </c>
      <c r="BN2" s="271">
        <f>COUNTA(Brasil!AD1500:AD1511)</f>
        <v>12</v>
      </c>
      <c r="BO2" s="271">
        <f>COUNTA(Brasil!AD1512:AD1527)</f>
        <v>16</v>
      </c>
      <c r="BP2" s="271">
        <v>0</v>
      </c>
      <c r="BQ2" s="271">
        <f>+COUNTA(Brasil!AD1540:AD1553)</f>
        <v>14</v>
      </c>
      <c r="BR2" s="271">
        <v>0</v>
      </c>
      <c r="BS2" s="271">
        <f>+COUNTA(Brasil!AD1557:AD1558)</f>
        <v>2</v>
      </c>
      <c r="BT2" s="271">
        <f>COUNTA(Brasil!AD1562:AD1568)</f>
        <v>7</v>
      </c>
      <c r="BU2" s="271">
        <f>COUNTA(Brasil!AD1569:AD1572)</f>
        <v>4</v>
      </c>
      <c r="BV2" s="271">
        <f>COUNTA(Brasil!AD1573:AD1583)</f>
        <v>10</v>
      </c>
      <c r="BW2" s="271">
        <f>COUNTA(Brasil!AD1585:AD1588)+COUNTA(Brasil!AD1589)</f>
        <v>5</v>
      </c>
      <c r="BX2" s="271">
        <f>COUNTA(Brasil!AD1590:AD1591)+COUNTA(Brasil!AD1592)</f>
        <v>3</v>
      </c>
      <c r="BY2" s="271">
        <f>COUNTA(Brasil!AD1593)+COUNTA(Brasil!AD1594:AD1595)+COUNTA(Brasil!AD1596:AD1600)</f>
        <v>8</v>
      </c>
      <c r="BZ2" s="271">
        <f>COUNTA(Brasil!AD1601:AD1603)</f>
        <v>3</v>
      </c>
      <c r="CA2" s="271">
        <f>+COUNTA(Brasil!AD1604:AD1606)</f>
        <v>3</v>
      </c>
      <c r="CB2" s="271">
        <f>COUNTA(Brasil!AD1607)+COUNTA(Brasil!AD1608)</f>
        <v>2</v>
      </c>
      <c r="CC2" s="271">
        <f>COUNTA(Brasil!AD1621:AD1623)+COUNTA(Brasil!AD1619)+COUNTA(Brasil!AD1620)</f>
        <v>5</v>
      </c>
      <c r="CD2" s="271">
        <f>COUNTA(Brasil!AD1625)</f>
        <v>1</v>
      </c>
      <c r="CE2" s="271">
        <f>COUNTA(Brasil!AD1628)+COUNTA(Brasil!AD1629:AD1630)+COUNTA(Brasil!AD1631:AD1631)+COUNTA(Brasil!AD1626:AD1627)</f>
        <v>6</v>
      </c>
      <c r="CF2" s="271">
        <f>+COUNTA(Brasil!AD1632:AD1638)</f>
        <v>7</v>
      </c>
      <c r="CG2" s="271">
        <f>+COUNTA(Brasil!AD1640:AD1642)+COUNTA(Brasil!AD1639)</f>
        <v>4</v>
      </c>
      <c r="CH2" s="271">
        <v>0</v>
      </c>
      <c r="CI2" s="271">
        <f>+COUNTA(Brasil!AD1644:AD1652)</f>
        <v>9</v>
      </c>
      <c r="CJ2" s="271">
        <f>+COUNTA(Brasil!AD1653:AD1658)</f>
        <v>6</v>
      </c>
      <c r="CK2" s="271">
        <f>+COUNTA(Brasil!AD1659:AD1663)</f>
        <v>5</v>
      </c>
      <c r="CL2" s="271">
        <f>+COUNTA(Brasil!AD1664)+COUNTA(Brasil!AD1665)+COUNTA(Brasil!AD1666)+COUNTA(Brasil!AD1667)</f>
        <v>4</v>
      </c>
      <c r="CM2" s="271">
        <f>+COUNTA(Brasil!AD1668:AD1673)</f>
        <v>6</v>
      </c>
      <c r="CN2" s="271">
        <f>+COUNTA(Brasil!AD1675:AD1676)+COUNTA(Brasil!AD1674)+COUNTA(Brasil!AD1677:AD1678)</f>
        <v>5</v>
      </c>
      <c r="CO2" s="271">
        <f>+COUNTA(Brasil!AD1689:AD1693)</f>
        <v>5</v>
      </c>
      <c r="CP2" s="271">
        <f>+COUNTA(Brasil!AD1694:AD1696)</f>
        <v>3</v>
      </c>
      <c r="CQ2" s="271">
        <f>+COUNTA(Brasil!AD1700)+COUNTA(Brasil!AD1702)++COUNTA(Brasil!AD1701:AD1701)++COUNTA(Brasil!AD1697:AD1699)</f>
        <v>6</v>
      </c>
      <c r="CR2" s="271">
        <f>+COUNTA(Brasil!AD1703:AD1711)</f>
        <v>9</v>
      </c>
      <c r="CS2" s="271">
        <f>+COUNTA(Brasil!AD1712:AD1718)</f>
        <v>7</v>
      </c>
      <c r="CT2" s="271">
        <f>+COUNTA(Brasil!AD1720:AD1725)+COUNTA(Brasil!AD1726:AD1726)</f>
        <v>7</v>
      </c>
      <c r="CU2" s="271">
        <f>+COUNTA(Brasil!AD1727)+COUNTA(Brasil!AD1728:AD1733)</f>
        <v>7</v>
      </c>
      <c r="CV2" s="271">
        <f>+COUNTA(Brasil!AD1734:AD1736)+COUNTA(Brasil!AD1737:AD1737)</f>
        <v>4</v>
      </c>
      <c r="CW2" s="271">
        <f>+COUNTA(Brasil!AD1739:AD1743)</f>
        <v>5</v>
      </c>
      <c r="CX2" s="271">
        <f>+COUNTA(Brasil!AD1744:AD1751)+COUNTA(Brasil!AD1752:AD1754)+COUNTA(Brasil!AD1755)</f>
        <v>12</v>
      </c>
      <c r="CY2" s="271">
        <f>+COUNTA(Brasil!AD1756)+COUNTA(Brasil!AD1757)+COUNTA(Brasil!AD1758)+COUNTA(Brasil!AD1759)+COUNTA(Brasil!AD1760)+COUNTA(Brasil!AD1761)+COUNTA(Brasil!AD1762)</f>
        <v>7</v>
      </c>
      <c r="CZ2" s="271">
        <f>+COUNTA(Brasil!AD1769:AD1770)+COUNTA(Brasil!AD1767:AD1767)+COUNTA(Brasil!AD1766)+COUNTA(Brasil!AD1768)+COUNTA(Brasil!AD1763:AD1765)</f>
        <v>8</v>
      </c>
      <c r="DA2" s="271">
        <f>+COUNTA(Brasil!AD1780:AD1791)</f>
        <v>12</v>
      </c>
      <c r="DB2" s="271">
        <v>0</v>
      </c>
      <c r="DC2" s="271">
        <f>+COUNTA(Brasil!AD1792:AD1806)</f>
        <v>15</v>
      </c>
      <c r="DD2" s="271">
        <f>+COUNTA(Brasil!AD1814)+COUNTA(Brasil!AD1815)+COUNTA(Brasil!AD1813)+COUNTA(Brasil!AD1807:AD1812)</f>
        <v>9</v>
      </c>
      <c r="DE2" s="755">
        <f>COUNTA(Brasil!AD1822)+COUNTA(Brasil!AD1821)+COUNTA(Brasil!AD1824)+COUNTA(Brasil!D1816)+COUNTA(Brasil!AD1817)+COUNTA(Brasil!AD1818)+COUNTA(Brasil!AD1820)+COUNTA(Brasil!AD1819)</f>
        <v>8</v>
      </c>
      <c r="DF2" s="271">
        <f>+COUNTA(Brasil!AD1825:AD1830)</f>
        <v>6</v>
      </c>
      <c r="DG2" s="271">
        <f>COUNTA(Brasil!AD1847)+COUNTA(Brasil!AD1840)+COUNTA(Brasil!AD1841)+COUNTA(Brasil!AD1842)+COUNTA(Brasil!AD1831:AD1846)</f>
        <v>20</v>
      </c>
      <c r="DH2" s="271">
        <f>COUNTA(Brasil!AD1849)+COUNTA(Brasil!AD1848)+COUNTA(Brasil!AD1850)+COUNTA(Brasil!AD1851)+COUNTA(Brasil!AD1852)+COUNTA(Brasil!AD1853)</f>
        <v>6</v>
      </c>
      <c r="DI2" s="271">
        <f>COUNTA(Brasil!AD1856)+COUNTA(Brasil!AD1855)+COUNTA(Brasil!AD1858)+COUNTA(Brasil!AD1857)</f>
        <v>4</v>
      </c>
      <c r="DJ2" s="271">
        <v>0</v>
      </c>
      <c r="DK2" s="271">
        <f>COUNTA(Brasil!AD1860)+COUNTA(Brasil!AD1862:AD1862)</f>
        <v>2</v>
      </c>
      <c r="DL2" s="271">
        <f>+COUNTA(Brasil!AD1867:AD1867)+COUNTA(Brasil!AD1868:AD1869)</f>
        <v>3</v>
      </c>
      <c r="DM2" s="271">
        <f>+COUNTA(Brasil!AD1881:AD1888)+COUNTA(Brasil!AD1889:AD1889)</f>
        <v>9</v>
      </c>
      <c r="DN2" s="271">
        <f>+COUNTA(Brasil!AD1892)+COUNTA(Brasil!AD1890)+COUNTA(Brasil!AD1893)+COUNTA(Brasil!AD1891)</f>
        <v>4</v>
      </c>
      <c r="DO2" s="271">
        <f>+COUNTA(Brasil!AD1894:AD1903)+COUNTA(Brasil!AD1896)+COUNTA(Brasil!AD1900)</f>
        <v>12</v>
      </c>
      <c r="DP2" s="271">
        <f>+COUNTA(Brasil!AD1908)+COUNTA(Brasil!AD1904:AD1907)</f>
        <v>5</v>
      </c>
      <c r="DQ2" s="271">
        <f>+COUNTA(Brasil!AD1909:AD1916)</f>
        <v>8</v>
      </c>
      <c r="DR2" s="271">
        <f>+COUNTA(Brasil!AD1917:AD1923)</f>
        <v>7</v>
      </c>
      <c r="DS2" s="271">
        <f>+COUNTA(Brasil!AD1924:AD1931)</f>
        <v>8</v>
      </c>
      <c r="DT2" s="271">
        <f>+COUNTA(Brasil!AD1932:AD1935)</f>
        <v>4</v>
      </c>
      <c r="DU2" s="271">
        <f>COUNTA(Brasil!AD1936:'Brasil'!AD1944)</f>
        <v>9</v>
      </c>
      <c r="DV2" s="271">
        <f>+COUNTA(Brasil!AD1945:AD1952)</f>
        <v>8</v>
      </c>
      <c r="DW2" s="271">
        <f>+COUNTA(Brasil!AD1953:'Brasil'!AD1960)</f>
        <v>8</v>
      </c>
      <c r="DX2" s="271">
        <f>+COUNTA(Brasil!AD1975:AD1975)+COUNTA(Brasil!AD1961:AD1974)</f>
        <v>14</v>
      </c>
      <c r="DY2" s="271">
        <f>+COUNTA(Brasil!AD1988:AD1993)+COUNTA(Brasil!AD1994:AD1994)</f>
        <v>7</v>
      </c>
      <c r="DZ2" s="271">
        <f>+COUNTA(Brasil!AD1999:AD1999)+COUNTA(Brasil!AD1995:AD1997)</f>
        <v>4</v>
      </c>
      <c r="EA2" s="271">
        <f>+COUNTA(Brasil!AD2007:AD2008)+COUNTA(Brasil!AD2009)+COUNTA(Brasil!AD2004:AD2005)+COUNTA(Brasil!AD2000:AD2001)+COUNTA(Brasil!AD2006:AD2006)</f>
        <v>8</v>
      </c>
      <c r="EB2" s="271">
        <f>+COUNTA(Brasil!AD2010:AD2013)</f>
        <v>4</v>
      </c>
      <c r="EC2" s="271">
        <f>+COUNTA(Brasil!AD2014:AD2022)</f>
        <v>9</v>
      </c>
      <c r="ED2" s="271">
        <f>+COUNTA(Brasil!AD2028:AD2028)+COUNTA(Brasil!AD2030)+COUNTA(Brasil!AD2029:AD2029)+COUNTA(Brasil!AD2024)</f>
        <v>4</v>
      </c>
      <c r="EE2" s="271">
        <f>+COUNTA(Brasil!AD2033:AD2033)+COUNTA(Brasil!AD2034)</f>
        <v>2</v>
      </c>
      <c r="EF2" s="271">
        <v>0</v>
      </c>
      <c r="EG2" s="271">
        <f>+COUNTA(Brasil!AD2052:AD2053)+COUNTA(Brasil!AD2037:AD2045)</f>
        <v>11</v>
      </c>
      <c r="EH2" s="271">
        <f>+COUNTA(Brasil!AD2046:AD2055)</f>
        <v>10</v>
      </c>
      <c r="EI2" s="271">
        <v>0</v>
      </c>
      <c r="EJ2" s="271">
        <f>+COUNTA(Brasil!AD2059:AD2059)+COUNTA(Brasil!AD2056:AD2063)</f>
        <v>9</v>
      </c>
      <c r="EK2" s="271">
        <f>+COUNTA(Brasil!AD2083:AD2083)+COUNTA(Brasil!AD2081:AD2081)+COUNTA(Brasil!AD2075:AD2079)</f>
        <v>7</v>
      </c>
      <c r="EL2" s="271">
        <v>0</v>
      </c>
      <c r="EM2" s="271">
        <f>+COUNTA(Brasil!AD2086:AD2086)+COUNTA(Brasil!AD2093:AD2094)+COUNTA(Brasil!AD2089:AD2090)+COUNTA(Brasil!AD2092)+COUNTA(Brasil!AD2084:AD2085)</f>
        <v>8</v>
      </c>
      <c r="EN2" s="271">
        <f>+COUNTA(Brasil!AD2091)</f>
        <v>1</v>
      </c>
      <c r="EO2" s="271">
        <f>+COUNTA(Brasil!AD2096)+COUNTA(Brasil!AD2095)</f>
        <v>2</v>
      </c>
      <c r="EP2" s="271">
        <f>+COUNTA(Brasil!AD2097:AD2099)</f>
        <v>3</v>
      </c>
      <c r="EQ2" s="271">
        <f>+COUNTA(Brasil!AD2100:AD2102)</f>
        <v>3</v>
      </c>
      <c r="ER2" s="271">
        <f>+COUNTA(Brasil!AD2103)</f>
        <v>1</v>
      </c>
      <c r="ES2" s="271">
        <f>+COUNTA(Brasil!AD2104:AD2105)</f>
        <v>2</v>
      </c>
      <c r="ET2" s="271">
        <v>0</v>
      </c>
      <c r="EU2" s="271">
        <v>0</v>
      </c>
      <c r="EV2" s="271">
        <f>+COUNTA(Brasil!AD2106:AD2109)</f>
        <v>4</v>
      </c>
      <c r="EW2" s="271">
        <f>+COUNTA(Brasil!AD2124:AD2124)+COUNTA(Brasil!AD2123)</f>
        <v>2</v>
      </c>
      <c r="EX2" s="271">
        <v>0</v>
      </c>
      <c r="EY2" s="271">
        <f>+COUNTA(Brasil!AD2125)+COUNTA(Brasil!AD2126)</f>
        <v>2</v>
      </c>
      <c r="EZ2" s="271">
        <f>+COUNTA(Brasil!AD2127:AD2128)</f>
        <v>2</v>
      </c>
      <c r="FA2" s="271">
        <f>+COUNTA(Brasil!AD2129:AD2132)</f>
        <v>4</v>
      </c>
      <c r="FB2" s="271">
        <f>+COUNTA(Brasil!AD2133)</f>
        <v>1</v>
      </c>
      <c r="FC2" s="271">
        <f>+COUNTA(Brasil!AD2134:AD2139)</f>
        <v>6</v>
      </c>
      <c r="FD2" s="271">
        <f>+COUNTA(Brasil!AD2140)+COUNTA(Brasil!AD2141:AD2145)</f>
        <v>6</v>
      </c>
      <c r="FE2" s="271">
        <f>+COUNTA(Brasil!AD2146)+COUNTA(Brasil!AD2147)</f>
        <v>2</v>
      </c>
      <c r="FF2" s="271">
        <f>+COUNTA(Brasil!AD2148)+COUNTA(Brasil!AD2149)</f>
        <v>2</v>
      </c>
      <c r="FG2" s="271">
        <f>+COUNTA(Brasil!AD2150)+COUNTA(Brasil!AD2151:AD2152)</f>
        <v>3</v>
      </c>
      <c r="FH2" s="271">
        <f>+COUNTA(Brasil!AD2153)</f>
        <v>1</v>
      </c>
      <c r="FI2" s="271">
        <v>0</v>
      </c>
      <c r="FJ2" s="271">
        <f>+COUNTA(Brasil!AD2166:AD2168)</f>
        <v>3</v>
      </c>
      <c r="FK2" s="271">
        <v>0</v>
      </c>
      <c r="FL2" s="271">
        <f>+COUNTA(Brasil!AD2169:AD2171)+COUNTA(Brasil!AD2172)+COUNTA(Brasil!AD2173)</f>
        <v>5</v>
      </c>
      <c r="FM2" s="271">
        <v>0</v>
      </c>
      <c r="FN2" s="271">
        <f>+COUNTA(Brasil!AD2174)+COUNTA(Brasil!AD2175)+COUNTA(Brasil!AD2176)+COUNTA(Brasil!AD2177)+COUNTA(Brasil!AD2178)</f>
        <v>5</v>
      </c>
      <c r="FO2" s="271">
        <f>+COUNTA(Brasil!AD2179)</f>
        <v>1</v>
      </c>
      <c r="FP2" s="271">
        <v>0</v>
      </c>
      <c r="FQ2" s="271">
        <f>+COUNTA(Brasil!AD2180)</f>
        <v>1</v>
      </c>
      <c r="FR2" s="271">
        <v>0</v>
      </c>
      <c r="FS2" s="271">
        <f>+COUNTA(Brasil!AD2181)</f>
        <v>1</v>
      </c>
      <c r="FT2" s="271">
        <v>0</v>
      </c>
      <c r="FU2" s="271">
        <v>0</v>
      </c>
      <c r="FV2" s="271">
        <v>0</v>
      </c>
      <c r="FW2" s="271">
        <v>0</v>
      </c>
      <c r="FX2" s="271">
        <f>+COUNTA(Brasil!AD2190:AD2191)</f>
        <v>2</v>
      </c>
      <c r="FY2" s="271">
        <v>0</v>
      </c>
      <c r="FZ2" s="271">
        <f>+COUNTA(Brasil!AD2192:AD2193)</f>
        <v>2</v>
      </c>
      <c r="GA2" s="271">
        <v>0</v>
      </c>
      <c r="GB2" s="271">
        <v>0</v>
      </c>
      <c r="GC2" s="271">
        <f>+COUNTA(Brasil!AD2194:AD2195)</f>
        <v>2</v>
      </c>
      <c r="GD2" s="271">
        <f>+COUNTA(Brasil!AD2196:AD2199)</f>
        <v>4</v>
      </c>
      <c r="GE2" s="271">
        <f>+COUNTA(Brasil!AD2200:AD2201)</f>
        <v>2</v>
      </c>
      <c r="GF2" s="271">
        <f>+COUNTA(Brasil!AD2202:AD2203)</f>
        <v>2</v>
      </c>
      <c r="GG2" s="271">
        <v>0</v>
      </c>
      <c r="GH2" s="271">
        <v>0</v>
      </c>
      <c r="GI2" s="271">
        <f>+COUNTA(Brasil!AD2207:AD2210)</f>
        <v>4</v>
      </c>
      <c r="GJ2" s="271">
        <v>0</v>
      </c>
      <c r="GK2" s="271">
        <f>+COUNTA(Brasil!AD2211:AD2212)</f>
        <v>2</v>
      </c>
      <c r="GL2" s="271">
        <f>+COUNTA(Brasil!AD2213)+COUNTA(Brasil!AD2214)</f>
        <v>2</v>
      </c>
      <c r="GM2" s="271">
        <f>+COUNTA(Brasil!AD2215:AD2216)</f>
        <v>2</v>
      </c>
      <c r="GN2" s="271">
        <f>+COUNTA(Brasil!AD2229)+COUNTA(Brasil!AD2230)+COUNTA(Brasil!AD2231)+COUNTA(Brasil!AD2232)</f>
        <v>4</v>
      </c>
      <c r="GO2" s="271">
        <f>+COUNTA(Brasil!AD2217)+COUNTA(Brasil!AD2218)+COUNTA(Brasil!AD2219)+COUNTA(Brasil!AD2220)</f>
        <v>4</v>
      </c>
      <c r="GP2" s="271">
        <f>+COUNTA(Brasil!AD2221)+COUNTA(Brasil!AD2222)+COUNTA(Brasil!AD2223)+COUNTA(Brasil!AD2224:AD2228)</f>
        <v>8</v>
      </c>
      <c r="GQ2" s="271">
        <f>+COUNTA(Brasil!AD2233)+COUNTA(Brasil!AD2234:AD2238)</f>
        <v>6</v>
      </c>
      <c r="GR2" s="271">
        <f>+COUNTA(Brasil!AD2239)+COUNTA(Brasil!AD2240:AD2243)+COUNTA(Brasil!AD2244)+COUNTA(Brasil!AD2245)</f>
        <v>7</v>
      </c>
      <c r="GS2" s="271">
        <f>+COUNTA(Brasil!AD2254)+COUNTA(Brasil!AD2255)</f>
        <v>2</v>
      </c>
      <c r="GT2" s="271">
        <f>+COUNTA(Brasil!AD2256)+COUNTA(Brasil!AD2257)+COUNTA(Brasil!AD2259:AD2262)</f>
        <v>6</v>
      </c>
      <c r="GU2" s="271">
        <f>+COUNTA(Brasil!AD2258)+COUNTA(Brasil!AD2263:AD2264)+COUNTA(Brasil!AD2265)</f>
        <v>4</v>
      </c>
      <c r="GV2" s="271">
        <f>+COUNTA(Brasil!AD2266)+COUNTA(Brasil!AD2267:AD2268)</f>
        <v>3</v>
      </c>
      <c r="GW2" s="271">
        <v>0</v>
      </c>
      <c r="GX2" s="271">
        <f>+COUNTA(Brasil!AD2269)+COUNTA(Brasil!AD2270:AD2274)</f>
        <v>6</v>
      </c>
      <c r="GY2" s="271">
        <f>+COUNTA(Brasil!AD2275)+COUNTA(Brasil!AD2276:AD2278)+COUNTA(Brasil!AD2279)</f>
        <v>5</v>
      </c>
      <c r="GZ2" s="271">
        <f>+COUNTA('Pagos pendientes'!AE4)+COUNTA('Pagos pendientes'!AE5)+COUNTA('Pagos pendientes'!AE6:AE8)+COUNTA('Pagos pendientes'!AE9:AE12)</f>
        <v>9</v>
      </c>
      <c r="HA2" s="271">
        <f>+COUNTA(Brasil!AD2280:AD2281)</f>
        <v>2</v>
      </c>
      <c r="HB2" s="271">
        <f>+COUNTA(Brasil!AD2282)+COUNTA(Brasil!AD2283:AD2285)+COUNTA(Brasil!AD2286)</f>
        <v>5</v>
      </c>
      <c r="HC2" s="271">
        <f>+COUNTA(Brasil!AD2287)+COUNTA(Brasil!AD2288)+COUNTA(Brasil!AD2289:AD2291)+COUNTA(Brasil!AD2292)</f>
        <v>6</v>
      </c>
      <c r="HD2" s="271">
        <f>+COUNTA(Brasil!AD2293:AD2295)+COUNTA(Brasil!AD2296:AD2297)+COUNTA(Brasil!AD2298:AD2302)+COUNTA(Brasil!AD2303:AD2304)</f>
        <v>12</v>
      </c>
      <c r="HE2" s="271">
        <f>+COUNTA(Brasil!AD2311)+COUNTA(Brasil!AD2312:AD2314)</f>
        <v>4</v>
      </c>
      <c r="HF2" s="271">
        <f>+COUNTA(Brasil!AD2315)+COUNTA(Brasil!AD2316:AD2320)</f>
        <v>6</v>
      </c>
      <c r="HG2" s="271">
        <f>+COUNTA(Brasil!AD2321:AD2324)</f>
        <v>4</v>
      </c>
      <c r="HH2" s="271">
        <f>+COUNTA(Brasil!AD2325:AD2326)</f>
        <v>2</v>
      </c>
      <c r="HI2" s="271">
        <f>+COUNTA(Brasil!AD2327:AD2331)</f>
        <v>5</v>
      </c>
      <c r="HJ2" s="271">
        <f>+COUNTA(Brasil!AD2332:AD2334)+COUNTA(Brasil!AD2335)</f>
        <v>4</v>
      </c>
      <c r="HK2" s="271">
        <f>+COUNTA(Brasil!AD2336)</f>
        <v>1</v>
      </c>
      <c r="HL2" s="271">
        <f>+COUNTA(Brasil!AD2339:AD2343)+COUNTA(Brasil!AD2337:AD2338)+COUNTA(Brasil!AD2344)</f>
        <v>8</v>
      </c>
      <c r="HM2" s="271">
        <f>+COUNTA(Brasil!AD2345)</f>
        <v>1</v>
      </c>
      <c r="HN2" s="271">
        <f>+COUNTA(Brasil!AD2346)+COUNTA(Brasil!AD2347:AD2352)</f>
        <v>7</v>
      </c>
      <c r="HO2" s="271">
        <f>+COUNTA(Brasil!AD2353:AD2360)</f>
        <v>8</v>
      </c>
      <c r="HP2" s="271">
        <f>+COUNTA(Brasil!AD2372:AD2372)+COUNTA(Brasil!AD2361:AD2364)</f>
        <v>5</v>
      </c>
      <c r="HQ2" s="271">
        <f>+COUNTA(Brasil!AD2373:AD2375)</f>
        <v>3</v>
      </c>
      <c r="HR2" s="271">
        <f>+COUNTA(Brasil!AD2376)+COUNTA(Brasil!AD2377:AD2377)+COUNTA(Brasil!AD2383)</f>
        <v>3</v>
      </c>
      <c r="HS2" s="271">
        <f>+COUNTA(Brasil!AD2384:AD2389)+COUNTA(Brasil!AD2390:AD2390)+COUNTA(Brasil!AD2391:AD2392)</f>
        <v>9</v>
      </c>
      <c r="HT2" s="271">
        <f>+COUNTA(Brasil!AD2396)+COUNTA(Brasil!AD2393)+COUNTA(Brasil!AD2394:AD2395)+COUNTA(Brasil!AD2397:AD2399)</f>
        <v>7</v>
      </c>
      <c r="HU2" s="271">
        <v>0</v>
      </c>
      <c r="HV2" s="271">
        <f>+COUNTA(Brasil!AD2401)+COUNTA(Brasil!AD2402)+COUNTA(Brasil!AD2403:AD2405)+COUNTA(Brasil!AD2407)+COUNTA(Brasil!AD2406)</f>
        <v>7</v>
      </c>
      <c r="HW2" s="271">
        <f>+COUNTA(Brasil!AD2408:AD2420)+COUNTA(Brasil!AD2421:AD2422)+COUNTA(Brasil!AD2423)+COUNTA(Brasil!AD2424:AD2426)</f>
        <v>19</v>
      </c>
      <c r="HX2" s="271">
        <f>+COUNTA(Brasil!AD2427:AD2432)</f>
        <v>6</v>
      </c>
      <c r="HY2" s="271">
        <f>+COUNTA(Brasil!AD2434:AD2438)</f>
        <v>5</v>
      </c>
      <c r="HZ2" s="271">
        <f>+COUNTA(Brasil!AD2439:AD2441)</f>
        <v>3</v>
      </c>
      <c r="IA2" s="271">
        <f>+COUNTA(Brasil!AD2442:AD2447)</f>
        <v>6</v>
      </c>
      <c r="IB2" s="271">
        <f>+COUNTA(Brasil!AD2448:AD2450)</f>
        <v>3</v>
      </c>
      <c r="IC2" s="271">
        <f>+COUNTA(Brasil!AD2459:AD2462)+COUNTA(Brasil!AD2463:AD2465)</f>
        <v>7</v>
      </c>
      <c r="ID2" s="271">
        <f>+COUNTA(Brasil!AD2466:AD2469)</f>
        <v>4</v>
      </c>
      <c r="IE2" s="271">
        <f>+COUNTA(Brasil!AD2470)+COUNTA(Brasil!AD2471:AD2478)</f>
        <v>9</v>
      </c>
      <c r="IF2" s="271">
        <f>+COUNTA(Brasil!AD2479)+COUNTA(Brasil!AD2480:AD2483)+COUNTA(Brasil!AD2484)</f>
        <v>6</v>
      </c>
      <c r="IG2" s="271">
        <f>+COUNTA(Brasil!AD2485:AD2492)</f>
        <v>8</v>
      </c>
      <c r="IH2" s="271">
        <f>+COUNTA(Brasil!AD2493:AD2496)</f>
        <v>4</v>
      </c>
      <c r="II2" s="271">
        <f>+COUNTA(Brasil!AD2499:AD2499)+COUNTA(Brasil!AD2500:AD2506)</f>
        <v>8</v>
      </c>
      <c r="IJ2" s="271">
        <v>0</v>
      </c>
      <c r="IK2" s="271">
        <v>0</v>
      </c>
      <c r="IL2" s="271">
        <f>+COUNTA(Brasil!AD2508)</f>
        <v>1</v>
      </c>
      <c r="IM2" s="271">
        <f>+COUNTA(Brasil!AD2507:AD2508)</f>
        <v>2</v>
      </c>
      <c r="IN2" s="271">
        <v>0</v>
      </c>
      <c r="IO2" s="271">
        <v>0</v>
      </c>
      <c r="IP2" s="271">
        <v>0</v>
      </c>
      <c r="IQ2" s="271">
        <f>+COUNTA(Brasil!AD2517:AD2525)</f>
        <v>9</v>
      </c>
      <c r="IR2" s="271">
        <f>+COUNTA(Brasil!AD2526:AD2528)+COUNTA(Brasil!AD2529)</f>
        <v>4</v>
      </c>
      <c r="IS2" s="271">
        <f>+COUNTA(Brasil!AD2530:AD2532)+COUNTA(Brasil!AD2533)</f>
        <v>4</v>
      </c>
      <c r="IT2" s="271">
        <f>+COUNTA(Brasil!AD2534:AD2542)</f>
        <v>9</v>
      </c>
      <c r="IU2" s="271">
        <f>+COUNTA(Brasil!AD2543)+COUNTA(Brasil!AD2544)+COUNTA(Brasil!AD2545)+COUNTA(Brasil!AD2546)</f>
        <v>4</v>
      </c>
      <c r="IV2" s="271">
        <f>+COUNTA(Brasil!AD2547)+COUNTA(Brasil!AD2548)+COUNTA(Brasil!AD2549)</f>
        <v>3</v>
      </c>
      <c r="IW2" s="271">
        <f>+COUNTA(Brasil!AD2550)</f>
        <v>1</v>
      </c>
      <c r="IX2" s="271">
        <f>+COUNTA(Brasil!AD2551)+COUNTA(Brasil!AD2552)+COUNTA(Brasil!AD2554:AD2558)</f>
        <v>7</v>
      </c>
      <c r="IY2" s="271">
        <f>+COUNTA(Brasil!AD2559)+COUNTA(Brasil!AD2560)+COUNTA(Brasil!AD2553)</f>
        <v>3</v>
      </c>
      <c r="IZ2" s="271">
        <f>+COUNTA(Brasil!AD2561)+COUNTA(Brasil!AD2562)</f>
        <v>2</v>
      </c>
      <c r="JA2" s="271">
        <f>+COUNTA(Brasil!AD2566)+COUNTA(Brasil!AD2567)</f>
        <v>2</v>
      </c>
      <c r="JB2" s="271">
        <f>+COUNTA(Brasil!AD2568)</f>
        <v>1</v>
      </c>
      <c r="JC2" s="271">
        <f>+COUNTA('o.c.'!AE5)+COUNTA('o.c.'!AE10)</f>
        <v>2</v>
      </c>
      <c r="JD2" s="271">
        <f>+COUNTA('o.c.'!AE6)+COUNTA('o.c.'!AE11)</f>
        <v>2</v>
      </c>
      <c r="JE2" s="271">
        <f>+COUNTA('o.c.'!AE12)</f>
        <v>1</v>
      </c>
      <c r="JF2" s="361">
        <f>SUM(D2:JE2)</f>
        <v>1144</v>
      </c>
      <c r="JH2" s="1472" t="s">
        <v>7510</v>
      </c>
      <c r="JI2" s="1097">
        <f>+COUNTA(Brasil!AG2221:AG2228)</f>
        <v>8</v>
      </c>
      <c r="JJ2" s="1097">
        <f>+COUNTA(Brasil!AG2233:AG2238)</f>
        <v>6</v>
      </c>
      <c r="JK2" s="1097">
        <f>+COUNTA(Brasil!AG2239:AG2245)</f>
        <v>7</v>
      </c>
      <c r="JL2" s="1097">
        <v>0</v>
      </c>
      <c r="JM2" s="1097">
        <f>+COUNTA(Brasil!AG2254:AG2255)</f>
        <v>2</v>
      </c>
      <c r="JN2" s="1097">
        <f>+COUNTA(Brasil!AG2256:AG2265)</f>
        <v>10</v>
      </c>
      <c r="JO2" s="1097">
        <f>+COUNTA(Brasil!AG2266:AG2268)</f>
        <v>3</v>
      </c>
      <c r="JP2" s="1097">
        <v>0</v>
      </c>
      <c r="JQ2" s="1097">
        <f>+COUNTA(Brasil!AG2269:AG2274)</f>
        <v>6</v>
      </c>
      <c r="JR2" s="1097">
        <f>+COUNTA(Brasil!AG2275:AG2279)</f>
        <v>5</v>
      </c>
      <c r="JS2" s="1097">
        <f>+COUNTA(Brasil!AG2280:AG2281)</f>
        <v>2</v>
      </c>
      <c r="JT2" s="1097">
        <f>+COUNTA(Brasil!AG2282:AG2286)</f>
        <v>5</v>
      </c>
      <c r="JU2" s="1097">
        <f>+COUNTA(Brasil!AG2287:AG2292)</f>
        <v>6</v>
      </c>
      <c r="JV2" s="1097">
        <f>+COUNTA(Brasil!AG2293:AG2304)</f>
        <v>12</v>
      </c>
      <c r="JW2" s="1097">
        <f>+COUNTA(Brasil!AG2311:AG2314)</f>
        <v>4</v>
      </c>
      <c r="JX2" s="1097">
        <f>+COUNTA(Brasil!AG2315:AG2320)</f>
        <v>6</v>
      </c>
      <c r="JY2" s="1097">
        <f>+COUNTA(Brasil!AG2321:AG2324)</f>
        <v>4</v>
      </c>
      <c r="JZ2" s="1097">
        <f>+COUNTA(Brasil!AG2325:AG2326)</f>
        <v>2</v>
      </c>
      <c r="KA2" s="1097">
        <v>0</v>
      </c>
      <c r="KB2" s="1097">
        <f>+COUNTA(Brasil!AG2327:AG2335)</f>
        <v>9</v>
      </c>
      <c r="KC2" s="1097">
        <f>+COUNTA(Brasil!AG2336)</f>
        <v>1</v>
      </c>
      <c r="KD2" s="1097">
        <f>+COUNTA(Brasil!AG2337:AG2338)</f>
        <v>2</v>
      </c>
      <c r="KE2" s="1097">
        <f>+COUNTA(Brasil!AG2339:AG2344)</f>
        <v>6</v>
      </c>
      <c r="KF2" s="1097">
        <f>+COUNTA(Brasil!AG2345:AG2352)</f>
        <v>8</v>
      </c>
      <c r="KG2" s="1097">
        <f>+COUNTA(Brasil!AG2353:AG2360)</f>
        <v>8</v>
      </c>
      <c r="KH2" s="1097">
        <v>0</v>
      </c>
      <c r="KI2" s="1097">
        <f>+COUNTA(Brasil!AH2361:AH2364)+COUNTA(Brasil!AH2372:AH2375)</f>
        <v>8</v>
      </c>
      <c r="KJ2" s="1097">
        <v>0</v>
      </c>
      <c r="KK2" s="1097">
        <f>+COUNTA(Brasil!AG2376:AG2389)</f>
        <v>14</v>
      </c>
      <c r="KL2" s="1097">
        <f>+COUNTA(Brasil!AG2390:AG2395)</f>
        <v>6</v>
      </c>
      <c r="KM2" s="1097">
        <f>+COUNTA(Brasil!AG2396:AG2399)</f>
        <v>4</v>
      </c>
      <c r="KN2" s="1097">
        <f>+COUNTA(Brasil!AG2401:AG2405)</f>
        <v>5</v>
      </c>
      <c r="KO2" s="1097">
        <f>+COUNTA(Brasil!AG2406:AG2411)</f>
        <v>6</v>
      </c>
      <c r="KP2" s="1097">
        <f>+COUNTA(Brasil!AG2412:AG2430)</f>
        <v>19</v>
      </c>
      <c r="KQ2" s="1097">
        <f>+COUNTA(Brasil!AG2431:AG2432)</f>
        <v>2</v>
      </c>
      <c r="KR2" s="1097">
        <f>+COUNTA(Brasil!AG2434:AG2438)</f>
        <v>5</v>
      </c>
      <c r="KS2" s="1097">
        <f>+COUNTA(Brasil!AG2439:AG2445)</f>
        <v>7</v>
      </c>
      <c r="KT2" s="1097">
        <f>+COUNTA(Brasil!AG2446:AG2447)</f>
        <v>2</v>
      </c>
      <c r="KU2" s="1097">
        <f>+COUNTA(Brasil!AG2448:AG2450)</f>
        <v>3</v>
      </c>
      <c r="KV2" s="1097">
        <f>+COUNTA(Brasil!AG2459:AG2469)</f>
        <v>11</v>
      </c>
      <c r="KW2" s="1097">
        <f>+COUNTA(Brasil!AG2470:AG2478)</f>
        <v>9</v>
      </c>
      <c r="KX2" s="1097"/>
      <c r="KY2" s="1097">
        <f>+COUNTA(Brasil!AG2485:AG2490)</f>
        <v>6</v>
      </c>
      <c r="KZ2" s="1097">
        <f>+COUNTA(Brasil!AG2491:AG2496)</f>
        <v>6</v>
      </c>
      <c r="LA2" s="1097">
        <f>+COUNTA(Brasil!AG2497:AG2498)</f>
        <v>2</v>
      </c>
      <c r="LB2" s="1097">
        <f>+COUNTA(Brasil!AG2499:AG2506)</f>
        <v>8</v>
      </c>
      <c r="LC2" s="1097"/>
      <c r="LD2" s="1097"/>
      <c r="LE2" s="1097">
        <f>+COUNTA(Brasil!AG2507:AG2508)</f>
        <v>2</v>
      </c>
      <c r="LF2" s="1097"/>
      <c r="LG2" s="1097"/>
      <c r="LH2" s="1097"/>
      <c r="LI2" s="1097"/>
      <c r="LJ2" s="1097">
        <f>+COUNTA(Brasil!AG2517:AG2525)</f>
        <v>9</v>
      </c>
      <c r="LK2" s="1097">
        <f>+COUNTA(Brasil!AG2526:AG2529)</f>
        <v>4</v>
      </c>
      <c r="LL2" s="1097">
        <f>+COUNTA(Brasil!AG2530:AG2533)</f>
        <v>4</v>
      </c>
      <c r="LM2" s="1097">
        <f>+COUNTA(Brasil!AG2534:AG2546)</f>
        <v>13</v>
      </c>
      <c r="LN2" s="1097"/>
      <c r="LO2" s="1097"/>
      <c r="LP2" s="1097">
        <f>+COUNTA(Brasil!AG2547:AG2551)</f>
        <v>5</v>
      </c>
      <c r="LQ2" s="1097">
        <f>+COUNTA(Brasil!AG2552:AG2560)</f>
        <v>9</v>
      </c>
      <c r="LR2" s="1097">
        <f>+COUNTA(Brasil!AG2561:AG2562)</f>
        <v>2</v>
      </c>
      <c r="LS2" s="1097">
        <f>+COUNTA(Brasil!AG2566:AG2567)</f>
        <v>2</v>
      </c>
      <c r="LT2" s="1097"/>
      <c r="LU2" s="1097">
        <f>+COUNTA(Brasil!AG2568)</f>
        <v>1</v>
      </c>
    </row>
    <row r="3" spans="2:333" ht="16.5" x14ac:dyDescent="0.3">
      <c r="B3" s="1003"/>
      <c r="C3" s="273" t="s">
        <v>6157</v>
      </c>
      <c r="D3" s="272">
        <f>COUNTIF(Brasil!AD718:AD727,"en término")</f>
        <v>2</v>
      </c>
      <c r="E3" s="272">
        <f>COUNTIF(Brasil!AD730:AD742,"en término")</f>
        <v>5</v>
      </c>
      <c r="F3" s="272"/>
      <c r="G3" s="272">
        <f>COUNTIF(Brasil!AD745:AD763,"en término")</f>
        <v>7</v>
      </c>
      <c r="H3" s="272">
        <f>COUNTIF(Brasil!AD766:AD769,"en término")</f>
        <v>2</v>
      </c>
      <c r="I3" s="272">
        <f>COUNTIF(Brasil!AD781:AD792,"en término")+COUNTIF(Brasil!AD794:AD799,"en término")</f>
        <v>6</v>
      </c>
      <c r="J3" s="289"/>
      <c r="K3" s="272">
        <f>COUNTIF(Brasil!AD805:AD814,"en término")</f>
        <v>2</v>
      </c>
      <c r="L3" s="272">
        <f>COUNTIF(Brasil!AD817:AD826,"en término")</f>
        <v>3</v>
      </c>
      <c r="M3" s="272">
        <f>COUNTIF(Brasil!AD832:AD847,"en término")</f>
        <v>6</v>
      </c>
      <c r="N3" s="272">
        <f>COUNTIF(Brasil!AD856,"en término")+COUNTIF(Brasil!AD862:AD868,"en término")</f>
        <v>3</v>
      </c>
      <c r="O3" s="272">
        <f>COUNTIF(Brasil!AD871:AD877,"en término")</f>
        <v>3</v>
      </c>
      <c r="P3" s="272">
        <f>COUNTIF(Brasil!AD880:AD886,"en término")</f>
        <v>3</v>
      </c>
      <c r="Q3" s="272">
        <f>COUNTIF(Brasil!AD892:AD898,"en término")</f>
        <v>3</v>
      </c>
      <c r="R3" s="272">
        <f>COUNTIF(Brasil!AD901:AD910,"en término")</f>
        <v>4</v>
      </c>
      <c r="S3" s="272">
        <f>COUNTIF(Brasil!AD916:AD919,"en término")</f>
        <v>2</v>
      </c>
      <c r="T3" s="272">
        <f>COUNTIF(Brasil!AD922:AD928,"en término")</f>
        <v>3</v>
      </c>
      <c r="U3" s="272">
        <f>COUNTIF(Brasil!AD948:AD966,"en término")</f>
        <v>4</v>
      </c>
      <c r="V3" s="289"/>
      <c r="W3" s="272">
        <f>COUNTIF(Brasil!AD972:AD975,"en término")</f>
        <v>2</v>
      </c>
      <c r="X3" s="272">
        <f>COUNTIF(Brasil!AD981:AD984,"en término")</f>
        <v>2</v>
      </c>
      <c r="Y3" s="272">
        <f>COUNTIF(Brasil!AD987:AD1005,"en término")</f>
        <v>7</v>
      </c>
      <c r="Z3" s="272">
        <f>COUNTIF(Brasil!AD1008:AD1026,"en término")</f>
        <v>5</v>
      </c>
      <c r="AA3" s="272">
        <f>COUNTIF(Brasil!AD1029:AD1050,"en término")</f>
        <v>8</v>
      </c>
      <c r="AB3" s="272">
        <f>COUNTIF(Brasil!AD1056:AD1071,"en término")</f>
        <v>6</v>
      </c>
      <c r="AC3" s="272">
        <f>COUNTIF(Brasil!AD1074:AD1086,"en término")</f>
        <v>4</v>
      </c>
      <c r="AD3" s="272">
        <f>COUNTIF(Brasil!AD1089:AD1104,"en término")</f>
        <v>6</v>
      </c>
      <c r="AE3" s="272">
        <f>COUNTIF(Brasil!AD1107:AD1122,"en término")</f>
        <v>6</v>
      </c>
      <c r="AF3" s="272">
        <f>COUNTIF(Brasil!AD1125:AD1137,"en término")</f>
        <v>5</v>
      </c>
      <c r="AG3" s="272">
        <f>COUNTIF(Brasil!AD1149:AD1167,"en término")</f>
        <v>7</v>
      </c>
      <c r="AH3" s="289"/>
      <c r="AI3" s="272">
        <f>COUNTIF(Brasil!AD1170,"en término")</f>
        <v>0</v>
      </c>
      <c r="AJ3" s="272">
        <f>COUNTIF(Brasil!AD1174:AD1216,"en término")</f>
        <v>10</v>
      </c>
      <c r="AK3" s="272">
        <f>COUNTIF(Brasil!AD1219:AD1225,"en término")</f>
        <v>3</v>
      </c>
      <c r="AL3" s="272">
        <f>COUNTIF(Brasil!AD1228:AD1237,"en término")</f>
        <v>4</v>
      </c>
      <c r="AM3" s="272">
        <f>COUNTIF(Brasil!AD1240:AD1246,"en término")</f>
        <v>3</v>
      </c>
      <c r="AN3" s="272">
        <f>COUNTIF(Brasil!AD1249:AD1258,"en término")</f>
        <v>4</v>
      </c>
      <c r="AO3" s="272">
        <f>COUNTIF(Brasil!AD1261:AD1288,"en término")</f>
        <v>2</v>
      </c>
      <c r="AP3" s="272">
        <f>COUNTIF(Brasil!AD1300:AD1303,"en término")</f>
        <v>2</v>
      </c>
      <c r="AQ3" s="272"/>
      <c r="AR3" s="272">
        <f>COUNTIF(Brasil!AD1306:AD1324,"en término")</f>
        <v>5</v>
      </c>
      <c r="AS3" s="272"/>
      <c r="AT3" s="289"/>
      <c r="AU3" s="272">
        <f>COUNTIF(Brasil!AD1337:AD1346,"en término")</f>
        <v>2</v>
      </c>
      <c r="AV3" s="272"/>
      <c r="AW3" s="272">
        <f>COUNTIF(Brasil!AD1349:AD1370,"en término")</f>
        <v>2</v>
      </c>
      <c r="AX3" s="272"/>
      <c r="AY3" s="272">
        <f>COUNTIF(Brasil!AD1377:AD1383,"en término")</f>
        <v>0</v>
      </c>
      <c r="AZ3" s="272">
        <f>COUNTIF(Brasil!AD1386:AD1398,"en término")</f>
        <v>4</v>
      </c>
      <c r="BA3" s="272">
        <f>COUNTIF(Brasil!AD1437,"en término")</f>
        <v>0</v>
      </c>
      <c r="BB3" s="272">
        <f>COUNTIF(Brasil!AD1404:AD1434,"en término")+COUNTIF(Brasil!AD1440,"en término")</f>
        <v>3</v>
      </c>
      <c r="BC3" s="272">
        <f>COUNTIF(Brasil!AD1443:AD1446,"en término")</f>
        <v>1</v>
      </c>
      <c r="BD3" s="272">
        <f>COUNTIF(Brasil!AD1449,"en término")</f>
        <v>0</v>
      </c>
      <c r="BE3" s="272">
        <f>COUNTIF(Brasil!AD1452:AD1457,"en término")</f>
        <v>0</v>
      </c>
      <c r="BF3" s="272">
        <f>COUNTIF(Brasil!AD1466:AD1470,"en término")</f>
        <v>1</v>
      </c>
      <c r="BG3" s="272">
        <f>COUNTIF(Brasil!AD1471:AD1473,"en término")</f>
        <v>0</v>
      </c>
      <c r="BH3" s="272"/>
      <c r="BI3" s="272">
        <f>COUNTIF(Brasil!AD1474:AD1478,"en término")</f>
        <v>0</v>
      </c>
      <c r="BJ3" s="272"/>
      <c r="BK3" s="272">
        <f>COUNTIF(Brasil!AD1479:AD1486,"en término")</f>
        <v>1</v>
      </c>
      <c r="BL3" s="272">
        <f>COUNTIF(Brasil!AD1488:AD1498,"en término")</f>
        <v>7</v>
      </c>
      <c r="BM3" s="272"/>
      <c r="BN3" s="272">
        <f>COUNTIF(Brasil!AD1500:AD1511,"en término")</f>
        <v>2</v>
      </c>
      <c r="BO3" s="272">
        <f>COUNTIF(Brasil!AD1512:AD1527,"en término")</f>
        <v>11</v>
      </c>
      <c r="BP3" s="272"/>
      <c r="BQ3" s="272">
        <f>+COUNTIF(Brasil!AD1540:AD1553,"en término")</f>
        <v>9</v>
      </c>
      <c r="BR3" s="272"/>
      <c r="BS3" s="272">
        <f>COUNTIF(Brasil!AD1557:AD1558,"en término")</f>
        <v>0</v>
      </c>
      <c r="BT3" s="272">
        <f>COUNTIF(Brasil!AD1562:AD1568,"en término")</f>
        <v>3</v>
      </c>
      <c r="BU3" s="272">
        <f>COUNTIF(Brasil!AD1569:AD1572,"en término")</f>
        <v>1</v>
      </c>
      <c r="BV3" s="272">
        <f>COUNTIF(Brasil!AD1573:AD1583,"en término")</f>
        <v>5</v>
      </c>
      <c r="BW3" s="272">
        <f>COUNTIF(Brasil!AD1585:AD1588,"en término")+COUNTIF(Brasil!AD1589,"en término")</f>
        <v>5</v>
      </c>
      <c r="BX3" s="272">
        <f>COUNTIF(Brasil!AD1590:AD1591,"en término")+COUNTIF(Brasil!AD1592,"en término")</f>
        <v>2</v>
      </c>
      <c r="BY3" s="272">
        <f>COUNTIF(Brasil!AD1593,"en término")+COUNTIF(Brasil!AD1594:AD1595,"en término")+COUNTIF(Brasil!AD1596:AD1600,"en término")</f>
        <v>6</v>
      </c>
      <c r="BZ3" s="272">
        <f>COUNTIF(Brasil!AD1601:AD1603,"en término")</f>
        <v>3</v>
      </c>
      <c r="CA3" s="272">
        <f>+COUNTIF(Brasil!AD1604:AD1606,"en término")</f>
        <v>2</v>
      </c>
      <c r="CB3" s="272">
        <f>+COUNTIF(Brasil!AD1608,"en término")+COUNTIF(Brasil!AD1607,"en término")</f>
        <v>2</v>
      </c>
      <c r="CC3" s="272">
        <f>COUNTIF(Brasil!AD1621:AD1623,"en término")+COUNTIF(Brasil!AD1619,"en término")+COUNTIF(Brasil!AD1620,"en término")</f>
        <v>4</v>
      </c>
      <c r="CD3" s="272">
        <f>COUNTIF(Brasil!AD1625,"en término")</f>
        <v>1</v>
      </c>
      <c r="CE3" s="272">
        <f>COUNTIF(Brasil!AD1628,"en término")+COUNTIF(Brasil!AD1629:AD1630,"en término")+COUNTIF(Brasil!AD1631:AD1631,"en término")+COUNTIF(Brasil!AD1626:AD1627,"en término")</f>
        <v>6</v>
      </c>
      <c r="CF3" s="272">
        <f>+COUNTIF(Brasil!AD1632:AD1638,"en término")</f>
        <v>6</v>
      </c>
      <c r="CG3" s="272">
        <f>+COUNTIF(Brasil!AD1640:AD1642,"en término")+COUNTIF(Brasil!AD1639,"en término")</f>
        <v>4</v>
      </c>
      <c r="CH3" s="272"/>
      <c r="CI3" s="272">
        <f>+COUNTIF(Brasil!AD1644:AD1652,"en término")</f>
        <v>6</v>
      </c>
      <c r="CJ3" s="272">
        <f>+COUNTIF(Brasil!AD1653:AD1658,"en término")</f>
        <v>6</v>
      </c>
      <c r="CK3" s="272">
        <f>+COUNTIF(Brasil!AD1659:AD1663,"en término")</f>
        <v>5</v>
      </c>
      <c r="CL3" s="272">
        <f>+COUNTIF(Brasil!AD1664,"en término")+COUNTIF(Brasil!AD1665,"en término")+COUNTIF(Brasil!AD1666,"en término")+COUNTIF(Brasil!AD1667,"en término")</f>
        <v>4</v>
      </c>
      <c r="CM3" s="272">
        <f>COUNTIF(Brasil!AD1668:AD1673,"en término")</f>
        <v>6</v>
      </c>
      <c r="CN3" s="272">
        <f>+COUNTIF(Brasil!AD1675:AD1676,"en término")+COUNTIF(Brasil!AD1674,"en término")+COUNTIF(Brasil!AD1677:AD1678,"en término")</f>
        <v>5</v>
      </c>
      <c r="CO3" s="272">
        <f>+COUNTIF(Brasil!AD1689:AD1693,"en término")</f>
        <v>3</v>
      </c>
      <c r="CP3" s="272">
        <f>+COUNTIF(Brasil!AD1694:AD1696,"en término")</f>
        <v>3</v>
      </c>
      <c r="CQ3" s="272">
        <f>+COUNTIF(Brasil!AD1700,"en término")+COUNTIF(Brasil!AD1702,"en término")+COUNTIF(Brasil!AD1701:AD1701,"en término")+COUNTIF(Brasil!AD1697:AD1699,"en término")</f>
        <v>5</v>
      </c>
      <c r="CR3" s="272">
        <f>+COUNTIF(Brasil!AD1703:AD1711,"en término")</f>
        <v>1</v>
      </c>
      <c r="CS3" s="272">
        <f>+COUNTIF(Brasil!AD1712:AD1718,"en término")</f>
        <v>4</v>
      </c>
      <c r="CT3" s="272">
        <f>+COUNTIF(Brasil!AD1720:AD1725,"en término")+COUNTIF(Brasil!AD1726:AD1726,"en término")</f>
        <v>5</v>
      </c>
      <c r="CU3" s="272">
        <f>+COUNTIF(Brasil!AD1727,"en término")+COUNTIF(Brasil!AD1728:AD1733,"en término")</f>
        <v>5</v>
      </c>
      <c r="CV3" s="272">
        <f>+COUNTIF(Brasil!AD1734:AD1736,"en término")+COUNTIF(Brasil!AD1737:AD1737,"en término")</f>
        <v>3</v>
      </c>
      <c r="CW3" s="272">
        <f>+COUNTIF(Brasil!AD1739:AD1743,"en término")</f>
        <v>3</v>
      </c>
      <c r="CX3" s="272">
        <f>+COUNTIF(Brasil!AD1744:AD1751,"en término")+COUNTIF(Brasil!AD1752:AD1754,"en término")+COUNTIF(Brasil!AD1755,"en término")</f>
        <v>8</v>
      </c>
      <c r="CY3" s="272">
        <f>+COUNTIF(Brasil!AD1759,"en término")+COUNTIF(Brasil!AD1757,"en término")+COUNTIF(Brasil!AD1760:AD1760,"en término")+COUNTIF(Brasil!AD1761,"en término")+COUNTIF(Brasil!AD1816,"en término")+COUNTIF(Brasil!AD1756,"en término")+COUNTIF(Brasil!AD1758,"en término")</f>
        <v>4</v>
      </c>
      <c r="CZ3" s="272">
        <f>COUNTIF(Brasil!AD1769:AD1770,"en término")+COUNTIF(Brasil!AD1767:AD1767,"en término")+COUNTIF(Brasil!AD1766,"en término")+COUNTIF(Brasil!AD1768,"en término")+COUNTIF(Brasil!AD1763:AD1765,"en término")</f>
        <v>4</v>
      </c>
      <c r="DA3" s="272">
        <f>COUNTIF(Brasil!AD1780:AD1791,"en término")</f>
        <v>11</v>
      </c>
      <c r="DB3" s="272"/>
      <c r="DC3" s="272">
        <f>COUNTIF(Brasil!AD1792:AD1806,"en término")</f>
        <v>8</v>
      </c>
      <c r="DD3" s="272">
        <f>COUNTIF(Brasil!AD1814,"en término")+COUNTIF(Brasil!AD1815,"en término")+COUNTIF(Brasil!AD1813,"en término")+COUNTIF(Brasil!AD1807:AD1812,"en término")</f>
        <v>2</v>
      </c>
      <c r="DE3" s="272">
        <f>+COUNTIF(Brasil!AD1822,"en término")+COUNTIF(Brasil!AD1824,"en término")+COUNTIF(Brasil!AD1821,"en término")+COUNTIF(Brasil!AD1816,"en término")+COUNTIF(Brasil!AD1817,"en término")+COUNTIF(Brasil!AD1818,"en término")+COUNTIF(Brasil!AD1820,"en término")+COUNTIF(Brasil!AD1819,"en término")</f>
        <v>3</v>
      </c>
      <c r="DF3" s="727">
        <f>COUNTIF(Brasil!AD1825:AD1830,"en término")</f>
        <v>4</v>
      </c>
      <c r="DG3" s="272">
        <f>COUNTIF(Brasil!AD1847,"en término")+COUNTIF(Brasil!AD1840:AD1840,"en término")+COUNTIF(Brasil!AD1841:AD1842,"en término")+COUNTIF(Brasil!AD1831:AD1846,"en término")</f>
        <v>18</v>
      </c>
      <c r="DH3" s="272">
        <f>COUNTIF(Brasil!AD1849,"en término")+COUNTIF(Brasil!AD1848,"en término")+COUNTIF(Brasil!AD1850,"en término")+COUNTIF(Brasil!AD1851,"en término")+COUNTIF(Brasil!AD1852,"en término")+COUNTIF(Brasil!AD1853,"en término")</f>
        <v>5</v>
      </c>
      <c r="DI3" s="272">
        <f>COUNTIF(Brasil!AD1856,"en término")+COUNTIF(Brasil!AD1855,"en término")+COUNTIF(Brasil!AD1858,"en término")+COUNTIF(Brasil!AD1857,"en término")</f>
        <v>4</v>
      </c>
      <c r="DJ3" s="272"/>
      <c r="DK3" s="272">
        <f>COUNTIF(Brasil!AD1860,"en término")+COUNTIF(Brasil!AD1862:AD1862,"en término")</f>
        <v>2</v>
      </c>
      <c r="DL3" s="272">
        <f>+COUNTIF(Brasil!AD1867:AD1867,"en término")++COUNTIF(Brasil!AD1868:AD1869,"en término")</f>
        <v>1</v>
      </c>
      <c r="DM3" s="272">
        <f>+COUNTIF(Brasil!AD1881:AD1888,"en término")+COUNTIF(Brasil!AD1889:AD1889,"en término")</f>
        <v>7</v>
      </c>
      <c r="DN3" s="272">
        <f>+COUNTIF(Brasil!AD1892,"en término")+COUNTIF(Brasil!AD1890,"en término")+COUNTIF(Brasil!AD1893,"en término")+COUNTIF(Brasil!AD1891,"en término")</f>
        <v>1</v>
      </c>
      <c r="DO3" s="272">
        <f>+COUNTIF(Brasil!AD1894:AD1903,"en término")+COUNTIF(Brasil!AD1896,"en término")+COUNTIF(Brasil!AD1900,"en término")</f>
        <v>3</v>
      </c>
      <c r="DP3" s="272">
        <f>+COUNTIF(Brasil!AD1908,"en término")+COUNTIF(Brasil!AD1904:AD1907,"en término")</f>
        <v>0</v>
      </c>
      <c r="DQ3" s="272">
        <f>+COUNTIF(Brasil!AD1909:AD1916,"en término")</f>
        <v>0</v>
      </c>
      <c r="DR3" s="272">
        <f>+COUNTIF(Brasil!AD1917:AD1923,"en término")</f>
        <v>3</v>
      </c>
      <c r="DS3" s="272">
        <f>+COUNTIF(Brasil!AD1924:AD1931,"en término")</f>
        <v>8</v>
      </c>
      <c r="DT3" s="272">
        <f>+COUNTIF(Brasil!AD1932:AD1935,"en término")</f>
        <v>3</v>
      </c>
      <c r="DU3" s="272">
        <f>+COUNTIF(Brasil!AD1936:AD1944,"en término")</f>
        <v>5</v>
      </c>
      <c r="DV3" s="272">
        <f>+COUNTIF(Brasil!AD1945:AD1952,"en término")</f>
        <v>6</v>
      </c>
      <c r="DW3" s="272">
        <f>+COUNTIF(Brasil!AD1953:AD1960,"en término")</f>
        <v>7</v>
      </c>
      <c r="DX3" s="272">
        <f>+COUNTIF(Brasil!AD1975:AD1975,"en término")+COUNTIF(Brasil!AD1961:AD1974,"en término")</f>
        <v>14</v>
      </c>
      <c r="DY3" s="272">
        <f>+COUNTIF(Brasil!AD1988:AD1993,"en término")+COUNTIF(Brasil!AD1994:AD1994,"en término")</f>
        <v>7</v>
      </c>
      <c r="DZ3" s="272">
        <f>+COUNTIF(Brasil!AD1999:AD1999,"en término")+COUNTIF(Brasil!AD1995:AD1997,"en término")</f>
        <v>4</v>
      </c>
      <c r="EA3" s="272">
        <f>+COUNTIF(Brasil!AD2007:AD2008,"en término")+COUNTIF(Brasil!AD2009,"en término")+COUNTIF(Brasil!AD2004:AD2005,"en término")+COUNTIF(Brasil!AD2000:AD2001,"en término")+COUNTIF(Brasil!AD2006:AD2006,"en término")</f>
        <v>6</v>
      </c>
      <c r="EB3" s="272">
        <f>+COUNTIF(Brasil!AD2010:AD2013,"en término")</f>
        <v>2</v>
      </c>
      <c r="EC3" s="272">
        <f>+COUNTIF(Brasil!AD2014:AD2022,"en término")</f>
        <v>9</v>
      </c>
      <c r="ED3" s="272">
        <f>+COUNTIF(Brasil!AD2028:AD2028,"en término")+COUNTIF(Brasil!AD2030,"en término")+COUNTIF(Brasil!AD2029:AD2029,"en término")+COUNTIF(Brasil!AD2024,"en término")</f>
        <v>3</v>
      </c>
      <c r="EE3" s="272">
        <f>+COUNTIF(Brasil!AD2033:AD2033,"en término")+COUNTIF(Brasil!AD2034,"en término")</f>
        <v>2</v>
      </c>
      <c r="EF3" s="272"/>
      <c r="EG3" s="272">
        <f>+COUNTIF(Brasil!AD2052:AD2053,"en término")+COUNTIF(Brasil!AD2037:AD2045,"en término")</f>
        <v>5</v>
      </c>
      <c r="EH3" s="272">
        <f>+COUNTIF(Brasil!AD2046:AD2055,"en término")</f>
        <v>8</v>
      </c>
      <c r="EI3" s="272"/>
      <c r="EJ3" s="272">
        <f>+COUNTIF(Brasil!AD2059:AD2059,"en término")+COUNTIF(Brasil!AD2056:AD2063,"en término")</f>
        <v>7</v>
      </c>
      <c r="EK3" s="272">
        <f>+COUNTIF(Brasil!AD2083:AD2083,"en término")+COUNTIF(Brasil!AD2081:AD2081,"en término")+COUNTIF(Brasil!AD2075:AD2079,"en término")</f>
        <v>7</v>
      </c>
      <c r="EL3" s="272"/>
      <c r="EM3" s="272">
        <f>+COUNTIF(Brasil!AD2086:AD2086,"en término")+COUNTIF(Brasil!AD2093:AD2094,"en término")+COUNTIF(Brasil!AD2089:AD2090,"en término")+COUNTIF(Brasil!AD2092,"en término")+COUNTIF(Brasil!AD2084:AD2085,"en término")</f>
        <v>6</v>
      </c>
      <c r="EN3" s="272">
        <f>+COUNTIF(Brasil!AD2091,"en término")</f>
        <v>1</v>
      </c>
      <c r="EO3" s="272">
        <f>+COUNTIF(Brasil!AD2096,"en término")+COUNTIF(Brasil!AD2095,"en término")</f>
        <v>0</v>
      </c>
      <c r="EP3" s="272">
        <f>+COUNTIF(Brasil!AD2097:AD2099,"en término")</f>
        <v>0</v>
      </c>
      <c r="EQ3" s="272">
        <f>+COUNTIF(Brasil!AD2100:AD2102,"en término")</f>
        <v>3</v>
      </c>
      <c r="ER3" s="272">
        <f>+COUNTIF(Brasil!AD2103,"en término")</f>
        <v>0</v>
      </c>
      <c r="ES3" s="272">
        <f>+COUNTIF(Brasil!AD2104:AD2105,"en término")</f>
        <v>2</v>
      </c>
      <c r="ET3" s="272"/>
      <c r="EU3" s="272"/>
      <c r="EV3" s="272">
        <f>+COUNTIF(Brasil!AD2106:AD2109,"en término")</f>
        <v>3</v>
      </c>
      <c r="EW3" s="272">
        <f>+COUNTIF(Brasil!AD2124:AD2124,"en término")+COUNTIF(Brasil!AD2123,"en término")</f>
        <v>0</v>
      </c>
      <c r="EX3" s="272"/>
      <c r="EY3" s="272">
        <f>+COUNTIF(Brasil!AD2125,"en término")+COUNTIF(Brasil!AD2126,"en término")</f>
        <v>2</v>
      </c>
      <c r="EZ3" s="272">
        <f>+COUNTIF(Brasil!AD2127:AD2128,"en término")</f>
        <v>0</v>
      </c>
      <c r="FA3" s="272">
        <f>+COUNTIF(Brasil!AD2129:AD2132,"en término")</f>
        <v>3</v>
      </c>
      <c r="FB3" s="272">
        <f>+COUNTIF(Brasil!AD2133,"en término")</f>
        <v>1</v>
      </c>
      <c r="FC3" s="272">
        <f>+COUNTIF(Brasil!AD2134:AD2139,"en término")</f>
        <v>5</v>
      </c>
      <c r="FD3" s="272">
        <f>+COUNTIF(Brasil!AD2140,"en término")+COUNTIF(Brasil!AD2141:AD2145,"en término")</f>
        <v>3</v>
      </c>
      <c r="FE3" s="272">
        <f>+COUNTIF(Brasil!AD2146,"en término")+COUNTIF(Brasil!AD2147,"en término")</f>
        <v>2</v>
      </c>
      <c r="FF3" s="272">
        <f>+COUNTIF(Brasil!AD2148,"en término")+COUNTIF(Brasil!AD2149,"en término")</f>
        <v>2</v>
      </c>
      <c r="FG3" s="272">
        <f>+COUNTIF(Brasil!AD2150,"en término")+COUNTIF(Brasil!AD2151:AD2152,"en término")</f>
        <v>2</v>
      </c>
      <c r="FH3" s="272">
        <f>+COUNTIF(Brasil!AD2153,"en término")</f>
        <v>1</v>
      </c>
      <c r="FI3" s="272"/>
      <c r="FJ3" s="272">
        <f>+COUNTIF(Brasil!AD2166:AD2168,"en término")</f>
        <v>1</v>
      </c>
      <c r="FK3" s="272"/>
      <c r="FL3" s="272">
        <f>+COUNTIF(Brasil!AD2169:AD2171,"en término")+COUNTIF(Brasil!AD2172,"en término")+COUNTIF(Brasil!AD2173,"en término")</f>
        <v>5</v>
      </c>
      <c r="FM3" s="272"/>
      <c r="FN3" s="272">
        <f>+COUNTIF(Brasil!AD2174,"en término")+COUNTIF(Brasil!AD2175,"en término")+COUNTIF(Brasil!AD2176,"en término")+COUNTIF(Brasil!AD2177,"en término")+COUNTIF(Brasil!AD2178,"en término")</f>
        <v>3</v>
      </c>
      <c r="FO3" s="272">
        <f>+COUNTIF(Brasil!AD2179,"en término")</f>
        <v>1</v>
      </c>
      <c r="FP3" s="272"/>
      <c r="FQ3" s="272">
        <f>+COUNTIF(Brasil!AD2180,"en término")</f>
        <v>1</v>
      </c>
      <c r="FR3" s="272"/>
      <c r="FS3" s="272">
        <f>+COUNTIF(Brasil!AD2181,"en término")</f>
        <v>1</v>
      </c>
      <c r="FT3" s="272"/>
      <c r="FU3" s="272"/>
      <c r="FV3" s="272"/>
      <c r="FW3" s="272"/>
      <c r="FX3" s="272">
        <f>+COUNTIF(Brasil!AD2190:AD2191,"en término")</f>
        <v>1</v>
      </c>
      <c r="FY3" s="272"/>
      <c r="FZ3" s="272">
        <f>+COUNTIF(Brasil!AD2192:AD2193,"en término")</f>
        <v>2</v>
      </c>
      <c r="GA3" s="272"/>
      <c r="GB3" s="272"/>
      <c r="GC3" s="272">
        <f>+COUNTIF(Brasil!AD2194:AD2195,"en término")</f>
        <v>2</v>
      </c>
      <c r="GD3" s="272">
        <f>+COUNTIF(Brasil!AD2196:AD2199,"en término")</f>
        <v>4</v>
      </c>
      <c r="GE3" s="272">
        <f>+COUNTIF(Brasil!AD2200:AD2201,"en término")</f>
        <v>2</v>
      </c>
      <c r="GF3" s="272">
        <f>+COUNTIF(Brasil!AD2202:AD2203,"en término")</f>
        <v>2</v>
      </c>
      <c r="GG3" s="272"/>
      <c r="GH3" s="272"/>
      <c r="GI3" s="272">
        <f>+COUNTIF(Brasil!AD2207:AD2210,"en término")</f>
        <v>2</v>
      </c>
      <c r="GJ3" s="272"/>
      <c r="GK3" s="272">
        <f>+COUNTIF(Brasil!AD2211:AD2212,"en término")</f>
        <v>2</v>
      </c>
      <c r="GL3" s="272">
        <f>+COUNTIF(Brasil!AD2213,"en término")+COUNTIF(Brasil!AD2214,"en término")</f>
        <v>2</v>
      </c>
      <c r="GM3" s="272">
        <f>+COUNTIF(Brasil!AD2215:AD2216,"en término")</f>
        <v>2</v>
      </c>
      <c r="GN3" s="272">
        <f>+COUNTIF(Brasil!AD2229,"en término")+COUNTIF(Brasil!AD2230,"en término")+COUNTIF(Brasil!AD2231,"en término")+COUNTIF(Brasil!AD2232,"en término")</f>
        <v>0</v>
      </c>
      <c r="GO3" s="272">
        <f>+COUNTIF(Brasil!AD2217,"en término")+COUNTIF(Brasil!AD2218,"en término")+COUNTIF(Brasil!AD2219,"en término")+COUNTIF(Brasil!AD2220,"en término")</f>
        <v>1</v>
      </c>
      <c r="GP3" s="272">
        <f>+COUNTIF(Brasil!AD2221,"en término")+COUNTIF(Brasil!AD2222,"en término")+COUNTIF(Brasil!AD2223,"en término")+COUNTIF(Brasil!AD2224:AD2228,"en término")</f>
        <v>4</v>
      </c>
      <c r="GQ3" s="272">
        <f>+COUNTIF(Brasil!AD2233,"en término")+COUNTIF(Brasil!AD2234:AD2238,"en término")</f>
        <v>1</v>
      </c>
      <c r="GR3" s="272">
        <f>+COUNTIF(Brasil!AD2239,"en término")+COUNTIF(Brasil!AD2240:AD2243,"en término")+COUNTIF(Brasil!AD2244,"en término")+COUNTIF(Brasil!AD2245,"en término")</f>
        <v>4</v>
      </c>
      <c r="GS3" s="272">
        <f>+COUNTIF(Brasil!AD2254,"en término")+COUNTIF(Brasil!AD2255,"en término")</f>
        <v>2</v>
      </c>
      <c r="GT3" s="272">
        <f>+COUNTIF(Brasil!AD2256,"en término")+COUNTIF(Brasil!AD2257,"en término")+COUNTIF(Brasil!AD2259:AD2262,"en término")</f>
        <v>2</v>
      </c>
      <c r="GU3" s="272">
        <f>+COUNTIF(Brasil!AD2258,"en término")+COUNTIF(Brasil!AD2263:AD2264,"en término")+COUNTIF(Brasil!AD2265,"en término")</f>
        <v>3</v>
      </c>
      <c r="GV3" s="272">
        <f>+COUNTIF(Brasil!AD2266,"en término")+COUNTIF(Brasil!AD2267:AD2268,"en término")</f>
        <v>2</v>
      </c>
      <c r="GW3" s="272"/>
      <c r="GX3" s="272">
        <f>+COUNTIF(Brasil!AD2269,"en término")+COUNTIF(Brasil!AD2270:AD2274,"en término")</f>
        <v>4</v>
      </c>
      <c r="GY3" s="272">
        <f>+COUNTIF(Brasil!AD2275,"en término")+COUNTIF(Brasil!AD2276:AD2278,"en término")+COUNTIF(Brasil!AD2279,"en término")</f>
        <v>4</v>
      </c>
      <c r="GZ3" s="272">
        <f>+COUNTIF('Pagos pendientes'!AE4,"en término")+COUNTIF('Pagos pendientes'!AE5,"en término")+COUNTIF('Pagos pendientes'!AE6:AE8,"en término")+COUNTIF('Pagos pendientes'!AE9:AE12,"en término")</f>
        <v>5</v>
      </c>
      <c r="HA3" s="272">
        <f>+COUNTIF(Brasil!AD2280:AD2281,"en término")</f>
        <v>0</v>
      </c>
      <c r="HB3" s="272">
        <f>+COUNTIF(Brasil!AD2282,"en término")+COUNTIF(Brasil!AD2283:AD2285,"en término")+COUNTIF(Brasil!AD2286,"en término")</f>
        <v>4</v>
      </c>
      <c r="HC3" s="272">
        <f>+COUNTIF(Brasil!AD2287,"en término")+COUNTIF(Brasil!AD2288,"en término")+COUNTIF(Brasil!AD2289:AD2291,"en término")+COUNTIF(Brasil!AD2292,"en término")</f>
        <v>2</v>
      </c>
      <c r="HD3" s="272">
        <f>+COUNTIF(Brasil!AD2293:AD2295,"en término")+COUNTIF(Brasil!AD2296:AD2297,"en término")+COUNTIF(Brasil!AD2298:AD2302,"en término")+COUNTIF(Brasil!AD2303:AD2304,"en término")</f>
        <v>6</v>
      </c>
      <c r="HE3" s="272">
        <f>+COUNTIF(Brasil!AD2311,"en término")+COUNTIF(Brasil!AD2312:AD2314,"en término")</f>
        <v>3</v>
      </c>
      <c r="HF3" s="272">
        <f>+COUNTIF(Brasil!AD2315,"en término")+COUNTIF(Brasil!AD2316:AD2320,"en término")</f>
        <v>5</v>
      </c>
      <c r="HG3" s="272">
        <f>+COUNTIF(Brasil!AD2321:AD2324,"en término")</f>
        <v>2</v>
      </c>
      <c r="HH3" s="272">
        <f>+COUNTIF(Brasil!AD2325:AD2326,"en término")</f>
        <v>2</v>
      </c>
      <c r="HI3" s="272">
        <f>+COUNTIF(Brasil!AD2327:AD2331,"en término")</f>
        <v>5</v>
      </c>
      <c r="HJ3" s="272">
        <f>+COUNTIF(Brasil!AD2332:AD2334,"en término")+COUNTIF(Brasil!AD2335,"en término")</f>
        <v>2</v>
      </c>
      <c r="HK3" s="272">
        <f>+COUNTIF(Brasil!AD2336,"en término")</f>
        <v>1</v>
      </c>
      <c r="HL3" s="272">
        <f>+COUNTIF(Brasil!AD2339:AD2343,"en término")+COUNTIF(Brasil!AD2337:AD2338,"en término")+COUNTIF(Brasil!AD2344,"en término")</f>
        <v>8</v>
      </c>
      <c r="HM3" s="272">
        <f>+COUNTIF(Brasil!AD2345,"en término")</f>
        <v>0</v>
      </c>
      <c r="HN3" s="272">
        <f>+COUNTIF(Brasil!AD2346,"en término")+COUNTIF(Brasil!AD2347:AD2352,"en término")</f>
        <v>7</v>
      </c>
      <c r="HO3" s="272">
        <f>+COUNTIF(Brasil!AD2353:AD2360,"en término")</f>
        <v>3</v>
      </c>
      <c r="HP3" s="272">
        <f>+COUNTIF(Brasil!AD2372:AD2372,"en término")+COUNTIF(Brasil!AD2361:AD2364,"en término")</f>
        <v>1</v>
      </c>
      <c r="HQ3" s="272">
        <f>+COUNTIF(Brasil!AD2373:AD2375,"en término")</f>
        <v>3</v>
      </c>
      <c r="HR3" s="272">
        <f>+COUNTIF(Brasil!AD2376,"en término")+COUNTIF(Brasil!AD2377:AD2377,"en término")+COUNTIF(Brasil!AD2383,"en término")</f>
        <v>1</v>
      </c>
      <c r="HS3" s="272">
        <f>+COUNTIF(Brasil!AD2384:AD2389,"en término")+COUNTIF(Brasil!AD2390:AD2390,"en término")+COUNTIF(Brasil!AD2391:AD2392,"en término")</f>
        <v>5</v>
      </c>
      <c r="HT3" s="272">
        <f>+COUNTIF(Brasil!AD2396,"en término")+COUNTIF(Brasil!AD2393,"en término")+COUNTIF(Brasil!AD2394:AD2395,"en término")+COUNTIF(Brasil!AD2397:AD2399,"en término")</f>
        <v>5</v>
      </c>
      <c r="HU3" s="272"/>
      <c r="HV3" s="272">
        <f>+COUNTIF(Brasil!AD2401,"en término")+COUNTIF(Brasil!AD2402,"en término")+COUNTIF(Brasil!AD2403:AD2405,"en término")+COUNTIF(Brasil!AD2407,"en término")+COUNTIF(Brasil!AD2406,"en término")</f>
        <v>0</v>
      </c>
      <c r="HW3" s="272">
        <f>+COUNTIF(Brasil!AD2408:AD2420,"en término")+COUNTIF(Brasil!AD2421:AD2422,"en término")+COUNTIF(Brasil!AD2423,"en término")+COUNTIF(Brasil!AD2424:AD2426,"en término")</f>
        <v>14</v>
      </c>
      <c r="HX3" s="272">
        <f>+COUNTIF(Brasil!AD2427:AD2432,"en término")</f>
        <v>0</v>
      </c>
      <c r="HY3" s="272">
        <f>+COUNTIF(Brasil!AD2434:AD2438,"en término")</f>
        <v>5</v>
      </c>
      <c r="HZ3" s="272">
        <f>+COUNTIF(Brasil!AD2439:AD2441,"en término")</f>
        <v>3</v>
      </c>
      <c r="IA3" s="272">
        <f>+COUNTIF(Brasil!AD2442:AD2447,"en término")</f>
        <v>4</v>
      </c>
      <c r="IB3" s="272">
        <f>+COUNTIF(Brasil!AD2448:AD2450,"en término")</f>
        <v>1</v>
      </c>
      <c r="IC3" s="272">
        <f>+COUNTIF(Brasil!AD2459:AD2462,"en término")+COUNTIF(Brasil!AD2463:AD2465,"en término")</f>
        <v>7</v>
      </c>
      <c r="ID3" s="272">
        <f>+COUNTIF(Brasil!AD2466:AD2469,"en término")</f>
        <v>0</v>
      </c>
      <c r="IE3" s="272">
        <f>+COUNTIF(Brasil!AD2470,"en término")+COUNTIF(Brasil!AD2471:AD2478,"en término")</f>
        <v>0</v>
      </c>
      <c r="IF3" s="272">
        <f>+COUNTIF(Brasil!AD2479,"en término")+COUNTIF(Brasil!AD2480:AD2483,"en término")+COUNTIF(Brasil!AD2484,"en término")</f>
        <v>5</v>
      </c>
      <c r="IG3" s="272">
        <f>+COUNTIF(Brasil!AD2485:AD2492,"en término")</f>
        <v>6</v>
      </c>
      <c r="IH3" s="272">
        <f>+COUNTIF(Brasil!AD2493:AD2496,"en término")</f>
        <v>3</v>
      </c>
      <c r="II3" s="272">
        <f>+COUNTIF(Brasil!AD2499:AD2499,"en término")+COUNTIF(Brasil!AD2500:AD2506,"en término")</f>
        <v>3</v>
      </c>
      <c r="IJ3" s="272"/>
      <c r="IK3" s="272"/>
      <c r="IL3" s="272">
        <f>+COUNTIF(Brasil!AD2508,"en término")</f>
        <v>0</v>
      </c>
      <c r="IM3" s="272">
        <f>+COUNTIF(Brasil!AD2507:AD2508,"en término")</f>
        <v>1</v>
      </c>
      <c r="IN3" s="272"/>
      <c r="IO3" s="272"/>
      <c r="IP3" s="272"/>
      <c r="IQ3" s="272">
        <f>+COUNTIF(Brasil!AD2517:AD2525,"en término")</f>
        <v>9</v>
      </c>
      <c r="IR3" s="272">
        <f>+COUNTIF(Brasil!AD2526:AD2528,"en término")+COUNTIF(Brasil!AD2529,"en término")</f>
        <v>4</v>
      </c>
      <c r="IS3" s="272">
        <f>+COUNTIF(Brasil!AD2530:AD2532,"en término")+COUNTIF(Brasil!AD2533,"en término")</f>
        <v>3</v>
      </c>
      <c r="IT3" s="272">
        <f>+COUNTIF(Brasil!AD2534:AD2542,"en término")</f>
        <v>8</v>
      </c>
      <c r="IU3" s="272">
        <f>+COUNTIF(Brasil!AD2543,"en término")+COUNTIF(Brasil!AD2544,"en término")+COUNTIF(Brasil!AD2545,"en término")+COUNTIF(Brasil!AD2546,"en término")</f>
        <v>3</v>
      </c>
      <c r="IV3" s="272">
        <f>+COUNTIF(Brasil!AD2547,"en término")+COUNTIF(Brasil!AD2548,"en término")+COUNTIF(Brasil!AD2549,"en término")</f>
        <v>1</v>
      </c>
      <c r="IW3" s="272">
        <f>+COUNTIF(Brasil!AD2550,"en término")</f>
        <v>1</v>
      </c>
      <c r="IX3" s="272">
        <f>+COUNTIF(Brasil!AD2551,"en término")+COUNTIF(Brasil!AD2552,"en término")+COUNTIF(Brasil!AD2554:AD2558,"en término")</f>
        <v>5</v>
      </c>
      <c r="IY3" s="272">
        <f>+COUNTIF(Brasil!AD2559,"en término")+COUNTIF(Brasil!AD2560,"en término")+COUNTIF(Brasil!AD2553,"en término")</f>
        <v>2</v>
      </c>
      <c r="IZ3" s="272">
        <f>+COUNTIF(Brasil!AD2561,"en término")+COUNTIF(Brasil!AD2562,"en término")</f>
        <v>2</v>
      </c>
      <c r="JA3" s="272">
        <f>+COUNTIF(Brasil!AD2566,"en término")+COUNTIF(Brasil!AD2567,"en término")</f>
        <v>2</v>
      </c>
      <c r="JB3" s="272">
        <f>+COUNTIF(Brasil!AD2568,"en término")</f>
        <v>0</v>
      </c>
      <c r="JC3" s="272">
        <f>+COUNTIF('o.c.'!AE5,"en término")+COUNTIF('o.c.'!AE10,"en término")</f>
        <v>1</v>
      </c>
      <c r="JD3" s="272">
        <f>+COUNTIF('o.c.'!AE6,"en término")+COUNTIF('o.c.'!AE11,"en término")</f>
        <v>0</v>
      </c>
      <c r="JE3" s="272">
        <f>+COUNTIF('o.c.'!AE12,"en término")</f>
        <v>0</v>
      </c>
      <c r="JF3" s="272"/>
      <c r="JI3" s="1097">
        <f>+COUNTIF(Brasil!AI2221:AI2228,"en término")</f>
        <v>8</v>
      </c>
      <c r="JJ3" s="1097">
        <f>+COUNTIF(Brasil!AI2233:AI2238,"en término")</f>
        <v>6</v>
      </c>
      <c r="JK3" s="1097">
        <f>+COUNTIF(Brasil!AI2239:AI2245,"en término")</f>
        <v>0</v>
      </c>
      <c r="JL3" s="1097"/>
      <c r="JM3" s="1097">
        <f>+COUNTIF(Brasil!AI2254:AI2255,"en término")</f>
        <v>2</v>
      </c>
      <c r="JN3" s="1097">
        <f>+COUNTIF(Brasil!AI2256:AI2265,"en término")</f>
        <v>4</v>
      </c>
      <c r="JO3" s="1097">
        <f>+COUNTIF(Brasil!AI2266:AI2268,"en término")</f>
        <v>0</v>
      </c>
      <c r="JP3" s="1097"/>
      <c r="JQ3" s="1097">
        <f>+COUNTIF(Brasil!AI2269:AI2274,"en término")</f>
        <v>0</v>
      </c>
      <c r="JR3" s="1097">
        <f>+COUNTIF(Brasil!AI2275:AI2279,"en término")</f>
        <v>0</v>
      </c>
      <c r="JS3" s="1097">
        <f>+COUNTIF(Brasil!AI2280:AI2281,"en término")</f>
        <v>2</v>
      </c>
      <c r="JT3" s="1097">
        <f>+COUNTIF(Brasil!AI2282:AI2286,"en término")</f>
        <v>5</v>
      </c>
      <c r="JU3" s="1097">
        <f>+COUNTIF(Brasil!AI2287:AI2292,"en término")</f>
        <v>6</v>
      </c>
      <c r="JV3" s="1097">
        <f>+COUNTIF(Brasil!AI2293:AI2304,"en término")</f>
        <v>12</v>
      </c>
      <c r="JW3" s="1097">
        <f>+COUNTIF(Brasil!AI2311:AI2314,"en término")</f>
        <v>4</v>
      </c>
      <c r="JX3" s="1097">
        <f>+COUNTIF(Brasil!AI2315:AI2320,"en término")</f>
        <v>6</v>
      </c>
      <c r="JY3" s="1097">
        <f>+COUNTIF(Brasil!AI2321:AI2324,"en término")</f>
        <v>4</v>
      </c>
      <c r="JZ3" s="1097">
        <f>+COUNTIF(Brasil!AI2325:AI2326,"en término")</f>
        <v>2</v>
      </c>
      <c r="KA3" s="1097"/>
      <c r="KB3" s="1097">
        <f>+COUNTIF(Brasil!AI2327:AI2335,"en término")</f>
        <v>9</v>
      </c>
      <c r="KC3" s="1097">
        <f>+COUNTIF(Brasil!AI2336,"en término")</f>
        <v>0</v>
      </c>
      <c r="KD3" s="1097">
        <f>+COUNTIF(Brasil!AI2337:AI2338,"en término")</f>
        <v>2</v>
      </c>
      <c r="KE3" s="1097">
        <f>+COUNTIF(Brasil!AI2339:AI2344,"en término")</f>
        <v>6</v>
      </c>
      <c r="KF3" s="1097">
        <f>+COUNTIF(Brasil!AI2345:AI2352,"en término")</f>
        <v>8</v>
      </c>
      <c r="KG3" s="1097">
        <f>+COUNTIF(Brasil!AI2353:AI2360,"en término")</f>
        <v>8</v>
      </c>
      <c r="KH3" s="1097"/>
      <c r="KI3" s="1097">
        <f>+COUNTIF(Brasil!AI2361:AI2364,"en término")+COUNTIF(Brasil!AI2372:AI2375,"en término")</f>
        <v>4</v>
      </c>
      <c r="KJ3" s="1097"/>
      <c r="KK3" s="1097">
        <f>+COUNTIF(Brasil!AI2376:AI2389,"en término")</f>
        <v>12</v>
      </c>
      <c r="KL3" s="1097">
        <f>+COUNTIF(Brasil!AI2390:AI2395,"en término")</f>
        <v>6</v>
      </c>
      <c r="KM3" s="1097">
        <f>+COUNTIF(Brasil!AI2396:AI2399,"en término")</f>
        <v>4</v>
      </c>
      <c r="KN3" s="1097">
        <f>+COUNTIF(Brasil!AI2401:AI2405,"en término")</f>
        <v>0</v>
      </c>
      <c r="KO3" s="1097">
        <f>+COUNTIF(Brasil!AI2406:AI2411,"en término")</f>
        <v>6</v>
      </c>
      <c r="KP3" s="1097">
        <f>+COUNTIF(Brasil!AI2412:AI2430,"en término")</f>
        <v>9</v>
      </c>
      <c r="KQ3" s="1097">
        <f>+COUNTIF(Brasil!AI2431:AI2432,"en término")</f>
        <v>0</v>
      </c>
      <c r="KR3" s="1097">
        <f>+COUNTIF(Brasil!AI2434:AI2438,"en término")</f>
        <v>0</v>
      </c>
      <c r="KS3" s="1097">
        <f>+COUNTIF(Brasil!AI2439:AI2445,"en término")</f>
        <v>7</v>
      </c>
      <c r="KT3" s="1097">
        <f>+COUNTIF(Brasil!AI2446:AI2447,"en término")</f>
        <v>2</v>
      </c>
      <c r="KU3" s="1097">
        <f>+COUNTIF(Brasil!AI2448:AI2450,"en término")</f>
        <v>3</v>
      </c>
      <c r="KV3" s="1097">
        <f>+COUNTIF(Brasil!AI2459:AI2469,"en término")</f>
        <v>11</v>
      </c>
      <c r="KW3" s="1097">
        <f>+COUNTIF(Brasil!AI2470:AI2478,"en término")</f>
        <v>9</v>
      </c>
      <c r="KX3" s="1097"/>
      <c r="KY3" s="1097">
        <f>+COUNTIF(Brasil!AI2485:AI2490,"en término")</f>
        <v>6</v>
      </c>
      <c r="KZ3" s="1097">
        <f>+COUNTIF(Brasil!AI2491:AI2496,"en término")</f>
        <v>6</v>
      </c>
      <c r="LA3" s="1097">
        <f>+COUNTIF(Brasil!AI2497:AI2498,"en término")</f>
        <v>2</v>
      </c>
      <c r="LB3" s="1097">
        <f>+COUNTIF(Brasil!AI2499:AI2506,"en término")</f>
        <v>8</v>
      </c>
      <c r="LC3" s="1097"/>
      <c r="LD3" s="1097"/>
      <c r="LE3" s="1097">
        <f>+COUNTIF(Brasil!AI2507:AI2508,"en término")</f>
        <v>0</v>
      </c>
      <c r="LF3" s="1097"/>
      <c r="LG3" s="1097"/>
      <c r="LH3" s="1097"/>
      <c r="LI3" s="1097"/>
      <c r="LJ3" s="1097">
        <f>+COUNTIF(Brasil!AI2517:AI2525,"en término")</f>
        <v>9</v>
      </c>
      <c r="LK3" s="1097">
        <f>+COUNTIF(Brasil!AI2526:AI2529,"en término")</f>
        <v>4</v>
      </c>
      <c r="LL3" s="1097">
        <f>+COUNTIF(Brasil!AI2530:AI2533,"en término")</f>
        <v>0</v>
      </c>
      <c r="LM3" s="1097">
        <f>+COUNTIF(Brasil!AI2534:AI2546,"en término")</f>
        <v>13</v>
      </c>
      <c r="LN3" s="1097"/>
      <c r="LO3" s="1097"/>
      <c r="LP3" s="1097">
        <f>+COUNTIF(Brasil!AI2547:AI2551,"en término")</f>
        <v>5</v>
      </c>
      <c r="LQ3" s="1097">
        <f>+COUNTIF(Brasil!AI2552:AI2560,"en término")</f>
        <v>9</v>
      </c>
      <c r="LR3" s="1097">
        <f>+COUNTIF(Brasil!AI2561:AI2562,"en término")</f>
        <v>2</v>
      </c>
      <c r="LS3" s="1097">
        <f>+COUNTIF(Brasil!AI2566:AI2567,"en término")</f>
        <v>0</v>
      </c>
      <c r="LT3" s="1097"/>
      <c r="LU3" s="1097">
        <f>+COUNTIF(Brasil!AI2568,"en término")</f>
        <v>1</v>
      </c>
    </row>
    <row r="4" spans="2:333" ht="17.25" thickBot="1" x14ac:dyDescent="0.35">
      <c r="B4" s="1005"/>
      <c r="C4" s="270" t="s">
        <v>6158</v>
      </c>
      <c r="D4" s="274">
        <f>+D3/D2</f>
        <v>0.5</v>
      </c>
      <c r="E4" s="274">
        <f>+E3/E2</f>
        <v>1</v>
      </c>
      <c r="F4" s="274"/>
      <c r="G4" s="274">
        <f>+G3/G2</f>
        <v>1</v>
      </c>
      <c r="H4" s="274">
        <f>+H3/H2</f>
        <v>1</v>
      </c>
      <c r="I4" s="274">
        <f>+I3/I2</f>
        <v>1</v>
      </c>
      <c r="J4" s="290"/>
      <c r="K4" s="274">
        <f t="shared" ref="K4:R4" si="0">+K3/K2</f>
        <v>0.5</v>
      </c>
      <c r="L4" s="274">
        <f t="shared" si="0"/>
        <v>0.75</v>
      </c>
      <c r="M4" s="275">
        <f t="shared" si="0"/>
        <v>1</v>
      </c>
      <c r="N4" s="275">
        <f t="shared" si="0"/>
        <v>0.75</v>
      </c>
      <c r="O4" s="275">
        <f t="shared" si="0"/>
        <v>1</v>
      </c>
      <c r="P4" s="275">
        <f t="shared" si="0"/>
        <v>1</v>
      </c>
      <c r="Q4" s="275">
        <f t="shared" si="0"/>
        <v>1</v>
      </c>
      <c r="R4" s="275">
        <f t="shared" si="0"/>
        <v>1</v>
      </c>
      <c r="S4" s="275">
        <f>+S3/S2</f>
        <v>1</v>
      </c>
      <c r="T4" s="275">
        <f>+T3/T2</f>
        <v>1</v>
      </c>
      <c r="U4" s="275">
        <f>+U3/U2</f>
        <v>0.5714285714285714</v>
      </c>
      <c r="V4" s="290"/>
      <c r="W4" s="275">
        <f t="shared" ref="W4:BC4" si="1">+W3/W2</f>
        <v>1</v>
      </c>
      <c r="X4" s="275">
        <f t="shared" si="1"/>
        <v>1</v>
      </c>
      <c r="Y4" s="275">
        <f t="shared" si="1"/>
        <v>1</v>
      </c>
      <c r="Z4" s="275">
        <f t="shared" si="1"/>
        <v>0.7142857142857143</v>
      </c>
      <c r="AA4" s="275">
        <f t="shared" si="1"/>
        <v>1</v>
      </c>
      <c r="AB4" s="275">
        <f t="shared" si="1"/>
        <v>1</v>
      </c>
      <c r="AC4" s="275">
        <f t="shared" si="1"/>
        <v>0.8</v>
      </c>
      <c r="AD4" s="275">
        <f t="shared" si="1"/>
        <v>1</v>
      </c>
      <c r="AE4" s="275">
        <f t="shared" si="1"/>
        <v>1</v>
      </c>
      <c r="AF4" s="275">
        <f t="shared" si="1"/>
        <v>1</v>
      </c>
      <c r="AG4" s="275">
        <f t="shared" si="1"/>
        <v>1</v>
      </c>
      <c r="AH4" s="290"/>
      <c r="AI4" s="275">
        <f t="shared" si="1"/>
        <v>0</v>
      </c>
      <c r="AJ4" s="275">
        <f t="shared" si="1"/>
        <v>0.66666666666666663</v>
      </c>
      <c r="AK4" s="275">
        <f t="shared" si="1"/>
        <v>1</v>
      </c>
      <c r="AL4" s="275">
        <f t="shared" si="1"/>
        <v>1</v>
      </c>
      <c r="AM4" s="275">
        <f t="shared" si="1"/>
        <v>1</v>
      </c>
      <c r="AN4" s="275">
        <f t="shared" si="1"/>
        <v>1</v>
      </c>
      <c r="AO4" s="275">
        <f t="shared" si="1"/>
        <v>0.2</v>
      </c>
      <c r="AP4" s="275">
        <f t="shared" si="1"/>
        <v>1</v>
      </c>
      <c r="AQ4" s="275"/>
      <c r="AR4" s="275">
        <f t="shared" si="1"/>
        <v>0.7142857142857143</v>
      </c>
      <c r="AS4" s="275"/>
      <c r="AT4" s="290"/>
      <c r="AU4" s="275">
        <f t="shared" si="1"/>
        <v>0.5</v>
      </c>
      <c r="AV4" s="275"/>
      <c r="AW4" s="275">
        <f t="shared" si="1"/>
        <v>0.25</v>
      </c>
      <c r="AX4" s="275"/>
      <c r="AY4" s="275">
        <f t="shared" si="1"/>
        <v>0</v>
      </c>
      <c r="AZ4" s="275">
        <f t="shared" si="1"/>
        <v>0.8</v>
      </c>
      <c r="BA4" s="275">
        <f t="shared" si="1"/>
        <v>0</v>
      </c>
      <c r="BB4" s="275">
        <f t="shared" si="1"/>
        <v>0.25</v>
      </c>
      <c r="BC4" s="275">
        <f t="shared" si="1"/>
        <v>0.5</v>
      </c>
      <c r="BD4" s="275">
        <f t="shared" ref="BD4:DK4" si="2">+BD3/BD2</f>
        <v>0</v>
      </c>
      <c r="BE4" s="275">
        <f t="shared" si="2"/>
        <v>0</v>
      </c>
      <c r="BF4" s="275">
        <f>+BF3/BF2</f>
        <v>0.2</v>
      </c>
      <c r="BG4" s="275">
        <f t="shared" si="2"/>
        <v>0</v>
      </c>
      <c r="BH4" s="275"/>
      <c r="BI4" s="275">
        <f t="shared" si="2"/>
        <v>0</v>
      </c>
      <c r="BJ4" s="275"/>
      <c r="BK4" s="275">
        <f t="shared" si="2"/>
        <v>0.125</v>
      </c>
      <c r="BL4" s="275">
        <f t="shared" si="2"/>
        <v>0.63636363636363635</v>
      </c>
      <c r="BM4" s="275"/>
      <c r="BN4" s="275">
        <f t="shared" si="2"/>
        <v>0.16666666666666666</v>
      </c>
      <c r="BO4" s="275">
        <f t="shared" si="2"/>
        <v>0.6875</v>
      </c>
      <c r="BP4" s="275"/>
      <c r="BQ4" s="275">
        <f t="shared" si="2"/>
        <v>0.6428571428571429</v>
      </c>
      <c r="BR4" s="275"/>
      <c r="BS4" s="275">
        <f t="shared" si="2"/>
        <v>0</v>
      </c>
      <c r="BT4" s="275">
        <f t="shared" si="2"/>
        <v>0.42857142857142855</v>
      </c>
      <c r="BU4" s="275">
        <f t="shared" si="2"/>
        <v>0.25</v>
      </c>
      <c r="BV4" s="275">
        <f t="shared" si="2"/>
        <v>0.5</v>
      </c>
      <c r="BW4" s="275">
        <f t="shared" si="2"/>
        <v>1</v>
      </c>
      <c r="BX4" s="275">
        <f t="shared" si="2"/>
        <v>0.66666666666666663</v>
      </c>
      <c r="BY4" s="275">
        <f t="shared" si="2"/>
        <v>0.75</v>
      </c>
      <c r="BZ4" s="275">
        <f t="shared" si="2"/>
        <v>1</v>
      </c>
      <c r="CA4" s="275">
        <f t="shared" si="2"/>
        <v>0.66666666666666663</v>
      </c>
      <c r="CB4" s="275">
        <f t="shared" si="2"/>
        <v>1</v>
      </c>
      <c r="CC4" s="275">
        <f t="shared" si="2"/>
        <v>0.8</v>
      </c>
      <c r="CD4" s="275">
        <f t="shared" si="2"/>
        <v>1</v>
      </c>
      <c r="CE4" s="275">
        <f t="shared" si="2"/>
        <v>1</v>
      </c>
      <c r="CF4" s="275">
        <f t="shared" si="2"/>
        <v>0.8571428571428571</v>
      </c>
      <c r="CG4" s="275">
        <f t="shared" si="2"/>
        <v>1</v>
      </c>
      <c r="CH4" s="275"/>
      <c r="CI4" s="275">
        <f t="shared" si="2"/>
        <v>0.66666666666666663</v>
      </c>
      <c r="CJ4" s="275">
        <f t="shared" si="2"/>
        <v>1</v>
      </c>
      <c r="CK4" s="275">
        <f t="shared" si="2"/>
        <v>1</v>
      </c>
      <c r="CL4" s="275">
        <f t="shared" si="2"/>
        <v>1</v>
      </c>
      <c r="CM4" s="275">
        <f t="shared" si="2"/>
        <v>1</v>
      </c>
      <c r="CN4" s="275">
        <f t="shared" si="2"/>
        <v>1</v>
      </c>
      <c r="CO4" s="275">
        <f t="shared" si="2"/>
        <v>0.6</v>
      </c>
      <c r="CP4" s="275">
        <f t="shared" si="2"/>
        <v>1</v>
      </c>
      <c r="CQ4" s="275">
        <f t="shared" si="2"/>
        <v>0.83333333333333337</v>
      </c>
      <c r="CR4" s="275">
        <f t="shared" si="2"/>
        <v>0.1111111111111111</v>
      </c>
      <c r="CS4" s="275">
        <f t="shared" si="2"/>
        <v>0.5714285714285714</v>
      </c>
      <c r="CT4" s="275">
        <f t="shared" si="2"/>
        <v>0.7142857142857143</v>
      </c>
      <c r="CU4" s="275">
        <f t="shared" si="2"/>
        <v>0.7142857142857143</v>
      </c>
      <c r="CV4" s="275">
        <f t="shared" si="2"/>
        <v>0.75</v>
      </c>
      <c r="CW4" s="275">
        <f t="shared" si="2"/>
        <v>0.6</v>
      </c>
      <c r="CX4" s="275">
        <f t="shared" si="2"/>
        <v>0.66666666666666663</v>
      </c>
      <c r="CY4" s="275">
        <f t="shared" si="2"/>
        <v>0.5714285714285714</v>
      </c>
      <c r="CZ4" s="275">
        <f t="shared" si="2"/>
        <v>0.5</v>
      </c>
      <c r="DA4" s="275">
        <f t="shared" si="2"/>
        <v>0.91666666666666663</v>
      </c>
      <c r="DB4" s="275"/>
      <c r="DC4" s="275">
        <f t="shared" si="2"/>
        <v>0.53333333333333333</v>
      </c>
      <c r="DD4" s="275">
        <f t="shared" si="2"/>
        <v>0.22222222222222221</v>
      </c>
      <c r="DE4" s="275">
        <f t="shared" si="2"/>
        <v>0.375</v>
      </c>
      <c r="DF4" s="275">
        <f t="shared" si="2"/>
        <v>0.66666666666666663</v>
      </c>
      <c r="DG4" s="275">
        <f t="shared" si="2"/>
        <v>0.9</v>
      </c>
      <c r="DH4" s="275">
        <f t="shared" si="2"/>
        <v>0.83333333333333337</v>
      </c>
      <c r="DI4" s="275">
        <f t="shared" si="2"/>
        <v>1</v>
      </c>
      <c r="DJ4" s="275"/>
      <c r="DK4" s="275">
        <f t="shared" si="2"/>
        <v>1</v>
      </c>
      <c r="DL4" s="275">
        <f t="shared" ref="DL4:DT4" si="3">+DL3/DL2</f>
        <v>0.33333333333333331</v>
      </c>
      <c r="DM4" s="275">
        <f t="shared" si="3"/>
        <v>0.77777777777777779</v>
      </c>
      <c r="DN4" s="275">
        <f t="shared" si="3"/>
        <v>0.25</v>
      </c>
      <c r="DO4" s="275">
        <f t="shared" si="3"/>
        <v>0.25</v>
      </c>
      <c r="DP4" s="275">
        <f t="shared" si="3"/>
        <v>0</v>
      </c>
      <c r="DQ4" s="275">
        <f t="shared" si="3"/>
        <v>0</v>
      </c>
      <c r="DR4" s="275">
        <f t="shared" si="3"/>
        <v>0.42857142857142855</v>
      </c>
      <c r="DS4" s="275">
        <f t="shared" si="3"/>
        <v>1</v>
      </c>
      <c r="DT4" s="275">
        <f t="shared" si="3"/>
        <v>0.75</v>
      </c>
      <c r="DU4" s="275">
        <f t="shared" ref="DU4:DZ4" si="4">+DU3/DU2</f>
        <v>0.55555555555555558</v>
      </c>
      <c r="DV4" s="275">
        <f t="shared" si="4"/>
        <v>0.75</v>
      </c>
      <c r="DW4" s="275">
        <f t="shared" si="4"/>
        <v>0.875</v>
      </c>
      <c r="DX4" s="275">
        <f t="shared" si="4"/>
        <v>1</v>
      </c>
      <c r="DY4" s="275">
        <f t="shared" si="4"/>
        <v>1</v>
      </c>
      <c r="DZ4" s="275">
        <f t="shared" si="4"/>
        <v>1</v>
      </c>
      <c r="EA4" s="275">
        <f>+EA3/EA2</f>
        <v>0.75</v>
      </c>
      <c r="EB4" s="275">
        <f>+EB3/EB2</f>
        <v>0.5</v>
      </c>
      <c r="EC4" s="275">
        <f>+EC3/EC2</f>
        <v>1</v>
      </c>
      <c r="ED4" s="275">
        <f>+ED3/ED2</f>
        <v>0.75</v>
      </c>
      <c r="EE4" s="275">
        <f>+EE3/EE2</f>
        <v>1</v>
      </c>
      <c r="EF4" s="275"/>
      <c r="EG4" s="275">
        <f>+EG3/EG2</f>
        <v>0.45454545454545453</v>
      </c>
      <c r="EH4" s="275">
        <f>+EH3/EH2</f>
        <v>0.8</v>
      </c>
      <c r="EI4" s="275"/>
      <c r="EJ4" s="275">
        <f>+EJ3/EJ2</f>
        <v>0.77777777777777779</v>
      </c>
      <c r="EK4" s="275">
        <f>+EK3/EK2</f>
        <v>1</v>
      </c>
      <c r="EL4" s="275"/>
      <c r="EM4" s="275">
        <f t="shared" ref="EM4:ES4" si="5">+EM3/EM2</f>
        <v>0.75</v>
      </c>
      <c r="EN4" s="275">
        <f t="shared" si="5"/>
        <v>1</v>
      </c>
      <c r="EO4" s="275">
        <f t="shared" si="5"/>
        <v>0</v>
      </c>
      <c r="EP4" s="275">
        <f t="shared" si="5"/>
        <v>0</v>
      </c>
      <c r="EQ4" s="275">
        <f t="shared" si="5"/>
        <v>1</v>
      </c>
      <c r="ER4" s="275">
        <f t="shared" si="5"/>
        <v>0</v>
      </c>
      <c r="ES4" s="275">
        <f t="shared" si="5"/>
        <v>1</v>
      </c>
      <c r="ET4" s="275"/>
      <c r="EU4" s="275"/>
      <c r="EV4" s="275">
        <f>+EV3/EV2</f>
        <v>0.75</v>
      </c>
      <c r="EW4" s="275">
        <f>+EW3/EW2</f>
        <v>0</v>
      </c>
      <c r="EX4" s="275"/>
      <c r="EY4" s="275">
        <f t="shared" ref="EY4:FF4" si="6">+EY3/EY2</f>
        <v>1</v>
      </c>
      <c r="EZ4" s="275">
        <f t="shared" si="6"/>
        <v>0</v>
      </c>
      <c r="FA4" s="275">
        <f t="shared" si="6"/>
        <v>0.75</v>
      </c>
      <c r="FB4" s="275">
        <f t="shared" si="6"/>
        <v>1</v>
      </c>
      <c r="FC4" s="275">
        <f t="shared" si="6"/>
        <v>0.83333333333333337</v>
      </c>
      <c r="FD4" s="275">
        <f t="shared" si="6"/>
        <v>0.5</v>
      </c>
      <c r="FE4" s="275">
        <f t="shared" si="6"/>
        <v>1</v>
      </c>
      <c r="FF4" s="275">
        <f t="shared" si="6"/>
        <v>1</v>
      </c>
      <c r="FG4" s="275">
        <f>+FG3/FG2</f>
        <v>0.66666666666666663</v>
      </c>
      <c r="FH4" s="275">
        <f>+FH3/FH2</f>
        <v>1</v>
      </c>
      <c r="FI4" s="275"/>
      <c r="FJ4" s="275">
        <f>+FJ3/FJ2</f>
        <v>0.33333333333333331</v>
      </c>
      <c r="FK4" s="275"/>
      <c r="FL4" s="275">
        <f>+FL3/FL2</f>
        <v>1</v>
      </c>
      <c r="FM4" s="275"/>
      <c r="FN4" s="275">
        <f>+FN3/FN2</f>
        <v>0.6</v>
      </c>
      <c r="FO4" s="275">
        <f>+FO3/FO2</f>
        <v>1</v>
      </c>
      <c r="FP4" s="275"/>
      <c r="FQ4" s="275">
        <f>+FQ3/FQ2</f>
        <v>1</v>
      </c>
      <c r="FR4" s="275"/>
      <c r="FS4" s="275">
        <f>+FS3/FS2</f>
        <v>1</v>
      </c>
      <c r="FT4" s="275"/>
      <c r="FU4" s="275"/>
      <c r="FV4" s="275"/>
      <c r="FW4" s="275"/>
      <c r="FX4" s="275">
        <f>+FX3/FX2</f>
        <v>0.5</v>
      </c>
      <c r="FY4" s="275"/>
      <c r="FZ4" s="275">
        <f>+FZ3/FZ2</f>
        <v>1</v>
      </c>
      <c r="GA4" s="275"/>
      <c r="GB4" s="275"/>
      <c r="GC4" s="275">
        <f>+GC3/GC2</f>
        <v>1</v>
      </c>
      <c r="GD4" s="275">
        <f>+GD3/GD2</f>
        <v>1</v>
      </c>
      <c r="GE4" s="275">
        <f>+GE3/GE2</f>
        <v>1</v>
      </c>
      <c r="GF4" s="275">
        <f>+GF3/GF2</f>
        <v>1</v>
      </c>
      <c r="GG4" s="275"/>
      <c r="GH4" s="275"/>
      <c r="GI4" s="275">
        <f>+GI3/GI2</f>
        <v>0.5</v>
      </c>
      <c r="GJ4" s="275"/>
      <c r="GK4" s="275">
        <f t="shared" ref="GK4:GR4" si="7">+GK3/GK2</f>
        <v>1</v>
      </c>
      <c r="GL4" s="275">
        <f t="shared" si="7"/>
        <v>1</v>
      </c>
      <c r="GM4" s="275">
        <f t="shared" si="7"/>
        <v>1</v>
      </c>
      <c r="GN4" s="275">
        <f t="shared" si="7"/>
        <v>0</v>
      </c>
      <c r="GO4" s="275">
        <f t="shared" si="7"/>
        <v>0.25</v>
      </c>
      <c r="GP4" s="275">
        <f t="shared" si="7"/>
        <v>0.5</v>
      </c>
      <c r="GQ4" s="275">
        <f t="shared" si="7"/>
        <v>0.16666666666666666</v>
      </c>
      <c r="GR4" s="275">
        <f t="shared" si="7"/>
        <v>0.5714285714285714</v>
      </c>
      <c r="GS4" s="275">
        <f>+GS3/GS2</f>
        <v>1</v>
      </c>
      <c r="GT4" s="275">
        <f>+GT3/GT2</f>
        <v>0.33333333333333331</v>
      </c>
      <c r="GU4" s="275">
        <f>+GU3/GU2</f>
        <v>0.75</v>
      </c>
      <c r="GV4" s="275">
        <f>+GV3/GV2</f>
        <v>0.66666666666666663</v>
      </c>
      <c r="GW4" s="275"/>
      <c r="GX4" s="275">
        <f t="shared" ref="GX4:HJ4" si="8">+GX3/GX2</f>
        <v>0.66666666666666663</v>
      </c>
      <c r="GY4" s="275">
        <f t="shared" si="8"/>
        <v>0.8</v>
      </c>
      <c r="GZ4" s="275">
        <f t="shared" si="8"/>
        <v>0.55555555555555558</v>
      </c>
      <c r="HA4" s="275">
        <f t="shared" si="8"/>
        <v>0</v>
      </c>
      <c r="HB4" s="275">
        <f t="shared" si="8"/>
        <v>0.8</v>
      </c>
      <c r="HC4" s="275">
        <f t="shared" si="8"/>
        <v>0.33333333333333331</v>
      </c>
      <c r="HD4" s="275">
        <f t="shared" si="8"/>
        <v>0.5</v>
      </c>
      <c r="HE4" s="275">
        <f t="shared" si="8"/>
        <v>0.75</v>
      </c>
      <c r="HF4" s="275">
        <f t="shared" si="8"/>
        <v>0.83333333333333337</v>
      </c>
      <c r="HG4" s="275">
        <f t="shared" si="8"/>
        <v>0.5</v>
      </c>
      <c r="HH4" s="275">
        <f t="shared" si="8"/>
        <v>1</v>
      </c>
      <c r="HI4" s="275">
        <f t="shared" si="8"/>
        <v>1</v>
      </c>
      <c r="HJ4" s="275">
        <f t="shared" si="8"/>
        <v>0.5</v>
      </c>
      <c r="HK4" s="275">
        <f t="shared" ref="HK4:HP4" si="9">+HK3/HK2</f>
        <v>1</v>
      </c>
      <c r="HL4" s="275">
        <f t="shared" si="9"/>
        <v>1</v>
      </c>
      <c r="HM4" s="275">
        <f t="shared" si="9"/>
        <v>0</v>
      </c>
      <c r="HN4" s="275">
        <f t="shared" si="9"/>
        <v>1</v>
      </c>
      <c r="HO4" s="275">
        <f t="shared" si="9"/>
        <v>0.375</v>
      </c>
      <c r="HP4" s="275">
        <f t="shared" si="9"/>
        <v>0.2</v>
      </c>
      <c r="HQ4" s="275">
        <f t="shared" ref="HQ4:HW4" si="10">+HQ3/HQ2</f>
        <v>1</v>
      </c>
      <c r="HR4" s="275">
        <f t="shared" si="10"/>
        <v>0.33333333333333331</v>
      </c>
      <c r="HS4" s="275">
        <f t="shared" si="10"/>
        <v>0.55555555555555558</v>
      </c>
      <c r="HT4" s="275">
        <f t="shared" si="10"/>
        <v>0.7142857142857143</v>
      </c>
      <c r="HU4" s="275"/>
      <c r="HV4" s="275">
        <f t="shared" si="10"/>
        <v>0</v>
      </c>
      <c r="HW4" s="275">
        <f t="shared" si="10"/>
        <v>0.73684210526315785</v>
      </c>
      <c r="HX4" s="275">
        <f t="shared" ref="HX4:HY4" si="11">+HX3/HX2</f>
        <v>0</v>
      </c>
      <c r="HY4" s="275">
        <f t="shared" si="11"/>
        <v>1</v>
      </c>
      <c r="HZ4" s="275">
        <f t="shared" ref="HZ4:IA4" si="12">+HZ3/HZ2</f>
        <v>1</v>
      </c>
      <c r="IA4" s="275">
        <f t="shared" si="12"/>
        <v>0.66666666666666663</v>
      </c>
      <c r="IB4" s="275">
        <f t="shared" ref="IB4:IC4" si="13">+IB3/IB2</f>
        <v>0.33333333333333331</v>
      </c>
      <c r="IC4" s="275">
        <f t="shared" si="13"/>
        <v>1</v>
      </c>
      <c r="ID4" s="275">
        <f t="shared" ref="ID4:IE4" si="14">+ID3/ID2</f>
        <v>0</v>
      </c>
      <c r="IE4" s="275">
        <f t="shared" si="14"/>
        <v>0</v>
      </c>
      <c r="IF4" s="275">
        <f t="shared" ref="IF4:IG4" si="15">+IF3/IF2</f>
        <v>0.83333333333333337</v>
      </c>
      <c r="IG4" s="275">
        <f t="shared" si="15"/>
        <v>0.75</v>
      </c>
      <c r="IH4" s="275">
        <f t="shared" ref="IH4:II4" si="16">+IH3/IH2</f>
        <v>0.75</v>
      </c>
      <c r="II4" s="275">
        <f t="shared" si="16"/>
        <v>0.375</v>
      </c>
      <c r="IJ4" s="275"/>
      <c r="IK4" s="275"/>
      <c r="IL4" s="275">
        <f t="shared" ref="IL4:IM4" si="17">+IL3/IL2</f>
        <v>0</v>
      </c>
      <c r="IM4" s="275">
        <f t="shared" si="17"/>
        <v>0.5</v>
      </c>
      <c r="IN4" s="275"/>
      <c r="IO4" s="275"/>
      <c r="IP4" s="275"/>
      <c r="IQ4" s="275">
        <f t="shared" ref="IQ4:IR4" si="18">+IQ3/IQ2</f>
        <v>1</v>
      </c>
      <c r="IR4" s="275">
        <f t="shared" si="18"/>
        <v>1</v>
      </c>
      <c r="IS4" s="275">
        <f t="shared" ref="IS4:IT4" si="19">+IS3/IS2</f>
        <v>0.75</v>
      </c>
      <c r="IT4" s="275">
        <f t="shared" si="19"/>
        <v>0.88888888888888884</v>
      </c>
      <c r="IU4" s="275">
        <f t="shared" ref="IU4:IW4" si="20">+IU3/IU2</f>
        <v>0.75</v>
      </c>
      <c r="IV4" s="275">
        <f t="shared" ref="IV4" si="21">+IV3/IV2</f>
        <v>0.33333333333333331</v>
      </c>
      <c r="IW4" s="275">
        <f t="shared" si="20"/>
        <v>1</v>
      </c>
      <c r="IX4" s="275">
        <f t="shared" ref="IX4:IY4" si="22">+IX3/IX2</f>
        <v>0.7142857142857143</v>
      </c>
      <c r="IY4" s="275">
        <f t="shared" si="22"/>
        <v>0.66666666666666663</v>
      </c>
      <c r="IZ4" s="275">
        <f t="shared" ref="IZ4:JA4" si="23">+IZ3/IZ2</f>
        <v>1</v>
      </c>
      <c r="JA4" s="275">
        <f t="shared" si="23"/>
        <v>1</v>
      </c>
      <c r="JB4" s="275">
        <f t="shared" ref="JB4:JC4" si="24">+JB3/JB2</f>
        <v>0</v>
      </c>
      <c r="JC4" s="275">
        <f t="shared" si="24"/>
        <v>0.5</v>
      </c>
      <c r="JD4" s="275">
        <f t="shared" ref="JD4:JE4" si="25">+JD3/JD2</f>
        <v>0</v>
      </c>
      <c r="JE4" s="275">
        <f t="shared" si="25"/>
        <v>0</v>
      </c>
      <c r="JF4" s="275"/>
      <c r="JI4" s="1098"/>
      <c r="JJ4" s="1098"/>
      <c r="JK4" s="1098"/>
      <c r="JL4" s="1098"/>
      <c r="JM4" s="1098"/>
      <c r="JN4" s="1098"/>
      <c r="JO4" s="1098"/>
      <c r="JP4" s="1098"/>
      <c r="JQ4" s="1098"/>
      <c r="JR4" s="1098"/>
      <c r="JS4" s="1098"/>
      <c r="JT4" s="1098"/>
      <c r="JU4" s="1098"/>
      <c r="JV4" s="1098"/>
      <c r="JW4" s="1098"/>
      <c r="JX4" s="1098"/>
      <c r="JY4" s="1098"/>
      <c r="JZ4" s="1098"/>
      <c r="KA4" s="1098"/>
      <c r="KB4" s="1098"/>
      <c r="KC4" s="1098"/>
      <c r="KD4" s="1098"/>
      <c r="KE4" s="1098"/>
      <c r="KF4" s="1098"/>
      <c r="KG4" s="1098"/>
      <c r="KH4" s="1098"/>
      <c r="KI4" s="1098"/>
      <c r="KJ4" s="1098"/>
      <c r="KK4" s="1098"/>
      <c r="KL4" s="1098"/>
      <c r="KM4" s="1098"/>
      <c r="KN4" s="1098"/>
      <c r="KO4" s="1098"/>
      <c r="KP4" s="1098"/>
      <c r="KQ4" s="1098"/>
      <c r="KR4" s="1098"/>
      <c r="KS4" s="1098"/>
      <c r="KT4" s="1098"/>
      <c r="KU4" s="1098"/>
      <c r="KV4" s="1098"/>
      <c r="KW4" s="1098"/>
      <c r="KX4" s="1098"/>
      <c r="KY4" s="1098"/>
      <c r="KZ4" s="1098"/>
      <c r="LA4" s="1098"/>
      <c r="LB4" s="1098"/>
      <c r="LC4" s="1098"/>
      <c r="LD4" s="1098"/>
      <c r="LE4" s="1098"/>
      <c r="LF4" s="1098"/>
      <c r="LG4" s="1098"/>
      <c r="LH4" s="1098"/>
      <c r="LI4" s="1098"/>
      <c r="LJ4" s="1098"/>
      <c r="LK4" s="1098"/>
      <c r="LL4" s="1098"/>
      <c r="LM4" s="1098"/>
      <c r="LN4" s="1098"/>
      <c r="LO4" s="1098"/>
      <c r="LP4" s="1098"/>
      <c r="LQ4" s="1098"/>
      <c r="LR4" s="1098"/>
      <c r="LS4" s="1098"/>
      <c r="LT4" s="1098"/>
      <c r="LU4" s="1098"/>
    </row>
    <row r="5" spans="2:333" ht="16.5" x14ac:dyDescent="0.3">
      <c r="B5" s="1004" t="s">
        <v>3557</v>
      </c>
      <c r="C5" s="269" t="s">
        <v>6156</v>
      </c>
      <c r="D5" s="271">
        <f>COUNTA(Colombia!AD302:AD305)</f>
        <v>2</v>
      </c>
      <c r="E5" s="271">
        <f>COUNTA(Colombia!AD308:AD311)</f>
        <v>2</v>
      </c>
      <c r="F5" s="271">
        <v>0</v>
      </c>
      <c r="G5" s="271">
        <v>0</v>
      </c>
      <c r="H5" s="271">
        <f>COUNTA(Colombia!AD314:AD317)</f>
        <v>2</v>
      </c>
      <c r="I5" s="271">
        <v>0</v>
      </c>
      <c r="J5" s="288"/>
      <c r="K5" s="271">
        <v>0</v>
      </c>
      <c r="L5" s="271">
        <f>COUNTA(Colombia!AD331)</f>
        <v>1</v>
      </c>
      <c r="M5" s="271">
        <v>0</v>
      </c>
      <c r="N5" s="271">
        <f>COUNTA(Colombia!AD337)</f>
        <v>1</v>
      </c>
      <c r="O5" s="271">
        <f>COUNTA(Colombia!AD340,Colombia!AD346)</f>
        <v>2</v>
      </c>
      <c r="P5" s="271">
        <v>0</v>
      </c>
      <c r="Q5" s="271">
        <v>0</v>
      </c>
      <c r="R5" s="271">
        <f>COUNTA(Colombia!AD358)</f>
        <v>1</v>
      </c>
      <c r="S5" s="271">
        <f>COUNTA(Colombia!AD361:AD364)</f>
        <v>2</v>
      </c>
      <c r="T5" s="271">
        <v>0</v>
      </c>
      <c r="U5" s="271">
        <f>COUNTA(Colombia!AD378)</f>
        <v>1</v>
      </c>
      <c r="V5" s="288"/>
      <c r="W5" s="271">
        <f>COUNTA(Colombia!AD381)</f>
        <v>1</v>
      </c>
      <c r="X5" s="271">
        <v>0</v>
      </c>
      <c r="Y5" s="271">
        <v>0</v>
      </c>
      <c r="Z5" s="271">
        <f>COUNTA(Colombia!AD387)</f>
        <v>1</v>
      </c>
      <c r="AA5" s="271">
        <v>0</v>
      </c>
      <c r="AB5" s="271">
        <v>0</v>
      </c>
      <c r="AC5" s="271">
        <v>0</v>
      </c>
      <c r="AD5" s="271">
        <v>0</v>
      </c>
      <c r="AE5" s="271">
        <v>0</v>
      </c>
      <c r="AF5" s="271">
        <v>0</v>
      </c>
      <c r="AG5" s="271">
        <v>0</v>
      </c>
      <c r="AH5" s="288"/>
      <c r="AI5" s="271">
        <v>0</v>
      </c>
      <c r="AJ5" s="271">
        <v>0</v>
      </c>
      <c r="AK5" s="271">
        <v>0</v>
      </c>
      <c r="AL5" s="271">
        <f>COUNTA(Colombia!AD399)</f>
        <v>1</v>
      </c>
      <c r="AM5" s="271">
        <v>0</v>
      </c>
      <c r="AN5" s="271">
        <v>0</v>
      </c>
      <c r="AO5" s="271">
        <v>0</v>
      </c>
      <c r="AP5" s="271">
        <v>0</v>
      </c>
      <c r="AQ5" s="271">
        <v>0</v>
      </c>
      <c r="AR5" s="271">
        <v>0</v>
      </c>
      <c r="AS5" s="271">
        <v>0</v>
      </c>
      <c r="AT5" s="288"/>
      <c r="AU5" s="271">
        <v>0</v>
      </c>
      <c r="AV5" s="271">
        <v>0</v>
      </c>
      <c r="AW5" s="271">
        <f>COUNTA(Colombia!AD418)</f>
        <v>1</v>
      </c>
      <c r="AX5" s="271">
        <f>COUNTA(Colombia!AD421:AD424)</f>
        <v>2</v>
      </c>
      <c r="AY5" s="271">
        <v>0</v>
      </c>
      <c r="AZ5" s="271">
        <v>0</v>
      </c>
      <c r="BA5" s="271">
        <v>0</v>
      </c>
      <c r="BB5" s="271">
        <f>COUNTA(Colombia!AD427:AD427)</f>
        <v>1</v>
      </c>
      <c r="BC5" s="6">
        <v>0</v>
      </c>
      <c r="BD5" s="271">
        <f>COUNTA(Colombia!AD436:AD436)</f>
        <v>1</v>
      </c>
      <c r="BE5" s="271">
        <v>0</v>
      </c>
      <c r="BF5" s="271">
        <v>0</v>
      </c>
      <c r="BG5" s="271">
        <v>0</v>
      </c>
      <c r="BH5" s="271">
        <f>COUNTA(Colombia!AD449)</f>
        <v>1</v>
      </c>
      <c r="BI5" s="271">
        <v>0</v>
      </c>
      <c r="BJ5" s="271">
        <v>0</v>
      </c>
      <c r="BK5" s="271">
        <v>0</v>
      </c>
      <c r="BL5" s="271">
        <v>0</v>
      </c>
      <c r="BM5" s="271">
        <v>0</v>
      </c>
      <c r="BN5" s="271">
        <v>0</v>
      </c>
      <c r="BO5" s="271">
        <v>0</v>
      </c>
      <c r="BP5" s="271">
        <v>0</v>
      </c>
      <c r="BQ5" s="271">
        <v>0</v>
      </c>
      <c r="BR5" s="271">
        <v>0</v>
      </c>
      <c r="BS5" s="271">
        <v>0</v>
      </c>
      <c r="BT5" s="271">
        <v>0</v>
      </c>
      <c r="BU5" s="271">
        <f>COUNTA(Colombia!AD462)</f>
        <v>1</v>
      </c>
      <c r="BV5" s="271">
        <v>0</v>
      </c>
      <c r="BW5" s="271">
        <f>COUNTA(Colombia!AD463:AD465)</f>
        <v>3</v>
      </c>
      <c r="BX5" s="271">
        <v>0</v>
      </c>
      <c r="BY5" s="271">
        <f>COUNTA(Colombia!AD466)</f>
        <v>1</v>
      </c>
      <c r="BZ5" s="271">
        <v>0</v>
      </c>
      <c r="CA5" s="271">
        <f>COUNTA(Colombia!AD467)</f>
        <v>1</v>
      </c>
      <c r="CB5" s="271">
        <f>COUNTA(Colombia!AD468)</f>
        <v>1</v>
      </c>
      <c r="CC5" s="271">
        <v>0</v>
      </c>
      <c r="CD5" s="271">
        <v>0</v>
      </c>
      <c r="CE5" s="271">
        <f>COUNTA(Colombia!AD478)</f>
        <v>1</v>
      </c>
      <c r="CF5" s="271">
        <v>0</v>
      </c>
      <c r="CG5" s="271">
        <v>0</v>
      </c>
      <c r="CH5" s="271">
        <v>0</v>
      </c>
      <c r="CI5" s="271">
        <f>COUNTA(Colombia!AD480:AD480)+COUNTA(Colombia!AD479)</f>
        <v>2</v>
      </c>
      <c r="CJ5" s="271">
        <f>COUNTA(Colombia!AD481)</f>
        <v>1</v>
      </c>
      <c r="CK5" s="271">
        <v>0</v>
      </c>
      <c r="CL5" s="271">
        <v>0</v>
      </c>
      <c r="CM5" s="271">
        <v>0</v>
      </c>
      <c r="CN5" s="271">
        <v>0</v>
      </c>
      <c r="CO5" s="271">
        <v>0</v>
      </c>
      <c r="CP5" s="271">
        <v>0</v>
      </c>
      <c r="CQ5" s="271">
        <f>COUNTA(Colombia!AD492)</f>
        <v>1</v>
      </c>
      <c r="CR5" s="271">
        <f>COUNTA(Colombia!AD493:AD495)</f>
        <v>3</v>
      </c>
      <c r="CS5" s="271">
        <v>0</v>
      </c>
      <c r="CT5" s="271">
        <f>COUNTA(Colombia!AD496)</f>
        <v>1</v>
      </c>
      <c r="CU5" s="271">
        <v>0</v>
      </c>
      <c r="CV5" s="271">
        <f>COUNTA(Colombia!AD497:AD498)</f>
        <v>2</v>
      </c>
      <c r="CW5" s="271">
        <f>COUNTA(Colombia!AD499:AD500)</f>
        <v>2</v>
      </c>
      <c r="CX5" s="271">
        <f>COUNTA(Colombia!AD501:AD502)+COUNTA(Colombia!AD503)</f>
        <v>3</v>
      </c>
      <c r="CY5" s="271">
        <f>COUNTA(Colombia!AD504)+COUNTA(Colombia!AD505:AD505)+COUNTA(Colombia!AD506:AD508)</f>
        <v>5</v>
      </c>
      <c r="CZ5" s="271">
        <f>+COUNTA(Colombia!AD509)</f>
        <v>1</v>
      </c>
      <c r="DA5" s="271">
        <v>0</v>
      </c>
      <c r="DB5" s="271">
        <v>0</v>
      </c>
      <c r="DC5" s="271">
        <v>0</v>
      </c>
      <c r="DD5" s="271">
        <v>0</v>
      </c>
      <c r="DE5" s="271">
        <f>COUNTA(Colombia!AD520:AD523)</f>
        <v>4</v>
      </c>
      <c r="DF5" s="271">
        <f>COUNTA(Colombia!AD524:AD527)</f>
        <v>4</v>
      </c>
      <c r="DG5" s="271">
        <f>COUNTA(Colombia!AD528:AD529)</f>
        <v>2</v>
      </c>
      <c r="DH5" s="271">
        <f>COUNTA(Colombia!AD530:AD533)+COUNTA(Colombia!AD532)</f>
        <v>5</v>
      </c>
      <c r="DI5" s="271">
        <v>0</v>
      </c>
      <c r="DJ5" s="271">
        <v>0</v>
      </c>
      <c r="DK5" s="271">
        <f>COUNTA(Colombia!AD535:AD536)+COUNTA(Colombia!AD534)</f>
        <v>3</v>
      </c>
      <c r="DL5" s="271">
        <v>0</v>
      </c>
      <c r="DM5" s="271">
        <v>0</v>
      </c>
      <c r="DN5" s="271">
        <v>0</v>
      </c>
      <c r="DO5" s="271">
        <v>0</v>
      </c>
      <c r="DP5" s="271">
        <f>+COUNTA(Colombia!AD550)+COUNTA(Colombia!AD551)+COUNTA(Colombia!AD549)</f>
        <v>3</v>
      </c>
      <c r="DQ5" s="271">
        <f>+COUNTA(Colombia!AD552:AD554)+COUNTA(Colombia!AD555:AD555)</f>
        <v>4</v>
      </c>
      <c r="DR5" s="271">
        <f>+COUNTA(Colombia!AD556:AD557)</f>
        <v>2</v>
      </c>
      <c r="DS5" s="271">
        <v>0</v>
      </c>
      <c r="DT5" s="271">
        <f>+COUNTA(Colombia!AD558)+COUNTA(Colombia!AD559)</f>
        <v>2</v>
      </c>
      <c r="DU5" s="271">
        <f>+COUNTA(Colombia!AD561)+COUNTA(Colombia!AD560)</f>
        <v>2</v>
      </c>
      <c r="DV5" s="271">
        <v>0</v>
      </c>
      <c r="DW5" s="271">
        <v>0</v>
      </c>
      <c r="DX5" s="271">
        <f>+COUNTA(Colombia!AD562)+COUNTA(Colombia!AD563)</f>
        <v>2</v>
      </c>
      <c r="DY5" s="271">
        <v>0</v>
      </c>
      <c r="DZ5" s="271">
        <v>0</v>
      </c>
      <c r="EA5" s="271">
        <f>+COUNTA(Colombia!AD574)</f>
        <v>1</v>
      </c>
      <c r="EB5" s="271">
        <f>+COUNTA(Colombia!AD575)+COUNTA(Colombia!AD576)</f>
        <v>2</v>
      </c>
      <c r="EC5" s="271">
        <f>+COUNTA(Colombia!AD577)</f>
        <v>1</v>
      </c>
      <c r="ED5" s="271">
        <f>+COUNTA(Colombia!AD578)</f>
        <v>1</v>
      </c>
      <c r="EE5" s="271">
        <f>+COUNTA(Colombia!AD579)+COUNTA(Colombia!AD580:AD581)</f>
        <v>3</v>
      </c>
      <c r="EF5" s="271">
        <v>0</v>
      </c>
      <c r="EG5" s="271">
        <f>+COUNTA(Colombia!AD582)</f>
        <v>1</v>
      </c>
      <c r="EH5" s="271">
        <f>+COUNTA(Colombia!AD583)</f>
        <v>1</v>
      </c>
      <c r="EI5" s="271">
        <v>0</v>
      </c>
      <c r="EJ5" s="271">
        <v>0</v>
      </c>
      <c r="EK5" s="271">
        <v>0</v>
      </c>
      <c r="EL5" s="271">
        <f>+COUNTA(Colombia!AD595)</f>
        <v>1</v>
      </c>
      <c r="EM5" s="271">
        <f>+COUNTA(Colombia!AD596)</f>
        <v>1</v>
      </c>
      <c r="EN5" s="271">
        <v>0</v>
      </c>
      <c r="EO5" s="271">
        <f>+COUNTA(Colombia!AD597:AD600)</f>
        <v>4</v>
      </c>
      <c r="EP5" s="271">
        <v>0</v>
      </c>
      <c r="EQ5" s="271">
        <f>+COUNTA(Colombia!AD605:AD605)+COUNTA(Colombia!AD601:AD604)</f>
        <v>5</v>
      </c>
      <c r="ER5" s="271">
        <v>0</v>
      </c>
      <c r="ES5" s="271">
        <v>0</v>
      </c>
      <c r="ET5" s="271">
        <v>0</v>
      </c>
      <c r="EU5" s="271">
        <f>+COUNTA(Colombia!AD606)</f>
        <v>1</v>
      </c>
      <c r="EV5" s="271">
        <v>0</v>
      </c>
      <c r="EW5" s="271">
        <v>0</v>
      </c>
      <c r="EX5" s="271">
        <v>0</v>
      </c>
      <c r="EY5" s="271">
        <v>0</v>
      </c>
      <c r="EZ5" s="271">
        <f>+COUNTA(Colombia!AD616:AD617)</f>
        <v>2</v>
      </c>
      <c r="FA5" s="271">
        <f>+COUNTA(Colombia!AD618)</f>
        <v>1</v>
      </c>
      <c r="FB5" s="271">
        <f>+COUNTA(Colombia!AD619)</f>
        <v>1</v>
      </c>
      <c r="FC5" s="271">
        <v>0</v>
      </c>
      <c r="FD5" s="271">
        <f>+COUNTA(Colombia!AD620)</f>
        <v>1</v>
      </c>
      <c r="FE5" s="271">
        <v>0</v>
      </c>
      <c r="FF5" s="271">
        <v>0</v>
      </c>
      <c r="FG5" s="271">
        <f>+COUNTA(Colombia!AD621)+COUNTA(Colombia!AD622)</f>
        <v>2</v>
      </c>
      <c r="FH5" s="271">
        <v>0</v>
      </c>
      <c r="FI5" s="271">
        <v>0</v>
      </c>
      <c r="FJ5" s="271">
        <v>0</v>
      </c>
      <c r="FK5" s="271">
        <v>0</v>
      </c>
      <c r="FL5" s="271">
        <v>0</v>
      </c>
      <c r="FM5" s="271">
        <f>+COUNTA(Colombia!AD635:AD636)</f>
        <v>2</v>
      </c>
      <c r="FN5" s="271">
        <v>0</v>
      </c>
      <c r="FO5" s="271">
        <v>0</v>
      </c>
      <c r="FP5" s="271">
        <f>+COUNTA(Colombia!AD637)</f>
        <v>1</v>
      </c>
      <c r="FQ5" s="271">
        <v>0</v>
      </c>
      <c r="FR5" s="271">
        <f>+COUNTA(Colombia!AD638:AD641)</f>
        <v>4</v>
      </c>
      <c r="FS5" s="271">
        <f>+COUNTA(Colombia!AD642)</f>
        <v>1</v>
      </c>
      <c r="FT5" s="271">
        <f>+COUNTA(Colombia!AD643)</f>
        <v>1</v>
      </c>
      <c r="FU5" s="271">
        <f>+COUNTA(Colombia!AD653)+COUNTA(Colombia!AD652)</f>
        <v>2</v>
      </c>
      <c r="FV5" s="271">
        <v>0</v>
      </c>
      <c r="FW5" s="271">
        <f>+COUNTA(Colombia!AD654)</f>
        <v>1</v>
      </c>
      <c r="FX5" s="271">
        <f>+COUNTA(Colombia!AD657:AD657)</f>
        <v>1</v>
      </c>
      <c r="FY5" s="271">
        <f>+COUNTA(Colombia!AD660:AD660)+COUNTA(Colombia!AD661)</f>
        <v>2</v>
      </c>
      <c r="FZ5" s="271">
        <f>+COUNTA(Colombia!AD662)</f>
        <v>1</v>
      </c>
      <c r="GA5" s="271">
        <v>0</v>
      </c>
      <c r="GB5" s="271">
        <v>0</v>
      </c>
      <c r="GC5" s="271">
        <f>+COUNTA(Colombia!AD663:AD664)</f>
        <v>2</v>
      </c>
      <c r="GD5" s="271">
        <f>+COUNTA(Colombia!AD665:AD666)</f>
        <v>2</v>
      </c>
      <c r="GE5" s="271">
        <f>+COUNTA(Colombia!AD667:AD668)</f>
        <v>2</v>
      </c>
      <c r="GF5" s="271">
        <v>0</v>
      </c>
      <c r="GG5" s="271">
        <f>+COUNTA(Colombia!AD676:AD678)</f>
        <v>3</v>
      </c>
      <c r="GH5" s="271">
        <f>+COUNTA(Colombia!AD679)</f>
        <v>1</v>
      </c>
      <c r="GI5" s="271">
        <v>0</v>
      </c>
      <c r="GJ5" s="271">
        <f>+COUNTA(Colombia!AD680:AD683)</f>
        <v>4</v>
      </c>
      <c r="GK5" s="271">
        <v>0</v>
      </c>
      <c r="GL5" s="271">
        <v>0</v>
      </c>
      <c r="GM5" s="271">
        <f>+COUNTA(Colombia!AD685:AD687)+COUNTA(Colombia!AE684)</f>
        <v>4</v>
      </c>
      <c r="GN5" s="271">
        <v>0</v>
      </c>
      <c r="GO5" s="271">
        <v>0</v>
      </c>
      <c r="GP5" s="271">
        <f>+COUNTA(Colombia!AD689:AD690)</f>
        <v>2</v>
      </c>
      <c r="GQ5" s="271">
        <v>0</v>
      </c>
      <c r="GR5" s="271">
        <f>+COUNTA(Colombia!AD692:AD693)+COUNTA(Colombia!AD691)</f>
        <v>3</v>
      </c>
      <c r="GS5" s="271">
        <f>+COUNTA(Colombia!AD700)</f>
        <v>1</v>
      </c>
      <c r="GT5" s="271">
        <v>0</v>
      </c>
      <c r="GU5" s="271">
        <f>+COUNTA(Colombia!AD701)</f>
        <v>1</v>
      </c>
      <c r="GV5" s="271">
        <f>+COUNTA(Colombia!AD702)</f>
        <v>1</v>
      </c>
      <c r="GW5" s="271">
        <f>+COUNTA('Pagos pendientes'!AE16)+COUNTA('Pagos pendientes'!AE19)+COUNTA('Pagos pendientes'!AE22:AE23)+COUNTA('Pagos pendientes'!AE28)</f>
        <v>5</v>
      </c>
      <c r="GX5" s="271">
        <f>+COUNTA('Pagos pendientes'!AE17)+COUNTA('Pagos pendientes'!AE20)+COUNTA('Pagos pendientes'!AE24)+COUNTA('Pagos pendientes'!AE26:AE27)</f>
        <v>5</v>
      </c>
      <c r="GY5" s="271">
        <f>+COUNTA('Pagos pendientes'!AE18)+COUNTA('Pagos pendientes'!AE21)+COUNTA('Pagos pendientes'!AE25)</f>
        <v>3</v>
      </c>
      <c r="GZ5" s="271">
        <f>+COUNTA(Colombia!AD703)+COUNTA(Colombia!AD704)+COUNTA(Colombia!AD705)</f>
        <v>3</v>
      </c>
      <c r="HA5" s="271">
        <v>0</v>
      </c>
      <c r="HB5" s="271">
        <f>+COUNTA(Colombia!AD707)+COUNTA(Colombia!AD708)+COUNTA(Colombia!AD706)</f>
        <v>3</v>
      </c>
      <c r="HC5" s="271">
        <f>+COUNTA(Colombia!AD709:AD710)</f>
        <v>2</v>
      </c>
      <c r="HD5" s="271">
        <v>0</v>
      </c>
      <c r="HE5" s="271">
        <f>+COUNTA(Colombia!AD723)</f>
        <v>1</v>
      </c>
      <c r="HF5" s="271">
        <f>+COUNTA(Colombia!AD724:AD725)</f>
        <v>2</v>
      </c>
      <c r="HG5" s="271">
        <v>0</v>
      </c>
      <c r="HH5" s="271">
        <v>0</v>
      </c>
      <c r="HI5" s="271">
        <f>+COUNTA(Colombia!AD726:AD728)</f>
        <v>3</v>
      </c>
      <c r="HJ5" s="271">
        <f>+COUNTA(Colombia!AD731)+COUNTA(Colombia!AD729:AD730)</f>
        <v>3</v>
      </c>
      <c r="HK5" s="271">
        <f>+COUNTA(Colombia!AD732:AD736)</f>
        <v>5</v>
      </c>
      <c r="HL5" s="271">
        <v>0</v>
      </c>
      <c r="HM5" s="271">
        <v>0</v>
      </c>
      <c r="HN5" s="271">
        <f>+COUNTA(Colombia!AD737:AD738)+COUNTA(Colombia!AD739:AD741)</f>
        <v>5</v>
      </c>
      <c r="HO5" s="271">
        <f>+COUNTA(Colombia!AD744)+COUNTA(Colombia!AD742:AD743)</f>
        <v>3</v>
      </c>
      <c r="HP5" s="271">
        <v>0</v>
      </c>
      <c r="HQ5" s="271">
        <f>+COUNTA(Colombia!AD749:AD750)</f>
        <v>2</v>
      </c>
      <c r="HR5" s="271">
        <v>0</v>
      </c>
      <c r="HS5" s="271">
        <v>0</v>
      </c>
      <c r="HT5" s="271">
        <f>+COUNTA(Colombia!AD751:AD754)</f>
        <v>4</v>
      </c>
      <c r="HU5" s="271">
        <f>+COUNTA(Colombia!AD755)</f>
        <v>1</v>
      </c>
      <c r="HV5" s="271">
        <v>0</v>
      </c>
      <c r="HW5" s="271">
        <f>+COUNTA(Colombia!AD756:AD758)</f>
        <v>3</v>
      </c>
      <c r="HX5" s="271">
        <f>+COUNTA(Colombia!AD759)</f>
        <v>1</v>
      </c>
      <c r="HY5" s="271">
        <f>+COUNTA(Colombia!AD760)</f>
        <v>1</v>
      </c>
      <c r="HZ5" s="271">
        <f>+COUNTA(Colombia!AD761)</f>
        <v>1</v>
      </c>
      <c r="IA5" s="271">
        <f>+COUNTA(Colombia!AD762)</f>
        <v>1</v>
      </c>
      <c r="IB5" s="271">
        <f>+COUNTA(Colombia!AD769)</f>
        <v>1</v>
      </c>
      <c r="IC5" s="271">
        <f>+COUNTA(Colombia!AD770)</f>
        <v>1</v>
      </c>
      <c r="ID5" s="271">
        <v>0</v>
      </c>
      <c r="IE5" s="271">
        <f>+COUNTA(Colombia!AD771)</f>
        <v>1</v>
      </c>
      <c r="IF5" s="271">
        <v>0</v>
      </c>
      <c r="IG5" s="271">
        <f>+COUNTA(Colombia!AD773)</f>
        <v>1</v>
      </c>
      <c r="IH5" s="271">
        <f>+COUNTA(Colombia!AD774)</f>
        <v>1</v>
      </c>
      <c r="II5" s="271">
        <v>0</v>
      </c>
      <c r="IJ5" s="271">
        <f>+COUNTA(Colombia!AD775)</f>
        <v>1</v>
      </c>
      <c r="IK5" s="271">
        <f>+COUNTA(Colombia!AD776)</f>
        <v>1</v>
      </c>
      <c r="IL5" s="271">
        <f>+COUNTA(Colombia!AD777)</f>
        <v>1</v>
      </c>
      <c r="IM5" s="271">
        <f>+COUNTA(Colombia!AD778)</f>
        <v>1</v>
      </c>
      <c r="IN5" s="271">
        <f>+COUNTA(Colombia!AD779)</f>
        <v>1</v>
      </c>
      <c r="IO5" s="271">
        <f>+COUNTA(Colombia!AD786)</f>
        <v>1</v>
      </c>
      <c r="IP5" s="271">
        <f>+COUNTA(Colombia!AD787)</f>
        <v>1</v>
      </c>
      <c r="IQ5" s="271">
        <v>0</v>
      </c>
      <c r="IR5" s="271">
        <f>+COUNTA(Colombia!AD788)</f>
        <v>1</v>
      </c>
      <c r="IS5" s="271">
        <v>0</v>
      </c>
      <c r="IT5" s="271">
        <v>0</v>
      </c>
      <c r="IU5" s="271">
        <f>+COUNTA(Colombia!AE789)</f>
        <v>1</v>
      </c>
      <c r="IV5" s="271">
        <f>+COUNTA(Colombia!AD794:AD795)</f>
        <v>2</v>
      </c>
      <c r="IW5" s="271">
        <f>+COUNTA(Colombia!AD796:AD797)</f>
        <v>2</v>
      </c>
      <c r="IX5" s="271">
        <v>0</v>
      </c>
      <c r="IY5" s="271">
        <f>+COUNTA(Colombia!AD798)</f>
        <v>1</v>
      </c>
      <c r="IZ5" s="271">
        <v>0</v>
      </c>
      <c r="JA5" s="271">
        <v>0</v>
      </c>
      <c r="JB5" s="271">
        <v>0</v>
      </c>
      <c r="JC5" s="271">
        <f>+COUNTA('o.c.'!AE35)</f>
        <v>1</v>
      </c>
      <c r="JD5" s="271">
        <f>+COUNTA('o.c.'!AE40)</f>
        <v>1</v>
      </c>
      <c r="JE5" s="271">
        <f>+COUNTA('o.c.'!AE41)</f>
        <v>1</v>
      </c>
      <c r="JF5" s="361">
        <f>SUM(D5:JE5)</f>
        <v>235</v>
      </c>
      <c r="JI5" s="1097">
        <f>+COUNTA(Colombia!AG689:AG690)</f>
        <v>2</v>
      </c>
      <c r="JJ5" s="1097">
        <v>0</v>
      </c>
      <c r="JK5" s="1097">
        <f>+COUNTA(Colombia!AG691:AG693)</f>
        <v>3</v>
      </c>
      <c r="JL5" s="1097">
        <f>+COUNTA(Colombia!AG700)</f>
        <v>1</v>
      </c>
      <c r="JM5" s="1097">
        <v>0</v>
      </c>
      <c r="JN5" s="1097">
        <f>+COUNTA(Colombia!AG701:AG702)</f>
        <v>2</v>
      </c>
      <c r="JO5" s="1097">
        <v>0</v>
      </c>
      <c r="JP5" s="1097">
        <v>0</v>
      </c>
      <c r="JQ5" s="1097">
        <v>0</v>
      </c>
      <c r="JR5" s="1097">
        <v>0</v>
      </c>
      <c r="JS5" s="1097">
        <f>+COUNTA(Colombia!AG703:AG705)</f>
        <v>3</v>
      </c>
      <c r="JT5" s="1097">
        <f>+COUNTA(Colombia!AG706)</f>
        <v>1</v>
      </c>
      <c r="JU5" s="1097">
        <f>+COUNTA(Colombia!AG707:AG708)</f>
        <v>2</v>
      </c>
      <c r="JV5" s="1097">
        <f>+COUNTA(Colombia!AG709:AG710)</f>
        <v>2</v>
      </c>
      <c r="JW5" s="1097">
        <f>+COUNTA(Colombia!AG723)</f>
        <v>1</v>
      </c>
      <c r="JX5" s="1097">
        <v>0</v>
      </c>
      <c r="JY5" s="1097">
        <f>+COUNTA(Colombia!AG724:AG725)</f>
        <v>2</v>
      </c>
      <c r="JZ5" s="1097">
        <v>0</v>
      </c>
      <c r="KA5" s="1097">
        <v>0</v>
      </c>
      <c r="KB5" s="1097">
        <f>+COUNTA(Colombia!AG726:AG728)</f>
        <v>3</v>
      </c>
      <c r="KC5" s="1097">
        <f>+COUNTA(Colombia!AG729:AG736)</f>
        <v>8</v>
      </c>
      <c r="KD5" s="1097">
        <v>0</v>
      </c>
      <c r="KE5" s="1097">
        <v>0</v>
      </c>
      <c r="KF5" s="1097">
        <v>0</v>
      </c>
      <c r="KG5" s="1097">
        <f>+COUNTA(Colombia!AG737:AG741)</f>
        <v>5</v>
      </c>
      <c r="KH5" s="1097">
        <f>+COUNTA(Colombia!AG742:AG743)</f>
        <v>2</v>
      </c>
      <c r="KI5" s="1097">
        <v>0</v>
      </c>
      <c r="KJ5" s="1097">
        <f>+COUNTA(Colombia!AG749:AG750)</f>
        <v>2</v>
      </c>
      <c r="KK5" s="1097">
        <v>0</v>
      </c>
      <c r="KL5" s="1097">
        <f>+COUNTA(Colombia!AG751)</f>
        <v>1</v>
      </c>
      <c r="KM5" s="1097">
        <f>+COUNTA(Colombia!AG752:AG754)</f>
        <v>3</v>
      </c>
      <c r="KN5" s="1097">
        <v>0</v>
      </c>
      <c r="KO5" s="1097">
        <f>+COUNTA(Colombia!AG755)</f>
        <v>1</v>
      </c>
      <c r="KP5" s="1097">
        <f>+COUNTA(Colombia!AG756:AG758)</f>
        <v>3</v>
      </c>
      <c r="KQ5" s="1097">
        <v>0</v>
      </c>
      <c r="KR5" s="1097">
        <f>+COUNTA(Colombia!AG759:AG760)</f>
        <v>2</v>
      </c>
      <c r="KS5" s="1097">
        <f>+COUNTA(Colombia!AG761:AG762)</f>
        <v>2</v>
      </c>
      <c r="KT5" s="1097"/>
      <c r="KU5" s="1097">
        <f>+COUNTA(Colombia!AG768:AG770)</f>
        <v>3</v>
      </c>
      <c r="KV5" s="1097"/>
      <c r="KW5" s="1097">
        <f>+COUNTA(Colombia!AG771)</f>
        <v>1</v>
      </c>
      <c r="KX5" s="1097"/>
      <c r="KY5" s="1097"/>
      <c r="KZ5" s="1097">
        <f>+COUNTA(Colombia!AG773)</f>
        <v>1</v>
      </c>
      <c r="LA5" s="1097">
        <f>+COUNTA(Colombia!AG774)</f>
        <v>1</v>
      </c>
      <c r="LB5" s="1097"/>
      <c r="LC5" s="1097">
        <f>+COUNTA(Colombia!AG775)</f>
        <v>1</v>
      </c>
      <c r="LD5" s="1097">
        <f>+COUNTA(Colombia!AG776:AG777)</f>
        <v>2</v>
      </c>
      <c r="LE5" s="1097"/>
      <c r="LF5" s="1097">
        <f>+COUNTA(Colombia!AG778)</f>
        <v>1</v>
      </c>
      <c r="LG5" s="1097">
        <f>+COUNTA(Colombia!AG779)</f>
        <v>1</v>
      </c>
      <c r="LH5" s="1097">
        <f>+COUNTA(Colombia!AG786)</f>
        <v>1</v>
      </c>
      <c r="LI5" s="1097">
        <f>+COUNTA(Colombia!AG787)</f>
        <v>1</v>
      </c>
      <c r="LJ5" s="1097"/>
      <c r="LK5" s="1097">
        <f>+COUNTA(Colombia!AG788)</f>
        <v>1</v>
      </c>
      <c r="LL5" s="1097">
        <f>+COUNTA(Colombia!AG789)</f>
        <v>1</v>
      </c>
      <c r="LM5" s="1097"/>
      <c r="LN5" s="1097"/>
      <c r="LO5" s="1097">
        <f>+COUNTA(Colombia!AG794:AG795)</f>
        <v>2</v>
      </c>
      <c r="LP5" s="1097">
        <f>+COUNTA(Colombia!AG797)</f>
        <v>1</v>
      </c>
      <c r="LQ5" s="1097"/>
      <c r="LR5" s="1097">
        <f>+COUNTA(Colombia!AG798)</f>
        <v>1</v>
      </c>
      <c r="LS5" s="1097"/>
      <c r="LT5" s="1097"/>
      <c r="LU5" s="1097"/>
    </row>
    <row r="6" spans="2:333" ht="16.5" x14ac:dyDescent="0.3">
      <c r="B6" s="1003"/>
      <c r="C6" s="273" t="s">
        <v>6157</v>
      </c>
      <c r="D6" s="272">
        <f>COUNTIF(Colombia!AD302:AD305,"en término")</f>
        <v>1</v>
      </c>
      <c r="E6" s="272">
        <f>COUNTIF(Colombia!AD308:AD311,"en término")</f>
        <v>0</v>
      </c>
      <c r="F6" s="272"/>
      <c r="G6" s="272"/>
      <c r="H6" s="272">
        <f>COUNTIF(Colombia!AD314:AD317,"en término")</f>
        <v>2</v>
      </c>
      <c r="I6" s="272"/>
      <c r="J6" s="289"/>
      <c r="K6" s="272"/>
      <c r="L6" s="272">
        <f>COUNTIF(Colombia!AD331,"en término")</f>
        <v>1</v>
      </c>
      <c r="M6" s="272"/>
      <c r="N6" s="272">
        <f>COUNTIF(Colombia!AD337,"en término")</f>
        <v>1</v>
      </c>
      <c r="O6" s="272">
        <f>COUNTIF(Colombia!AD340,"en término")+COUNTIF(Colombia!AD346,"en término")</f>
        <v>0</v>
      </c>
      <c r="P6" s="272"/>
      <c r="Q6" s="272"/>
      <c r="R6" s="272">
        <f>COUNTIF(Colombia!AD358,"en término")</f>
        <v>1</v>
      </c>
      <c r="S6" s="272">
        <f>COUNTIF(Colombia!AD361:AD364,"en término")</f>
        <v>2</v>
      </c>
      <c r="T6" s="272"/>
      <c r="U6" s="272">
        <f>COUNTIF(Colombia!AD378,"en término")</f>
        <v>0</v>
      </c>
      <c r="V6" s="289"/>
      <c r="W6" s="272">
        <f>COUNTIF(Colombia!AD381,"en término")</f>
        <v>1</v>
      </c>
      <c r="X6" s="272"/>
      <c r="Y6" s="272"/>
      <c r="Z6" s="272">
        <f>COUNTIF(Colombia!AD387,"en término")</f>
        <v>0</v>
      </c>
      <c r="AA6" s="272"/>
      <c r="AB6" s="272"/>
      <c r="AC6" s="272"/>
      <c r="AD6" s="272"/>
      <c r="AE6" s="272"/>
      <c r="AF6" s="272"/>
      <c r="AG6" s="272"/>
      <c r="AH6" s="289"/>
      <c r="AI6" s="272"/>
      <c r="AJ6" s="272"/>
      <c r="AK6" s="272"/>
      <c r="AL6" s="272">
        <f>COUNTIF(Colombia!AD399,"en término")</f>
        <v>1</v>
      </c>
      <c r="AM6" s="272"/>
      <c r="AN6" s="272"/>
      <c r="AO6" s="272"/>
      <c r="AP6" s="272"/>
      <c r="AQ6" s="272"/>
      <c r="AR6" s="272"/>
      <c r="AS6" s="272"/>
      <c r="AT6" s="289"/>
      <c r="AU6" s="272"/>
      <c r="AV6" s="272"/>
      <c r="AW6" s="272">
        <f>COUNTIF(Colombia!AD418,"en término")</f>
        <v>1</v>
      </c>
      <c r="AX6" s="272">
        <f>COUNTIF(Colombia!AD421:AD424,"en término")</f>
        <v>1</v>
      </c>
      <c r="AY6" s="272"/>
      <c r="AZ6" s="272"/>
      <c r="BA6" s="272"/>
      <c r="BB6" s="272">
        <f>COUNTIF(Colombia!AD427:AD427,"en término")</f>
        <v>1</v>
      </c>
      <c r="BD6" s="272">
        <f>COUNTIF(Colombia!AD436:AD436,"en término")</f>
        <v>0</v>
      </c>
      <c r="BE6" s="272"/>
      <c r="BF6" s="272"/>
      <c r="BG6" s="272"/>
      <c r="BH6" s="272">
        <f>COUNTIF(Colombia!AD449,"en término")</f>
        <v>0</v>
      </c>
      <c r="BI6" s="272"/>
      <c r="BJ6" s="272"/>
      <c r="BK6" s="272"/>
      <c r="BL6" s="272"/>
      <c r="BM6" s="272"/>
      <c r="BN6" s="272"/>
      <c r="BO6" s="272"/>
      <c r="BP6" s="272"/>
      <c r="BQ6" s="272"/>
      <c r="BR6" s="272"/>
      <c r="BS6" s="272"/>
      <c r="BT6" s="272"/>
      <c r="BU6" s="272">
        <f>COUNTIF(Colombia!AD462,"en término")</f>
        <v>1</v>
      </c>
      <c r="BV6" s="272"/>
      <c r="BW6" s="272">
        <f>COUNTIF(Colombia!AD463:AD465,"en término")</f>
        <v>1</v>
      </c>
      <c r="BX6" s="272"/>
      <c r="BY6" s="272">
        <f>COUNTIF(Colombia!AD466,"en término")</f>
        <v>1</v>
      </c>
      <c r="BZ6" s="272"/>
      <c r="CA6" s="272">
        <f>COUNTIF(Colombia!AD467,"en término")</f>
        <v>1</v>
      </c>
      <c r="CB6" s="272">
        <f>COUNTIF(Colombia!AD468,"en término")</f>
        <v>1</v>
      </c>
      <c r="CC6" s="272"/>
      <c r="CD6" s="272"/>
      <c r="CE6" s="272">
        <f>COUNTIF(Colombia!AD478,"en término")</f>
        <v>1</v>
      </c>
      <c r="CF6" s="272"/>
      <c r="CG6" s="272"/>
      <c r="CH6" s="272"/>
      <c r="CI6" s="272">
        <f>COUNTIF(Colombia!AD480:AD480,"en término")+COUNTIF(Colombia!AD479,"en término")</f>
        <v>2</v>
      </c>
      <c r="CJ6" s="272">
        <f>COUNTIF(Colombia!AD481,"en término")</f>
        <v>1</v>
      </c>
      <c r="CK6" s="272"/>
      <c r="CL6" s="272"/>
      <c r="CM6" s="272"/>
      <c r="CN6" s="272"/>
      <c r="CO6" s="272"/>
      <c r="CP6" s="272"/>
      <c r="CQ6" s="272">
        <f>COUNTIF(Colombia!AD492,"en término")</f>
        <v>1</v>
      </c>
      <c r="CR6" s="272">
        <f>COUNTIF(Colombia!AD493:AD495,"en término")</f>
        <v>2</v>
      </c>
      <c r="CS6" s="272"/>
      <c r="CT6" s="272">
        <f>COUNTIF(Colombia!AD496,"en término")</f>
        <v>1</v>
      </c>
      <c r="CU6" s="272"/>
      <c r="CV6" s="272">
        <f>COUNTIF(Colombia!AD497:AD498,"en término")</f>
        <v>2</v>
      </c>
      <c r="CW6" s="272">
        <f>COUNTIF(Colombia!AD499:AD500,"en término")</f>
        <v>1</v>
      </c>
      <c r="CX6" s="272">
        <f>COUNTIF(Colombia!AD501:AD502,"en término")+COUNTIF(Colombia!AD503,"en término")</f>
        <v>1</v>
      </c>
      <c r="CY6" s="272">
        <f>COUNTIF(Colombia!AD504,"en término")+COUNTIF(Colombia!AD505:AD505,"en término")+COUNTIF(Colombia!AD506:AD508,"en término")</f>
        <v>0</v>
      </c>
      <c r="CZ6" s="272">
        <f>+COUNTIF(Colombia!AD509,"en término")</f>
        <v>0</v>
      </c>
      <c r="DA6" s="272"/>
      <c r="DB6" s="272"/>
      <c r="DC6" s="272"/>
      <c r="DD6" s="272"/>
      <c r="DE6" s="272">
        <f>COUNTIF(Colombia!AD520:AD523,"en término")</f>
        <v>4</v>
      </c>
      <c r="DF6" s="272">
        <f>COUNTIF(Colombia!AD524:AD527,"en término")</f>
        <v>4</v>
      </c>
      <c r="DG6" s="272">
        <f>COUNTIF(Colombia!AD528:AD529,"en término")</f>
        <v>2</v>
      </c>
      <c r="DH6" s="272">
        <f>COUNTIF(Colombia!AD530:AD533,"en término")+COUNTIF(Colombia!AD532,"en término")</f>
        <v>5</v>
      </c>
      <c r="DI6" s="272"/>
      <c r="DJ6" s="272"/>
      <c r="DK6" s="272">
        <f>COUNTIF(Colombia!AD535:AD536,"en término")+COUNTIF(Colombia!AD534,"en término")</f>
        <v>0</v>
      </c>
      <c r="DL6" s="272"/>
      <c r="DM6" s="272"/>
      <c r="DN6" s="272"/>
      <c r="DO6" s="272"/>
      <c r="DP6" s="272">
        <f>+COUNTIF(Colombia!AD550,"en término")+COUNTIF(Colombia!AD551,"en término")+COUNTIF(Colombia!AD549,"en término")</f>
        <v>0</v>
      </c>
      <c r="DQ6" s="272">
        <f>+COUNTIF(Colombia!AD552:AD554,"en término")+COUNTIF(Colombia!AD555:AD555,"en término")</f>
        <v>0</v>
      </c>
      <c r="DR6" s="272">
        <f>+COUNTIF(Colombia!AD556:AD557,"en término")</f>
        <v>0</v>
      </c>
      <c r="DS6" s="272"/>
      <c r="DT6" s="272">
        <f>+COUNTIF(Colombia!AD558,"en término")+COUNTIF(Colombia!AD559,"en término")</f>
        <v>0</v>
      </c>
      <c r="DU6" s="272">
        <f>+COUNTIF(Colombia!AD561,"en término")+COUNTIF(Colombia!AD560,"en término")</f>
        <v>0</v>
      </c>
      <c r="DV6" s="272"/>
      <c r="DW6" s="272"/>
      <c r="DX6" s="272">
        <f>+COUNTIF(Colombia!AD562,"en término")+COUNTIF(Colombia!AD563,"en término")</f>
        <v>1</v>
      </c>
      <c r="DY6" s="272"/>
      <c r="DZ6" s="272"/>
      <c r="EA6" s="272">
        <f>+COUNTIF(Colombia!AD574,"en término")</f>
        <v>1</v>
      </c>
      <c r="EB6" s="272">
        <f>+COUNTIF(Colombia!AD575,"en término")+COUNTIF(Colombia!AD576,"en término")</f>
        <v>0</v>
      </c>
      <c r="EC6" s="272">
        <f>+COUNTIF(Colombia!AD577,"en término")</f>
        <v>0</v>
      </c>
      <c r="ED6" s="272">
        <f>+COUNTIF(Colombia!AD578,"en término")</f>
        <v>1</v>
      </c>
      <c r="EE6" s="272">
        <f>+COUNTIF(Colombia!AD579,"en término")+COUNTIF(Colombia!AD580:AD581,"en término")</f>
        <v>2</v>
      </c>
      <c r="EF6" s="272"/>
      <c r="EG6" s="272">
        <f>+COUNTIF(Colombia!AD582,"en término")</f>
        <v>0</v>
      </c>
      <c r="EH6" s="272">
        <f>+COUNTIF(Colombia!AD583,"en término")</f>
        <v>1</v>
      </c>
      <c r="EI6" s="272"/>
      <c r="EJ6" s="272"/>
      <c r="EK6" s="272"/>
      <c r="EL6" s="272">
        <f>+COUNTIF(Colombia!AD595,"en término")</f>
        <v>1</v>
      </c>
      <c r="EM6" s="272">
        <f>+COUNTIF(Colombia!AD596,"en término")</f>
        <v>1</v>
      </c>
      <c r="EN6" s="272"/>
      <c r="EO6" s="272">
        <f>+COUNTIF(Colombia!AD597:AD600,"en término")</f>
        <v>1</v>
      </c>
      <c r="EP6" s="272"/>
      <c r="EQ6" s="272">
        <f>+COUNTIF(Colombia!AD605:AD605,"en término")+COUNTIF(Colombia!AD601:AD604,"en término")</f>
        <v>1</v>
      </c>
      <c r="ER6" s="272"/>
      <c r="ES6" s="272"/>
      <c r="ET6" s="272"/>
      <c r="EU6" s="272">
        <f>+COUNTIF(Colombia!AD606,"en término")</f>
        <v>0</v>
      </c>
      <c r="EV6" s="272"/>
      <c r="EW6" s="272"/>
      <c r="EX6" s="272"/>
      <c r="EY6" s="272"/>
      <c r="EZ6" s="272">
        <f>+COUNTIF(Colombia!AD616:AD617,"en término")</f>
        <v>0</v>
      </c>
      <c r="FA6" s="272">
        <f>+COUNTIF(Colombia!AD618,"en término")</f>
        <v>0</v>
      </c>
      <c r="FB6" s="272">
        <f>+COUNTIF(Colombia!AD619,"en término")</f>
        <v>0</v>
      </c>
      <c r="FC6" s="272"/>
      <c r="FD6" s="272">
        <f>+COUNTIF(Colombia!AD620,"en término")</f>
        <v>0</v>
      </c>
      <c r="FE6" s="272"/>
      <c r="FF6" s="272"/>
      <c r="FG6" s="272">
        <f>+COUNTIF(Colombia!AD621,"en término")+COUNTIF(Colombia!AD622,"en término")</f>
        <v>1</v>
      </c>
      <c r="FH6" s="272"/>
      <c r="FI6" s="272"/>
      <c r="FJ6" s="272"/>
      <c r="FK6" s="272"/>
      <c r="FL6" s="272"/>
      <c r="FM6" s="272">
        <f>+COUNTIF(Colombia!AD635:AD636,"en término")</f>
        <v>1</v>
      </c>
      <c r="FN6" s="272"/>
      <c r="FO6" s="272"/>
      <c r="FP6" s="272">
        <f>+COUNTIF(Colombia!AD637,"en término")</f>
        <v>1</v>
      </c>
      <c r="FQ6" s="272"/>
      <c r="FR6" s="272">
        <f>+COUNTIF(Colombia!AD638:AD641,"en término")</f>
        <v>3</v>
      </c>
      <c r="FS6" s="272">
        <f>+COUNTIF(Colombia!AD642,"en término")</f>
        <v>0</v>
      </c>
      <c r="FT6" s="272">
        <f>+COUNTIF(Colombia!AD643,"en término")</f>
        <v>0</v>
      </c>
      <c r="FU6" s="272">
        <f>+COUNTIF(Colombia!AD653,"en término")+COUNTIF(Colombia!AD652,"en término")</f>
        <v>0</v>
      </c>
      <c r="FV6" s="272"/>
      <c r="FW6" s="272">
        <f>+COUNTIF(Colombia!AD654,"en término")</f>
        <v>0</v>
      </c>
      <c r="FX6" s="272">
        <f>+COUNTIF(Colombia!AD657:AD657,"en término")</f>
        <v>0</v>
      </c>
      <c r="FY6" s="272">
        <f>+COUNTIF(Colombia!AD660:AD660,"en término")+COUNTIF(Colombia!AD661,"en término")</f>
        <v>0</v>
      </c>
      <c r="FZ6" s="272">
        <f>+COUNTIF(Colombia!AD662,"en término")</f>
        <v>0</v>
      </c>
      <c r="GA6" s="272"/>
      <c r="GB6" s="272"/>
      <c r="GC6" s="272">
        <f>+COUNTIF(Colombia!AD663:AD664,"en término")</f>
        <v>0</v>
      </c>
      <c r="GD6" s="272">
        <f>+COUNTIF(Colombia!AD665:AD666,"en término")</f>
        <v>0</v>
      </c>
      <c r="GE6" s="272">
        <f>+COUNTIF(Colombia!AD667:AD668,"en término")</f>
        <v>0</v>
      </c>
      <c r="GF6" s="272"/>
      <c r="GG6" s="272">
        <f>+COUNTIF(Colombia!AD676:AD678,"en término")</f>
        <v>3</v>
      </c>
      <c r="GH6" s="272">
        <f>+COUNTIF(Colombia!AD679,"en término")</f>
        <v>0</v>
      </c>
      <c r="GI6" s="272"/>
      <c r="GJ6" s="272">
        <f>+COUNTIF(Colombia!AD680:AD683,"en término")</f>
        <v>1</v>
      </c>
      <c r="GK6" s="272"/>
      <c r="GL6" s="272"/>
      <c r="GM6" s="272">
        <f>+COUNTIF(Colombia!AD685:AD687,"en término")+COUNTIF(Colombia!AE684,"en término")</f>
        <v>1</v>
      </c>
      <c r="GN6" s="272"/>
      <c r="GO6" s="272"/>
      <c r="GP6" s="272">
        <f>+COUNTIF(Colombia!AD689:AD690,"en término")</f>
        <v>0</v>
      </c>
      <c r="GQ6" s="272"/>
      <c r="GR6" s="272">
        <f>+COUNTIF(Colombia!AD692:AD693,"en término")+COUNTIF('o.c.'!AD681,"en término")</f>
        <v>0</v>
      </c>
      <c r="GS6" s="272">
        <f>+COUNTIF(Colombia!AD700,"en término")</f>
        <v>1</v>
      </c>
      <c r="GT6" s="272"/>
      <c r="GU6" s="272">
        <f>+COUNTIF(Colombia!AD701,"en término")</f>
        <v>0</v>
      </c>
      <c r="GV6" s="272">
        <f>+COUNTIF(Colombia!AD702,"en término")</f>
        <v>1</v>
      </c>
      <c r="GW6" s="272">
        <f>+COUNTIF('Pagos pendientes'!AE16,"en término")+COUNTIF('Pagos pendientes'!AE19,"en término")+COUNTIF('Pagos pendientes'!AE22:AE23,"en término")+COUNTIF('Pagos pendientes'!AE28,"en término")</f>
        <v>5</v>
      </c>
      <c r="GX6" s="272">
        <f>+COUNTIF('Pagos pendientes'!AE17,"en término")+COUNTIF('Pagos pendientes'!AE20,"en término")+COUNTIF('Pagos pendientes'!AE24,"en término")+COUNTIF('Pagos pendientes'!AE26:AE27,"en término")</f>
        <v>5</v>
      </c>
      <c r="GY6" s="272">
        <f>+COUNTIF('Pagos pendientes'!AE18,"en término")+COUNTIF('Pagos pendientes'!AE21,"en término")+COUNTIF('Pagos pendientes'!AE25,"en término")</f>
        <v>3</v>
      </c>
      <c r="GZ6" s="272">
        <f>+COUNTIF(Colombia!AD703,"en término")+COUNTIF(Colombia!AD704,"en término")+COUNTIF(Colombia!AD705,"en término")</f>
        <v>3</v>
      </c>
      <c r="HA6" s="272"/>
      <c r="HB6" s="272">
        <f>+COUNTIF(Colombia!AD707,"en término")+COUNTIF(Colombia!AD708,"en término")+COUNTIF(Colombia!AD706,"en término")</f>
        <v>0</v>
      </c>
      <c r="HC6" s="272">
        <f>+COUNTIF(Colombia!AD709:AD710,"en término")</f>
        <v>0</v>
      </c>
      <c r="HD6" s="272"/>
      <c r="HE6" s="272">
        <f>+COUNTIF(Colombia!AD723,"en término")</f>
        <v>0</v>
      </c>
      <c r="HF6" s="272">
        <f>+COUNTIF(Colombia!AD724:AD725,"en término")</f>
        <v>0</v>
      </c>
      <c r="HG6" s="272"/>
      <c r="HH6" s="272"/>
      <c r="HI6" s="272">
        <f>+COUNTIF(Colombia!AD726:AD728,"en término")</f>
        <v>0</v>
      </c>
      <c r="HJ6" s="272">
        <f>+COUNTIF(Colombia!AD731,"en término")+COUNTIF(Colombia!AD729:AD730,"en término")</f>
        <v>0</v>
      </c>
      <c r="HK6" s="272">
        <f>+COUNTIF(Colombia!AD732:AD736,"en término")</f>
        <v>0</v>
      </c>
      <c r="HL6" s="272"/>
      <c r="HM6" s="272"/>
      <c r="HN6" s="272">
        <f>+COUNTIF(Colombia!AD737:AD738,"en término")+COUNTIF(Colombia!AD739:AD741,"en término")</f>
        <v>0</v>
      </c>
      <c r="HO6" s="272">
        <f>+COUNTIF(Colombia!AD744,"en término")+COUNTIF(Colombia!AD742:AD743,"en término")</f>
        <v>0</v>
      </c>
      <c r="HP6" s="272"/>
      <c r="HQ6" s="272">
        <f>+COUNTIF(Colombia!AD749:AD750,"en término")</f>
        <v>0</v>
      </c>
      <c r="HR6" s="272"/>
      <c r="HS6" s="272"/>
      <c r="HT6" s="272">
        <f>+COUNTIF(Colombia!AD751:AD754,"en término")</f>
        <v>0</v>
      </c>
      <c r="HU6" s="272">
        <f>+COUNTIF(Colombia!AD755,"en término")</f>
        <v>0</v>
      </c>
      <c r="HV6" s="272"/>
      <c r="HW6" s="272">
        <f>+COUNTIF(Colombia!AD756:AD758,"en término")</f>
        <v>0</v>
      </c>
      <c r="HX6" s="272">
        <f>+COUNTIF(Colombia!AD759,"en término")</f>
        <v>0</v>
      </c>
      <c r="HY6" s="272">
        <f>+COUNTIF(Colombia!AD760,"en término")</f>
        <v>0</v>
      </c>
      <c r="HZ6" s="272">
        <f>+COUNTIF(Colombia!AD761,"en término")</f>
        <v>0</v>
      </c>
      <c r="IA6" s="272">
        <f>+COUNTIF(Colombia!AD762,"en término")</f>
        <v>0</v>
      </c>
      <c r="IB6" s="272">
        <f>+COUNTIF(Colombia!AD769,"en término")</f>
        <v>0</v>
      </c>
      <c r="IC6" s="272">
        <f>+COUNTIF(Colombia!AD770,"en término")</f>
        <v>0</v>
      </c>
      <c r="ID6" s="272"/>
      <c r="IE6" s="272">
        <f>+COUNTIF(Colombia!AD771,"en término")</f>
        <v>1</v>
      </c>
      <c r="IF6" s="272"/>
      <c r="IG6" s="272">
        <f>+COUNTIF(Colombia!AD773,"en término")</f>
        <v>0</v>
      </c>
      <c r="IH6" s="272">
        <f>+COUNTIF(Colombia!AD774,"en término")</f>
        <v>0</v>
      </c>
      <c r="II6" s="272"/>
      <c r="IJ6" s="272">
        <f>+COUNTIF(Colombia!AD775,"en término")</f>
        <v>0</v>
      </c>
      <c r="IK6" s="272">
        <f>+COUNTIF(Colombia!AD776,"en término")</f>
        <v>0</v>
      </c>
      <c r="IL6" s="272">
        <f>+COUNTIF(Colombia!AD777,"en término")</f>
        <v>0</v>
      </c>
      <c r="IM6" s="272">
        <f>+COUNTIF(Colombia!AD778,"en término")</f>
        <v>1</v>
      </c>
      <c r="IN6" s="272">
        <f>+COUNTIF(Colombia!AD779,"en término")</f>
        <v>1</v>
      </c>
      <c r="IO6" s="272">
        <f>+COUNTIF(Colombia!AD786,"en término")</f>
        <v>0</v>
      </c>
      <c r="IP6" s="272">
        <f>+COUNTIF(Colombia!AD787,"en término")</f>
        <v>1</v>
      </c>
      <c r="IQ6" s="272"/>
      <c r="IR6" s="272">
        <f>+COUNTIF(Colombia!AD788,"en término")</f>
        <v>0</v>
      </c>
      <c r="IS6" s="272"/>
      <c r="IT6" s="272"/>
      <c r="IU6" s="272">
        <f>+COUNTIF(Colombia!AE789,"en término")</f>
        <v>0</v>
      </c>
      <c r="IV6" s="272">
        <f>+COUNTIF(Colombia!AD794:AD795,"en término")</f>
        <v>1</v>
      </c>
      <c r="IW6" s="272">
        <f>+COUNTIF(Colombia!AD796:AD797,"en término")</f>
        <v>0</v>
      </c>
      <c r="IX6" s="272"/>
      <c r="IY6" s="272">
        <f>+COUNTIF(Colombia!AD798,"en término")</f>
        <v>1</v>
      </c>
      <c r="IZ6" s="272"/>
      <c r="JA6" s="272"/>
      <c r="JB6" s="272"/>
      <c r="JC6" s="272">
        <f>+COUNTIF('o.c.'!AE35,"en término")</f>
        <v>0</v>
      </c>
      <c r="JD6" s="272">
        <f>+COUNTIF('o.c.'!AE40,"en término")</f>
        <v>1</v>
      </c>
      <c r="JE6" s="272">
        <f>+COUNTIF('o.c.'!AE41,"en término")</f>
        <v>1</v>
      </c>
      <c r="JF6" s="272"/>
      <c r="JI6" s="1097">
        <f>+COUNTIF(Colombia!AI689:AI690,"en término")</f>
        <v>0</v>
      </c>
      <c r="JJ6" s="1097"/>
      <c r="JK6" s="1097">
        <f>+COUNTIF(Colombia!AI691:AI693,"en término")</f>
        <v>3</v>
      </c>
      <c r="JL6" s="1097">
        <f>+COUNTIF(Colombia!AI700,"en término")</f>
        <v>1</v>
      </c>
      <c r="JM6" s="1097"/>
      <c r="JN6" s="1097">
        <f>+COUNTIF(Colombia!AI701:AI702,"en término")</f>
        <v>2</v>
      </c>
      <c r="JO6" s="1097"/>
      <c r="JP6" s="1097"/>
      <c r="JQ6" s="1097"/>
      <c r="JR6" s="1097"/>
      <c r="JS6" s="1097">
        <f>+COUNTIF(Colombia!AI703:AI705,"en término")</f>
        <v>3</v>
      </c>
      <c r="JT6" s="1097">
        <f>+COUNTIF(Colombia!AI706,"en término")</f>
        <v>1</v>
      </c>
      <c r="JU6" s="1097">
        <f>+COUNTIF(Colombia!AI707:AI708,"en término")</f>
        <v>2</v>
      </c>
      <c r="JV6" s="1097">
        <f>+COUNTIF(Colombia!AI709:AI710,"en término")</f>
        <v>2</v>
      </c>
      <c r="JW6" s="1097">
        <f>+COUNTIF(Colombia!AI723,"en término")</f>
        <v>1</v>
      </c>
      <c r="JX6" s="1097"/>
      <c r="JY6" s="1097">
        <f>+COUNTIF(Colombia!AI724:AI725,"en término")</f>
        <v>2</v>
      </c>
      <c r="JZ6" s="1097"/>
      <c r="KA6" s="1097"/>
      <c r="KB6" s="1097">
        <f>+COUNTIF(Colombia!AI726:AI728,"en término")</f>
        <v>3</v>
      </c>
      <c r="KC6" s="1097">
        <f>+COUNTIF(Colombia!AI729:AI736,"en término")</f>
        <v>8</v>
      </c>
      <c r="KD6" s="1097"/>
      <c r="KE6" s="1097"/>
      <c r="KF6" s="1097"/>
      <c r="KG6" s="1097">
        <f>+COUNTIF(Colombia!AI737:AI741,"en término")</f>
        <v>5</v>
      </c>
      <c r="KH6" s="1097">
        <f>+COUNTIF(Colombia!AI742:AI743,"en término")</f>
        <v>2</v>
      </c>
      <c r="KI6" s="1097"/>
      <c r="KJ6" s="1097">
        <f>+COUNTIF(Colombia!AI749:AI750,"en término")</f>
        <v>2</v>
      </c>
      <c r="KK6" s="1097"/>
      <c r="KL6" s="1097">
        <f>+COUNTIF(Colombia!AI751,"en término")</f>
        <v>1</v>
      </c>
      <c r="KM6" s="1097">
        <f>+COUNTIF(Colombia!AI752:AI754,"en término")</f>
        <v>3</v>
      </c>
      <c r="KN6" s="1097"/>
      <c r="KO6" s="1097">
        <f>+COUNTIF(Colombia!AI755,"en término")</f>
        <v>1</v>
      </c>
      <c r="KP6" s="1097">
        <f>+COUNTIF(Colombia!AI756:AI758,"en término")</f>
        <v>3</v>
      </c>
      <c r="KQ6" s="1097"/>
      <c r="KR6" s="1097">
        <f>+COUNTIF(Colombia!AI759:AI760,"en término")</f>
        <v>2</v>
      </c>
      <c r="KS6" s="1097">
        <f>+COUNTIF(Colombia!AI761:AI762,"en término")</f>
        <v>2</v>
      </c>
      <c r="KT6" s="1097"/>
      <c r="KU6" s="1097">
        <f>+COUNTIF(Colombia!AI768:AI770,"en término")</f>
        <v>3</v>
      </c>
      <c r="KV6" s="1097"/>
      <c r="KW6" s="1097">
        <f>+COUNTIF(Colombia!AI771,"en término")</f>
        <v>1</v>
      </c>
      <c r="KX6" s="1097"/>
      <c r="KY6" s="1097"/>
      <c r="KZ6" s="1097">
        <f>+COUNTIF(Colombia!AI773,"en término")</f>
        <v>1</v>
      </c>
      <c r="LA6" s="1097">
        <f>+COUNTIF(Colombia!AI774,"en término")</f>
        <v>1</v>
      </c>
      <c r="LB6" s="1097"/>
      <c r="LC6" s="1097">
        <f>+COUNTIF(Colombia!AI775,"en término")</f>
        <v>1</v>
      </c>
      <c r="LD6" s="1097">
        <f>+COUNTIF(Colombia!AI776:AI777,"en término")</f>
        <v>2</v>
      </c>
      <c r="LE6" s="1097"/>
      <c r="LF6" s="1097">
        <f>+COUNTIF(Colombia!AI778,"en término")</f>
        <v>1</v>
      </c>
      <c r="LG6" s="1097">
        <f>+COUNTIF(Colombia!AI779,"en término")</f>
        <v>1</v>
      </c>
      <c r="LH6" s="1097">
        <f>+COUNTIF(Colombia!AI786,"en término")</f>
        <v>1</v>
      </c>
      <c r="LI6" s="1097">
        <f>+COUNTIF(Colombia!AI787,"en término")</f>
        <v>1</v>
      </c>
      <c r="LJ6" s="1097"/>
      <c r="LK6" s="1097">
        <f>+COUNTIF(Colombia!AI788,"en término")</f>
        <v>1</v>
      </c>
      <c r="LL6" s="1097">
        <f>+COUNTIF(Colombia!AI789,"en término")</f>
        <v>1</v>
      </c>
      <c r="LM6" s="1097"/>
      <c r="LN6" s="1097"/>
      <c r="LO6" s="1097">
        <f>+COUNTIF(Colombia!AI794:AI795,"en término")</f>
        <v>2</v>
      </c>
      <c r="LP6" s="1097">
        <f>+COUNTIF(Colombia!AI797,"en término")</f>
        <v>1</v>
      </c>
      <c r="LQ6" s="1097"/>
      <c r="LR6" s="1097">
        <f>+COUNTIF(Colombia!AI798,"en término")</f>
        <v>1</v>
      </c>
      <c r="LS6" s="1097"/>
      <c r="LT6" s="1097"/>
      <c r="LU6" s="1097"/>
    </row>
    <row r="7" spans="2:333" ht="17.25" thickBot="1" x14ac:dyDescent="0.35">
      <c r="B7" s="1005"/>
      <c r="C7" s="270" t="s">
        <v>6158</v>
      </c>
      <c r="D7" s="274">
        <f>+D6/D5</f>
        <v>0.5</v>
      </c>
      <c r="E7" s="274">
        <f>+E6/E5</f>
        <v>0</v>
      </c>
      <c r="F7" s="274"/>
      <c r="G7" s="274"/>
      <c r="H7" s="274">
        <f>+H6/H5</f>
        <v>1</v>
      </c>
      <c r="I7" s="274"/>
      <c r="J7" s="291"/>
      <c r="K7" s="274"/>
      <c r="L7" s="274">
        <f>+L6/L5</f>
        <v>1</v>
      </c>
      <c r="M7" s="274"/>
      <c r="N7" s="274">
        <f>+N6/N5</f>
        <v>1</v>
      </c>
      <c r="O7" s="274">
        <f>+O6/O5</f>
        <v>0</v>
      </c>
      <c r="P7" s="274"/>
      <c r="Q7" s="274"/>
      <c r="R7" s="274">
        <f>+R6/R5</f>
        <v>1</v>
      </c>
      <c r="S7" s="274">
        <f>+S6/S5</f>
        <v>1</v>
      </c>
      <c r="T7" s="274"/>
      <c r="U7" s="274">
        <f>+U6/U5</f>
        <v>0</v>
      </c>
      <c r="V7" s="291"/>
      <c r="W7" s="274">
        <f>+W6/W5</f>
        <v>1</v>
      </c>
      <c r="X7" s="274"/>
      <c r="Y7" s="274"/>
      <c r="Z7" s="274">
        <f>+Z6/Z5</f>
        <v>0</v>
      </c>
      <c r="AA7" s="274"/>
      <c r="AB7" s="274"/>
      <c r="AC7" s="274"/>
      <c r="AD7" s="274"/>
      <c r="AE7" s="274"/>
      <c r="AF7" s="274"/>
      <c r="AG7" s="274"/>
      <c r="AH7" s="291"/>
      <c r="AI7" s="274"/>
      <c r="AJ7" s="274"/>
      <c r="AK7" s="274"/>
      <c r="AL7" s="274">
        <f>+AL6/AL5</f>
        <v>1</v>
      </c>
      <c r="AM7" s="274"/>
      <c r="AN7" s="274"/>
      <c r="AO7" s="274"/>
      <c r="AP7" s="274"/>
      <c r="AQ7" s="274"/>
      <c r="AR7" s="274"/>
      <c r="AS7" s="274"/>
      <c r="AT7" s="290"/>
      <c r="AU7" s="274"/>
      <c r="AV7" s="274"/>
      <c r="AW7" s="274">
        <f>+AW6/AW5</f>
        <v>1</v>
      </c>
      <c r="AX7" s="274">
        <f>+AX6/AX5</f>
        <v>0.5</v>
      </c>
      <c r="AY7" s="274"/>
      <c r="AZ7" s="274"/>
      <c r="BA7" s="274"/>
      <c r="BB7" s="274">
        <f>+BB6/BB5</f>
        <v>1</v>
      </c>
      <c r="BD7" s="274">
        <f>+BD6/BD5</f>
        <v>0</v>
      </c>
      <c r="BE7" s="274"/>
      <c r="BF7" s="274"/>
      <c r="BG7" s="274"/>
      <c r="BH7" s="274">
        <f>+BH6/BH5</f>
        <v>0</v>
      </c>
      <c r="BI7" s="274"/>
      <c r="BJ7" s="274"/>
      <c r="BK7" s="274"/>
      <c r="BL7" s="274"/>
      <c r="BM7" s="274"/>
      <c r="BN7" s="274"/>
      <c r="BO7" s="274"/>
      <c r="BP7" s="274"/>
      <c r="BQ7" s="274"/>
      <c r="BR7" s="274"/>
      <c r="BS7" s="274"/>
      <c r="BT7" s="274"/>
      <c r="BU7" s="274">
        <f>+BU6/BU5</f>
        <v>1</v>
      </c>
      <c r="BV7" s="274"/>
      <c r="BW7" s="274">
        <f>+BW6/BW5</f>
        <v>0.33333333333333331</v>
      </c>
      <c r="BX7" s="274"/>
      <c r="BY7" s="274">
        <f>+BY6/BY5</f>
        <v>1</v>
      </c>
      <c r="BZ7" s="274"/>
      <c r="CA7" s="274">
        <f>+CA6/CA5</f>
        <v>1</v>
      </c>
      <c r="CB7" s="274">
        <f>+CB6/CB5</f>
        <v>1</v>
      </c>
      <c r="CC7" s="274"/>
      <c r="CD7" s="274"/>
      <c r="CE7" s="274">
        <f>+CE6/CE5</f>
        <v>1</v>
      </c>
      <c r="CF7" s="274"/>
      <c r="CG7" s="274"/>
      <c r="CH7" s="274"/>
      <c r="CI7" s="274">
        <f>+CI6/CI5</f>
        <v>1</v>
      </c>
      <c r="CJ7" s="274">
        <f>+CJ6/CJ5</f>
        <v>1</v>
      </c>
      <c r="CK7" s="274"/>
      <c r="CL7" s="274"/>
      <c r="CM7" s="274"/>
      <c r="CN7" s="274"/>
      <c r="CO7" s="274"/>
      <c r="CP7" s="274"/>
      <c r="CQ7" s="274">
        <f>+CQ6/CQ5</f>
        <v>1</v>
      </c>
      <c r="CR7" s="274">
        <f>+CR6/CR5</f>
        <v>0.66666666666666663</v>
      </c>
      <c r="CS7" s="274"/>
      <c r="CT7" s="274">
        <f>+CT6/CT5</f>
        <v>1</v>
      </c>
      <c r="CU7" s="274"/>
      <c r="CV7" s="274">
        <f>+CV6/CV5</f>
        <v>1</v>
      </c>
      <c r="CW7" s="274">
        <f>+CW6/CW5</f>
        <v>0.5</v>
      </c>
      <c r="CX7" s="274">
        <f>+CX6/CX5</f>
        <v>0.33333333333333331</v>
      </c>
      <c r="CY7" s="274">
        <f>+CY6/CY5</f>
        <v>0</v>
      </c>
      <c r="CZ7" s="274">
        <f>+CZ6/CZ5</f>
        <v>0</v>
      </c>
      <c r="DA7" s="274"/>
      <c r="DB7" s="274"/>
      <c r="DC7" s="274"/>
      <c r="DD7" s="274"/>
      <c r="DE7" s="275">
        <f>+DE6/DE5</f>
        <v>1</v>
      </c>
      <c r="DF7" s="275">
        <f>+DF6/DF5</f>
        <v>1</v>
      </c>
      <c r="DG7" s="275">
        <f>+DG6/DG5</f>
        <v>1</v>
      </c>
      <c r="DH7" s="275">
        <f>+DH6/DH5</f>
        <v>1</v>
      </c>
      <c r="DI7" s="275"/>
      <c r="DJ7" s="275"/>
      <c r="DK7" s="275">
        <f>+DK6/DK5</f>
        <v>0</v>
      </c>
      <c r="DL7" s="275"/>
      <c r="DM7" s="275"/>
      <c r="DN7" s="275"/>
      <c r="DO7" s="275"/>
      <c r="DP7" s="275">
        <f>+DP6/DP5</f>
        <v>0</v>
      </c>
      <c r="DQ7" s="275">
        <f>+DQ6/DQ5</f>
        <v>0</v>
      </c>
      <c r="DR7" s="275">
        <f>+DR6/DR5</f>
        <v>0</v>
      </c>
      <c r="DS7" s="275"/>
      <c r="DT7" s="275">
        <f>+DT6/DT5</f>
        <v>0</v>
      </c>
      <c r="DU7" s="275">
        <f>+DU6/DU5</f>
        <v>0</v>
      </c>
      <c r="DV7" s="275"/>
      <c r="DW7" s="275"/>
      <c r="DX7" s="275">
        <f>+DX6/DX5</f>
        <v>0.5</v>
      </c>
      <c r="DY7" s="275"/>
      <c r="DZ7" s="275"/>
      <c r="EA7" s="275">
        <f>+EA6/EA5</f>
        <v>1</v>
      </c>
      <c r="EB7" s="275">
        <f>+EB6/EB5</f>
        <v>0</v>
      </c>
      <c r="EC7" s="275">
        <f>+EC6/EC5</f>
        <v>0</v>
      </c>
      <c r="ED7" s="275">
        <f>+ED6/ED5</f>
        <v>1</v>
      </c>
      <c r="EE7" s="275">
        <f>+EE6/EE5</f>
        <v>0.66666666666666663</v>
      </c>
      <c r="EF7" s="275"/>
      <c r="EG7" s="275">
        <f>+EG6/EG5</f>
        <v>0</v>
      </c>
      <c r="EH7" s="275">
        <f>+EH6/EH5</f>
        <v>1</v>
      </c>
      <c r="EI7" s="275"/>
      <c r="EJ7" s="275"/>
      <c r="EK7" s="275"/>
      <c r="EL7" s="275">
        <f>+EL6/EL5</f>
        <v>1</v>
      </c>
      <c r="EM7" s="275">
        <f>+EM6/EM5</f>
        <v>1</v>
      </c>
      <c r="EN7" s="275"/>
      <c r="EO7" s="275">
        <f>+EO6/EO5</f>
        <v>0.25</v>
      </c>
      <c r="EP7" s="275"/>
      <c r="EQ7" s="275">
        <f>+EQ6/EQ5</f>
        <v>0.2</v>
      </c>
      <c r="ER7" s="275"/>
      <c r="ES7" s="275"/>
      <c r="ET7" s="275"/>
      <c r="EU7" s="275">
        <f>+EU6/EU5</f>
        <v>0</v>
      </c>
      <c r="EV7" s="275"/>
      <c r="EW7" s="275"/>
      <c r="EX7" s="275"/>
      <c r="EY7" s="275"/>
      <c r="EZ7" s="275">
        <f>+EZ6/EZ5</f>
        <v>0</v>
      </c>
      <c r="FA7" s="275">
        <f>+FA6/FA5</f>
        <v>0</v>
      </c>
      <c r="FB7" s="275">
        <f>+FB6/FB5</f>
        <v>0</v>
      </c>
      <c r="FC7" s="275"/>
      <c r="FD7" s="275">
        <f>+FD6/FD5</f>
        <v>0</v>
      </c>
      <c r="FE7" s="275"/>
      <c r="FF7" s="275"/>
      <c r="FG7" s="275">
        <f>+FG6/FG5</f>
        <v>0.5</v>
      </c>
      <c r="FH7" s="275"/>
      <c r="FI7" s="275"/>
      <c r="FJ7" s="275"/>
      <c r="FK7" s="275"/>
      <c r="FL7" s="275"/>
      <c r="FM7" s="275">
        <f>+FM6/FM5</f>
        <v>0.5</v>
      </c>
      <c r="FN7" s="275"/>
      <c r="FO7" s="275"/>
      <c r="FP7" s="275">
        <f>+FP6/FP5</f>
        <v>1</v>
      </c>
      <c r="FQ7" s="275"/>
      <c r="FR7" s="275">
        <f>+FR6/FR5</f>
        <v>0.75</v>
      </c>
      <c r="FS7" s="275">
        <f>+FS6/FS5</f>
        <v>0</v>
      </c>
      <c r="FT7" s="275">
        <f>+FT6/FT5</f>
        <v>0</v>
      </c>
      <c r="FU7" s="275">
        <f>+FU6/FU5</f>
        <v>0</v>
      </c>
      <c r="FV7" s="275"/>
      <c r="FW7" s="275">
        <f>+FW6/FW5</f>
        <v>0</v>
      </c>
      <c r="FX7" s="275">
        <f>+FX6/FX5</f>
        <v>0</v>
      </c>
      <c r="FY7" s="275">
        <f>+FY6/FY5</f>
        <v>0</v>
      </c>
      <c r="FZ7" s="275">
        <f>+FZ6/FZ5</f>
        <v>0</v>
      </c>
      <c r="GA7" s="275"/>
      <c r="GB7" s="275"/>
      <c r="GC7" s="275">
        <f>+GC6/GC5</f>
        <v>0</v>
      </c>
      <c r="GD7" s="275">
        <f>+GD6/GD5</f>
        <v>0</v>
      </c>
      <c r="GE7" s="275">
        <f>+GE6/GE5</f>
        <v>0</v>
      </c>
      <c r="GF7" s="275"/>
      <c r="GG7" s="275">
        <f>+GG6/GG5</f>
        <v>1</v>
      </c>
      <c r="GH7" s="275">
        <f>+GH6/GH5</f>
        <v>0</v>
      </c>
      <c r="GI7" s="275"/>
      <c r="GJ7" s="275">
        <f>+GJ6/GJ5</f>
        <v>0.25</v>
      </c>
      <c r="GK7" s="275"/>
      <c r="GL7" s="275"/>
      <c r="GM7" s="275">
        <f>+GM6/GM5</f>
        <v>0.25</v>
      </c>
      <c r="GN7" s="275"/>
      <c r="GO7" s="275"/>
      <c r="GP7" s="275">
        <f>+GP6/GP5</f>
        <v>0</v>
      </c>
      <c r="GQ7" s="275"/>
      <c r="GR7" s="275">
        <f>+GR6/GR5</f>
        <v>0</v>
      </c>
      <c r="GS7" s="275">
        <f>+GS6/GS5</f>
        <v>1</v>
      </c>
      <c r="GT7" s="275"/>
      <c r="GU7" s="275">
        <f t="shared" ref="GU7:GZ7" si="26">+GU6/GU5</f>
        <v>0</v>
      </c>
      <c r="GV7" s="275">
        <f t="shared" si="26"/>
        <v>1</v>
      </c>
      <c r="GW7" s="275">
        <f t="shared" si="26"/>
        <v>1</v>
      </c>
      <c r="GX7" s="275">
        <f t="shared" si="26"/>
        <v>1</v>
      </c>
      <c r="GY7" s="275">
        <f t="shared" si="26"/>
        <v>1</v>
      </c>
      <c r="GZ7" s="275">
        <f t="shared" si="26"/>
        <v>1</v>
      </c>
      <c r="HA7" s="275"/>
      <c r="HB7" s="275">
        <f>+HB6/HB5</f>
        <v>0</v>
      </c>
      <c r="HC7" s="275">
        <f>+HC6/HC5</f>
        <v>0</v>
      </c>
      <c r="HD7" s="275"/>
      <c r="HE7" s="275">
        <f>+HE6/HE5</f>
        <v>0</v>
      </c>
      <c r="HF7" s="275">
        <f>+HF6/HF5</f>
        <v>0</v>
      </c>
      <c r="HG7" s="275"/>
      <c r="HH7" s="275"/>
      <c r="HI7" s="275">
        <f>+HI6/HI5</f>
        <v>0</v>
      </c>
      <c r="HJ7" s="275">
        <f>+HJ6/HJ5</f>
        <v>0</v>
      </c>
      <c r="HK7" s="275">
        <f>+HK6/HK5</f>
        <v>0</v>
      </c>
      <c r="HL7" s="275"/>
      <c r="HM7" s="275"/>
      <c r="HN7" s="275">
        <f>+HN6/HN5</f>
        <v>0</v>
      </c>
      <c r="HO7" s="275">
        <f>+HO6/HO5</f>
        <v>0</v>
      </c>
      <c r="HP7" s="275"/>
      <c r="HQ7" s="275">
        <f>+HQ6/HQ5</f>
        <v>0</v>
      </c>
      <c r="HR7" s="275"/>
      <c r="HS7" s="275"/>
      <c r="HT7" s="275">
        <f>+HT6/HT5</f>
        <v>0</v>
      </c>
      <c r="HU7" s="275">
        <f>+HU6/HU5</f>
        <v>0</v>
      </c>
      <c r="HV7" s="275"/>
      <c r="HW7" s="275">
        <f t="shared" ref="HW7:IB7" si="27">+HW6/HW5</f>
        <v>0</v>
      </c>
      <c r="HX7" s="275">
        <f t="shared" si="27"/>
        <v>0</v>
      </c>
      <c r="HY7" s="275">
        <f t="shared" si="27"/>
        <v>0</v>
      </c>
      <c r="HZ7" s="275">
        <f t="shared" si="27"/>
        <v>0</v>
      </c>
      <c r="IA7" s="275">
        <f t="shared" ref="IA7" si="28">+IA6/IA5</f>
        <v>0</v>
      </c>
      <c r="IB7" s="275">
        <f t="shared" si="27"/>
        <v>0</v>
      </c>
      <c r="IC7" s="275">
        <f t="shared" ref="IC7:IE7" si="29">+IC6/IC5</f>
        <v>0</v>
      </c>
      <c r="ID7" s="275"/>
      <c r="IE7" s="275">
        <f t="shared" si="29"/>
        <v>1</v>
      </c>
      <c r="IF7" s="275"/>
      <c r="IG7" s="275">
        <f t="shared" ref="IG7" si="30">+IG6/IG5</f>
        <v>0</v>
      </c>
      <c r="IH7" s="275">
        <f t="shared" ref="IH7:IJ7" si="31">+IH6/IH5</f>
        <v>0</v>
      </c>
      <c r="II7" s="275"/>
      <c r="IJ7" s="275">
        <f t="shared" si="31"/>
        <v>0</v>
      </c>
      <c r="IK7" s="275">
        <f t="shared" ref="IK7:IL7" si="32">+IK6/IK5</f>
        <v>0</v>
      </c>
      <c r="IL7" s="275">
        <f t="shared" si="32"/>
        <v>0</v>
      </c>
      <c r="IM7" s="275">
        <f t="shared" ref="IM7:IN7" si="33">+IM6/IM5</f>
        <v>1</v>
      </c>
      <c r="IN7" s="275">
        <f t="shared" si="33"/>
        <v>1</v>
      </c>
      <c r="IO7" s="275">
        <f t="shared" ref="IO7" si="34">+IO6/IO5</f>
        <v>0</v>
      </c>
      <c r="IP7" s="275">
        <f t="shared" ref="IP7" si="35">+IP6/IP5</f>
        <v>1</v>
      </c>
      <c r="IQ7" s="275"/>
      <c r="IR7" s="275">
        <f t="shared" ref="IR7" si="36">+IR6/IR5</f>
        <v>0</v>
      </c>
      <c r="IS7" s="275"/>
      <c r="IT7" s="275"/>
      <c r="IU7" s="275">
        <f t="shared" ref="IU7" si="37">+IU6/IU5</f>
        <v>0</v>
      </c>
      <c r="IV7" s="275">
        <f t="shared" ref="IV7:IW7" si="38">+IV6/IV5</f>
        <v>0.5</v>
      </c>
      <c r="IW7" s="275">
        <f t="shared" si="38"/>
        <v>0</v>
      </c>
      <c r="IX7" s="275"/>
      <c r="IY7" s="275">
        <f t="shared" ref="IY7" si="39">+IY6/IY5</f>
        <v>1</v>
      </c>
      <c r="IZ7" s="275"/>
      <c r="JA7" s="275"/>
      <c r="JB7" s="275"/>
      <c r="JC7" s="275">
        <f t="shared" ref="JC7:JD7" si="40">+JC6/JC5</f>
        <v>0</v>
      </c>
      <c r="JD7" s="275">
        <f t="shared" si="40"/>
        <v>1</v>
      </c>
      <c r="JE7" s="275">
        <f t="shared" ref="JE7" si="41">+JE6/JE5</f>
        <v>1</v>
      </c>
      <c r="JF7" s="275"/>
      <c r="JI7" s="1098"/>
      <c r="JJ7" s="1098"/>
      <c r="JK7" s="1098"/>
      <c r="JL7" s="1098"/>
      <c r="JM7" s="1098"/>
      <c r="JN7" s="1098"/>
      <c r="JO7" s="1098"/>
      <c r="JP7" s="1098"/>
      <c r="JQ7" s="1098"/>
      <c r="JR7" s="1098"/>
      <c r="JS7" s="1098"/>
      <c r="JT7" s="1098"/>
      <c r="JU7" s="1098"/>
      <c r="JV7" s="1098"/>
      <c r="JW7" s="1098"/>
      <c r="JX7" s="1098"/>
      <c r="JY7" s="1098"/>
      <c r="JZ7" s="1098"/>
      <c r="KA7" s="1098"/>
      <c r="KB7" s="1098"/>
      <c r="KC7" s="1098"/>
      <c r="KD7" s="1098"/>
      <c r="KE7" s="1098"/>
      <c r="KF7" s="1098"/>
      <c r="KG7" s="1098"/>
      <c r="KH7" s="1098"/>
      <c r="KI7" s="1098"/>
      <c r="KJ7" s="1098"/>
      <c r="KK7" s="1098"/>
      <c r="KL7" s="1098"/>
      <c r="KM7" s="1098"/>
      <c r="KN7" s="1098"/>
      <c r="KO7" s="1098"/>
      <c r="KP7" s="1098"/>
      <c r="KQ7" s="1098"/>
      <c r="KR7" s="1098"/>
      <c r="KS7" s="1098"/>
      <c r="KT7" s="1098"/>
      <c r="KU7" s="1098"/>
      <c r="KV7" s="1098"/>
      <c r="KW7" s="1098"/>
      <c r="KX7" s="1098"/>
      <c r="KY7" s="1098"/>
      <c r="KZ7" s="1098"/>
      <c r="LA7" s="1098"/>
      <c r="LB7" s="1098"/>
      <c r="LC7" s="1098"/>
      <c r="LD7" s="1098"/>
      <c r="LE7" s="1098"/>
      <c r="LF7" s="1098"/>
      <c r="LG7" s="1098"/>
      <c r="LH7" s="1098"/>
      <c r="LI7" s="1098"/>
      <c r="LJ7" s="1098"/>
      <c r="LK7" s="1098"/>
      <c r="LL7" s="1098"/>
      <c r="LM7" s="1098"/>
      <c r="LN7" s="1098"/>
      <c r="LO7" s="1098"/>
      <c r="LP7" s="1098"/>
      <c r="LQ7" s="1098"/>
      <c r="LR7" s="1098"/>
      <c r="LS7" s="1098"/>
      <c r="LT7" s="1098"/>
      <c r="LU7" s="1098"/>
    </row>
    <row r="8" spans="2:333" ht="16.5" x14ac:dyDescent="0.3">
      <c r="B8" s="1004" t="s">
        <v>972</v>
      </c>
      <c r="C8" s="269" t="s">
        <v>6156</v>
      </c>
      <c r="D8" s="271">
        <v>0</v>
      </c>
      <c r="E8" s="271">
        <v>0</v>
      </c>
      <c r="F8" s="271">
        <v>0</v>
      </c>
      <c r="G8" s="271">
        <v>0</v>
      </c>
      <c r="H8" s="271">
        <v>0</v>
      </c>
      <c r="I8" s="271">
        <f>COUNTA(USA!AD75:AD78)</f>
        <v>2</v>
      </c>
      <c r="J8" s="288"/>
      <c r="K8" s="271">
        <v>0</v>
      </c>
      <c r="L8" s="271">
        <v>0</v>
      </c>
      <c r="M8" s="271">
        <v>0</v>
      </c>
      <c r="N8" s="271">
        <f>COUNTA(USA!AD81:AD84)</f>
        <v>2</v>
      </c>
      <c r="O8" s="271">
        <v>0</v>
      </c>
      <c r="P8" s="271">
        <v>0</v>
      </c>
      <c r="Q8" s="271">
        <v>0</v>
      </c>
      <c r="R8" s="271">
        <f>COUNTA(USA!AD87)</f>
        <v>1</v>
      </c>
      <c r="S8" s="271">
        <v>0</v>
      </c>
      <c r="T8" s="271">
        <v>0</v>
      </c>
      <c r="U8" s="271">
        <v>0</v>
      </c>
      <c r="V8" s="288"/>
      <c r="W8" s="271">
        <v>0</v>
      </c>
      <c r="X8" s="271">
        <v>0</v>
      </c>
      <c r="Y8" s="271">
        <v>0</v>
      </c>
      <c r="Z8" s="271">
        <v>0</v>
      </c>
      <c r="AA8" s="271">
        <f>COUNTA(USA!AD98:AD101)</f>
        <v>2</v>
      </c>
      <c r="AB8" s="271">
        <v>0</v>
      </c>
      <c r="AC8" s="271">
        <v>0</v>
      </c>
      <c r="AD8" s="271">
        <v>0</v>
      </c>
      <c r="AE8" s="271">
        <f>COUNTA(USA!AD104:AD110)</f>
        <v>3</v>
      </c>
      <c r="AF8" s="271">
        <v>0</v>
      </c>
      <c r="AG8" s="271">
        <f>COUNTA(USA!AD131:AD134)</f>
        <v>2</v>
      </c>
      <c r="AH8" s="288"/>
      <c r="AI8" s="271">
        <v>0</v>
      </c>
      <c r="AJ8" s="271">
        <v>0</v>
      </c>
      <c r="AK8" s="271">
        <v>0</v>
      </c>
      <c r="AL8" s="271">
        <v>0</v>
      </c>
      <c r="AM8" s="271">
        <v>0</v>
      </c>
      <c r="AN8" s="271">
        <v>0</v>
      </c>
      <c r="AO8" s="271">
        <v>0</v>
      </c>
      <c r="AP8" s="271">
        <v>0</v>
      </c>
      <c r="AQ8" s="271">
        <v>0</v>
      </c>
      <c r="AR8" s="271">
        <v>0</v>
      </c>
      <c r="AS8" s="271">
        <v>0</v>
      </c>
      <c r="AT8" s="288"/>
      <c r="AU8" s="271">
        <v>0</v>
      </c>
      <c r="AV8" s="271">
        <v>0</v>
      </c>
      <c r="AW8" s="271">
        <f>COUNTA(USA!AD146:AD146)</f>
        <v>1</v>
      </c>
      <c r="AX8" s="271">
        <v>0</v>
      </c>
      <c r="AY8" s="271">
        <v>0</v>
      </c>
      <c r="AZ8" s="271">
        <v>0</v>
      </c>
      <c r="BA8" s="271">
        <v>0</v>
      </c>
      <c r="BB8" s="271">
        <v>0</v>
      </c>
      <c r="BC8" s="271">
        <f>COUNTA(USA!AD149:AD149)</f>
        <v>1</v>
      </c>
      <c r="BD8" s="271">
        <v>0</v>
      </c>
      <c r="BE8" s="271">
        <v>0</v>
      </c>
      <c r="BF8" s="271">
        <v>0</v>
      </c>
      <c r="BG8" s="271">
        <v>0</v>
      </c>
      <c r="BH8" s="271">
        <v>0</v>
      </c>
      <c r="BI8" s="271">
        <v>0</v>
      </c>
      <c r="BJ8" s="271">
        <v>0</v>
      </c>
      <c r="BK8" s="271">
        <v>0</v>
      </c>
      <c r="BL8" s="271">
        <v>0</v>
      </c>
      <c r="BM8" s="271">
        <v>0</v>
      </c>
      <c r="BN8" s="271">
        <v>0</v>
      </c>
      <c r="BO8" s="271">
        <v>0</v>
      </c>
      <c r="BP8" s="271">
        <v>0</v>
      </c>
      <c r="BQ8" s="271">
        <v>0</v>
      </c>
      <c r="BR8" s="271">
        <v>0</v>
      </c>
      <c r="BS8" s="271">
        <v>0</v>
      </c>
      <c r="BT8" s="271">
        <v>0</v>
      </c>
      <c r="BU8" s="271">
        <v>0</v>
      </c>
      <c r="BV8" s="271">
        <v>0</v>
      </c>
      <c r="BW8" s="271">
        <v>0</v>
      </c>
      <c r="BX8" s="271">
        <v>0</v>
      </c>
      <c r="BY8" s="271">
        <v>0</v>
      </c>
      <c r="BZ8" s="271">
        <v>0</v>
      </c>
      <c r="CA8" s="271">
        <v>0</v>
      </c>
      <c r="CB8" s="271">
        <v>0</v>
      </c>
      <c r="CC8" s="271">
        <v>0</v>
      </c>
      <c r="CD8" s="271">
        <v>0</v>
      </c>
      <c r="CE8" s="271">
        <v>0</v>
      </c>
      <c r="CF8" s="271">
        <v>0</v>
      </c>
      <c r="CG8" s="271">
        <v>0</v>
      </c>
      <c r="CH8" s="271">
        <v>0</v>
      </c>
      <c r="CI8" s="271">
        <v>0</v>
      </c>
      <c r="CJ8" s="271">
        <v>0</v>
      </c>
      <c r="CK8" s="271">
        <v>0</v>
      </c>
      <c r="CL8" s="271">
        <v>0</v>
      </c>
      <c r="CM8" s="271">
        <v>0</v>
      </c>
      <c r="CN8" s="271">
        <v>0</v>
      </c>
      <c r="CO8" s="271">
        <v>0</v>
      </c>
      <c r="CP8" s="271">
        <v>0</v>
      </c>
      <c r="CQ8" s="271">
        <v>0</v>
      </c>
      <c r="CR8" s="271">
        <v>0</v>
      </c>
      <c r="CS8" s="271">
        <v>0</v>
      </c>
      <c r="CT8" s="271">
        <v>0</v>
      </c>
      <c r="CU8" s="271">
        <v>0</v>
      </c>
      <c r="CV8" s="271">
        <v>0</v>
      </c>
      <c r="CW8" s="271">
        <v>0</v>
      </c>
      <c r="CX8" s="271">
        <v>0</v>
      </c>
      <c r="CY8" s="271">
        <v>0</v>
      </c>
      <c r="CZ8" s="271">
        <v>0</v>
      </c>
      <c r="DA8" s="271">
        <v>0</v>
      </c>
      <c r="DB8" s="271">
        <v>0</v>
      </c>
      <c r="DC8" s="271">
        <v>0</v>
      </c>
      <c r="DD8" s="271">
        <v>0</v>
      </c>
      <c r="DE8" s="271">
        <v>0</v>
      </c>
      <c r="DF8" s="271">
        <v>0</v>
      </c>
      <c r="DG8" s="271">
        <v>0</v>
      </c>
      <c r="DH8" s="271">
        <v>0</v>
      </c>
      <c r="DI8" s="271">
        <v>0</v>
      </c>
      <c r="DJ8" s="271">
        <v>0</v>
      </c>
      <c r="DK8" s="271">
        <v>0</v>
      </c>
      <c r="DL8" s="271">
        <v>0</v>
      </c>
      <c r="DM8" s="271">
        <v>0</v>
      </c>
      <c r="DN8" s="271">
        <v>0</v>
      </c>
      <c r="DO8" s="271">
        <v>0</v>
      </c>
      <c r="DP8" s="271">
        <v>0</v>
      </c>
      <c r="DQ8" s="271">
        <v>0</v>
      </c>
      <c r="DR8" s="271">
        <v>0</v>
      </c>
      <c r="DS8" s="271">
        <v>0</v>
      </c>
      <c r="DT8" s="271">
        <v>0</v>
      </c>
      <c r="DU8" s="271">
        <v>0</v>
      </c>
      <c r="DV8" s="271">
        <v>0</v>
      </c>
      <c r="DW8" s="271">
        <v>0</v>
      </c>
      <c r="DX8" s="271">
        <v>0</v>
      </c>
      <c r="DY8" s="271">
        <v>0</v>
      </c>
      <c r="DZ8" s="271">
        <v>0</v>
      </c>
      <c r="EA8" s="271">
        <v>0</v>
      </c>
      <c r="EB8" s="271">
        <f>+COUNTA(USA!AD163)</f>
        <v>1</v>
      </c>
      <c r="EC8" s="271">
        <v>0</v>
      </c>
      <c r="ED8" s="271">
        <f>+COUNTA(USA!AD164)</f>
        <v>1</v>
      </c>
      <c r="EE8" s="271">
        <v>0</v>
      </c>
      <c r="EF8" s="271">
        <v>0</v>
      </c>
      <c r="EG8" s="271">
        <v>0</v>
      </c>
      <c r="EH8" s="271">
        <v>0</v>
      </c>
      <c r="EI8" s="271">
        <v>0</v>
      </c>
      <c r="EJ8" s="271">
        <v>0</v>
      </c>
      <c r="EK8" s="271">
        <v>0</v>
      </c>
      <c r="EL8" s="271">
        <v>0</v>
      </c>
      <c r="EM8" s="271">
        <v>0</v>
      </c>
      <c r="EN8" s="271">
        <v>0</v>
      </c>
      <c r="EO8" s="271">
        <v>0</v>
      </c>
      <c r="EP8" s="271">
        <f>+COUNTA(USA!AD177)</f>
        <v>1</v>
      </c>
      <c r="EQ8" s="271">
        <v>0</v>
      </c>
      <c r="ER8" s="271">
        <v>0</v>
      </c>
      <c r="ES8" s="271">
        <v>0</v>
      </c>
      <c r="ET8" s="271">
        <v>0</v>
      </c>
      <c r="EU8" s="271">
        <v>0</v>
      </c>
      <c r="EV8" s="271">
        <v>0</v>
      </c>
      <c r="EW8" s="271">
        <v>0</v>
      </c>
      <c r="EX8" s="271">
        <v>0</v>
      </c>
      <c r="EY8" s="271">
        <f>+COUNTA(USA!AD187)</f>
        <v>1</v>
      </c>
      <c r="EZ8" s="271">
        <v>0</v>
      </c>
      <c r="FA8" s="271">
        <v>0</v>
      </c>
      <c r="FB8" s="271">
        <v>0</v>
      </c>
      <c r="FC8" s="271">
        <v>0</v>
      </c>
      <c r="FD8" s="271">
        <v>0</v>
      </c>
      <c r="FE8" s="271">
        <f>+COUNTA(USA!AD188)</f>
        <v>1</v>
      </c>
      <c r="FF8" s="271">
        <v>0</v>
      </c>
      <c r="FG8" s="271">
        <v>0</v>
      </c>
      <c r="FH8" s="271">
        <v>0</v>
      </c>
      <c r="FI8" s="271">
        <v>0</v>
      </c>
      <c r="FJ8" s="271">
        <v>0</v>
      </c>
      <c r="FK8" s="271">
        <v>0</v>
      </c>
      <c r="FL8" s="271">
        <v>0</v>
      </c>
      <c r="FM8" s="271">
        <v>0</v>
      </c>
      <c r="FN8" s="271">
        <v>0</v>
      </c>
      <c r="FO8" s="271">
        <v>0</v>
      </c>
      <c r="FP8" s="271">
        <v>0</v>
      </c>
      <c r="FQ8" s="271">
        <v>0</v>
      </c>
      <c r="FR8" s="271">
        <v>0</v>
      </c>
      <c r="FS8" s="271">
        <v>0</v>
      </c>
      <c r="FT8" s="271">
        <v>0</v>
      </c>
      <c r="FU8" s="271">
        <v>0</v>
      </c>
      <c r="FV8" s="271">
        <v>0</v>
      </c>
      <c r="FW8" s="271">
        <v>0</v>
      </c>
      <c r="FX8" s="271">
        <f>+COUNTA(USA!AD199)</f>
        <v>1</v>
      </c>
      <c r="FY8" s="271">
        <v>0</v>
      </c>
      <c r="FZ8" s="271">
        <v>0</v>
      </c>
      <c r="GA8" s="271">
        <v>0</v>
      </c>
      <c r="GB8" s="271">
        <v>0</v>
      </c>
      <c r="GC8" s="271">
        <v>0</v>
      </c>
      <c r="GD8" s="271">
        <v>0</v>
      </c>
      <c r="GE8" s="271">
        <v>0</v>
      </c>
      <c r="GF8" s="271">
        <v>0</v>
      </c>
      <c r="GG8" s="271">
        <v>0</v>
      </c>
      <c r="GH8" s="271">
        <v>0</v>
      </c>
      <c r="GI8" s="271">
        <v>0</v>
      </c>
      <c r="GJ8" s="271">
        <v>0</v>
      </c>
      <c r="GK8" s="271">
        <v>0</v>
      </c>
      <c r="GL8" s="271">
        <v>0</v>
      </c>
      <c r="GM8" s="271">
        <v>0</v>
      </c>
      <c r="GN8" s="271">
        <v>0</v>
      </c>
      <c r="GO8" s="271">
        <v>0</v>
      </c>
      <c r="GP8" s="271">
        <v>0</v>
      </c>
      <c r="GQ8" s="271">
        <v>0</v>
      </c>
      <c r="GR8" s="271">
        <v>0</v>
      </c>
      <c r="GS8" s="271">
        <v>0</v>
      </c>
      <c r="GT8" s="271">
        <v>0</v>
      </c>
      <c r="GU8" s="271">
        <v>0</v>
      </c>
      <c r="GV8" s="271">
        <v>0</v>
      </c>
      <c r="GW8" s="271">
        <v>0</v>
      </c>
      <c r="GX8" s="271">
        <v>0</v>
      </c>
      <c r="GY8" s="271">
        <v>0</v>
      </c>
      <c r="GZ8" s="271">
        <v>0</v>
      </c>
      <c r="HA8" s="271">
        <v>0</v>
      </c>
      <c r="HB8" s="271">
        <v>0</v>
      </c>
      <c r="HC8" s="271">
        <v>0</v>
      </c>
      <c r="HD8" s="271">
        <v>0</v>
      </c>
      <c r="HE8" s="271">
        <v>0</v>
      </c>
      <c r="HF8" s="271">
        <v>0</v>
      </c>
      <c r="HG8" s="271">
        <v>0</v>
      </c>
      <c r="HH8" s="271">
        <v>0</v>
      </c>
      <c r="HI8" s="271">
        <v>0</v>
      </c>
      <c r="HJ8" s="271">
        <v>0</v>
      </c>
      <c r="HK8" s="271">
        <v>0</v>
      </c>
      <c r="HL8" s="271">
        <v>0</v>
      </c>
      <c r="HM8" s="271">
        <v>0</v>
      </c>
      <c r="HN8" s="271">
        <v>0</v>
      </c>
      <c r="HO8" s="271">
        <v>0</v>
      </c>
      <c r="HP8" s="271">
        <v>0</v>
      </c>
      <c r="HQ8" s="271">
        <v>0</v>
      </c>
      <c r="HR8" s="271">
        <v>0</v>
      </c>
      <c r="HS8" s="271">
        <v>0</v>
      </c>
      <c r="HT8" s="271">
        <v>0</v>
      </c>
      <c r="HU8" s="271">
        <v>0</v>
      </c>
      <c r="HV8" s="271">
        <v>0</v>
      </c>
      <c r="HW8" s="271">
        <v>0</v>
      </c>
      <c r="HX8" s="271">
        <v>0</v>
      </c>
      <c r="HY8" s="271">
        <v>0</v>
      </c>
      <c r="HZ8" s="271">
        <v>0</v>
      </c>
      <c r="IA8" s="271">
        <v>0</v>
      </c>
      <c r="IB8" s="271">
        <v>0</v>
      </c>
      <c r="IC8" s="271">
        <v>0</v>
      </c>
      <c r="ID8" s="271">
        <v>0</v>
      </c>
      <c r="IE8" s="271">
        <v>0</v>
      </c>
      <c r="IF8" s="271">
        <v>0</v>
      </c>
      <c r="IG8" s="271">
        <v>0</v>
      </c>
      <c r="IH8" s="271">
        <v>0</v>
      </c>
      <c r="II8" s="271">
        <v>0</v>
      </c>
      <c r="IJ8" s="271">
        <v>0</v>
      </c>
      <c r="IK8" s="271">
        <v>0</v>
      </c>
      <c r="IL8" s="271">
        <v>0</v>
      </c>
      <c r="IM8" s="271">
        <v>0</v>
      </c>
      <c r="IN8" s="271">
        <v>0</v>
      </c>
      <c r="IO8" s="271">
        <v>0</v>
      </c>
      <c r="IP8" s="271">
        <v>0</v>
      </c>
      <c r="IQ8" s="271">
        <v>0</v>
      </c>
      <c r="IR8" s="271">
        <v>0</v>
      </c>
      <c r="IS8" s="271">
        <v>0</v>
      </c>
      <c r="IT8" s="271">
        <v>0</v>
      </c>
      <c r="IU8" s="271">
        <v>0</v>
      </c>
      <c r="IV8" s="271">
        <v>0</v>
      </c>
      <c r="IW8" s="271">
        <v>0</v>
      </c>
      <c r="IX8" s="271">
        <v>0</v>
      </c>
      <c r="IY8" s="271">
        <v>0</v>
      </c>
      <c r="IZ8" s="271">
        <v>0</v>
      </c>
      <c r="JA8" s="271">
        <f>+COUNTA(USA!AD209)</f>
        <v>1</v>
      </c>
      <c r="JB8" s="271">
        <v>0</v>
      </c>
      <c r="JC8" s="271">
        <v>0</v>
      </c>
      <c r="JD8" s="271">
        <v>0</v>
      </c>
      <c r="JE8" s="271">
        <v>0</v>
      </c>
      <c r="JF8" s="361">
        <f>SUM(D8:JE8)</f>
        <v>21</v>
      </c>
      <c r="JI8" s="1097">
        <v>0</v>
      </c>
      <c r="JJ8" s="1097">
        <v>0</v>
      </c>
      <c r="JK8" s="1097">
        <v>0</v>
      </c>
      <c r="JL8" s="1097">
        <v>0</v>
      </c>
      <c r="JM8" s="1097">
        <v>0</v>
      </c>
      <c r="JN8" s="1097">
        <v>0</v>
      </c>
      <c r="JO8" s="1097">
        <v>0</v>
      </c>
      <c r="JP8" s="1097">
        <v>0</v>
      </c>
      <c r="JQ8" s="1097">
        <v>0</v>
      </c>
      <c r="JR8" s="1097">
        <v>0</v>
      </c>
      <c r="JS8" s="1097">
        <v>0</v>
      </c>
      <c r="JT8" s="1097">
        <v>0</v>
      </c>
      <c r="JU8" s="1097">
        <v>0</v>
      </c>
      <c r="JV8" s="1097">
        <v>0</v>
      </c>
      <c r="JW8" s="1097">
        <v>0</v>
      </c>
      <c r="JX8" s="1097">
        <v>0</v>
      </c>
      <c r="JY8" s="1097">
        <v>0</v>
      </c>
      <c r="JZ8" s="1097">
        <v>0</v>
      </c>
      <c r="KA8" s="1097">
        <v>0</v>
      </c>
      <c r="KB8" s="1097">
        <v>0</v>
      </c>
      <c r="KC8" s="1097">
        <v>0</v>
      </c>
      <c r="KD8" s="1097">
        <v>0</v>
      </c>
      <c r="KE8" s="1097">
        <v>0</v>
      </c>
      <c r="KF8" s="1097">
        <v>0</v>
      </c>
      <c r="KG8" s="1097"/>
      <c r="KH8" s="1097"/>
      <c r="KI8" s="1097"/>
      <c r="KJ8" s="1097"/>
      <c r="KK8" s="1097"/>
      <c r="KL8" s="1097"/>
      <c r="KM8" s="1097"/>
      <c r="KN8" s="1097"/>
      <c r="KO8" s="1097"/>
      <c r="KP8" s="1097"/>
      <c r="KQ8" s="1097"/>
      <c r="KR8" s="1097"/>
      <c r="KS8" s="1097"/>
      <c r="KT8" s="1097"/>
      <c r="KU8" s="1097"/>
      <c r="KV8" s="1097"/>
      <c r="KW8" s="1097"/>
      <c r="KX8" s="1097"/>
      <c r="KY8" s="1097"/>
      <c r="KZ8" s="1097"/>
      <c r="LA8" s="1097"/>
      <c r="LB8" s="1097"/>
      <c r="LC8" s="1097"/>
      <c r="LD8" s="1097"/>
      <c r="LE8" s="1097"/>
      <c r="LF8" s="1097"/>
      <c r="LG8" s="1097"/>
      <c r="LH8" s="1097"/>
      <c r="LI8" s="1097"/>
      <c r="LJ8" s="1097"/>
      <c r="LK8" s="1097"/>
      <c r="LL8" s="1097"/>
      <c r="LM8" s="1097"/>
      <c r="LN8" s="1097"/>
      <c r="LO8" s="1097"/>
      <c r="LP8" s="1097"/>
      <c r="LQ8" s="1097"/>
      <c r="LR8" s="1097">
        <v>1</v>
      </c>
      <c r="LS8" s="1097"/>
      <c r="LT8" s="1097"/>
      <c r="LU8" s="1097"/>
    </row>
    <row r="9" spans="2:333" ht="16.5" x14ac:dyDescent="0.3">
      <c r="B9" s="1003"/>
      <c r="C9" s="273" t="s">
        <v>6157</v>
      </c>
      <c r="D9" s="272"/>
      <c r="E9" s="272"/>
      <c r="F9" s="272"/>
      <c r="G9" s="272"/>
      <c r="H9" s="272"/>
      <c r="I9" s="272">
        <f>COUNTIF(USA!AD75:AD78,"en término")</f>
        <v>2</v>
      </c>
      <c r="J9" s="289"/>
      <c r="K9" s="272"/>
      <c r="L9" s="272"/>
      <c r="M9" s="272"/>
      <c r="N9" s="272">
        <f>COUNTIF(USA!AD81:AD84,"en término")</f>
        <v>2</v>
      </c>
      <c r="O9" s="272"/>
      <c r="P9" s="272"/>
      <c r="Q9" s="272"/>
      <c r="R9" s="272">
        <f>COUNTIF(USA!AD87,"en término")</f>
        <v>1</v>
      </c>
      <c r="S9" s="272"/>
      <c r="T9" s="272"/>
      <c r="U9" s="272"/>
      <c r="V9" s="289"/>
      <c r="W9" s="272"/>
      <c r="X9" s="272"/>
      <c r="Y9" s="272"/>
      <c r="Z9" s="272"/>
      <c r="AA9" s="272">
        <f>COUNTIF(USA!AD98:AD101,"en término")</f>
        <v>0</v>
      </c>
      <c r="AB9" s="272"/>
      <c r="AC9" s="272"/>
      <c r="AD9" s="272"/>
      <c r="AE9" s="272">
        <f>COUNTIF(USA!AD104:AD110,"en término")</f>
        <v>3</v>
      </c>
      <c r="AF9" s="272"/>
      <c r="AG9" s="272">
        <f>COUNTIF(USA!AD131:AD134,"en término")</f>
        <v>0</v>
      </c>
      <c r="AH9" s="289"/>
      <c r="AI9" s="272"/>
      <c r="AJ9" s="272"/>
      <c r="AK9" s="272"/>
      <c r="AL9" s="272"/>
      <c r="AM9" s="272"/>
      <c r="AN9" s="272"/>
      <c r="AO9" s="272"/>
      <c r="AP9" s="272"/>
      <c r="AQ9" s="272"/>
      <c r="AR9" s="272"/>
      <c r="AS9" s="272"/>
      <c r="AT9" s="289"/>
      <c r="AU9" s="272"/>
      <c r="AV9" s="272"/>
      <c r="AW9" s="272">
        <f>COUNTIF(USA!AD146:AD146,"en término")</f>
        <v>1</v>
      </c>
      <c r="AX9" s="272"/>
      <c r="AY9" s="272"/>
      <c r="AZ9" s="272"/>
      <c r="BA9" s="272"/>
      <c r="BB9" s="272"/>
      <c r="BC9" s="272">
        <f>COUNTIF(USA!AD149:AD149,"en término")</f>
        <v>0</v>
      </c>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f>COUNTIF(USA!AD163,"en término")</f>
        <v>1</v>
      </c>
      <c r="EC9" s="272"/>
      <c r="ED9" s="272">
        <f>+COUNTIF(USA!AD164,"en término")</f>
        <v>0</v>
      </c>
      <c r="EE9" s="272"/>
      <c r="EF9" s="272"/>
      <c r="EG9" s="272"/>
      <c r="EH9" s="272"/>
      <c r="EI9" s="272"/>
      <c r="EJ9" s="272"/>
      <c r="EK9" s="272"/>
      <c r="EL9" s="272"/>
      <c r="EM9" s="272"/>
      <c r="EN9" s="272"/>
      <c r="EO9" s="272"/>
      <c r="EP9" s="272">
        <f>+COUNTIF(USA!AD177,"en término")</f>
        <v>0</v>
      </c>
      <c r="EQ9" s="272"/>
      <c r="ER9" s="272"/>
      <c r="ES9" s="272"/>
      <c r="ET9" s="272"/>
      <c r="EU9" s="272"/>
      <c r="EV9" s="272"/>
      <c r="EW9" s="272"/>
      <c r="EX9" s="272"/>
      <c r="EY9" s="272">
        <f>+COUNTIF(USA!AD187,"en término")</f>
        <v>0</v>
      </c>
      <c r="EZ9" s="272"/>
      <c r="FA9" s="272"/>
      <c r="FB9" s="272"/>
      <c r="FC9" s="272"/>
      <c r="FD9" s="272"/>
      <c r="FE9" s="272">
        <f>+COUNTIF(USA!AD188,"en término")</f>
        <v>1</v>
      </c>
      <c r="FF9" s="272"/>
      <c r="FG9" s="272"/>
      <c r="FH9" s="272"/>
      <c r="FI9" s="272"/>
      <c r="FJ9" s="272"/>
      <c r="FK9" s="272"/>
      <c r="FL9" s="272"/>
      <c r="FM9" s="272"/>
      <c r="FN9" s="272"/>
      <c r="FO9" s="272"/>
      <c r="FP9" s="272"/>
      <c r="FQ9" s="272"/>
      <c r="FR9" s="272"/>
      <c r="FS9" s="272"/>
      <c r="FT9" s="272"/>
      <c r="FU9" s="272"/>
      <c r="FV9" s="272"/>
      <c r="FW9" s="272"/>
      <c r="FX9" s="272">
        <f>+COUNTIF(USA!AD199,"en término")</f>
        <v>1</v>
      </c>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f>+COUNTIF(USA!AD209,"en término")</f>
        <v>1</v>
      </c>
      <c r="JB9" s="272"/>
      <c r="JC9" s="272"/>
      <c r="JD9" s="272"/>
      <c r="JE9" s="272"/>
      <c r="JF9" s="272"/>
      <c r="JI9" s="1097"/>
      <c r="JJ9" s="1097"/>
      <c r="JK9" s="1097"/>
      <c r="JL9" s="1097"/>
      <c r="JM9" s="1097"/>
      <c r="JN9" s="1097"/>
      <c r="JO9" s="1097"/>
      <c r="JP9" s="1097"/>
      <c r="JQ9" s="1097"/>
      <c r="JR9" s="1097"/>
      <c r="JS9" s="1097"/>
      <c r="JT9" s="1097"/>
      <c r="JU9" s="1097"/>
      <c r="JV9" s="1097"/>
      <c r="JW9" s="1097"/>
      <c r="JX9" s="1097"/>
      <c r="JY9" s="1097"/>
      <c r="JZ9" s="1097"/>
      <c r="KA9" s="1097"/>
      <c r="KB9" s="1097"/>
      <c r="KC9" s="1097"/>
      <c r="KD9" s="1097"/>
      <c r="KE9" s="1097"/>
      <c r="KF9" s="1097"/>
      <c r="KG9" s="1097"/>
      <c r="KH9" s="1097"/>
      <c r="KI9" s="1097"/>
      <c r="KJ9" s="1097"/>
      <c r="KK9" s="1097"/>
      <c r="KL9" s="1097"/>
      <c r="KM9" s="1097"/>
      <c r="KN9" s="1097"/>
      <c r="KO9" s="1097"/>
      <c r="KP9" s="1097"/>
      <c r="KQ9" s="1097"/>
      <c r="KR9" s="1097"/>
      <c r="KS9" s="1097"/>
      <c r="KT9" s="1097"/>
      <c r="KU9" s="1097"/>
      <c r="KV9" s="1097"/>
      <c r="KW9" s="1097"/>
      <c r="KX9" s="1097"/>
      <c r="KY9" s="1097"/>
      <c r="KZ9" s="1097"/>
      <c r="LA9" s="1097"/>
      <c r="LB9" s="1097"/>
      <c r="LC9" s="1097"/>
      <c r="LD9" s="1097"/>
      <c r="LE9" s="1097"/>
      <c r="LF9" s="1097"/>
      <c r="LG9" s="1097"/>
      <c r="LH9" s="1097"/>
      <c r="LI9" s="1097"/>
      <c r="LJ9" s="1097"/>
      <c r="LK9" s="1097"/>
      <c r="LL9" s="1097"/>
      <c r="LM9" s="1097"/>
      <c r="LN9" s="1097"/>
      <c r="LO9" s="1097"/>
      <c r="LP9" s="1097"/>
      <c r="LQ9" s="1097"/>
      <c r="LR9" s="1097">
        <v>1</v>
      </c>
      <c r="LS9" s="1097"/>
      <c r="LT9" s="1097"/>
      <c r="LU9" s="1097"/>
    </row>
    <row r="10" spans="2:333" ht="17.25" thickBot="1" x14ac:dyDescent="0.35">
      <c r="B10" s="1005"/>
      <c r="C10" s="270" t="s">
        <v>6158</v>
      </c>
      <c r="D10" s="274"/>
      <c r="E10" s="274"/>
      <c r="F10" s="274"/>
      <c r="G10" s="274"/>
      <c r="H10" s="274"/>
      <c r="I10" s="274">
        <f>+I9/I8</f>
        <v>1</v>
      </c>
      <c r="J10" s="291"/>
      <c r="K10" s="274"/>
      <c r="L10" s="274"/>
      <c r="M10" s="274"/>
      <c r="N10" s="274">
        <f>+N9/N8</f>
        <v>1</v>
      </c>
      <c r="O10" s="274"/>
      <c r="P10" s="274"/>
      <c r="Q10" s="274"/>
      <c r="R10" s="274">
        <f>+R9/R8</f>
        <v>1</v>
      </c>
      <c r="S10" s="274"/>
      <c r="T10" s="274"/>
      <c r="U10" s="274"/>
      <c r="V10" s="291"/>
      <c r="W10" s="274"/>
      <c r="X10" s="274"/>
      <c r="Y10" s="274"/>
      <c r="Z10" s="274"/>
      <c r="AA10" s="275">
        <f>+AA9/AA8</f>
        <v>0</v>
      </c>
      <c r="AB10" s="274"/>
      <c r="AC10" s="274"/>
      <c r="AD10" s="274"/>
      <c r="AE10" s="275">
        <f>+AE9/AE8</f>
        <v>1</v>
      </c>
      <c r="AF10" s="274"/>
      <c r="AG10" s="275">
        <f>+AG9/AG8</f>
        <v>0</v>
      </c>
      <c r="AH10" s="291"/>
      <c r="AI10" s="275"/>
      <c r="AJ10" s="275"/>
      <c r="AK10" s="275"/>
      <c r="AL10" s="275"/>
      <c r="AM10" s="275"/>
      <c r="AN10" s="275"/>
      <c r="AO10" s="275"/>
      <c r="AP10" s="275"/>
      <c r="AQ10" s="275"/>
      <c r="AR10" s="275"/>
      <c r="AS10" s="275"/>
      <c r="AT10" s="290"/>
      <c r="AU10" s="275"/>
      <c r="AV10" s="275"/>
      <c r="AW10" s="275">
        <f>+AW9/AW8</f>
        <v>1</v>
      </c>
      <c r="AX10" s="275"/>
      <c r="AY10" s="275"/>
      <c r="AZ10" s="275"/>
      <c r="BA10" s="275"/>
      <c r="BB10" s="275"/>
      <c r="BC10" s="275">
        <f>+BC9/BC8</f>
        <v>0</v>
      </c>
      <c r="BD10" s="275"/>
      <c r="BE10" s="275"/>
      <c r="BF10" s="275"/>
      <c r="BG10" s="275"/>
      <c r="BH10" s="275"/>
      <c r="BI10" s="275"/>
      <c r="BJ10" s="275"/>
      <c r="BK10" s="275"/>
      <c r="BL10" s="275"/>
      <c r="BM10" s="275"/>
      <c r="BN10" s="275"/>
      <c r="BO10" s="275"/>
      <c r="BP10" s="275"/>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c r="DB10" s="275"/>
      <c r="DC10" s="275"/>
      <c r="DD10" s="275"/>
      <c r="DE10" s="275"/>
      <c r="DF10" s="275"/>
      <c r="DG10" s="275"/>
      <c r="DH10" s="275"/>
      <c r="DI10" s="275"/>
      <c r="DJ10" s="275"/>
      <c r="DK10" s="275"/>
      <c r="DL10" s="275"/>
      <c r="DM10" s="275"/>
      <c r="DN10" s="275"/>
      <c r="DO10" s="275"/>
      <c r="DP10" s="275"/>
      <c r="DQ10" s="275"/>
      <c r="DR10" s="275"/>
      <c r="DS10" s="275"/>
      <c r="DT10" s="275"/>
      <c r="DU10" s="275"/>
      <c r="DV10" s="275"/>
      <c r="DW10" s="275"/>
      <c r="DX10" s="275"/>
      <c r="DY10" s="275"/>
      <c r="DZ10" s="275"/>
      <c r="EA10" s="275"/>
      <c r="EB10" s="275">
        <f>+EB9/EB8</f>
        <v>1</v>
      </c>
      <c r="EC10" s="275"/>
      <c r="ED10" s="275">
        <f>+ED9/ED8</f>
        <v>0</v>
      </c>
      <c r="EE10" s="275"/>
      <c r="EF10" s="275"/>
      <c r="EG10" s="275"/>
      <c r="EH10" s="275"/>
      <c r="EI10" s="275"/>
      <c r="EJ10" s="275"/>
      <c r="EK10" s="275"/>
      <c r="EL10" s="275"/>
      <c r="EM10" s="275"/>
      <c r="EN10" s="275"/>
      <c r="EO10" s="275"/>
      <c r="EP10" s="275">
        <f>+EP9/EP8</f>
        <v>0</v>
      </c>
      <c r="EQ10" s="275"/>
      <c r="ER10" s="275"/>
      <c r="ES10" s="275"/>
      <c r="ET10" s="275"/>
      <c r="EU10" s="275"/>
      <c r="EV10" s="275"/>
      <c r="EW10" s="275"/>
      <c r="EX10" s="275"/>
      <c r="EY10" s="275">
        <f>+EY9/EY8</f>
        <v>0</v>
      </c>
      <c r="EZ10" s="275"/>
      <c r="FA10" s="275"/>
      <c r="FB10" s="275"/>
      <c r="FC10" s="275"/>
      <c r="FD10" s="275"/>
      <c r="FE10" s="275">
        <f>+FE9/FE8</f>
        <v>1</v>
      </c>
      <c r="FF10" s="275"/>
      <c r="FG10" s="275"/>
      <c r="FH10" s="275"/>
      <c r="FI10" s="275"/>
      <c r="FJ10" s="275"/>
      <c r="FK10" s="275"/>
      <c r="FL10" s="275"/>
      <c r="FM10" s="275"/>
      <c r="FN10" s="275"/>
      <c r="FO10" s="275"/>
      <c r="FP10" s="275"/>
      <c r="FQ10" s="275"/>
      <c r="FR10" s="275"/>
      <c r="FS10" s="275"/>
      <c r="FT10" s="275"/>
      <c r="FU10" s="275"/>
      <c r="FV10" s="275"/>
      <c r="FW10" s="275"/>
      <c r="FX10" s="275">
        <f>+FX9/FX8</f>
        <v>1</v>
      </c>
      <c r="FY10" s="275"/>
      <c r="FZ10" s="275"/>
      <c r="GA10" s="275"/>
      <c r="GB10" s="275"/>
      <c r="GC10" s="275"/>
      <c r="GD10" s="275"/>
      <c r="GE10" s="275"/>
      <c r="GF10" s="275"/>
      <c r="GG10" s="275"/>
      <c r="GH10" s="275"/>
      <c r="GI10" s="275"/>
      <c r="GJ10" s="275"/>
      <c r="GK10" s="275"/>
      <c r="GL10" s="275"/>
      <c r="GM10" s="275"/>
      <c r="GN10" s="275"/>
      <c r="GO10" s="275"/>
      <c r="GP10" s="275"/>
      <c r="GQ10" s="275"/>
      <c r="GR10" s="275"/>
      <c r="GS10" s="275"/>
      <c r="GT10" s="275"/>
      <c r="GU10" s="275"/>
      <c r="GV10" s="275"/>
      <c r="GW10" s="275"/>
      <c r="GX10" s="275"/>
      <c r="GY10" s="275"/>
      <c r="GZ10" s="275"/>
      <c r="HA10" s="275"/>
      <c r="HB10" s="275"/>
      <c r="HC10" s="275"/>
      <c r="HD10" s="275"/>
      <c r="HE10" s="275"/>
      <c r="HF10" s="275"/>
      <c r="HG10" s="275"/>
      <c r="HH10" s="275"/>
      <c r="HI10" s="275"/>
      <c r="HJ10" s="275"/>
      <c r="HK10" s="275"/>
      <c r="HL10" s="275"/>
      <c r="HM10" s="275"/>
      <c r="HN10" s="275"/>
      <c r="HO10" s="275"/>
      <c r="HP10" s="275"/>
      <c r="HQ10" s="275"/>
      <c r="HR10" s="275"/>
      <c r="HS10" s="275"/>
      <c r="HT10" s="275"/>
      <c r="HU10" s="275"/>
      <c r="HV10" s="275"/>
      <c r="HW10" s="275"/>
      <c r="HX10" s="275"/>
      <c r="HY10" s="275"/>
      <c r="HZ10" s="275"/>
      <c r="IA10" s="275"/>
      <c r="IB10" s="275"/>
      <c r="IC10" s="275"/>
      <c r="ID10" s="275"/>
      <c r="IE10" s="275"/>
      <c r="IF10" s="275"/>
      <c r="IG10" s="275"/>
      <c r="IH10" s="275"/>
      <c r="II10" s="275"/>
      <c r="IJ10" s="275"/>
      <c r="IK10" s="275"/>
      <c r="IL10" s="275"/>
      <c r="IM10" s="275"/>
      <c r="IN10" s="275"/>
      <c r="IO10" s="275"/>
      <c r="IP10" s="275"/>
      <c r="IQ10" s="275"/>
      <c r="IR10" s="275"/>
      <c r="IS10" s="275"/>
      <c r="IT10" s="275"/>
      <c r="IU10" s="275"/>
      <c r="IV10" s="275"/>
      <c r="IW10" s="275"/>
      <c r="IX10" s="275"/>
      <c r="IY10" s="275"/>
      <c r="IZ10" s="275"/>
      <c r="JA10" s="275">
        <f t="shared" ref="JA10" si="42">+JA9/JA8</f>
        <v>1</v>
      </c>
      <c r="JB10" s="275"/>
      <c r="JC10" s="275"/>
      <c r="JD10" s="275"/>
      <c r="JE10" s="275"/>
      <c r="JF10" s="275"/>
      <c r="JI10" s="1098"/>
      <c r="JJ10" s="1098"/>
      <c r="JK10" s="1098"/>
      <c r="JL10" s="1098"/>
      <c r="JM10" s="1098"/>
      <c r="JN10" s="1098"/>
      <c r="JO10" s="1098"/>
      <c r="JP10" s="1098"/>
      <c r="JQ10" s="1098"/>
      <c r="JR10" s="1098"/>
      <c r="JS10" s="1098"/>
      <c r="JT10" s="1098"/>
      <c r="JU10" s="1098"/>
      <c r="JV10" s="1098"/>
      <c r="JW10" s="1098"/>
      <c r="JX10" s="1098"/>
      <c r="JY10" s="1098"/>
      <c r="JZ10" s="1098"/>
      <c r="KA10" s="1098"/>
      <c r="KB10" s="1098"/>
      <c r="KC10" s="1098"/>
      <c r="KD10" s="1098"/>
      <c r="KE10" s="1098"/>
      <c r="KF10" s="1098"/>
      <c r="KG10" s="1098"/>
      <c r="KH10" s="1098"/>
      <c r="KI10" s="1098"/>
      <c r="KJ10" s="1098"/>
      <c r="KK10" s="1098"/>
      <c r="KL10" s="1098"/>
      <c r="KM10" s="1098"/>
      <c r="KN10" s="1098"/>
      <c r="KO10" s="1098"/>
      <c r="KP10" s="1098"/>
      <c r="KQ10" s="1098"/>
      <c r="KR10" s="1098"/>
      <c r="KS10" s="1098"/>
      <c r="KT10" s="1098"/>
      <c r="KU10" s="1098"/>
      <c r="KV10" s="1098"/>
      <c r="KW10" s="1098"/>
      <c r="KX10" s="1098"/>
      <c r="KY10" s="1098"/>
      <c r="KZ10" s="1098"/>
      <c r="LA10" s="1098"/>
      <c r="LB10" s="1098"/>
      <c r="LC10" s="1098"/>
      <c r="LD10" s="1098"/>
      <c r="LE10" s="1098"/>
      <c r="LF10" s="1098"/>
      <c r="LG10" s="1098"/>
      <c r="LH10" s="1098"/>
      <c r="LI10" s="1098"/>
      <c r="LJ10" s="1098"/>
      <c r="LK10" s="1098"/>
      <c r="LL10" s="1098"/>
      <c r="LM10" s="1098"/>
      <c r="LN10" s="1098"/>
      <c r="LO10" s="1098"/>
      <c r="LP10" s="1098"/>
      <c r="LQ10" s="1098"/>
      <c r="LR10" s="1098"/>
      <c r="LS10" s="1098"/>
      <c r="LT10" s="1098"/>
      <c r="LU10" s="1098"/>
    </row>
    <row r="11" spans="2:333" ht="16.5" x14ac:dyDescent="0.3">
      <c r="B11" s="1004" t="s">
        <v>123</v>
      </c>
      <c r="C11" s="269" t="s">
        <v>6156</v>
      </c>
      <c r="D11" s="271">
        <v>0</v>
      </c>
      <c r="E11" s="271">
        <v>0</v>
      </c>
      <c r="F11" s="271">
        <v>0</v>
      </c>
      <c r="G11" s="271">
        <f>COUNTA('T&amp;T'!AD25)</f>
        <v>1</v>
      </c>
      <c r="H11" s="271">
        <v>0</v>
      </c>
      <c r="I11" s="271">
        <f>COUNTA('T&amp;T'!AD38)</f>
        <v>1</v>
      </c>
      <c r="J11" s="288"/>
      <c r="K11" s="271">
        <f>COUNTA('T&amp;T'!AD41:AD44)</f>
        <v>2</v>
      </c>
      <c r="L11" s="271">
        <f>COUNTA('T&amp;T'!AD47)</f>
        <v>1</v>
      </c>
      <c r="M11" s="271">
        <f>COUNTA('T&amp;T'!AD50:AD53)</f>
        <v>2</v>
      </c>
      <c r="N11" s="271">
        <f>COUNTA('T&amp;T'!AD56:AD56)</f>
        <v>1</v>
      </c>
      <c r="O11" s="271">
        <v>0</v>
      </c>
      <c r="P11" s="271">
        <v>0</v>
      </c>
      <c r="Q11" s="271">
        <v>0</v>
      </c>
      <c r="R11" s="271">
        <v>0</v>
      </c>
      <c r="S11" s="271">
        <f>COUNTA('T&amp;T'!AD59:AD62)</f>
        <v>2</v>
      </c>
      <c r="T11" s="271">
        <v>0</v>
      </c>
      <c r="U11" s="271">
        <f>COUNTA('T&amp;T'!AD73)</f>
        <v>1</v>
      </c>
      <c r="V11" s="288"/>
      <c r="W11" s="271">
        <v>0</v>
      </c>
      <c r="X11" s="271">
        <f>COUNTA('T&amp;T'!AD76)</f>
        <v>1</v>
      </c>
      <c r="Y11" s="271">
        <v>0</v>
      </c>
      <c r="Z11" s="271">
        <f>COUNTA('T&amp;T'!AD79)</f>
        <v>1</v>
      </c>
      <c r="AA11" s="271">
        <f>COUNTA('T&amp;T'!AD82:AD85)</f>
        <v>2</v>
      </c>
      <c r="AB11" s="271">
        <f>COUNTA('T&amp;T'!AD88)</f>
        <v>1</v>
      </c>
      <c r="AC11" s="271">
        <f>COUNTA('T&amp;T'!AD91)</f>
        <v>1</v>
      </c>
      <c r="AD11" s="271">
        <f>COUNTA('T&amp;T'!AD94)</f>
        <v>1</v>
      </c>
      <c r="AE11" s="271">
        <v>0</v>
      </c>
      <c r="AF11" s="271">
        <f>COUNTA('T&amp;T'!AD97:AD106)</f>
        <v>4</v>
      </c>
      <c r="AG11" s="271">
        <f>COUNTA('T&amp;T'!AD109:AD112)</f>
        <v>2</v>
      </c>
      <c r="AH11" s="288"/>
      <c r="AI11" s="271">
        <v>0</v>
      </c>
      <c r="AJ11" s="271">
        <f>COUNTA('T&amp;T'!AD124:AD127)</f>
        <v>2</v>
      </c>
      <c r="AK11" s="271">
        <f>COUNTA('T&amp;T'!AD130:AD133)</f>
        <v>2</v>
      </c>
      <c r="AL11" s="271">
        <v>0</v>
      </c>
      <c r="AM11" s="271">
        <f>COUNTA('T&amp;T'!AD136:AD139)</f>
        <v>2</v>
      </c>
      <c r="AN11" s="271">
        <f>COUNTA('T&amp;T'!AD142:AD142)</f>
        <v>1</v>
      </c>
      <c r="AO11" s="271">
        <f>COUNTA('T&amp;T'!AD145:AD148)</f>
        <v>2</v>
      </c>
      <c r="AP11" s="271">
        <f>COUNTA('T&amp;T'!AD151)</f>
        <v>1</v>
      </c>
      <c r="AQ11" s="271">
        <v>0</v>
      </c>
      <c r="AR11" s="271">
        <v>0</v>
      </c>
      <c r="AS11" s="271">
        <f>COUNTA('T&amp;T'!AD164)</f>
        <v>1</v>
      </c>
      <c r="AT11" s="288"/>
      <c r="AU11" s="271">
        <v>0</v>
      </c>
      <c r="AV11" s="6">
        <v>0</v>
      </c>
      <c r="AW11" s="271">
        <f>COUNTA('T&amp;T'!AD167:AD170)</f>
        <v>2</v>
      </c>
      <c r="AX11" s="271">
        <v>0</v>
      </c>
      <c r="AY11" s="271">
        <f>COUNTA('T&amp;T'!AD173)</f>
        <v>1</v>
      </c>
      <c r="AZ11" s="271">
        <v>0</v>
      </c>
      <c r="BA11" s="271">
        <v>0</v>
      </c>
      <c r="BB11" s="271">
        <v>0</v>
      </c>
      <c r="BC11" s="271">
        <v>0</v>
      </c>
      <c r="BD11" s="271">
        <v>0</v>
      </c>
      <c r="BE11" s="271">
        <f>COUNTA('T&amp;T'!AD185)</f>
        <v>1</v>
      </c>
      <c r="BF11" s="271">
        <v>0</v>
      </c>
      <c r="BG11" s="271">
        <f>COUNTA('T&amp;T'!AD186)</f>
        <v>1</v>
      </c>
      <c r="BH11" s="271">
        <f>COUNTA('T&amp;T'!AD187)</f>
        <v>1</v>
      </c>
      <c r="BI11" s="271">
        <v>0</v>
      </c>
      <c r="BJ11" s="271">
        <v>0</v>
      </c>
      <c r="BK11" s="271">
        <v>0</v>
      </c>
      <c r="BL11" s="271">
        <v>0</v>
      </c>
      <c r="BM11" s="271">
        <v>0</v>
      </c>
      <c r="BN11" s="271">
        <v>0</v>
      </c>
      <c r="BO11" s="271">
        <f>COUNTA('T&amp;T'!AD188)</f>
        <v>1</v>
      </c>
      <c r="BP11" s="271">
        <f>COUNTA('T&amp;T'!AD189)</f>
        <v>1</v>
      </c>
      <c r="BQ11" s="271">
        <f>COUNTA('T&amp;T'!AD200)</f>
        <v>1</v>
      </c>
      <c r="BR11" s="271">
        <f>COUNTA('T&amp;T'!AD201:AD202)</f>
        <v>2</v>
      </c>
      <c r="BS11" s="271">
        <v>0</v>
      </c>
      <c r="BT11" s="271">
        <v>0</v>
      </c>
      <c r="BU11" s="271">
        <v>0</v>
      </c>
      <c r="BV11" s="271">
        <v>0</v>
      </c>
      <c r="BW11" s="271">
        <v>0</v>
      </c>
      <c r="BX11" s="271">
        <v>0</v>
      </c>
      <c r="BY11" s="271">
        <v>0</v>
      </c>
      <c r="BZ11" s="271">
        <v>0</v>
      </c>
      <c r="CA11" s="271">
        <f>COUNTA('T&amp;T'!AD203)</f>
        <v>1</v>
      </c>
      <c r="CB11" s="271">
        <v>0</v>
      </c>
      <c r="CC11" s="271">
        <v>0</v>
      </c>
      <c r="CD11" s="271">
        <v>0</v>
      </c>
      <c r="CE11" s="271">
        <v>0</v>
      </c>
      <c r="CF11" s="271">
        <v>0</v>
      </c>
      <c r="CG11" s="271">
        <v>0</v>
      </c>
      <c r="CH11" s="271">
        <v>0</v>
      </c>
      <c r="CI11" s="271">
        <f>COUNTA('T&amp;T'!AD213)</f>
        <v>1</v>
      </c>
      <c r="CJ11" s="271">
        <v>0</v>
      </c>
      <c r="CK11" s="271">
        <f>COUNTA('T&amp;T'!AD214:AD215)</f>
        <v>2</v>
      </c>
      <c r="CL11" s="271">
        <f>COUNTA('T&amp;T'!AD216)</f>
        <v>1</v>
      </c>
      <c r="CM11" s="271">
        <f>COUNTA('T&amp;T'!AD217)+COUNTA('T&amp;T'!AD218)</f>
        <v>2</v>
      </c>
      <c r="CN11" s="271">
        <v>0</v>
      </c>
      <c r="CO11" s="271">
        <v>0</v>
      </c>
      <c r="CP11" s="271">
        <v>0</v>
      </c>
      <c r="CQ11" s="271">
        <v>0</v>
      </c>
      <c r="CR11" s="271">
        <v>0</v>
      </c>
      <c r="CS11" s="271">
        <f>COUNTA('T&amp;T'!AD230)</f>
        <v>1</v>
      </c>
      <c r="CT11" s="271">
        <v>0</v>
      </c>
      <c r="CU11" s="271">
        <v>0</v>
      </c>
      <c r="CV11" s="271">
        <f>COUNTA('T&amp;T'!AD231)</f>
        <v>1</v>
      </c>
      <c r="CW11" s="271">
        <v>0</v>
      </c>
      <c r="CX11" s="271">
        <v>0</v>
      </c>
      <c r="CY11" s="271">
        <f>COUNTA('T&amp;T'!AD232:AD233)</f>
        <v>2</v>
      </c>
      <c r="CZ11" s="271">
        <v>0</v>
      </c>
      <c r="DA11" s="271">
        <v>0</v>
      </c>
      <c r="DB11" s="271">
        <v>0</v>
      </c>
      <c r="DC11" s="271">
        <f>+COUNTA('T&amp;T'!AD244)</f>
        <v>1</v>
      </c>
      <c r="DD11" s="271">
        <v>0</v>
      </c>
      <c r="DE11" s="271">
        <v>0</v>
      </c>
      <c r="DF11" s="271">
        <v>0</v>
      </c>
      <c r="DG11" s="271">
        <f>COUNTA('T&amp;T'!AD245)</f>
        <v>1</v>
      </c>
      <c r="DH11" s="271">
        <f>COUNTA('T&amp;T'!AD246)</f>
        <v>1</v>
      </c>
      <c r="DI11" s="271">
        <f>COUNTA('T&amp;T'!AD247)</f>
        <v>1</v>
      </c>
      <c r="DJ11" s="271">
        <f>+COUNTA('T&amp;T'!AD248:AD249)</f>
        <v>2</v>
      </c>
      <c r="DK11" s="271">
        <v>0</v>
      </c>
      <c r="DL11" s="271">
        <v>0</v>
      </c>
      <c r="DM11" s="271">
        <f>+COUNTA('T&amp;T'!AD264)</f>
        <v>1</v>
      </c>
      <c r="DN11" s="271">
        <v>0</v>
      </c>
      <c r="DO11" s="271">
        <f>+COUNTA('T&amp;T'!AD265)</f>
        <v>1</v>
      </c>
      <c r="DP11" s="271">
        <v>0</v>
      </c>
      <c r="DQ11" s="271">
        <v>0</v>
      </c>
      <c r="DR11" s="271">
        <v>0</v>
      </c>
      <c r="DS11" s="271">
        <v>0</v>
      </c>
      <c r="DT11" s="271">
        <v>0</v>
      </c>
      <c r="DU11" s="271">
        <f>+COUNTA('T&amp;T'!AD266:AD267)</f>
        <v>2</v>
      </c>
      <c r="DV11" s="271">
        <v>0</v>
      </c>
      <c r="DW11" s="271">
        <v>0</v>
      </c>
      <c r="DX11" s="271">
        <v>0</v>
      </c>
      <c r="DY11" s="271">
        <f>+COUNTA('T&amp;T'!AD279)</f>
        <v>1</v>
      </c>
      <c r="DZ11" s="271">
        <v>0</v>
      </c>
      <c r="EA11" s="271">
        <v>0</v>
      </c>
      <c r="EB11" s="271">
        <f>+COUNTA('T&amp;T'!AD280)</f>
        <v>1</v>
      </c>
      <c r="EC11" s="271">
        <v>0</v>
      </c>
      <c r="ED11" s="271">
        <v>0</v>
      </c>
      <c r="EE11" s="271">
        <v>0</v>
      </c>
      <c r="EF11" s="271">
        <v>0</v>
      </c>
      <c r="EG11" s="271">
        <v>0</v>
      </c>
      <c r="EH11" s="271">
        <v>0</v>
      </c>
      <c r="EI11" s="271">
        <v>0</v>
      </c>
      <c r="EJ11" s="271">
        <v>0</v>
      </c>
      <c r="EK11" s="271">
        <v>0</v>
      </c>
      <c r="EL11" s="271">
        <v>0</v>
      </c>
      <c r="EM11" s="271">
        <v>0</v>
      </c>
      <c r="EN11" s="271">
        <v>0</v>
      </c>
      <c r="EO11" s="271">
        <v>0</v>
      </c>
      <c r="EP11" s="271">
        <v>0</v>
      </c>
      <c r="EQ11" s="271">
        <f>+COUNTA('T&amp;T'!AD290)</f>
        <v>1</v>
      </c>
      <c r="ER11" s="271">
        <v>0</v>
      </c>
      <c r="ES11" s="271">
        <v>0</v>
      </c>
      <c r="ET11" s="271">
        <v>0</v>
      </c>
      <c r="EU11" s="271">
        <v>0</v>
      </c>
      <c r="EV11" s="271">
        <v>0</v>
      </c>
      <c r="EW11" s="271">
        <v>0</v>
      </c>
      <c r="EX11" s="271">
        <v>0</v>
      </c>
      <c r="EY11" s="271">
        <v>0</v>
      </c>
      <c r="EZ11" s="271">
        <v>0</v>
      </c>
      <c r="FA11" s="271">
        <v>0</v>
      </c>
      <c r="FB11" s="271">
        <v>0</v>
      </c>
      <c r="FC11" s="271">
        <f>+COUNTA('T&amp;T'!AD301)</f>
        <v>1</v>
      </c>
      <c r="FD11" s="271">
        <v>0</v>
      </c>
      <c r="FE11" s="271">
        <v>0</v>
      </c>
      <c r="FF11" s="271">
        <v>0</v>
      </c>
      <c r="FG11" s="271">
        <v>0</v>
      </c>
      <c r="FH11" s="271">
        <v>0</v>
      </c>
      <c r="FI11" s="271">
        <v>0</v>
      </c>
      <c r="FJ11" s="271">
        <v>0</v>
      </c>
      <c r="FK11" s="271">
        <f>+COUNTA('T&amp;T'!AD313:AD314)</f>
        <v>2</v>
      </c>
      <c r="FL11" s="271">
        <v>0</v>
      </c>
      <c r="FM11" s="271">
        <v>0</v>
      </c>
      <c r="FN11" s="271">
        <v>0</v>
      </c>
      <c r="FO11" s="271">
        <v>0</v>
      </c>
      <c r="FP11" s="271">
        <v>0</v>
      </c>
      <c r="FQ11" s="271">
        <v>0</v>
      </c>
      <c r="FR11" s="271">
        <v>0</v>
      </c>
      <c r="FS11" s="271">
        <v>0</v>
      </c>
      <c r="FT11" s="271">
        <v>0</v>
      </c>
      <c r="FU11" s="271">
        <v>0</v>
      </c>
      <c r="FV11" s="271">
        <v>0</v>
      </c>
      <c r="FW11" s="271">
        <v>0</v>
      </c>
      <c r="FX11" s="271">
        <v>0</v>
      </c>
      <c r="FY11" s="271">
        <f>+COUNTA('T&amp;T'!AD326)</f>
        <v>1</v>
      </c>
      <c r="FZ11" s="271">
        <f>+COUNTA('T&amp;T'!AD327)</f>
        <v>1</v>
      </c>
      <c r="GA11" s="271">
        <v>0</v>
      </c>
      <c r="GB11" s="271">
        <v>0</v>
      </c>
      <c r="GC11" s="271">
        <v>0</v>
      </c>
      <c r="GD11" s="271">
        <v>0</v>
      </c>
      <c r="GE11" s="271">
        <v>0</v>
      </c>
      <c r="GF11" s="271">
        <v>0</v>
      </c>
      <c r="GG11" s="271">
        <v>0</v>
      </c>
      <c r="GH11" s="271">
        <v>0</v>
      </c>
      <c r="GI11" s="271">
        <f>+COUNTA('T&amp;T'!AD335)</f>
        <v>1</v>
      </c>
      <c r="GJ11" s="271">
        <f>+COUNTA('T&amp;T'!AD336:AD337)</f>
        <v>2</v>
      </c>
      <c r="GK11" s="271">
        <v>0</v>
      </c>
      <c r="GL11" s="271">
        <v>0</v>
      </c>
      <c r="GM11" s="271">
        <v>0</v>
      </c>
      <c r="GN11" s="271">
        <v>0</v>
      </c>
      <c r="GO11" s="271">
        <v>0</v>
      </c>
      <c r="GP11" s="271">
        <v>0</v>
      </c>
      <c r="GQ11" s="271">
        <v>0</v>
      </c>
      <c r="GR11" s="271">
        <v>0</v>
      </c>
      <c r="GS11" s="271">
        <v>0</v>
      </c>
      <c r="GT11" s="271">
        <v>0</v>
      </c>
      <c r="GU11" s="271">
        <v>0</v>
      </c>
      <c r="GV11" s="271">
        <v>0</v>
      </c>
      <c r="GW11" s="271">
        <v>0</v>
      </c>
      <c r="GX11" s="271">
        <f>+COUNTA('T&amp;T'!AD343)</f>
        <v>1</v>
      </c>
      <c r="GY11" s="271">
        <v>0</v>
      </c>
      <c r="GZ11" s="271">
        <v>0</v>
      </c>
      <c r="HA11" s="271">
        <v>0</v>
      </c>
      <c r="HB11" s="271">
        <v>0</v>
      </c>
      <c r="HC11" s="271">
        <v>0</v>
      </c>
      <c r="HD11" s="271">
        <v>0</v>
      </c>
      <c r="HE11" s="271">
        <v>0</v>
      </c>
      <c r="HF11" s="271">
        <v>0</v>
      </c>
      <c r="HG11" s="271">
        <v>0</v>
      </c>
      <c r="HH11" s="271">
        <v>0</v>
      </c>
      <c r="HI11" s="271">
        <v>0</v>
      </c>
      <c r="HJ11" s="271">
        <v>0</v>
      </c>
      <c r="HK11" s="271">
        <v>0</v>
      </c>
      <c r="HL11" s="271">
        <v>0</v>
      </c>
      <c r="HM11" s="271">
        <v>0</v>
      </c>
      <c r="HN11" s="271">
        <v>0</v>
      </c>
      <c r="HO11" s="271">
        <v>0</v>
      </c>
      <c r="HP11" s="271">
        <v>0</v>
      </c>
      <c r="HQ11" s="271">
        <v>0</v>
      </c>
      <c r="HR11" s="271">
        <v>0</v>
      </c>
      <c r="HS11" s="271">
        <v>0</v>
      </c>
      <c r="HT11" s="271">
        <v>0</v>
      </c>
      <c r="HU11" s="271">
        <v>0</v>
      </c>
      <c r="HV11" s="271">
        <v>0</v>
      </c>
      <c r="HW11" s="271">
        <v>0</v>
      </c>
      <c r="HX11" s="271">
        <v>0</v>
      </c>
      <c r="HY11" s="271">
        <v>0</v>
      </c>
      <c r="HZ11" s="271">
        <v>0</v>
      </c>
      <c r="IA11" s="271">
        <v>0</v>
      </c>
      <c r="IB11" s="271">
        <v>0</v>
      </c>
      <c r="IC11" s="271">
        <v>0</v>
      </c>
      <c r="ID11" s="271">
        <v>0</v>
      </c>
      <c r="IE11" s="271">
        <v>0</v>
      </c>
      <c r="IF11" s="271">
        <v>0</v>
      </c>
      <c r="IG11" s="271">
        <v>0</v>
      </c>
      <c r="IH11" s="271">
        <v>0</v>
      </c>
      <c r="II11" s="271">
        <v>0</v>
      </c>
      <c r="IJ11" s="271">
        <f>+COUNTA('T&amp;T'!AD351:AD352)</f>
        <v>2</v>
      </c>
      <c r="IK11" s="271">
        <v>0</v>
      </c>
      <c r="IL11" s="271">
        <v>0</v>
      </c>
      <c r="IM11" s="271">
        <v>0</v>
      </c>
      <c r="IN11" s="271">
        <v>0</v>
      </c>
      <c r="IO11" s="271">
        <v>0</v>
      </c>
      <c r="IP11" s="271">
        <v>0</v>
      </c>
      <c r="IQ11" s="271">
        <v>0</v>
      </c>
      <c r="IR11" s="271">
        <v>0</v>
      </c>
      <c r="IS11" s="271">
        <v>0</v>
      </c>
      <c r="IT11" s="271">
        <v>0</v>
      </c>
      <c r="IU11" s="271">
        <v>0</v>
      </c>
      <c r="IV11" s="271">
        <v>0</v>
      </c>
      <c r="IW11" s="271">
        <v>0</v>
      </c>
      <c r="IX11" s="271">
        <v>0</v>
      </c>
      <c r="IY11" s="271">
        <v>0</v>
      </c>
      <c r="IZ11" s="271">
        <v>0</v>
      </c>
      <c r="JA11" s="271">
        <v>0</v>
      </c>
      <c r="JB11" s="271">
        <v>0</v>
      </c>
      <c r="JC11" s="271">
        <v>0</v>
      </c>
      <c r="JD11" s="271">
        <v>0</v>
      </c>
      <c r="JE11" s="271">
        <v>0</v>
      </c>
      <c r="JF11" s="361">
        <f>SUM(D11:JE11)</f>
        <v>81</v>
      </c>
      <c r="JI11" s="1097">
        <v>0</v>
      </c>
      <c r="JJ11" s="1097">
        <v>0</v>
      </c>
      <c r="JK11" s="1097">
        <v>0</v>
      </c>
      <c r="JL11" s="1097">
        <f>+COUNTA('T&amp;T'!AH343)</f>
        <v>1</v>
      </c>
      <c r="JM11" s="1097">
        <v>0</v>
      </c>
      <c r="JN11" s="1097">
        <v>0</v>
      </c>
      <c r="JO11" s="1097">
        <v>0</v>
      </c>
      <c r="JP11" s="1097">
        <v>0</v>
      </c>
      <c r="JQ11" s="1097">
        <v>0</v>
      </c>
      <c r="JR11" s="1097">
        <v>0</v>
      </c>
      <c r="JS11" s="1097">
        <v>0</v>
      </c>
      <c r="JT11" s="1097">
        <v>0</v>
      </c>
      <c r="JU11" s="1097">
        <v>0</v>
      </c>
      <c r="JV11" s="1097">
        <v>0</v>
      </c>
      <c r="JW11" s="1097">
        <v>0</v>
      </c>
      <c r="JX11" s="1097">
        <v>0</v>
      </c>
      <c r="JY11" s="1097">
        <v>0</v>
      </c>
      <c r="JZ11" s="1097">
        <v>0</v>
      </c>
      <c r="KA11" s="1097">
        <v>0</v>
      </c>
      <c r="KB11" s="1097">
        <v>0</v>
      </c>
      <c r="KC11" s="1097">
        <v>0</v>
      </c>
      <c r="KD11" s="1097">
        <v>0</v>
      </c>
      <c r="KE11" s="1097">
        <v>0</v>
      </c>
      <c r="KF11" s="1097">
        <v>0</v>
      </c>
      <c r="KG11" s="1097"/>
      <c r="KH11" s="1097"/>
      <c r="KI11" s="1097"/>
      <c r="KJ11" s="1097"/>
      <c r="KK11" s="1097"/>
      <c r="KL11" s="1097"/>
      <c r="KM11" s="1097"/>
      <c r="KN11" s="1097"/>
      <c r="KO11" s="1097"/>
      <c r="KP11" s="1097"/>
      <c r="KQ11" s="1097"/>
      <c r="KR11" s="1097"/>
      <c r="KS11" s="1097"/>
      <c r="KT11" s="1097"/>
      <c r="KU11" s="1097"/>
      <c r="KV11" s="1097"/>
      <c r="KW11" s="1097"/>
      <c r="KX11" s="1097"/>
      <c r="KY11" s="1097"/>
      <c r="KZ11" s="1097">
        <f>+COUNTA('T&amp;T'!AG351:AG352)</f>
        <v>2</v>
      </c>
      <c r="LA11" s="1097"/>
      <c r="LB11" s="1097"/>
      <c r="LC11" s="1097"/>
      <c r="LD11" s="1097"/>
      <c r="LE11" s="1097"/>
      <c r="LF11" s="1097"/>
      <c r="LG11" s="1097"/>
      <c r="LH11" s="1097"/>
      <c r="LI11" s="1097"/>
      <c r="LJ11" s="1097"/>
      <c r="LK11" s="1097"/>
      <c r="LL11" s="1097"/>
      <c r="LM11" s="1097"/>
      <c r="LN11" s="1097"/>
      <c r="LO11" s="1097"/>
      <c r="LP11" s="1097"/>
      <c r="LQ11" s="1097"/>
      <c r="LR11" s="1097"/>
      <c r="LS11" s="1097"/>
      <c r="LT11" s="1097"/>
      <c r="LU11" s="1097"/>
    </row>
    <row r="12" spans="2:333" ht="16.5" x14ac:dyDescent="0.3">
      <c r="B12" s="1003"/>
      <c r="C12" s="273" t="s">
        <v>6157</v>
      </c>
      <c r="D12" s="272"/>
      <c r="E12" s="272"/>
      <c r="F12" s="272"/>
      <c r="G12" s="272">
        <f>COUNTIF('T&amp;T'!AD25,"en término")</f>
        <v>1</v>
      </c>
      <c r="H12" s="272"/>
      <c r="I12" s="272">
        <f>COUNTIF('T&amp;T'!AD38,"en término")</f>
        <v>1</v>
      </c>
      <c r="J12" s="289"/>
      <c r="K12" s="272">
        <f>COUNTIF('T&amp;T'!AD41:AD44,"en término")</f>
        <v>2</v>
      </c>
      <c r="L12" s="272">
        <f>COUNTIF('T&amp;T'!AD47,"en término")</f>
        <v>1</v>
      </c>
      <c r="M12" s="272">
        <f>COUNTIF('T&amp;T'!AD50:AD53,"en término")</f>
        <v>1</v>
      </c>
      <c r="N12" s="272">
        <f>COUNTIF('T&amp;T'!AD56:AD56,"en término")</f>
        <v>1</v>
      </c>
      <c r="O12" s="272"/>
      <c r="P12" s="272"/>
      <c r="Q12" s="272"/>
      <c r="R12" s="272"/>
      <c r="S12" s="272">
        <f>COUNTIF('T&amp;T'!AD59:AD62,"en término")</f>
        <v>0</v>
      </c>
      <c r="T12" s="272"/>
      <c r="U12" s="272">
        <f>COUNTIF('T&amp;T'!AD73,"en término")</f>
        <v>1</v>
      </c>
      <c r="V12" s="289"/>
      <c r="W12" s="272"/>
      <c r="X12" s="272">
        <f>COUNTIF('T&amp;T'!AD76,"en término")</f>
        <v>1</v>
      </c>
      <c r="Y12" s="272"/>
      <c r="Z12" s="272">
        <f>COUNTIF('T&amp;T'!AD79,"en término")</f>
        <v>1</v>
      </c>
      <c r="AA12" s="272">
        <f>COUNTIF('T&amp;T'!AD82:AD85,"en término")</f>
        <v>2</v>
      </c>
      <c r="AB12" s="272">
        <f>COUNTIF('T&amp;T'!AD88,"en término")</f>
        <v>0</v>
      </c>
      <c r="AC12" s="272">
        <f>COUNTIF('T&amp;T'!AD49,"en término")</f>
        <v>0</v>
      </c>
      <c r="AD12" s="272">
        <f>COUNTIF('T&amp;T'!AD94,"en término")</f>
        <v>1</v>
      </c>
      <c r="AE12" s="272"/>
      <c r="AF12" s="272">
        <f>COUNTIF('T&amp;T'!AD97:AD106,"en término")</f>
        <v>0</v>
      </c>
      <c r="AG12" s="272">
        <f>COUNTIF('T&amp;T'!AD109:AD112,"en término")</f>
        <v>1</v>
      </c>
      <c r="AH12" s="289"/>
      <c r="AI12" s="272"/>
      <c r="AJ12" s="272">
        <f>COUNTIF('T&amp;T'!AD124:AD127,"en término")</f>
        <v>2</v>
      </c>
      <c r="AK12" s="272">
        <f>COUNTIF('T&amp;T'!AD130:AD133,"en término")</f>
        <v>2</v>
      </c>
      <c r="AL12" s="272"/>
      <c r="AM12" s="272">
        <f>COUNTIF('T&amp;T'!AD136:AD139,"en término")</f>
        <v>1</v>
      </c>
      <c r="AN12" s="272">
        <f>COUNTIF('T&amp;T'!AD142:AD142,"en término")</f>
        <v>1</v>
      </c>
      <c r="AO12" s="272">
        <f>COUNTIF('T&amp;T'!AD145:AD148,"en término")</f>
        <v>2</v>
      </c>
      <c r="AP12" s="272">
        <f>COUNTIF('T&amp;T'!AD151,"en término")</f>
        <v>0</v>
      </c>
      <c r="AQ12" s="272"/>
      <c r="AR12" s="272"/>
      <c r="AS12" s="272">
        <f>COUNTIF('T&amp;T'!AD164,"en término")</f>
        <v>1</v>
      </c>
      <c r="AT12" s="289"/>
      <c r="AU12" s="272"/>
      <c r="AW12" s="272">
        <f>COUNTIF('T&amp;T'!AD167:AD170,"en término")</f>
        <v>2</v>
      </c>
      <c r="AX12" s="272"/>
      <c r="AY12" s="272">
        <f>COUNTIF('T&amp;T'!AD173,"en término")</f>
        <v>1</v>
      </c>
      <c r="AZ12" s="272"/>
      <c r="BA12" s="272"/>
      <c r="BB12" s="272"/>
      <c r="BC12" s="272"/>
      <c r="BD12" s="272"/>
      <c r="BE12" s="272">
        <f>COUNTIF('T&amp;T'!AD185,"en término")</f>
        <v>1</v>
      </c>
      <c r="BF12" s="272"/>
      <c r="BG12" s="272">
        <f>COUNTIF('T&amp;T'!AD186,"en término")</f>
        <v>1</v>
      </c>
      <c r="BH12" s="272">
        <f>COUNTIF('T&amp;T'!AD187,"en término")</f>
        <v>1</v>
      </c>
      <c r="BI12" s="272"/>
      <c r="BJ12" s="272"/>
      <c r="BK12" s="272"/>
      <c r="BL12" s="272"/>
      <c r="BM12" s="272"/>
      <c r="BN12" s="272"/>
      <c r="BO12" s="272">
        <f>COUNTIF('T&amp;T'!AD188,"en término")</f>
        <v>1</v>
      </c>
      <c r="BP12" s="272">
        <f>COUNTIF('T&amp;T'!AD189,"en término")</f>
        <v>1</v>
      </c>
      <c r="BQ12" s="272">
        <f>COUNTIF('T&amp;T'!AD200,"en término")</f>
        <v>1</v>
      </c>
      <c r="BR12" s="272">
        <f>COUNTIF('T&amp;T'!AD201:AD202,"en término")</f>
        <v>2</v>
      </c>
      <c r="BS12" s="272"/>
      <c r="BT12" s="272"/>
      <c r="BU12" s="272"/>
      <c r="BV12" s="272"/>
      <c r="BW12" s="272"/>
      <c r="BX12" s="272"/>
      <c r="BY12" s="272"/>
      <c r="BZ12" s="272"/>
      <c r="CA12" s="272">
        <f>COUNTIF('T&amp;T'!AD203,"en término")</f>
        <v>1</v>
      </c>
      <c r="CB12" s="272"/>
      <c r="CC12" s="272"/>
      <c r="CD12" s="272"/>
      <c r="CE12" s="272"/>
      <c r="CF12" s="272"/>
      <c r="CG12" s="272"/>
      <c r="CH12" s="272"/>
      <c r="CI12" s="272">
        <f>COUNTIF('T&amp;T'!AD213,"en término")</f>
        <v>1</v>
      </c>
      <c r="CJ12" s="272"/>
      <c r="CK12" s="272">
        <f>COUNTIF('T&amp;T'!AD214:AD215,"en término")</f>
        <v>2</v>
      </c>
      <c r="CL12" s="272">
        <f>COUNTIF('T&amp;T'!AD216,"en término")</f>
        <v>0</v>
      </c>
      <c r="CM12" s="272">
        <f>COUNTIF('T&amp;T'!AD217,"en término")+COUNTIF('T&amp;T'!AD218,"en termino")</f>
        <v>0</v>
      </c>
      <c r="CN12" s="272"/>
      <c r="CO12" s="272"/>
      <c r="CP12" s="272"/>
      <c r="CQ12" s="272"/>
      <c r="CR12" s="272"/>
      <c r="CS12" s="272">
        <f>COUNTIF('T&amp;T'!AD230,"en término")</f>
        <v>1</v>
      </c>
      <c r="CT12" s="272"/>
      <c r="CU12" s="272"/>
      <c r="CV12" s="272">
        <f>COUNTIF('T&amp;T'!AD231,"en término")</f>
        <v>0</v>
      </c>
      <c r="CW12" s="272"/>
      <c r="CX12" s="272"/>
      <c r="CY12" s="272">
        <f>COUNTIF('T&amp;T'!AD232:AD233,"en término")</f>
        <v>0</v>
      </c>
      <c r="CZ12" s="272"/>
      <c r="DA12" s="272"/>
      <c r="DB12" s="272"/>
      <c r="DC12" s="272">
        <f>COUNTIF('T&amp;T'!AD244,"en término")</f>
        <v>0</v>
      </c>
      <c r="DD12" s="272"/>
      <c r="DE12" s="272"/>
      <c r="DF12" s="272"/>
      <c r="DG12" s="272">
        <f>COUNTIF('T&amp;T'!AD245,"en término")</f>
        <v>0</v>
      </c>
      <c r="DH12" s="272">
        <f>COUNTIF('T&amp;T'!AD246,"en término")</f>
        <v>0</v>
      </c>
      <c r="DI12" s="272">
        <f>COUNTIF('T&amp;T'!AD247,"en término")</f>
        <v>0</v>
      </c>
      <c r="DJ12" s="272">
        <f>COUNTIF('T&amp;T'!AD248:AD249,"en término")</f>
        <v>0</v>
      </c>
      <c r="DK12" s="272"/>
      <c r="DL12" s="272"/>
      <c r="DM12" s="272">
        <f>COUNTIF('T&amp;T'!AD264,"en término")</f>
        <v>0</v>
      </c>
      <c r="DN12" s="272"/>
      <c r="DO12" s="272">
        <f>COUNTIF('T&amp;T'!AD265,"en término")</f>
        <v>0</v>
      </c>
      <c r="DP12" s="272"/>
      <c r="DQ12" s="272"/>
      <c r="DR12" s="272"/>
      <c r="DS12" s="272"/>
      <c r="DT12" s="272"/>
      <c r="DU12" s="272">
        <f>+COUNTIF('T&amp;T'!AD266:AD267,"en término")</f>
        <v>1</v>
      </c>
      <c r="DV12" s="272"/>
      <c r="DW12" s="272"/>
      <c r="DX12" s="272"/>
      <c r="DY12" s="272">
        <f>+COUNTIF('T&amp;T'!AD279,"en término")</f>
        <v>0</v>
      </c>
      <c r="DZ12" s="272"/>
      <c r="EA12" s="272"/>
      <c r="EB12" s="272">
        <f>COUNTIF('T&amp;T'!AD280,"en término")</f>
        <v>0</v>
      </c>
      <c r="EC12" s="272"/>
      <c r="ED12" s="272"/>
      <c r="EE12" s="272"/>
      <c r="EF12" s="272"/>
      <c r="EG12" s="272"/>
      <c r="EH12" s="272"/>
      <c r="EI12" s="272"/>
      <c r="EJ12" s="272"/>
      <c r="EK12" s="272"/>
      <c r="EL12" s="272"/>
      <c r="EM12" s="272"/>
      <c r="EN12" s="272"/>
      <c r="EO12" s="272"/>
      <c r="EP12" s="272"/>
      <c r="EQ12" s="272">
        <f>+COUNTIF('T&amp;T'!AD290,"en término")</f>
        <v>0</v>
      </c>
      <c r="ER12" s="272"/>
      <c r="ES12" s="272"/>
      <c r="ET12" s="272"/>
      <c r="EU12" s="272"/>
      <c r="EV12" s="272"/>
      <c r="EW12" s="272"/>
      <c r="EX12" s="272"/>
      <c r="EY12" s="272"/>
      <c r="EZ12" s="272"/>
      <c r="FA12" s="272"/>
      <c r="FB12" s="272"/>
      <c r="FC12" s="272">
        <f>+COUNTIF('T&amp;T'!AD301,"en término")</f>
        <v>0</v>
      </c>
      <c r="FD12" s="272"/>
      <c r="FE12" s="272"/>
      <c r="FF12" s="272"/>
      <c r="FG12" s="272"/>
      <c r="FH12" s="272"/>
      <c r="FI12" s="272"/>
      <c r="FJ12" s="272"/>
      <c r="FK12" s="272">
        <f>+COUNTIF('T&amp;T'!AD313:AD314,"en término")</f>
        <v>0</v>
      </c>
      <c r="FL12" s="272"/>
      <c r="FM12" s="272"/>
      <c r="FN12" s="272"/>
      <c r="FO12" s="272"/>
      <c r="FP12" s="272"/>
      <c r="FQ12" s="272"/>
      <c r="FR12" s="272"/>
      <c r="FS12" s="272"/>
      <c r="FT12" s="272"/>
      <c r="FU12" s="272"/>
      <c r="FV12" s="272"/>
      <c r="FW12" s="272"/>
      <c r="FX12" s="272"/>
      <c r="FY12" s="272">
        <f>+COUNTIF('T&amp;T'!AD327,"en término")</f>
        <v>0</v>
      </c>
      <c r="FZ12" s="272">
        <f>+COUNTIF('T&amp;T'!AD327,"en término")</f>
        <v>0</v>
      </c>
      <c r="GA12" s="272"/>
      <c r="GB12" s="272"/>
      <c r="GC12" s="272"/>
      <c r="GD12" s="272"/>
      <c r="GE12" s="272"/>
      <c r="GF12" s="272"/>
      <c r="GG12" s="272"/>
      <c r="GH12" s="272"/>
      <c r="GI12" s="272">
        <f>+COUNTIF('T&amp;T'!AD335,"en término")</f>
        <v>0</v>
      </c>
      <c r="GJ12" s="272">
        <f>+COUNTIF('T&amp;T'!AD336:AD337,"en término")</f>
        <v>0</v>
      </c>
      <c r="GK12" s="272"/>
      <c r="GL12" s="272"/>
      <c r="GM12" s="272"/>
      <c r="GN12" s="272"/>
      <c r="GO12" s="272"/>
      <c r="GP12" s="272"/>
      <c r="GQ12" s="272"/>
      <c r="GR12" s="272"/>
      <c r="GS12" s="272"/>
      <c r="GT12" s="272"/>
      <c r="GU12" s="272"/>
      <c r="GV12" s="272"/>
      <c r="GW12" s="272"/>
      <c r="GX12" s="272">
        <f>+COUNTIF('T&amp;T'!AD343,"en término")</f>
        <v>0</v>
      </c>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f>+COUNTIF('T&amp;T'!AD351:AD352,"en término")</f>
        <v>0</v>
      </c>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I12" s="1097"/>
      <c r="JJ12" s="1097"/>
      <c r="JK12" s="1097"/>
      <c r="JL12" s="1097">
        <f>+COUNTIF('T&amp;T'!AI343,"en término")</f>
        <v>1</v>
      </c>
      <c r="JM12" s="1097"/>
      <c r="JN12" s="1097"/>
      <c r="JO12" s="1097"/>
      <c r="JP12" s="1097"/>
      <c r="JQ12" s="1097"/>
      <c r="JR12" s="1097"/>
      <c r="JS12" s="1097"/>
      <c r="JT12" s="1097"/>
      <c r="JU12" s="1097"/>
      <c r="JV12" s="1097"/>
      <c r="JW12" s="1097"/>
      <c r="JX12" s="1097"/>
      <c r="JY12" s="1097"/>
      <c r="JZ12" s="1097"/>
      <c r="KA12" s="1097"/>
      <c r="KB12" s="1097"/>
      <c r="KC12" s="1097"/>
      <c r="KD12" s="1097"/>
      <c r="KE12" s="1097"/>
      <c r="KF12" s="1097"/>
      <c r="KG12" s="1097"/>
      <c r="KH12" s="1097"/>
      <c r="KI12" s="1097"/>
      <c r="KJ12" s="1097"/>
      <c r="KK12" s="1097"/>
      <c r="KL12" s="1097"/>
      <c r="KM12" s="1097"/>
      <c r="KN12" s="1097"/>
      <c r="KO12" s="1097"/>
      <c r="KP12" s="1097"/>
      <c r="KQ12" s="1097"/>
      <c r="KR12" s="1097"/>
      <c r="KS12" s="1097"/>
      <c r="KT12" s="1097"/>
      <c r="KU12" s="1097"/>
      <c r="KV12" s="1097"/>
      <c r="KW12" s="1097"/>
      <c r="KX12" s="1097"/>
      <c r="KY12" s="1097"/>
      <c r="KZ12" s="1097">
        <f>+COUNTIF('T&amp;T'!AI351:AI352,"en término")</f>
        <v>2</v>
      </c>
      <c r="LA12" s="1097"/>
      <c r="LB12" s="1097"/>
      <c r="LC12" s="1097"/>
      <c r="LD12" s="1097"/>
      <c r="LE12" s="1097"/>
      <c r="LF12" s="1097"/>
      <c r="LG12" s="1097"/>
      <c r="LH12" s="1097"/>
      <c r="LI12" s="1097"/>
      <c r="LJ12" s="1097"/>
      <c r="LK12" s="1097"/>
      <c r="LL12" s="1097"/>
      <c r="LM12" s="1097"/>
      <c r="LN12" s="1097"/>
      <c r="LO12" s="1097"/>
      <c r="LP12" s="1097"/>
      <c r="LQ12" s="1097"/>
      <c r="LR12" s="1097"/>
      <c r="LS12" s="1097"/>
      <c r="LT12" s="1097"/>
      <c r="LU12" s="1097"/>
    </row>
    <row r="13" spans="2:333" ht="17.25" thickBot="1" x14ac:dyDescent="0.35">
      <c r="B13" s="1005"/>
      <c r="C13" s="270" t="s">
        <v>6158</v>
      </c>
      <c r="D13" s="274"/>
      <c r="E13" s="274"/>
      <c r="F13" s="274"/>
      <c r="G13" s="274">
        <f t="shared" ref="G13:N13" si="43">+G12/G11</f>
        <v>1</v>
      </c>
      <c r="H13" s="274"/>
      <c r="I13" s="274">
        <f t="shared" si="43"/>
        <v>1</v>
      </c>
      <c r="J13" s="291"/>
      <c r="K13" s="274">
        <f t="shared" si="43"/>
        <v>1</v>
      </c>
      <c r="L13" s="274">
        <f t="shared" si="43"/>
        <v>1</v>
      </c>
      <c r="M13" s="274">
        <f t="shared" si="43"/>
        <v>0.5</v>
      </c>
      <c r="N13" s="274">
        <f t="shared" si="43"/>
        <v>1</v>
      </c>
      <c r="O13" s="274"/>
      <c r="P13" s="274"/>
      <c r="Q13" s="274"/>
      <c r="R13" s="274"/>
      <c r="S13" s="274">
        <f>+S12/S11</f>
        <v>0</v>
      </c>
      <c r="T13" s="274"/>
      <c r="U13" s="274">
        <f>+U12/U11</f>
        <v>1</v>
      </c>
      <c r="V13" s="291"/>
      <c r="W13" s="274"/>
      <c r="X13" s="274">
        <f>+X12/X11</f>
        <v>1</v>
      </c>
      <c r="Y13" s="274"/>
      <c r="Z13" s="274">
        <f>+Z12/Z11</f>
        <v>1</v>
      </c>
      <c r="AA13" s="274">
        <f>+AA12/AA11</f>
        <v>1</v>
      </c>
      <c r="AB13" s="274">
        <f>+AB12/AB11</f>
        <v>0</v>
      </c>
      <c r="AC13" s="274">
        <f>+AC12/AC11</f>
        <v>0</v>
      </c>
      <c r="AD13" s="274">
        <f>+AD12/AD11</f>
        <v>1</v>
      </c>
      <c r="AE13" s="274"/>
      <c r="AF13" s="274">
        <f>+AF12/AF11</f>
        <v>0</v>
      </c>
      <c r="AG13" s="274">
        <f>+AG12/AG11</f>
        <v>0.5</v>
      </c>
      <c r="AH13" s="291"/>
      <c r="AI13" s="274"/>
      <c r="AJ13" s="274">
        <f>+AJ12/AJ11</f>
        <v>1</v>
      </c>
      <c r="AK13" s="274">
        <f>+AK12/AK11</f>
        <v>1</v>
      </c>
      <c r="AL13" s="274"/>
      <c r="AM13" s="274">
        <f>+AM12/AM11</f>
        <v>0.5</v>
      </c>
      <c r="AN13" s="274">
        <f>+AN12/AN11</f>
        <v>1</v>
      </c>
      <c r="AO13" s="274">
        <f>+AO12/AO11</f>
        <v>1</v>
      </c>
      <c r="AP13" s="274">
        <f>+AP12/AP11</f>
        <v>0</v>
      </c>
      <c r="AQ13" s="274"/>
      <c r="AR13" s="274"/>
      <c r="AS13" s="274">
        <f>+AS12/AS11</f>
        <v>1</v>
      </c>
      <c r="AT13" s="290"/>
      <c r="AU13" s="274"/>
      <c r="AW13" s="274">
        <f>+AW12/AW11</f>
        <v>1</v>
      </c>
      <c r="AX13" s="274"/>
      <c r="AY13" s="274">
        <f>+AY12/AY11</f>
        <v>1</v>
      </c>
      <c r="AZ13" s="274"/>
      <c r="BA13" s="274"/>
      <c r="BB13" s="274"/>
      <c r="BC13" s="274"/>
      <c r="BD13" s="274"/>
      <c r="BE13" s="274">
        <f>+BE12/BE11</f>
        <v>1</v>
      </c>
      <c r="BF13" s="274"/>
      <c r="BG13" s="274">
        <f>+BG12/BG11</f>
        <v>1</v>
      </c>
      <c r="BH13" s="274">
        <f>+BH12/BH11</f>
        <v>1</v>
      </c>
      <c r="BI13" s="274"/>
      <c r="BJ13" s="274"/>
      <c r="BK13" s="274"/>
      <c r="BL13" s="274"/>
      <c r="BM13" s="274"/>
      <c r="BN13" s="274"/>
      <c r="BO13" s="274">
        <f>+BO12/BO11</f>
        <v>1</v>
      </c>
      <c r="BP13" s="274">
        <f>+BP12/BP11</f>
        <v>1</v>
      </c>
      <c r="BQ13" s="274">
        <f>+BQ12/BQ11</f>
        <v>1</v>
      </c>
      <c r="BR13" s="274">
        <f>+BR12/BR11</f>
        <v>1</v>
      </c>
      <c r="BS13" s="274"/>
      <c r="BT13" s="274"/>
      <c r="BU13" s="274"/>
      <c r="BV13" s="274"/>
      <c r="BW13" s="274"/>
      <c r="BX13" s="274"/>
      <c r="BY13" s="274"/>
      <c r="BZ13" s="274"/>
      <c r="CA13" s="274">
        <f>+CA12/CA11</f>
        <v>1</v>
      </c>
      <c r="CB13" s="274"/>
      <c r="CC13" s="274"/>
      <c r="CD13" s="274"/>
      <c r="CE13" s="274"/>
      <c r="CF13" s="274"/>
      <c r="CG13" s="274"/>
      <c r="CH13" s="274"/>
      <c r="CI13" s="274">
        <f>+CI12/CI11</f>
        <v>1</v>
      </c>
      <c r="CJ13" s="274"/>
      <c r="CK13" s="274">
        <f>+CK12/CK11</f>
        <v>1</v>
      </c>
      <c r="CL13" s="274">
        <f>+CL12/CL11</f>
        <v>0</v>
      </c>
      <c r="CM13" s="274">
        <f>+CM12/CM11</f>
        <v>0</v>
      </c>
      <c r="CN13" s="274"/>
      <c r="CO13" s="274"/>
      <c r="CP13" s="274"/>
      <c r="CQ13" s="274"/>
      <c r="CR13" s="274"/>
      <c r="CS13" s="274">
        <f>+CS12/CS11</f>
        <v>1</v>
      </c>
      <c r="CT13" s="274"/>
      <c r="CU13" s="274"/>
      <c r="CV13" s="274">
        <f>+CV12/CV11</f>
        <v>0</v>
      </c>
      <c r="CW13" s="274"/>
      <c r="CX13" s="274"/>
      <c r="CY13" s="274">
        <f>+CY12/CY11</f>
        <v>0</v>
      </c>
      <c r="CZ13" s="274"/>
      <c r="DA13" s="274"/>
      <c r="DB13" s="274"/>
      <c r="DC13" s="275">
        <f>+DC12/DC11</f>
        <v>0</v>
      </c>
      <c r="DD13" s="275"/>
      <c r="DE13" s="275"/>
      <c r="DF13" s="275"/>
      <c r="DG13" s="275">
        <f>+DG12/DG11</f>
        <v>0</v>
      </c>
      <c r="DH13" s="275">
        <f>+DH12/DH11</f>
        <v>0</v>
      </c>
      <c r="DI13" s="275">
        <f>+DI12/DI11</f>
        <v>0</v>
      </c>
      <c r="DJ13" s="275">
        <f>+DJ12/DJ11</f>
        <v>0</v>
      </c>
      <c r="DK13" s="275"/>
      <c r="DL13" s="275"/>
      <c r="DM13" s="275">
        <f>+DM12/DM11</f>
        <v>0</v>
      </c>
      <c r="DN13" s="275"/>
      <c r="DO13" s="275">
        <f>+DO12/DO11</f>
        <v>0</v>
      </c>
      <c r="DP13" s="275"/>
      <c r="DQ13" s="275"/>
      <c r="DR13" s="275"/>
      <c r="DS13" s="275"/>
      <c r="DT13" s="275"/>
      <c r="DU13" s="275">
        <f>+DU12/DU11</f>
        <v>0.5</v>
      </c>
      <c r="DV13" s="275"/>
      <c r="DW13" s="275"/>
      <c r="DX13" s="275"/>
      <c r="DY13" s="275">
        <f>+DY12/DY11</f>
        <v>0</v>
      </c>
      <c r="DZ13" s="275"/>
      <c r="EA13" s="275"/>
      <c r="EB13" s="275">
        <f>+EB12/EB11</f>
        <v>0</v>
      </c>
      <c r="EC13" s="275"/>
      <c r="ED13" s="275"/>
      <c r="EE13" s="275"/>
      <c r="EF13" s="275"/>
      <c r="EG13" s="275"/>
      <c r="EH13" s="275"/>
      <c r="EI13" s="275"/>
      <c r="EJ13" s="275"/>
      <c r="EK13" s="275"/>
      <c r="EL13" s="275"/>
      <c r="EM13" s="275"/>
      <c r="EN13" s="275"/>
      <c r="EO13" s="275"/>
      <c r="EP13" s="275"/>
      <c r="EQ13" s="275">
        <f>+EQ12/EQ11</f>
        <v>0</v>
      </c>
      <c r="ER13" s="275"/>
      <c r="ES13" s="275"/>
      <c r="ET13" s="275"/>
      <c r="EU13" s="275"/>
      <c r="EV13" s="275"/>
      <c r="EW13" s="275"/>
      <c r="EX13" s="275"/>
      <c r="EY13" s="275"/>
      <c r="EZ13" s="275"/>
      <c r="FA13" s="275"/>
      <c r="FB13" s="275"/>
      <c r="FC13" s="275">
        <f>+FC12/FC11</f>
        <v>0</v>
      </c>
      <c r="FD13" s="275"/>
      <c r="FE13" s="275"/>
      <c r="FF13" s="275"/>
      <c r="FG13" s="275"/>
      <c r="FH13" s="275"/>
      <c r="FI13" s="275"/>
      <c r="FJ13" s="275"/>
      <c r="FK13" s="275">
        <f>+FK12/FK11</f>
        <v>0</v>
      </c>
      <c r="FL13" s="275"/>
      <c r="FM13" s="275"/>
      <c r="FN13" s="275"/>
      <c r="FO13" s="275"/>
      <c r="FP13" s="275"/>
      <c r="FQ13" s="275"/>
      <c r="FR13" s="275"/>
      <c r="FS13" s="275"/>
      <c r="FT13" s="275"/>
      <c r="FU13" s="275"/>
      <c r="FV13" s="275"/>
      <c r="FW13" s="275"/>
      <c r="FX13" s="275"/>
      <c r="FY13" s="275">
        <f>+FY12/FY11</f>
        <v>0</v>
      </c>
      <c r="FZ13" s="275">
        <f>+FZ12/FZ11</f>
        <v>0</v>
      </c>
      <c r="GA13" s="275"/>
      <c r="GB13" s="275"/>
      <c r="GC13" s="275"/>
      <c r="GD13" s="275"/>
      <c r="GE13" s="275"/>
      <c r="GF13" s="275"/>
      <c r="GG13" s="275"/>
      <c r="GH13" s="275"/>
      <c r="GI13" s="275">
        <f>+GI12/GI11</f>
        <v>0</v>
      </c>
      <c r="GJ13" s="275">
        <f>+GJ12/GJ11</f>
        <v>0</v>
      </c>
      <c r="GK13" s="275"/>
      <c r="GL13" s="275"/>
      <c r="GM13" s="275"/>
      <c r="GN13" s="275"/>
      <c r="GO13" s="275"/>
      <c r="GP13" s="275"/>
      <c r="GQ13" s="275"/>
      <c r="GR13" s="275"/>
      <c r="GS13" s="275"/>
      <c r="GT13" s="275"/>
      <c r="GU13" s="275"/>
      <c r="GV13" s="275"/>
      <c r="GW13" s="275"/>
      <c r="GX13" s="275">
        <f>+GX12/GX11</f>
        <v>0</v>
      </c>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f t="shared" ref="IJ13" si="44">+IJ12/IJ11</f>
        <v>0</v>
      </c>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I13" s="1098"/>
      <c r="JJ13" s="1098"/>
      <c r="JK13" s="1098"/>
      <c r="JL13" s="1098"/>
      <c r="JM13" s="1098"/>
      <c r="JN13" s="1098"/>
      <c r="JO13" s="1098"/>
      <c r="JP13" s="1098"/>
      <c r="JQ13" s="1098"/>
      <c r="JR13" s="1098"/>
      <c r="JS13" s="1098"/>
      <c r="JT13" s="1098"/>
      <c r="JU13" s="1098"/>
      <c r="JV13" s="1098"/>
      <c r="JW13" s="1098"/>
      <c r="JX13" s="1098"/>
      <c r="JY13" s="1098"/>
      <c r="JZ13" s="1098"/>
      <c r="KA13" s="1098"/>
      <c r="KB13" s="1098"/>
      <c r="KC13" s="1098"/>
      <c r="KD13" s="1098"/>
      <c r="KE13" s="1098"/>
      <c r="KF13" s="1098"/>
      <c r="KG13" s="1098"/>
      <c r="KH13" s="1098"/>
      <c r="KI13" s="1098"/>
      <c r="KJ13" s="1098"/>
      <c r="KK13" s="1098"/>
      <c r="KL13" s="1098"/>
      <c r="KM13" s="1098"/>
      <c r="KN13" s="1098"/>
      <c r="KO13" s="1098"/>
      <c r="KP13" s="1098"/>
      <c r="KQ13" s="1098"/>
      <c r="KR13" s="1098"/>
      <c r="KS13" s="1098"/>
      <c r="KT13" s="1098"/>
      <c r="KU13" s="1098"/>
      <c r="KV13" s="1098"/>
      <c r="KW13" s="1098"/>
      <c r="KX13" s="1098"/>
      <c r="KY13" s="1098"/>
      <c r="KZ13" s="1098"/>
      <c r="LA13" s="1098"/>
      <c r="LB13" s="1098"/>
      <c r="LC13" s="1098"/>
      <c r="LD13" s="1098"/>
      <c r="LE13" s="1098"/>
      <c r="LF13" s="1098"/>
      <c r="LG13" s="1098"/>
      <c r="LH13" s="1098"/>
      <c r="LI13" s="1098"/>
      <c r="LJ13" s="1098"/>
      <c r="LK13" s="1098"/>
      <c r="LL13" s="1098"/>
      <c r="LM13" s="1098"/>
      <c r="LN13" s="1098"/>
      <c r="LO13" s="1098"/>
      <c r="LP13" s="1098"/>
      <c r="LQ13" s="1098"/>
      <c r="LR13" s="1098"/>
      <c r="LS13" s="1098"/>
      <c r="LT13" s="1098"/>
      <c r="LU13" s="1098"/>
    </row>
    <row r="14" spans="2:333" ht="16.5" x14ac:dyDescent="0.3">
      <c r="B14" s="1004" t="s">
        <v>4900</v>
      </c>
      <c r="C14" s="269" t="s">
        <v>6156</v>
      </c>
      <c r="D14" s="271">
        <v>0</v>
      </c>
      <c r="E14" s="271">
        <v>0</v>
      </c>
      <c r="F14" s="271">
        <v>0</v>
      </c>
      <c r="G14" s="271">
        <v>0</v>
      </c>
      <c r="H14" s="271">
        <v>0</v>
      </c>
      <c r="I14" s="271">
        <v>0</v>
      </c>
      <c r="J14" s="288"/>
      <c r="K14" s="271">
        <v>0</v>
      </c>
      <c r="L14" s="271">
        <f>COUNTA(Peru!AD53)</f>
        <v>1</v>
      </c>
      <c r="M14" s="271">
        <v>0</v>
      </c>
      <c r="N14" s="271">
        <v>0</v>
      </c>
      <c r="O14" s="271">
        <f>COUNTA(Peru!AD56)</f>
        <v>1</v>
      </c>
      <c r="P14" s="271">
        <f>COUNTA(Peru!AD59)</f>
        <v>1</v>
      </c>
      <c r="Q14" s="271">
        <v>0</v>
      </c>
      <c r="R14" s="271">
        <v>0</v>
      </c>
      <c r="S14" s="271">
        <v>0</v>
      </c>
      <c r="T14" s="271">
        <v>0</v>
      </c>
      <c r="U14" s="271">
        <f>COUNTA(Peru!AD70)</f>
        <v>1</v>
      </c>
      <c r="V14" s="288"/>
      <c r="W14" s="271">
        <f>COUNTA(Peru!AD73)</f>
        <v>1</v>
      </c>
      <c r="X14" s="271">
        <v>0</v>
      </c>
      <c r="Y14" s="271">
        <v>0</v>
      </c>
      <c r="Z14" s="271">
        <f>COUNTA(Peru!AD76)</f>
        <v>1</v>
      </c>
      <c r="AA14" s="271">
        <v>0</v>
      </c>
      <c r="AB14" s="271">
        <v>0</v>
      </c>
      <c r="AC14" s="271">
        <v>0</v>
      </c>
      <c r="AD14" s="271">
        <v>0</v>
      </c>
      <c r="AE14" s="271">
        <f>COUNTA(Peru!AD79)</f>
        <v>1</v>
      </c>
      <c r="AF14" s="271">
        <f>COUNTA(Peru!AD82)</f>
        <v>1</v>
      </c>
      <c r="AG14" s="271">
        <f>COUNTA(Peru!AD94)</f>
        <v>1</v>
      </c>
      <c r="AH14" s="288"/>
      <c r="AI14" s="271">
        <v>0</v>
      </c>
      <c r="AJ14" s="271">
        <v>0</v>
      </c>
      <c r="AK14" s="271">
        <v>0</v>
      </c>
      <c r="AL14" s="271">
        <v>0</v>
      </c>
      <c r="AM14" s="271">
        <v>0</v>
      </c>
      <c r="AN14" s="271">
        <f>COUNTA(Peru!AD100)</f>
        <v>1</v>
      </c>
      <c r="AO14" s="271">
        <f>COUNTA(Peru!AD103)</f>
        <v>1</v>
      </c>
      <c r="AP14" s="271">
        <v>0</v>
      </c>
      <c r="AQ14" s="271">
        <f>COUNTA(Peru!AD106)</f>
        <v>1</v>
      </c>
      <c r="AR14" s="271">
        <v>0</v>
      </c>
      <c r="AS14" s="271">
        <v>0</v>
      </c>
      <c r="AT14" s="288"/>
      <c r="AU14" s="271">
        <v>0</v>
      </c>
      <c r="AV14" s="271">
        <v>0</v>
      </c>
      <c r="AW14" s="271">
        <v>0</v>
      </c>
      <c r="AX14" s="271">
        <v>0</v>
      </c>
      <c r="AY14" s="271">
        <f>COUNTA(Peru!AD118)</f>
        <v>1</v>
      </c>
      <c r="AZ14" s="271">
        <v>0</v>
      </c>
      <c r="BA14" s="271">
        <v>0</v>
      </c>
      <c r="BB14" s="271">
        <v>0</v>
      </c>
      <c r="BC14" s="271">
        <v>0</v>
      </c>
      <c r="BD14" s="271">
        <v>0</v>
      </c>
      <c r="BE14" s="271">
        <f>COUNTA(Peru!AD132:AD133)</f>
        <v>2</v>
      </c>
      <c r="BF14" s="271">
        <v>0</v>
      </c>
      <c r="BG14" s="271">
        <v>0</v>
      </c>
      <c r="BH14" s="271">
        <v>0</v>
      </c>
      <c r="BI14" s="271">
        <v>0</v>
      </c>
      <c r="BJ14" s="271">
        <v>0</v>
      </c>
      <c r="BK14" s="271">
        <v>0</v>
      </c>
      <c r="BL14" s="271">
        <v>0</v>
      </c>
      <c r="BM14" s="271">
        <f>COUNTA(Peru!AD135)</f>
        <v>1</v>
      </c>
      <c r="BN14" s="271">
        <v>0</v>
      </c>
      <c r="BO14" s="271">
        <v>0</v>
      </c>
      <c r="BP14" s="271">
        <v>0</v>
      </c>
      <c r="BQ14" s="271">
        <v>0</v>
      </c>
      <c r="BR14" s="271">
        <v>0</v>
      </c>
      <c r="BS14" s="271">
        <v>0</v>
      </c>
      <c r="BT14" s="271">
        <v>0</v>
      </c>
      <c r="BU14" s="271">
        <f>COUNTA(Peru!AD146)</f>
        <v>1</v>
      </c>
      <c r="BV14" s="271">
        <f>COUNTA(Peru!AD148)</f>
        <v>1</v>
      </c>
      <c r="BW14" s="271">
        <v>0</v>
      </c>
      <c r="BX14" s="271">
        <f>COUNTA(Peru!AD150)</f>
        <v>1</v>
      </c>
      <c r="BY14" s="271">
        <v>0</v>
      </c>
      <c r="BZ14" s="271">
        <v>0</v>
      </c>
      <c r="CA14" s="271">
        <f>COUNTA(Peru!AD151:AD152)</f>
        <v>2</v>
      </c>
      <c r="CB14" s="271">
        <v>0</v>
      </c>
      <c r="CC14" s="271">
        <v>0</v>
      </c>
      <c r="CD14" s="271">
        <f>COUNTA(Peru!AD165)</f>
        <v>1</v>
      </c>
      <c r="CE14" s="271">
        <f>COUNTA(Peru!AD166)</f>
        <v>1</v>
      </c>
      <c r="CF14" s="271">
        <v>0</v>
      </c>
      <c r="CG14" s="271">
        <f>COUNTA(Peru!AD167)</f>
        <v>1</v>
      </c>
      <c r="CH14" s="271">
        <v>0</v>
      </c>
      <c r="CI14" s="271">
        <v>0</v>
      </c>
      <c r="CJ14" s="271">
        <v>0</v>
      </c>
      <c r="CK14" s="271">
        <v>0</v>
      </c>
      <c r="CL14" s="271">
        <v>0</v>
      </c>
      <c r="CM14" s="271">
        <v>0</v>
      </c>
      <c r="CN14" s="271">
        <v>0</v>
      </c>
      <c r="CO14" s="271">
        <v>0</v>
      </c>
      <c r="CP14" s="271">
        <v>0</v>
      </c>
      <c r="CQ14" s="271">
        <v>0</v>
      </c>
      <c r="CR14" s="271">
        <f>COUNTA(Peru!AD177)</f>
        <v>1</v>
      </c>
      <c r="CS14" s="271">
        <v>0</v>
      </c>
      <c r="CT14" s="271">
        <v>0</v>
      </c>
      <c r="CU14" s="271">
        <v>0</v>
      </c>
      <c r="CV14" s="271">
        <v>0</v>
      </c>
      <c r="CW14" s="271">
        <v>0</v>
      </c>
      <c r="CX14" s="271">
        <f>COUNTA(Peru!AD179)</f>
        <v>1</v>
      </c>
      <c r="CY14" s="271">
        <v>0</v>
      </c>
      <c r="CZ14" s="271">
        <v>0</v>
      </c>
      <c r="DA14" s="271">
        <v>0</v>
      </c>
      <c r="DB14" s="271">
        <v>0</v>
      </c>
      <c r="DC14" s="271">
        <v>0</v>
      </c>
      <c r="DD14" s="271">
        <v>0</v>
      </c>
      <c r="DE14" s="271">
        <v>0</v>
      </c>
      <c r="DF14" s="271">
        <v>0</v>
      </c>
      <c r="DG14" s="271">
        <v>0</v>
      </c>
      <c r="DH14" s="271">
        <v>0</v>
      </c>
      <c r="DI14" s="271">
        <v>0</v>
      </c>
      <c r="DJ14" s="271">
        <v>0</v>
      </c>
      <c r="DK14" s="271">
        <v>0</v>
      </c>
      <c r="DL14" s="271">
        <v>0</v>
      </c>
      <c r="DM14" s="271">
        <v>0</v>
      </c>
      <c r="DN14" s="271">
        <v>0</v>
      </c>
      <c r="DO14" s="271">
        <v>0</v>
      </c>
      <c r="DP14" s="271">
        <v>0</v>
      </c>
      <c r="DQ14" s="271">
        <v>0</v>
      </c>
      <c r="DR14" s="271">
        <v>0</v>
      </c>
      <c r="DS14" s="271">
        <v>0</v>
      </c>
      <c r="DT14" s="271">
        <v>0</v>
      </c>
      <c r="DU14" s="271">
        <v>0</v>
      </c>
      <c r="DV14" s="271">
        <v>0</v>
      </c>
      <c r="DW14" s="271">
        <v>0</v>
      </c>
      <c r="DX14" s="271">
        <v>0</v>
      </c>
      <c r="DY14" s="271">
        <v>0</v>
      </c>
      <c r="DZ14" s="271">
        <v>0</v>
      </c>
      <c r="EA14" s="271">
        <v>0</v>
      </c>
      <c r="EB14" s="271">
        <v>0</v>
      </c>
      <c r="EC14" s="271">
        <v>0</v>
      </c>
      <c r="ED14" s="271">
        <v>0</v>
      </c>
      <c r="EE14" s="271">
        <v>0</v>
      </c>
      <c r="EF14" s="271">
        <v>0</v>
      </c>
      <c r="EG14" s="271">
        <v>0</v>
      </c>
      <c r="EH14" s="271">
        <v>0</v>
      </c>
      <c r="EI14" s="271">
        <v>0</v>
      </c>
      <c r="EJ14" s="271">
        <v>0</v>
      </c>
      <c r="EK14" s="271">
        <v>0</v>
      </c>
      <c r="EL14" s="271">
        <v>0</v>
      </c>
      <c r="EM14" s="271">
        <v>0</v>
      </c>
      <c r="EN14" s="271">
        <v>0</v>
      </c>
      <c r="EO14" s="271">
        <v>0</v>
      </c>
      <c r="EP14" s="271">
        <v>0</v>
      </c>
      <c r="EQ14" s="271">
        <v>0</v>
      </c>
      <c r="ER14" s="271">
        <v>0</v>
      </c>
      <c r="ES14" s="271">
        <v>0</v>
      </c>
      <c r="ET14" s="271">
        <v>0</v>
      </c>
      <c r="EU14" s="271">
        <v>0</v>
      </c>
      <c r="EV14" s="271">
        <v>0</v>
      </c>
      <c r="EW14" s="271">
        <v>0</v>
      </c>
      <c r="EX14" s="271">
        <v>0</v>
      </c>
      <c r="EY14" s="271">
        <v>0</v>
      </c>
      <c r="EZ14" s="271">
        <v>0</v>
      </c>
      <c r="FA14" s="271">
        <v>0</v>
      </c>
      <c r="FB14" s="271">
        <v>0</v>
      </c>
      <c r="FC14" s="271">
        <v>0</v>
      </c>
      <c r="FD14" s="271">
        <v>0</v>
      </c>
      <c r="FE14" s="271">
        <v>0</v>
      </c>
      <c r="FF14" s="271">
        <v>0</v>
      </c>
      <c r="FG14" s="271">
        <v>0</v>
      </c>
      <c r="FH14" s="271">
        <v>0</v>
      </c>
      <c r="FI14" s="271">
        <v>0</v>
      </c>
      <c r="FJ14" s="271">
        <v>0</v>
      </c>
      <c r="FK14" s="271">
        <v>0</v>
      </c>
      <c r="FL14" s="271">
        <v>0</v>
      </c>
      <c r="FM14" s="271">
        <v>0</v>
      </c>
      <c r="FN14" s="271">
        <v>0</v>
      </c>
      <c r="FO14" s="271">
        <v>0</v>
      </c>
      <c r="FP14" s="271">
        <v>0</v>
      </c>
      <c r="FQ14" s="271">
        <v>0</v>
      </c>
      <c r="FR14" s="271">
        <v>0</v>
      </c>
      <c r="FS14" s="271">
        <v>0</v>
      </c>
      <c r="FT14" s="271">
        <v>0</v>
      </c>
      <c r="FU14" s="271">
        <v>0</v>
      </c>
      <c r="FV14" s="271">
        <v>0</v>
      </c>
      <c r="FW14" s="271">
        <v>0</v>
      </c>
      <c r="FX14" s="271">
        <v>0</v>
      </c>
      <c r="FY14" s="271">
        <v>0</v>
      </c>
      <c r="FZ14" s="271">
        <v>0</v>
      </c>
      <c r="GA14" s="271">
        <v>0</v>
      </c>
      <c r="GB14" s="271">
        <v>0</v>
      </c>
      <c r="GC14" s="271">
        <v>0</v>
      </c>
      <c r="GD14" s="271">
        <v>0</v>
      </c>
      <c r="GE14" s="271">
        <v>0</v>
      </c>
      <c r="GF14" s="271">
        <v>0</v>
      </c>
      <c r="GG14" s="271">
        <v>0</v>
      </c>
      <c r="GH14" s="271">
        <v>0</v>
      </c>
      <c r="GI14" s="271">
        <v>0</v>
      </c>
      <c r="GJ14" s="271">
        <v>0</v>
      </c>
      <c r="GK14" s="271">
        <v>0</v>
      </c>
      <c r="GL14" s="271">
        <v>0</v>
      </c>
      <c r="GM14" s="271">
        <v>0</v>
      </c>
      <c r="GN14" s="271">
        <v>0</v>
      </c>
      <c r="GO14" s="271">
        <v>0</v>
      </c>
      <c r="GP14" s="271">
        <v>0</v>
      </c>
      <c r="GQ14" s="271">
        <v>0</v>
      </c>
      <c r="GR14" s="271">
        <v>0</v>
      </c>
      <c r="GS14" s="271">
        <v>0</v>
      </c>
      <c r="GT14" s="271">
        <v>0</v>
      </c>
      <c r="GU14" s="271">
        <v>0</v>
      </c>
      <c r="GV14" s="271">
        <v>0</v>
      </c>
      <c r="GW14" s="271">
        <v>0</v>
      </c>
      <c r="GX14" s="271">
        <v>0</v>
      </c>
      <c r="GY14" s="271">
        <v>0</v>
      </c>
      <c r="GZ14" s="271">
        <v>0</v>
      </c>
      <c r="HA14" s="271">
        <v>0</v>
      </c>
      <c r="HB14" s="271">
        <v>0</v>
      </c>
      <c r="HC14" s="271">
        <v>0</v>
      </c>
      <c r="HD14" s="271">
        <v>0</v>
      </c>
      <c r="HE14" s="271">
        <v>0</v>
      </c>
      <c r="HF14" s="271">
        <v>0</v>
      </c>
      <c r="HG14" s="271">
        <v>0</v>
      </c>
      <c r="HH14" s="271">
        <v>0</v>
      </c>
      <c r="HI14" s="271">
        <v>0</v>
      </c>
      <c r="HJ14" s="271">
        <v>0</v>
      </c>
      <c r="HK14" s="271">
        <v>0</v>
      </c>
      <c r="HL14" s="271">
        <v>0</v>
      </c>
      <c r="HM14" s="271">
        <v>0</v>
      </c>
      <c r="HN14" s="271">
        <v>0</v>
      </c>
      <c r="HO14" s="271">
        <v>0</v>
      </c>
      <c r="HP14" s="271">
        <v>0</v>
      </c>
      <c r="HQ14" s="271">
        <v>0</v>
      </c>
      <c r="HR14" s="271">
        <v>0</v>
      </c>
      <c r="HS14" s="271">
        <v>0</v>
      </c>
      <c r="HT14" s="271">
        <v>0</v>
      </c>
      <c r="HU14" s="271">
        <v>0</v>
      </c>
      <c r="HV14" s="271">
        <v>0</v>
      </c>
      <c r="HW14" s="271">
        <v>0</v>
      </c>
      <c r="HX14" s="271">
        <v>0</v>
      </c>
      <c r="HY14" s="271">
        <v>0</v>
      </c>
      <c r="HZ14" s="271">
        <v>0</v>
      </c>
      <c r="IA14" s="271">
        <v>0</v>
      </c>
      <c r="IB14" s="271">
        <v>0</v>
      </c>
      <c r="IC14" s="271">
        <v>0</v>
      </c>
      <c r="ID14" s="271">
        <v>0</v>
      </c>
      <c r="IE14" s="271">
        <v>0</v>
      </c>
      <c r="IF14" s="271">
        <v>0</v>
      </c>
      <c r="IG14" s="271">
        <v>0</v>
      </c>
      <c r="IH14" s="271">
        <v>0</v>
      </c>
      <c r="II14" s="271">
        <v>0</v>
      </c>
      <c r="IJ14" s="271">
        <v>0</v>
      </c>
      <c r="IK14" s="271">
        <v>0</v>
      </c>
      <c r="IL14" s="271">
        <v>0</v>
      </c>
      <c r="IM14" s="271">
        <v>0</v>
      </c>
      <c r="IN14" s="271">
        <v>0</v>
      </c>
      <c r="IO14" s="271">
        <v>0</v>
      </c>
      <c r="IP14" s="271">
        <v>0</v>
      </c>
      <c r="IQ14" s="271">
        <v>0</v>
      </c>
      <c r="IR14" s="271">
        <v>0</v>
      </c>
      <c r="IS14" s="271">
        <v>0</v>
      </c>
      <c r="IT14" s="271">
        <v>0</v>
      </c>
      <c r="IU14" s="271">
        <v>0</v>
      </c>
      <c r="IV14" s="271">
        <v>0</v>
      </c>
      <c r="IW14" s="271">
        <v>0</v>
      </c>
      <c r="IX14" s="271">
        <v>0</v>
      </c>
      <c r="IY14" s="271">
        <v>0</v>
      </c>
      <c r="IZ14" s="271">
        <v>0</v>
      </c>
      <c r="JA14" s="271">
        <v>0</v>
      </c>
      <c r="JB14" s="271">
        <v>0</v>
      </c>
      <c r="JC14" s="271">
        <v>0</v>
      </c>
      <c r="JD14" s="271">
        <v>0</v>
      </c>
      <c r="JE14" s="271">
        <v>0</v>
      </c>
      <c r="JF14" s="361">
        <f>SUM(D14:JE14)</f>
        <v>26</v>
      </c>
      <c r="JI14" s="1097">
        <v>0</v>
      </c>
      <c r="JJ14" s="1097">
        <v>0</v>
      </c>
      <c r="JK14" s="1097">
        <v>0</v>
      </c>
      <c r="JL14" s="1097">
        <v>0</v>
      </c>
      <c r="JM14" s="1097">
        <v>0</v>
      </c>
      <c r="JN14" s="1097">
        <v>0</v>
      </c>
      <c r="JO14" s="1097">
        <v>0</v>
      </c>
      <c r="JP14" s="1097">
        <v>0</v>
      </c>
      <c r="JQ14" s="1097">
        <v>0</v>
      </c>
      <c r="JR14" s="1097">
        <v>0</v>
      </c>
      <c r="JS14" s="1097">
        <v>0</v>
      </c>
      <c r="JT14" s="1097">
        <v>0</v>
      </c>
      <c r="JU14" s="1097">
        <v>0</v>
      </c>
      <c r="JV14" s="1097">
        <v>0</v>
      </c>
      <c r="JW14" s="1097">
        <v>0</v>
      </c>
      <c r="JX14" s="1097">
        <v>0</v>
      </c>
      <c r="JY14" s="1097">
        <v>0</v>
      </c>
      <c r="JZ14" s="1097">
        <v>0</v>
      </c>
      <c r="KA14" s="1097">
        <v>0</v>
      </c>
      <c r="KB14" s="1097">
        <v>0</v>
      </c>
      <c r="KC14" s="1097">
        <v>0</v>
      </c>
      <c r="KD14" s="1097">
        <v>0</v>
      </c>
      <c r="KE14" s="1097">
        <v>0</v>
      </c>
      <c r="KF14" s="1097">
        <v>0</v>
      </c>
      <c r="KG14" s="1097"/>
      <c r="KH14" s="1097"/>
      <c r="KI14" s="1097"/>
      <c r="KJ14" s="1097"/>
      <c r="KK14" s="1097"/>
      <c r="KL14" s="1097"/>
      <c r="KM14" s="1097"/>
      <c r="KN14" s="1097"/>
      <c r="KO14" s="1097"/>
      <c r="KP14" s="1097"/>
      <c r="KQ14" s="1097"/>
      <c r="KR14" s="1097"/>
      <c r="KS14" s="1097"/>
      <c r="KT14" s="1097"/>
      <c r="KU14" s="1097"/>
      <c r="KV14" s="1097"/>
      <c r="KW14" s="1097"/>
      <c r="KX14" s="1097"/>
      <c r="KY14" s="1097"/>
      <c r="KZ14" s="1097"/>
      <c r="LA14" s="1097"/>
      <c r="LB14" s="1097"/>
      <c r="LC14" s="1097"/>
      <c r="LD14" s="1097"/>
      <c r="LE14" s="1097"/>
      <c r="LF14" s="1097"/>
      <c r="LG14" s="1097"/>
      <c r="LH14" s="1097"/>
      <c r="LI14" s="1097"/>
      <c r="LJ14" s="1097"/>
      <c r="LK14" s="1097"/>
      <c r="LL14" s="1097"/>
      <c r="LM14" s="1097"/>
      <c r="LN14" s="1097"/>
      <c r="LO14" s="1097"/>
      <c r="LP14" s="1097"/>
      <c r="LQ14" s="1097"/>
      <c r="LR14" s="1097"/>
      <c r="LS14" s="1097"/>
      <c r="LT14" s="1097"/>
      <c r="LU14" s="1097"/>
    </row>
    <row r="15" spans="2:333" ht="16.5" x14ac:dyDescent="0.3">
      <c r="B15" s="1003"/>
      <c r="C15" s="273" t="s">
        <v>6157</v>
      </c>
      <c r="D15" s="272"/>
      <c r="E15" s="272"/>
      <c r="F15" s="272"/>
      <c r="G15" s="272"/>
      <c r="H15" s="272"/>
      <c r="I15" s="272"/>
      <c r="J15" s="289"/>
      <c r="K15" s="272"/>
      <c r="L15" s="272">
        <f>COUNTIF(Peru!AD53,"en término")</f>
        <v>1</v>
      </c>
      <c r="M15" s="272"/>
      <c r="N15" s="272"/>
      <c r="O15" s="272">
        <f>COUNTIF(Peru!AD56,"en término")</f>
        <v>1</v>
      </c>
      <c r="P15" s="272">
        <f>COUNTIF(Peru!AD59,"en término")</f>
        <v>1</v>
      </c>
      <c r="Q15" s="272"/>
      <c r="R15" s="272"/>
      <c r="S15" s="272"/>
      <c r="T15" s="272"/>
      <c r="U15" s="272">
        <f>COUNTIF(Peru!AD70,"en término")</f>
        <v>0</v>
      </c>
      <c r="V15" s="289"/>
      <c r="W15" s="272">
        <f>COUNTIF(Peru!AD73,"en término")</f>
        <v>0</v>
      </c>
      <c r="X15" s="272"/>
      <c r="Y15" s="272"/>
      <c r="Z15" s="272">
        <f>COUNTIF(Peru!AD76,"en término")</f>
        <v>0</v>
      </c>
      <c r="AA15" s="272"/>
      <c r="AB15" s="272"/>
      <c r="AC15" s="272"/>
      <c r="AD15" s="272"/>
      <c r="AE15" s="272">
        <f>COUNTIF(Peru!AD79,"en término")</f>
        <v>0</v>
      </c>
      <c r="AF15" s="272">
        <f>COUNTIF(Peru!AD82,"en término")</f>
        <v>1</v>
      </c>
      <c r="AG15" s="272">
        <f>COUNTIF(Peru!AD94,"en término")</f>
        <v>0</v>
      </c>
      <c r="AH15" s="289"/>
      <c r="AI15" s="272"/>
      <c r="AJ15" s="272"/>
      <c r="AK15" s="272"/>
      <c r="AL15" s="272"/>
      <c r="AM15" s="272"/>
      <c r="AN15" s="272">
        <f>COUNTIF(Peru!AD100,"en término")</f>
        <v>0</v>
      </c>
      <c r="AO15" s="272">
        <f>COUNTIF(Peru!AD103,"en término")</f>
        <v>0</v>
      </c>
      <c r="AP15" s="272"/>
      <c r="AQ15" s="272">
        <f>COUNTIF(Peru!AD106,"en término")</f>
        <v>1</v>
      </c>
      <c r="AR15" s="272"/>
      <c r="AS15" s="272"/>
      <c r="AT15" s="289"/>
      <c r="AU15" s="272"/>
      <c r="AV15" s="272"/>
      <c r="AW15" s="272"/>
      <c r="AX15" s="272"/>
      <c r="AY15" s="272">
        <f>COUNTIF(Peru!AD118,"en término")</f>
        <v>0</v>
      </c>
      <c r="AZ15" s="272"/>
      <c r="BA15" s="272"/>
      <c r="BB15" s="272"/>
      <c r="BC15" s="272"/>
      <c r="BD15" s="272"/>
      <c r="BE15" s="272">
        <f>COUNTIF(Peru!AD132:AD133,"en término")</f>
        <v>2</v>
      </c>
      <c r="BF15" s="272"/>
      <c r="BG15" s="272"/>
      <c r="BH15" s="272"/>
      <c r="BI15" s="272"/>
      <c r="BJ15" s="272"/>
      <c r="BK15" s="272"/>
      <c r="BL15" s="272"/>
      <c r="BM15" s="272">
        <f>COUNTIF(Peru!AD135,"en término")</f>
        <v>1</v>
      </c>
      <c r="BN15" s="272"/>
      <c r="BO15" s="272"/>
      <c r="BP15" s="272"/>
      <c r="BQ15" s="272"/>
      <c r="BR15" s="272"/>
      <c r="BS15" s="272"/>
      <c r="BT15" s="272"/>
      <c r="BU15" s="272">
        <f>COUNTIF(Peru!AD146,"en término")</f>
        <v>1</v>
      </c>
      <c r="BV15" s="272">
        <f>COUNTIF(Peru!AD148,"en término")</f>
        <v>0</v>
      </c>
      <c r="BW15" s="272"/>
      <c r="BX15" s="272">
        <f>COUNTIF(Peru!AD150,"en término")</f>
        <v>0</v>
      </c>
      <c r="BY15" s="272"/>
      <c r="BZ15" s="272"/>
      <c r="CA15" s="272">
        <f>COUNTIF(Peru!AD151:AD152,"en término")</f>
        <v>0</v>
      </c>
      <c r="CB15" s="272"/>
      <c r="CC15" s="272"/>
      <c r="CD15" s="272">
        <f>COUNTIF(Peru!AD165,"en término")</f>
        <v>0</v>
      </c>
      <c r="CE15" s="272">
        <f>COUNTIF(Peru!AD166,"en término")</f>
        <v>0</v>
      </c>
      <c r="CF15" s="272"/>
      <c r="CG15" s="272">
        <f>COUNTIF(Peru!AD167,"en término")</f>
        <v>0</v>
      </c>
      <c r="CH15" s="272"/>
      <c r="CI15" s="272"/>
      <c r="CJ15" s="272"/>
      <c r="CK15" s="272"/>
      <c r="CL15" s="272"/>
      <c r="CM15" s="272"/>
      <c r="CN15" s="272"/>
      <c r="CO15" s="272"/>
      <c r="CP15" s="272"/>
      <c r="CQ15" s="272"/>
      <c r="CR15" s="272">
        <f>COUNTIF(Peru!AD177,"en término")</f>
        <v>1</v>
      </c>
      <c r="CS15" s="272"/>
      <c r="CT15" s="272"/>
      <c r="CU15" s="272"/>
      <c r="CV15" s="272"/>
      <c r="CW15" s="272"/>
      <c r="CX15" s="272">
        <f>COUNTIF(Peru!AD179,"en término")</f>
        <v>0</v>
      </c>
      <c r="CY15" s="272"/>
      <c r="CZ15" s="272"/>
      <c r="DA15" s="272"/>
      <c r="DB15" s="272"/>
      <c r="DC15" s="272"/>
      <c r="DD15" s="272"/>
      <c r="DE15" s="272"/>
      <c r="DF15" s="272"/>
      <c r="DG15" s="272"/>
      <c r="DH15" s="272"/>
      <c r="DI15" s="272"/>
      <c r="DJ15" s="272"/>
      <c r="DK15" s="272"/>
      <c r="DL15" s="272"/>
      <c r="DM15" s="272"/>
      <c r="DN15" s="272"/>
      <c r="DO15" s="272"/>
      <c r="DP15" s="272"/>
      <c r="DQ15" s="272"/>
      <c r="DR15" s="272"/>
      <c r="DS15" s="272"/>
      <c r="DT15" s="272"/>
      <c r="DU15" s="272"/>
      <c r="DV15" s="272"/>
      <c r="DW15" s="272"/>
      <c r="DX15" s="272"/>
      <c r="DY15" s="272"/>
      <c r="DZ15" s="272"/>
      <c r="EA15" s="272"/>
      <c r="EB15" s="272"/>
      <c r="EC15" s="272"/>
      <c r="ED15" s="272"/>
      <c r="EE15" s="272"/>
      <c r="EF15" s="272"/>
      <c r="EG15" s="272"/>
      <c r="EH15" s="272"/>
      <c r="EI15" s="272"/>
      <c r="EJ15" s="272"/>
      <c r="EK15" s="272"/>
      <c r="EL15" s="272"/>
      <c r="EM15" s="272"/>
      <c r="EN15" s="272"/>
      <c r="EO15" s="272"/>
      <c r="EP15" s="272"/>
      <c r="EQ15" s="272"/>
      <c r="ER15" s="272"/>
      <c r="ES15" s="272"/>
      <c r="ET15" s="272"/>
      <c r="EU15" s="272"/>
      <c r="EV15" s="272"/>
      <c r="EW15" s="272"/>
      <c r="EX15" s="272"/>
      <c r="EY15" s="272"/>
      <c r="EZ15" s="272"/>
      <c r="FA15" s="272"/>
      <c r="FB15" s="272"/>
      <c r="FC15" s="272"/>
      <c r="FD15" s="272"/>
      <c r="FE15" s="272"/>
      <c r="FF15" s="272"/>
      <c r="FG15" s="272"/>
      <c r="FH15" s="272"/>
      <c r="FI15" s="272"/>
      <c r="FJ15" s="272"/>
      <c r="FK15" s="272"/>
      <c r="FL15" s="272"/>
      <c r="FM15" s="272"/>
      <c r="FN15" s="272"/>
      <c r="FO15" s="272"/>
      <c r="FP15" s="272"/>
      <c r="FQ15" s="272"/>
      <c r="FR15" s="272"/>
      <c r="FS15" s="272"/>
      <c r="FT15" s="272"/>
      <c r="FU15" s="272"/>
      <c r="FV15" s="272"/>
      <c r="FW15" s="272"/>
      <c r="FX15" s="272"/>
      <c r="FY15" s="272"/>
      <c r="FZ15" s="272"/>
      <c r="GA15" s="272"/>
      <c r="GB15" s="272"/>
      <c r="GC15" s="272"/>
      <c r="GD15" s="272"/>
      <c r="GE15" s="272"/>
      <c r="GF15" s="272"/>
      <c r="GG15" s="272"/>
      <c r="GH15" s="272"/>
      <c r="GI15" s="272"/>
      <c r="GJ15" s="272"/>
      <c r="GK15" s="272"/>
      <c r="GL15" s="272"/>
      <c r="GM15" s="272"/>
      <c r="GN15" s="272"/>
      <c r="GO15" s="272"/>
      <c r="GP15" s="272"/>
      <c r="GQ15" s="272"/>
      <c r="GR15" s="272"/>
      <c r="GS15" s="272"/>
      <c r="GT15" s="272"/>
      <c r="GU15" s="272"/>
      <c r="GV15" s="272"/>
      <c r="GW15" s="272"/>
      <c r="GX15" s="272"/>
      <c r="GY15" s="272"/>
      <c r="GZ15" s="272"/>
      <c r="HA15" s="272"/>
      <c r="HB15" s="272"/>
      <c r="HC15" s="272"/>
      <c r="HD15" s="272"/>
      <c r="HE15" s="272"/>
      <c r="HF15" s="272"/>
      <c r="HG15" s="272"/>
      <c r="HH15" s="272"/>
      <c r="HI15" s="272"/>
      <c r="HJ15" s="272"/>
      <c r="HK15" s="272"/>
      <c r="HL15" s="272"/>
      <c r="HM15" s="272"/>
      <c r="HN15" s="272"/>
      <c r="HO15" s="272"/>
      <c r="HP15" s="272"/>
      <c r="HQ15" s="272"/>
      <c r="HR15" s="272"/>
      <c r="HS15" s="272"/>
      <c r="HT15" s="272"/>
      <c r="HU15" s="272"/>
      <c r="HV15" s="272"/>
      <c r="HW15" s="272"/>
      <c r="HX15" s="272"/>
      <c r="HY15" s="272"/>
      <c r="HZ15" s="272"/>
      <c r="IA15" s="272"/>
      <c r="IB15" s="272"/>
      <c r="IC15" s="272"/>
      <c r="ID15" s="272"/>
      <c r="IE15" s="272"/>
      <c r="IF15" s="272"/>
      <c r="IG15" s="272"/>
      <c r="IH15" s="272"/>
      <c r="II15" s="272"/>
      <c r="IJ15" s="272"/>
      <c r="IK15" s="272"/>
      <c r="IL15" s="272"/>
      <c r="IM15" s="272"/>
      <c r="IN15" s="272"/>
      <c r="IO15" s="272"/>
      <c r="IP15" s="272"/>
      <c r="IQ15" s="272"/>
      <c r="IR15" s="272"/>
      <c r="IS15" s="272"/>
      <c r="IT15" s="272"/>
      <c r="IU15" s="272"/>
      <c r="IV15" s="272"/>
      <c r="IW15" s="272"/>
      <c r="IX15" s="272"/>
      <c r="IY15" s="272"/>
      <c r="IZ15" s="272"/>
      <c r="JA15" s="272"/>
      <c r="JB15" s="272"/>
      <c r="JC15" s="272"/>
      <c r="JD15" s="272"/>
      <c r="JE15" s="272"/>
      <c r="JF15" s="272"/>
      <c r="JI15" s="1097"/>
      <c r="JJ15" s="1097"/>
      <c r="JK15" s="1097"/>
      <c r="JL15" s="1097"/>
      <c r="JM15" s="1097"/>
      <c r="JN15" s="1097"/>
      <c r="JO15" s="1097"/>
      <c r="JP15" s="1097"/>
      <c r="JQ15" s="1097"/>
      <c r="JR15" s="1097"/>
      <c r="JS15" s="1097"/>
      <c r="JT15" s="1097"/>
      <c r="JU15" s="1097"/>
      <c r="JV15" s="1097"/>
      <c r="JW15" s="1097"/>
      <c r="JX15" s="1097"/>
      <c r="JY15" s="1097"/>
      <c r="JZ15" s="1097"/>
      <c r="KA15" s="1097"/>
      <c r="KB15" s="1097"/>
      <c r="KC15" s="1097"/>
      <c r="KD15" s="1097"/>
      <c r="KE15" s="1097"/>
      <c r="KF15" s="1097"/>
      <c r="KG15" s="1097"/>
      <c r="KH15" s="1097"/>
      <c r="KI15" s="1097"/>
      <c r="KJ15" s="1097"/>
      <c r="KK15" s="1097"/>
      <c r="KL15" s="1097"/>
      <c r="KM15" s="1097"/>
      <c r="KN15" s="1097"/>
      <c r="KO15" s="1097"/>
      <c r="KP15" s="1097"/>
      <c r="KQ15" s="1097"/>
      <c r="KR15" s="1097"/>
      <c r="KS15" s="1097"/>
      <c r="KT15" s="1097"/>
      <c r="KU15" s="1097"/>
      <c r="KV15" s="1097"/>
      <c r="KW15" s="1097"/>
      <c r="KX15" s="1097"/>
      <c r="KY15" s="1097"/>
      <c r="KZ15" s="1097"/>
      <c r="LA15" s="1097"/>
      <c r="LB15" s="1097"/>
      <c r="LC15" s="1097"/>
      <c r="LD15" s="1097"/>
      <c r="LE15" s="1097"/>
      <c r="LF15" s="1097"/>
      <c r="LG15" s="1097"/>
      <c r="LH15" s="1097"/>
      <c r="LI15" s="1097"/>
      <c r="LJ15" s="1097"/>
      <c r="LK15" s="1097"/>
      <c r="LL15" s="1097"/>
      <c r="LM15" s="1097"/>
      <c r="LN15" s="1097"/>
      <c r="LO15" s="1097"/>
      <c r="LP15" s="1097"/>
      <c r="LQ15" s="1097"/>
      <c r="LR15" s="1097"/>
      <c r="LS15" s="1097"/>
      <c r="LT15" s="1097"/>
      <c r="LU15" s="1097"/>
    </row>
    <row r="16" spans="2:333" ht="17.25" thickBot="1" x14ac:dyDescent="0.35">
      <c r="B16" s="1005"/>
      <c r="C16" s="270" t="s">
        <v>6158</v>
      </c>
      <c r="D16" s="274"/>
      <c r="E16" s="274"/>
      <c r="F16" s="274"/>
      <c r="G16" s="274"/>
      <c r="H16" s="274"/>
      <c r="I16" s="274"/>
      <c r="J16" s="291"/>
      <c r="K16" s="274"/>
      <c r="L16" s="274">
        <f>+L15/L14</f>
        <v>1</v>
      </c>
      <c r="M16" s="274"/>
      <c r="N16" s="274"/>
      <c r="O16" s="274">
        <f>+O15/O14</f>
        <v>1</v>
      </c>
      <c r="P16" s="274">
        <f>+P15/P14</f>
        <v>1</v>
      </c>
      <c r="Q16" s="274"/>
      <c r="R16" s="274"/>
      <c r="S16" s="274"/>
      <c r="T16" s="274"/>
      <c r="U16" s="274">
        <f>+U15/U14</f>
        <v>0</v>
      </c>
      <c r="V16" s="291"/>
      <c r="W16" s="274">
        <f>+W15/W14</f>
        <v>0</v>
      </c>
      <c r="X16" s="274"/>
      <c r="Y16" s="274"/>
      <c r="Z16" s="274">
        <f>+Z15/Z14</f>
        <v>0</v>
      </c>
      <c r="AA16" s="274"/>
      <c r="AB16" s="274"/>
      <c r="AC16" s="274"/>
      <c r="AD16" s="274"/>
      <c r="AE16" s="274">
        <f>+AE15/AE14</f>
        <v>0</v>
      </c>
      <c r="AF16" s="274">
        <f>+AF15/AF14</f>
        <v>1</v>
      </c>
      <c r="AG16" s="274">
        <f>+AG15/AG14</f>
        <v>0</v>
      </c>
      <c r="AH16" s="291"/>
      <c r="AI16" s="274"/>
      <c r="AJ16" s="274"/>
      <c r="AK16" s="274"/>
      <c r="AL16" s="274"/>
      <c r="AM16" s="274"/>
      <c r="AN16" s="274">
        <f>+AN15/AN14</f>
        <v>0</v>
      </c>
      <c r="AO16" s="274">
        <f>+AO15/AO14</f>
        <v>0</v>
      </c>
      <c r="AP16" s="274"/>
      <c r="AQ16" s="274">
        <f>+AQ15/AQ14</f>
        <v>1</v>
      </c>
      <c r="AR16" s="274"/>
      <c r="AS16" s="274"/>
      <c r="AT16" s="290"/>
      <c r="AU16" s="274"/>
      <c r="AV16" s="274"/>
      <c r="AW16" s="274"/>
      <c r="AX16" s="274"/>
      <c r="AY16" s="274">
        <f>+AY15/AY14</f>
        <v>0</v>
      </c>
      <c r="AZ16" s="274"/>
      <c r="BA16" s="274"/>
      <c r="BB16" s="274"/>
      <c r="BC16" s="274"/>
      <c r="BD16" s="274"/>
      <c r="BE16" s="274">
        <f>+BE15/BE14</f>
        <v>1</v>
      </c>
      <c r="BF16" s="274"/>
      <c r="BG16" s="274"/>
      <c r="BH16" s="274"/>
      <c r="BI16" s="274"/>
      <c r="BJ16" s="274"/>
      <c r="BK16" s="274"/>
      <c r="BL16" s="274"/>
      <c r="BM16" s="274">
        <f>+BM15/BM14</f>
        <v>1</v>
      </c>
      <c r="BN16" s="274"/>
      <c r="BO16" s="274"/>
      <c r="BP16" s="274"/>
      <c r="BQ16" s="274"/>
      <c r="BR16" s="274"/>
      <c r="BS16" s="274"/>
      <c r="BT16" s="274"/>
      <c r="BU16" s="274">
        <f>+BU15/BU14</f>
        <v>1</v>
      </c>
      <c r="BV16" s="274">
        <f>+BV15/BV14</f>
        <v>0</v>
      </c>
      <c r="BW16" s="274"/>
      <c r="BX16" s="274">
        <f>+BX15/BX14</f>
        <v>0</v>
      </c>
      <c r="BY16" s="274"/>
      <c r="BZ16" s="274"/>
      <c r="CA16" s="274">
        <f>+CA15/CA14</f>
        <v>0</v>
      </c>
      <c r="CB16" s="274"/>
      <c r="CC16" s="274"/>
      <c r="CD16" s="274">
        <f>+CD15/CD14</f>
        <v>0</v>
      </c>
      <c r="CE16" s="274">
        <f>+CE15/CE14</f>
        <v>0</v>
      </c>
      <c r="CF16" s="274"/>
      <c r="CG16" s="274">
        <f>+CG15/CG14</f>
        <v>0</v>
      </c>
      <c r="CH16" s="274"/>
      <c r="CI16" s="274"/>
      <c r="CJ16" s="274"/>
      <c r="CK16" s="274"/>
      <c r="CL16" s="274"/>
      <c r="CM16" s="274"/>
      <c r="CN16" s="274"/>
      <c r="CO16" s="274"/>
      <c r="CP16" s="274"/>
      <c r="CQ16" s="274"/>
      <c r="CR16" s="274">
        <f>+CR15/CR14</f>
        <v>1</v>
      </c>
      <c r="CS16" s="274"/>
      <c r="CT16" s="274"/>
      <c r="CU16" s="274"/>
      <c r="CV16" s="274"/>
      <c r="CW16" s="274"/>
      <c r="CX16" s="274">
        <f>+CX15/CX14</f>
        <v>0</v>
      </c>
      <c r="CY16" s="274"/>
      <c r="CZ16" s="274"/>
      <c r="DA16" s="274"/>
      <c r="DB16" s="274"/>
      <c r="DC16" s="274"/>
      <c r="DD16" s="274"/>
      <c r="DE16" s="274"/>
      <c r="DF16" s="274"/>
      <c r="DG16" s="274"/>
      <c r="DH16" s="274"/>
      <c r="DI16" s="274"/>
      <c r="DJ16" s="274"/>
      <c r="DK16" s="274"/>
      <c r="DL16" s="274"/>
      <c r="DM16" s="274"/>
      <c r="DN16" s="274"/>
      <c r="DO16" s="274"/>
      <c r="DP16" s="274"/>
      <c r="DQ16" s="274"/>
      <c r="DR16" s="274"/>
      <c r="DS16" s="274"/>
      <c r="DT16" s="274"/>
      <c r="DU16" s="274"/>
      <c r="DV16" s="274"/>
      <c r="DW16" s="274"/>
      <c r="DX16" s="274"/>
      <c r="DY16" s="274"/>
      <c r="DZ16" s="274"/>
      <c r="EA16" s="274"/>
      <c r="EB16" s="274"/>
      <c r="EC16" s="274"/>
      <c r="ED16" s="274"/>
      <c r="EE16" s="274"/>
      <c r="EF16" s="274"/>
      <c r="EG16" s="274"/>
      <c r="EH16" s="274"/>
      <c r="EI16" s="274"/>
      <c r="EJ16" s="274"/>
      <c r="EK16" s="274"/>
      <c r="EL16" s="274"/>
      <c r="EM16" s="274"/>
      <c r="EN16" s="274"/>
      <c r="EO16" s="274"/>
      <c r="EP16" s="274"/>
      <c r="EQ16" s="274"/>
      <c r="ER16" s="274"/>
      <c r="ES16" s="274"/>
      <c r="ET16" s="274"/>
      <c r="EU16" s="274"/>
      <c r="EV16" s="274"/>
      <c r="EW16" s="274"/>
      <c r="EX16" s="274"/>
      <c r="EY16" s="274"/>
      <c r="EZ16" s="274"/>
      <c r="FA16" s="274"/>
      <c r="FB16" s="274"/>
      <c r="FC16" s="274"/>
      <c r="FD16" s="274"/>
      <c r="FE16" s="274"/>
      <c r="FF16" s="274"/>
      <c r="FG16" s="274"/>
      <c r="FH16" s="274"/>
      <c r="FI16" s="274"/>
      <c r="FJ16" s="274"/>
      <c r="FK16" s="274"/>
      <c r="FL16" s="274"/>
      <c r="FM16" s="274"/>
      <c r="FN16" s="274"/>
      <c r="FO16" s="274"/>
      <c r="FP16" s="274"/>
      <c r="FQ16" s="274"/>
      <c r="FR16" s="274"/>
      <c r="FS16" s="274"/>
      <c r="FT16" s="274"/>
      <c r="FU16" s="274"/>
      <c r="FV16" s="274"/>
      <c r="FW16" s="274"/>
      <c r="FX16" s="274"/>
      <c r="FY16" s="274"/>
      <c r="FZ16" s="274"/>
      <c r="GA16" s="274"/>
      <c r="GB16" s="274"/>
      <c r="GC16" s="274"/>
      <c r="GD16" s="274"/>
      <c r="GE16" s="274"/>
      <c r="GF16" s="274"/>
      <c r="GG16" s="274"/>
      <c r="GH16" s="274"/>
      <c r="GI16" s="274"/>
      <c r="GJ16" s="274"/>
      <c r="GK16" s="274"/>
      <c r="GL16" s="274"/>
      <c r="GM16" s="274"/>
      <c r="GN16" s="274"/>
      <c r="GO16" s="274"/>
      <c r="GP16" s="274"/>
      <c r="GQ16" s="274"/>
      <c r="GR16" s="274"/>
      <c r="GS16" s="274"/>
      <c r="GT16" s="274"/>
      <c r="GU16" s="274"/>
      <c r="GV16" s="274"/>
      <c r="GW16" s="274"/>
      <c r="GX16" s="274"/>
      <c r="GY16" s="274"/>
      <c r="GZ16" s="274"/>
      <c r="HA16" s="274"/>
      <c r="HB16" s="274"/>
      <c r="HC16" s="274"/>
      <c r="HD16" s="274"/>
      <c r="HE16" s="274"/>
      <c r="HF16" s="274"/>
      <c r="HG16" s="274"/>
      <c r="HH16" s="274"/>
      <c r="HI16" s="274"/>
      <c r="HJ16" s="274"/>
      <c r="HK16" s="274"/>
      <c r="HL16" s="274"/>
      <c r="HM16" s="274"/>
      <c r="HN16" s="274"/>
      <c r="HO16" s="274"/>
      <c r="HP16" s="274"/>
      <c r="HQ16" s="274"/>
      <c r="HR16" s="274"/>
      <c r="HS16" s="274"/>
      <c r="HT16" s="274"/>
      <c r="HU16" s="274"/>
      <c r="HV16" s="274"/>
      <c r="HW16" s="274"/>
      <c r="HX16" s="274"/>
      <c r="HY16" s="274"/>
      <c r="HZ16" s="274"/>
      <c r="IA16" s="274"/>
      <c r="IB16" s="274"/>
      <c r="IC16" s="274"/>
      <c r="ID16" s="274"/>
      <c r="IE16" s="274"/>
      <c r="IF16" s="274"/>
      <c r="IG16" s="274"/>
      <c r="IH16" s="274"/>
      <c r="II16" s="274"/>
      <c r="IJ16" s="274"/>
      <c r="IK16" s="274"/>
      <c r="IL16" s="274"/>
      <c r="IM16" s="274"/>
      <c r="IN16" s="274"/>
      <c r="IO16" s="274"/>
      <c r="IP16" s="274"/>
      <c r="IQ16" s="274"/>
      <c r="IR16" s="274"/>
      <c r="IS16" s="274"/>
      <c r="IT16" s="274"/>
      <c r="IU16" s="274"/>
      <c r="IV16" s="274"/>
      <c r="IW16" s="274"/>
      <c r="IX16" s="274"/>
      <c r="IY16" s="274"/>
      <c r="IZ16" s="274"/>
      <c r="JA16" s="274"/>
      <c r="JB16" s="274"/>
      <c r="JC16" s="274"/>
      <c r="JD16" s="274"/>
      <c r="JE16" s="274"/>
      <c r="JF16" s="275"/>
      <c r="JI16" s="1098"/>
      <c r="JJ16" s="1098"/>
      <c r="JK16" s="1098"/>
      <c r="JL16" s="1098"/>
      <c r="JM16" s="1098"/>
      <c r="JN16" s="1098"/>
      <c r="JO16" s="1098"/>
      <c r="JP16" s="1098"/>
      <c r="JQ16" s="1098"/>
      <c r="JR16" s="1098"/>
      <c r="JS16" s="1098"/>
      <c r="JT16" s="1098"/>
      <c r="JU16" s="1098"/>
      <c r="JV16" s="1098"/>
      <c r="JW16" s="1098"/>
      <c r="JX16" s="1098"/>
      <c r="JY16" s="1098"/>
      <c r="JZ16" s="1098"/>
      <c r="KA16" s="1098"/>
      <c r="KB16" s="1098"/>
      <c r="KC16" s="1098"/>
      <c r="KD16" s="1098"/>
      <c r="KE16" s="1098"/>
      <c r="KF16" s="1098"/>
      <c r="KG16" s="1098"/>
      <c r="KH16" s="1098"/>
      <c r="KI16" s="1098"/>
      <c r="KJ16" s="1098"/>
      <c r="KK16" s="1098"/>
      <c r="KL16" s="1098"/>
      <c r="KM16" s="1098"/>
      <c r="KN16" s="1098"/>
      <c r="KO16" s="1098"/>
      <c r="KP16" s="1098"/>
      <c r="KQ16" s="1098"/>
      <c r="KR16" s="1098"/>
      <c r="KS16" s="1098"/>
      <c r="KT16" s="1098"/>
      <c r="KU16" s="1098"/>
      <c r="KV16" s="1098"/>
      <c r="KW16" s="1098"/>
      <c r="KX16" s="1098"/>
      <c r="KY16" s="1098"/>
      <c r="KZ16" s="1098"/>
      <c r="LA16" s="1098"/>
      <c r="LB16" s="1098"/>
      <c r="LC16" s="1098"/>
      <c r="LD16" s="1098"/>
      <c r="LE16" s="1098"/>
      <c r="LF16" s="1098"/>
      <c r="LG16" s="1098"/>
      <c r="LH16" s="1098"/>
      <c r="LI16" s="1098"/>
      <c r="LJ16" s="1098"/>
      <c r="LK16" s="1098"/>
      <c r="LL16" s="1098"/>
      <c r="LM16" s="1098"/>
      <c r="LN16" s="1098"/>
      <c r="LO16" s="1098"/>
      <c r="LP16" s="1098"/>
      <c r="LQ16" s="1098"/>
      <c r="LR16" s="1098"/>
      <c r="LS16" s="1098"/>
      <c r="LT16" s="1098"/>
      <c r="LU16" s="1098"/>
    </row>
    <row r="17" spans="2:333" ht="16.5" x14ac:dyDescent="0.3">
      <c r="B17" s="1004" t="s">
        <v>118</v>
      </c>
      <c r="C17" s="269" t="s">
        <v>6156</v>
      </c>
      <c r="D17" s="271">
        <v>0</v>
      </c>
      <c r="E17" s="271">
        <v>0</v>
      </c>
      <c r="F17" s="271">
        <f>COUNTA(Ecuador!AD18)</f>
        <v>1</v>
      </c>
      <c r="G17" s="271">
        <v>0</v>
      </c>
      <c r="H17" s="271">
        <f>COUNTA(Ecuador!AD19)</f>
        <v>1</v>
      </c>
      <c r="I17" s="271">
        <v>0</v>
      </c>
      <c r="J17" s="288"/>
      <c r="K17" s="271">
        <v>0</v>
      </c>
      <c r="L17" s="271">
        <f>COUNTA(Ecuador!AD28)</f>
        <v>1</v>
      </c>
      <c r="M17" s="271">
        <v>0</v>
      </c>
      <c r="N17" s="271">
        <v>0</v>
      </c>
      <c r="O17" s="271">
        <v>0</v>
      </c>
      <c r="P17" s="271">
        <f>COUNTA(Ecuador!AD29:AD30)</f>
        <v>2</v>
      </c>
      <c r="Q17" s="271">
        <v>0</v>
      </c>
      <c r="R17" s="271">
        <v>0</v>
      </c>
      <c r="S17" s="271">
        <v>0</v>
      </c>
      <c r="T17" s="271">
        <f>COUNTA(Ecuador!AD31)</f>
        <v>1</v>
      </c>
      <c r="U17" s="271">
        <v>0</v>
      </c>
      <c r="V17" s="288"/>
      <c r="W17" s="271">
        <v>0</v>
      </c>
      <c r="X17" s="271">
        <v>0</v>
      </c>
      <c r="Y17" s="271">
        <v>0</v>
      </c>
      <c r="Z17" s="271">
        <v>0</v>
      </c>
      <c r="AA17" s="271">
        <f>COUNTA(Ecuador!AD40)</f>
        <v>1</v>
      </c>
      <c r="AB17" s="271">
        <v>0</v>
      </c>
      <c r="AC17" s="271">
        <v>0</v>
      </c>
      <c r="AD17" s="271">
        <v>0</v>
      </c>
      <c r="AE17" s="271">
        <f>COUNTA(Ecuador!AD41)</f>
        <v>1</v>
      </c>
      <c r="AF17" s="271">
        <v>0</v>
      </c>
      <c r="AG17" s="271">
        <v>0</v>
      </c>
      <c r="AH17" s="288"/>
      <c r="AI17" s="271">
        <v>0</v>
      </c>
      <c r="AJ17" s="271">
        <v>0</v>
      </c>
      <c r="AK17" s="271">
        <v>0</v>
      </c>
      <c r="AL17" s="271">
        <f>COUNTA(Ecuador!AD51)</f>
        <v>1</v>
      </c>
      <c r="AM17" s="271">
        <v>0</v>
      </c>
      <c r="AN17" s="271">
        <v>0</v>
      </c>
      <c r="AO17" s="271">
        <v>0</v>
      </c>
      <c r="AP17" s="271">
        <v>0</v>
      </c>
      <c r="AQ17" s="271">
        <v>0</v>
      </c>
      <c r="AR17" s="271">
        <v>0</v>
      </c>
      <c r="AS17" s="271">
        <v>0</v>
      </c>
      <c r="AT17" s="288"/>
      <c r="AU17" s="271">
        <v>0</v>
      </c>
      <c r="AV17" s="271">
        <v>0</v>
      </c>
      <c r="AW17" s="271">
        <f>COUNTA(Ecuador!AD62)</f>
        <v>1</v>
      </c>
      <c r="AX17" s="271">
        <v>0</v>
      </c>
      <c r="AY17" s="271">
        <v>0</v>
      </c>
      <c r="AZ17" s="271">
        <v>0</v>
      </c>
      <c r="BA17" s="271">
        <v>0</v>
      </c>
      <c r="BB17" s="271">
        <v>0</v>
      </c>
      <c r="BC17" s="271">
        <v>0</v>
      </c>
      <c r="BD17" s="271">
        <v>0</v>
      </c>
      <c r="BE17" s="271">
        <v>0</v>
      </c>
      <c r="BF17" s="271">
        <v>0</v>
      </c>
      <c r="BG17" s="271">
        <f>COUNTA(Ecuador!AD73:AD74)</f>
        <v>2</v>
      </c>
      <c r="BH17" s="271">
        <v>0</v>
      </c>
      <c r="BI17" s="271">
        <v>0</v>
      </c>
      <c r="BJ17" s="271">
        <v>0</v>
      </c>
      <c r="BK17" s="271">
        <v>0</v>
      </c>
      <c r="BL17" s="271">
        <v>0</v>
      </c>
      <c r="BM17" s="271">
        <v>0</v>
      </c>
      <c r="BN17" s="271">
        <v>0</v>
      </c>
      <c r="BO17" s="271">
        <v>0</v>
      </c>
      <c r="BP17" s="271">
        <v>0</v>
      </c>
      <c r="BQ17" s="271">
        <f>COUNTA(Ecuador!AD75)</f>
        <v>1</v>
      </c>
      <c r="BR17" s="271">
        <v>0</v>
      </c>
      <c r="BS17" s="271">
        <v>0</v>
      </c>
      <c r="BT17" s="271">
        <v>0</v>
      </c>
      <c r="BU17" s="271">
        <v>0</v>
      </c>
      <c r="BV17" s="271">
        <v>0</v>
      </c>
      <c r="BW17" s="271">
        <v>0</v>
      </c>
      <c r="BX17" s="271">
        <v>0</v>
      </c>
      <c r="BY17" s="271">
        <v>0</v>
      </c>
      <c r="BZ17" s="271">
        <f>COUNTA(Ecuador!AD87)</f>
        <v>1</v>
      </c>
      <c r="CA17" s="271">
        <v>0</v>
      </c>
      <c r="CB17" s="271">
        <v>0</v>
      </c>
      <c r="CC17" s="271">
        <v>0</v>
      </c>
      <c r="CD17" s="271">
        <v>0</v>
      </c>
      <c r="CE17" s="271">
        <v>0</v>
      </c>
      <c r="CF17" s="271">
        <v>0</v>
      </c>
      <c r="CG17" s="271">
        <v>0</v>
      </c>
      <c r="CH17" s="271">
        <v>0</v>
      </c>
      <c r="CI17" s="271">
        <v>0</v>
      </c>
      <c r="CJ17" s="271">
        <f>COUNTA(Ecuador!AD98)</f>
        <v>1</v>
      </c>
      <c r="CK17" s="271">
        <v>0</v>
      </c>
      <c r="CL17" s="271">
        <f>COUNTA(Ecuador!AD99)</f>
        <v>1</v>
      </c>
      <c r="CM17" s="271">
        <v>0</v>
      </c>
      <c r="CN17" s="271">
        <v>0</v>
      </c>
      <c r="CO17" s="271">
        <v>0</v>
      </c>
      <c r="CP17" s="271">
        <v>0</v>
      </c>
      <c r="CQ17" s="271">
        <f>COUNTA(Ecuador!AD111)</f>
        <v>1</v>
      </c>
      <c r="CR17" s="271">
        <v>0</v>
      </c>
      <c r="CS17" s="271">
        <v>0</v>
      </c>
      <c r="CT17" s="271">
        <v>0</v>
      </c>
      <c r="CU17" s="271">
        <v>0</v>
      </c>
      <c r="CV17" s="271">
        <v>0</v>
      </c>
      <c r="CW17" s="271">
        <v>0</v>
      </c>
      <c r="CX17" s="271">
        <f>COUNTA(Ecuador!AD112)</f>
        <v>1</v>
      </c>
      <c r="CY17" s="271">
        <v>0</v>
      </c>
      <c r="CZ17" s="271">
        <v>0</v>
      </c>
      <c r="DA17" s="271">
        <v>0</v>
      </c>
      <c r="DB17" s="271">
        <v>0</v>
      </c>
      <c r="DC17" s="271">
        <v>0</v>
      </c>
      <c r="DD17" s="271">
        <v>0</v>
      </c>
      <c r="DE17" s="271">
        <v>0</v>
      </c>
      <c r="DF17" s="271">
        <v>0</v>
      </c>
      <c r="DG17" s="271">
        <v>0</v>
      </c>
      <c r="DH17" s="271">
        <v>0</v>
      </c>
      <c r="DI17" s="271">
        <v>0</v>
      </c>
      <c r="DJ17" s="271">
        <v>0</v>
      </c>
      <c r="DK17" s="271">
        <v>0</v>
      </c>
      <c r="DL17" s="271">
        <v>0</v>
      </c>
      <c r="DM17" s="271">
        <v>0</v>
      </c>
      <c r="DN17" s="271">
        <v>0</v>
      </c>
      <c r="DO17" s="271">
        <f>+COUNTA(Ecuador!AD122)</f>
        <v>1</v>
      </c>
      <c r="DP17" s="271">
        <f>+COUNTA(Ecuador!AD123:AD125)</f>
        <v>3</v>
      </c>
      <c r="DQ17" s="271">
        <v>0</v>
      </c>
      <c r="DR17" s="271">
        <v>0</v>
      </c>
      <c r="DS17" s="271">
        <v>0</v>
      </c>
      <c r="DT17" s="271">
        <v>0</v>
      </c>
      <c r="DU17" s="271">
        <v>0</v>
      </c>
      <c r="DV17" s="271">
        <v>0</v>
      </c>
      <c r="DW17" s="271">
        <v>0</v>
      </c>
      <c r="DX17" s="271">
        <v>0</v>
      </c>
      <c r="DY17" s="271">
        <v>0</v>
      </c>
      <c r="DZ17" s="271">
        <v>0</v>
      </c>
      <c r="EA17" s="271">
        <v>0</v>
      </c>
      <c r="EB17" s="271">
        <f>+COUNTA(Ecuador!AD136)</f>
        <v>1</v>
      </c>
      <c r="EC17" s="271">
        <v>0</v>
      </c>
      <c r="ED17" s="271">
        <v>0</v>
      </c>
      <c r="EE17" s="271">
        <v>0</v>
      </c>
      <c r="EF17" s="271">
        <f>+COUNTA(Ecuador!AD138:AD138)</f>
        <v>1</v>
      </c>
      <c r="EG17" s="271">
        <v>0</v>
      </c>
      <c r="EH17" s="271">
        <v>0</v>
      </c>
      <c r="EI17" s="271">
        <v>0</v>
      </c>
      <c r="EJ17" s="271">
        <v>0</v>
      </c>
      <c r="EK17" s="271">
        <f>+COUNTA(Ecuador!AD148)</f>
        <v>1</v>
      </c>
      <c r="EL17" s="271">
        <v>0</v>
      </c>
      <c r="EM17" s="271">
        <v>0</v>
      </c>
      <c r="EN17" s="271">
        <v>0</v>
      </c>
      <c r="EO17" s="271">
        <v>0</v>
      </c>
      <c r="EP17" s="271">
        <v>0</v>
      </c>
      <c r="EQ17" s="271">
        <v>0</v>
      </c>
      <c r="ER17" s="271">
        <v>0</v>
      </c>
      <c r="ES17" s="271">
        <f>+COUNTA(Ecuador!AD149)</f>
        <v>1</v>
      </c>
      <c r="ET17" s="271">
        <v>0</v>
      </c>
      <c r="EU17" s="271">
        <v>0</v>
      </c>
      <c r="EV17" s="271">
        <v>0</v>
      </c>
      <c r="EW17" s="271">
        <v>0</v>
      </c>
      <c r="EX17" s="271">
        <v>0</v>
      </c>
      <c r="EY17" s="271">
        <v>0</v>
      </c>
      <c r="EZ17" s="271">
        <v>0</v>
      </c>
      <c r="FA17" s="271">
        <v>0</v>
      </c>
      <c r="FB17" s="271">
        <v>0</v>
      </c>
      <c r="FC17" s="271">
        <f>+COUNTA(Ecuador!AD164)</f>
        <v>1</v>
      </c>
      <c r="FD17" s="271">
        <v>0</v>
      </c>
      <c r="FE17" s="271">
        <v>0</v>
      </c>
      <c r="FF17" s="271">
        <v>0</v>
      </c>
      <c r="FG17" s="271">
        <v>0</v>
      </c>
      <c r="FH17" s="271">
        <v>0</v>
      </c>
      <c r="FI17" s="271">
        <v>0</v>
      </c>
      <c r="FJ17" s="271">
        <v>0</v>
      </c>
      <c r="FK17" s="271">
        <v>0</v>
      </c>
      <c r="FL17" s="271">
        <v>0</v>
      </c>
      <c r="FM17" s="271">
        <v>0</v>
      </c>
      <c r="FN17" s="271">
        <v>0</v>
      </c>
      <c r="FO17" s="271">
        <v>0</v>
      </c>
      <c r="FP17" s="271">
        <f>+COUNTA(Ecuador!AD178)</f>
        <v>1</v>
      </c>
      <c r="FQ17" s="271">
        <v>0</v>
      </c>
      <c r="FR17" s="271">
        <v>0</v>
      </c>
      <c r="FS17" s="271">
        <v>0</v>
      </c>
      <c r="FT17" s="271">
        <v>0</v>
      </c>
      <c r="FU17" s="271">
        <v>0</v>
      </c>
      <c r="FV17" s="271">
        <v>0</v>
      </c>
      <c r="FW17" s="271">
        <v>0</v>
      </c>
      <c r="FX17" s="271">
        <v>0</v>
      </c>
      <c r="FY17" s="271">
        <v>0</v>
      </c>
      <c r="FZ17" s="271">
        <v>0</v>
      </c>
      <c r="GA17" s="271">
        <v>0</v>
      </c>
      <c r="GB17" s="271">
        <v>0</v>
      </c>
      <c r="GC17" s="271">
        <v>0</v>
      </c>
      <c r="GD17" s="271">
        <v>0</v>
      </c>
      <c r="GE17" s="271">
        <v>0</v>
      </c>
      <c r="GF17" s="271">
        <v>0</v>
      </c>
      <c r="GG17" s="271">
        <v>0</v>
      </c>
      <c r="GH17" s="271">
        <v>0</v>
      </c>
      <c r="GI17" s="271">
        <v>0</v>
      </c>
      <c r="GJ17" s="271">
        <v>0</v>
      </c>
      <c r="GK17" s="271">
        <f>+COUNTA(Ecuador!AD187:AD188)</f>
        <v>2</v>
      </c>
      <c r="GL17" s="271">
        <v>0</v>
      </c>
      <c r="GM17" s="271">
        <v>0</v>
      </c>
      <c r="GN17" s="271">
        <v>0</v>
      </c>
      <c r="GO17" s="271">
        <v>0</v>
      </c>
      <c r="GP17" s="271">
        <v>0</v>
      </c>
      <c r="GQ17" s="271">
        <v>0</v>
      </c>
      <c r="GR17" s="271">
        <v>0</v>
      </c>
      <c r="GS17" s="271">
        <v>0</v>
      </c>
      <c r="GT17" s="271">
        <v>0</v>
      </c>
      <c r="GU17" s="271">
        <v>0</v>
      </c>
      <c r="GV17" s="271">
        <v>0</v>
      </c>
      <c r="GW17" s="271">
        <f>+COUNTA(Ecuador!AD197)</f>
        <v>1</v>
      </c>
      <c r="GX17" s="271">
        <v>0</v>
      </c>
      <c r="GY17" s="271">
        <v>0</v>
      </c>
      <c r="GZ17" s="271">
        <v>0</v>
      </c>
      <c r="HA17" s="271">
        <v>0</v>
      </c>
      <c r="HB17" s="271">
        <v>0</v>
      </c>
      <c r="HC17" s="271">
        <v>0</v>
      </c>
      <c r="HD17" s="271">
        <v>0</v>
      </c>
      <c r="HE17" s="271">
        <v>0</v>
      </c>
      <c r="HF17" s="271">
        <v>0</v>
      </c>
      <c r="HG17" s="271">
        <v>0</v>
      </c>
      <c r="HH17" s="271">
        <v>0</v>
      </c>
      <c r="HI17" s="271">
        <v>0</v>
      </c>
      <c r="HJ17" s="271">
        <v>0</v>
      </c>
      <c r="HK17" s="271">
        <v>0</v>
      </c>
      <c r="HL17" s="271">
        <v>0</v>
      </c>
      <c r="HM17" s="271">
        <v>0</v>
      </c>
      <c r="HN17" s="271">
        <v>0</v>
      </c>
      <c r="HO17" s="271">
        <v>0</v>
      </c>
      <c r="HP17" s="271">
        <v>0</v>
      </c>
      <c r="HQ17" s="271">
        <v>0</v>
      </c>
      <c r="HR17" s="271">
        <v>0</v>
      </c>
      <c r="HS17" s="271">
        <v>0</v>
      </c>
      <c r="HT17" s="271">
        <v>0</v>
      </c>
      <c r="HU17" s="271">
        <v>0</v>
      </c>
      <c r="HV17" s="271">
        <v>0</v>
      </c>
      <c r="HW17" s="271">
        <v>0</v>
      </c>
      <c r="HX17" s="271">
        <v>0</v>
      </c>
      <c r="HY17" s="271">
        <v>0</v>
      </c>
      <c r="HZ17" s="271">
        <v>0</v>
      </c>
      <c r="IA17" s="271">
        <v>0</v>
      </c>
      <c r="IB17" s="271">
        <v>0</v>
      </c>
      <c r="IC17" s="271">
        <v>0</v>
      </c>
      <c r="ID17" s="271">
        <v>0</v>
      </c>
      <c r="IE17" s="271">
        <v>0</v>
      </c>
      <c r="IF17" s="271">
        <v>0</v>
      </c>
      <c r="IG17" s="271">
        <v>0</v>
      </c>
      <c r="IH17" s="271">
        <v>0</v>
      </c>
      <c r="II17" s="271">
        <v>0</v>
      </c>
      <c r="IJ17" s="271">
        <v>0</v>
      </c>
      <c r="IK17" s="271">
        <v>0</v>
      </c>
      <c r="IL17" s="271">
        <v>0</v>
      </c>
      <c r="IM17" s="271">
        <v>0</v>
      </c>
      <c r="IN17" s="271">
        <v>0</v>
      </c>
      <c r="IO17" s="271">
        <v>0</v>
      </c>
      <c r="IP17" s="271">
        <v>0</v>
      </c>
      <c r="IQ17" s="271">
        <v>0</v>
      </c>
      <c r="IR17" s="271">
        <v>0</v>
      </c>
      <c r="IS17" s="271">
        <v>0</v>
      </c>
      <c r="IT17" s="271">
        <v>0</v>
      </c>
      <c r="IU17" s="271">
        <v>0</v>
      </c>
      <c r="IV17" s="271">
        <v>0</v>
      </c>
      <c r="IW17" s="271">
        <v>0</v>
      </c>
      <c r="IX17" s="271">
        <v>0</v>
      </c>
      <c r="IY17" s="271">
        <v>0</v>
      </c>
      <c r="IZ17" s="271">
        <v>0</v>
      </c>
      <c r="JA17" s="271">
        <v>0</v>
      </c>
      <c r="JB17" s="271">
        <v>0</v>
      </c>
      <c r="JC17" s="271">
        <v>0</v>
      </c>
      <c r="JD17" s="271">
        <v>0</v>
      </c>
      <c r="JE17" s="271">
        <v>0</v>
      </c>
      <c r="JF17" s="361">
        <f>SUM(D17:JE17)</f>
        <v>31</v>
      </c>
      <c r="JI17" s="1097">
        <v>0</v>
      </c>
      <c r="JJ17" s="1097">
        <v>0</v>
      </c>
      <c r="JK17" s="1097">
        <f>+COUNTA(Ecuador!AH197)</f>
        <v>1</v>
      </c>
      <c r="JL17" s="1097">
        <v>0</v>
      </c>
      <c r="JM17" s="1097">
        <v>0</v>
      </c>
      <c r="JN17" s="1097">
        <v>0</v>
      </c>
      <c r="JO17" s="1097">
        <v>0</v>
      </c>
      <c r="JP17" s="1097">
        <v>0</v>
      </c>
      <c r="JQ17" s="1097">
        <v>0</v>
      </c>
      <c r="JR17" s="1097">
        <v>0</v>
      </c>
      <c r="JS17" s="1097">
        <v>0</v>
      </c>
      <c r="JT17" s="1097">
        <v>0</v>
      </c>
      <c r="JU17" s="1097">
        <v>0</v>
      </c>
      <c r="JV17" s="1097">
        <v>0</v>
      </c>
      <c r="JW17" s="1097">
        <v>0</v>
      </c>
      <c r="JX17" s="1097">
        <v>0</v>
      </c>
      <c r="JY17" s="1097">
        <v>0</v>
      </c>
      <c r="JZ17" s="1097">
        <v>0</v>
      </c>
      <c r="KA17" s="1097">
        <v>0</v>
      </c>
      <c r="KB17" s="1097">
        <v>0</v>
      </c>
      <c r="KC17" s="1097">
        <v>0</v>
      </c>
      <c r="KD17" s="1097">
        <v>0</v>
      </c>
      <c r="KE17" s="1097">
        <v>0</v>
      </c>
      <c r="KF17" s="1097">
        <v>0</v>
      </c>
      <c r="KG17" s="1097"/>
      <c r="KH17" s="1097"/>
      <c r="KI17" s="1097"/>
      <c r="KJ17" s="1097"/>
      <c r="KK17" s="1097"/>
      <c r="KL17" s="1097"/>
      <c r="KM17" s="1097"/>
      <c r="KN17" s="1097"/>
      <c r="KO17" s="1097"/>
      <c r="KP17" s="1097"/>
      <c r="KQ17" s="1097"/>
      <c r="KR17" s="1097"/>
      <c r="KS17" s="1097"/>
      <c r="KT17" s="1097"/>
      <c r="KU17" s="1097"/>
      <c r="KV17" s="1097"/>
      <c r="KW17" s="1097"/>
      <c r="KX17" s="1097"/>
      <c r="KY17" s="1097"/>
      <c r="KZ17" s="1097"/>
      <c r="LA17" s="1097"/>
      <c r="LB17" s="1097"/>
      <c r="LC17" s="1097"/>
      <c r="LD17" s="1097"/>
      <c r="LE17" s="1097"/>
      <c r="LF17" s="1097"/>
      <c r="LG17" s="1097"/>
      <c r="LH17" s="1097"/>
      <c r="LI17" s="1097"/>
      <c r="LJ17" s="1097"/>
      <c r="LK17" s="1097"/>
      <c r="LL17" s="1097"/>
      <c r="LM17" s="1097"/>
      <c r="LN17" s="1097"/>
      <c r="LO17" s="1097"/>
      <c r="LP17" s="1097"/>
      <c r="LQ17" s="1097"/>
      <c r="LR17" s="1097"/>
      <c r="LS17" s="1097"/>
      <c r="LT17" s="1097"/>
      <c r="LU17" s="1097"/>
    </row>
    <row r="18" spans="2:333" ht="16.5" x14ac:dyDescent="0.3">
      <c r="B18" s="1003"/>
      <c r="C18" s="273" t="s">
        <v>6157</v>
      </c>
      <c r="D18" s="272"/>
      <c r="E18" s="272"/>
      <c r="F18" s="272">
        <f>COUNTIF(Ecuador!AD18,"en término")</f>
        <v>1</v>
      </c>
      <c r="G18" s="272"/>
      <c r="H18" s="272">
        <f>COUNTIF(Ecuador!AD19,"en término")</f>
        <v>0</v>
      </c>
      <c r="I18" s="272"/>
      <c r="J18" s="289"/>
      <c r="K18" s="272"/>
      <c r="L18" s="272">
        <f>COUNTIF(Ecuador!AD28,"en término")</f>
        <v>1</v>
      </c>
      <c r="M18" s="272"/>
      <c r="N18" s="272"/>
      <c r="O18" s="272"/>
      <c r="P18" s="272">
        <f>COUNTIF(Ecuador!AD29:AD30,"en término")</f>
        <v>0</v>
      </c>
      <c r="Q18" s="272"/>
      <c r="R18" s="272"/>
      <c r="S18" s="272"/>
      <c r="T18" s="272">
        <f>COUNTIF(Ecuador!AD31,"en término")</f>
        <v>0</v>
      </c>
      <c r="U18" s="272"/>
      <c r="V18" s="289"/>
      <c r="W18" s="272"/>
      <c r="X18" s="272"/>
      <c r="Y18" s="272"/>
      <c r="Z18" s="272"/>
      <c r="AA18" s="272">
        <f>COUNTIF(Ecuador!AD40,"en término")</f>
        <v>0</v>
      </c>
      <c r="AB18" s="272"/>
      <c r="AC18" s="272"/>
      <c r="AD18" s="272"/>
      <c r="AE18" s="272">
        <f>COUNTIF(Ecuador!AD41,"en término")</f>
        <v>1</v>
      </c>
      <c r="AF18" s="272"/>
      <c r="AG18" s="272"/>
      <c r="AH18" s="289"/>
      <c r="AI18" s="272"/>
      <c r="AJ18" s="272"/>
      <c r="AK18" s="272"/>
      <c r="AL18" s="272">
        <f>COUNTIF(Ecuador!AD51,"en término")</f>
        <v>0</v>
      </c>
      <c r="AM18" s="272"/>
      <c r="AN18" s="272"/>
      <c r="AO18" s="272"/>
      <c r="AP18" s="272"/>
      <c r="AQ18" s="272"/>
      <c r="AR18" s="272"/>
      <c r="AS18" s="272"/>
      <c r="AT18" s="289"/>
      <c r="AU18" s="272"/>
      <c r="AV18" s="272"/>
      <c r="AW18" s="272">
        <f>COUNTIF(Ecuador!AD62,"en término")</f>
        <v>0</v>
      </c>
      <c r="AX18" s="272"/>
      <c r="AY18" s="272"/>
      <c r="AZ18" s="272"/>
      <c r="BA18" s="272"/>
      <c r="BB18" s="272"/>
      <c r="BC18" s="272"/>
      <c r="BD18" s="272"/>
      <c r="BE18" s="272"/>
      <c r="BF18" s="272"/>
      <c r="BG18" s="272">
        <f>COUNTIF(Ecuador!AD73:AD74,"en término")</f>
        <v>0</v>
      </c>
      <c r="BH18" s="272"/>
      <c r="BI18" s="272"/>
      <c r="BJ18" s="272"/>
      <c r="BK18" s="272"/>
      <c r="BL18" s="272"/>
      <c r="BM18" s="272"/>
      <c r="BN18" s="272"/>
      <c r="BO18" s="272"/>
      <c r="BP18" s="272"/>
      <c r="BQ18" s="272">
        <f>COUNTIF(Ecuador!AD75,"en término")</f>
        <v>0</v>
      </c>
      <c r="BR18" s="272"/>
      <c r="BS18" s="272"/>
      <c r="BT18" s="272"/>
      <c r="BU18" s="272"/>
      <c r="BV18" s="272"/>
      <c r="BW18" s="272"/>
      <c r="BX18" s="272"/>
      <c r="BY18" s="272"/>
      <c r="BZ18" s="272">
        <f>COUNTIF(Ecuador!AD87,"en término")</f>
        <v>1</v>
      </c>
      <c r="CA18" s="272"/>
      <c r="CB18" s="272"/>
      <c r="CC18" s="272"/>
      <c r="CD18" s="272"/>
      <c r="CE18" s="272"/>
      <c r="CF18" s="272"/>
      <c r="CG18" s="272"/>
      <c r="CH18" s="272"/>
      <c r="CI18" s="272"/>
      <c r="CJ18" s="272">
        <f>COUNTIF(Ecuador!AD98,"en término")</f>
        <v>0</v>
      </c>
      <c r="CK18" s="272"/>
      <c r="CL18" s="272">
        <f>COUNTIF(Ecuador!AD99,"en término")</f>
        <v>0</v>
      </c>
      <c r="CM18" s="272"/>
      <c r="CN18" s="272"/>
      <c r="CO18" s="272"/>
      <c r="CP18" s="272"/>
      <c r="CQ18" s="272">
        <f>COUNTIF(Ecuador!AD111,"en término")</f>
        <v>1</v>
      </c>
      <c r="CR18" s="272"/>
      <c r="CS18" s="272"/>
      <c r="CT18" s="272"/>
      <c r="CU18" s="272"/>
      <c r="CV18" s="272"/>
      <c r="CW18" s="272"/>
      <c r="CX18" s="272">
        <f>COUNTIF(Ecuador!AD112,"en término")</f>
        <v>0</v>
      </c>
      <c r="CY18" s="272"/>
      <c r="CZ18" s="272"/>
      <c r="DA18" s="272"/>
      <c r="DB18" s="272"/>
      <c r="DC18" s="272"/>
      <c r="DD18" s="272"/>
      <c r="DE18" s="272"/>
      <c r="DF18" s="272"/>
      <c r="DG18" s="272"/>
      <c r="DH18" s="272"/>
      <c r="DI18" s="272"/>
      <c r="DJ18" s="272"/>
      <c r="DK18" s="272"/>
      <c r="DL18" s="272"/>
      <c r="DM18" s="272"/>
      <c r="DN18" s="272"/>
      <c r="DO18" s="272">
        <f>+COUNTIF(Ecuador!AD122,"en término")</f>
        <v>1</v>
      </c>
      <c r="DP18" s="272">
        <f>+COUNTIF(Ecuador!AD123:AD125,"en término")</f>
        <v>0</v>
      </c>
      <c r="DQ18" s="272"/>
      <c r="DR18" s="272"/>
      <c r="DS18" s="272"/>
      <c r="DT18" s="272"/>
      <c r="DU18" s="272"/>
      <c r="DV18" s="272"/>
      <c r="DW18" s="272"/>
      <c r="DX18" s="272"/>
      <c r="DY18" s="272"/>
      <c r="DZ18" s="272"/>
      <c r="EA18" s="272"/>
      <c r="EB18" s="272">
        <f>+COUNTIF(Ecuador!AD136,"en término")</f>
        <v>0</v>
      </c>
      <c r="EC18" s="272"/>
      <c r="ED18" s="272"/>
      <c r="EE18" s="272"/>
      <c r="EF18" s="272">
        <f>+COUNTIF(Ecuador!AD138:AD138,"en término")</f>
        <v>0</v>
      </c>
      <c r="EG18" s="272"/>
      <c r="EH18" s="272"/>
      <c r="EI18" s="272"/>
      <c r="EJ18" s="272"/>
      <c r="EK18" s="272">
        <f>+COUNTIF(Ecuador!AD148,"en término")</f>
        <v>1</v>
      </c>
      <c r="EL18" s="272"/>
      <c r="EM18" s="272"/>
      <c r="EN18" s="272"/>
      <c r="EO18" s="272"/>
      <c r="EP18" s="272"/>
      <c r="EQ18" s="272"/>
      <c r="ER18" s="272"/>
      <c r="ES18" s="272">
        <f>+COUNTIF(Ecuador!AD149,"en término")</f>
        <v>0</v>
      </c>
      <c r="ET18" s="272"/>
      <c r="EU18" s="272"/>
      <c r="EV18" s="272"/>
      <c r="EW18" s="272"/>
      <c r="EX18" s="272"/>
      <c r="EY18" s="272"/>
      <c r="EZ18" s="272"/>
      <c r="FA18" s="272"/>
      <c r="FB18" s="272"/>
      <c r="FC18" s="272">
        <f>+COUNTIF(Ecuador!AD164,"en término")</f>
        <v>1</v>
      </c>
      <c r="FD18" s="272"/>
      <c r="FE18" s="272"/>
      <c r="FF18" s="272"/>
      <c r="FG18" s="272"/>
      <c r="FH18" s="272"/>
      <c r="FI18" s="272"/>
      <c r="FJ18" s="272"/>
      <c r="FK18" s="272"/>
      <c r="FL18" s="272"/>
      <c r="FM18" s="272"/>
      <c r="FN18" s="272"/>
      <c r="FO18" s="272"/>
      <c r="FP18" s="272">
        <f>+COUNTIF(Ecuador!AD178,"en término")</f>
        <v>0</v>
      </c>
      <c r="FQ18" s="272"/>
      <c r="FR18" s="272"/>
      <c r="FS18" s="272"/>
      <c r="FT18" s="272"/>
      <c r="FU18" s="272"/>
      <c r="FV18" s="272"/>
      <c r="FW18" s="272"/>
      <c r="FX18" s="272"/>
      <c r="FY18" s="272"/>
      <c r="FZ18" s="272"/>
      <c r="GA18" s="272"/>
      <c r="GB18" s="272"/>
      <c r="GC18" s="272"/>
      <c r="GD18" s="272"/>
      <c r="GE18" s="272"/>
      <c r="GF18" s="272"/>
      <c r="GG18" s="272"/>
      <c r="GH18" s="272"/>
      <c r="GI18" s="272"/>
      <c r="GJ18" s="272"/>
      <c r="GK18" s="272">
        <f>+COUNTIF(Ecuador!AD187:AD188,"en término")</f>
        <v>1</v>
      </c>
      <c r="GL18" s="272"/>
      <c r="GM18" s="272"/>
      <c r="GN18" s="272"/>
      <c r="GO18" s="272"/>
      <c r="GP18" s="272"/>
      <c r="GQ18" s="272"/>
      <c r="GR18" s="272"/>
      <c r="GS18" s="272"/>
      <c r="GT18" s="272"/>
      <c r="GU18" s="272"/>
      <c r="GV18" s="272"/>
      <c r="GW18" s="272">
        <f>+COUNTIF(Ecuador!AD197,"en término")</f>
        <v>0</v>
      </c>
      <c r="GX18" s="272"/>
      <c r="GY18" s="272"/>
      <c r="GZ18" s="272"/>
      <c r="HA18" s="272"/>
      <c r="HB18" s="272"/>
      <c r="HC18" s="272"/>
      <c r="HD18" s="272"/>
      <c r="HE18" s="272"/>
      <c r="HF18" s="272"/>
      <c r="HG18" s="272"/>
      <c r="HH18" s="272"/>
      <c r="HI18" s="272"/>
      <c r="HJ18" s="272"/>
      <c r="HK18" s="272"/>
      <c r="HL18" s="272"/>
      <c r="HM18" s="272"/>
      <c r="HN18" s="272"/>
      <c r="HO18" s="272"/>
      <c r="HP18" s="272"/>
      <c r="HQ18" s="272"/>
      <c r="HR18" s="272"/>
      <c r="HS18" s="272"/>
      <c r="HT18" s="272"/>
      <c r="HU18" s="272"/>
      <c r="HV18" s="272"/>
      <c r="HW18" s="272"/>
      <c r="HX18" s="272"/>
      <c r="HY18" s="272"/>
      <c r="HZ18" s="272"/>
      <c r="IA18" s="272"/>
      <c r="IB18" s="272"/>
      <c r="IC18" s="272"/>
      <c r="ID18" s="272"/>
      <c r="IE18" s="272"/>
      <c r="IF18" s="272"/>
      <c r="IG18" s="272"/>
      <c r="IH18" s="272"/>
      <c r="II18" s="272"/>
      <c r="IJ18" s="272"/>
      <c r="IK18" s="272"/>
      <c r="IL18" s="272"/>
      <c r="IM18" s="272"/>
      <c r="IN18" s="272"/>
      <c r="IO18" s="272"/>
      <c r="IP18" s="272"/>
      <c r="IQ18" s="272"/>
      <c r="IR18" s="272"/>
      <c r="IS18" s="272"/>
      <c r="IT18" s="272"/>
      <c r="IU18" s="272"/>
      <c r="IV18" s="272"/>
      <c r="IW18" s="272"/>
      <c r="IX18" s="272"/>
      <c r="IY18" s="272"/>
      <c r="IZ18" s="272"/>
      <c r="JA18" s="272"/>
      <c r="JB18" s="272"/>
      <c r="JC18" s="272"/>
      <c r="JD18" s="272"/>
      <c r="JE18" s="272"/>
      <c r="JF18" s="272"/>
      <c r="JI18" s="1097"/>
      <c r="JJ18" s="1097"/>
      <c r="JK18" s="1097">
        <f>+COUNTIF(Ecuador!AI197,"en término")</f>
        <v>1</v>
      </c>
      <c r="JL18" s="1097"/>
      <c r="JM18" s="1097"/>
      <c r="JN18" s="1097"/>
      <c r="JO18" s="1097"/>
      <c r="JP18" s="1097"/>
      <c r="JQ18" s="1097"/>
      <c r="JR18" s="1097"/>
      <c r="JS18" s="1097"/>
      <c r="JT18" s="1097"/>
      <c r="JU18" s="1097"/>
      <c r="JV18" s="1097"/>
      <c r="JW18" s="1097"/>
      <c r="JX18" s="1097"/>
      <c r="JY18" s="1097"/>
      <c r="JZ18" s="1097"/>
      <c r="KA18" s="1097"/>
      <c r="KB18" s="1097"/>
      <c r="KC18" s="1097"/>
      <c r="KD18" s="1097"/>
      <c r="KE18" s="1097"/>
      <c r="KF18" s="1097"/>
      <c r="KG18" s="1097"/>
      <c r="KH18" s="1097"/>
      <c r="KI18" s="1097"/>
      <c r="KJ18" s="1097"/>
      <c r="KK18" s="1097"/>
      <c r="KL18" s="1097"/>
      <c r="KM18" s="1097"/>
      <c r="KN18" s="1097"/>
      <c r="KO18" s="1097"/>
      <c r="KP18" s="1097"/>
      <c r="KQ18" s="1097"/>
      <c r="KR18" s="1097"/>
      <c r="KS18" s="1097"/>
      <c r="KT18" s="1097"/>
      <c r="KU18" s="1097"/>
      <c r="KV18" s="1097"/>
      <c r="KW18" s="1097"/>
      <c r="KX18" s="1097"/>
      <c r="KY18" s="1097"/>
      <c r="KZ18" s="1097"/>
      <c r="LA18" s="1097"/>
      <c r="LB18" s="1097"/>
      <c r="LC18" s="1097"/>
      <c r="LD18" s="1097"/>
      <c r="LE18" s="1097"/>
      <c r="LF18" s="1097"/>
      <c r="LG18" s="1097"/>
      <c r="LH18" s="1097"/>
      <c r="LI18" s="1097"/>
      <c r="LJ18" s="1097"/>
      <c r="LK18" s="1097"/>
      <c r="LL18" s="1097"/>
      <c r="LM18" s="1097"/>
      <c r="LN18" s="1097"/>
      <c r="LO18" s="1097"/>
      <c r="LP18" s="1097"/>
      <c r="LQ18" s="1097"/>
      <c r="LR18" s="1097"/>
      <c r="LS18" s="1097"/>
      <c r="LT18" s="1097"/>
      <c r="LU18" s="1097"/>
    </row>
    <row r="19" spans="2:333" ht="17.25" thickBot="1" x14ac:dyDescent="0.35">
      <c r="B19" s="1005"/>
      <c r="C19" s="270" t="s">
        <v>6158</v>
      </c>
      <c r="D19" s="274"/>
      <c r="E19" s="274"/>
      <c r="F19" s="274">
        <f>+F18/F17</f>
        <v>1</v>
      </c>
      <c r="G19" s="274"/>
      <c r="H19" s="274">
        <f>+H18/H17</f>
        <v>0</v>
      </c>
      <c r="I19" s="274"/>
      <c r="J19" s="291"/>
      <c r="K19" s="274"/>
      <c r="L19" s="274">
        <f>+L18/L17</f>
        <v>1</v>
      </c>
      <c r="M19" s="274"/>
      <c r="N19" s="274"/>
      <c r="O19" s="274"/>
      <c r="P19" s="274">
        <f>+P18/P17</f>
        <v>0</v>
      </c>
      <c r="Q19" s="274"/>
      <c r="R19" s="274"/>
      <c r="S19" s="274"/>
      <c r="T19" s="274">
        <f>+T18/T17</f>
        <v>0</v>
      </c>
      <c r="U19" s="274"/>
      <c r="V19" s="291"/>
      <c r="W19" s="274"/>
      <c r="X19" s="274"/>
      <c r="Y19" s="274"/>
      <c r="Z19" s="274"/>
      <c r="AA19" s="274">
        <f>+AA18/AA17</f>
        <v>0</v>
      </c>
      <c r="AB19" s="274"/>
      <c r="AC19" s="274"/>
      <c r="AD19" s="274"/>
      <c r="AE19" s="274">
        <f>+AE18/AE17</f>
        <v>1</v>
      </c>
      <c r="AF19" s="274"/>
      <c r="AG19" s="274"/>
      <c r="AH19" s="291"/>
      <c r="AI19" s="274"/>
      <c r="AJ19" s="274"/>
      <c r="AK19" s="274"/>
      <c r="AL19" s="274">
        <f>+AL18/AL17</f>
        <v>0</v>
      </c>
      <c r="AM19" s="274"/>
      <c r="AN19" s="274"/>
      <c r="AO19" s="274"/>
      <c r="AP19" s="274"/>
      <c r="AQ19" s="274"/>
      <c r="AR19" s="274"/>
      <c r="AS19" s="274"/>
      <c r="AT19" s="290"/>
      <c r="AU19" s="274"/>
      <c r="AV19" s="274"/>
      <c r="AW19" s="274">
        <f>+AW18/AW17</f>
        <v>0</v>
      </c>
      <c r="AX19" s="274"/>
      <c r="AY19" s="274"/>
      <c r="AZ19" s="274"/>
      <c r="BA19" s="274"/>
      <c r="BB19" s="274"/>
      <c r="BC19" s="274"/>
      <c r="BD19" s="274"/>
      <c r="BE19" s="274"/>
      <c r="BF19" s="274"/>
      <c r="BG19" s="274">
        <f>+BG18/BG17</f>
        <v>0</v>
      </c>
      <c r="BH19" s="274"/>
      <c r="BI19" s="274"/>
      <c r="BJ19" s="274"/>
      <c r="BK19" s="274"/>
      <c r="BL19" s="274"/>
      <c r="BM19" s="274"/>
      <c r="BN19" s="274"/>
      <c r="BO19" s="274"/>
      <c r="BP19" s="274"/>
      <c r="BQ19" s="274">
        <f>+BQ18/BQ17</f>
        <v>0</v>
      </c>
      <c r="BR19" s="274"/>
      <c r="BS19" s="274"/>
      <c r="BT19" s="274"/>
      <c r="BU19" s="274"/>
      <c r="BV19" s="274"/>
      <c r="BW19" s="274"/>
      <c r="BX19" s="274"/>
      <c r="BY19" s="274"/>
      <c r="BZ19" s="274">
        <f>+BZ18/BZ17</f>
        <v>1</v>
      </c>
      <c r="CA19" s="274"/>
      <c r="CB19" s="274"/>
      <c r="CC19" s="274"/>
      <c r="CD19" s="274"/>
      <c r="CE19" s="274"/>
      <c r="CF19" s="274"/>
      <c r="CG19" s="274"/>
      <c r="CH19" s="274"/>
      <c r="CI19" s="274"/>
      <c r="CJ19" s="274">
        <f>+CJ18/CJ17</f>
        <v>0</v>
      </c>
      <c r="CK19" s="274"/>
      <c r="CL19" s="274">
        <f>+CL18/CL17</f>
        <v>0</v>
      </c>
      <c r="CM19" s="274"/>
      <c r="CN19" s="274"/>
      <c r="CO19" s="274"/>
      <c r="CP19" s="274"/>
      <c r="CQ19" s="274">
        <f>+CQ18/CQ17</f>
        <v>1</v>
      </c>
      <c r="CR19" s="274"/>
      <c r="CS19" s="274"/>
      <c r="CT19" s="274"/>
      <c r="CU19" s="274"/>
      <c r="CV19" s="274"/>
      <c r="CW19" s="274"/>
      <c r="CX19" s="274">
        <f>+CX18/CX17</f>
        <v>0</v>
      </c>
      <c r="CY19" s="274"/>
      <c r="CZ19" s="274"/>
      <c r="DA19" s="274"/>
      <c r="DB19" s="274"/>
      <c r="DC19" s="274"/>
      <c r="DD19" s="275"/>
      <c r="DE19" s="274"/>
      <c r="DF19" s="274"/>
      <c r="DG19" s="274"/>
      <c r="DH19" s="274"/>
      <c r="DI19" s="274"/>
      <c r="DJ19" s="274"/>
      <c r="DK19" s="274"/>
      <c r="DL19" s="274"/>
      <c r="DM19" s="274"/>
      <c r="DN19" s="274"/>
      <c r="DO19" s="275">
        <f>+DO18/DO17</f>
        <v>1</v>
      </c>
      <c r="DP19" s="275">
        <f>+DP18/DP17</f>
        <v>0</v>
      </c>
      <c r="DQ19" s="275"/>
      <c r="DR19" s="275"/>
      <c r="DS19" s="275"/>
      <c r="DT19" s="275"/>
      <c r="DU19" s="275"/>
      <c r="DV19" s="275"/>
      <c r="DW19" s="275"/>
      <c r="DX19" s="275"/>
      <c r="DY19" s="275"/>
      <c r="DZ19" s="275"/>
      <c r="EA19" s="275"/>
      <c r="EB19" s="275">
        <f>+EB18/EB17</f>
        <v>0</v>
      </c>
      <c r="EC19" s="275"/>
      <c r="ED19" s="275"/>
      <c r="EE19" s="275"/>
      <c r="EF19" s="275">
        <f>+EF18/EF17</f>
        <v>0</v>
      </c>
      <c r="EG19" s="275"/>
      <c r="EH19" s="275"/>
      <c r="EI19" s="275"/>
      <c r="EJ19" s="275"/>
      <c r="EK19" s="275">
        <f>+EK18/EK17</f>
        <v>1</v>
      </c>
      <c r="EL19" s="275"/>
      <c r="EM19" s="275"/>
      <c r="EN19" s="275"/>
      <c r="EO19" s="275"/>
      <c r="EP19" s="275"/>
      <c r="EQ19" s="275"/>
      <c r="ER19" s="275"/>
      <c r="ES19" s="275">
        <f>+ES18/ES17</f>
        <v>0</v>
      </c>
      <c r="ET19" s="275"/>
      <c r="EU19" s="275"/>
      <c r="EV19" s="275"/>
      <c r="EW19" s="275"/>
      <c r="EX19" s="275"/>
      <c r="EY19" s="275"/>
      <c r="EZ19" s="275"/>
      <c r="FA19" s="275"/>
      <c r="FB19" s="275"/>
      <c r="FC19" s="275">
        <f>+FC18/FC17</f>
        <v>1</v>
      </c>
      <c r="FD19" s="275"/>
      <c r="FE19" s="275"/>
      <c r="FF19" s="275"/>
      <c r="FG19" s="275"/>
      <c r="FH19" s="275"/>
      <c r="FI19" s="275"/>
      <c r="FJ19" s="275"/>
      <c r="FK19" s="275"/>
      <c r="FL19" s="275"/>
      <c r="FM19" s="275"/>
      <c r="FN19" s="275"/>
      <c r="FO19" s="275"/>
      <c r="FP19" s="275">
        <f>+FP18/FP17</f>
        <v>0</v>
      </c>
      <c r="FQ19" s="275"/>
      <c r="FR19" s="275"/>
      <c r="FS19" s="275"/>
      <c r="FT19" s="275"/>
      <c r="FU19" s="275"/>
      <c r="FV19" s="275"/>
      <c r="FW19" s="275"/>
      <c r="FX19" s="275"/>
      <c r="FY19" s="275"/>
      <c r="FZ19" s="275"/>
      <c r="GA19" s="275"/>
      <c r="GB19" s="275"/>
      <c r="GC19" s="275"/>
      <c r="GD19" s="275"/>
      <c r="GE19" s="275"/>
      <c r="GF19" s="275"/>
      <c r="GG19" s="275"/>
      <c r="GH19" s="275"/>
      <c r="GI19" s="275"/>
      <c r="GJ19" s="275"/>
      <c r="GK19" s="275">
        <f>+GK18/GK17</f>
        <v>0.5</v>
      </c>
      <c r="GL19" s="275"/>
      <c r="GM19" s="275"/>
      <c r="GN19" s="275"/>
      <c r="GO19" s="275"/>
      <c r="GP19" s="275"/>
      <c r="GQ19" s="275"/>
      <c r="GR19" s="275"/>
      <c r="GS19" s="275"/>
      <c r="GT19" s="275"/>
      <c r="GU19" s="275"/>
      <c r="GV19" s="275"/>
      <c r="GW19" s="275">
        <f>+GW18/GW17</f>
        <v>0</v>
      </c>
      <c r="GX19" s="275"/>
      <c r="GY19" s="275"/>
      <c r="GZ19" s="275"/>
      <c r="HA19" s="275"/>
      <c r="HB19" s="275"/>
      <c r="HC19" s="275"/>
      <c r="HD19" s="275"/>
      <c r="HE19" s="275"/>
      <c r="HF19" s="275"/>
      <c r="HG19" s="275"/>
      <c r="HH19" s="275"/>
      <c r="HI19" s="275"/>
      <c r="HJ19" s="275"/>
      <c r="HK19" s="275"/>
      <c r="HL19" s="275"/>
      <c r="HM19" s="275"/>
      <c r="HN19" s="275"/>
      <c r="HO19" s="275"/>
      <c r="HP19" s="275"/>
      <c r="HQ19" s="275"/>
      <c r="HR19" s="275"/>
      <c r="HS19" s="275"/>
      <c r="HT19" s="275"/>
      <c r="HU19" s="275"/>
      <c r="HV19" s="275"/>
      <c r="HW19" s="275"/>
      <c r="HX19" s="275"/>
      <c r="HY19" s="275"/>
      <c r="HZ19" s="275"/>
      <c r="IA19" s="275"/>
      <c r="IB19" s="275"/>
      <c r="IC19" s="275"/>
      <c r="ID19" s="275"/>
      <c r="IE19" s="275"/>
      <c r="IF19" s="275"/>
      <c r="IG19" s="275"/>
      <c r="IH19" s="275"/>
      <c r="II19" s="275"/>
      <c r="IJ19" s="275"/>
      <c r="IK19" s="275"/>
      <c r="IL19" s="275"/>
      <c r="IM19" s="275"/>
      <c r="IN19" s="275"/>
      <c r="IO19" s="275"/>
      <c r="IP19" s="275"/>
      <c r="IQ19" s="275"/>
      <c r="IR19" s="275"/>
      <c r="IS19" s="275"/>
      <c r="IT19" s="275"/>
      <c r="IU19" s="275"/>
      <c r="IV19" s="275"/>
      <c r="IW19" s="275"/>
      <c r="IX19" s="275"/>
      <c r="IY19" s="275"/>
      <c r="IZ19" s="275"/>
      <c r="JA19" s="275"/>
      <c r="JB19" s="275"/>
      <c r="JC19" s="275"/>
      <c r="JD19" s="275"/>
      <c r="JE19" s="275"/>
      <c r="JF19" s="275"/>
      <c r="JI19" s="1098"/>
      <c r="JJ19" s="1098"/>
      <c r="JK19" s="1098"/>
      <c r="JL19" s="1098"/>
      <c r="JM19" s="1098"/>
      <c r="JN19" s="1098"/>
      <c r="JO19" s="1098"/>
      <c r="JP19" s="1098"/>
      <c r="JQ19" s="1098"/>
      <c r="JR19" s="1098"/>
      <c r="JS19" s="1098"/>
      <c r="JT19" s="1098"/>
      <c r="JU19" s="1098"/>
      <c r="JV19" s="1098"/>
      <c r="JW19" s="1098"/>
      <c r="JX19" s="1098"/>
      <c r="JY19" s="1098"/>
      <c r="JZ19" s="1098"/>
      <c r="KA19" s="1098"/>
      <c r="KB19" s="1098"/>
      <c r="KC19" s="1098"/>
      <c r="KD19" s="1098"/>
      <c r="KE19" s="1098"/>
      <c r="KF19" s="1098"/>
      <c r="KG19" s="1098"/>
      <c r="KH19" s="1098"/>
      <c r="KI19" s="1098"/>
      <c r="KJ19" s="1098"/>
      <c r="KK19" s="1098"/>
      <c r="KL19" s="1098"/>
      <c r="KM19" s="1098"/>
      <c r="KN19" s="1098"/>
      <c r="KO19" s="1098"/>
      <c r="KP19" s="1098"/>
      <c r="KQ19" s="1098"/>
      <c r="KR19" s="1098"/>
      <c r="KS19" s="1098"/>
      <c r="KT19" s="1098"/>
      <c r="KU19" s="1098"/>
      <c r="KV19" s="1098"/>
      <c r="KW19" s="1098"/>
      <c r="KX19" s="1098"/>
      <c r="KY19" s="1098"/>
      <c r="KZ19" s="1098"/>
      <c r="LA19" s="1098"/>
      <c r="LB19" s="1098"/>
      <c r="LC19" s="1098"/>
      <c r="LD19" s="1098"/>
      <c r="LE19" s="1098"/>
      <c r="LF19" s="1098"/>
      <c r="LG19" s="1098"/>
      <c r="LH19" s="1098"/>
      <c r="LI19" s="1098"/>
      <c r="LJ19" s="1098"/>
      <c r="LK19" s="1098"/>
      <c r="LL19" s="1098"/>
      <c r="LM19" s="1098"/>
      <c r="LN19" s="1098"/>
      <c r="LO19" s="1098"/>
      <c r="LP19" s="1098"/>
      <c r="LQ19" s="1098"/>
      <c r="LR19" s="1098"/>
      <c r="LS19" s="1098"/>
      <c r="LT19" s="1098"/>
      <c r="LU19" s="1098"/>
    </row>
    <row r="20" spans="2:333" ht="16.5" x14ac:dyDescent="0.3">
      <c r="B20" s="1004" t="s">
        <v>6159</v>
      </c>
      <c r="C20" s="269" t="s">
        <v>6156</v>
      </c>
      <c r="D20" s="271">
        <v>0</v>
      </c>
      <c r="E20" s="271">
        <v>0</v>
      </c>
      <c r="F20" s="271">
        <v>0</v>
      </c>
      <c r="G20" s="271">
        <v>0</v>
      </c>
      <c r="H20" s="271">
        <v>0</v>
      </c>
      <c r="I20" s="271">
        <f>COUNTA(Myanmar!AD22)</f>
        <v>1</v>
      </c>
      <c r="J20" s="288"/>
      <c r="K20" s="271">
        <f>COUNTA(Myanmar!AD25)</f>
        <v>1</v>
      </c>
      <c r="L20" s="271">
        <f>COUNTA(Myanmar!AD28)</f>
        <v>1</v>
      </c>
      <c r="M20" s="271">
        <v>0</v>
      </c>
      <c r="N20" s="271">
        <f>COUNTA(Myanmar!AD31:AD34)</f>
        <v>2</v>
      </c>
      <c r="O20" s="271">
        <f>COUNTA(Myanmar!AD37)</f>
        <v>1</v>
      </c>
      <c r="P20" s="271">
        <v>0</v>
      </c>
      <c r="Q20" s="271">
        <v>0</v>
      </c>
      <c r="R20" s="271">
        <v>0</v>
      </c>
      <c r="S20" s="271">
        <v>0</v>
      </c>
      <c r="T20" s="271">
        <v>0</v>
      </c>
      <c r="U20" s="271">
        <v>0</v>
      </c>
      <c r="V20" s="288"/>
      <c r="W20" s="271">
        <v>0</v>
      </c>
      <c r="X20" s="271">
        <v>0</v>
      </c>
      <c r="Y20" s="271">
        <f>COUNTA(Myanmar!AD49:AD53)</f>
        <v>2</v>
      </c>
      <c r="Z20" s="271">
        <v>0</v>
      </c>
      <c r="AA20" s="271">
        <v>0</v>
      </c>
      <c r="AB20" s="271">
        <f>COUNTA(Myanmar!AD56:AD62)</f>
        <v>3</v>
      </c>
      <c r="AC20" s="271">
        <v>0</v>
      </c>
      <c r="AD20" s="271">
        <v>0</v>
      </c>
      <c r="AE20" s="271">
        <f>COUNTA(Myanmar!AD65)</f>
        <v>1</v>
      </c>
      <c r="AF20" s="271">
        <v>0</v>
      </c>
      <c r="AG20" s="271">
        <v>0</v>
      </c>
      <c r="AH20" s="288"/>
      <c r="AI20" s="271">
        <v>0</v>
      </c>
      <c r="AJ20" s="271">
        <v>0</v>
      </c>
      <c r="AK20" s="271">
        <v>0</v>
      </c>
      <c r="AL20" s="271">
        <v>0</v>
      </c>
      <c r="AM20" s="271">
        <v>0</v>
      </c>
      <c r="AN20" s="271">
        <v>0</v>
      </c>
      <c r="AO20" s="271">
        <v>0</v>
      </c>
      <c r="AP20" s="271">
        <v>0</v>
      </c>
      <c r="AQ20" s="271">
        <v>0</v>
      </c>
      <c r="AR20" s="271">
        <v>0</v>
      </c>
      <c r="AS20" s="271">
        <v>0</v>
      </c>
      <c r="AT20" s="288"/>
      <c r="AU20" s="271">
        <v>0</v>
      </c>
      <c r="AV20" s="271">
        <v>0</v>
      </c>
      <c r="AW20" s="271">
        <v>0</v>
      </c>
      <c r="AX20" s="271">
        <v>0</v>
      </c>
      <c r="AY20" s="271">
        <v>0</v>
      </c>
      <c r="AZ20" s="271">
        <v>0</v>
      </c>
      <c r="BA20" s="271">
        <v>0</v>
      </c>
      <c r="BB20" s="271">
        <v>0</v>
      </c>
      <c r="BC20" s="271">
        <v>0</v>
      </c>
      <c r="BD20" s="271">
        <v>0</v>
      </c>
      <c r="BE20" s="271">
        <v>0</v>
      </c>
      <c r="BF20" s="271">
        <v>0</v>
      </c>
      <c r="BG20" s="271">
        <v>0</v>
      </c>
      <c r="BH20" s="271">
        <v>0</v>
      </c>
      <c r="BI20" s="271">
        <v>0</v>
      </c>
      <c r="BJ20" s="271">
        <v>0</v>
      </c>
      <c r="BK20" s="271">
        <v>0</v>
      </c>
      <c r="BL20" s="271">
        <v>0</v>
      </c>
      <c r="BM20" s="271">
        <v>0</v>
      </c>
      <c r="BN20" s="271">
        <v>0</v>
      </c>
      <c r="BO20" s="271">
        <v>0</v>
      </c>
      <c r="BP20" s="271">
        <v>0</v>
      </c>
      <c r="BQ20" s="271">
        <v>0</v>
      </c>
      <c r="BR20" s="271">
        <v>0</v>
      </c>
      <c r="BS20" s="271">
        <v>0</v>
      </c>
      <c r="BT20" s="271">
        <v>0</v>
      </c>
      <c r="BU20" s="271">
        <v>0</v>
      </c>
      <c r="BV20" s="271">
        <v>0</v>
      </c>
      <c r="BW20" s="271">
        <v>0</v>
      </c>
      <c r="BX20" s="271">
        <v>0</v>
      </c>
      <c r="BY20" s="271">
        <v>0</v>
      </c>
      <c r="BZ20" s="271">
        <v>0</v>
      </c>
      <c r="CA20" s="271">
        <v>0</v>
      </c>
      <c r="CB20" s="271">
        <v>0</v>
      </c>
      <c r="CC20" s="271">
        <v>0</v>
      </c>
      <c r="CD20" s="271">
        <v>0</v>
      </c>
      <c r="CE20" s="271">
        <v>0</v>
      </c>
      <c r="CF20" s="271">
        <v>0</v>
      </c>
      <c r="CG20" s="271">
        <v>0</v>
      </c>
      <c r="CH20" s="271">
        <v>0</v>
      </c>
      <c r="CI20" s="271">
        <v>0</v>
      </c>
      <c r="CJ20" s="271">
        <v>0</v>
      </c>
      <c r="CK20" s="271">
        <v>0</v>
      </c>
      <c r="CL20" s="271">
        <v>0</v>
      </c>
      <c r="CM20" s="271">
        <v>0</v>
      </c>
      <c r="CN20" s="271">
        <v>0</v>
      </c>
      <c r="CO20" s="271">
        <v>0</v>
      </c>
      <c r="CP20" s="271">
        <v>0</v>
      </c>
      <c r="CQ20" s="271">
        <v>0</v>
      </c>
      <c r="CR20" s="271">
        <v>0</v>
      </c>
      <c r="CS20" s="271">
        <v>0</v>
      </c>
      <c r="CT20" s="271">
        <v>0</v>
      </c>
      <c r="CU20" s="271">
        <v>0</v>
      </c>
      <c r="CV20" s="271">
        <v>0</v>
      </c>
      <c r="CW20" s="271">
        <v>0</v>
      </c>
      <c r="CX20" s="271">
        <v>0</v>
      </c>
      <c r="CY20" s="271">
        <v>0</v>
      </c>
      <c r="CZ20" s="271">
        <v>0</v>
      </c>
      <c r="DA20" s="271">
        <v>0</v>
      </c>
      <c r="DB20" s="271">
        <v>0</v>
      </c>
      <c r="DC20" s="271">
        <v>0</v>
      </c>
      <c r="DD20" s="271">
        <v>0</v>
      </c>
      <c r="DE20" s="271">
        <v>0</v>
      </c>
      <c r="DF20" s="271">
        <v>0</v>
      </c>
      <c r="DG20" s="271">
        <v>0</v>
      </c>
      <c r="DH20" s="271">
        <v>0</v>
      </c>
      <c r="DI20" s="271">
        <v>0</v>
      </c>
      <c r="DJ20" s="271">
        <v>0</v>
      </c>
      <c r="DK20" s="271">
        <v>0</v>
      </c>
      <c r="DL20" s="271">
        <v>0</v>
      </c>
      <c r="DM20" s="271">
        <v>0</v>
      </c>
      <c r="DN20" s="271">
        <v>0</v>
      </c>
      <c r="DO20" s="271">
        <v>0</v>
      </c>
      <c r="DP20" s="271">
        <v>0</v>
      </c>
      <c r="DQ20" s="271">
        <v>0</v>
      </c>
      <c r="DR20" s="271">
        <v>0</v>
      </c>
      <c r="DS20" s="271">
        <v>0</v>
      </c>
      <c r="DT20" s="271">
        <v>0</v>
      </c>
      <c r="DU20" s="271">
        <v>0</v>
      </c>
      <c r="DV20" s="271">
        <v>0</v>
      </c>
      <c r="DW20" s="271">
        <v>0</v>
      </c>
      <c r="DX20" s="271">
        <v>0</v>
      </c>
      <c r="DY20" s="271">
        <v>0</v>
      </c>
      <c r="DZ20" s="271">
        <v>0</v>
      </c>
      <c r="EA20" s="271">
        <v>0</v>
      </c>
      <c r="EB20" s="271">
        <v>0</v>
      </c>
      <c r="EC20" s="271">
        <v>0</v>
      </c>
      <c r="ED20" s="271">
        <v>0</v>
      </c>
      <c r="EE20" s="271">
        <v>0</v>
      </c>
      <c r="EF20" s="271">
        <v>0</v>
      </c>
      <c r="EG20" s="271">
        <v>0</v>
      </c>
      <c r="EH20" s="271">
        <v>0</v>
      </c>
      <c r="EI20" s="271">
        <v>0</v>
      </c>
      <c r="EJ20" s="271">
        <v>0</v>
      </c>
      <c r="EK20" s="271">
        <v>0</v>
      </c>
      <c r="EL20" s="271">
        <v>0</v>
      </c>
      <c r="EM20" s="271">
        <v>0</v>
      </c>
      <c r="EN20" s="271">
        <v>0</v>
      </c>
      <c r="EO20" s="271">
        <v>0</v>
      </c>
      <c r="EP20" s="271">
        <v>0</v>
      </c>
      <c r="EQ20" s="271">
        <v>0</v>
      </c>
      <c r="ER20" s="271">
        <v>0</v>
      </c>
      <c r="ES20" s="271">
        <v>0</v>
      </c>
      <c r="ET20" s="271">
        <v>0</v>
      </c>
      <c r="EU20" s="271">
        <v>0</v>
      </c>
      <c r="EV20" s="271">
        <v>0</v>
      </c>
      <c r="EW20" s="271">
        <v>0</v>
      </c>
      <c r="EX20" s="271">
        <v>0</v>
      </c>
      <c r="EY20" s="271">
        <v>0</v>
      </c>
      <c r="EZ20" s="271">
        <v>0</v>
      </c>
      <c r="FA20" s="271">
        <v>0</v>
      </c>
      <c r="FB20" s="271">
        <v>0</v>
      </c>
      <c r="FC20" s="271">
        <v>0</v>
      </c>
      <c r="FD20" s="271">
        <v>0</v>
      </c>
      <c r="FE20" s="271">
        <v>0</v>
      </c>
      <c r="FF20" s="271">
        <v>0</v>
      </c>
      <c r="FG20" s="271">
        <v>0</v>
      </c>
      <c r="FH20" s="271">
        <v>0</v>
      </c>
      <c r="FI20" s="271">
        <v>0</v>
      </c>
      <c r="FJ20" s="271">
        <v>0</v>
      </c>
      <c r="FK20" s="271">
        <v>0</v>
      </c>
      <c r="FL20" s="271">
        <v>0</v>
      </c>
      <c r="FM20" s="271">
        <v>0</v>
      </c>
      <c r="FN20" s="271">
        <v>0</v>
      </c>
      <c r="FO20" s="271">
        <v>0</v>
      </c>
      <c r="FP20" s="271">
        <v>0</v>
      </c>
      <c r="FQ20" s="271">
        <v>0</v>
      </c>
      <c r="FR20" s="271">
        <v>0</v>
      </c>
      <c r="FS20" s="271">
        <v>0</v>
      </c>
      <c r="FT20" s="271">
        <v>0</v>
      </c>
      <c r="FU20" s="271">
        <v>0</v>
      </c>
      <c r="FV20" s="271">
        <v>0</v>
      </c>
      <c r="FW20" s="271">
        <v>0</v>
      </c>
      <c r="FX20" s="271">
        <v>0</v>
      </c>
      <c r="FY20" s="271">
        <v>0</v>
      </c>
      <c r="FZ20" s="271">
        <v>0</v>
      </c>
      <c r="GA20" s="271">
        <v>0</v>
      </c>
      <c r="GB20" s="271">
        <v>0</v>
      </c>
      <c r="GC20" s="271">
        <v>0</v>
      </c>
      <c r="GD20" s="271">
        <v>0</v>
      </c>
      <c r="GE20" s="271">
        <v>0</v>
      </c>
      <c r="GF20" s="271">
        <v>0</v>
      </c>
      <c r="GG20" s="271">
        <v>0</v>
      </c>
      <c r="GH20" s="271">
        <v>0</v>
      </c>
      <c r="GI20" s="271">
        <v>0</v>
      </c>
      <c r="GJ20" s="271">
        <v>0</v>
      </c>
      <c r="GK20" s="271">
        <v>0</v>
      </c>
      <c r="GL20" s="271">
        <v>0</v>
      </c>
      <c r="GM20" s="271">
        <v>0</v>
      </c>
      <c r="GN20" s="271">
        <v>0</v>
      </c>
      <c r="GO20" s="271">
        <v>0</v>
      </c>
      <c r="GP20" s="271">
        <v>0</v>
      </c>
      <c r="GQ20" s="271">
        <v>0</v>
      </c>
      <c r="GR20" s="271">
        <v>0</v>
      </c>
      <c r="GS20" s="271">
        <v>0</v>
      </c>
      <c r="GT20" s="271">
        <v>0</v>
      </c>
      <c r="GU20" s="271">
        <v>0</v>
      </c>
      <c r="GV20" s="271">
        <v>0</v>
      </c>
      <c r="GW20" s="271">
        <v>0</v>
      </c>
      <c r="GX20" s="271">
        <v>0</v>
      </c>
      <c r="GY20" s="271">
        <v>0</v>
      </c>
      <c r="GZ20" s="271">
        <v>0</v>
      </c>
      <c r="HA20" s="271">
        <v>0</v>
      </c>
      <c r="HB20" s="271">
        <v>0</v>
      </c>
      <c r="HC20" s="271">
        <v>0</v>
      </c>
      <c r="HD20" s="271">
        <v>0</v>
      </c>
      <c r="HE20" s="271">
        <v>0</v>
      </c>
      <c r="HF20" s="271">
        <v>0</v>
      </c>
      <c r="HG20" s="271">
        <v>0</v>
      </c>
      <c r="HH20" s="271">
        <v>0</v>
      </c>
      <c r="HI20" s="271">
        <v>0</v>
      </c>
      <c r="HJ20" s="271">
        <v>0</v>
      </c>
      <c r="HK20" s="271">
        <v>0</v>
      </c>
      <c r="HL20" s="271">
        <v>0</v>
      </c>
      <c r="HM20" s="271">
        <v>0</v>
      </c>
      <c r="HN20" s="271">
        <v>0</v>
      </c>
      <c r="HO20" s="271">
        <v>0</v>
      </c>
      <c r="HP20" s="271">
        <v>0</v>
      </c>
      <c r="HQ20" s="271">
        <v>0</v>
      </c>
      <c r="HR20" s="271">
        <v>0</v>
      </c>
      <c r="HS20" s="271">
        <v>0</v>
      </c>
      <c r="HT20" s="271">
        <v>0</v>
      </c>
      <c r="HU20" s="271">
        <v>0</v>
      </c>
      <c r="HV20" s="271">
        <v>0</v>
      </c>
      <c r="HW20" s="271">
        <v>0</v>
      </c>
      <c r="HX20" s="271">
        <v>0</v>
      </c>
      <c r="HY20" s="271">
        <v>0</v>
      </c>
      <c r="HZ20" s="271">
        <v>0</v>
      </c>
      <c r="IA20" s="271">
        <v>0</v>
      </c>
      <c r="IB20" s="271">
        <v>0</v>
      </c>
      <c r="IC20" s="271">
        <v>0</v>
      </c>
      <c r="ID20" s="271">
        <v>0</v>
      </c>
      <c r="IE20" s="271">
        <v>0</v>
      </c>
      <c r="IF20" s="271">
        <v>0</v>
      </c>
      <c r="IG20" s="271">
        <v>0</v>
      </c>
      <c r="IH20" s="271">
        <v>0</v>
      </c>
      <c r="II20" s="271">
        <v>0</v>
      </c>
      <c r="IJ20" s="271">
        <v>0</v>
      </c>
      <c r="IK20" s="271">
        <v>0</v>
      </c>
      <c r="IL20" s="271">
        <v>0</v>
      </c>
      <c r="IM20" s="271">
        <v>0</v>
      </c>
      <c r="IN20" s="271">
        <v>0</v>
      </c>
      <c r="IO20" s="271">
        <v>0</v>
      </c>
      <c r="IP20" s="271">
        <v>0</v>
      </c>
      <c r="IQ20" s="271">
        <v>0</v>
      </c>
      <c r="IR20" s="271">
        <v>0</v>
      </c>
      <c r="IS20" s="271">
        <v>0</v>
      </c>
      <c r="IT20" s="271">
        <v>0</v>
      </c>
      <c r="IU20" s="271">
        <v>0</v>
      </c>
      <c r="IV20" s="271">
        <v>0</v>
      </c>
      <c r="IW20" s="271">
        <v>0</v>
      </c>
      <c r="IX20" s="271">
        <v>0</v>
      </c>
      <c r="IY20" s="271">
        <v>0</v>
      </c>
      <c r="IZ20" s="271">
        <v>0</v>
      </c>
      <c r="JA20" s="271">
        <v>0</v>
      </c>
      <c r="JB20" s="271">
        <v>0</v>
      </c>
      <c r="JC20" s="271">
        <v>0</v>
      </c>
      <c r="JD20" s="271">
        <v>0</v>
      </c>
      <c r="JE20" s="271">
        <v>0</v>
      </c>
      <c r="JF20" s="361">
        <f>SUM(D20:JE20)</f>
        <v>12</v>
      </c>
      <c r="JI20" s="1097">
        <v>0</v>
      </c>
      <c r="JJ20" s="1097">
        <v>0</v>
      </c>
      <c r="JK20" s="1097">
        <v>0</v>
      </c>
      <c r="JL20" s="1097">
        <v>0</v>
      </c>
      <c r="JM20" s="1097">
        <v>0</v>
      </c>
      <c r="JN20" s="1097">
        <v>0</v>
      </c>
      <c r="JO20" s="1097">
        <v>0</v>
      </c>
      <c r="JP20" s="1097">
        <v>0</v>
      </c>
      <c r="JQ20" s="1097">
        <v>0</v>
      </c>
      <c r="JR20" s="1097">
        <v>0</v>
      </c>
      <c r="JS20" s="1097">
        <v>0</v>
      </c>
      <c r="JT20" s="1097">
        <v>0</v>
      </c>
      <c r="JU20" s="1097">
        <v>0</v>
      </c>
      <c r="JV20" s="1097">
        <v>0</v>
      </c>
      <c r="JW20" s="1097">
        <v>0</v>
      </c>
      <c r="JX20" s="1097">
        <v>0</v>
      </c>
      <c r="JY20" s="1097">
        <v>0</v>
      </c>
      <c r="JZ20" s="1097">
        <v>0</v>
      </c>
      <c r="KA20" s="1097">
        <v>0</v>
      </c>
      <c r="KB20" s="1097">
        <v>0</v>
      </c>
      <c r="KC20" s="1097">
        <v>0</v>
      </c>
      <c r="KD20" s="1097">
        <v>0</v>
      </c>
      <c r="KE20" s="1097">
        <v>0</v>
      </c>
      <c r="KF20" s="1097">
        <v>0</v>
      </c>
      <c r="KG20" s="1097"/>
      <c r="KH20" s="1097"/>
      <c r="KI20" s="1097"/>
      <c r="KJ20" s="1097"/>
      <c r="KK20" s="1097"/>
      <c r="KL20" s="1097"/>
      <c r="KM20" s="1097"/>
      <c r="KN20" s="1097"/>
      <c r="KO20" s="1097"/>
      <c r="KP20" s="1097"/>
      <c r="KQ20" s="1097"/>
      <c r="KR20" s="1097"/>
      <c r="KS20" s="1097"/>
      <c r="KT20" s="1097"/>
      <c r="KU20" s="1097"/>
      <c r="KV20" s="1097"/>
      <c r="KW20" s="1097"/>
      <c r="KX20" s="1097"/>
      <c r="KY20" s="1097"/>
      <c r="KZ20" s="1097"/>
      <c r="LA20" s="1097"/>
      <c r="LB20" s="1097"/>
      <c r="LC20" s="1097"/>
      <c r="LD20" s="1097"/>
      <c r="LE20" s="1097"/>
      <c r="LF20" s="1097"/>
      <c r="LG20" s="1097"/>
      <c r="LH20" s="1097"/>
      <c r="LI20" s="1097"/>
      <c r="LJ20" s="1097"/>
      <c r="LK20" s="1097"/>
      <c r="LL20" s="1097"/>
      <c r="LM20" s="1097"/>
      <c r="LN20" s="1097"/>
      <c r="LO20" s="1097"/>
      <c r="LP20" s="1097"/>
      <c r="LQ20" s="1097"/>
      <c r="LR20" s="1097"/>
      <c r="LS20" s="1097"/>
      <c r="LT20" s="1097"/>
      <c r="LU20" s="1097"/>
    </row>
    <row r="21" spans="2:333" ht="16.5" x14ac:dyDescent="0.3">
      <c r="B21" s="1003"/>
      <c r="C21" s="273" t="s">
        <v>6157</v>
      </c>
      <c r="D21" s="272"/>
      <c r="E21" s="272"/>
      <c r="F21" s="272"/>
      <c r="G21" s="272"/>
      <c r="H21" s="272"/>
      <c r="I21" s="272">
        <f>COUNTIF(Myanmar!AD22,"en término")</f>
        <v>1</v>
      </c>
      <c r="J21" s="289"/>
      <c r="K21" s="272">
        <f>COUNTIF(Myanmar!AD25,"en término")</f>
        <v>1</v>
      </c>
      <c r="L21" s="272">
        <f>COUNTIF(Myanmar!AD28,"en término")</f>
        <v>1</v>
      </c>
      <c r="M21" s="272"/>
      <c r="N21" s="272">
        <f>COUNTIF(Myanmar!AD31:AD34,"en término")</f>
        <v>2</v>
      </c>
      <c r="O21" s="272">
        <f>COUNTIF(Myanmar!AD37,"en término")</f>
        <v>0</v>
      </c>
      <c r="P21" s="272"/>
      <c r="Q21" s="272"/>
      <c r="R21" s="272"/>
      <c r="S21" s="272"/>
      <c r="T21" s="272"/>
      <c r="U21" s="272"/>
      <c r="V21" s="289"/>
      <c r="W21" s="272"/>
      <c r="X21" s="272"/>
      <c r="Y21" s="272">
        <f>COUNTIF(Myanmar!AD49:AD53,"en término")</f>
        <v>0</v>
      </c>
      <c r="Z21" s="272"/>
      <c r="AA21" s="272"/>
      <c r="AB21" s="272">
        <f>COUNTIF(Myanmar!AD56:AD62,"en término")</f>
        <v>2</v>
      </c>
      <c r="AC21" s="272"/>
      <c r="AD21" s="272"/>
      <c r="AE21" s="272">
        <f>COUNTIF(Myanmar!AD65,"en término")</f>
        <v>1</v>
      </c>
      <c r="AF21" s="272"/>
      <c r="AG21" s="272"/>
      <c r="AH21" s="289"/>
      <c r="AI21" s="272"/>
      <c r="AJ21" s="272"/>
      <c r="AK21" s="272"/>
      <c r="AL21" s="272"/>
      <c r="AM21" s="272"/>
      <c r="AN21" s="272"/>
      <c r="AO21" s="272"/>
      <c r="AP21" s="272"/>
      <c r="AQ21" s="272"/>
      <c r="AR21" s="272"/>
      <c r="AS21" s="272"/>
      <c r="AT21" s="289"/>
      <c r="AU21" s="272"/>
      <c r="AV21" s="272"/>
      <c r="AW21" s="272"/>
      <c r="AX21" s="272"/>
      <c r="AY21" s="272"/>
      <c r="AZ21" s="272"/>
      <c r="BA21" s="272"/>
      <c r="BB21" s="272"/>
      <c r="BC21" s="272"/>
      <c r="BD21" s="272"/>
      <c r="BE21" s="272"/>
      <c r="BF21" s="272"/>
      <c r="BG21" s="272"/>
      <c r="BH21" s="272"/>
      <c r="BI21" s="272"/>
      <c r="BJ21" s="272"/>
      <c r="BK21" s="272"/>
      <c r="BL21" s="272"/>
      <c r="BM21" s="272"/>
      <c r="BN21" s="272"/>
      <c r="BO21" s="272"/>
      <c r="BP21" s="272"/>
      <c r="BQ21" s="272"/>
      <c r="BR21" s="272"/>
      <c r="BS21" s="272"/>
      <c r="BT21" s="272"/>
      <c r="BU21" s="272"/>
      <c r="BV21" s="272"/>
      <c r="BW21" s="272"/>
      <c r="BX21" s="272"/>
      <c r="BY21" s="272"/>
      <c r="BZ21" s="272"/>
      <c r="CA21" s="272"/>
      <c r="CB21" s="272"/>
      <c r="CC21" s="272"/>
      <c r="CD21" s="272"/>
      <c r="CE21" s="272"/>
      <c r="CF21" s="272"/>
      <c r="CG21" s="272"/>
      <c r="CH21" s="272"/>
      <c r="CI21" s="272"/>
      <c r="CJ21" s="272"/>
      <c r="CK21" s="272"/>
      <c r="CL21" s="272"/>
      <c r="CM21" s="272"/>
      <c r="CN21" s="272"/>
      <c r="CO21" s="272"/>
      <c r="CP21" s="272"/>
      <c r="CQ21" s="272"/>
      <c r="CR21" s="272"/>
      <c r="CS21" s="272"/>
      <c r="CT21" s="272"/>
      <c r="CU21" s="272"/>
      <c r="CV21" s="272"/>
      <c r="CW21" s="272"/>
      <c r="CX21" s="272"/>
      <c r="CY21" s="272"/>
      <c r="CZ21" s="272"/>
      <c r="DA21" s="272"/>
      <c r="DB21" s="272"/>
      <c r="DC21" s="272"/>
      <c r="DD21" s="272"/>
      <c r="DE21" s="272"/>
      <c r="DF21" s="272"/>
      <c r="DG21" s="272"/>
      <c r="DH21" s="272"/>
      <c r="DI21" s="272"/>
      <c r="DJ21" s="272"/>
      <c r="DK21" s="272"/>
      <c r="DL21" s="272"/>
      <c r="DM21" s="272"/>
      <c r="DN21" s="272"/>
      <c r="DO21" s="272"/>
      <c r="DP21" s="272"/>
      <c r="DQ21" s="272"/>
      <c r="DR21" s="272"/>
      <c r="DS21" s="272"/>
      <c r="DT21" s="272"/>
      <c r="DU21" s="272"/>
      <c r="DV21" s="272"/>
      <c r="DW21" s="272"/>
      <c r="DX21" s="272"/>
      <c r="DY21" s="272"/>
      <c r="DZ21" s="272"/>
      <c r="EA21" s="272"/>
      <c r="EB21" s="272"/>
      <c r="EC21" s="272"/>
      <c r="ED21" s="272"/>
      <c r="EE21" s="272"/>
      <c r="EF21" s="272"/>
      <c r="EG21" s="272"/>
      <c r="EH21" s="272"/>
      <c r="EI21" s="272"/>
      <c r="EJ21" s="272"/>
      <c r="EK21" s="272"/>
      <c r="EL21" s="272"/>
      <c r="EM21" s="272"/>
      <c r="EN21" s="272"/>
      <c r="EO21" s="272"/>
      <c r="EP21" s="272"/>
      <c r="EQ21" s="272"/>
      <c r="ER21" s="272"/>
      <c r="ES21" s="272"/>
      <c r="ET21" s="272"/>
      <c r="EU21" s="272"/>
      <c r="EV21" s="272"/>
      <c r="EW21" s="272"/>
      <c r="EX21" s="272"/>
      <c r="EY21" s="272"/>
      <c r="EZ21" s="272"/>
      <c r="FA21" s="272"/>
      <c r="FB21" s="272"/>
      <c r="FC21" s="272"/>
      <c r="FD21" s="272"/>
      <c r="FE21" s="272"/>
      <c r="FF21" s="272"/>
      <c r="FG21" s="272"/>
      <c r="FH21" s="272"/>
      <c r="FI21" s="272"/>
      <c r="FJ21" s="272"/>
      <c r="FK21" s="272"/>
      <c r="FL21" s="272"/>
      <c r="FM21" s="272"/>
      <c r="FN21" s="272"/>
      <c r="FO21" s="272"/>
      <c r="FP21" s="272"/>
      <c r="FQ21" s="272"/>
      <c r="FR21" s="272"/>
      <c r="FS21" s="272"/>
      <c r="FT21" s="272"/>
      <c r="FU21" s="272"/>
      <c r="FV21" s="272"/>
      <c r="FW21" s="272"/>
      <c r="FX21" s="272"/>
      <c r="FY21" s="272"/>
      <c r="FZ21" s="272"/>
      <c r="GA21" s="272"/>
      <c r="GB21" s="272"/>
      <c r="GC21" s="272"/>
      <c r="GD21" s="272"/>
      <c r="GE21" s="272"/>
      <c r="GF21" s="272"/>
      <c r="GG21" s="272"/>
      <c r="GH21" s="272"/>
      <c r="GI21" s="272"/>
      <c r="GJ21" s="272"/>
      <c r="GK21" s="272"/>
      <c r="GL21" s="272"/>
      <c r="GM21" s="272"/>
      <c r="GN21" s="272"/>
      <c r="GO21" s="272"/>
      <c r="GP21" s="272"/>
      <c r="GQ21" s="272"/>
      <c r="GR21" s="272"/>
      <c r="GS21" s="272"/>
      <c r="GT21" s="272"/>
      <c r="GU21" s="272"/>
      <c r="GV21" s="272"/>
      <c r="GW21" s="272"/>
      <c r="GX21" s="272"/>
      <c r="GY21" s="272"/>
      <c r="GZ21" s="272"/>
      <c r="HA21" s="272"/>
      <c r="HB21" s="272"/>
      <c r="HC21" s="272"/>
      <c r="HD21" s="272"/>
      <c r="HE21" s="272"/>
      <c r="HF21" s="272"/>
      <c r="HG21" s="272"/>
      <c r="HH21" s="272"/>
      <c r="HI21" s="272"/>
      <c r="HJ21" s="272"/>
      <c r="HK21" s="272"/>
      <c r="HL21" s="272"/>
      <c r="HM21" s="272"/>
      <c r="HN21" s="272"/>
      <c r="HO21" s="272"/>
      <c r="HP21" s="272"/>
      <c r="HQ21" s="272"/>
      <c r="HR21" s="272"/>
      <c r="HS21" s="272"/>
      <c r="HT21" s="272"/>
      <c r="HU21" s="272"/>
      <c r="HV21" s="272"/>
      <c r="HW21" s="272"/>
      <c r="HX21" s="272"/>
      <c r="HY21" s="272"/>
      <c r="HZ21" s="272"/>
      <c r="IA21" s="272"/>
      <c r="IB21" s="272"/>
      <c r="IC21" s="272"/>
      <c r="ID21" s="272"/>
      <c r="IE21" s="272"/>
      <c r="IF21" s="272"/>
      <c r="IG21" s="272"/>
      <c r="IH21" s="272"/>
      <c r="II21" s="272"/>
      <c r="IJ21" s="272"/>
      <c r="IK21" s="272"/>
      <c r="IL21" s="272"/>
      <c r="IM21" s="272"/>
      <c r="IN21" s="272"/>
      <c r="IO21" s="272"/>
      <c r="IP21" s="272"/>
      <c r="IQ21" s="272"/>
      <c r="IR21" s="272"/>
      <c r="IS21" s="272"/>
      <c r="IT21" s="272"/>
      <c r="IU21" s="272"/>
      <c r="IV21" s="272"/>
      <c r="IW21" s="272"/>
      <c r="IX21" s="272"/>
      <c r="IY21" s="272"/>
      <c r="IZ21" s="272"/>
      <c r="JA21" s="272"/>
      <c r="JB21" s="272"/>
      <c r="JC21" s="272"/>
      <c r="JD21" s="272"/>
      <c r="JE21" s="272"/>
      <c r="JF21" s="272"/>
      <c r="JI21" s="1097"/>
      <c r="JJ21" s="1097"/>
      <c r="JK21" s="1097"/>
      <c r="JL21" s="1097"/>
      <c r="JM21" s="1097"/>
      <c r="JN21" s="1097"/>
      <c r="JO21" s="1097"/>
      <c r="JP21" s="1097"/>
      <c r="JQ21" s="1097"/>
      <c r="JR21" s="1097"/>
      <c r="JS21" s="1097"/>
      <c r="JT21" s="1097"/>
      <c r="JU21" s="1097"/>
      <c r="JV21" s="1097"/>
      <c r="JW21" s="1097"/>
      <c r="JX21" s="1097"/>
      <c r="JY21" s="1097"/>
      <c r="JZ21" s="1097"/>
      <c r="KA21" s="1097"/>
      <c r="KB21" s="1097"/>
      <c r="KC21" s="1097"/>
      <c r="KD21" s="1097"/>
      <c r="KE21" s="1097"/>
      <c r="KF21" s="1097"/>
      <c r="KG21" s="1097"/>
      <c r="KH21" s="1097"/>
      <c r="KI21" s="1097"/>
      <c r="KJ21" s="1097"/>
      <c r="KK21" s="1097"/>
      <c r="KL21" s="1097"/>
      <c r="KM21" s="1097"/>
      <c r="KN21" s="1097"/>
      <c r="KO21" s="1097"/>
      <c r="KP21" s="1097"/>
      <c r="KQ21" s="1097"/>
      <c r="KR21" s="1097"/>
      <c r="KS21" s="1097"/>
      <c r="KT21" s="1097"/>
      <c r="KU21" s="1097"/>
      <c r="KV21" s="1097"/>
      <c r="KW21" s="1097"/>
      <c r="KX21" s="1097"/>
      <c r="KY21" s="1097"/>
      <c r="KZ21" s="1097"/>
      <c r="LA21" s="1097"/>
      <c r="LB21" s="1097"/>
      <c r="LC21" s="1097"/>
      <c r="LD21" s="1097"/>
      <c r="LE21" s="1097"/>
      <c r="LF21" s="1097"/>
      <c r="LG21" s="1097"/>
      <c r="LH21" s="1097"/>
      <c r="LI21" s="1097"/>
      <c r="LJ21" s="1097"/>
      <c r="LK21" s="1097"/>
      <c r="LL21" s="1097"/>
      <c r="LM21" s="1097"/>
      <c r="LN21" s="1097"/>
      <c r="LO21" s="1097"/>
      <c r="LP21" s="1097"/>
      <c r="LQ21" s="1097"/>
      <c r="LR21" s="1097"/>
      <c r="LS21" s="1097"/>
      <c r="LT21" s="1097"/>
      <c r="LU21" s="1097"/>
    </row>
    <row r="22" spans="2:333" ht="17.25" thickBot="1" x14ac:dyDescent="0.35">
      <c r="B22" s="1005"/>
      <c r="C22" s="270" t="s">
        <v>6158</v>
      </c>
      <c r="D22" s="275"/>
      <c r="E22" s="275"/>
      <c r="F22" s="275"/>
      <c r="G22" s="275"/>
      <c r="H22" s="275"/>
      <c r="I22" s="275">
        <f>+I21/I20</f>
        <v>1</v>
      </c>
      <c r="J22" s="290"/>
      <c r="K22" s="275">
        <f>+K21/K20</f>
        <v>1</v>
      </c>
      <c r="L22" s="275">
        <f>+L21/L20</f>
        <v>1</v>
      </c>
      <c r="M22" s="275"/>
      <c r="N22" s="275">
        <f>+N21/N20</f>
        <v>1</v>
      </c>
      <c r="O22" s="275">
        <f>+O21/O20</f>
        <v>0</v>
      </c>
      <c r="P22" s="275"/>
      <c r="Q22" s="275"/>
      <c r="R22" s="275"/>
      <c r="S22" s="275"/>
      <c r="T22" s="275"/>
      <c r="U22" s="275"/>
      <c r="V22" s="290"/>
      <c r="W22" s="275"/>
      <c r="X22" s="275"/>
      <c r="Y22" s="275">
        <f>+Y21/Y20</f>
        <v>0</v>
      </c>
      <c r="Z22" s="275"/>
      <c r="AA22" s="275"/>
      <c r="AB22" s="275">
        <f>+AB21/AB20</f>
        <v>0.66666666666666663</v>
      </c>
      <c r="AC22" s="275"/>
      <c r="AD22" s="275"/>
      <c r="AE22" s="275">
        <f>+AE21/AE20</f>
        <v>1</v>
      </c>
      <c r="AF22" s="275"/>
      <c r="AG22" s="275"/>
      <c r="AH22" s="290"/>
      <c r="AI22" s="275"/>
      <c r="AJ22" s="275"/>
      <c r="AK22" s="275"/>
      <c r="AL22" s="275"/>
      <c r="AM22" s="275"/>
      <c r="AN22" s="275"/>
      <c r="AO22" s="275"/>
      <c r="AP22" s="275"/>
      <c r="AQ22" s="275"/>
      <c r="AR22" s="275"/>
      <c r="AS22" s="275"/>
      <c r="AT22" s="290"/>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275"/>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c r="DB22" s="275"/>
      <c r="DC22" s="275"/>
      <c r="DD22" s="275"/>
      <c r="DE22" s="275"/>
      <c r="DF22" s="275"/>
      <c r="DG22" s="275"/>
      <c r="DH22" s="275"/>
      <c r="DI22" s="275"/>
      <c r="DJ22" s="275"/>
      <c r="DK22" s="275"/>
      <c r="DL22" s="275"/>
      <c r="DM22" s="275"/>
      <c r="DN22" s="275"/>
      <c r="DO22" s="275"/>
      <c r="DP22" s="275"/>
      <c r="DQ22" s="275"/>
      <c r="DR22" s="275"/>
      <c r="DS22" s="275"/>
      <c r="DT22" s="275"/>
      <c r="DU22" s="275"/>
      <c r="DV22" s="275"/>
      <c r="DW22" s="275"/>
      <c r="DX22" s="275"/>
      <c r="DY22" s="275"/>
      <c r="DZ22" s="275"/>
      <c r="EA22" s="275"/>
      <c r="EB22" s="275"/>
      <c r="EC22" s="275"/>
      <c r="ED22" s="275"/>
      <c r="EE22" s="275"/>
      <c r="EF22" s="275"/>
      <c r="EG22" s="275"/>
      <c r="EH22" s="275"/>
      <c r="EI22" s="275"/>
      <c r="EJ22" s="275"/>
      <c r="EK22" s="275"/>
      <c r="EL22" s="275"/>
      <c r="EM22" s="275"/>
      <c r="EN22" s="275"/>
      <c r="EO22" s="275"/>
      <c r="EP22" s="275"/>
      <c r="EQ22" s="275"/>
      <c r="ER22" s="275"/>
      <c r="ES22" s="275"/>
      <c r="ET22" s="275"/>
      <c r="EU22" s="275"/>
      <c r="EV22" s="275"/>
      <c r="EW22" s="275"/>
      <c r="EX22" s="275"/>
      <c r="EY22" s="275"/>
      <c r="EZ22" s="275"/>
      <c r="FA22" s="275"/>
      <c r="FB22" s="275"/>
      <c r="FC22" s="275"/>
      <c r="FD22" s="275"/>
      <c r="FE22" s="275"/>
      <c r="FF22" s="275"/>
      <c r="FG22" s="275"/>
      <c r="FH22" s="275"/>
      <c r="FI22" s="275"/>
      <c r="FJ22" s="275"/>
      <c r="FK22" s="275"/>
      <c r="FL22" s="275"/>
      <c r="FM22" s="275"/>
      <c r="FN22" s="275"/>
      <c r="FO22" s="275"/>
      <c r="FP22" s="275"/>
      <c r="FQ22" s="275"/>
      <c r="FR22" s="275"/>
      <c r="FS22" s="275"/>
      <c r="FT22" s="275"/>
      <c r="FU22" s="275"/>
      <c r="FV22" s="275"/>
      <c r="FW22" s="275"/>
      <c r="FX22" s="275"/>
      <c r="FY22" s="275"/>
      <c r="FZ22" s="275"/>
      <c r="GA22" s="275"/>
      <c r="GB22" s="275"/>
      <c r="GC22" s="275"/>
      <c r="GD22" s="275"/>
      <c r="GE22" s="275"/>
      <c r="GF22" s="275"/>
      <c r="GG22" s="275"/>
      <c r="GH22" s="275"/>
      <c r="GI22" s="275"/>
      <c r="GJ22" s="275"/>
      <c r="GK22" s="275"/>
      <c r="GL22" s="275"/>
      <c r="GM22" s="275"/>
      <c r="GN22" s="275"/>
      <c r="GO22" s="275"/>
      <c r="GP22" s="275"/>
      <c r="GQ22" s="275"/>
      <c r="GR22" s="275"/>
      <c r="GS22" s="275"/>
      <c r="GT22" s="275"/>
      <c r="GU22" s="275"/>
      <c r="GV22" s="275"/>
      <c r="GW22" s="275"/>
      <c r="GX22" s="275"/>
      <c r="GY22" s="275"/>
      <c r="GZ22" s="275"/>
      <c r="HA22" s="275"/>
      <c r="HB22" s="275"/>
      <c r="HC22" s="275"/>
      <c r="HD22" s="275"/>
      <c r="HE22" s="275"/>
      <c r="HF22" s="275"/>
      <c r="HG22" s="275"/>
      <c r="HH22" s="275"/>
      <c r="HI22" s="275"/>
      <c r="HJ22" s="275"/>
      <c r="HK22" s="275"/>
      <c r="HL22" s="275"/>
      <c r="HM22" s="275"/>
      <c r="HN22" s="275"/>
      <c r="HO22" s="275"/>
      <c r="HP22" s="275"/>
      <c r="HQ22" s="275"/>
      <c r="HR22" s="275"/>
      <c r="HS22" s="275"/>
      <c r="HT22" s="275"/>
      <c r="HU22" s="275"/>
      <c r="HV22" s="275"/>
      <c r="HW22" s="275"/>
      <c r="HX22" s="275"/>
      <c r="HY22" s="275"/>
      <c r="HZ22" s="275"/>
      <c r="IA22" s="275"/>
      <c r="IB22" s="275"/>
      <c r="IC22" s="275"/>
      <c r="ID22" s="275"/>
      <c r="IE22" s="275"/>
      <c r="IF22" s="275"/>
      <c r="IG22" s="275"/>
      <c r="IH22" s="275"/>
      <c r="II22" s="275"/>
      <c r="IJ22" s="275"/>
      <c r="IK22" s="275"/>
      <c r="IL22" s="275"/>
      <c r="IM22" s="275"/>
      <c r="IN22" s="275"/>
      <c r="IO22" s="275"/>
      <c r="IP22" s="275"/>
      <c r="IQ22" s="275"/>
      <c r="IR22" s="275"/>
      <c r="IS22" s="275"/>
      <c r="IT22" s="275"/>
      <c r="IU22" s="275"/>
      <c r="IV22" s="275"/>
      <c r="IW22" s="275"/>
      <c r="IX22" s="275"/>
      <c r="IY22" s="275"/>
      <c r="IZ22" s="275"/>
      <c r="JA22" s="275"/>
      <c r="JB22" s="275"/>
      <c r="JC22" s="275"/>
      <c r="JD22" s="275"/>
      <c r="JE22" s="275"/>
      <c r="JF22" s="275"/>
      <c r="JI22" s="1098"/>
      <c r="JJ22" s="1098"/>
      <c r="JK22" s="1098"/>
      <c r="JL22" s="1098"/>
      <c r="JM22" s="1098"/>
      <c r="JN22" s="1098"/>
      <c r="JO22" s="1098"/>
      <c r="JP22" s="1098"/>
      <c r="JQ22" s="1098"/>
      <c r="JR22" s="1098"/>
      <c r="JS22" s="1098"/>
      <c r="JT22" s="1098"/>
      <c r="JU22" s="1098"/>
      <c r="JV22" s="1098"/>
      <c r="JW22" s="1098"/>
      <c r="JX22" s="1098"/>
      <c r="JY22" s="1098"/>
      <c r="JZ22" s="1098"/>
      <c r="KA22" s="1098"/>
      <c r="KB22" s="1098"/>
      <c r="KC22" s="1098"/>
      <c r="KD22" s="1098"/>
      <c r="KE22" s="1098"/>
      <c r="KF22" s="1098"/>
      <c r="KG22" s="1098"/>
      <c r="KH22" s="1098"/>
      <c r="KI22" s="1098"/>
      <c r="KJ22" s="1098"/>
      <c r="KK22" s="1098"/>
      <c r="KL22" s="1098"/>
      <c r="KM22" s="1098"/>
      <c r="KN22" s="1098"/>
      <c r="KO22" s="1098"/>
      <c r="KP22" s="1098"/>
      <c r="KQ22" s="1098"/>
      <c r="KR22" s="1098"/>
      <c r="KS22" s="1098"/>
      <c r="KT22" s="1098"/>
      <c r="KU22" s="1098"/>
      <c r="KV22" s="1098"/>
      <c r="KW22" s="1098"/>
      <c r="KX22" s="1098"/>
      <c r="KY22" s="1098"/>
      <c r="KZ22" s="1098"/>
      <c r="LA22" s="1098"/>
      <c r="LB22" s="1098"/>
      <c r="LC22" s="1098"/>
      <c r="LD22" s="1098"/>
      <c r="LE22" s="1098"/>
      <c r="LF22" s="1098"/>
      <c r="LG22" s="1098"/>
      <c r="LH22" s="1098"/>
      <c r="LI22" s="1098"/>
      <c r="LJ22" s="1098"/>
      <c r="LK22" s="1098"/>
      <c r="LL22" s="1098"/>
      <c r="LM22" s="1098"/>
      <c r="LN22" s="1098"/>
      <c r="LO22" s="1098"/>
      <c r="LP22" s="1098"/>
      <c r="LQ22" s="1098"/>
      <c r="LR22" s="1098"/>
      <c r="LS22" s="1098"/>
      <c r="LT22" s="1098"/>
      <c r="LU22" s="1098"/>
    </row>
    <row r="23" spans="2:333" ht="16.5" x14ac:dyDescent="0.3">
      <c r="B23" s="1004" t="s">
        <v>5835</v>
      </c>
      <c r="C23" s="269" t="s">
        <v>6156</v>
      </c>
      <c r="D23" s="271">
        <v>0</v>
      </c>
      <c r="E23" s="271">
        <v>0</v>
      </c>
      <c r="F23" s="271">
        <v>0</v>
      </c>
      <c r="G23" s="271">
        <v>0</v>
      </c>
      <c r="H23" s="271">
        <v>0</v>
      </c>
      <c r="I23" s="271">
        <v>0</v>
      </c>
      <c r="J23" s="288"/>
      <c r="K23" s="271">
        <v>0</v>
      </c>
      <c r="L23" s="271">
        <v>0</v>
      </c>
      <c r="M23" s="271">
        <v>0</v>
      </c>
      <c r="N23" s="271">
        <v>0</v>
      </c>
      <c r="O23" s="271">
        <v>0</v>
      </c>
      <c r="P23" s="271">
        <v>0</v>
      </c>
      <c r="Q23" s="271">
        <v>0</v>
      </c>
      <c r="R23" s="271">
        <v>0</v>
      </c>
      <c r="S23" s="271">
        <v>0</v>
      </c>
      <c r="T23" s="271">
        <v>0</v>
      </c>
      <c r="U23" s="271">
        <f>COUNTA(Polonia!AD9)</f>
        <v>1</v>
      </c>
      <c r="V23" s="288"/>
      <c r="W23" s="271">
        <f>COUNTA(Polonia!AD12)</f>
        <v>1</v>
      </c>
      <c r="X23" s="271">
        <v>0</v>
      </c>
      <c r="Y23" s="271">
        <v>0</v>
      </c>
      <c r="Z23" s="271">
        <f>COUNTA(Polonia!AD15:AD18)</f>
        <v>2</v>
      </c>
      <c r="AA23" s="271">
        <v>0</v>
      </c>
      <c r="AB23" s="271">
        <v>0</v>
      </c>
      <c r="AC23" s="271">
        <f>COUNTA(Polonia!AD21)</f>
        <v>1</v>
      </c>
      <c r="AD23" s="271">
        <v>0</v>
      </c>
      <c r="AE23" s="271">
        <v>0</v>
      </c>
      <c r="AF23" s="271">
        <v>0</v>
      </c>
      <c r="AG23" s="271">
        <v>0</v>
      </c>
      <c r="AH23" s="288"/>
      <c r="AI23" s="271">
        <v>0</v>
      </c>
      <c r="AJ23" s="271">
        <f>COUNTA(Polonia!AD34)</f>
        <v>1</v>
      </c>
      <c r="AK23" s="271">
        <f>COUNTA(Polonia!AD37)</f>
        <v>1</v>
      </c>
      <c r="AL23" s="271">
        <v>0</v>
      </c>
      <c r="AM23" s="271">
        <v>0</v>
      </c>
      <c r="AN23" s="271">
        <v>0</v>
      </c>
      <c r="AO23" s="271">
        <v>0</v>
      </c>
      <c r="AP23" s="271">
        <v>0</v>
      </c>
      <c r="AQ23" s="271">
        <v>0</v>
      </c>
      <c r="AR23" s="271">
        <v>0</v>
      </c>
      <c r="AS23" s="271">
        <v>0</v>
      </c>
      <c r="AT23" s="288"/>
      <c r="AU23" s="271">
        <v>0</v>
      </c>
      <c r="AV23" s="271">
        <v>0</v>
      </c>
      <c r="AW23" s="271">
        <v>0</v>
      </c>
      <c r="AX23" s="271">
        <v>0</v>
      </c>
      <c r="AY23" s="271">
        <v>0</v>
      </c>
      <c r="AZ23" s="271">
        <v>0</v>
      </c>
      <c r="BA23" s="271">
        <v>0</v>
      </c>
      <c r="BB23" s="271">
        <f>COUNTA(Polonia!AD48)</f>
        <v>1</v>
      </c>
      <c r="BC23" s="271">
        <f>COUNTA(Polonia!AD55:AD59)</f>
        <v>2</v>
      </c>
      <c r="BD23" s="271">
        <v>0</v>
      </c>
      <c r="BE23" s="271">
        <v>0</v>
      </c>
      <c r="BF23" s="271">
        <v>0</v>
      </c>
      <c r="BG23" s="271">
        <v>0</v>
      </c>
      <c r="BH23" s="271">
        <v>0</v>
      </c>
      <c r="BI23" s="271">
        <v>0</v>
      </c>
      <c r="BJ23" s="271">
        <v>0</v>
      </c>
      <c r="BK23" s="271">
        <v>0</v>
      </c>
      <c r="BL23" s="271">
        <v>0</v>
      </c>
      <c r="BM23" s="271">
        <v>0</v>
      </c>
      <c r="BN23" s="271">
        <v>0</v>
      </c>
      <c r="BO23" s="271">
        <v>0</v>
      </c>
      <c r="BP23" s="271">
        <v>0</v>
      </c>
      <c r="BQ23" s="271">
        <v>0</v>
      </c>
      <c r="BR23" s="271">
        <v>0</v>
      </c>
      <c r="BS23" s="271">
        <v>0</v>
      </c>
      <c r="BT23" s="271">
        <v>0</v>
      </c>
      <c r="BU23" s="271">
        <v>0</v>
      </c>
      <c r="BV23" s="271">
        <v>0</v>
      </c>
      <c r="BW23" s="271">
        <v>0</v>
      </c>
      <c r="BX23" s="271">
        <v>0</v>
      </c>
      <c r="BY23" s="271">
        <v>0</v>
      </c>
      <c r="BZ23" s="271">
        <v>0</v>
      </c>
      <c r="CA23" s="271">
        <v>0</v>
      </c>
      <c r="CB23" s="271">
        <f>COUNTA(Polonia!AD81)</f>
        <v>1</v>
      </c>
      <c r="CC23" s="271">
        <v>0</v>
      </c>
      <c r="CD23" s="271">
        <v>0</v>
      </c>
      <c r="CE23" s="271">
        <v>0</v>
      </c>
      <c r="CF23" s="271">
        <v>0</v>
      </c>
      <c r="CG23" s="271">
        <v>0</v>
      </c>
      <c r="CH23" s="271">
        <v>0</v>
      </c>
      <c r="CI23" s="271">
        <v>0</v>
      </c>
      <c r="CJ23" s="271">
        <v>0</v>
      </c>
      <c r="CK23" s="271">
        <v>0</v>
      </c>
      <c r="CL23" s="271">
        <v>0</v>
      </c>
      <c r="CM23" s="271">
        <v>0</v>
      </c>
      <c r="CN23" s="271">
        <v>0</v>
      </c>
      <c r="CO23" s="271">
        <v>0</v>
      </c>
      <c r="CP23" s="271">
        <v>0</v>
      </c>
      <c r="CQ23" s="271">
        <v>0</v>
      </c>
      <c r="CR23" s="271">
        <v>0</v>
      </c>
      <c r="CS23" s="271">
        <v>0</v>
      </c>
      <c r="CT23" s="271">
        <v>0</v>
      </c>
      <c r="CU23" s="271">
        <v>0</v>
      </c>
      <c r="CV23" s="271">
        <v>0</v>
      </c>
      <c r="CW23" s="271">
        <v>0</v>
      </c>
      <c r="CX23" s="271">
        <v>0</v>
      </c>
      <c r="CY23" s="271">
        <v>0</v>
      </c>
      <c r="CZ23" s="271">
        <v>0</v>
      </c>
      <c r="DA23" s="271">
        <v>0</v>
      </c>
      <c r="DB23" s="271">
        <v>0</v>
      </c>
      <c r="DC23" s="271">
        <v>0</v>
      </c>
      <c r="DD23" s="271">
        <v>0</v>
      </c>
      <c r="DE23" s="271">
        <v>0</v>
      </c>
      <c r="DF23" s="271">
        <v>0</v>
      </c>
      <c r="DG23" s="271">
        <v>0</v>
      </c>
      <c r="DH23" s="271">
        <v>0</v>
      </c>
      <c r="DI23" s="271">
        <v>0</v>
      </c>
      <c r="DJ23" s="271">
        <v>0</v>
      </c>
      <c r="DK23" s="271">
        <v>0</v>
      </c>
      <c r="DL23" s="271">
        <v>0</v>
      </c>
      <c r="DM23" s="271">
        <v>0</v>
      </c>
      <c r="DN23" s="271">
        <v>0</v>
      </c>
      <c r="DO23" s="271">
        <v>0</v>
      </c>
      <c r="DP23" s="271">
        <v>0</v>
      </c>
      <c r="DQ23" s="271">
        <v>0</v>
      </c>
      <c r="DR23" s="271">
        <v>0</v>
      </c>
      <c r="DS23" s="271">
        <v>0</v>
      </c>
      <c r="DT23" s="271">
        <v>0</v>
      </c>
      <c r="DU23" s="271">
        <v>0</v>
      </c>
      <c r="DV23" s="271">
        <v>0</v>
      </c>
      <c r="DW23" s="271">
        <v>0</v>
      </c>
      <c r="DX23" s="271">
        <v>0</v>
      </c>
      <c r="DY23" s="271">
        <v>0</v>
      </c>
      <c r="DZ23" s="271">
        <v>0</v>
      </c>
      <c r="EA23" s="271">
        <v>0</v>
      </c>
      <c r="EB23" s="271">
        <v>0</v>
      </c>
      <c r="EC23" s="271">
        <v>0</v>
      </c>
      <c r="ED23" s="271">
        <v>0</v>
      </c>
      <c r="EE23" s="271">
        <v>0</v>
      </c>
      <c r="EF23" s="271">
        <v>0</v>
      </c>
      <c r="EG23" s="271">
        <v>0</v>
      </c>
      <c r="EH23" s="271">
        <v>0</v>
      </c>
      <c r="EI23" s="271">
        <v>0</v>
      </c>
      <c r="EJ23" s="271">
        <v>0</v>
      </c>
      <c r="EK23" s="271">
        <v>0</v>
      </c>
      <c r="EL23" s="271">
        <v>0</v>
      </c>
      <c r="EM23" s="271">
        <v>0</v>
      </c>
      <c r="EN23" s="271">
        <v>0</v>
      </c>
      <c r="EO23" s="271">
        <v>0</v>
      </c>
      <c r="EP23" s="271">
        <v>0</v>
      </c>
      <c r="EQ23" s="271">
        <v>0</v>
      </c>
      <c r="ER23" s="271">
        <v>0</v>
      </c>
      <c r="ES23" s="271">
        <v>0</v>
      </c>
      <c r="ET23" s="271">
        <v>0</v>
      </c>
      <c r="EU23" s="271">
        <v>0</v>
      </c>
      <c r="EV23" s="271">
        <v>0</v>
      </c>
      <c r="EW23" s="271">
        <v>0</v>
      </c>
      <c r="EX23" s="271">
        <v>0</v>
      </c>
      <c r="EY23" s="271">
        <v>0</v>
      </c>
      <c r="EZ23" s="271">
        <v>0</v>
      </c>
      <c r="FA23" s="271">
        <v>0</v>
      </c>
      <c r="FB23" s="271">
        <v>0</v>
      </c>
      <c r="FC23" s="271">
        <v>0</v>
      </c>
      <c r="FD23" s="271">
        <v>0</v>
      </c>
      <c r="FE23" s="271">
        <v>0</v>
      </c>
      <c r="FF23" s="271">
        <v>0</v>
      </c>
      <c r="FG23" s="271">
        <v>0</v>
      </c>
      <c r="FH23" s="271">
        <v>0</v>
      </c>
      <c r="FI23" s="271">
        <v>0</v>
      </c>
      <c r="FJ23" s="271">
        <v>0</v>
      </c>
      <c r="FK23" s="271">
        <v>0</v>
      </c>
      <c r="FL23" s="271">
        <v>0</v>
      </c>
      <c r="FM23" s="271">
        <v>0</v>
      </c>
      <c r="FN23" s="271">
        <v>0</v>
      </c>
      <c r="FO23" s="271">
        <v>0</v>
      </c>
      <c r="FP23" s="271">
        <v>0</v>
      </c>
      <c r="FQ23" s="271">
        <v>0</v>
      </c>
      <c r="FR23" s="271">
        <v>0</v>
      </c>
      <c r="FS23" s="271">
        <v>0</v>
      </c>
      <c r="FT23" s="271">
        <v>0</v>
      </c>
      <c r="FU23" s="271">
        <v>0</v>
      </c>
      <c r="FV23" s="271">
        <v>0</v>
      </c>
      <c r="FW23" s="271">
        <v>0</v>
      </c>
      <c r="FX23" s="271">
        <v>0</v>
      </c>
      <c r="FY23" s="271">
        <v>0</v>
      </c>
      <c r="FZ23" s="271">
        <v>0</v>
      </c>
      <c r="GA23" s="271">
        <v>0</v>
      </c>
      <c r="GB23" s="271">
        <v>0</v>
      </c>
      <c r="GC23" s="271">
        <v>0</v>
      </c>
      <c r="GD23" s="271">
        <v>0</v>
      </c>
      <c r="GE23" s="271">
        <v>0</v>
      </c>
      <c r="GF23" s="271">
        <v>0</v>
      </c>
      <c r="GG23" s="271">
        <v>0</v>
      </c>
      <c r="GH23" s="271">
        <v>0</v>
      </c>
      <c r="GI23" s="271">
        <v>0</v>
      </c>
      <c r="GJ23" s="271">
        <v>0</v>
      </c>
      <c r="GK23" s="271">
        <v>0</v>
      </c>
      <c r="GL23" s="271">
        <v>0</v>
      </c>
      <c r="GM23" s="271">
        <v>0</v>
      </c>
      <c r="GN23" s="271">
        <v>0</v>
      </c>
      <c r="GO23" s="271">
        <v>0</v>
      </c>
      <c r="GP23" s="271">
        <v>0</v>
      </c>
      <c r="GQ23" s="271">
        <v>0</v>
      </c>
      <c r="GR23" s="271">
        <v>0</v>
      </c>
      <c r="GS23" s="271">
        <v>0</v>
      </c>
      <c r="GT23" s="271">
        <v>0</v>
      </c>
      <c r="GU23" s="271">
        <v>0</v>
      </c>
      <c r="GV23" s="271">
        <v>0</v>
      </c>
      <c r="GW23" s="271">
        <v>0</v>
      </c>
      <c r="GX23" s="271">
        <v>0</v>
      </c>
      <c r="GY23" s="271">
        <v>0</v>
      </c>
      <c r="GZ23" s="271">
        <v>0</v>
      </c>
      <c r="HA23" s="271">
        <v>0</v>
      </c>
      <c r="HB23" s="271">
        <v>0</v>
      </c>
      <c r="HC23" s="271">
        <v>0</v>
      </c>
      <c r="HD23" s="271">
        <v>0</v>
      </c>
      <c r="HE23" s="271">
        <v>0</v>
      </c>
      <c r="HF23" s="271">
        <v>0</v>
      </c>
      <c r="HG23" s="271">
        <v>0</v>
      </c>
      <c r="HH23" s="271">
        <v>0</v>
      </c>
      <c r="HI23" s="271">
        <v>0</v>
      </c>
      <c r="HJ23" s="271">
        <v>0</v>
      </c>
      <c r="HK23" s="271">
        <v>0</v>
      </c>
      <c r="HL23" s="271">
        <v>0</v>
      </c>
      <c r="HM23" s="271">
        <v>0</v>
      </c>
      <c r="HN23" s="271">
        <v>0</v>
      </c>
      <c r="HO23" s="271">
        <v>0</v>
      </c>
      <c r="HP23" s="271">
        <v>0</v>
      </c>
      <c r="HQ23" s="271">
        <v>0</v>
      </c>
      <c r="HR23" s="271">
        <v>0</v>
      </c>
      <c r="HS23" s="271">
        <v>0</v>
      </c>
      <c r="HT23" s="271">
        <v>0</v>
      </c>
      <c r="HU23" s="271">
        <v>0</v>
      </c>
      <c r="HV23" s="271">
        <v>0</v>
      </c>
      <c r="HW23" s="271">
        <v>0</v>
      </c>
      <c r="HX23" s="271">
        <v>0</v>
      </c>
      <c r="HY23" s="271">
        <v>0</v>
      </c>
      <c r="HZ23" s="271">
        <v>0</v>
      </c>
      <c r="IA23" s="271">
        <v>0</v>
      </c>
      <c r="IB23" s="271">
        <v>0</v>
      </c>
      <c r="IC23" s="271">
        <v>0</v>
      </c>
      <c r="ID23" s="271">
        <v>0</v>
      </c>
      <c r="IE23" s="271">
        <v>0</v>
      </c>
      <c r="IF23" s="271">
        <v>0</v>
      </c>
      <c r="IG23" s="271">
        <v>0</v>
      </c>
      <c r="IH23" s="271">
        <v>0</v>
      </c>
      <c r="II23" s="271">
        <v>0</v>
      </c>
      <c r="IJ23" s="271">
        <v>0</v>
      </c>
      <c r="IK23" s="271">
        <v>0</v>
      </c>
      <c r="IL23" s="271">
        <v>0</v>
      </c>
      <c r="IM23" s="271">
        <v>0</v>
      </c>
      <c r="IN23" s="271">
        <v>0</v>
      </c>
      <c r="IO23" s="271">
        <v>0</v>
      </c>
      <c r="IP23" s="271">
        <v>0</v>
      </c>
      <c r="IQ23" s="271">
        <v>0</v>
      </c>
      <c r="IR23" s="271">
        <v>0</v>
      </c>
      <c r="IS23" s="271">
        <v>0</v>
      </c>
      <c r="IT23" s="271">
        <v>0</v>
      </c>
      <c r="IU23" s="271">
        <v>0</v>
      </c>
      <c r="IV23" s="271">
        <v>0</v>
      </c>
      <c r="IW23" s="271">
        <v>0</v>
      </c>
      <c r="IX23" s="271">
        <v>0</v>
      </c>
      <c r="IY23" s="271">
        <v>0</v>
      </c>
      <c r="IZ23" s="271">
        <v>0</v>
      </c>
      <c r="JA23" s="271">
        <v>0</v>
      </c>
      <c r="JB23" s="271">
        <v>0</v>
      </c>
      <c r="JC23" s="271">
        <v>0</v>
      </c>
      <c r="JD23" s="271">
        <v>0</v>
      </c>
      <c r="JE23" s="271">
        <v>0</v>
      </c>
      <c r="JF23" s="361">
        <f>SUM(D23:JE23)</f>
        <v>11</v>
      </c>
      <c r="JI23" s="1097">
        <v>0</v>
      </c>
      <c r="JJ23" s="1097">
        <v>0</v>
      </c>
      <c r="JK23" s="1097">
        <v>0</v>
      </c>
      <c r="JL23" s="1097">
        <v>0</v>
      </c>
      <c r="JM23" s="1097">
        <v>0</v>
      </c>
      <c r="JN23" s="1097">
        <v>0</v>
      </c>
      <c r="JO23" s="1097">
        <v>0</v>
      </c>
      <c r="JP23" s="1097">
        <v>0</v>
      </c>
      <c r="JQ23" s="1097">
        <v>0</v>
      </c>
      <c r="JR23" s="1097">
        <v>0</v>
      </c>
      <c r="JS23" s="1097">
        <v>0</v>
      </c>
      <c r="JT23" s="1097">
        <v>0</v>
      </c>
      <c r="JU23" s="1097">
        <v>0</v>
      </c>
      <c r="JV23" s="1097">
        <v>0</v>
      </c>
      <c r="JW23" s="1097">
        <v>0</v>
      </c>
      <c r="JX23" s="1097">
        <v>0</v>
      </c>
      <c r="JY23" s="1097">
        <v>0</v>
      </c>
      <c r="JZ23" s="1097">
        <v>0</v>
      </c>
      <c r="KA23" s="1097">
        <v>0</v>
      </c>
      <c r="KB23" s="1097">
        <v>0</v>
      </c>
      <c r="KC23" s="1097">
        <v>0</v>
      </c>
      <c r="KD23" s="1097">
        <v>0</v>
      </c>
      <c r="KE23" s="1097">
        <v>0</v>
      </c>
      <c r="KF23" s="1097">
        <v>0</v>
      </c>
      <c r="KG23" s="1097"/>
      <c r="KH23" s="1097"/>
      <c r="KI23" s="1097"/>
      <c r="KJ23" s="1097"/>
      <c r="KK23" s="1097"/>
      <c r="KL23" s="1097"/>
      <c r="KM23" s="1097"/>
      <c r="KN23" s="1097"/>
      <c r="KO23" s="1097"/>
      <c r="KP23" s="1097"/>
      <c r="KQ23" s="1097"/>
      <c r="KR23" s="1097"/>
      <c r="KS23" s="1097"/>
      <c r="KT23" s="1097"/>
      <c r="KU23" s="1097"/>
      <c r="KV23" s="1097"/>
      <c r="KW23" s="1097"/>
      <c r="KX23" s="1097"/>
      <c r="KY23" s="1097"/>
      <c r="KZ23" s="1097"/>
      <c r="LA23" s="1097"/>
      <c r="LB23" s="1097"/>
      <c r="LC23" s="1097"/>
      <c r="LD23" s="1097"/>
      <c r="LE23" s="1097"/>
      <c r="LF23" s="1097"/>
      <c r="LG23" s="1097"/>
      <c r="LH23" s="1097"/>
      <c r="LI23" s="1097"/>
      <c r="LJ23" s="1097"/>
      <c r="LK23" s="1097"/>
      <c r="LL23" s="1097"/>
      <c r="LM23" s="1097"/>
      <c r="LN23" s="1097"/>
      <c r="LO23" s="1097"/>
      <c r="LP23" s="1097"/>
      <c r="LQ23" s="1097"/>
      <c r="LR23" s="1097"/>
      <c r="LS23" s="1097"/>
      <c r="LT23" s="1097"/>
      <c r="LU23" s="1097"/>
    </row>
    <row r="24" spans="2:333" ht="16.5" x14ac:dyDescent="0.3">
      <c r="B24" s="1003"/>
      <c r="C24" s="273" t="s">
        <v>6157</v>
      </c>
      <c r="D24" s="272"/>
      <c r="E24" s="272"/>
      <c r="F24" s="272"/>
      <c r="G24" s="272"/>
      <c r="H24" s="272"/>
      <c r="I24" s="272"/>
      <c r="J24" s="289"/>
      <c r="K24" s="272"/>
      <c r="L24" s="272"/>
      <c r="M24" s="272"/>
      <c r="N24" s="272"/>
      <c r="O24" s="272"/>
      <c r="P24" s="272"/>
      <c r="Q24" s="272"/>
      <c r="R24" s="272"/>
      <c r="S24" s="272"/>
      <c r="T24" s="272"/>
      <c r="U24" s="272">
        <f>COUNTIF(Polonia!AD9,"en término")</f>
        <v>1</v>
      </c>
      <c r="V24" s="289"/>
      <c r="W24" s="272">
        <f>COUNTIF(Polonia!AD12,"en término")</f>
        <v>0</v>
      </c>
      <c r="X24" s="272"/>
      <c r="Y24" s="272"/>
      <c r="Z24" s="272">
        <f>COUNTIF(Polonia!AD15:AD18,"en término")</f>
        <v>0</v>
      </c>
      <c r="AA24" s="272"/>
      <c r="AB24" s="272"/>
      <c r="AC24" s="272">
        <f>COUNTIF(Polonia!AD21,"en término")</f>
        <v>1</v>
      </c>
      <c r="AD24" s="272"/>
      <c r="AE24" s="272"/>
      <c r="AF24" s="272"/>
      <c r="AG24" s="272"/>
      <c r="AH24" s="289"/>
      <c r="AI24" s="272"/>
      <c r="AJ24" s="272">
        <f>COUNTIF(Polonia!AD34,"en término")</f>
        <v>1</v>
      </c>
      <c r="AK24" s="272">
        <f>COUNTIF(Polonia!AD37,"en término")</f>
        <v>1</v>
      </c>
      <c r="AL24" s="272"/>
      <c r="AM24" s="272"/>
      <c r="AN24" s="272"/>
      <c r="AO24" s="272"/>
      <c r="AP24" s="272"/>
      <c r="AQ24" s="272"/>
      <c r="AR24" s="272"/>
      <c r="AS24" s="272"/>
      <c r="AT24" s="289"/>
      <c r="AU24" s="272"/>
      <c r="AV24" s="272"/>
      <c r="AW24" s="272"/>
      <c r="AX24" s="272"/>
      <c r="AY24" s="272"/>
      <c r="AZ24" s="272"/>
      <c r="BA24" s="272"/>
      <c r="BB24" s="272">
        <f>COUNTIF(Polonia!AD48,"en término")</f>
        <v>0</v>
      </c>
      <c r="BC24" s="272">
        <f>COUNTIF(Polonia!AD55:AD59,"en término")</f>
        <v>0</v>
      </c>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f>COUNTIF(Polonia!AD81,"en término")</f>
        <v>1</v>
      </c>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I24" s="1097"/>
      <c r="JJ24" s="1097"/>
      <c r="JK24" s="1097"/>
      <c r="JL24" s="1097"/>
      <c r="JM24" s="1097"/>
      <c r="JN24" s="1097"/>
      <c r="JO24" s="1097"/>
      <c r="JP24" s="1097"/>
      <c r="JQ24" s="1097"/>
      <c r="JR24" s="1097"/>
      <c r="JS24" s="1097"/>
      <c r="JT24" s="1097"/>
      <c r="JU24" s="1097"/>
      <c r="JV24" s="1097"/>
      <c r="JW24" s="1097"/>
      <c r="JX24" s="1097"/>
      <c r="JY24" s="1097"/>
      <c r="JZ24" s="1097"/>
      <c r="KA24" s="1097"/>
      <c r="KB24" s="1097"/>
      <c r="KC24" s="1097"/>
      <c r="KD24" s="1097"/>
      <c r="KE24" s="1097"/>
      <c r="KF24" s="1097"/>
      <c r="KG24" s="1097"/>
      <c r="KH24" s="1097"/>
      <c r="KI24" s="1097"/>
      <c r="KJ24" s="1097"/>
      <c r="KK24" s="1097"/>
      <c r="KL24" s="1097"/>
      <c r="KM24" s="1097"/>
      <c r="KN24" s="1097"/>
      <c r="KO24" s="1097"/>
      <c r="KP24" s="1097"/>
      <c r="KQ24" s="1097"/>
      <c r="KR24" s="1097"/>
      <c r="KS24" s="1097"/>
      <c r="KT24" s="1097"/>
      <c r="KU24" s="1097"/>
      <c r="KV24" s="1097"/>
      <c r="KW24" s="1097"/>
      <c r="KX24" s="1097"/>
      <c r="KY24" s="1097"/>
      <c r="KZ24" s="1097"/>
      <c r="LA24" s="1097"/>
      <c r="LB24" s="1097"/>
      <c r="LC24" s="1097"/>
      <c r="LD24" s="1097"/>
      <c r="LE24" s="1097"/>
      <c r="LF24" s="1097"/>
      <c r="LG24" s="1097"/>
      <c r="LH24" s="1097"/>
      <c r="LI24" s="1097"/>
      <c r="LJ24" s="1097"/>
      <c r="LK24" s="1097"/>
      <c r="LL24" s="1097"/>
      <c r="LM24" s="1097"/>
      <c r="LN24" s="1097"/>
      <c r="LO24" s="1097"/>
      <c r="LP24" s="1097"/>
      <c r="LQ24" s="1097"/>
      <c r="LR24" s="1097"/>
      <c r="LS24" s="1097"/>
      <c r="LT24" s="1097"/>
      <c r="LU24" s="1097"/>
    </row>
    <row r="25" spans="2:333" ht="17.25" thickBot="1" x14ac:dyDescent="0.35">
      <c r="B25" s="1005"/>
      <c r="C25" s="270" t="s">
        <v>6158</v>
      </c>
      <c r="D25" s="275"/>
      <c r="E25" s="275"/>
      <c r="F25" s="275"/>
      <c r="G25" s="275"/>
      <c r="H25" s="275"/>
      <c r="I25" s="275"/>
      <c r="J25" s="290"/>
      <c r="K25" s="275"/>
      <c r="L25" s="275"/>
      <c r="M25" s="275"/>
      <c r="N25" s="275"/>
      <c r="O25" s="275"/>
      <c r="P25" s="275"/>
      <c r="Q25" s="275"/>
      <c r="R25" s="275"/>
      <c r="S25" s="275"/>
      <c r="T25" s="275"/>
      <c r="U25" s="275">
        <f>+U24/U23</f>
        <v>1</v>
      </c>
      <c r="V25" s="290"/>
      <c r="W25" s="275">
        <f>+W24/W23</f>
        <v>0</v>
      </c>
      <c r="X25" s="275"/>
      <c r="Y25" s="275"/>
      <c r="Z25" s="275">
        <f>+Z24/Z23</f>
        <v>0</v>
      </c>
      <c r="AA25" s="275"/>
      <c r="AB25" s="275"/>
      <c r="AC25" s="275">
        <f>+AC24/AC23</f>
        <v>1</v>
      </c>
      <c r="AD25" s="275"/>
      <c r="AE25" s="275"/>
      <c r="AF25" s="275"/>
      <c r="AG25" s="275"/>
      <c r="AH25" s="290"/>
      <c r="AI25" s="275"/>
      <c r="AJ25" s="275">
        <f>+AJ24/AJ23</f>
        <v>1</v>
      </c>
      <c r="AK25" s="275">
        <f>+AK24/AK23</f>
        <v>1</v>
      </c>
      <c r="AL25" s="275"/>
      <c r="AM25" s="275"/>
      <c r="AN25" s="275"/>
      <c r="AO25" s="275"/>
      <c r="AP25" s="275"/>
      <c r="AQ25" s="275"/>
      <c r="AR25" s="275"/>
      <c r="AS25" s="275"/>
      <c r="AT25" s="290"/>
      <c r="AU25" s="275"/>
      <c r="AV25" s="275"/>
      <c r="AW25" s="275"/>
      <c r="AX25" s="275"/>
      <c r="AY25" s="275"/>
      <c r="AZ25" s="275"/>
      <c r="BA25" s="275"/>
      <c r="BB25" s="275">
        <f>+BB24/BB23</f>
        <v>0</v>
      </c>
      <c r="BC25" s="275">
        <f>+BC24/BC23</f>
        <v>0</v>
      </c>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4">
        <f>+CB24/CB23</f>
        <v>1</v>
      </c>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5"/>
      <c r="JI25" s="1098"/>
      <c r="JJ25" s="1098"/>
      <c r="JK25" s="1098"/>
      <c r="JL25" s="1098"/>
      <c r="JM25" s="1098"/>
      <c r="JN25" s="1098"/>
      <c r="JO25" s="1098"/>
      <c r="JP25" s="1098"/>
      <c r="JQ25" s="1098"/>
      <c r="JR25" s="1098"/>
      <c r="JS25" s="1098"/>
      <c r="JT25" s="1098"/>
      <c r="JU25" s="1098"/>
      <c r="JV25" s="1098"/>
      <c r="JW25" s="1098"/>
      <c r="JX25" s="1098"/>
      <c r="JY25" s="1098"/>
      <c r="JZ25" s="1098"/>
      <c r="KA25" s="1098"/>
      <c r="KB25" s="1098"/>
      <c r="KC25" s="1098"/>
      <c r="KD25" s="1098"/>
      <c r="KE25" s="1098"/>
      <c r="KF25" s="1098"/>
      <c r="KG25" s="1098"/>
      <c r="KH25" s="1098"/>
      <c r="KI25" s="1098"/>
      <c r="KJ25" s="1098"/>
      <c r="KK25" s="1098"/>
      <c r="KL25" s="1098"/>
      <c r="KM25" s="1098"/>
      <c r="KN25" s="1098"/>
      <c r="KO25" s="1098"/>
      <c r="KP25" s="1098"/>
      <c r="KQ25" s="1098"/>
      <c r="KR25" s="1098"/>
      <c r="KS25" s="1098"/>
      <c r="KT25" s="1098"/>
      <c r="KU25" s="1098"/>
      <c r="KV25" s="1098"/>
      <c r="KW25" s="1098"/>
      <c r="KX25" s="1098"/>
      <c r="KY25" s="1098"/>
      <c r="KZ25" s="1098"/>
      <c r="LA25" s="1098"/>
      <c r="LB25" s="1098"/>
      <c r="LC25" s="1098"/>
      <c r="LD25" s="1098"/>
      <c r="LE25" s="1098"/>
      <c r="LF25" s="1098"/>
      <c r="LG25" s="1098"/>
      <c r="LH25" s="1098"/>
      <c r="LI25" s="1098"/>
      <c r="LJ25" s="1098"/>
      <c r="LK25" s="1098"/>
      <c r="LL25" s="1098"/>
      <c r="LM25" s="1098"/>
      <c r="LN25" s="1098"/>
      <c r="LO25" s="1098"/>
      <c r="LP25" s="1098"/>
      <c r="LQ25" s="1098"/>
      <c r="LR25" s="1098"/>
      <c r="LS25" s="1098"/>
      <c r="LT25" s="1098"/>
      <c r="LU25" s="1098"/>
    </row>
    <row r="26" spans="2:333" ht="16.5" x14ac:dyDescent="0.3">
      <c r="B26" s="1004" t="s">
        <v>5292</v>
      </c>
      <c r="C26" s="269" t="s">
        <v>6156</v>
      </c>
      <c r="D26" s="271">
        <v>0</v>
      </c>
      <c r="E26" s="271">
        <v>0</v>
      </c>
      <c r="F26" s="271">
        <v>0</v>
      </c>
      <c r="G26" s="271">
        <v>0</v>
      </c>
      <c r="H26" s="271">
        <v>0</v>
      </c>
      <c r="I26" s="271">
        <v>0</v>
      </c>
      <c r="J26" s="288"/>
      <c r="K26" s="271">
        <v>0</v>
      </c>
      <c r="L26" s="271">
        <v>0</v>
      </c>
      <c r="M26" s="271">
        <v>0</v>
      </c>
      <c r="N26" s="271">
        <v>0</v>
      </c>
      <c r="O26" s="271">
        <v>0</v>
      </c>
      <c r="P26" s="271">
        <v>0</v>
      </c>
      <c r="Q26" s="271">
        <v>0</v>
      </c>
      <c r="R26" s="271">
        <v>0</v>
      </c>
      <c r="S26" s="271">
        <v>0</v>
      </c>
      <c r="T26" s="271">
        <v>0</v>
      </c>
      <c r="U26" s="271">
        <v>0</v>
      </c>
      <c r="V26" s="288"/>
      <c r="W26" s="271">
        <v>0</v>
      </c>
      <c r="X26" s="271">
        <v>0</v>
      </c>
      <c r="Y26" s="271">
        <v>0</v>
      </c>
      <c r="Z26" s="271">
        <f>COUNTA(Indonesia!AD10)</f>
        <v>1</v>
      </c>
      <c r="AA26" s="271">
        <v>0</v>
      </c>
      <c r="AB26" s="271">
        <v>0</v>
      </c>
      <c r="AC26" s="271">
        <v>0</v>
      </c>
      <c r="AD26" s="271">
        <v>0</v>
      </c>
      <c r="AE26" s="271">
        <v>0</v>
      </c>
      <c r="AF26" s="271">
        <v>0</v>
      </c>
      <c r="AG26" s="271">
        <v>0</v>
      </c>
      <c r="AH26" s="288"/>
      <c r="AI26" s="271">
        <v>0</v>
      </c>
      <c r="AJ26" s="271">
        <v>0</v>
      </c>
      <c r="AK26" s="271">
        <v>0</v>
      </c>
      <c r="AL26" s="271">
        <v>0</v>
      </c>
      <c r="AM26" s="271">
        <v>0</v>
      </c>
      <c r="AN26" s="271">
        <v>0</v>
      </c>
      <c r="AO26" s="271">
        <v>0</v>
      </c>
      <c r="AP26" s="271">
        <v>0</v>
      </c>
      <c r="AQ26" s="271">
        <v>0</v>
      </c>
      <c r="AR26" s="271">
        <f>COUNTA(Indonesia!AD20)</f>
        <v>1</v>
      </c>
      <c r="AS26" s="271">
        <v>0</v>
      </c>
      <c r="AT26" s="288"/>
      <c r="AU26" s="271">
        <v>0</v>
      </c>
      <c r="AV26" s="271">
        <v>0</v>
      </c>
      <c r="AW26" s="271">
        <v>0</v>
      </c>
      <c r="AX26" s="271">
        <f>COUNTA(Indonesia!AD28)</f>
        <v>1</v>
      </c>
      <c r="AY26" s="271">
        <f>COUNTA(Indonesia!AD31)</f>
        <v>1</v>
      </c>
      <c r="AZ26" s="271">
        <v>0</v>
      </c>
      <c r="BA26" s="271">
        <v>0</v>
      </c>
      <c r="BB26" s="271">
        <v>0</v>
      </c>
      <c r="BC26" s="271">
        <v>0</v>
      </c>
      <c r="BD26" s="271">
        <v>0</v>
      </c>
      <c r="BE26" s="271">
        <f>COUNTA(Indonesia!AD44)</f>
        <v>1</v>
      </c>
      <c r="BF26" s="271">
        <v>0</v>
      </c>
      <c r="BG26" s="271">
        <v>0</v>
      </c>
      <c r="BH26" s="271">
        <v>0</v>
      </c>
      <c r="BI26" s="271">
        <v>0</v>
      </c>
      <c r="BJ26" s="271">
        <f>COUNTA(Indonesia!AD46:AD47)</f>
        <v>2</v>
      </c>
      <c r="BK26" s="271">
        <v>0</v>
      </c>
      <c r="BL26" s="271">
        <v>0</v>
      </c>
      <c r="BM26" s="271">
        <v>0</v>
      </c>
      <c r="BN26" s="271">
        <v>0</v>
      </c>
      <c r="BO26" s="271">
        <v>0</v>
      </c>
      <c r="BP26" s="271">
        <v>0</v>
      </c>
      <c r="BQ26" s="271">
        <v>0</v>
      </c>
      <c r="BR26" s="271">
        <v>0</v>
      </c>
      <c r="BS26" s="271">
        <v>0</v>
      </c>
      <c r="BT26" s="271">
        <v>0</v>
      </c>
      <c r="BU26" s="271">
        <v>0</v>
      </c>
      <c r="BV26" s="271">
        <v>0</v>
      </c>
      <c r="BW26" s="271">
        <v>0</v>
      </c>
      <c r="BX26" s="271">
        <v>0</v>
      </c>
      <c r="BY26" s="271">
        <v>0</v>
      </c>
      <c r="BZ26" s="271">
        <v>0</v>
      </c>
      <c r="CA26" s="271">
        <f>COUNTA(Indonesia!AD59)</f>
        <v>1</v>
      </c>
      <c r="CB26" s="271">
        <v>0</v>
      </c>
      <c r="CC26" s="271">
        <v>0</v>
      </c>
      <c r="CD26" s="271">
        <v>0</v>
      </c>
      <c r="CE26" s="271">
        <f>COUNTA(Indonesia!AD71)</f>
        <v>1</v>
      </c>
      <c r="CF26" s="271">
        <v>0</v>
      </c>
      <c r="CG26" s="271">
        <v>0</v>
      </c>
      <c r="CH26" s="271">
        <v>0</v>
      </c>
      <c r="CI26" s="271">
        <f>COUNTA(Indonesia!AD72)</f>
        <v>1</v>
      </c>
      <c r="CJ26" s="271">
        <v>0</v>
      </c>
      <c r="CK26" s="271">
        <v>0</v>
      </c>
      <c r="CL26" s="271">
        <v>0</v>
      </c>
      <c r="CM26" s="271">
        <v>0</v>
      </c>
      <c r="CN26" s="271">
        <v>0</v>
      </c>
      <c r="CO26" s="271">
        <f>COUNTA(Indonesia!AD82)</f>
        <v>1</v>
      </c>
      <c r="CP26" s="271">
        <v>0</v>
      </c>
      <c r="CQ26" s="271">
        <v>0</v>
      </c>
      <c r="CR26" s="271">
        <v>0</v>
      </c>
      <c r="CS26" s="271">
        <v>0</v>
      </c>
      <c r="CT26" s="271">
        <v>0</v>
      </c>
      <c r="CU26" s="271">
        <v>0</v>
      </c>
      <c r="CV26" s="271">
        <v>0</v>
      </c>
      <c r="CW26" s="271">
        <f>COUNTA(Indonesia!AD83)</f>
        <v>1</v>
      </c>
      <c r="CX26" s="271">
        <v>0</v>
      </c>
      <c r="CY26" s="271">
        <v>0</v>
      </c>
      <c r="CZ26" s="271">
        <v>0</v>
      </c>
      <c r="DA26" s="271">
        <v>0</v>
      </c>
      <c r="DB26" s="271">
        <v>0</v>
      </c>
      <c r="DC26" s="271">
        <v>0</v>
      </c>
      <c r="DD26" s="271">
        <v>0</v>
      </c>
      <c r="DE26" s="271">
        <v>0</v>
      </c>
      <c r="DF26" s="271">
        <v>0</v>
      </c>
      <c r="DG26" s="271">
        <v>0</v>
      </c>
      <c r="DH26" s="271">
        <f>COUNTA(Indonesia!AD93)</f>
        <v>1</v>
      </c>
      <c r="DI26" s="271">
        <v>0</v>
      </c>
      <c r="DJ26" s="271">
        <v>0</v>
      </c>
      <c r="DK26" s="271">
        <v>0</v>
      </c>
      <c r="DL26" s="271">
        <v>0</v>
      </c>
      <c r="DM26" s="271">
        <v>0</v>
      </c>
      <c r="DN26" s="271">
        <v>0</v>
      </c>
      <c r="DO26" s="271">
        <v>0</v>
      </c>
      <c r="DP26" s="271">
        <v>0</v>
      </c>
      <c r="DQ26" s="271">
        <v>0</v>
      </c>
      <c r="DR26" s="271">
        <v>0</v>
      </c>
      <c r="DS26" s="271">
        <v>0</v>
      </c>
      <c r="DT26" s="271">
        <v>0</v>
      </c>
      <c r="DU26" s="271">
        <v>0</v>
      </c>
      <c r="DV26" s="271">
        <v>0</v>
      </c>
      <c r="DW26" s="271">
        <v>0</v>
      </c>
      <c r="DX26" s="271">
        <v>0</v>
      </c>
      <c r="DY26" s="271">
        <v>0</v>
      </c>
      <c r="DZ26" s="271">
        <v>0</v>
      </c>
      <c r="EA26" s="271">
        <v>0</v>
      </c>
      <c r="EB26" s="271">
        <v>0</v>
      </c>
      <c r="EC26" s="271">
        <v>0</v>
      </c>
      <c r="ED26" s="271">
        <f>+COUNTA(Indonesia!AD105)</f>
        <v>1</v>
      </c>
      <c r="EE26" s="271">
        <v>0</v>
      </c>
      <c r="EF26" s="271">
        <v>0</v>
      </c>
      <c r="EG26" s="271">
        <v>0</v>
      </c>
      <c r="EH26" s="271">
        <v>0</v>
      </c>
      <c r="EI26" s="271">
        <v>0</v>
      </c>
      <c r="EJ26" s="271">
        <v>0</v>
      </c>
      <c r="EK26" s="271">
        <v>0</v>
      </c>
      <c r="EL26" s="271">
        <v>0</v>
      </c>
      <c r="EM26" s="271">
        <v>0</v>
      </c>
      <c r="EN26" s="271">
        <v>0</v>
      </c>
      <c r="EO26" s="271">
        <v>0</v>
      </c>
      <c r="EP26" s="271">
        <v>0</v>
      </c>
      <c r="EQ26" s="271">
        <v>0</v>
      </c>
      <c r="ER26" s="271">
        <v>0</v>
      </c>
      <c r="ES26" s="271">
        <v>0</v>
      </c>
      <c r="ET26" s="271">
        <v>0</v>
      </c>
      <c r="EU26" s="271">
        <v>0</v>
      </c>
      <c r="EV26" s="271">
        <v>0</v>
      </c>
      <c r="EW26" s="271">
        <v>0</v>
      </c>
      <c r="EX26" s="271">
        <v>0</v>
      </c>
      <c r="EY26" s="271">
        <v>0</v>
      </c>
      <c r="EZ26" s="271">
        <v>0</v>
      </c>
      <c r="FA26" s="271">
        <v>0</v>
      </c>
      <c r="FB26" s="271">
        <v>0</v>
      </c>
      <c r="FC26" s="271">
        <v>0</v>
      </c>
      <c r="FD26" s="271">
        <v>0</v>
      </c>
      <c r="FE26" s="271">
        <v>0</v>
      </c>
      <c r="FF26" s="271">
        <v>0</v>
      </c>
      <c r="FG26" s="271">
        <v>0</v>
      </c>
      <c r="FH26" s="271">
        <v>0</v>
      </c>
      <c r="FI26" s="271">
        <v>0</v>
      </c>
      <c r="FJ26" s="271">
        <v>0</v>
      </c>
      <c r="FK26" s="271">
        <v>0</v>
      </c>
      <c r="FL26" s="271">
        <v>0</v>
      </c>
      <c r="FM26" s="271">
        <v>0</v>
      </c>
      <c r="FN26" s="271">
        <v>0</v>
      </c>
      <c r="FO26" s="271">
        <v>0</v>
      </c>
      <c r="FP26" s="271">
        <v>0</v>
      </c>
      <c r="FQ26" s="271">
        <v>0</v>
      </c>
      <c r="FR26" s="271">
        <v>0</v>
      </c>
      <c r="FS26" s="271">
        <v>0</v>
      </c>
      <c r="FT26" s="271">
        <v>0</v>
      </c>
      <c r="FU26" s="271">
        <v>0</v>
      </c>
      <c r="FV26" s="271">
        <v>0</v>
      </c>
      <c r="FW26" s="271">
        <v>0</v>
      </c>
      <c r="FX26" s="271">
        <v>0</v>
      </c>
      <c r="FY26" s="271">
        <f>+COUNTA(Indonesia!AD116)</f>
        <v>1</v>
      </c>
      <c r="FZ26" s="271">
        <v>0</v>
      </c>
      <c r="GA26" s="271">
        <v>0</v>
      </c>
      <c r="GB26" s="271">
        <v>0</v>
      </c>
      <c r="GC26" s="271">
        <v>0</v>
      </c>
      <c r="GD26" s="271">
        <v>0</v>
      </c>
      <c r="GE26" s="271">
        <v>0</v>
      </c>
      <c r="GF26" s="271">
        <v>0</v>
      </c>
      <c r="GG26" s="271">
        <v>0</v>
      </c>
      <c r="GH26" s="271">
        <v>0</v>
      </c>
      <c r="GI26" s="271">
        <v>0</v>
      </c>
      <c r="GJ26" s="271">
        <v>0</v>
      </c>
      <c r="GK26" s="271">
        <v>0</v>
      </c>
      <c r="GL26" s="271">
        <v>0</v>
      </c>
      <c r="GM26" s="271">
        <v>0</v>
      </c>
      <c r="GN26" s="271">
        <v>0</v>
      </c>
      <c r="GO26" s="271">
        <v>0</v>
      </c>
      <c r="GP26" s="271">
        <v>0</v>
      </c>
      <c r="GQ26" s="271">
        <v>0</v>
      </c>
      <c r="GR26" s="271">
        <v>0</v>
      </c>
      <c r="GS26" s="271">
        <v>0</v>
      </c>
      <c r="GT26" s="271">
        <v>0</v>
      </c>
      <c r="GU26" s="271">
        <v>0</v>
      </c>
      <c r="GV26" s="271">
        <v>0</v>
      </c>
      <c r="GW26" s="271">
        <v>0</v>
      </c>
      <c r="GX26" s="271">
        <v>0</v>
      </c>
      <c r="GY26" s="271">
        <v>0</v>
      </c>
      <c r="GZ26" s="271">
        <v>0</v>
      </c>
      <c r="HA26" s="271">
        <v>0</v>
      </c>
      <c r="HB26" s="271">
        <v>0</v>
      </c>
      <c r="HC26" s="271">
        <v>0</v>
      </c>
      <c r="HD26" s="271">
        <v>0</v>
      </c>
      <c r="HE26" s="271">
        <v>0</v>
      </c>
      <c r="HF26" s="271">
        <v>0</v>
      </c>
      <c r="HG26" s="271">
        <v>0</v>
      </c>
      <c r="HH26" s="271">
        <v>0</v>
      </c>
      <c r="HI26" s="271">
        <v>0</v>
      </c>
      <c r="HJ26" s="271">
        <v>0</v>
      </c>
      <c r="HK26" s="271">
        <v>0</v>
      </c>
      <c r="HL26" s="271">
        <v>0</v>
      </c>
      <c r="HM26" s="271">
        <v>0</v>
      </c>
      <c r="HN26" s="271">
        <v>0</v>
      </c>
      <c r="HO26" s="271">
        <v>0</v>
      </c>
      <c r="HP26" s="271">
        <v>0</v>
      </c>
      <c r="HQ26" s="271">
        <v>0</v>
      </c>
      <c r="HR26" s="271">
        <v>0</v>
      </c>
      <c r="HS26" s="271">
        <v>0</v>
      </c>
      <c r="HT26" s="271">
        <v>0</v>
      </c>
      <c r="HU26" s="271">
        <v>0</v>
      </c>
      <c r="HV26" s="271">
        <v>0</v>
      </c>
      <c r="HW26" s="271">
        <v>0</v>
      </c>
      <c r="HX26" s="271">
        <v>0</v>
      </c>
      <c r="HY26" s="271">
        <v>0</v>
      </c>
      <c r="HZ26" s="271">
        <v>0</v>
      </c>
      <c r="IA26" s="271">
        <v>0</v>
      </c>
      <c r="IB26" s="271">
        <v>0</v>
      </c>
      <c r="IC26" s="271">
        <v>0</v>
      </c>
      <c r="ID26" s="271">
        <v>0</v>
      </c>
      <c r="IE26" s="271">
        <v>0</v>
      </c>
      <c r="IF26" s="271">
        <v>0</v>
      </c>
      <c r="IG26" s="271">
        <v>0</v>
      </c>
      <c r="IH26" s="271">
        <v>0</v>
      </c>
      <c r="II26" s="271">
        <v>0</v>
      </c>
      <c r="IJ26" s="271">
        <v>0</v>
      </c>
      <c r="IK26" s="271">
        <v>0</v>
      </c>
      <c r="IL26" s="271">
        <v>0</v>
      </c>
      <c r="IM26" s="271">
        <f>+COUNTA(Indonesia!AD124)</f>
        <v>1</v>
      </c>
      <c r="IN26" s="271">
        <v>0</v>
      </c>
      <c r="IO26" s="271">
        <v>0</v>
      </c>
      <c r="IP26" s="271">
        <v>0</v>
      </c>
      <c r="IQ26" s="271">
        <v>0</v>
      </c>
      <c r="IR26" s="271">
        <v>0</v>
      </c>
      <c r="IS26" s="271">
        <v>0</v>
      </c>
      <c r="IT26" s="271">
        <f>+COUNTA(Indonesia!AD132)</f>
        <v>1</v>
      </c>
      <c r="IU26" s="271">
        <v>0</v>
      </c>
      <c r="IV26" s="271">
        <v>0</v>
      </c>
      <c r="IW26" s="271">
        <v>0</v>
      </c>
      <c r="IX26" s="271">
        <v>0</v>
      </c>
      <c r="IY26" s="271">
        <v>0</v>
      </c>
      <c r="IZ26" s="271">
        <v>0</v>
      </c>
      <c r="JA26" s="271">
        <v>0</v>
      </c>
      <c r="JB26" s="271">
        <v>0</v>
      </c>
      <c r="JC26" s="271">
        <v>0</v>
      </c>
      <c r="JD26" s="271">
        <v>0</v>
      </c>
      <c r="JE26" s="271">
        <v>0</v>
      </c>
      <c r="JF26" s="361">
        <f>SUM(D26:JE26)</f>
        <v>17</v>
      </c>
      <c r="JI26" s="1097">
        <v>0</v>
      </c>
      <c r="JJ26" s="1097">
        <v>0</v>
      </c>
      <c r="JK26" s="1097">
        <v>0</v>
      </c>
      <c r="JL26" s="1097">
        <v>0</v>
      </c>
      <c r="JM26" s="1097">
        <v>0</v>
      </c>
      <c r="JN26" s="1097">
        <v>0</v>
      </c>
      <c r="JO26" s="1097">
        <v>0</v>
      </c>
      <c r="JP26" s="1097">
        <v>0</v>
      </c>
      <c r="JQ26" s="1097">
        <v>0</v>
      </c>
      <c r="JR26" s="1097">
        <v>0</v>
      </c>
      <c r="JS26" s="1097">
        <v>0</v>
      </c>
      <c r="JT26" s="1097">
        <v>0</v>
      </c>
      <c r="JU26" s="1097">
        <v>0</v>
      </c>
      <c r="JV26" s="1097">
        <v>0</v>
      </c>
      <c r="JW26" s="1097">
        <v>0</v>
      </c>
      <c r="JX26" s="1097">
        <v>0</v>
      </c>
      <c r="JY26" s="1097">
        <v>0</v>
      </c>
      <c r="JZ26" s="1097">
        <v>0</v>
      </c>
      <c r="KA26" s="1097">
        <v>0</v>
      </c>
      <c r="KB26" s="1097">
        <v>0</v>
      </c>
      <c r="KC26" s="1097">
        <v>0</v>
      </c>
      <c r="KD26" s="1097">
        <v>0</v>
      </c>
      <c r="KE26" s="1097">
        <v>0</v>
      </c>
      <c r="KF26" s="1097">
        <v>0</v>
      </c>
      <c r="KG26" s="1097"/>
      <c r="KH26" s="1097"/>
      <c r="KI26" s="1097"/>
      <c r="KJ26" s="1097"/>
      <c r="KK26" s="1097"/>
      <c r="KL26" s="1097"/>
      <c r="KM26" s="1097"/>
      <c r="KN26" s="1097"/>
      <c r="KO26" s="1097"/>
      <c r="KP26" s="1097"/>
      <c r="KQ26" s="1097"/>
      <c r="KR26" s="1097"/>
      <c r="KS26" s="1097"/>
      <c r="KT26" s="1097"/>
      <c r="KU26" s="1097"/>
      <c r="KV26" s="1097"/>
      <c r="KW26" s="1097"/>
      <c r="KX26" s="1097"/>
      <c r="KY26" s="1097"/>
      <c r="KZ26" s="1097"/>
      <c r="LA26" s="1097"/>
      <c r="LB26" s="1097"/>
      <c r="LC26" s="1097">
        <f>+COUNTA(Indonesia!AG124)</f>
        <v>1</v>
      </c>
      <c r="LD26" s="1097"/>
      <c r="LE26" s="1097"/>
      <c r="LF26" s="1097"/>
      <c r="LG26" s="1097"/>
      <c r="LH26" s="1097"/>
      <c r="LI26" s="1097"/>
      <c r="LJ26" s="1097">
        <f>+COUNTA(Indonesia!AG132)</f>
        <v>1</v>
      </c>
      <c r="LK26" s="1097"/>
      <c r="LL26" s="1097"/>
      <c r="LM26" s="1097"/>
      <c r="LN26" s="1097"/>
      <c r="LO26" s="1097"/>
      <c r="LP26" s="1097"/>
      <c r="LQ26" s="1097"/>
      <c r="LR26" s="1097"/>
      <c r="LS26" s="1097"/>
      <c r="LT26" s="1097"/>
      <c r="LU26" s="1097"/>
    </row>
    <row r="27" spans="2:333" ht="16.5" x14ac:dyDescent="0.3">
      <c r="B27" s="1003"/>
      <c r="C27" s="273" t="s">
        <v>6157</v>
      </c>
      <c r="D27" s="272"/>
      <c r="E27" s="272"/>
      <c r="F27" s="272"/>
      <c r="G27" s="272"/>
      <c r="H27" s="272"/>
      <c r="I27" s="272"/>
      <c r="J27" s="289"/>
      <c r="K27" s="272"/>
      <c r="L27" s="272"/>
      <c r="M27" s="272"/>
      <c r="N27" s="272"/>
      <c r="O27" s="272"/>
      <c r="P27" s="272"/>
      <c r="Q27" s="272"/>
      <c r="R27" s="272"/>
      <c r="S27" s="272"/>
      <c r="T27" s="272"/>
      <c r="U27" s="272"/>
      <c r="V27" s="289"/>
      <c r="W27" s="272"/>
      <c r="X27" s="272"/>
      <c r="Y27" s="272"/>
      <c r="Z27" s="272">
        <f>COUNTIF(Indonesia!AD10,"en término")</f>
        <v>0</v>
      </c>
      <c r="AA27" s="272"/>
      <c r="AB27" s="272"/>
      <c r="AC27" s="272"/>
      <c r="AD27" s="272"/>
      <c r="AE27" s="272"/>
      <c r="AF27" s="272"/>
      <c r="AG27" s="272"/>
      <c r="AH27" s="289"/>
      <c r="AI27" s="272"/>
      <c r="AJ27" s="272"/>
      <c r="AK27" s="272"/>
      <c r="AL27" s="272"/>
      <c r="AM27" s="272"/>
      <c r="AN27" s="272"/>
      <c r="AO27" s="272"/>
      <c r="AP27" s="272"/>
      <c r="AQ27" s="272"/>
      <c r="AR27" s="272">
        <f>COUNTIF(Indonesia!AD20,"en término")</f>
        <v>1</v>
      </c>
      <c r="AS27" s="272"/>
      <c r="AT27" s="289"/>
      <c r="AU27" s="272"/>
      <c r="AV27" s="272"/>
      <c r="AW27" s="272"/>
      <c r="AX27" s="272">
        <f>COUNTIF(Indonesia!AD28,"en término")</f>
        <v>0</v>
      </c>
      <c r="AY27" s="272">
        <f>COUNTIF(Indonesia!AD31,"en término")</f>
        <v>1</v>
      </c>
      <c r="AZ27" s="272"/>
      <c r="BA27" s="272"/>
      <c r="BB27" s="272"/>
      <c r="BC27" s="272"/>
      <c r="BD27" s="272"/>
      <c r="BE27" s="272">
        <f>COUNTIF(Indonesia!AD44,"en término")</f>
        <v>0</v>
      </c>
      <c r="BF27" s="272"/>
      <c r="BG27" s="272"/>
      <c r="BH27" s="272"/>
      <c r="BI27" s="272"/>
      <c r="BJ27" s="272">
        <f>COUNTIF(Indonesia!AD46:AD47,"en término")</f>
        <v>0</v>
      </c>
      <c r="BK27" s="272"/>
      <c r="BL27" s="272"/>
      <c r="BM27" s="272"/>
      <c r="BN27" s="272"/>
      <c r="BO27" s="272"/>
      <c r="BP27" s="272"/>
      <c r="BQ27" s="272"/>
      <c r="BR27" s="272"/>
      <c r="BS27" s="272"/>
      <c r="BT27" s="272"/>
      <c r="BU27" s="272"/>
      <c r="BV27" s="272"/>
      <c r="BW27" s="272"/>
      <c r="BX27" s="272"/>
      <c r="BY27" s="272"/>
      <c r="BZ27" s="272"/>
      <c r="CA27" s="272">
        <f>COUNTIF(Indonesia!AD59,"en término")</f>
        <v>1</v>
      </c>
      <c r="CB27" s="272"/>
      <c r="CC27" s="272"/>
      <c r="CD27" s="272"/>
      <c r="CE27" s="272">
        <f>COUNTIF(Indonesia!AD71,"en término")</f>
        <v>1</v>
      </c>
      <c r="CF27" s="272"/>
      <c r="CG27" s="272"/>
      <c r="CH27" s="272"/>
      <c r="CI27" s="272">
        <f>COUNTIF(Indonesia!AD72,"en término")</f>
        <v>0</v>
      </c>
      <c r="CJ27" s="272"/>
      <c r="CK27" s="272"/>
      <c r="CL27" s="272"/>
      <c r="CM27" s="272"/>
      <c r="CN27" s="272"/>
      <c r="CO27" s="272">
        <f>COUNTIF(Indonesia!AJ72,"en término")</f>
        <v>0</v>
      </c>
      <c r="CP27" s="272"/>
      <c r="CQ27" s="272"/>
      <c r="CR27" s="272"/>
      <c r="CS27" s="272"/>
      <c r="CT27" s="272"/>
      <c r="CU27" s="272"/>
      <c r="CV27" s="272"/>
      <c r="CW27" s="272">
        <f>COUNTIF(Indonesia!AD83,"en término")</f>
        <v>0</v>
      </c>
      <c r="CX27" s="272"/>
      <c r="CY27" s="272"/>
      <c r="CZ27" s="272"/>
      <c r="DA27" s="272"/>
      <c r="DB27" s="272"/>
      <c r="DC27" s="272"/>
      <c r="DD27" s="272"/>
      <c r="DE27" s="272"/>
      <c r="DF27" s="272"/>
      <c r="DG27" s="272"/>
      <c r="DH27" s="272">
        <f>COUNTIF(Indonesia!AD93,"en término")</f>
        <v>0</v>
      </c>
      <c r="DI27" s="272"/>
      <c r="DJ27" s="272"/>
      <c r="DK27" s="272"/>
      <c r="DL27" s="272"/>
      <c r="DM27" s="272"/>
      <c r="DN27" s="272"/>
      <c r="DO27" s="272"/>
      <c r="DP27" s="272"/>
      <c r="DQ27" s="272"/>
      <c r="DR27" s="272"/>
      <c r="DS27" s="272"/>
      <c r="DT27" s="272"/>
      <c r="DU27" s="272"/>
      <c r="DV27" s="272"/>
      <c r="DW27" s="272"/>
      <c r="DX27" s="272"/>
      <c r="DY27" s="272"/>
      <c r="DZ27" s="272"/>
      <c r="EA27" s="272"/>
      <c r="EB27" s="272"/>
      <c r="EC27" s="272"/>
      <c r="ED27" s="272">
        <f>+COUNTIF(Indonesia!AD105,"en término")</f>
        <v>0</v>
      </c>
      <c r="EE27" s="272"/>
      <c r="EF27" s="272"/>
      <c r="EG27" s="272"/>
      <c r="EH27" s="272"/>
      <c r="EI27" s="272"/>
      <c r="EJ27" s="272"/>
      <c r="EK27" s="272"/>
      <c r="EL27" s="272"/>
      <c r="EM27" s="272"/>
      <c r="EN27" s="272"/>
      <c r="EO27" s="272"/>
      <c r="EP27" s="272"/>
      <c r="EQ27" s="272"/>
      <c r="ER27" s="272"/>
      <c r="ES27" s="272"/>
      <c r="ET27" s="272"/>
      <c r="EU27" s="272"/>
      <c r="EV27" s="272"/>
      <c r="EW27" s="272"/>
      <c r="EX27" s="272"/>
      <c r="EY27" s="272"/>
      <c r="EZ27" s="272"/>
      <c r="FA27" s="272"/>
      <c r="FB27" s="272"/>
      <c r="FC27" s="272"/>
      <c r="FD27" s="272"/>
      <c r="FE27" s="272"/>
      <c r="FF27" s="272"/>
      <c r="FG27" s="272"/>
      <c r="FH27" s="272"/>
      <c r="FI27" s="272"/>
      <c r="FJ27" s="272"/>
      <c r="FK27" s="272"/>
      <c r="FL27" s="272"/>
      <c r="FM27" s="272"/>
      <c r="FN27" s="272"/>
      <c r="FO27" s="272"/>
      <c r="FP27" s="272"/>
      <c r="FQ27" s="272"/>
      <c r="FR27" s="272"/>
      <c r="FS27" s="272"/>
      <c r="FT27" s="272"/>
      <c r="FU27" s="272"/>
      <c r="FV27" s="272"/>
      <c r="FW27" s="272"/>
      <c r="FX27" s="272"/>
      <c r="FY27" s="272">
        <f>+COUNTIF(Indonesia!AD116,"en término")</f>
        <v>0</v>
      </c>
      <c r="FZ27" s="272"/>
      <c r="GA27" s="272"/>
      <c r="GB27" s="272"/>
      <c r="GC27" s="272"/>
      <c r="GD27" s="272"/>
      <c r="GE27" s="272"/>
      <c r="GF27" s="272"/>
      <c r="GG27" s="272"/>
      <c r="GH27" s="272"/>
      <c r="GI27" s="272"/>
      <c r="GJ27" s="272"/>
      <c r="GK27" s="272"/>
      <c r="GL27" s="272"/>
      <c r="GM27" s="272"/>
      <c r="GN27" s="272"/>
      <c r="GO27" s="272"/>
      <c r="GP27" s="272"/>
      <c r="GQ27" s="272"/>
      <c r="GR27" s="272"/>
      <c r="GS27" s="272"/>
      <c r="GT27" s="272"/>
      <c r="GU27" s="272"/>
      <c r="GV27" s="272"/>
      <c r="GW27" s="272"/>
      <c r="GX27" s="272"/>
      <c r="GY27" s="272"/>
      <c r="GZ27" s="272"/>
      <c r="HA27" s="272"/>
      <c r="HB27" s="272"/>
      <c r="HC27" s="272"/>
      <c r="HD27" s="272"/>
      <c r="HE27" s="272"/>
      <c r="HF27" s="272"/>
      <c r="HG27" s="272"/>
      <c r="HH27" s="272"/>
      <c r="HI27" s="272"/>
      <c r="HJ27" s="272"/>
      <c r="HK27" s="272"/>
      <c r="HL27" s="272"/>
      <c r="HM27" s="272"/>
      <c r="HN27" s="272"/>
      <c r="HO27" s="272"/>
      <c r="HP27" s="272"/>
      <c r="HQ27" s="272"/>
      <c r="HR27" s="272"/>
      <c r="HS27" s="272"/>
      <c r="HT27" s="272"/>
      <c r="HU27" s="272"/>
      <c r="HV27" s="272"/>
      <c r="HW27" s="272"/>
      <c r="HX27" s="272"/>
      <c r="HY27" s="272"/>
      <c r="HZ27" s="272"/>
      <c r="IA27" s="272"/>
      <c r="IB27" s="272"/>
      <c r="IC27" s="272"/>
      <c r="ID27" s="272"/>
      <c r="IE27" s="272"/>
      <c r="IF27" s="272"/>
      <c r="IG27" s="272"/>
      <c r="IH27" s="272"/>
      <c r="II27" s="272"/>
      <c r="IJ27" s="272"/>
      <c r="IK27" s="272"/>
      <c r="IL27" s="272"/>
      <c r="IM27" s="272">
        <f>+COUNTIF(Indonesia!AD124,"en término")</f>
        <v>0</v>
      </c>
      <c r="IN27" s="272"/>
      <c r="IO27" s="272"/>
      <c r="IP27" s="272"/>
      <c r="IQ27" s="272"/>
      <c r="IR27" s="272"/>
      <c r="IS27" s="272"/>
      <c r="IT27" s="272">
        <f>+COUNTIF(Indonesia!AD132,"en término")</f>
        <v>0</v>
      </c>
      <c r="IU27" s="272"/>
      <c r="IV27" s="272"/>
      <c r="IW27" s="272"/>
      <c r="IX27" s="272"/>
      <c r="IY27" s="272"/>
      <c r="IZ27" s="272"/>
      <c r="JA27" s="272"/>
      <c r="JB27" s="272"/>
      <c r="JC27" s="272"/>
      <c r="JD27" s="272"/>
      <c r="JE27" s="272"/>
      <c r="JF27" s="272"/>
      <c r="JI27" s="1097"/>
      <c r="JJ27" s="1097"/>
      <c r="JK27" s="1097"/>
      <c r="JL27" s="1097"/>
      <c r="JM27" s="1097"/>
      <c r="JN27" s="1097"/>
      <c r="JO27" s="1097"/>
      <c r="JP27" s="1097"/>
      <c r="JQ27" s="1097"/>
      <c r="JR27" s="1097"/>
      <c r="JS27" s="1097"/>
      <c r="JT27" s="1097"/>
      <c r="JU27" s="1097"/>
      <c r="JV27" s="1097"/>
      <c r="JW27" s="1097"/>
      <c r="JX27" s="1097"/>
      <c r="JY27" s="1097"/>
      <c r="JZ27" s="1097"/>
      <c r="KA27" s="1097"/>
      <c r="KB27" s="1097"/>
      <c r="KC27" s="1097"/>
      <c r="KD27" s="1097"/>
      <c r="KE27" s="1097"/>
      <c r="KF27" s="1097"/>
      <c r="KG27" s="1097"/>
      <c r="KH27" s="1097"/>
      <c r="KI27" s="1097"/>
      <c r="KJ27" s="1097"/>
      <c r="KK27" s="1097"/>
      <c r="KL27" s="1097"/>
      <c r="KM27" s="1097"/>
      <c r="KN27" s="1097"/>
      <c r="KO27" s="1097"/>
      <c r="KP27" s="1097"/>
      <c r="KQ27" s="1097"/>
      <c r="KR27" s="1097"/>
      <c r="KS27" s="1097"/>
      <c r="KT27" s="1097"/>
      <c r="KU27" s="1097"/>
      <c r="KV27" s="1097"/>
      <c r="KW27" s="1097"/>
      <c r="KX27" s="1097"/>
      <c r="KY27" s="1097"/>
      <c r="KZ27" s="1097"/>
      <c r="LA27" s="1097"/>
      <c r="LB27" s="1097"/>
      <c r="LC27" s="1097">
        <f>+COUNTIF(Indonesia!AI124,"en término")</f>
        <v>1</v>
      </c>
      <c r="LD27" s="1097"/>
      <c r="LE27" s="1097"/>
      <c r="LF27" s="1097"/>
      <c r="LG27" s="1097"/>
      <c r="LH27" s="1097"/>
      <c r="LI27" s="1097"/>
      <c r="LJ27" s="1097">
        <f>+COUNTIF(Indonesia!AI132,"en término")</f>
        <v>1</v>
      </c>
      <c r="LK27" s="1097"/>
      <c r="LL27" s="1097"/>
      <c r="LM27" s="1097"/>
      <c r="LN27" s="1097"/>
      <c r="LO27" s="1097"/>
      <c r="LP27" s="1097"/>
      <c r="LQ27" s="1097"/>
      <c r="LR27" s="1097"/>
      <c r="LS27" s="1097"/>
      <c r="LT27" s="1097"/>
      <c r="LU27" s="1097"/>
    </row>
    <row r="28" spans="2:333" ht="17.25" thickBot="1" x14ac:dyDescent="0.35">
      <c r="B28" s="1005"/>
      <c r="C28" s="270" t="s">
        <v>6158</v>
      </c>
      <c r="D28" s="275"/>
      <c r="E28" s="275"/>
      <c r="F28" s="275"/>
      <c r="G28" s="275"/>
      <c r="H28" s="275"/>
      <c r="I28" s="275"/>
      <c r="J28" s="290"/>
      <c r="K28" s="275"/>
      <c r="L28" s="275"/>
      <c r="M28" s="275"/>
      <c r="N28" s="275"/>
      <c r="O28" s="275"/>
      <c r="P28" s="275"/>
      <c r="Q28" s="275"/>
      <c r="R28" s="275"/>
      <c r="S28" s="275"/>
      <c r="T28" s="275"/>
      <c r="U28" s="275"/>
      <c r="V28" s="290"/>
      <c r="W28" s="275"/>
      <c r="X28" s="275"/>
      <c r="Y28" s="275"/>
      <c r="Z28" s="275">
        <f>+Z27/Z26</f>
        <v>0</v>
      </c>
      <c r="AA28" s="275"/>
      <c r="AB28" s="275"/>
      <c r="AC28" s="275"/>
      <c r="AD28" s="275"/>
      <c r="AE28" s="275"/>
      <c r="AF28" s="275"/>
      <c r="AG28" s="275"/>
      <c r="AH28" s="290"/>
      <c r="AI28" s="275"/>
      <c r="AJ28" s="275"/>
      <c r="AK28" s="275"/>
      <c r="AL28" s="275"/>
      <c r="AM28" s="275"/>
      <c r="AN28" s="275"/>
      <c r="AO28" s="275"/>
      <c r="AP28" s="275"/>
      <c r="AQ28" s="275"/>
      <c r="AR28" s="275">
        <f>+AR27/AR26</f>
        <v>1</v>
      </c>
      <c r="AS28" s="275"/>
      <c r="AT28" s="290"/>
      <c r="AU28" s="275"/>
      <c r="AV28" s="275"/>
      <c r="AW28" s="275"/>
      <c r="AX28" s="275">
        <f>+AX27/AX26</f>
        <v>0</v>
      </c>
      <c r="AY28" s="275">
        <f>+AY27/AY26</f>
        <v>1</v>
      </c>
      <c r="AZ28" s="275"/>
      <c r="BA28" s="275"/>
      <c r="BB28" s="275"/>
      <c r="BC28" s="275"/>
      <c r="BD28" s="275"/>
      <c r="BE28" s="275">
        <f>+BE27/BE26</f>
        <v>0</v>
      </c>
      <c r="BF28" s="275"/>
      <c r="BG28" s="275"/>
      <c r="BH28" s="275"/>
      <c r="BI28" s="275"/>
      <c r="BJ28" s="275">
        <f>+BJ27/BJ26</f>
        <v>0</v>
      </c>
      <c r="BK28" s="275"/>
      <c r="BL28" s="275"/>
      <c r="BM28" s="275"/>
      <c r="BN28" s="275"/>
      <c r="BO28" s="275"/>
      <c r="BP28" s="275"/>
      <c r="BQ28" s="275"/>
      <c r="BR28" s="275"/>
      <c r="BS28" s="275"/>
      <c r="BT28" s="275"/>
      <c r="BU28" s="275"/>
      <c r="BV28" s="275"/>
      <c r="BW28" s="275"/>
      <c r="BX28" s="275"/>
      <c r="BY28" s="275"/>
      <c r="BZ28" s="274"/>
      <c r="CA28" s="274">
        <f>+CA27/CA26</f>
        <v>1</v>
      </c>
      <c r="CB28" s="274"/>
      <c r="CC28" s="274"/>
      <c r="CD28" s="274"/>
      <c r="CE28" s="274">
        <f>+CE27/CE26</f>
        <v>1</v>
      </c>
      <c r="CF28" s="274"/>
      <c r="CG28" s="274"/>
      <c r="CH28" s="274"/>
      <c r="CI28" s="274">
        <f>+CI27/CI26</f>
        <v>0</v>
      </c>
      <c r="CJ28" s="274"/>
      <c r="CK28" s="274"/>
      <c r="CL28" s="274"/>
      <c r="CM28" s="274"/>
      <c r="CN28" s="274"/>
      <c r="CO28" s="274">
        <f>+CO27/CO26</f>
        <v>0</v>
      </c>
      <c r="CP28" s="274"/>
      <c r="CQ28" s="274"/>
      <c r="CR28" s="274"/>
      <c r="CS28" s="274"/>
      <c r="CT28" s="274"/>
      <c r="CU28" s="274"/>
      <c r="CV28" s="274"/>
      <c r="CW28" s="274">
        <f>+CW27/CW26</f>
        <v>0</v>
      </c>
      <c r="CX28" s="274"/>
      <c r="CY28" s="274"/>
      <c r="CZ28" s="274"/>
      <c r="DA28" s="274"/>
      <c r="DB28" s="274"/>
      <c r="DC28" s="274"/>
      <c r="DD28" s="274"/>
      <c r="DE28" s="274"/>
      <c r="DF28" s="274"/>
      <c r="DG28" s="274"/>
      <c r="DH28" s="275">
        <f>+DH27/DH26</f>
        <v>0</v>
      </c>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5">
        <f>+ED27/ED26</f>
        <v>0</v>
      </c>
      <c r="EE28" s="275"/>
      <c r="EF28" s="275"/>
      <c r="EG28" s="275"/>
      <c r="EH28" s="275"/>
      <c r="EI28" s="275"/>
      <c r="EJ28" s="275"/>
      <c r="EK28" s="275"/>
      <c r="EL28" s="275"/>
      <c r="EM28" s="275"/>
      <c r="EN28" s="275"/>
      <c r="EO28" s="275"/>
      <c r="EP28" s="275"/>
      <c r="EQ28" s="275"/>
      <c r="ER28" s="275"/>
      <c r="ES28" s="275"/>
      <c r="ET28" s="275"/>
      <c r="EU28" s="275"/>
      <c r="EV28" s="275"/>
      <c r="EW28" s="275"/>
      <c r="EX28" s="275"/>
      <c r="EY28" s="275"/>
      <c r="EZ28" s="275"/>
      <c r="FA28" s="275"/>
      <c r="FB28" s="275"/>
      <c r="FC28" s="275"/>
      <c r="FD28" s="275"/>
      <c r="FE28" s="275"/>
      <c r="FF28" s="275"/>
      <c r="FG28" s="275"/>
      <c r="FH28" s="275"/>
      <c r="FI28" s="275"/>
      <c r="FJ28" s="275"/>
      <c r="FK28" s="275"/>
      <c r="FL28" s="275"/>
      <c r="FM28" s="275"/>
      <c r="FN28" s="275"/>
      <c r="FO28" s="275"/>
      <c r="FP28" s="275"/>
      <c r="FQ28" s="275"/>
      <c r="FR28" s="275"/>
      <c r="FS28" s="275"/>
      <c r="FT28" s="275"/>
      <c r="FU28" s="275"/>
      <c r="FV28" s="275"/>
      <c r="FW28" s="275"/>
      <c r="FX28" s="275"/>
      <c r="FY28" s="275">
        <f>+FY27/FY26</f>
        <v>0</v>
      </c>
      <c r="FZ28" s="275"/>
      <c r="GA28" s="275"/>
      <c r="GB28" s="275"/>
      <c r="GC28" s="275"/>
      <c r="GD28" s="275"/>
      <c r="GE28" s="275"/>
      <c r="GF28" s="275"/>
      <c r="GG28" s="275"/>
      <c r="GH28" s="275"/>
      <c r="GI28" s="275"/>
      <c r="GJ28" s="275"/>
      <c r="GK28" s="275"/>
      <c r="GL28" s="275"/>
      <c r="GM28" s="275"/>
      <c r="GN28" s="275"/>
      <c r="GO28" s="275"/>
      <c r="GP28" s="275"/>
      <c r="GQ28" s="275"/>
      <c r="GR28" s="275"/>
      <c r="GS28" s="275"/>
      <c r="GT28" s="275"/>
      <c r="GU28" s="275"/>
      <c r="GV28" s="275"/>
      <c r="GW28" s="275"/>
      <c r="GX28" s="275"/>
      <c r="GY28" s="275"/>
      <c r="GZ28" s="275"/>
      <c r="HA28" s="275"/>
      <c r="HB28" s="275"/>
      <c r="HC28" s="275"/>
      <c r="HD28" s="275"/>
      <c r="HE28" s="275"/>
      <c r="HF28" s="275"/>
      <c r="HG28" s="275"/>
      <c r="HH28" s="275"/>
      <c r="HI28" s="275"/>
      <c r="HJ28" s="275"/>
      <c r="HK28" s="275"/>
      <c r="HL28" s="275"/>
      <c r="HM28" s="275"/>
      <c r="HN28" s="275"/>
      <c r="HO28" s="275"/>
      <c r="HP28" s="275"/>
      <c r="HQ28" s="275"/>
      <c r="HR28" s="275"/>
      <c r="HS28" s="275"/>
      <c r="HT28" s="275"/>
      <c r="HU28" s="275"/>
      <c r="HV28" s="275"/>
      <c r="HW28" s="275"/>
      <c r="HX28" s="275"/>
      <c r="HY28" s="275"/>
      <c r="HZ28" s="275"/>
      <c r="IA28" s="275"/>
      <c r="IB28" s="275"/>
      <c r="IC28" s="275"/>
      <c r="ID28" s="275"/>
      <c r="IE28" s="275"/>
      <c r="IF28" s="275"/>
      <c r="IG28" s="275"/>
      <c r="IH28" s="275"/>
      <c r="II28" s="275"/>
      <c r="IJ28" s="275"/>
      <c r="IK28" s="275"/>
      <c r="IL28" s="275"/>
      <c r="IM28" s="275">
        <f t="shared" ref="IM28" si="45">+IM27/IM26</f>
        <v>0</v>
      </c>
      <c r="IN28" s="275"/>
      <c r="IO28" s="275"/>
      <c r="IP28" s="275"/>
      <c r="IQ28" s="275"/>
      <c r="IR28" s="275"/>
      <c r="IS28" s="275"/>
      <c r="IT28" s="275">
        <f t="shared" ref="IT28" si="46">+IT27/IT26</f>
        <v>0</v>
      </c>
      <c r="IU28" s="275"/>
      <c r="IV28" s="275"/>
      <c r="IW28" s="275"/>
      <c r="IX28" s="275"/>
      <c r="IY28" s="275"/>
      <c r="IZ28" s="275"/>
      <c r="JA28" s="275"/>
      <c r="JB28" s="275"/>
      <c r="JC28" s="275"/>
      <c r="JD28" s="275"/>
      <c r="JE28" s="275"/>
      <c r="JF28" s="275"/>
      <c r="JI28" s="1098"/>
      <c r="JJ28" s="1098"/>
      <c r="JK28" s="1098"/>
      <c r="JL28" s="1098"/>
      <c r="JM28" s="1098"/>
      <c r="JN28" s="1098"/>
      <c r="JO28" s="1098"/>
      <c r="JP28" s="1098"/>
      <c r="JQ28" s="1098"/>
      <c r="JR28" s="1098"/>
      <c r="JS28" s="1098"/>
      <c r="JT28" s="1098"/>
      <c r="JU28" s="1098"/>
      <c r="JV28" s="1098"/>
      <c r="JW28" s="1098"/>
      <c r="JX28" s="1098"/>
      <c r="JY28" s="1098"/>
      <c r="JZ28" s="1098"/>
      <c r="KA28" s="1098"/>
      <c r="KB28" s="1098"/>
      <c r="KC28" s="1098"/>
      <c r="KD28" s="1098"/>
      <c r="KE28" s="1098"/>
      <c r="KF28" s="1098"/>
      <c r="KG28" s="1098"/>
      <c r="KH28" s="1098"/>
      <c r="KI28" s="1098"/>
      <c r="KJ28" s="1098"/>
      <c r="KK28" s="1098"/>
      <c r="KL28" s="1098"/>
      <c r="KM28" s="1098"/>
      <c r="KN28" s="1098"/>
      <c r="KO28" s="1098"/>
      <c r="KP28" s="1098"/>
      <c r="KQ28" s="1098"/>
      <c r="KR28" s="1098"/>
      <c r="KS28" s="1098"/>
      <c r="KT28" s="1098"/>
      <c r="KU28" s="1098"/>
      <c r="KV28" s="1098"/>
      <c r="KW28" s="1098"/>
      <c r="KX28" s="1098"/>
      <c r="KY28" s="1098"/>
      <c r="KZ28" s="1098"/>
      <c r="LA28" s="1098"/>
      <c r="LB28" s="1098"/>
      <c r="LC28" s="1098"/>
      <c r="LD28" s="1098"/>
      <c r="LE28" s="1098"/>
      <c r="LF28" s="1098"/>
      <c r="LG28" s="1098"/>
      <c r="LH28" s="1098"/>
      <c r="LI28" s="1098"/>
      <c r="LJ28" s="1098"/>
      <c r="LK28" s="1098"/>
      <c r="LL28" s="1098"/>
      <c r="LM28" s="1098"/>
      <c r="LN28" s="1098"/>
      <c r="LO28" s="1098"/>
      <c r="LP28" s="1098"/>
      <c r="LQ28" s="1098"/>
      <c r="LR28" s="1098"/>
      <c r="LS28" s="1098"/>
      <c r="LT28" s="1098"/>
      <c r="LU28" s="1098"/>
    </row>
    <row r="29" spans="2:333" ht="16.5" x14ac:dyDescent="0.3">
      <c r="B29" s="1004" t="s">
        <v>5370</v>
      </c>
      <c r="C29" s="269" t="s">
        <v>6156</v>
      </c>
      <c r="D29" s="271">
        <v>0</v>
      </c>
      <c r="E29" s="271">
        <v>0</v>
      </c>
      <c r="F29" s="271">
        <v>0</v>
      </c>
      <c r="G29" s="271">
        <v>0</v>
      </c>
      <c r="H29" s="271">
        <v>0</v>
      </c>
      <c r="I29" s="271">
        <v>0</v>
      </c>
      <c r="J29" s="288"/>
      <c r="K29" s="271">
        <v>0</v>
      </c>
      <c r="L29" s="271">
        <v>0</v>
      </c>
      <c r="M29" s="271">
        <v>0</v>
      </c>
      <c r="N29" s="271">
        <v>0</v>
      </c>
      <c r="O29" s="271">
        <v>0</v>
      </c>
      <c r="P29" s="271">
        <v>0</v>
      </c>
      <c r="Q29" s="271">
        <v>0</v>
      </c>
      <c r="R29" s="271">
        <v>0</v>
      </c>
      <c r="S29" s="271">
        <v>0</v>
      </c>
      <c r="T29" s="271">
        <v>0</v>
      </c>
      <c r="U29" s="271">
        <v>0</v>
      </c>
      <c r="V29" s="288"/>
      <c r="W29" s="271">
        <v>0</v>
      </c>
      <c r="X29" s="271">
        <v>0</v>
      </c>
      <c r="Y29" s="271">
        <v>0</v>
      </c>
      <c r="Z29" s="271">
        <v>0</v>
      </c>
      <c r="AA29" s="271">
        <v>0</v>
      </c>
      <c r="AB29" s="271">
        <v>0</v>
      </c>
      <c r="AC29" s="271">
        <v>0</v>
      </c>
      <c r="AD29" s="271">
        <v>0</v>
      </c>
      <c r="AE29" s="271">
        <v>0</v>
      </c>
      <c r="AF29" s="271">
        <v>0</v>
      </c>
      <c r="AG29" s="271">
        <v>0</v>
      </c>
      <c r="AH29" s="288"/>
      <c r="AI29" s="271">
        <v>0</v>
      </c>
      <c r="AJ29" s="271">
        <v>0</v>
      </c>
      <c r="AK29" s="271">
        <v>0</v>
      </c>
      <c r="AL29" s="271">
        <v>0</v>
      </c>
      <c r="AM29" s="271">
        <v>0</v>
      </c>
      <c r="AN29" s="271">
        <v>0</v>
      </c>
      <c r="AO29" s="271">
        <v>0</v>
      </c>
      <c r="AP29" s="271">
        <v>0</v>
      </c>
      <c r="AQ29" s="271">
        <v>0</v>
      </c>
      <c r="AR29" s="271">
        <v>0</v>
      </c>
      <c r="AS29" s="271">
        <v>0</v>
      </c>
      <c r="AT29" s="288"/>
      <c r="AU29" s="271">
        <v>0</v>
      </c>
      <c r="AV29" s="271">
        <v>0</v>
      </c>
      <c r="AW29" s="271">
        <v>0</v>
      </c>
      <c r="AX29" s="271">
        <v>0</v>
      </c>
      <c r="AY29" s="271">
        <v>0</v>
      </c>
      <c r="AZ29" s="271">
        <v>0</v>
      </c>
      <c r="BA29" s="271">
        <v>0</v>
      </c>
      <c r="BB29" s="271">
        <v>0</v>
      </c>
      <c r="BC29" s="271">
        <v>0</v>
      </c>
      <c r="BD29" s="271">
        <v>0</v>
      </c>
      <c r="BE29" s="271">
        <v>0</v>
      </c>
      <c r="BF29" s="271">
        <v>0</v>
      </c>
      <c r="BG29" s="271">
        <v>0</v>
      </c>
      <c r="BH29" s="271">
        <v>0</v>
      </c>
      <c r="BI29" s="271">
        <v>0</v>
      </c>
      <c r="BJ29" s="271">
        <v>0</v>
      </c>
      <c r="BK29" s="271">
        <v>0</v>
      </c>
      <c r="BL29" s="271">
        <v>0</v>
      </c>
      <c r="BM29" s="271">
        <v>0</v>
      </c>
      <c r="BN29" s="271">
        <v>0</v>
      </c>
      <c r="BO29" s="271">
        <v>0</v>
      </c>
      <c r="BP29" s="271">
        <v>0</v>
      </c>
      <c r="BQ29" s="271">
        <f>COUNTA(España!AD44)</f>
        <v>1</v>
      </c>
      <c r="BR29" s="271">
        <v>0</v>
      </c>
      <c r="BS29" s="271">
        <v>0</v>
      </c>
      <c r="BT29" s="271">
        <v>0</v>
      </c>
      <c r="BU29" s="271">
        <v>0</v>
      </c>
      <c r="BV29" s="271">
        <f>COUNTA(España!AD45)</f>
        <v>1</v>
      </c>
      <c r="BW29" s="271">
        <v>0</v>
      </c>
      <c r="BX29" s="271">
        <v>0</v>
      </c>
      <c r="BY29" s="271">
        <v>0</v>
      </c>
      <c r="BZ29" s="271">
        <v>0</v>
      </c>
      <c r="CA29" s="271">
        <v>0</v>
      </c>
      <c r="CB29" s="271">
        <v>0</v>
      </c>
      <c r="CC29" s="271">
        <v>0</v>
      </c>
      <c r="CD29" s="271">
        <v>0</v>
      </c>
      <c r="CE29" s="271">
        <v>0</v>
      </c>
      <c r="CF29" s="271">
        <v>0</v>
      </c>
      <c r="CG29" s="271">
        <v>0</v>
      </c>
      <c r="CH29" s="271">
        <v>0</v>
      </c>
      <c r="CI29" s="271">
        <v>0</v>
      </c>
      <c r="CJ29" s="271">
        <f>COUNTA(España!AD57)</f>
        <v>1</v>
      </c>
      <c r="CK29" s="271">
        <v>0</v>
      </c>
      <c r="CL29" s="271">
        <v>0</v>
      </c>
      <c r="CM29" s="271">
        <v>0</v>
      </c>
      <c r="CN29" s="271">
        <v>0</v>
      </c>
      <c r="CO29" s="271">
        <v>0</v>
      </c>
      <c r="CP29" s="271">
        <v>0</v>
      </c>
      <c r="CQ29" s="271">
        <v>0</v>
      </c>
      <c r="CR29" s="271">
        <v>0</v>
      </c>
      <c r="CS29" s="271">
        <v>0</v>
      </c>
      <c r="CT29" s="271">
        <v>0</v>
      </c>
      <c r="CU29" s="271">
        <f>COUNTA(España!AD58)</f>
        <v>1</v>
      </c>
      <c r="CV29" s="271">
        <v>0</v>
      </c>
      <c r="CW29" s="271">
        <v>0</v>
      </c>
      <c r="CX29" s="271">
        <v>0</v>
      </c>
      <c r="CY29" s="271">
        <v>0</v>
      </c>
      <c r="CZ29" s="271">
        <f>COUNTA(España!AD59)</f>
        <v>1</v>
      </c>
      <c r="DA29" s="271">
        <f>COUNTA(España!AD68)</f>
        <v>1</v>
      </c>
      <c r="DB29" s="271">
        <v>0</v>
      </c>
      <c r="DC29" s="271">
        <v>0</v>
      </c>
      <c r="DD29" s="271">
        <v>0</v>
      </c>
      <c r="DE29" s="271">
        <v>0</v>
      </c>
      <c r="DF29" s="271">
        <v>0</v>
      </c>
      <c r="DG29" s="271">
        <f>COUNTA(España!AD69)</f>
        <v>1</v>
      </c>
      <c r="DH29" s="271">
        <v>0</v>
      </c>
      <c r="DI29" s="271">
        <v>0</v>
      </c>
      <c r="DJ29" s="271">
        <v>0</v>
      </c>
      <c r="DK29" s="271">
        <v>0</v>
      </c>
      <c r="DL29" s="271">
        <v>0</v>
      </c>
      <c r="DM29" s="271">
        <v>0</v>
      </c>
      <c r="DN29" s="271">
        <v>0</v>
      </c>
      <c r="DO29" s="271">
        <v>0</v>
      </c>
      <c r="DP29" s="271">
        <v>0</v>
      </c>
      <c r="DQ29" s="271">
        <v>0</v>
      </c>
      <c r="DR29" s="271">
        <v>0</v>
      </c>
      <c r="DS29" s="271">
        <v>0</v>
      </c>
      <c r="DT29" s="271">
        <v>0</v>
      </c>
      <c r="DU29" s="271">
        <v>0</v>
      </c>
      <c r="DV29" s="271">
        <v>0</v>
      </c>
      <c r="DW29" s="271">
        <v>0</v>
      </c>
      <c r="DX29" s="271">
        <v>0</v>
      </c>
      <c r="DY29" s="271">
        <v>0</v>
      </c>
      <c r="DZ29" s="271">
        <v>0</v>
      </c>
      <c r="EA29" s="271">
        <v>0</v>
      </c>
      <c r="EB29" s="271">
        <f>+COUNTA(España!AD83)</f>
        <v>1</v>
      </c>
      <c r="EC29" s="271">
        <v>0</v>
      </c>
      <c r="ED29" s="271">
        <v>0</v>
      </c>
      <c r="EE29" s="271">
        <v>0</v>
      </c>
      <c r="EF29" s="271">
        <v>0</v>
      </c>
      <c r="EG29" s="271">
        <v>0</v>
      </c>
      <c r="EH29" s="271">
        <v>0</v>
      </c>
      <c r="EI29" s="271">
        <v>0</v>
      </c>
      <c r="EJ29" s="271">
        <v>0</v>
      </c>
      <c r="EK29" s="271">
        <v>0</v>
      </c>
      <c r="EL29" s="271">
        <v>0</v>
      </c>
      <c r="EM29" s="271">
        <v>0</v>
      </c>
      <c r="EN29" s="271">
        <v>0</v>
      </c>
      <c r="EO29" s="271">
        <v>0</v>
      </c>
      <c r="EP29" s="271">
        <v>0</v>
      </c>
      <c r="EQ29" s="271">
        <v>0</v>
      </c>
      <c r="ER29" s="271">
        <v>0</v>
      </c>
      <c r="ES29" s="271">
        <v>0</v>
      </c>
      <c r="ET29" s="271">
        <v>0</v>
      </c>
      <c r="EU29" s="271">
        <v>0</v>
      </c>
      <c r="EV29" s="271">
        <v>0</v>
      </c>
      <c r="EW29" s="271">
        <v>0</v>
      </c>
      <c r="EX29" s="271">
        <v>0</v>
      </c>
      <c r="EY29" s="271">
        <v>0</v>
      </c>
      <c r="EZ29" s="271">
        <v>0</v>
      </c>
      <c r="FA29" s="271">
        <v>0</v>
      </c>
      <c r="FB29" s="271">
        <v>0</v>
      </c>
      <c r="FC29" s="271">
        <v>0</v>
      </c>
      <c r="FD29" s="271">
        <v>0</v>
      </c>
      <c r="FE29" s="271">
        <v>0</v>
      </c>
      <c r="FF29" s="271">
        <v>0</v>
      </c>
      <c r="FG29" s="271">
        <v>0</v>
      </c>
      <c r="FH29" s="271">
        <v>0</v>
      </c>
      <c r="FI29" s="271">
        <v>0</v>
      </c>
      <c r="FJ29" s="271">
        <v>0</v>
      </c>
      <c r="FK29" s="271">
        <v>0</v>
      </c>
      <c r="FL29" s="271">
        <v>0</v>
      </c>
      <c r="FM29" s="271">
        <v>0</v>
      </c>
      <c r="FN29" s="271">
        <v>0</v>
      </c>
      <c r="FO29" s="271">
        <v>0</v>
      </c>
      <c r="FP29" s="271">
        <v>0</v>
      </c>
      <c r="FQ29" s="271">
        <v>0</v>
      </c>
      <c r="FR29" s="271">
        <v>0</v>
      </c>
      <c r="FS29" s="271">
        <v>0</v>
      </c>
      <c r="FT29" s="271">
        <v>0</v>
      </c>
      <c r="FU29" s="271">
        <v>0</v>
      </c>
      <c r="FV29" s="271">
        <v>0</v>
      </c>
      <c r="FW29" s="271">
        <v>0</v>
      </c>
      <c r="FX29" s="271">
        <v>0</v>
      </c>
      <c r="FY29" s="271">
        <v>0</v>
      </c>
      <c r="FZ29" s="271">
        <v>0</v>
      </c>
      <c r="GA29" s="271">
        <v>0</v>
      </c>
      <c r="GB29" s="271">
        <v>0</v>
      </c>
      <c r="GC29" s="271">
        <v>0</v>
      </c>
      <c r="GD29" s="271">
        <v>0</v>
      </c>
      <c r="GE29" s="271">
        <v>0</v>
      </c>
      <c r="GF29" s="271">
        <v>0</v>
      </c>
      <c r="GG29" s="271">
        <v>0</v>
      </c>
      <c r="GH29" s="271">
        <v>0</v>
      </c>
      <c r="GI29" s="271">
        <v>0</v>
      </c>
      <c r="GJ29" s="271">
        <v>0</v>
      </c>
      <c r="GK29" s="271">
        <v>0</v>
      </c>
      <c r="GL29" s="271">
        <v>0</v>
      </c>
      <c r="GM29" s="271">
        <v>0</v>
      </c>
      <c r="GN29" s="271">
        <v>0</v>
      </c>
      <c r="GO29" s="271">
        <v>0</v>
      </c>
      <c r="GP29" s="271">
        <v>0</v>
      </c>
      <c r="GQ29" s="271">
        <v>0</v>
      </c>
      <c r="GR29" s="271">
        <v>0</v>
      </c>
      <c r="GS29" s="271">
        <v>0</v>
      </c>
      <c r="GT29" s="271">
        <v>0</v>
      </c>
      <c r="GU29" s="271">
        <v>0</v>
      </c>
      <c r="GV29" s="271">
        <v>0</v>
      </c>
      <c r="GW29" s="271">
        <v>0</v>
      </c>
      <c r="GX29" s="271">
        <v>0</v>
      </c>
      <c r="GY29" s="271">
        <v>0</v>
      </c>
      <c r="GZ29" s="271">
        <v>0</v>
      </c>
      <c r="HA29" s="271">
        <v>0</v>
      </c>
      <c r="HB29" s="271">
        <v>0</v>
      </c>
      <c r="HC29" s="271">
        <v>0</v>
      </c>
      <c r="HD29" s="271">
        <v>0</v>
      </c>
      <c r="HE29" s="271">
        <v>0</v>
      </c>
      <c r="HF29" s="271">
        <v>0</v>
      </c>
      <c r="HG29" s="271">
        <v>0</v>
      </c>
      <c r="HH29" s="271">
        <v>0</v>
      </c>
      <c r="HI29" s="271">
        <v>0</v>
      </c>
      <c r="HJ29" s="271">
        <v>0</v>
      </c>
      <c r="HK29" s="271">
        <v>0</v>
      </c>
      <c r="HL29" s="271">
        <v>0</v>
      </c>
      <c r="HM29" s="271">
        <v>0</v>
      </c>
      <c r="HN29" s="271">
        <v>0</v>
      </c>
      <c r="HO29" s="271">
        <v>0</v>
      </c>
      <c r="HP29" s="271">
        <v>0</v>
      </c>
      <c r="HQ29" s="271">
        <v>0</v>
      </c>
      <c r="HR29" s="271">
        <v>0</v>
      </c>
      <c r="HS29" s="271">
        <v>0</v>
      </c>
      <c r="HT29" s="271">
        <v>0</v>
      </c>
      <c r="HU29" s="271">
        <v>0</v>
      </c>
      <c r="HV29" s="271">
        <v>0</v>
      </c>
      <c r="HW29" s="271">
        <v>0</v>
      </c>
      <c r="HX29" s="271">
        <v>0</v>
      </c>
      <c r="HY29" s="271">
        <v>0</v>
      </c>
      <c r="HZ29" s="271">
        <v>0</v>
      </c>
      <c r="IA29" s="271">
        <v>0</v>
      </c>
      <c r="IB29" s="271">
        <v>0</v>
      </c>
      <c r="IC29" s="271">
        <v>0</v>
      </c>
      <c r="ID29" s="271">
        <v>0</v>
      </c>
      <c r="IE29" s="271">
        <v>0</v>
      </c>
      <c r="IF29" s="271">
        <v>0</v>
      </c>
      <c r="IG29" s="271">
        <v>0</v>
      </c>
      <c r="IH29" s="271">
        <v>0</v>
      </c>
      <c r="II29" s="271">
        <v>0</v>
      </c>
      <c r="IJ29" s="271">
        <v>0</v>
      </c>
      <c r="IK29" s="271">
        <v>0</v>
      </c>
      <c r="IL29" s="271">
        <v>0</v>
      </c>
      <c r="IM29" s="271">
        <v>0</v>
      </c>
      <c r="IN29" s="271">
        <v>0</v>
      </c>
      <c r="IO29" s="271">
        <v>0</v>
      </c>
      <c r="IP29" s="271">
        <v>0</v>
      </c>
      <c r="IQ29" s="271">
        <v>0</v>
      </c>
      <c r="IR29" s="271">
        <v>0</v>
      </c>
      <c r="IS29" s="271">
        <v>0</v>
      </c>
      <c r="IT29" s="271">
        <v>0</v>
      </c>
      <c r="IU29" s="271">
        <v>0</v>
      </c>
      <c r="IV29" s="271">
        <v>0</v>
      </c>
      <c r="IW29" s="271">
        <v>0</v>
      </c>
      <c r="IX29" s="271">
        <v>0</v>
      </c>
      <c r="IY29" s="271">
        <v>0</v>
      </c>
      <c r="IZ29" s="271">
        <v>0</v>
      </c>
      <c r="JA29" s="271">
        <v>0</v>
      </c>
      <c r="JB29" s="271">
        <v>0</v>
      </c>
      <c r="JC29" s="271">
        <v>0</v>
      </c>
      <c r="JD29" s="271">
        <v>0</v>
      </c>
      <c r="JE29" s="271">
        <v>0</v>
      </c>
      <c r="JF29" s="361">
        <f>SUM(D29:JE29)</f>
        <v>8</v>
      </c>
      <c r="JI29" s="1097">
        <v>0</v>
      </c>
      <c r="JJ29" s="1097">
        <v>0</v>
      </c>
      <c r="JK29" s="1097">
        <v>0</v>
      </c>
      <c r="JL29" s="1097">
        <v>0</v>
      </c>
      <c r="JM29" s="1097">
        <v>0</v>
      </c>
      <c r="JN29" s="1097">
        <v>0</v>
      </c>
      <c r="JO29" s="1097">
        <v>0</v>
      </c>
      <c r="JP29" s="1097">
        <v>0</v>
      </c>
      <c r="JQ29" s="1097">
        <v>0</v>
      </c>
      <c r="JR29" s="1097">
        <v>0</v>
      </c>
      <c r="JS29" s="1097">
        <v>0</v>
      </c>
      <c r="JT29" s="1097">
        <v>0</v>
      </c>
      <c r="JU29" s="1097">
        <v>0</v>
      </c>
      <c r="JV29" s="1097">
        <v>0</v>
      </c>
      <c r="JW29" s="1097">
        <v>0</v>
      </c>
      <c r="JX29" s="1097">
        <v>0</v>
      </c>
      <c r="JY29" s="1097">
        <v>0</v>
      </c>
      <c r="JZ29" s="1097">
        <v>0</v>
      </c>
      <c r="KA29" s="1097">
        <v>0</v>
      </c>
      <c r="KB29" s="1097">
        <v>0</v>
      </c>
      <c r="KC29" s="1097">
        <v>0</v>
      </c>
      <c r="KD29" s="1097">
        <v>0</v>
      </c>
      <c r="KE29" s="1097">
        <v>0</v>
      </c>
      <c r="KF29" s="1097">
        <v>0</v>
      </c>
      <c r="KG29" s="1097"/>
      <c r="KH29" s="1097"/>
      <c r="KI29" s="1097"/>
      <c r="KJ29" s="1097"/>
      <c r="KK29" s="1097"/>
      <c r="KL29" s="1097"/>
      <c r="KM29" s="1097"/>
      <c r="KN29" s="1097"/>
      <c r="KO29" s="1097"/>
      <c r="KP29" s="1097"/>
      <c r="KQ29" s="1097"/>
      <c r="KR29" s="1097"/>
      <c r="KS29" s="1097"/>
      <c r="KT29" s="1097"/>
      <c r="KU29" s="1097"/>
      <c r="KV29" s="1097"/>
      <c r="KW29" s="1097"/>
      <c r="KX29" s="1097"/>
      <c r="KY29" s="1097"/>
      <c r="KZ29" s="1097"/>
      <c r="LA29" s="1097"/>
      <c r="LB29" s="1097"/>
      <c r="LC29" s="1097"/>
      <c r="LD29" s="1097"/>
      <c r="LE29" s="1097"/>
      <c r="LF29" s="1097"/>
      <c r="LG29" s="1097"/>
      <c r="LH29" s="1097"/>
      <c r="LI29" s="1097"/>
      <c r="LJ29" s="1097"/>
      <c r="LK29" s="1097"/>
      <c r="LL29" s="1097"/>
      <c r="LM29" s="1097"/>
      <c r="LN29" s="1097"/>
      <c r="LO29" s="1097"/>
      <c r="LP29" s="1097"/>
      <c r="LQ29" s="1097"/>
      <c r="LR29" s="1097"/>
      <c r="LS29" s="1097"/>
      <c r="LT29" s="1097"/>
      <c r="LU29" s="1097"/>
    </row>
    <row r="30" spans="2:333" ht="16.5" x14ac:dyDescent="0.3">
      <c r="B30" s="1003"/>
      <c r="C30" s="273" t="s">
        <v>6157</v>
      </c>
      <c r="D30" s="272"/>
      <c r="E30" s="272"/>
      <c r="F30" s="272"/>
      <c r="G30" s="272"/>
      <c r="H30" s="272"/>
      <c r="I30" s="272"/>
      <c r="J30" s="289"/>
      <c r="K30" s="272"/>
      <c r="L30" s="272"/>
      <c r="M30" s="272"/>
      <c r="N30" s="272"/>
      <c r="O30" s="272"/>
      <c r="P30" s="272"/>
      <c r="Q30" s="272"/>
      <c r="R30" s="272"/>
      <c r="S30" s="272"/>
      <c r="T30" s="272"/>
      <c r="U30" s="272"/>
      <c r="V30" s="289"/>
      <c r="W30" s="272"/>
      <c r="X30" s="272"/>
      <c r="Y30" s="272"/>
      <c r="Z30" s="272"/>
      <c r="AA30" s="272"/>
      <c r="AB30" s="272"/>
      <c r="AC30" s="272"/>
      <c r="AD30" s="272"/>
      <c r="AE30" s="272"/>
      <c r="AF30" s="272"/>
      <c r="AG30" s="272"/>
      <c r="AH30" s="289"/>
      <c r="AI30" s="272"/>
      <c r="AJ30" s="272"/>
      <c r="AK30" s="272"/>
      <c r="AL30" s="272"/>
      <c r="AM30" s="272"/>
      <c r="AN30" s="272"/>
      <c r="AO30" s="272"/>
      <c r="AP30" s="272"/>
      <c r="AQ30" s="272"/>
      <c r="AR30" s="272"/>
      <c r="AS30" s="272"/>
      <c r="AT30" s="289"/>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f>COUNTIF(España!AD44,"en término")</f>
        <v>0</v>
      </c>
      <c r="BR30" s="272"/>
      <c r="BS30" s="272"/>
      <c r="BT30" s="272"/>
      <c r="BU30" s="272"/>
      <c r="BV30" s="272">
        <f>COUNTIF(España!AD45,"en término")</f>
        <v>0</v>
      </c>
      <c r="BW30" s="272"/>
      <c r="BX30" s="272"/>
      <c r="BY30" s="272"/>
      <c r="BZ30" s="272"/>
      <c r="CA30" s="272"/>
      <c r="CB30" s="272"/>
      <c r="CC30" s="272"/>
      <c r="CD30" s="272"/>
      <c r="CE30" s="272"/>
      <c r="CF30" s="272"/>
      <c r="CG30" s="272"/>
      <c r="CH30" s="272"/>
      <c r="CI30" s="272"/>
      <c r="CJ30" s="272">
        <f>COUNTIF(España!AD57,"en término")</f>
        <v>1</v>
      </c>
      <c r="CK30" s="272"/>
      <c r="CL30" s="272"/>
      <c r="CM30" s="272"/>
      <c r="CN30" s="272"/>
      <c r="CO30" s="272"/>
      <c r="CP30" s="272"/>
      <c r="CQ30" s="272"/>
      <c r="CR30" s="272"/>
      <c r="CS30" s="272"/>
      <c r="CT30" s="272"/>
      <c r="CU30" s="272">
        <f>COUNTIF(España!AD58,"en término")</f>
        <v>0</v>
      </c>
      <c r="CV30" s="272"/>
      <c r="CW30" s="272"/>
      <c r="CX30" s="272"/>
      <c r="CY30" s="272"/>
      <c r="CZ30" s="272">
        <f>COUNTIF(España!AD59,"en término")</f>
        <v>0</v>
      </c>
      <c r="DA30" s="272">
        <f>COUNTIF(España!AD68,"en término")</f>
        <v>0</v>
      </c>
      <c r="DB30" s="272"/>
      <c r="DC30" s="272"/>
      <c r="DD30" s="272"/>
      <c r="DE30" s="272"/>
      <c r="DF30" s="272"/>
      <c r="DG30" s="272">
        <f>COUNTIF(España!AD69,"en término")</f>
        <v>0</v>
      </c>
      <c r="DH30" s="272"/>
      <c r="DI30" s="272"/>
      <c r="DJ30" s="272"/>
      <c r="DK30" s="272"/>
      <c r="DL30" s="272"/>
      <c r="DM30" s="272"/>
      <c r="DN30" s="272"/>
      <c r="DO30" s="272"/>
      <c r="DP30" s="272"/>
      <c r="DQ30" s="272"/>
      <c r="DR30" s="272"/>
      <c r="DS30" s="272"/>
      <c r="DT30" s="272"/>
      <c r="DU30" s="272"/>
      <c r="DV30" s="272"/>
      <c r="DW30" s="272"/>
      <c r="DX30" s="272"/>
      <c r="DY30" s="272"/>
      <c r="DZ30" s="272"/>
      <c r="EA30" s="272"/>
      <c r="EB30" s="272">
        <f>COUNTIF(España!AD83,"en término")</f>
        <v>1</v>
      </c>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I30" s="1097"/>
      <c r="JJ30" s="1097"/>
      <c r="JK30" s="1097"/>
      <c r="JL30" s="1097"/>
      <c r="JM30" s="1097"/>
      <c r="JN30" s="1097"/>
      <c r="JO30" s="1097"/>
      <c r="JP30" s="1097"/>
      <c r="JQ30" s="1097"/>
      <c r="JR30" s="1097"/>
      <c r="JS30" s="1097"/>
      <c r="JT30" s="1097"/>
      <c r="JU30" s="1097"/>
      <c r="JV30" s="1097"/>
      <c r="JW30" s="1097"/>
      <c r="JX30" s="1097"/>
      <c r="JY30" s="1097"/>
      <c r="JZ30" s="1097"/>
      <c r="KA30" s="1097"/>
      <c r="KB30" s="1097"/>
      <c r="KC30" s="1097"/>
      <c r="KD30" s="1097"/>
      <c r="KE30" s="1097"/>
      <c r="KF30" s="1097"/>
      <c r="KG30" s="1097"/>
      <c r="KH30" s="1097"/>
      <c r="KI30" s="1097"/>
      <c r="KJ30" s="1097"/>
      <c r="KK30" s="1097"/>
      <c r="KL30" s="1097"/>
      <c r="KM30" s="1097"/>
      <c r="KN30" s="1097"/>
      <c r="KO30" s="1097"/>
      <c r="KP30" s="1097"/>
      <c r="KQ30" s="1097"/>
      <c r="KR30" s="1097"/>
      <c r="KS30" s="1097"/>
      <c r="KT30" s="1097"/>
      <c r="KU30" s="1097"/>
      <c r="KV30" s="1097"/>
      <c r="KW30" s="1097"/>
      <c r="KX30" s="1097"/>
      <c r="KY30" s="1097"/>
      <c r="KZ30" s="1097"/>
      <c r="LA30" s="1097"/>
      <c r="LB30" s="1097"/>
      <c r="LC30" s="1097"/>
      <c r="LD30" s="1097"/>
      <c r="LE30" s="1097"/>
      <c r="LF30" s="1097"/>
      <c r="LG30" s="1097"/>
      <c r="LH30" s="1097"/>
      <c r="LI30" s="1097"/>
      <c r="LJ30" s="1097"/>
      <c r="LK30" s="1097"/>
      <c r="LL30" s="1097"/>
      <c r="LM30" s="1097"/>
      <c r="LN30" s="1097"/>
      <c r="LO30" s="1097"/>
      <c r="LP30" s="1097"/>
      <c r="LQ30" s="1097"/>
      <c r="LR30" s="1097"/>
      <c r="LS30" s="1097"/>
      <c r="LT30" s="1097"/>
      <c r="LU30" s="1097"/>
    </row>
    <row r="31" spans="2:333" ht="17.25" thickBot="1" x14ac:dyDescent="0.35">
      <c r="B31" s="1005"/>
      <c r="C31" s="270" t="s">
        <v>6158</v>
      </c>
      <c r="D31" s="275"/>
      <c r="E31" s="275"/>
      <c r="F31" s="275"/>
      <c r="G31" s="275"/>
      <c r="H31" s="275"/>
      <c r="I31" s="275"/>
      <c r="J31" s="290"/>
      <c r="K31" s="275"/>
      <c r="L31" s="275"/>
      <c r="M31" s="275"/>
      <c r="N31" s="275"/>
      <c r="O31" s="275"/>
      <c r="P31" s="275"/>
      <c r="Q31" s="275"/>
      <c r="R31" s="275"/>
      <c r="S31" s="275"/>
      <c r="T31" s="275"/>
      <c r="U31" s="275"/>
      <c r="V31" s="290"/>
      <c r="W31" s="275"/>
      <c r="X31" s="275"/>
      <c r="Y31" s="275"/>
      <c r="Z31" s="275"/>
      <c r="AA31" s="275"/>
      <c r="AB31" s="275"/>
      <c r="AC31" s="275"/>
      <c r="AD31" s="275"/>
      <c r="AE31" s="275"/>
      <c r="AF31" s="275"/>
      <c r="AG31" s="275"/>
      <c r="AH31" s="290"/>
      <c r="AI31" s="275"/>
      <c r="AJ31" s="275"/>
      <c r="AK31" s="275"/>
      <c r="AL31" s="275"/>
      <c r="AM31" s="275"/>
      <c r="AN31" s="275"/>
      <c r="AO31" s="275"/>
      <c r="AP31" s="275"/>
      <c r="AQ31" s="275"/>
      <c r="AR31" s="275"/>
      <c r="AS31" s="275"/>
      <c r="AT31" s="290"/>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4">
        <f>+BQ30/BQ29</f>
        <v>0</v>
      </c>
      <c r="BR31" s="275"/>
      <c r="BS31" s="275"/>
      <c r="BT31" s="275"/>
      <c r="BU31" s="275"/>
      <c r="BV31" s="274">
        <f>+BV30/BV29</f>
        <v>0</v>
      </c>
      <c r="BW31" s="275"/>
      <c r="BX31" s="275"/>
      <c r="BY31" s="275"/>
      <c r="BZ31" s="275"/>
      <c r="CA31" s="275"/>
      <c r="CB31" s="275"/>
      <c r="CC31" s="275"/>
      <c r="CD31" s="275"/>
      <c r="CE31" s="275"/>
      <c r="CF31" s="275"/>
      <c r="CG31" s="275"/>
      <c r="CH31" s="275"/>
      <c r="CI31" s="275"/>
      <c r="CJ31" s="274">
        <f>+CJ30/CJ29</f>
        <v>1</v>
      </c>
      <c r="CK31" s="275"/>
      <c r="CL31" s="275"/>
      <c r="CM31" s="275"/>
      <c r="CN31" s="275"/>
      <c r="CO31" s="275"/>
      <c r="CP31" s="275"/>
      <c r="CQ31" s="275"/>
      <c r="CR31" s="275"/>
      <c r="CS31" s="275"/>
      <c r="CT31" s="275"/>
      <c r="CU31" s="274">
        <f>+CU30/CU29</f>
        <v>0</v>
      </c>
      <c r="CV31" s="275"/>
      <c r="CW31" s="275"/>
      <c r="CX31" s="275"/>
      <c r="CY31" s="275"/>
      <c r="CZ31" s="275">
        <f>+CZ30/CZ29</f>
        <v>0</v>
      </c>
      <c r="DA31" s="275">
        <f>+DA30/DA29</f>
        <v>0</v>
      </c>
      <c r="DB31" s="274"/>
      <c r="DC31" s="274"/>
      <c r="DD31" s="274"/>
      <c r="DE31" s="274"/>
      <c r="DF31" s="274"/>
      <c r="DG31" s="275">
        <f>+DG30/DG29</f>
        <v>0</v>
      </c>
      <c r="DH31" s="274"/>
      <c r="DI31" s="274"/>
      <c r="DJ31" s="274"/>
      <c r="DK31" s="274"/>
      <c r="DL31" s="274"/>
      <c r="DM31" s="274"/>
      <c r="DN31" s="274"/>
      <c r="DO31" s="274"/>
      <c r="DP31" s="274"/>
      <c r="DQ31" s="274"/>
      <c r="DR31" s="274"/>
      <c r="DS31" s="274"/>
      <c r="DT31" s="274"/>
      <c r="DU31" s="274"/>
      <c r="DV31" s="274"/>
      <c r="DW31" s="274"/>
      <c r="DX31" s="274"/>
      <c r="DY31" s="274"/>
      <c r="DZ31" s="274"/>
      <c r="EA31" s="274"/>
      <c r="EB31" s="275">
        <f>+EB30/EB29</f>
        <v>1</v>
      </c>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I31" s="1098"/>
      <c r="JJ31" s="1098"/>
      <c r="JK31" s="1098"/>
      <c r="JL31" s="1098"/>
      <c r="JM31" s="1098"/>
      <c r="JN31" s="1098"/>
      <c r="JO31" s="1098"/>
      <c r="JP31" s="1098"/>
      <c r="JQ31" s="1098"/>
      <c r="JR31" s="1098"/>
      <c r="JS31" s="1098"/>
      <c r="JT31" s="1098"/>
      <c r="JU31" s="1098"/>
      <c r="JV31" s="1098"/>
      <c r="JW31" s="1098"/>
      <c r="JX31" s="1098"/>
      <c r="JY31" s="1098"/>
      <c r="JZ31" s="1098"/>
      <c r="KA31" s="1098"/>
      <c r="KB31" s="1098"/>
      <c r="KC31" s="1098"/>
      <c r="KD31" s="1098"/>
      <c r="KE31" s="1098"/>
      <c r="KF31" s="1098"/>
      <c r="KG31" s="1098"/>
      <c r="KH31" s="1098"/>
      <c r="KI31" s="1098"/>
      <c r="KJ31" s="1098"/>
      <c r="KK31" s="1098"/>
      <c r="KL31" s="1098"/>
      <c r="KM31" s="1098"/>
      <c r="KN31" s="1098"/>
      <c r="KO31" s="1098"/>
      <c r="KP31" s="1098"/>
      <c r="KQ31" s="1098"/>
      <c r="KR31" s="1098"/>
      <c r="KS31" s="1098"/>
      <c r="KT31" s="1098"/>
      <c r="KU31" s="1098"/>
      <c r="KV31" s="1098"/>
      <c r="KW31" s="1098"/>
      <c r="KX31" s="1098"/>
      <c r="KY31" s="1098"/>
      <c r="KZ31" s="1098"/>
      <c r="LA31" s="1098"/>
      <c r="LB31" s="1098"/>
      <c r="LC31" s="1098"/>
      <c r="LD31" s="1098"/>
      <c r="LE31" s="1098"/>
      <c r="LF31" s="1098"/>
      <c r="LG31" s="1098"/>
      <c r="LH31" s="1098"/>
      <c r="LI31" s="1098"/>
      <c r="LJ31" s="1098"/>
      <c r="LK31" s="1098"/>
      <c r="LL31" s="1098"/>
      <c r="LM31" s="1098"/>
      <c r="LN31" s="1098"/>
      <c r="LO31" s="1098"/>
      <c r="LP31" s="1098"/>
      <c r="LQ31" s="1098"/>
      <c r="LR31" s="1098"/>
      <c r="LS31" s="1098"/>
      <c r="LT31" s="1098"/>
      <c r="LU31" s="1098"/>
    </row>
    <row r="32" spans="2:333" ht="16.5" x14ac:dyDescent="0.3">
      <c r="B32" s="1004" t="s">
        <v>5701</v>
      </c>
      <c r="C32" s="269" t="s">
        <v>6156</v>
      </c>
      <c r="D32" s="271">
        <v>0</v>
      </c>
      <c r="E32" s="271">
        <v>0</v>
      </c>
      <c r="F32" s="271">
        <v>0</v>
      </c>
      <c r="G32" s="271">
        <v>0</v>
      </c>
      <c r="H32" s="271">
        <v>0</v>
      </c>
      <c r="I32" s="271">
        <v>0</v>
      </c>
      <c r="J32" s="288"/>
      <c r="K32" s="271">
        <v>0</v>
      </c>
      <c r="L32" s="271">
        <v>0</v>
      </c>
      <c r="M32" s="271">
        <v>0</v>
      </c>
      <c r="N32" s="271">
        <v>0</v>
      </c>
      <c r="O32" s="271">
        <v>0</v>
      </c>
      <c r="P32" s="271">
        <v>0</v>
      </c>
      <c r="Q32" s="271">
        <v>0</v>
      </c>
      <c r="R32" s="271">
        <v>0</v>
      </c>
      <c r="S32" s="271">
        <v>0</v>
      </c>
      <c r="T32" s="271">
        <v>0</v>
      </c>
      <c r="U32" s="271">
        <v>0</v>
      </c>
      <c r="V32" s="288"/>
      <c r="W32" s="271">
        <v>0</v>
      </c>
      <c r="X32" s="271">
        <v>0</v>
      </c>
      <c r="Y32" s="271">
        <v>0</v>
      </c>
      <c r="Z32" s="271">
        <v>0</v>
      </c>
      <c r="AA32" s="271">
        <v>0</v>
      </c>
      <c r="AB32" s="271">
        <v>0</v>
      </c>
      <c r="AC32" s="271">
        <v>0</v>
      </c>
      <c r="AD32" s="271">
        <v>0</v>
      </c>
      <c r="AE32" s="271">
        <v>0</v>
      </c>
      <c r="AF32" s="271">
        <v>0</v>
      </c>
      <c r="AG32" s="271">
        <v>0</v>
      </c>
      <c r="AH32" s="288"/>
      <c r="AI32" s="271">
        <v>0</v>
      </c>
      <c r="AJ32" s="271">
        <v>0</v>
      </c>
      <c r="AK32" s="271">
        <v>0</v>
      </c>
      <c r="AL32" s="271">
        <v>0</v>
      </c>
      <c r="AM32" s="271">
        <v>0</v>
      </c>
      <c r="AN32" s="271">
        <v>0</v>
      </c>
      <c r="AO32" s="271">
        <v>0</v>
      </c>
      <c r="AP32" s="271">
        <v>0</v>
      </c>
      <c r="AQ32" s="271">
        <v>0</v>
      </c>
      <c r="AR32" s="271">
        <v>0</v>
      </c>
      <c r="AS32" s="271">
        <v>0</v>
      </c>
      <c r="AT32" s="288"/>
      <c r="AU32" s="271">
        <v>0</v>
      </c>
      <c r="AV32" s="271">
        <v>0</v>
      </c>
      <c r="AW32" s="271">
        <v>0</v>
      </c>
      <c r="AX32" s="271">
        <v>0</v>
      </c>
      <c r="AY32" s="271">
        <v>0</v>
      </c>
      <c r="AZ32" s="271">
        <v>0</v>
      </c>
      <c r="BA32" s="271">
        <v>0</v>
      </c>
      <c r="BB32" s="271">
        <v>0</v>
      </c>
      <c r="BC32" s="271">
        <v>0</v>
      </c>
      <c r="BD32" s="271">
        <v>0</v>
      </c>
      <c r="BE32" s="271">
        <v>0</v>
      </c>
      <c r="BF32" s="271">
        <v>0</v>
      </c>
      <c r="BG32" s="271">
        <v>0</v>
      </c>
      <c r="BH32" s="271">
        <v>0</v>
      </c>
      <c r="BI32" s="271">
        <v>0</v>
      </c>
      <c r="BJ32" s="271">
        <v>0</v>
      </c>
      <c r="BK32" s="271">
        <v>0</v>
      </c>
      <c r="BL32" s="271">
        <v>0</v>
      </c>
      <c r="BM32" s="271">
        <v>0</v>
      </c>
      <c r="BN32" s="271">
        <v>0</v>
      </c>
      <c r="BO32" s="271">
        <v>0</v>
      </c>
      <c r="BP32" s="271">
        <v>0</v>
      </c>
      <c r="BQ32" s="271">
        <v>0</v>
      </c>
      <c r="BR32" s="271">
        <v>0</v>
      </c>
      <c r="BS32" s="271">
        <v>0</v>
      </c>
      <c r="BT32" s="271">
        <v>0</v>
      </c>
      <c r="BU32" s="271">
        <v>0</v>
      </c>
      <c r="BV32" s="271">
        <v>0</v>
      </c>
      <c r="BW32" s="271">
        <v>0</v>
      </c>
      <c r="BX32" s="271">
        <v>0</v>
      </c>
      <c r="BY32" s="271">
        <v>0</v>
      </c>
      <c r="BZ32" s="271">
        <v>0</v>
      </c>
      <c r="CA32" s="271">
        <v>0</v>
      </c>
      <c r="CB32" s="271">
        <v>0</v>
      </c>
      <c r="CC32" s="271">
        <v>0</v>
      </c>
      <c r="CD32" s="271">
        <v>0</v>
      </c>
      <c r="CE32" s="271">
        <v>0</v>
      </c>
      <c r="CF32" s="271">
        <v>0</v>
      </c>
      <c r="CG32" s="271">
        <v>0</v>
      </c>
      <c r="CH32" s="271">
        <v>0</v>
      </c>
      <c r="CI32" s="271">
        <v>0</v>
      </c>
      <c r="CJ32" s="271">
        <v>0</v>
      </c>
      <c r="CK32" s="271">
        <f>COUNTA(Egipto!AD7)</f>
        <v>1</v>
      </c>
      <c r="CL32" s="271">
        <f>COUNTA(Egipto!AD8)</f>
        <v>1</v>
      </c>
      <c r="CM32" s="271">
        <f>COUNTA(Egipto!AD11:AD11)+COUNTA(Egipto!AD9:AD10)</f>
        <v>3</v>
      </c>
      <c r="CN32" s="271">
        <v>0</v>
      </c>
      <c r="CO32" s="271">
        <v>0</v>
      </c>
      <c r="CP32" s="271">
        <v>0</v>
      </c>
      <c r="CQ32" s="271">
        <v>0</v>
      </c>
      <c r="CR32" s="271">
        <v>0</v>
      </c>
      <c r="CS32" s="271">
        <f>COUNTA(Egipto!AD20)</f>
        <v>1</v>
      </c>
      <c r="CT32" s="271">
        <v>0</v>
      </c>
      <c r="CU32" s="271">
        <v>0</v>
      </c>
      <c r="CV32" s="271">
        <f>COUNTA(Egipto!AD21)</f>
        <v>1</v>
      </c>
      <c r="CW32" s="271">
        <v>0</v>
      </c>
      <c r="CX32" s="271">
        <v>0</v>
      </c>
      <c r="CY32" s="271">
        <f>COUNTA(Egipto!AD22)</f>
        <v>1</v>
      </c>
      <c r="CZ32" s="271">
        <v>0</v>
      </c>
      <c r="DA32" s="271">
        <v>0</v>
      </c>
      <c r="DB32" s="271">
        <v>0</v>
      </c>
      <c r="DC32" s="271">
        <v>0</v>
      </c>
      <c r="DD32" s="271">
        <v>0</v>
      </c>
      <c r="DE32" s="271">
        <v>0</v>
      </c>
      <c r="DF32" s="271">
        <v>0</v>
      </c>
      <c r="DG32" s="271">
        <v>0</v>
      </c>
      <c r="DH32" s="271">
        <f>COUNTA(Egipto!AD30)+COUNTA(Egipto!AD28:AD29)</f>
        <v>3</v>
      </c>
      <c r="DI32" s="271">
        <f>+COUNTA(Egipto!AD31)</f>
        <v>1</v>
      </c>
      <c r="DJ32" s="271">
        <f>+COUNTA(Egipto!AD32:AD33)</f>
        <v>2</v>
      </c>
      <c r="DK32" s="271">
        <v>0</v>
      </c>
      <c r="DL32" s="271">
        <v>0</v>
      </c>
      <c r="DM32" s="271">
        <v>0</v>
      </c>
      <c r="DN32" s="271">
        <v>0</v>
      </c>
      <c r="DO32" s="271">
        <v>0</v>
      </c>
      <c r="DP32" s="271">
        <v>0</v>
      </c>
      <c r="DQ32" s="271">
        <v>0</v>
      </c>
      <c r="DR32" s="271">
        <v>0</v>
      </c>
      <c r="DS32" s="271">
        <v>0</v>
      </c>
      <c r="DT32" s="271">
        <v>0</v>
      </c>
      <c r="DU32" s="271">
        <v>0</v>
      </c>
      <c r="DV32" s="271">
        <v>0</v>
      </c>
      <c r="DW32" s="271">
        <v>0</v>
      </c>
      <c r="DX32" s="271">
        <v>0</v>
      </c>
      <c r="DY32" s="271">
        <v>0</v>
      </c>
      <c r="DZ32" s="271">
        <v>0</v>
      </c>
      <c r="EA32" s="271">
        <v>0</v>
      </c>
      <c r="EB32" s="271">
        <v>0</v>
      </c>
      <c r="EC32" s="271">
        <f>+COUNTA(Egipto!AD43)</f>
        <v>1</v>
      </c>
      <c r="ED32" s="6">
        <v>0</v>
      </c>
      <c r="EE32" s="271">
        <v>0</v>
      </c>
      <c r="EF32" s="271">
        <v>0</v>
      </c>
      <c r="EG32" s="271">
        <f>+COUNTA(Egipto!AD45:AD45)+COUNTA(Egipto!AD44)</f>
        <v>2</v>
      </c>
      <c r="EH32" s="271">
        <v>0</v>
      </c>
      <c r="EI32" s="271">
        <v>0</v>
      </c>
      <c r="EJ32" s="271">
        <v>0</v>
      </c>
      <c r="EK32" s="271">
        <f>+COUNTA(Egipto!AD55)</f>
        <v>1</v>
      </c>
      <c r="EL32" s="271">
        <v>0</v>
      </c>
      <c r="EM32" s="271">
        <v>0</v>
      </c>
      <c r="EN32" s="271">
        <v>0</v>
      </c>
      <c r="EO32" s="271">
        <v>0</v>
      </c>
      <c r="EP32" s="271">
        <v>0</v>
      </c>
      <c r="EQ32" s="271">
        <v>0</v>
      </c>
      <c r="ER32" s="271">
        <v>0</v>
      </c>
      <c r="ES32" s="271">
        <v>0</v>
      </c>
      <c r="ET32" s="271">
        <v>0</v>
      </c>
      <c r="EU32" s="271">
        <f>+COUNTA(Egipto!AD56)</f>
        <v>1</v>
      </c>
      <c r="EV32" s="271">
        <v>0</v>
      </c>
      <c r="EW32" s="271">
        <v>0</v>
      </c>
      <c r="EX32" s="271">
        <v>0</v>
      </c>
      <c r="EY32" s="271">
        <v>0</v>
      </c>
      <c r="EZ32" s="271">
        <v>0</v>
      </c>
      <c r="FA32" s="271">
        <f>+COUNTA(Egipto!AD67)</f>
        <v>1</v>
      </c>
      <c r="FB32" s="271">
        <v>0</v>
      </c>
      <c r="FC32" s="271">
        <v>0</v>
      </c>
      <c r="FD32" s="271">
        <v>0</v>
      </c>
      <c r="FE32" s="271">
        <v>0</v>
      </c>
      <c r="FF32" s="271">
        <v>0</v>
      </c>
      <c r="FG32" s="271">
        <v>0</v>
      </c>
      <c r="FH32" s="271">
        <v>0</v>
      </c>
      <c r="FI32" s="271">
        <v>0</v>
      </c>
      <c r="FJ32" s="271">
        <v>0</v>
      </c>
      <c r="FK32" s="271">
        <v>0</v>
      </c>
      <c r="FL32" s="271">
        <v>0</v>
      </c>
      <c r="FM32" s="271">
        <v>0</v>
      </c>
      <c r="FN32" s="271">
        <v>0</v>
      </c>
      <c r="FO32" s="271">
        <v>0</v>
      </c>
      <c r="FP32" s="271">
        <v>0</v>
      </c>
      <c r="FQ32" s="271">
        <v>0</v>
      </c>
      <c r="FR32" s="271">
        <v>0</v>
      </c>
      <c r="FS32" s="271">
        <v>0</v>
      </c>
      <c r="FT32" s="271">
        <v>0</v>
      </c>
      <c r="FU32" s="271">
        <v>0</v>
      </c>
      <c r="FV32" s="271">
        <v>0</v>
      </c>
      <c r="FW32" s="271">
        <v>0</v>
      </c>
      <c r="FX32" s="271">
        <v>0</v>
      </c>
      <c r="FY32" s="271">
        <v>0</v>
      </c>
      <c r="FZ32" s="271">
        <v>0</v>
      </c>
      <c r="GA32" s="271">
        <v>0</v>
      </c>
      <c r="GB32" s="271">
        <v>0</v>
      </c>
      <c r="GC32" s="271">
        <v>0</v>
      </c>
      <c r="GD32" s="271">
        <v>0</v>
      </c>
      <c r="GE32" s="271">
        <v>0</v>
      </c>
      <c r="GF32" s="271">
        <v>0</v>
      </c>
      <c r="GG32" s="271">
        <v>0</v>
      </c>
      <c r="GH32" s="271">
        <v>0</v>
      </c>
      <c r="GI32" s="271">
        <v>0</v>
      </c>
      <c r="GJ32" s="271">
        <v>0</v>
      </c>
      <c r="GK32" s="271">
        <v>0</v>
      </c>
      <c r="GL32" s="271">
        <v>0</v>
      </c>
      <c r="GM32" s="271">
        <v>0</v>
      </c>
      <c r="GN32" s="271">
        <v>0</v>
      </c>
      <c r="GO32" s="271">
        <v>0</v>
      </c>
      <c r="GP32" s="271">
        <v>0</v>
      </c>
      <c r="GQ32" s="271">
        <v>0</v>
      </c>
      <c r="GR32" s="271">
        <v>0</v>
      </c>
      <c r="GS32" s="271">
        <v>0</v>
      </c>
      <c r="GT32" s="271">
        <v>0</v>
      </c>
      <c r="GU32" s="271">
        <v>0</v>
      </c>
      <c r="GV32" s="271">
        <v>0</v>
      </c>
      <c r="GW32" s="271">
        <v>0</v>
      </c>
      <c r="GX32" s="271">
        <v>0</v>
      </c>
      <c r="GY32" s="271">
        <v>0</v>
      </c>
      <c r="GZ32" s="271">
        <v>0</v>
      </c>
      <c r="HA32" s="271">
        <v>0</v>
      </c>
      <c r="HB32" s="271">
        <v>0</v>
      </c>
      <c r="HC32" s="271">
        <v>0</v>
      </c>
      <c r="HD32" s="271">
        <v>0</v>
      </c>
      <c r="HE32" s="271">
        <v>0</v>
      </c>
      <c r="HF32" s="271">
        <v>0</v>
      </c>
      <c r="HG32" s="271">
        <v>0</v>
      </c>
      <c r="HH32" s="271">
        <v>0</v>
      </c>
      <c r="HI32" s="271">
        <v>0</v>
      </c>
      <c r="HJ32" s="271">
        <v>0</v>
      </c>
      <c r="HK32" s="271">
        <v>0</v>
      </c>
      <c r="HL32" s="271">
        <v>0</v>
      </c>
      <c r="HM32" s="271">
        <v>0</v>
      </c>
      <c r="HN32" s="271">
        <v>0</v>
      </c>
      <c r="HO32" s="271">
        <v>0</v>
      </c>
      <c r="HP32" s="271">
        <f>+COUNTA(Egipto!AD80)</f>
        <v>1</v>
      </c>
      <c r="HQ32" s="271">
        <v>0</v>
      </c>
      <c r="HR32" s="271">
        <v>0</v>
      </c>
      <c r="HS32" s="271">
        <v>0</v>
      </c>
      <c r="HT32" s="271">
        <v>0</v>
      </c>
      <c r="HU32" s="271">
        <v>0</v>
      </c>
      <c r="HV32" s="271">
        <v>0</v>
      </c>
      <c r="HW32" s="271">
        <v>0</v>
      </c>
      <c r="HX32" s="271">
        <f>+COUNTA(Egipto!AD90)</f>
        <v>1</v>
      </c>
      <c r="HY32" s="271">
        <v>0</v>
      </c>
      <c r="HZ32" s="271">
        <v>0</v>
      </c>
      <c r="IA32" s="271">
        <v>0</v>
      </c>
      <c r="IB32" s="271">
        <v>0</v>
      </c>
      <c r="IC32" s="271">
        <v>0</v>
      </c>
      <c r="ID32" s="271">
        <v>0</v>
      </c>
      <c r="IE32" s="271">
        <v>0</v>
      </c>
      <c r="IF32" s="271">
        <v>0</v>
      </c>
      <c r="IG32" s="271">
        <v>0</v>
      </c>
      <c r="IH32" s="271">
        <v>0</v>
      </c>
      <c r="II32" s="271">
        <v>0</v>
      </c>
      <c r="IJ32" s="271">
        <v>0</v>
      </c>
      <c r="IK32" s="271">
        <v>0</v>
      </c>
      <c r="IL32" s="271">
        <v>0</v>
      </c>
      <c r="IM32" s="271">
        <v>0</v>
      </c>
      <c r="IN32" s="271">
        <v>0</v>
      </c>
      <c r="IO32" s="271">
        <f>+COUNTA(Egipto!AD103)</f>
        <v>1</v>
      </c>
      <c r="IP32" s="271">
        <v>0</v>
      </c>
      <c r="IQ32" s="271">
        <v>0</v>
      </c>
      <c r="IR32" s="271">
        <v>0</v>
      </c>
      <c r="IS32" s="271">
        <v>0</v>
      </c>
      <c r="IT32" s="271">
        <f>+COUNTA(Egipto!AD102)</f>
        <v>1</v>
      </c>
      <c r="IU32" s="271">
        <v>0</v>
      </c>
      <c r="IV32" s="271">
        <v>0</v>
      </c>
      <c r="IW32" s="271">
        <v>0</v>
      </c>
      <c r="IX32" s="271">
        <v>0</v>
      </c>
      <c r="IY32" s="271">
        <v>0</v>
      </c>
      <c r="IZ32" s="271">
        <v>0</v>
      </c>
      <c r="JA32" s="271">
        <v>0</v>
      </c>
      <c r="JB32" s="271">
        <v>0</v>
      </c>
      <c r="JC32" s="271">
        <v>0</v>
      </c>
      <c r="JD32" s="271">
        <v>0</v>
      </c>
      <c r="JE32" s="271">
        <v>0</v>
      </c>
      <c r="JF32" s="361">
        <f>SUM(D32:JE32)</f>
        <v>24</v>
      </c>
      <c r="JI32" s="1097">
        <v>0</v>
      </c>
      <c r="JJ32" s="1097">
        <v>0</v>
      </c>
      <c r="JK32" s="1097">
        <v>0</v>
      </c>
      <c r="JL32" s="1097">
        <v>0</v>
      </c>
      <c r="JM32" s="1097">
        <v>0</v>
      </c>
      <c r="JN32" s="1097">
        <v>0</v>
      </c>
      <c r="JO32" s="1097">
        <v>0</v>
      </c>
      <c r="JP32" s="1097">
        <v>0</v>
      </c>
      <c r="JQ32" s="1097">
        <v>0</v>
      </c>
      <c r="JR32" s="1097">
        <v>0</v>
      </c>
      <c r="JS32" s="1097">
        <v>0</v>
      </c>
      <c r="JT32" s="1097">
        <v>0</v>
      </c>
      <c r="JU32" s="1097">
        <v>0</v>
      </c>
      <c r="JV32" s="1097">
        <v>0</v>
      </c>
      <c r="JW32" s="1097">
        <v>0</v>
      </c>
      <c r="JX32" s="1097">
        <v>0</v>
      </c>
      <c r="JY32" s="1097">
        <v>0</v>
      </c>
      <c r="JZ32" s="1097">
        <v>0</v>
      </c>
      <c r="KA32" s="1097">
        <v>0</v>
      </c>
      <c r="KB32" s="1097">
        <v>0</v>
      </c>
      <c r="KC32" s="1097">
        <v>0</v>
      </c>
      <c r="KD32" s="1097">
        <v>0</v>
      </c>
      <c r="KE32" s="1097">
        <v>0</v>
      </c>
      <c r="KF32" s="1097">
        <v>1</v>
      </c>
      <c r="KG32" s="1097"/>
      <c r="KH32" s="1097"/>
      <c r="KI32" s="1097"/>
      <c r="KJ32" s="1097"/>
      <c r="KK32" s="1097"/>
      <c r="KL32" s="1097"/>
      <c r="KM32" s="1097"/>
      <c r="KN32" s="1097"/>
      <c r="KO32" s="1097"/>
      <c r="KP32" s="1097"/>
      <c r="KQ32" s="1097"/>
      <c r="KR32" s="1097"/>
      <c r="KS32" s="1097"/>
      <c r="KT32" s="1097"/>
      <c r="KU32" s="1097"/>
      <c r="KV32" s="1097"/>
      <c r="KW32" s="1097"/>
      <c r="KX32" s="1097"/>
      <c r="KY32" s="1097"/>
      <c r="KZ32" s="1097"/>
      <c r="LA32" s="1097"/>
      <c r="LB32" s="1097"/>
      <c r="LC32" s="1097"/>
      <c r="LD32" s="1097"/>
      <c r="LE32" s="1097"/>
      <c r="LF32" s="1097"/>
      <c r="LG32" s="1097"/>
      <c r="LH32" s="1097"/>
      <c r="LI32" s="1097"/>
      <c r="LJ32" s="1097">
        <f>+COUNTA(Egipto!AG102)</f>
        <v>1</v>
      </c>
      <c r="LK32" s="1097"/>
      <c r="LL32" s="1097"/>
      <c r="LM32" s="1097"/>
      <c r="LN32" s="1097">
        <f>+COUNTA(Egipto!AG103)</f>
        <v>1</v>
      </c>
      <c r="LO32" s="1097"/>
      <c r="LP32" s="1097"/>
      <c r="LQ32" s="1097"/>
      <c r="LR32" s="1097"/>
      <c r="LS32" s="1097"/>
      <c r="LT32" s="1097"/>
      <c r="LU32" s="1097"/>
    </row>
    <row r="33" spans="2:333" ht="16.5" x14ac:dyDescent="0.3">
      <c r="B33" s="1003"/>
      <c r="C33" s="273" t="s">
        <v>6157</v>
      </c>
      <c r="D33" s="272"/>
      <c r="E33" s="272"/>
      <c r="F33" s="272"/>
      <c r="G33" s="272"/>
      <c r="H33" s="272"/>
      <c r="I33" s="272"/>
      <c r="J33" s="289"/>
      <c r="K33" s="272"/>
      <c r="L33" s="272"/>
      <c r="M33" s="272"/>
      <c r="N33" s="272"/>
      <c r="O33" s="272"/>
      <c r="P33" s="272"/>
      <c r="Q33" s="272"/>
      <c r="R33" s="272"/>
      <c r="S33" s="272"/>
      <c r="T33" s="272"/>
      <c r="U33" s="272"/>
      <c r="V33" s="289"/>
      <c r="W33" s="272"/>
      <c r="X33" s="272"/>
      <c r="Y33" s="272"/>
      <c r="Z33" s="272"/>
      <c r="AA33" s="272"/>
      <c r="AB33" s="272"/>
      <c r="AC33" s="272"/>
      <c r="AD33" s="272"/>
      <c r="AE33" s="272"/>
      <c r="AF33" s="272"/>
      <c r="AG33" s="272"/>
      <c r="AH33" s="289"/>
      <c r="AI33" s="272"/>
      <c r="AJ33" s="272"/>
      <c r="AK33" s="272"/>
      <c r="AL33" s="272"/>
      <c r="AM33" s="272"/>
      <c r="AN33" s="272"/>
      <c r="AO33" s="272"/>
      <c r="AP33" s="272"/>
      <c r="AQ33" s="272"/>
      <c r="AR33" s="272"/>
      <c r="AS33" s="272"/>
      <c r="AT33" s="289"/>
      <c r="AU33" s="272"/>
      <c r="AV33" s="272"/>
      <c r="AW33" s="272"/>
      <c r="AX33" s="272"/>
      <c r="AY33" s="272"/>
      <c r="AZ33" s="272"/>
      <c r="BA33" s="272"/>
      <c r="BB33" s="272"/>
      <c r="BC33" s="272"/>
      <c r="BD33" s="272"/>
      <c r="BE33" s="272"/>
      <c r="BF33" s="272"/>
      <c r="BG33" s="272"/>
      <c r="BH33" s="272"/>
      <c r="BI33" s="272"/>
      <c r="BJ33" s="272"/>
      <c r="BK33" s="272"/>
      <c r="BL33" s="272"/>
      <c r="BM33" s="272"/>
      <c r="BN33" s="272"/>
      <c r="BO33" s="272"/>
      <c r="BP33" s="272"/>
      <c r="BQ33" s="272"/>
      <c r="BR33" s="272"/>
      <c r="BS33" s="272"/>
      <c r="BT33" s="272"/>
      <c r="BU33" s="272"/>
      <c r="BV33" s="272"/>
      <c r="BW33" s="272"/>
      <c r="BX33" s="272"/>
      <c r="BY33" s="272"/>
      <c r="BZ33" s="272"/>
      <c r="CA33" s="272"/>
      <c r="CB33" s="272"/>
      <c r="CC33" s="272"/>
      <c r="CD33" s="272"/>
      <c r="CE33" s="272"/>
      <c r="CF33" s="272"/>
      <c r="CG33" s="272"/>
      <c r="CH33" s="272"/>
      <c r="CI33" s="272"/>
      <c r="CJ33" s="272"/>
      <c r="CK33" s="272">
        <f>COUNTIF(Egipto!AD7,"en término")</f>
        <v>0</v>
      </c>
      <c r="CL33" s="272">
        <f>COUNTIF(Egipto!AD8,"en término")</f>
        <v>1</v>
      </c>
      <c r="CM33" s="272">
        <f>COUNTIF(Egipto!AD11:AD11,"en término")+COUNTIF(Egipto!AD9:AD10,"en término")</f>
        <v>3</v>
      </c>
      <c r="CN33" s="272"/>
      <c r="CO33" s="272"/>
      <c r="CP33" s="272"/>
      <c r="CQ33" s="272"/>
      <c r="CR33" s="272"/>
      <c r="CS33" s="272">
        <f>COUNTIF(Egipto!AD20,"en término")</f>
        <v>0</v>
      </c>
      <c r="CT33" s="272"/>
      <c r="CU33" s="272"/>
      <c r="CV33" s="272">
        <f>COUNTIF(Egipto!AD21,"en término")</f>
        <v>0</v>
      </c>
      <c r="CW33" s="272"/>
      <c r="CX33" s="272"/>
      <c r="CY33" s="272">
        <f>COUNTIF(Egipto!AD22,"en término")</f>
        <v>0</v>
      </c>
      <c r="CZ33" s="272"/>
      <c r="DA33" s="272"/>
      <c r="DB33" s="272"/>
      <c r="DC33" s="272"/>
      <c r="DD33" s="272"/>
      <c r="DE33" s="272"/>
      <c r="DF33" s="272"/>
      <c r="DG33" s="272"/>
      <c r="DH33" s="272">
        <f>COUNTIF(Egipto!AD30,"en término")+COUNTIF(Egipto!AD28:AD29,"en término")</f>
        <v>1</v>
      </c>
      <c r="DI33" s="272">
        <f>+COUNTIF(Egipto!AD31,"en término")</f>
        <v>1</v>
      </c>
      <c r="DJ33" s="272">
        <f>+COUNTIF(Egipto!AD32:AD33,"en término")</f>
        <v>1</v>
      </c>
      <c r="DK33" s="272"/>
      <c r="DL33" s="272"/>
      <c r="DM33" s="272"/>
      <c r="DN33" s="272"/>
      <c r="DO33" s="272"/>
      <c r="DP33" s="272"/>
      <c r="DQ33" s="272"/>
      <c r="DR33" s="272"/>
      <c r="DS33" s="272"/>
      <c r="DT33" s="272"/>
      <c r="DU33" s="272"/>
      <c r="DV33" s="272"/>
      <c r="DW33" s="272"/>
      <c r="DX33" s="272"/>
      <c r="DY33" s="272"/>
      <c r="DZ33" s="272"/>
      <c r="EA33" s="272"/>
      <c r="EB33" s="272"/>
      <c r="EC33" s="272">
        <f>COUNTIF(Egipto!AD43,"en término")</f>
        <v>0</v>
      </c>
      <c r="EE33" s="272"/>
      <c r="EF33" s="272"/>
      <c r="EG33" s="272">
        <f>+COUNTIF(Egipto!AD45:AD45,"en término")+COUNTIF(Egipto!AD44,"en término")</f>
        <v>0</v>
      </c>
      <c r="EH33" s="272"/>
      <c r="EI33" s="272"/>
      <c r="EJ33" s="272"/>
      <c r="EK33" s="272">
        <f>+COUNTIF(Egipto!AD55,"en término")</f>
        <v>0</v>
      </c>
      <c r="EL33" s="272"/>
      <c r="EM33" s="272"/>
      <c r="EN33" s="272"/>
      <c r="EO33" s="272"/>
      <c r="EP33" s="272"/>
      <c r="EQ33" s="272"/>
      <c r="ER33" s="272"/>
      <c r="ES33" s="272"/>
      <c r="ET33" s="272"/>
      <c r="EU33" s="272">
        <f>+COUNTIF(Egipto!AD56,"en término")</f>
        <v>0</v>
      </c>
      <c r="EV33" s="272"/>
      <c r="EW33" s="272"/>
      <c r="EX33" s="272"/>
      <c r="EY33" s="272"/>
      <c r="EZ33" s="272"/>
      <c r="FA33" s="272">
        <f>+COUNTIF(Egipto!AD67,"en término")</f>
        <v>0</v>
      </c>
      <c r="FB33" s="272"/>
      <c r="FC33" s="272"/>
      <c r="FD33" s="272"/>
      <c r="FE33" s="272"/>
      <c r="FF33" s="272"/>
      <c r="FG33" s="272"/>
      <c r="FH33" s="272"/>
      <c r="FI33" s="272"/>
      <c r="FJ33" s="272"/>
      <c r="FK33" s="272"/>
      <c r="FL33" s="272"/>
      <c r="FM33" s="272"/>
      <c r="FN33" s="272"/>
      <c r="FO33" s="272"/>
      <c r="FP33" s="272"/>
      <c r="FQ33" s="272"/>
      <c r="FR33" s="272"/>
      <c r="FS33" s="272"/>
      <c r="FT33" s="272"/>
      <c r="FU33" s="272"/>
      <c r="FV33" s="272"/>
      <c r="FW33" s="272"/>
      <c r="FX33" s="272"/>
      <c r="FY33" s="272"/>
      <c r="FZ33" s="272"/>
      <c r="GA33" s="272"/>
      <c r="GB33" s="272"/>
      <c r="GC33" s="272"/>
      <c r="GD33" s="272"/>
      <c r="GE33" s="272"/>
      <c r="GF33" s="272"/>
      <c r="GG33" s="272"/>
      <c r="GH33" s="272"/>
      <c r="GI33" s="272"/>
      <c r="GJ33" s="272"/>
      <c r="GK33" s="272"/>
      <c r="GL33" s="272"/>
      <c r="GM33" s="272"/>
      <c r="GN33" s="272"/>
      <c r="GO33" s="272"/>
      <c r="GP33" s="272"/>
      <c r="GQ33" s="272"/>
      <c r="GR33" s="272"/>
      <c r="GS33" s="272"/>
      <c r="GT33" s="272"/>
      <c r="GU33" s="272"/>
      <c r="GV33" s="272"/>
      <c r="GW33" s="272"/>
      <c r="GX33" s="272"/>
      <c r="GY33" s="272"/>
      <c r="GZ33" s="272"/>
      <c r="HA33" s="272"/>
      <c r="HB33" s="272"/>
      <c r="HC33" s="272"/>
      <c r="HD33" s="272"/>
      <c r="HE33" s="272"/>
      <c r="HF33" s="272"/>
      <c r="HG33" s="272"/>
      <c r="HH33" s="272"/>
      <c r="HI33" s="272"/>
      <c r="HJ33" s="272"/>
      <c r="HK33" s="272"/>
      <c r="HL33" s="272"/>
      <c r="HM33" s="272"/>
      <c r="HN33" s="272"/>
      <c r="HO33" s="272"/>
      <c r="HP33" s="272">
        <f>+COUNTIF(Egipto!AD80,"en término")</f>
        <v>0</v>
      </c>
      <c r="HQ33" s="272"/>
      <c r="HR33" s="272"/>
      <c r="HS33" s="272"/>
      <c r="HT33" s="272"/>
      <c r="HU33" s="272"/>
      <c r="HV33" s="272"/>
      <c r="HW33" s="272"/>
      <c r="HX33" s="272">
        <f>+COUNTIF(Egipto!AD90,"en término")</f>
        <v>0</v>
      </c>
      <c r="HY33" s="272"/>
      <c r="HZ33" s="272"/>
      <c r="IA33" s="272"/>
      <c r="IB33" s="272"/>
      <c r="IC33" s="272"/>
      <c r="ID33" s="272"/>
      <c r="IE33" s="272"/>
      <c r="IF33" s="272"/>
      <c r="IG33" s="272"/>
      <c r="IH33" s="272"/>
      <c r="II33" s="272"/>
      <c r="IJ33" s="272"/>
      <c r="IK33" s="272"/>
      <c r="IL33" s="272"/>
      <c r="IM33" s="272"/>
      <c r="IN33" s="272"/>
      <c r="IO33" s="272">
        <f>+COUNTIF(Egipto!AD103,"en término")</f>
        <v>0</v>
      </c>
      <c r="IP33" s="272"/>
      <c r="IQ33" s="272"/>
      <c r="IR33" s="272"/>
      <c r="IS33" s="272"/>
      <c r="IT33" s="272">
        <f>+COUNTIF(Egipto!AD102,"en término")</f>
        <v>0</v>
      </c>
      <c r="IU33" s="272"/>
      <c r="IV33" s="272"/>
      <c r="IW33" s="272"/>
      <c r="IX33" s="272"/>
      <c r="IY33" s="272"/>
      <c r="IZ33" s="272"/>
      <c r="JA33" s="272"/>
      <c r="JB33" s="272"/>
      <c r="JC33" s="272"/>
      <c r="JD33" s="272"/>
      <c r="JE33" s="272"/>
      <c r="JF33" s="272"/>
      <c r="JI33" s="1097"/>
      <c r="JJ33" s="1097"/>
      <c r="JK33" s="1097"/>
      <c r="JL33" s="1097"/>
      <c r="JM33" s="1097"/>
      <c r="JN33" s="1097"/>
      <c r="JO33" s="1097"/>
      <c r="JP33" s="1097"/>
      <c r="JQ33" s="1097"/>
      <c r="JR33" s="1097"/>
      <c r="JS33" s="1097"/>
      <c r="JT33" s="1097"/>
      <c r="JU33" s="1097"/>
      <c r="JV33" s="1097"/>
      <c r="JW33" s="1097"/>
      <c r="JX33" s="1097"/>
      <c r="JY33" s="1097"/>
      <c r="JZ33" s="1097"/>
      <c r="KA33" s="1097"/>
      <c r="KB33" s="1097"/>
      <c r="KC33" s="1097"/>
      <c r="KD33" s="1097"/>
      <c r="KE33" s="1097"/>
      <c r="KF33" s="1097">
        <v>1</v>
      </c>
      <c r="KG33" s="1097"/>
      <c r="KH33" s="1097"/>
      <c r="KI33" s="1097"/>
      <c r="KJ33" s="1097"/>
      <c r="KK33" s="1097"/>
      <c r="KL33" s="1097"/>
      <c r="KM33" s="1097"/>
      <c r="KN33" s="1097"/>
      <c r="KO33" s="1097"/>
      <c r="KP33" s="1097"/>
      <c r="KQ33" s="1097"/>
      <c r="KR33" s="1097"/>
      <c r="KS33" s="1097"/>
      <c r="KT33" s="1097"/>
      <c r="KU33" s="1097"/>
      <c r="KV33" s="1097"/>
      <c r="KW33" s="1097"/>
      <c r="KX33" s="1097"/>
      <c r="KY33" s="1097"/>
      <c r="KZ33" s="1097"/>
      <c r="LA33" s="1097"/>
      <c r="LB33" s="1097"/>
      <c r="LC33" s="1097"/>
      <c r="LD33" s="1097"/>
      <c r="LE33" s="1097"/>
      <c r="LF33" s="1097"/>
      <c r="LG33" s="1097"/>
      <c r="LH33" s="1097"/>
      <c r="LI33" s="1097"/>
      <c r="LJ33" s="1097">
        <f>+COUNTIF(Egipto!AI102,"en término")</f>
        <v>1</v>
      </c>
      <c r="LK33" s="1097"/>
      <c r="LL33" s="1097"/>
      <c r="LM33" s="1097"/>
      <c r="LN33" s="1097">
        <f>+COUNTIF(Egipto!AI103,"en término")</f>
        <v>0</v>
      </c>
      <c r="LO33" s="1097"/>
      <c r="LP33" s="1097"/>
      <c r="LQ33" s="1097"/>
      <c r="LR33" s="1097"/>
      <c r="LS33" s="1097"/>
      <c r="LT33" s="1097"/>
      <c r="LU33" s="1097"/>
    </row>
    <row r="34" spans="2:333" ht="17.25" thickBot="1" x14ac:dyDescent="0.35">
      <c r="B34" s="1005"/>
      <c r="C34" s="270" t="s">
        <v>6158</v>
      </c>
      <c r="D34" s="275"/>
      <c r="E34" s="275"/>
      <c r="F34" s="275"/>
      <c r="G34" s="275"/>
      <c r="H34" s="275"/>
      <c r="I34" s="275"/>
      <c r="J34" s="290"/>
      <c r="K34" s="275"/>
      <c r="L34" s="275"/>
      <c r="M34" s="275"/>
      <c r="N34" s="275"/>
      <c r="O34" s="275"/>
      <c r="P34" s="275"/>
      <c r="Q34" s="275"/>
      <c r="R34" s="275"/>
      <c r="S34" s="275"/>
      <c r="T34" s="275"/>
      <c r="U34" s="275"/>
      <c r="V34" s="290"/>
      <c r="W34" s="275"/>
      <c r="X34" s="275"/>
      <c r="Y34" s="275"/>
      <c r="Z34" s="275"/>
      <c r="AA34" s="275"/>
      <c r="AB34" s="275"/>
      <c r="AC34" s="275"/>
      <c r="AD34" s="275"/>
      <c r="AE34" s="275"/>
      <c r="AF34" s="275"/>
      <c r="AG34" s="275"/>
      <c r="AH34" s="290"/>
      <c r="AI34" s="275"/>
      <c r="AJ34" s="275"/>
      <c r="AK34" s="275"/>
      <c r="AL34" s="275"/>
      <c r="AM34" s="275"/>
      <c r="AN34" s="275"/>
      <c r="AO34" s="275"/>
      <c r="AP34" s="275"/>
      <c r="AQ34" s="275"/>
      <c r="AR34" s="275"/>
      <c r="AS34" s="275"/>
      <c r="AT34" s="290"/>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275"/>
      <c r="BX34" s="275"/>
      <c r="BY34" s="275"/>
      <c r="BZ34" s="275"/>
      <c r="CA34" s="275"/>
      <c r="CB34" s="275"/>
      <c r="CC34" s="275"/>
      <c r="CD34" s="275"/>
      <c r="CE34" s="275"/>
      <c r="CF34" s="275"/>
      <c r="CG34" s="275"/>
      <c r="CH34" s="275"/>
      <c r="CI34" s="275"/>
      <c r="CJ34" s="275"/>
      <c r="CK34" s="275">
        <f>+CK33/CK32</f>
        <v>0</v>
      </c>
      <c r="CL34" s="275">
        <f>+CL33/CL32</f>
        <v>1</v>
      </c>
      <c r="CM34" s="275">
        <f>+CM33/CM32</f>
        <v>1</v>
      </c>
      <c r="CN34" s="275"/>
      <c r="CO34" s="275"/>
      <c r="CP34" s="275"/>
      <c r="CQ34" s="275"/>
      <c r="CR34" s="275"/>
      <c r="CS34" s="275">
        <f>+CS33/CS32</f>
        <v>0</v>
      </c>
      <c r="CT34" s="275"/>
      <c r="CU34" s="275"/>
      <c r="CV34" s="275">
        <f>+CV33/CV32</f>
        <v>0</v>
      </c>
      <c r="CW34" s="275"/>
      <c r="CX34" s="275"/>
      <c r="CY34" s="275">
        <f>+CY33/CY32</f>
        <v>0</v>
      </c>
      <c r="CZ34" s="275"/>
      <c r="DA34" s="275"/>
      <c r="DB34" s="275"/>
      <c r="DC34" s="275"/>
      <c r="DD34" s="275"/>
      <c r="DE34" s="275"/>
      <c r="DF34" s="275"/>
      <c r="DG34" s="275"/>
      <c r="DH34" s="275">
        <f>+DH33/DH32</f>
        <v>0.33333333333333331</v>
      </c>
      <c r="DI34" s="275">
        <f>+DI33/DI32</f>
        <v>1</v>
      </c>
      <c r="DJ34" s="275">
        <f>+DJ33/DJ32</f>
        <v>0.5</v>
      </c>
      <c r="DK34" s="275"/>
      <c r="DL34" s="275"/>
      <c r="DM34" s="275"/>
      <c r="DN34" s="275"/>
      <c r="DO34" s="275"/>
      <c r="DP34" s="275"/>
      <c r="DQ34" s="275"/>
      <c r="DR34" s="275"/>
      <c r="DS34" s="275"/>
      <c r="DT34" s="275"/>
      <c r="DU34" s="275"/>
      <c r="DV34" s="275"/>
      <c r="DW34" s="275"/>
      <c r="DX34" s="275"/>
      <c r="DY34" s="275"/>
      <c r="DZ34" s="275"/>
      <c r="EA34" s="275"/>
      <c r="EB34" s="275"/>
      <c r="EC34" s="275">
        <f>+EC33/EC32</f>
        <v>0</v>
      </c>
      <c r="EE34" s="275"/>
      <c r="EF34" s="275"/>
      <c r="EG34" s="275">
        <f>+EG33/EG32</f>
        <v>0</v>
      </c>
      <c r="EH34" s="275"/>
      <c r="EI34" s="275"/>
      <c r="EJ34" s="275"/>
      <c r="EK34" s="275">
        <f>+EK33/EK32</f>
        <v>0</v>
      </c>
      <c r="EL34" s="275"/>
      <c r="EM34" s="275"/>
      <c r="EN34" s="275"/>
      <c r="EO34" s="275"/>
      <c r="EP34" s="275"/>
      <c r="EQ34" s="275"/>
      <c r="ER34" s="275"/>
      <c r="ES34" s="275"/>
      <c r="ET34" s="275"/>
      <c r="EU34" s="275">
        <f>+EU33/EU32</f>
        <v>0</v>
      </c>
      <c r="EV34" s="275"/>
      <c r="EW34" s="275"/>
      <c r="EX34" s="275"/>
      <c r="EY34" s="275"/>
      <c r="EZ34" s="275"/>
      <c r="FA34" s="275">
        <f>+FA33/FA32</f>
        <v>0</v>
      </c>
      <c r="FB34" s="275"/>
      <c r="FC34" s="275"/>
      <c r="FD34" s="275"/>
      <c r="FE34" s="275"/>
      <c r="FF34" s="275"/>
      <c r="FG34" s="275"/>
      <c r="FH34" s="275"/>
      <c r="FI34" s="275"/>
      <c r="FJ34" s="275"/>
      <c r="FK34" s="275"/>
      <c r="FL34" s="275"/>
      <c r="FM34" s="275"/>
      <c r="FN34" s="275"/>
      <c r="FO34" s="275"/>
      <c r="FP34" s="275"/>
      <c r="FQ34" s="275"/>
      <c r="FR34" s="275"/>
      <c r="FS34" s="275"/>
      <c r="FT34" s="275"/>
      <c r="FU34" s="275"/>
      <c r="FV34" s="275"/>
      <c r="FW34" s="275"/>
      <c r="FX34" s="275"/>
      <c r="FY34" s="275"/>
      <c r="FZ34" s="275"/>
      <c r="GA34" s="275"/>
      <c r="GB34" s="275"/>
      <c r="GC34" s="275"/>
      <c r="GD34" s="275"/>
      <c r="GE34" s="275"/>
      <c r="GF34" s="275"/>
      <c r="GG34" s="275"/>
      <c r="GH34" s="275"/>
      <c r="GI34" s="275"/>
      <c r="GJ34" s="275"/>
      <c r="GK34" s="275"/>
      <c r="GL34" s="275"/>
      <c r="GM34" s="275"/>
      <c r="GN34" s="275"/>
      <c r="GO34" s="275"/>
      <c r="GP34" s="275"/>
      <c r="GQ34" s="275"/>
      <c r="GR34" s="275"/>
      <c r="GS34" s="275"/>
      <c r="GT34" s="275"/>
      <c r="GU34" s="275"/>
      <c r="GV34" s="275"/>
      <c r="GW34" s="275"/>
      <c r="GX34" s="275"/>
      <c r="GY34" s="275"/>
      <c r="GZ34" s="275"/>
      <c r="HA34" s="275"/>
      <c r="HB34" s="275"/>
      <c r="HC34" s="275"/>
      <c r="HD34" s="275"/>
      <c r="HE34" s="275"/>
      <c r="HF34" s="275"/>
      <c r="HG34" s="275"/>
      <c r="HH34" s="275"/>
      <c r="HI34" s="275"/>
      <c r="HJ34" s="275"/>
      <c r="HK34" s="275"/>
      <c r="HL34" s="275"/>
      <c r="HM34" s="275"/>
      <c r="HN34" s="275"/>
      <c r="HO34" s="275"/>
      <c r="HP34" s="275">
        <f>+HP33/HP32</f>
        <v>0</v>
      </c>
      <c r="HQ34" s="275"/>
      <c r="HR34" s="275"/>
      <c r="HS34" s="275"/>
      <c r="HT34" s="275"/>
      <c r="HU34" s="275"/>
      <c r="HV34" s="275"/>
      <c r="HW34" s="275"/>
      <c r="HX34" s="275">
        <f>+HX33/HX32</f>
        <v>0</v>
      </c>
      <c r="HY34" s="275"/>
      <c r="HZ34" s="275"/>
      <c r="IA34" s="275"/>
      <c r="IB34" s="275"/>
      <c r="IC34" s="275"/>
      <c r="ID34" s="275"/>
      <c r="IE34" s="275"/>
      <c r="IF34" s="275"/>
      <c r="IG34" s="275"/>
      <c r="IH34" s="275"/>
      <c r="II34" s="275"/>
      <c r="IJ34" s="275"/>
      <c r="IK34" s="275"/>
      <c r="IL34" s="275"/>
      <c r="IM34" s="275"/>
      <c r="IN34" s="275"/>
      <c r="IO34" s="275">
        <f t="shared" ref="IO34" si="47">+IO33/IO32</f>
        <v>0</v>
      </c>
      <c r="IP34" s="275"/>
      <c r="IQ34" s="275"/>
      <c r="IR34" s="275"/>
      <c r="IS34" s="275"/>
      <c r="IT34" s="275">
        <f t="shared" ref="IT34" si="48">+IT33/IT32</f>
        <v>0</v>
      </c>
      <c r="IU34" s="275"/>
      <c r="IV34" s="275"/>
      <c r="IW34" s="275"/>
      <c r="IX34" s="275"/>
      <c r="IY34" s="275"/>
      <c r="IZ34" s="275"/>
      <c r="JA34" s="275"/>
      <c r="JB34" s="275"/>
      <c r="JC34" s="275"/>
      <c r="JD34" s="275"/>
      <c r="JE34" s="275"/>
      <c r="JF34" s="275"/>
      <c r="JI34" s="1098"/>
      <c r="JJ34" s="1098"/>
      <c r="JK34" s="1098"/>
      <c r="JL34" s="1098"/>
      <c r="JM34" s="1098"/>
      <c r="JN34" s="1098"/>
      <c r="JO34" s="1098"/>
      <c r="JP34" s="1098"/>
      <c r="JQ34" s="1098"/>
      <c r="JR34" s="1098"/>
      <c r="JS34" s="1098"/>
      <c r="JT34" s="1098"/>
      <c r="JU34" s="1098"/>
      <c r="JV34" s="1098"/>
      <c r="JW34" s="1098"/>
      <c r="JX34" s="1098"/>
      <c r="JY34" s="1098"/>
      <c r="JZ34" s="1098"/>
      <c r="KA34" s="1098"/>
      <c r="KB34" s="1098"/>
      <c r="KC34" s="1098"/>
      <c r="KD34" s="1098"/>
      <c r="KE34" s="1098"/>
      <c r="KF34" s="1098"/>
      <c r="KG34" s="1098"/>
      <c r="KH34" s="1098"/>
      <c r="KI34" s="1098"/>
      <c r="KJ34" s="1098"/>
      <c r="KK34" s="1098"/>
      <c r="KL34" s="1098"/>
      <c r="KM34" s="1098"/>
      <c r="KN34" s="1098"/>
      <c r="KO34" s="1098"/>
      <c r="KP34" s="1098"/>
      <c r="KQ34" s="1098"/>
      <c r="KR34" s="1098"/>
      <c r="KS34" s="1098"/>
      <c r="KT34" s="1098"/>
      <c r="KU34" s="1098"/>
      <c r="KV34" s="1098"/>
      <c r="KW34" s="1098"/>
      <c r="KX34" s="1098"/>
      <c r="KY34" s="1098"/>
      <c r="KZ34" s="1098"/>
      <c r="LA34" s="1098"/>
      <c r="LB34" s="1098"/>
      <c r="LC34" s="1098"/>
      <c r="LD34" s="1098"/>
      <c r="LE34" s="1098"/>
      <c r="LF34" s="1098"/>
      <c r="LG34" s="1098"/>
      <c r="LH34" s="1098"/>
      <c r="LI34" s="1098"/>
      <c r="LJ34" s="1098"/>
      <c r="LK34" s="1098"/>
      <c r="LL34" s="1098"/>
      <c r="LM34" s="1098"/>
      <c r="LN34" s="1098"/>
      <c r="LO34" s="1098"/>
      <c r="LP34" s="1098"/>
      <c r="LQ34" s="1098"/>
      <c r="LR34" s="1098"/>
      <c r="LS34" s="1098"/>
      <c r="LT34" s="1098"/>
      <c r="LU34" s="1098"/>
    </row>
    <row r="35" spans="2:333" ht="16.5" x14ac:dyDescent="0.3">
      <c r="B35" s="1004" t="s">
        <v>5436</v>
      </c>
      <c r="C35" s="269" t="s">
        <v>6156</v>
      </c>
      <c r="D35" s="271">
        <v>0</v>
      </c>
      <c r="E35" s="271">
        <v>0</v>
      </c>
      <c r="F35" s="271">
        <v>0</v>
      </c>
      <c r="G35" s="271">
        <v>0</v>
      </c>
      <c r="H35" s="271">
        <v>0</v>
      </c>
      <c r="I35" s="271">
        <v>0</v>
      </c>
      <c r="J35" s="288"/>
      <c r="K35" s="271">
        <v>0</v>
      </c>
      <c r="L35" s="271">
        <v>0</v>
      </c>
      <c r="M35" s="271">
        <v>0</v>
      </c>
      <c r="N35" s="271">
        <v>0</v>
      </c>
      <c r="O35" s="271">
        <v>0</v>
      </c>
      <c r="P35" s="271">
        <v>0</v>
      </c>
      <c r="Q35" s="271">
        <v>0</v>
      </c>
      <c r="R35" s="271">
        <v>0</v>
      </c>
      <c r="S35" s="271">
        <v>0</v>
      </c>
      <c r="T35" s="271">
        <v>0</v>
      </c>
      <c r="U35" s="271">
        <v>0</v>
      </c>
      <c r="V35" s="288"/>
      <c r="W35" s="271">
        <v>0</v>
      </c>
      <c r="X35" s="271">
        <v>0</v>
      </c>
      <c r="Y35" s="271">
        <v>0</v>
      </c>
      <c r="Z35" s="271">
        <v>0</v>
      </c>
      <c r="AA35" s="271">
        <v>0</v>
      </c>
      <c r="AB35" s="271">
        <v>0</v>
      </c>
      <c r="AC35" s="271">
        <v>0</v>
      </c>
      <c r="AD35" s="271">
        <v>0</v>
      </c>
      <c r="AE35" s="271">
        <v>0</v>
      </c>
      <c r="AF35" s="271">
        <v>0</v>
      </c>
      <c r="AG35" s="271">
        <v>0</v>
      </c>
      <c r="AH35" s="288"/>
      <c r="AI35" s="271">
        <v>0</v>
      </c>
      <c r="AJ35" s="271">
        <v>0</v>
      </c>
      <c r="AK35" s="271">
        <v>0</v>
      </c>
      <c r="AL35" s="271">
        <v>0</v>
      </c>
      <c r="AM35" s="271">
        <v>0</v>
      </c>
      <c r="AN35" s="271">
        <v>0</v>
      </c>
      <c r="AO35" s="271">
        <v>0</v>
      </c>
      <c r="AP35" s="271">
        <v>0</v>
      </c>
      <c r="AQ35" s="271">
        <v>0</v>
      </c>
      <c r="AR35" s="271">
        <v>0</v>
      </c>
      <c r="AS35" s="271">
        <v>0</v>
      </c>
      <c r="AT35" s="288"/>
      <c r="AU35" s="271">
        <v>0</v>
      </c>
      <c r="AV35" s="271">
        <v>0</v>
      </c>
      <c r="AW35" s="271">
        <v>0</v>
      </c>
      <c r="AX35" s="271">
        <v>0</v>
      </c>
      <c r="AY35" s="271">
        <v>0</v>
      </c>
      <c r="AZ35" s="271">
        <v>0</v>
      </c>
      <c r="BA35" s="271">
        <f>COUNTA(Chile!AD7)</f>
        <v>1</v>
      </c>
      <c r="BB35" s="271">
        <v>0</v>
      </c>
      <c r="BC35" s="271">
        <v>0</v>
      </c>
      <c r="BD35" s="271">
        <v>0</v>
      </c>
      <c r="BE35" s="271">
        <v>0</v>
      </c>
      <c r="BF35" s="271">
        <v>0</v>
      </c>
      <c r="BG35" s="271">
        <v>0</v>
      </c>
      <c r="BH35" s="271">
        <v>0</v>
      </c>
      <c r="BI35" s="271">
        <v>0</v>
      </c>
      <c r="BJ35" s="271">
        <v>0</v>
      </c>
      <c r="BK35" s="271">
        <v>0</v>
      </c>
      <c r="BL35" s="271">
        <v>0</v>
      </c>
      <c r="BM35" s="271">
        <v>0</v>
      </c>
      <c r="BN35" s="271">
        <v>0</v>
      </c>
      <c r="BO35" s="271">
        <v>0</v>
      </c>
      <c r="BP35" s="271">
        <v>0</v>
      </c>
      <c r="BQ35" s="271">
        <v>0</v>
      </c>
      <c r="BR35" s="271">
        <v>0</v>
      </c>
      <c r="BS35" s="271">
        <v>0</v>
      </c>
      <c r="BT35" s="271">
        <v>0</v>
      </c>
      <c r="BU35" s="271">
        <v>0</v>
      </c>
      <c r="BV35" s="271">
        <v>0</v>
      </c>
      <c r="BW35" s="271">
        <f>COUNTA(Chile!AD19)</f>
        <v>1</v>
      </c>
      <c r="BX35" s="271">
        <v>0</v>
      </c>
      <c r="BY35" s="271">
        <v>0</v>
      </c>
      <c r="BZ35" s="271">
        <v>0</v>
      </c>
      <c r="CA35" s="271">
        <v>0</v>
      </c>
      <c r="CB35" s="271">
        <v>0</v>
      </c>
      <c r="CC35" s="271">
        <v>0</v>
      </c>
      <c r="CD35" s="271">
        <v>0</v>
      </c>
      <c r="CE35" s="271">
        <v>0</v>
      </c>
      <c r="CF35" s="271">
        <v>0</v>
      </c>
      <c r="CG35" s="271">
        <v>0</v>
      </c>
      <c r="CH35" s="271">
        <v>0</v>
      </c>
      <c r="CI35" s="271">
        <f>COUNTA(Chile!AD29)</f>
        <v>1</v>
      </c>
      <c r="CJ35" s="271">
        <f>COUNTA(Chile!AD30)</f>
        <v>1</v>
      </c>
      <c r="CK35" s="271">
        <f>COUNTA(Chile!AD31)</f>
        <v>1</v>
      </c>
      <c r="CL35" s="274"/>
      <c r="CM35" s="271">
        <f>COUNTA(Chile!AD32)</f>
        <v>1</v>
      </c>
      <c r="CN35" s="271">
        <v>0</v>
      </c>
      <c r="CO35" s="271">
        <v>0</v>
      </c>
      <c r="CP35" s="271">
        <v>0</v>
      </c>
      <c r="CQ35" s="271">
        <v>0</v>
      </c>
      <c r="CR35" s="271">
        <f>COUNTA(Chile!AD42:AD44)</f>
        <v>3</v>
      </c>
      <c r="CS35" s="271">
        <v>0</v>
      </c>
      <c r="CT35" s="271">
        <v>0</v>
      </c>
      <c r="CU35" s="271">
        <f>COUNTA(Chile!AD45:AD48)</f>
        <v>4</v>
      </c>
      <c r="CV35" s="271">
        <f>COUNTA(Chile!AD49:AD51)</f>
        <v>3</v>
      </c>
      <c r="CW35" s="271">
        <f>COUNTA(Chile!AD52)</f>
        <v>1</v>
      </c>
      <c r="CX35" s="271">
        <v>0</v>
      </c>
      <c r="CY35" s="271">
        <f>COUNTA(Chile!AD53:AD54)</f>
        <v>2</v>
      </c>
      <c r="CZ35" s="727">
        <v>0</v>
      </c>
      <c r="DA35" s="727">
        <v>0</v>
      </c>
      <c r="DB35" s="271">
        <f>+COUNTA(Chile!AD64)+COUNTA(Chile!AD65)</f>
        <v>2</v>
      </c>
      <c r="DC35" s="763">
        <v>0</v>
      </c>
      <c r="DD35" s="271">
        <f>+COUNTA(Chile!AD66)+COUNTA(Chile!AD67)</f>
        <v>2</v>
      </c>
      <c r="DE35" s="727">
        <v>0</v>
      </c>
      <c r="DF35" s="727">
        <v>0</v>
      </c>
      <c r="DG35" s="271">
        <f>+COUNTA(Chile!AD68)</f>
        <v>1</v>
      </c>
      <c r="DH35" s="727">
        <v>0</v>
      </c>
      <c r="DI35" s="271">
        <f>+COUNTA(Chile!AD70)</f>
        <v>1</v>
      </c>
      <c r="DJ35" s="271">
        <f>+COUNTA(Chile!AD69)</f>
        <v>1</v>
      </c>
      <c r="DK35" s="271">
        <v>0</v>
      </c>
      <c r="DL35" s="271">
        <f>+COUNTA(Chile!AD71)</f>
        <v>1</v>
      </c>
      <c r="DM35" s="271">
        <v>0</v>
      </c>
      <c r="DN35" s="271">
        <v>0</v>
      </c>
      <c r="DO35" s="271">
        <f>+COUNTA(Chile!AD83:AD84)+COUNTA(Chile!AD82:AD82)+COUNTA(Chile!AD81)</f>
        <v>4</v>
      </c>
      <c r="DP35" s="271">
        <f>+COUNTA(Chile!AD85)</f>
        <v>1</v>
      </c>
      <c r="DQ35" s="271">
        <f>+COUNTA(Chile!AD86)</f>
        <v>1</v>
      </c>
      <c r="DR35" s="271">
        <f>+COUNTA(Chile!AD87)</f>
        <v>1</v>
      </c>
      <c r="DS35" s="271">
        <v>0</v>
      </c>
      <c r="DT35" s="271">
        <f>+COUNTA(Chile!AD88:AD89)</f>
        <v>2</v>
      </c>
      <c r="DU35" s="271">
        <f>+COUNTA(Chile!AD90)</f>
        <v>1</v>
      </c>
      <c r="DV35" s="271">
        <v>0</v>
      </c>
      <c r="DW35" s="271">
        <v>0</v>
      </c>
      <c r="DX35" s="271">
        <f>+COUNTA(Chile!AD91)</f>
        <v>1</v>
      </c>
      <c r="DY35" s="271">
        <f>+COUNTA(Chile!AD92)</f>
        <v>1</v>
      </c>
      <c r="DZ35" s="271">
        <v>0</v>
      </c>
      <c r="EA35" s="271">
        <f>+COUNTA(Chile!AD102)</f>
        <v>1</v>
      </c>
      <c r="EB35" s="271">
        <f>+COUNTA(Chile!AD104)+COUNTA(Chile!AD103)</f>
        <v>2</v>
      </c>
      <c r="EC35" s="271">
        <f>+COUNTA(Chile!AD105)</f>
        <v>1</v>
      </c>
      <c r="ED35" s="271">
        <f>+COUNTA(Chile!AD106:AD109)</f>
        <v>4</v>
      </c>
      <c r="EE35" s="271">
        <f>+COUNTA(Chile!AD110)+COUNTA(Chile!AD111)</f>
        <v>2</v>
      </c>
      <c r="EF35" s="271">
        <v>0</v>
      </c>
      <c r="EG35" s="271">
        <v>0</v>
      </c>
      <c r="EH35" s="271">
        <f>+COUNTA(Chile!AD113)+COUNTA(Chile!AD114)+COUNTA(Chile!AD112)</f>
        <v>3</v>
      </c>
      <c r="EI35" s="271">
        <f>+COUNTA(Chile!AD115)</f>
        <v>1</v>
      </c>
      <c r="EJ35" s="271">
        <f>+COUNTA(Chile!AD116:AD117)+COUNTA(Chile!AD118)</f>
        <v>3</v>
      </c>
      <c r="EK35" s="271">
        <v>0</v>
      </c>
      <c r="EL35" s="271">
        <v>0</v>
      </c>
      <c r="EM35" s="271">
        <v>0</v>
      </c>
      <c r="EN35" s="271">
        <f>+COUNTA(Chile!AD128:AD130)+COUNTA(Chile!AD131)</f>
        <v>4</v>
      </c>
      <c r="EO35" s="271">
        <f>+COUNTA(Chile!AD132)</f>
        <v>1</v>
      </c>
      <c r="EP35" s="271">
        <f>+COUNTA(Chile!AD133)</f>
        <v>1</v>
      </c>
      <c r="EQ35" s="271">
        <f>+COUNTA(Chile!AD134)</f>
        <v>1</v>
      </c>
      <c r="ER35" s="271">
        <f>+COUNTA(Chile!AD135:AD137)</f>
        <v>3</v>
      </c>
      <c r="ES35" s="271">
        <f>+COUNTA(Chile!AD138)</f>
        <v>1</v>
      </c>
      <c r="ET35" s="271">
        <v>0</v>
      </c>
      <c r="EU35" s="271">
        <v>0</v>
      </c>
      <c r="EV35" s="271">
        <f>+COUNTA(Chile!AD139:AD142)</f>
        <v>4</v>
      </c>
      <c r="EW35" s="271">
        <v>0</v>
      </c>
      <c r="EX35" s="271">
        <f>+COUNTA(Chile!AD152)</f>
        <v>1</v>
      </c>
      <c r="EY35" s="271">
        <v>0</v>
      </c>
      <c r="EZ35" s="271">
        <f>+COUNTA(Chile!AD153)</f>
        <v>1</v>
      </c>
      <c r="FA35" s="271">
        <f>+COUNTA(Chile!AD154)</f>
        <v>1</v>
      </c>
      <c r="FB35" s="271">
        <f>+COUNTA(Chile!AD155)</f>
        <v>1</v>
      </c>
      <c r="FC35" s="271">
        <v>0</v>
      </c>
      <c r="FD35" s="271">
        <f>+COUNTA(Chile!AD156)</f>
        <v>1</v>
      </c>
      <c r="FE35" s="271">
        <f>+COUNTA(Chile!AD157)</f>
        <v>1</v>
      </c>
      <c r="FF35" s="271">
        <f>COUNTA(Chile!AD158:AD160)</f>
        <v>3</v>
      </c>
      <c r="FG35" s="271">
        <f>+COUNTA(Chile!AD161:AD162)</f>
        <v>2</v>
      </c>
      <c r="FH35" s="271">
        <v>0</v>
      </c>
      <c r="FI35" s="271">
        <v>0</v>
      </c>
      <c r="FJ35" s="271">
        <v>0</v>
      </c>
      <c r="FK35" s="271">
        <v>0</v>
      </c>
      <c r="FL35" s="271">
        <v>0</v>
      </c>
      <c r="FM35" s="271">
        <v>0</v>
      </c>
      <c r="FN35" s="271">
        <v>0</v>
      </c>
      <c r="FO35" s="271">
        <v>0</v>
      </c>
      <c r="FP35" s="271">
        <f>+COUNTA(Chile!AD172)+COUNTA(Chile!AD173)</f>
        <v>2</v>
      </c>
      <c r="FQ35" s="271">
        <v>0</v>
      </c>
      <c r="FR35" s="271">
        <v>0</v>
      </c>
      <c r="FS35" s="271">
        <v>0</v>
      </c>
      <c r="FT35" s="271">
        <v>0</v>
      </c>
      <c r="FU35" s="271">
        <v>0</v>
      </c>
      <c r="FV35" s="271">
        <v>0</v>
      </c>
      <c r="FW35" s="271">
        <f>+COUNTA(Chile!AD183)</f>
        <v>1</v>
      </c>
      <c r="FX35" s="271">
        <f>+COUNTA(Chile!AD184:AD185)</f>
        <v>2</v>
      </c>
      <c r="FY35" s="271">
        <v>0</v>
      </c>
      <c r="FZ35" s="271">
        <v>0</v>
      </c>
      <c r="GA35" s="271">
        <v>0</v>
      </c>
      <c r="GB35" s="271">
        <v>0</v>
      </c>
      <c r="GC35" s="271">
        <v>0</v>
      </c>
      <c r="GD35" s="271">
        <v>0</v>
      </c>
      <c r="GE35" s="271">
        <f>+COUNTA(Chile!AD186:AD187)</f>
        <v>2</v>
      </c>
      <c r="GF35" s="271">
        <v>0</v>
      </c>
      <c r="GG35" s="271">
        <v>0</v>
      </c>
      <c r="GH35" s="271">
        <v>0</v>
      </c>
      <c r="GI35" s="271">
        <v>0</v>
      </c>
      <c r="GJ35" s="271">
        <v>0</v>
      </c>
      <c r="GK35" s="271">
        <f>+COUNTA(Chile!AD196)</f>
        <v>1</v>
      </c>
      <c r="GL35" s="271">
        <v>0</v>
      </c>
      <c r="GM35" s="271">
        <v>0</v>
      </c>
      <c r="GN35" s="271">
        <v>0</v>
      </c>
      <c r="GO35" s="271">
        <v>0</v>
      </c>
      <c r="GP35" s="271">
        <v>0</v>
      </c>
      <c r="GQ35" s="271">
        <f>+COUNTA(Chile!AD197)</f>
        <v>1</v>
      </c>
      <c r="GR35" s="271">
        <v>0</v>
      </c>
      <c r="GS35" s="271">
        <v>0</v>
      </c>
      <c r="GT35" s="271">
        <v>0</v>
      </c>
      <c r="GU35" s="271">
        <f>+COUNTA(Chile!AD206)</f>
        <v>1</v>
      </c>
      <c r="GV35" s="271">
        <v>0</v>
      </c>
      <c r="GW35" s="271">
        <v>0</v>
      </c>
      <c r="GX35" s="271">
        <f>+COUNTA(Chile!AD207:AD208)</f>
        <v>2</v>
      </c>
      <c r="GY35" s="271">
        <f>+COUNTA(Chile!AD209)+COUNTA(Chile!AD210)</f>
        <v>2</v>
      </c>
      <c r="GZ35" s="271">
        <v>0</v>
      </c>
      <c r="HA35" s="271">
        <v>0</v>
      </c>
      <c r="HB35" s="271">
        <f>+COUNTA(Chile!AD211)</f>
        <v>1</v>
      </c>
      <c r="HC35" s="271">
        <f>+COUNTA(Chile!AD221)</f>
        <v>1</v>
      </c>
      <c r="HD35" s="271">
        <f>+COUNTA(Chile!AD212)</f>
        <v>1</v>
      </c>
      <c r="HE35" s="271">
        <v>0</v>
      </c>
      <c r="HF35" s="271">
        <f>+COUNTA(Chile!AD220)</f>
        <v>1</v>
      </c>
      <c r="HG35" s="271">
        <v>0</v>
      </c>
      <c r="HH35" s="271">
        <v>0</v>
      </c>
      <c r="HI35" s="271">
        <v>0</v>
      </c>
      <c r="HJ35" s="271">
        <v>0</v>
      </c>
      <c r="HK35" s="271">
        <v>0</v>
      </c>
      <c r="HL35" s="271">
        <v>0</v>
      </c>
      <c r="HM35" s="271">
        <v>0</v>
      </c>
      <c r="HN35" s="271">
        <v>0</v>
      </c>
      <c r="HO35" s="271">
        <v>0</v>
      </c>
      <c r="HP35" s="271">
        <v>0</v>
      </c>
      <c r="HQ35" s="271">
        <v>0</v>
      </c>
      <c r="HR35" s="271">
        <v>0</v>
      </c>
      <c r="HS35" s="271">
        <v>0</v>
      </c>
      <c r="HT35" s="271">
        <v>0</v>
      </c>
      <c r="HU35" s="271">
        <v>0</v>
      </c>
      <c r="HV35" s="271">
        <v>0</v>
      </c>
      <c r="HW35" s="271">
        <v>0</v>
      </c>
      <c r="HX35" s="271">
        <v>0</v>
      </c>
      <c r="HY35" s="271">
        <v>0</v>
      </c>
      <c r="HZ35" s="271">
        <v>0</v>
      </c>
      <c r="IA35" s="271">
        <v>0</v>
      </c>
      <c r="IB35" s="271">
        <v>0</v>
      </c>
      <c r="IC35" s="271">
        <v>0</v>
      </c>
      <c r="ID35" s="271">
        <v>0</v>
      </c>
      <c r="IE35" s="271">
        <v>0</v>
      </c>
      <c r="IF35" s="271">
        <v>0</v>
      </c>
      <c r="IG35" s="271">
        <v>0</v>
      </c>
      <c r="IH35" s="271">
        <v>0</v>
      </c>
      <c r="II35" s="271">
        <v>0</v>
      </c>
      <c r="IJ35" s="271">
        <v>0</v>
      </c>
      <c r="IK35" s="271">
        <v>0</v>
      </c>
      <c r="IL35" s="271">
        <v>0</v>
      </c>
      <c r="IM35" s="271">
        <v>0</v>
      </c>
      <c r="IN35" s="271">
        <v>0</v>
      </c>
      <c r="IO35" s="271">
        <v>0</v>
      </c>
      <c r="IP35" s="271">
        <v>0</v>
      </c>
      <c r="IQ35" s="271">
        <v>0</v>
      </c>
      <c r="IR35" s="271">
        <v>0</v>
      </c>
      <c r="IS35" s="271">
        <v>0</v>
      </c>
      <c r="IT35" s="271">
        <v>0</v>
      </c>
      <c r="IU35" s="271">
        <v>0</v>
      </c>
      <c r="IV35" s="271">
        <v>0</v>
      </c>
      <c r="IW35" s="271">
        <v>0</v>
      </c>
      <c r="IX35" s="271">
        <v>0</v>
      </c>
      <c r="IY35" s="271">
        <v>0</v>
      </c>
      <c r="IZ35" s="271">
        <v>0</v>
      </c>
      <c r="JA35" s="271">
        <v>0</v>
      </c>
      <c r="JB35" s="271">
        <v>0</v>
      </c>
      <c r="JC35" s="271">
        <v>0</v>
      </c>
      <c r="JD35" s="271">
        <v>0</v>
      </c>
      <c r="JE35" s="271">
        <v>0</v>
      </c>
      <c r="JF35" s="361">
        <f>SUM(D35:JE35)</f>
        <v>100</v>
      </c>
      <c r="JI35" s="1097">
        <v>0</v>
      </c>
      <c r="JJ35" s="1097">
        <v>0</v>
      </c>
      <c r="JK35" s="1097">
        <v>0</v>
      </c>
      <c r="JL35" s="1097">
        <v>0</v>
      </c>
      <c r="JM35" s="1097">
        <f>+COUNTA(Chile!AH206)</f>
        <v>1</v>
      </c>
      <c r="JN35" s="1097">
        <v>0</v>
      </c>
      <c r="JO35" s="1097">
        <v>0</v>
      </c>
      <c r="JP35" s="1097">
        <f>+COUNTA(Chile!AH207:AH208)</f>
        <v>2</v>
      </c>
      <c r="JQ35" s="1097">
        <f>+COUNTA(Chile!AH209:AH210)</f>
        <v>2</v>
      </c>
      <c r="JR35" s="1097">
        <v>0</v>
      </c>
      <c r="JS35" s="1097">
        <v>0</v>
      </c>
      <c r="JT35" s="1097">
        <f>+COUNTA(Chile!AH211)</f>
        <v>1</v>
      </c>
      <c r="JU35" s="1097">
        <v>0</v>
      </c>
      <c r="JV35" s="1097">
        <f>+COUNTA(Chile!AH212)</f>
        <v>1</v>
      </c>
      <c r="JW35" s="1097">
        <v>0</v>
      </c>
      <c r="JX35" s="1097">
        <v>0</v>
      </c>
      <c r="JY35" s="1097">
        <f>+COUNTA(Chile!AH220)</f>
        <v>1</v>
      </c>
      <c r="JZ35" s="1097">
        <v>0</v>
      </c>
      <c r="KA35" s="1097">
        <v>0</v>
      </c>
      <c r="KB35" s="1097">
        <v>0</v>
      </c>
      <c r="KC35" s="1097">
        <v>0</v>
      </c>
      <c r="KD35" s="1097">
        <v>0</v>
      </c>
      <c r="KE35" s="1097">
        <v>0</v>
      </c>
      <c r="KF35" s="1097">
        <v>0</v>
      </c>
      <c r="KG35" s="1097"/>
      <c r="KH35" s="1097"/>
      <c r="KI35" s="1097"/>
      <c r="KJ35" s="1097"/>
      <c r="KK35" s="1097"/>
      <c r="KL35" s="1097"/>
      <c r="KM35" s="1097"/>
      <c r="KN35" s="1097"/>
      <c r="KO35" s="1097"/>
      <c r="KP35" s="1097"/>
      <c r="KQ35" s="1097"/>
      <c r="KR35" s="1097"/>
      <c r="KS35" s="1097"/>
      <c r="KT35" s="1097"/>
      <c r="KU35" s="1097"/>
      <c r="KV35" s="1097"/>
      <c r="KW35" s="1097"/>
      <c r="KX35" s="1097"/>
      <c r="KY35" s="1097"/>
      <c r="KZ35" s="1097"/>
      <c r="LA35" s="1097"/>
      <c r="LB35" s="1097"/>
      <c r="LC35" s="1097"/>
      <c r="LD35" s="1097"/>
      <c r="LE35" s="1097"/>
      <c r="LF35" s="1097"/>
      <c r="LG35" s="1097"/>
      <c r="LH35" s="1097"/>
      <c r="LI35" s="1097"/>
      <c r="LJ35" s="1097"/>
      <c r="LK35" s="1097"/>
      <c r="LL35" s="1097"/>
      <c r="LM35" s="1097"/>
      <c r="LN35" s="1097"/>
      <c r="LO35" s="1097"/>
      <c r="LP35" s="1097"/>
      <c r="LQ35" s="1097"/>
      <c r="LR35" s="1097"/>
      <c r="LS35" s="1097"/>
      <c r="LT35" s="1097"/>
      <c r="LU35" s="1097"/>
    </row>
    <row r="36" spans="2:333" ht="16.5" x14ac:dyDescent="0.3">
      <c r="B36" s="1003"/>
      <c r="C36" s="762" t="s">
        <v>6157</v>
      </c>
      <c r="D36" s="272"/>
      <c r="E36" s="272"/>
      <c r="F36" s="272"/>
      <c r="G36" s="272"/>
      <c r="H36" s="272"/>
      <c r="I36" s="272"/>
      <c r="J36" s="289"/>
      <c r="K36" s="272"/>
      <c r="L36" s="272"/>
      <c r="M36" s="272"/>
      <c r="N36" s="272"/>
      <c r="O36" s="272"/>
      <c r="P36" s="272"/>
      <c r="Q36" s="272"/>
      <c r="R36" s="272"/>
      <c r="S36" s="272"/>
      <c r="T36" s="272"/>
      <c r="U36" s="272"/>
      <c r="V36" s="289"/>
      <c r="W36" s="272"/>
      <c r="X36" s="272"/>
      <c r="Y36" s="272"/>
      <c r="Z36" s="272"/>
      <c r="AA36" s="272"/>
      <c r="AB36" s="272"/>
      <c r="AC36" s="272"/>
      <c r="AD36" s="272"/>
      <c r="AE36" s="272"/>
      <c r="AF36" s="272"/>
      <c r="AG36" s="272"/>
      <c r="AH36" s="289"/>
      <c r="AI36" s="272"/>
      <c r="AJ36" s="272"/>
      <c r="AK36" s="272"/>
      <c r="AL36" s="272"/>
      <c r="AM36" s="272"/>
      <c r="AN36" s="272"/>
      <c r="AO36" s="272"/>
      <c r="AP36" s="272"/>
      <c r="AQ36" s="272"/>
      <c r="AR36" s="272"/>
      <c r="AS36" s="272"/>
      <c r="AT36" s="289"/>
      <c r="AU36" s="272"/>
      <c r="AV36" s="272"/>
      <c r="AW36" s="272"/>
      <c r="AX36" s="272"/>
      <c r="AY36" s="272"/>
      <c r="AZ36" s="272"/>
      <c r="BA36" s="272">
        <f>COUNTIF(Chile!AD7,"en término")</f>
        <v>1</v>
      </c>
      <c r="BB36" s="274"/>
      <c r="BC36" s="274"/>
      <c r="BD36" s="274"/>
      <c r="BE36" s="274"/>
      <c r="BF36" s="274"/>
      <c r="BG36" s="274"/>
      <c r="BH36" s="274"/>
      <c r="BI36" s="274"/>
      <c r="BJ36" s="274"/>
      <c r="BK36" s="274"/>
      <c r="BL36" s="274"/>
      <c r="BM36" s="274"/>
      <c r="BN36" s="274"/>
      <c r="BO36" s="274"/>
      <c r="BP36" s="274"/>
      <c r="BQ36" s="274"/>
      <c r="BR36" s="274"/>
      <c r="BS36" s="274"/>
      <c r="BT36" s="274"/>
      <c r="BU36" s="274"/>
      <c r="BV36" s="274"/>
      <c r="BW36" s="272">
        <f>COUNTIF(Chile!AD19,"en término")</f>
        <v>1</v>
      </c>
      <c r="BX36" s="274"/>
      <c r="BY36" s="274"/>
      <c r="BZ36" s="274"/>
      <c r="CA36" s="274"/>
      <c r="CB36" s="274"/>
      <c r="CC36" s="274"/>
      <c r="CD36" s="274"/>
      <c r="CE36" s="274"/>
      <c r="CF36" s="274"/>
      <c r="CG36" s="274"/>
      <c r="CH36" s="274"/>
      <c r="CI36" s="272">
        <f>COUNTIF(Chile!AD29,"en término")</f>
        <v>0</v>
      </c>
      <c r="CJ36" s="272">
        <f>COUNTIF(Chile!AD30,"en término")</f>
        <v>1</v>
      </c>
      <c r="CK36" s="272">
        <f>COUNTIF(Chile!AD31,"en término")</f>
        <v>1</v>
      </c>
      <c r="CL36" s="274"/>
      <c r="CM36" s="272">
        <f>COUNTIF(Chile!AD32,"en término")</f>
        <v>1</v>
      </c>
      <c r="CN36" s="274"/>
      <c r="CO36" s="274"/>
      <c r="CP36" s="274"/>
      <c r="CQ36" s="274"/>
      <c r="CR36" s="272">
        <f>COUNTIF(Chile!AD42:AD44,"en término")</f>
        <v>2</v>
      </c>
      <c r="CS36" s="274"/>
      <c r="CT36" s="274"/>
      <c r="CU36" s="272">
        <f>COUNTIF(Chile!AD45:AD48,"en término")</f>
        <v>1</v>
      </c>
      <c r="CV36" s="272">
        <f>COUNTIF(Chile!AD49:AD51,"en término")</f>
        <v>3</v>
      </c>
      <c r="CW36" s="272">
        <f>COUNTIF(Chile!AD52,"en término")</f>
        <v>0</v>
      </c>
      <c r="CX36" s="274"/>
      <c r="CY36" s="272">
        <f>COUNTIF(Chile!AD53:AD54,"en término")</f>
        <v>1</v>
      </c>
      <c r="CZ36" s="274"/>
      <c r="DA36" s="727"/>
      <c r="DB36" s="272">
        <f>COUNTIF(Chile!AD64,"en término")+COUNTIF(Chile!AD65,"en término")</f>
        <v>0</v>
      </c>
      <c r="DC36" s="763"/>
      <c r="DD36" s="272">
        <f>COUNTIF(Chile!AD66,"en término")+COUNTIF(Chile!AD67,"en término")</f>
        <v>1</v>
      </c>
      <c r="DE36" s="727"/>
      <c r="DF36" s="727"/>
      <c r="DG36" s="272">
        <f>COUNTIF(Chile!AD68,"en término")</f>
        <v>1</v>
      </c>
      <c r="DH36" s="272"/>
      <c r="DI36" s="272">
        <f>COUNTIF(Chile!AD70,"en término")</f>
        <v>0</v>
      </c>
      <c r="DJ36" s="272">
        <f>COUNTIF(Chile!AD69,"en término")</f>
        <v>0</v>
      </c>
      <c r="DK36" s="272"/>
      <c r="DL36" s="272">
        <f>COUNTIF(Chile!AD71,"en término")</f>
        <v>1</v>
      </c>
      <c r="DM36" s="272"/>
      <c r="DN36" s="272"/>
      <c r="DO36" s="272">
        <f>COUNTIF(Chile!AD83:AD84,"en término")+COUNTIF(Chile!AD82:AD82,"en término")+COUNTIF(Chile!AD81,"en término")</f>
        <v>2</v>
      </c>
      <c r="DP36" s="272">
        <f>COUNTIF(Chile!AD85,"en término")</f>
        <v>0</v>
      </c>
      <c r="DQ36" s="272">
        <f>COUNTIF(Chile!AD86,"en término")</f>
        <v>0</v>
      </c>
      <c r="DR36" s="272">
        <f>COUNTIF(Chile!AD87,"en término")</f>
        <v>1</v>
      </c>
      <c r="DS36" s="272"/>
      <c r="DT36" s="272">
        <f>COUNTIF(Chile!AD88:AD89,"en término")</f>
        <v>2</v>
      </c>
      <c r="DU36" s="272">
        <f>COUNTIF(Chile!AD90,"en término")</f>
        <v>1</v>
      </c>
      <c r="DV36" s="272"/>
      <c r="DW36" s="272"/>
      <c r="DX36" s="272">
        <f>COUNTIF(Chile!AD91,"en término")</f>
        <v>0</v>
      </c>
      <c r="DY36" s="272">
        <f>COUNTIF(Chile!AD92,"en término")</f>
        <v>0</v>
      </c>
      <c r="DZ36" s="272"/>
      <c r="EA36" s="272">
        <f>COUNTIF(Chile!AD102,"en término")</f>
        <v>0</v>
      </c>
      <c r="EB36" s="272">
        <f>COUNTIF(Chile!AD104,"en término")+COUNTIF(Chile!AD103,"en término")</f>
        <v>1</v>
      </c>
      <c r="EC36" s="272">
        <f>COUNTIF(Chile!AD105,"en término")</f>
        <v>1</v>
      </c>
      <c r="ED36" s="272">
        <f>+COUNTIF(Chile!AD106:AD109,"en término")</f>
        <v>0</v>
      </c>
      <c r="EE36" s="272">
        <f>COUNTIF(Chile!AD110,"en término")+COUNTIF(Chile!AD111,"en término")</f>
        <v>1</v>
      </c>
      <c r="EF36" s="272"/>
      <c r="EG36" s="272"/>
      <c r="EH36" s="272">
        <f>+COUNTIF(Chile!AD113,"en término")+COUNTIF(Chile!AD114,"en término")+COUNTIF(Chile!AD112,"en término")</f>
        <v>1</v>
      </c>
      <c r="EI36" s="272">
        <f>+COUNTIF(Chile!AD115,"en término")</f>
        <v>0</v>
      </c>
      <c r="EJ36" s="272">
        <f>+COUNTIF(Chile!AD116:AD117,"en término")+COUNTIF(Chile!AD118,"en término")</f>
        <v>2</v>
      </c>
      <c r="EK36" s="272"/>
      <c r="EL36" s="272"/>
      <c r="EM36" s="272"/>
      <c r="EN36" s="272">
        <f>+COUNTIF(Chile!AD128:AD130,"en término")+COUNTIF(Chile!AD131,"en término")</f>
        <v>1</v>
      </c>
      <c r="EO36" s="272">
        <f>+COUNTIF(Chile!AD132,"en término")</f>
        <v>0</v>
      </c>
      <c r="EP36" s="272">
        <f>+COUNTIF(Chile!AD133,"en término")</f>
        <v>0</v>
      </c>
      <c r="EQ36" s="272">
        <f>+COUNTIF(Chile!AD134,"en término")</f>
        <v>0</v>
      </c>
      <c r="ER36" s="272">
        <f>+COUNTIF(Chile!AD135:AD137,"en término")</f>
        <v>2</v>
      </c>
      <c r="ES36" s="272">
        <f>+COUNTIF(Chile!AD138,"en término")</f>
        <v>0</v>
      </c>
      <c r="ET36" s="272"/>
      <c r="EU36" s="272"/>
      <c r="EV36" s="272">
        <f>+COUNTIF(Chile!AD139:AD142,"en término")</f>
        <v>4</v>
      </c>
      <c r="EW36" s="272"/>
      <c r="EX36" s="272">
        <f>+COUNTIF(Chile!AD152,"en término")</f>
        <v>1</v>
      </c>
      <c r="EY36" s="272"/>
      <c r="EZ36" s="272">
        <f>+COUNTIF(Chile!AD153,"en término")</f>
        <v>0</v>
      </c>
      <c r="FA36" s="272">
        <f>+COUNTIF(Chile!AD154,"en término")</f>
        <v>1</v>
      </c>
      <c r="FB36" s="272">
        <f>+COUNTIF(Chile!AD155,"en término")</f>
        <v>0</v>
      </c>
      <c r="FC36" s="272"/>
      <c r="FD36" s="272">
        <f>+COUNTIF(Chile!AD156,"en término")</f>
        <v>0</v>
      </c>
      <c r="FE36" s="272">
        <f>+COUNTIF(Chile!AD157,"en término")</f>
        <v>0</v>
      </c>
      <c r="FF36" s="272">
        <f>+COUNTIF(Chile!AD158:AD160,"en término")</f>
        <v>3</v>
      </c>
      <c r="FG36" s="272">
        <f>+COUNTIF(Chile!AD161:AD162,"en término")</f>
        <v>0</v>
      </c>
      <c r="FH36" s="272"/>
      <c r="FI36" s="272"/>
      <c r="FJ36" s="272"/>
      <c r="FK36" s="272"/>
      <c r="FL36" s="272"/>
      <c r="FM36" s="272"/>
      <c r="FN36" s="272"/>
      <c r="FO36" s="272"/>
      <c r="FP36" s="272">
        <f>+COUNTIF(Chile!AD172,"en término")+COUNTIF(Chile!AD173,"en término")</f>
        <v>2</v>
      </c>
      <c r="FQ36" s="272"/>
      <c r="FR36" s="272"/>
      <c r="FS36" s="272"/>
      <c r="FT36" s="272"/>
      <c r="FU36" s="272"/>
      <c r="FV36" s="272"/>
      <c r="FW36" s="272">
        <f>+COUNTIF(Chile!AD183,"en término")</f>
        <v>0</v>
      </c>
      <c r="FX36" s="272">
        <f>+COUNTIF(Chile!AD184:AD185,"en término")</f>
        <v>0</v>
      </c>
      <c r="FY36" s="272"/>
      <c r="FZ36" s="272"/>
      <c r="GA36" s="272"/>
      <c r="GB36" s="272"/>
      <c r="GC36" s="272"/>
      <c r="GD36" s="272"/>
      <c r="GE36" s="272">
        <f>+COUNTIF(Chile!AD186:AD187,"en término")</f>
        <v>2</v>
      </c>
      <c r="GF36" s="272"/>
      <c r="GG36" s="272"/>
      <c r="GH36" s="272"/>
      <c r="GI36" s="272"/>
      <c r="GJ36" s="272"/>
      <c r="GK36" s="272">
        <f>+COUNTIF(Chile!AD196,"en término")</f>
        <v>1</v>
      </c>
      <c r="GL36" s="272"/>
      <c r="GM36" s="272"/>
      <c r="GN36" s="272"/>
      <c r="GO36" s="272"/>
      <c r="GP36" s="272"/>
      <c r="GQ36" s="272">
        <f>+COUNTIF(Chile!AD197,"en término")</f>
        <v>1</v>
      </c>
      <c r="GR36" s="272"/>
      <c r="GS36" s="272"/>
      <c r="GT36" s="272"/>
      <c r="GU36" s="272">
        <f>+COUNTIF(Chile!AD206,"en término")</f>
        <v>1</v>
      </c>
      <c r="GV36" s="272"/>
      <c r="GW36" s="272"/>
      <c r="GX36" s="272">
        <f>+COUNTIF(Chile!AD207:AD208,"en término")</f>
        <v>2</v>
      </c>
      <c r="GY36" s="272">
        <f>+COUNTIF(Chile!AD209,"en término")+COUNTIF(Chile!AD210,"en término")</f>
        <v>1</v>
      </c>
      <c r="GZ36" s="272"/>
      <c r="HA36" s="272"/>
      <c r="HB36" s="272">
        <f>+COUNTIF(Chile!AD211,"en término")</f>
        <v>0</v>
      </c>
      <c r="HC36" s="272">
        <f>+COUNTIF(Chile!AD221,"en término")</f>
        <v>1</v>
      </c>
      <c r="HD36" s="272">
        <f>+COUNTIF(Chile!AD212,"en término")</f>
        <v>1</v>
      </c>
      <c r="HE36" s="272"/>
      <c r="HF36" s="272">
        <f>+COUNTIF(Chile!AD220,"en término")</f>
        <v>0</v>
      </c>
      <c r="HG36" s="272"/>
      <c r="HH36" s="272"/>
      <c r="HI36" s="272"/>
      <c r="HJ36" s="272"/>
      <c r="HK36" s="272"/>
      <c r="HL36" s="272"/>
      <c r="HM36" s="272"/>
      <c r="HN36" s="272"/>
      <c r="HO36" s="272"/>
      <c r="HP36" s="272"/>
      <c r="HQ36" s="272"/>
      <c r="HR36" s="272"/>
      <c r="HS36" s="272"/>
      <c r="HT36" s="272"/>
      <c r="HU36" s="272"/>
      <c r="HV36" s="272"/>
      <c r="HW36" s="272"/>
      <c r="HX36" s="272"/>
      <c r="HY36" s="272"/>
      <c r="HZ36" s="272"/>
      <c r="IA36" s="272"/>
      <c r="IB36" s="272"/>
      <c r="IC36" s="272"/>
      <c r="ID36" s="272"/>
      <c r="IE36" s="272"/>
      <c r="IF36" s="272"/>
      <c r="IG36" s="272"/>
      <c r="IH36" s="272"/>
      <c r="II36" s="272"/>
      <c r="IJ36" s="272"/>
      <c r="IK36" s="272"/>
      <c r="IL36" s="272"/>
      <c r="IM36" s="272"/>
      <c r="IN36" s="272"/>
      <c r="IO36" s="272"/>
      <c r="IP36" s="272"/>
      <c r="IQ36" s="272"/>
      <c r="IR36" s="272"/>
      <c r="IS36" s="272"/>
      <c r="IT36" s="272"/>
      <c r="IU36" s="272"/>
      <c r="IV36" s="272"/>
      <c r="IW36" s="272"/>
      <c r="IX36" s="272"/>
      <c r="IY36" s="272"/>
      <c r="IZ36" s="272"/>
      <c r="JA36" s="272"/>
      <c r="JB36" s="272"/>
      <c r="JC36" s="272"/>
      <c r="JD36" s="272"/>
      <c r="JE36" s="272"/>
      <c r="JF36" s="274"/>
      <c r="JI36" s="1097"/>
      <c r="JJ36" s="1097"/>
      <c r="JK36" s="1097"/>
      <c r="JL36" s="1097"/>
      <c r="JM36" s="1097">
        <f>+COUNTIF(Chile!AI206,"en término")</f>
        <v>0</v>
      </c>
      <c r="JN36" s="1097"/>
      <c r="JO36" s="1097"/>
      <c r="JP36" s="1097">
        <f>+COUNTIF(Chile!AI207:AI208,"en término")</f>
        <v>2</v>
      </c>
      <c r="JQ36" s="1097">
        <f>+COUNTIF(Chile!AI209:AI210,"en término")</f>
        <v>2</v>
      </c>
      <c r="JR36" s="1097"/>
      <c r="JS36" s="1097"/>
      <c r="JT36" s="1097">
        <f>+COUNTIF(Chile!AI211,"en término")</f>
        <v>1</v>
      </c>
      <c r="JU36" s="1097"/>
      <c r="JV36" s="1097">
        <f>+COUNTIF(Chile!AI212,"en término")</f>
        <v>1</v>
      </c>
      <c r="JW36" s="1097"/>
      <c r="JX36" s="1097"/>
      <c r="JY36" s="1097">
        <f>+COUNTIF(Chile!AI220,"en término")</f>
        <v>0</v>
      </c>
      <c r="JZ36" s="1097"/>
      <c r="KA36" s="1097"/>
      <c r="KB36" s="1097"/>
      <c r="KC36" s="1097"/>
      <c r="KD36" s="1097"/>
      <c r="KE36" s="1097"/>
      <c r="KF36" s="1097"/>
      <c r="KG36" s="1097"/>
      <c r="KH36" s="1097"/>
      <c r="KI36" s="1097"/>
      <c r="KJ36" s="1097"/>
      <c r="KK36" s="1097"/>
      <c r="KL36" s="1097"/>
      <c r="KM36" s="1097"/>
      <c r="KN36" s="1097"/>
      <c r="KO36" s="1097"/>
      <c r="KP36" s="1097"/>
      <c r="KQ36" s="1097"/>
      <c r="KR36" s="1097"/>
      <c r="KS36" s="1097"/>
      <c r="KT36" s="1097"/>
      <c r="KU36" s="1097"/>
      <c r="KV36" s="1097"/>
      <c r="KW36" s="1097"/>
      <c r="KX36" s="1097"/>
      <c r="KY36" s="1097"/>
      <c r="KZ36" s="1097"/>
      <c r="LA36" s="1097"/>
      <c r="LB36" s="1097"/>
      <c r="LC36" s="1097"/>
      <c r="LD36" s="1097"/>
      <c r="LE36" s="1097"/>
      <c r="LF36" s="1097"/>
      <c r="LG36" s="1097"/>
      <c r="LH36" s="1097"/>
      <c r="LI36" s="1097"/>
      <c r="LJ36" s="1097"/>
      <c r="LK36" s="1097"/>
      <c r="LL36" s="1097"/>
      <c r="LM36" s="1097"/>
      <c r="LN36" s="1097"/>
      <c r="LO36" s="1097"/>
      <c r="LP36" s="1097"/>
      <c r="LQ36" s="1097"/>
      <c r="LR36" s="1097"/>
      <c r="LS36" s="1097"/>
      <c r="LT36" s="1097"/>
      <c r="LU36" s="1097"/>
    </row>
    <row r="37" spans="2:333" ht="17.25" thickBot="1" x14ac:dyDescent="0.35">
      <c r="B37" s="1005"/>
      <c r="C37" s="270" t="s">
        <v>6158</v>
      </c>
      <c r="D37" s="275"/>
      <c r="E37" s="275"/>
      <c r="F37" s="275"/>
      <c r="G37" s="275"/>
      <c r="H37" s="275"/>
      <c r="I37" s="275"/>
      <c r="J37" s="290"/>
      <c r="K37" s="275"/>
      <c r="L37" s="275"/>
      <c r="M37" s="275"/>
      <c r="N37" s="275"/>
      <c r="O37" s="275"/>
      <c r="P37" s="275"/>
      <c r="Q37" s="275"/>
      <c r="R37" s="275"/>
      <c r="S37" s="275"/>
      <c r="T37" s="275"/>
      <c r="U37" s="275"/>
      <c r="V37" s="290"/>
      <c r="W37" s="275"/>
      <c r="X37" s="275"/>
      <c r="Y37" s="275"/>
      <c r="Z37" s="275"/>
      <c r="AA37" s="275"/>
      <c r="AB37" s="275"/>
      <c r="AC37" s="275"/>
      <c r="AD37" s="275"/>
      <c r="AE37" s="275"/>
      <c r="AF37" s="275"/>
      <c r="AG37" s="275"/>
      <c r="AH37" s="290"/>
      <c r="AI37" s="275"/>
      <c r="AJ37" s="275"/>
      <c r="AK37" s="275"/>
      <c r="AL37" s="275"/>
      <c r="AM37" s="275"/>
      <c r="AN37" s="275"/>
      <c r="AO37" s="275"/>
      <c r="AP37" s="275"/>
      <c r="AQ37" s="275"/>
      <c r="AR37" s="275"/>
      <c r="AS37" s="275"/>
      <c r="AT37" s="290"/>
      <c r="AU37" s="275"/>
      <c r="AV37" s="275"/>
      <c r="AW37" s="275"/>
      <c r="AX37" s="275"/>
      <c r="AY37" s="275"/>
      <c r="AZ37" s="275"/>
      <c r="BA37" s="275">
        <f>+BA36/BA35</f>
        <v>1</v>
      </c>
      <c r="BB37" s="274"/>
      <c r="BC37" s="274"/>
      <c r="BD37" s="274"/>
      <c r="BE37" s="274"/>
      <c r="BF37" s="274"/>
      <c r="BG37" s="274"/>
      <c r="BH37" s="274"/>
      <c r="BI37" s="274"/>
      <c r="BJ37" s="274"/>
      <c r="BK37" s="274"/>
      <c r="BL37" s="274"/>
      <c r="BM37" s="274"/>
      <c r="BN37" s="274"/>
      <c r="BO37" s="274"/>
      <c r="BP37" s="274"/>
      <c r="BQ37" s="274"/>
      <c r="BR37" s="274"/>
      <c r="BS37" s="274"/>
      <c r="BT37" s="274"/>
      <c r="BU37" s="274"/>
      <c r="BV37" s="274"/>
      <c r="BW37" s="274">
        <f>+BW36/BW35</f>
        <v>1</v>
      </c>
      <c r="BX37" s="274"/>
      <c r="BY37" s="274"/>
      <c r="BZ37" s="274"/>
      <c r="CA37" s="274"/>
      <c r="CB37" s="274"/>
      <c r="CC37" s="274"/>
      <c r="CD37" s="274"/>
      <c r="CE37" s="274"/>
      <c r="CF37" s="274"/>
      <c r="CG37" s="274"/>
      <c r="CH37" s="274"/>
      <c r="CI37" s="274">
        <f>+CI36/CI35</f>
        <v>0</v>
      </c>
      <c r="CJ37" s="274">
        <f>+CJ36/CJ35</f>
        <v>1</v>
      </c>
      <c r="CK37" s="274">
        <f>+CK36/CK35</f>
        <v>1</v>
      </c>
      <c r="CL37" s="274"/>
      <c r="CM37" s="274">
        <f>+CM36/CM35</f>
        <v>1</v>
      </c>
      <c r="CN37" s="274"/>
      <c r="CO37" s="274"/>
      <c r="CP37" s="274"/>
      <c r="CQ37" s="274"/>
      <c r="CR37" s="275">
        <f>+CR36/CR35</f>
        <v>0.66666666666666663</v>
      </c>
      <c r="CS37" s="274"/>
      <c r="CT37" s="274"/>
      <c r="CU37" s="275">
        <f>+CU36/CU35</f>
        <v>0.25</v>
      </c>
      <c r="CV37" s="275">
        <f>+CV36/CV35</f>
        <v>1</v>
      </c>
      <c r="CW37" s="275">
        <f>+CW36/CW35</f>
        <v>0</v>
      </c>
      <c r="CX37" s="274"/>
      <c r="CY37" s="275">
        <f>+CY36/CY35</f>
        <v>0.5</v>
      </c>
      <c r="CZ37" s="274"/>
      <c r="DA37" s="274"/>
      <c r="DB37" s="275">
        <f>+DB36/DB35</f>
        <v>0</v>
      </c>
      <c r="DC37" s="274"/>
      <c r="DD37" s="275">
        <f>+DD36/DD35</f>
        <v>0.5</v>
      </c>
      <c r="DE37" s="274"/>
      <c r="DF37" s="274"/>
      <c r="DG37" s="275">
        <f>+DG36/DG35</f>
        <v>1</v>
      </c>
      <c r="DH37" s="275"/>
      <c r="DI37" s="275">
        <f>+DI36/DI35</f>
        <v>0</v>
      </c>
      <c r="DJ37" s="275">
        <f>+DJ36/DJ35</f>
        <v>0</v>
      </c>
      <c r="DK37" s="275"/>
      <c r="DL37" s="275">
        <f>+DL36/DL35</f>
        <v>1</v>
      </c>
      <c r="DM37" s="275"/>
      <c r="DN37" s="275"/>
      <c r="DO37" s="275">
        <f>+DO36/DO35</f>
        <v>0.5</v>
      </c>
      <c r="DP37" s="275">
        <f>+DP36/DP35</f>
        <v>0</v>
      </c>
      <c r="DQ37" s="275">
        <f>+DQ36/DQ35</f>
        <v>0</v>
      </c>
      <c r="DR37" s="275">
        <f>+DR36/DR35</f>
        <v>1</v>
      </c>
      <c r="DS37" s="275"/>
      <c r="DT37" s="275">
        <f>+DT36/DT35</f>
        <v>1</v>
      </c>
      <c r="DU37" s="275">
        <f>+DU36/DU35</f>
        <v>1</v>
      </c>
      <c r="DV37" s="275"/>
      <c r="DW37" s="275"/>
      <c r="DX37" s="275">
        <f>+DX36/DX35</f>
        <v>0</v>
      </c>
      <c r="DY37" s="275">
        <f>+DY36/DY35</f>
        <v>0</v>
      </c>
      <c r="DZ37" s="275"/>
      <c r="EA37" s="275">
        <f>+EA36/EA35</f>
        <v>0</v>
      </c>
      <c r="EB37" s="275">
        <f>+EB36/EB35</f>
        <v>0.5</v>
      </c>
      <c r="EC37" s="275">
        <f>+EC36/EC35</f>
        <v>1</v>
      </c>
      <c r="ED37" s="275">
        <f>+ED36/ED35</f>
        <v>0</v>
      </c>
      <c r="EE37" s="275">
        <f>+EE36/EE35</f>
        <v>0.5</v>
      </c>
      <c r="EF37" s="275"/>
      <c r="EG37" s="275"/>
      <c r="EH37" s="275">
        <f>+EH36/EH35</f>
        <v>0.33333333333333331</v>
      </c>
      <c r="EI37" s="275">
        <f>+EI36/EI35</f>
        <v>0</v>
      </c>
      <c r="EJ37" s="275">
        <f>+EJ36/EJ35</f>
        <v>0.66666666666666663</v>
      </c>
      <c r="EK37" s="275"/>
      <c r="EL37" s="275"/>
      <c r="EM37" s="275"/>
      <c r="EN37" s="275">
        <f t="shared" ref="EN37:ES37" si="49">+EN36/EN35</f>
        <v>0.25</v>
      </c>
      <c r="EO37" s="275">
        <f t="shared" si="49"/>
        <v>0</v>
      </c>
      <c r="EP37" s="275">
        <f t="shared" si="49"/>
        <v>0</v>
      </c>
      <c r="EQ37" s="275">
        <f t="shared" si="49"/>
        <v>0</v>
      </c>
      <c r="ER37" s="275">
        <f>+ER36/ER35</f>
        <v>0.66666666666666663</v>
      </c>
      <c r="ES37" s="275">
        <f t="shared" si="49"/>
        <v>0</v>
      </c>
      <c r="ET37" s="275"/>
      <c r="EU37" s="275"/>
      <c r="EV37" s="275">
        <f>+EV36/EV35</f>
        <v>1</v>
      </c>
      <c r="EW37" s="275"/>
      <c r="EX37" s="275">
        <f>+EX36/EX35</f>
        <v>1</v>
      </c>
      <c r="EY37" s="275"/>
      <c r="EZ37" s="275">
        <f>+EZ36/EZ35</f>
        <v>0</v>
      </c>
      <c r="FA37" s="275">
        <f>+FA36/FA35</f>
        <v>1</v>
      </c>
      <c r="FB37" s="275">
        <f>+FB36/FB35</f>
        <v>0</v>
      </c>
      <c r="FC37" s="275"/>
      <c r="FD37" s="275">
        <f>+FD36/FD35</f>
        <v>0</v>
      </c>
      <c r="FE37" s="275">
        <f>+FE36/FE35</f>
        <v>0</v>
      </c>
      <c r="FF37" s="275">
        <f>+FF36/FF35</f>
        <v>1</v>
      </c>
      <c r="FG37" s="275">
        <f>+FG36/FG35</f>
        <v>0</v>
      </c>
      <c r="FH37" s="275"/>
      <c r="FI37" s="275"/>
      <c r="FJ37" s="275"/>
      <c r="FK37" s="275"/>
      <c r="FL37" s="275"/>
      <c r="FM37" s="275"/>
      <c r="FN37" s="275"/>
      <c r="FO37" s="275"/>
      <c r="FP37" s="275">
        <f>+FP36/FP35</f>
        <v>1</v>
      </c>
      <c r="FQ37" s="275"/>
      <c r="FR37" s="275"/>
      <c r="FS37" s="275"/>
      <c r="FT37" s="275"/>
      <c r="FU37" s="275"/>
      <c r="FV37" s="275"/>
      <c r="FW37" s="275">
        <f>+FW36/FW35</f>
        <v>0</v>
      </c>
      <c r="FX37" s="275">
        <f>+FX36/FX35</f>
        <v>0</v>
      </c>
      <c r="FY37" s="275"/>
      <c r="FZ37" s="275"/>
      <c r="GA37" s="275"/>
      <c r="GB37" s="275"/>
      <c r="GC37" s="275"/>
      <c r="GD37" s="275"/>
      <c r="GE37" s="275">
        <f>+GE36/GE35</f>
        <v>1</v>
      </c>
      <c r="GF37" s="275"/>
      <c r="GG37" s="275"/>
      <c r="GH37" s="275"/>
      <c r="GI37" s="275"/>
      <c r="GJ37" s="275"/>
      <c r="GK37" s="275">
        <f>+GK36/GK35</f>
        <v>1</v>
      </c>
      <c r="GL37" s="275"/>
      <c r="GM37" s="275"/>
      <c r="GN37" s="275"/>
      <c r="GO37" s="275"/>
      <c r="GP37" s="275"/>
      <c r="GQ37" s="275">
        <f>+GQ36/GQ35</f>
        <v>1</v>
      </c>
      <c r="GR37" s="275"/>
      <c r="GS37" s="275"/>
      <c r="GT37" s="275"/>
      <c r="GU37" s="275">
        <f>+GU36/GU35</f>
        <v>1</v>
      </c>
      <c r="GV37" s="275"/>
      <c r="GW37" s="275"/>
      <c r="GX37" s="275">
        <f>+GX36/GX35</f>
        <v>1</v>
      </c>
      <c r="GY37" s="275">
        <f>+GY36/GY35</f>
        <v>0.5</v>
      </c>
      <c r="GZ37" s="275"/>
      <c r="HA37" s="275"/>
      <c r="HB37" s="275">
        <f>+HB36/HB35</f>
        <v>0</v>
      </c>
      <c r="HC37" s="275">
        <f>+HC36/HC35</f>
        <v>1</v>
      </c>
      <c r="HD37" s="275">
        <f>+HD36/HD35</f>
        <v>1</v>
      </c>
      <c r="HE37" s="275"/>
      <c r="HF37" s="275">
        <f>+HF36/HF35</f>
        <v>0</v>
      </c>
      <c r="HG37" s="275"/>
      <c r="HH37" s="275"/>
      <c r="HI37" s="275"/>
      <c r="HJ37" s="275"/>
      <c r="HK37" s="275"/>
      <c r="HL37" s="275"/>
      <c r="HM37" s="275"/>
      <c r="HN37" s="275"/>
      <c r="HO37" s="275"/>
      <c r="HP37" s="275"/>
      <c r="HQ37" s="275"/>
      <c r="HR37" s="275"/>
      <c r="HS37" s="275"/>
      <c r="HT37" s="275"/>
      <c r="HU37" s="275"/>
      <c r="HV37" s="275"/>
      <c r="HW37" s="275"/>
      <c r="HX37" s="275"/>
      <c r="HY37" s="275"/>
      <c r="HZ37" s="275"/>
      <c r="IA37" s="275"/>
      <c r="IB37" s="275"/>
      <c r="IC37" s="275"/>
      <c r="ID37" s="275"/>
      <c r="IE37" s="275"/>
      <c r="IF37" s="275"/>
      <c r="IG37" s="275"/>
      <c r="IH37" s="275"/>
      <c r="II37" s="275"/>
      <c r="IJ37" s="275"/>
      <c r="IK37" s="275"/>
      <c r="IL37" s="275"/>
      <c r="IM37" s="275"/>
      <c r="IN37" s="275"/>
      <c r="IO37" s="275"/>
      <c r="IP37" s="275"/>
      <c r="IQ37" s="275"/>
      <c r="IR37" s="275"/>
      <c r="IS37" s="275"/>
      <c r="IT37" s="275"/>
      <c r="IU37" s="275"/>
      <c r="IV37" s="275"/>
      <c r="IW37" s="275"/>
      <c r="IX37" s="275"/>
      <c r="IY37" s="275"/>
      <c r="IZ37" s="275"/>
      <c r="JA37" s="275"/>
      <c r="JB37" s="275"/>
      <c r="JC37" s="275"/>
      <c r="JD37" s="275"/>
      <c r="JE37" s="275"/>
      <c r="JF37" s="275"/>
      <c r="JI37" s="1098"/>
      <c r="JJ37" s="1098"/>
      <c r="JK37" s="1098"/>
      <c r="JL37" s="1098"/>
      <c r="JM37" s="1098"/>
      <c r="JN37" s="1098"/>
      <c r="JO37" s="1098"/>
      <c r="JP37" s="1098"/>
      <c r="JQ37" s="1098"/>
      <c r="JR37" s="1098"/>
      <c r="JS37" s="1098"/>
      <c r="JT37" s="1098"/>
      <c r="JU37" s="1098"/>
      <c r="JV37" s="1098"/>
      <c r="JW37" s="1098"/>
      <c r="JX37" s="1098"/>
      <c r="JY37" s="1098"/>
      <c r="JZ37" s="1098"/>
      <c r="KA37" s="1098"/>
      <c r="KB37" s="1098"/>
      <c r="KC37" s="1098"/>
      <c r="KD37" s="1098"/>
      <c r="KE37" s="1098"/>
      <c r="KF37" s="1098"/>
      <c r="KG37" s="1098"/>
      <c r="KH37" s="1098"/>
      <c r="KI37" s="1098"/>
      <c r="KJ37" s="1098"/>
      <c r="KK37" s="1098"/>
      <c r="KL37" s="1098"/>
      <c r="KM37" s="1098"/>
      <c r="KN37" s="1098"/>
      <c r="KO37" s="1098"/>
      <c r="KP37" s="1098"/>
      <c r="KQ37" s="1098"/>
      <c r="KR37" s="1098"/>
      <c r="KS37" s="1098"/>
      <c r="KT37" s="1098"/>
      <c r="KU37" s="1098"/>
      <c r="KV37" s="1098"/>
      <c r="KW37" s="1098"/>
      <c r="KX37" s="1098"/>
      <c r="KY37" s="1098"/>
      <c r="KZ37" s="1098"/>
      <c r="LA37" s="1098"/>
      <c r="LB37" s="1098"/>
      <c r="LC37" s="1098"/>
      <c r="LD37" s="1098"/>
      <c r="LE37" s="1098"/>
      <c r="LF37" s="1098"/>
      <c r="LG37" s="1098"/>
      <c r="LH37" s="1098"/>
      <c r="LI37" s="1098"/>
      <c r="LJ37" s="1098"/>
      <c r="LK37" s="1098"/>
      <c r="LL37" s="1098"/>
      <c r="LM37" s="1098"/>
      <c r="LN37" s="1098"/>
      <c r="LO37" s="1098"/>
      <c r="LP37" s="1098"/>
      <c r="LQ37" s="1098"/>
      <c r="LR37" s="1098"/>
      <c r="LS37" s="1098"/>
      <c r="LT37" s="1098"/>
      <c r="LU37" s="1098"/>
    </row>
    <row r="38" spans="2:333" ht="16.5" x14ac:dyDescent="0.3">
      <c r="B38" s="1006" t="s">
        <v>6160</v>
      </c>
      <c r="C38" s="1007" t="s">
        <v>6156</v>
      </c>
      <c r="D38" s="1008">
        <f>+D2+D5+D8+D11+D14+D17+D20+D23+D26+D29+D32+D35</f>
        <v>6</v>
      </c>
      <c r="E38" s="1008">
        <f t="shared" ref="E38:Z38" si="50">+E2+E5+E8+E11+E14+E17+E20+E23+E26+E29+E32+E35</f>
        <v>7</v>
      </c>
      <c r="F38" s="1008">
        <f t="shared" si="50"/>
        <v>1</v>
      </c>
      <c r="G38" s="1008">
        <f t="shared" si="50"/>
        <v>8</v>
      </c>
      <c r="H38" s="1008">
        <f t="shared" si="50"/>
        <v>5</v>
      </c>
      <c r="I38" s="1008">
        <f t="shared" si="50"/>
        <v>10</v>
      </c>
      <c r="J38" s="1008">
        <f t="shared" si="50"/>
        <v>0</v>
      </c>
      <c r="K38" s="1008">
        <f t="shared" si="50"/>
        <v>7</v>
      </c>
      <c r="L38" s="1008">
        <f t="shared" si="50"/>
        <v>9</v>
      </c>
      <c r="M38" s="1008">
        <f t="shared" si="50"/>
        <v>8</v>
      </c>
      <c r="N38" s="1008">
        <f t="shared" si="50"/>
        <v>10</v>
      </c>
      <c r="O38" s="1008">
        <f t="shared" si="50"/>
        <v>7</v>
      </c>
      <c r="P38" s="1008">
        <f t="shared" si="50"/>
        <v>6</v>
      </c>
      <c r="Q38" s="1008">
        <f t="shared" si="50"/>
        <v>3</v>
      </c>
      <c r="R38" s="1008">
        <f t="shared" si="50"/>
        <v>6</v>
      </c>
      <c r="S38" s="1008">
        <f t="shared" si="50"/>
        <v>6</v>
      </c>
      <c r="T38" s="1008">
        <f t="shared" si="50"/>
        <v>4</v>
      </c>
      <c r="U38" s="1008">
        <f t="shared" si="50"/>
        <v>11</v>
      </c>
      <c r="V38" s="1008">
        <f t="shared" si="50"/>
        <v>0</v>
      </c>
      <c r="W38" s="1008">
        <f t="shared" si="50"/>
        <v>5</v>
      </c>
      <c r="X38" s="1008">
        <f t="shared" si="50"/>
        <v>3</v>
      </c>
      <c r="Y38" s="1008">
        <f t="shared" si="50"/>
        <v>9</v>
      </c>
      <c r="Z38" s="1008">
        <f t="shared" si="50"/>
        <v>13</v>
      </c>
      <c r="AA38" s="1008">
        <f>+AA2+AA5+AA8+AA11+AA14+AA17+AA20+AA23+AA26+AA29+AA32+AA35</f>
        <v>13</v>
      </c>
      <c r="AB38" s="1008">
        <f t="shared" ref="AB38:AX38" si="51">+AB2+AB5+AB8+AB11+AB14+AB17+AB20+AB23+AB26+AB29+AB32+AB35</f>
        <v>10</v>
      </c>
      <c r="AC38" s="1008">
        <f t="shared" si="51"/>
        <v>7</v>
      </c>
      <c r="AD38" s="1008">
        <f t="shared" si="51"/>
        <v>7</v>
      </c>
      <c r="AE38" s="1008">
        <f t="shared" si="51"/>
        <v>12</v>
      </c>
      <c r="AF38" s="1008">
        <f t="shared" si="51"/>
        <v>10</v>
      </c>
      <c r="AG38" s="1008">
        <f t="shared" si="51"/>
        <v>12</v>
      </c>
      <c r="AH38" s="1008">
        <f t="shared" si="51"/>
        <v>0</v>
      </c>
      <c r="AI38" s="1008">
        <f t="shared" si="51"/>
        <v>1</v>
      </c>
      <c r="AJ38" s="1008">
        <f t="shared" si="51"/>
        <v>18</v>
      </c>
      <c r="AK38" s="1008">
        <f t="shared" si="51"/>
        <v>6</v>
      </c>
      <c r="AL38" s="1008">
        <f t="shared" si="51"/>
        <v>6</v>
      </c>
      <c r="AM38" s="1008">
        <f t="shared" si="51"/>
        <v>5</v>
      </c>
      <c r="AN38" s="1008">
        <f t="shared" si="51"/>
        <v>6</v>
      </c>
      <c r="AO38" s="1008">
        <f t="shared" si="51"/>
        <v>13</v>
      </c>
      <c r="AP38" s="1008">
        <f t="shared" si="51"/>
        <v>3</v>
      </c>
      <c r="AQ38" s="1008">
        <f t="shared" si="51"/>
        <v>1</v>
      </c>
      <c r="AR38" s="1008">
        <f t="shared" si="51"/>
        <v>8</v>
      </c>
      <c r="AS38" s="1008">
        <f t="shared" si="51"/>
        <v>1</v>
      </c>
      <c r="AT38" s="1008">
        <f t="shared" si="51"/>
        <v>0</v>
      </c>
      <c r="AU38" s="1008">
        <f t="shared" si="51"/>
        <v>4</v>
      </c>
      <c r="AV38" s="1008">
        <f t="shared" si="51"/>
        <v>0</v>
      </c>
      <c r="AW38" s="1008">
        <f t="shared" si="51"/>
        <v>13</v>
      </c>
      <c r="AX38" s="1008">
        <f t="shared" si="51"/>
        <v>3</v>
      </c>
      <c r="AY38" s="1008">
        <f>+AY2+AY5+AY8+AY11+AY14+AY17+AY20+AY23+AY26+AY29+AY32+AY35</f>
        <v>6</v>
      </c>
      <c r="AZ38" s="1008">
        <f t="shared" ref="AZ38:BU38" si="52">+AZ2+AZ5+AZ8+AZ11+AZ14+AZ17+AZ20+AZ23+AZ26+AZ29+AZ32+AZ35</f>
        <v>5</v>
      </c>
      <c r="BA38" s="1008">
        <f t="shared" si="52"/>
        <v>2</v>
      </c>
      <c r="BB38" s="1008">
        <f t="shared" si="52"/>
        <v>14</v>
      </c>
      <c r="BC38" s="1008">
        <f t="shared" si="52"/>
        <v>5</v>
      </c>
      <c r="BD38" s="1008">
        <f t="shared" si="52"/>
        <v>2</v>
      </c>
      <c r="BE38" s="1008">
        <f t="shared" si="52"/>
        <v>7</v>
      </c>
      <c r="BF38" s="1008">
        <f t="shared" si="52"/>
        <v>5</v>
      </c>
      <c r="BG38" s="1008">
        <f t="shared" si="52"/>
        <v>6</v>
      </c>
      <c r="BH38" s="1008">
        <f t="shared" si="52"/>
        <v>2</v>
      </c>
      <c r="BI38" s="1008">
        <f t="shared" si="52"/>
        <v>5</v>
      </c>
      <c r="BJ38" s="1008">
        <f t="shared" si="52"/>
        <v>2</v>
      </c>
      <c r="BK38" s="1008">
        <f t="shared" si="52"/>
        <v>8</v>
      </c>
      <c r="BL38" s="1008">
        <f t="shared" si="52"/>
        <v>11</v>
      </c>
      <c r="BM38" s="1008">
        <f t="shared" si="52"/>
        <v>1</v>
      </c>
      <c r="BN38" s="1008">
        <f t="shared" si="52"/>
        <v>12</v>
      </c>
      <c r="BO38" s="1008">
        <f t="shared" si="52"/>
        <v>17</v>
      </c>
      <c r="BP38" s="1008">
        <f t="shared" si="52"/>
        <v>1</v>
      </c>
      <c r="BQ38" s="1008">
        <f t="shared" si="52"/>
        <v>17</v>
      </c>
      <c r="BR38" s="1008">
        <f t="shared" si="52"/>
        <v>2</v>
      </c>
      <c r="BS38" s="1008">
        <f t="shared" si="52"/>
        <v>2</v>
      </c>
      <c r="BT38" s="1008">
        <f t="shared" si="52"/>
        <v>7</v>
      </c>
      <c r="BU38" s="1008">
        <f t="shared" si="52"/>
        <v>6</v>
      </c>
      <c r="BV38" s="1008">
        <f>+BV2+BV5+BV8+BV11+BV14+BV17+BV20+BV23+BV26+BV29+BV32+BV35</f>
        <v>12</v>
      </c>
      <c r="BW38" s="1008">
        <f t="shared" ref="BW38:CM38" si="53">+BW2+BW5+BW8+BW11+BW14+BW17+BW20+BW23+BW26+BW29+BW32+BW35</f>
        <v>9</v>
      </c>
      <c r="BX38" s="1008">
        <f t="shared" si="53"/>
        <v>4</v>
      </c>
      <c r="BY38" s="1008">
        <f t="shared" si="53"/>
        <v>9</v>
      </c>
      <c r="BZ38" s="1008">
        <f t="shared" si="53"/>
        <v>4</v>
      </c>
      <c r="CA38" s="1008">
        <f t="shared" si="53"/>
        <v>8</v>
      </c>
      <c r="CB38" s="1008">
        <f t="shared" si="53"/>
        <v>4</v>
      </c>
      <c r="CC38" s="1008">
        <f t="shared" si="53"/>
        <v>5</v>
      </c>
      <c r="CD38" s="1008">
        <f t="shared" si="53"/>
        <v>2</v>
      </c>
      <c r="CE38" s="1008">
        <f t="shared" si="53"/>
        <v>9</v>
      </c>
      <c r="CF38" s="1008">
        <f t="shared" si="53"/>
        <v>7</v>
      </c>
      <c r="CG38" s="1008">
        <f t="shared" si="53"/>
        <v>5</v>
      </c>
      <c r="CH38" s="1008">
        <f t="shared" si="53"/>
        <v>0</v>
      </c>
      <c r="CI38" s="1008">
        <f t="shared" si="53"/>
        <v>14</v>
      </c>
      <c r="CJ38" s="1008">
        <f t="shared" si="53"/>
        <v>10</v>
      </c>
      <c r="CK38" s="1008">
        <f t="shared" si="53"/>
        <v>9</v>
      </c>
      <c r="CL38" s="1008">
        <f t="shared" si="53"/>
        <v>7</v>
      </c>
      <c r="CM38" s="1008">
        <f t="shared" si="53"/>
        <v>12</v>
      </c>
      <c r="CN38" s="1008">
        <f>+CN2+CN5+CN8+CN11+CN14+CN17+CN20+CN23+CN26+CN29+CN32+CN35</f>
        <v>5</v>
      </c>
      <c r="CO38" s="1008">
        <f>+CO2+CO5+CO8+CO11+CO14+CO17+CO20+CO23+CO26+CO29+CO32+CO35</f>
        <v>6</v>
      </c>
      <c r="CP38" s="1008">
        <f t="shared" ref="CP38:CZ38" si="54">+CP2+CP5+CP8+CP11+CP14+CP17+CP20+CP23+CP26+CP29+CP32+CP35</f>
        <v>3</v>
      </c>
      <c r="CQ38" s="1008">
        <f t="shared" si="54"/>
        <v>8</v>
      </c>
      <c r="CR38" s="1008">
        <f t="shared" si="54"/>
        <v>16</v>
      </c>
      <c r="CS38" s="1008">
        <f t="shared" si="54"/>
        <v>9</v>
      </c>
      <c r="CT38" s="1008">
        <f t="shared" si="54"/>
        <v>8</v>
      </c>
      <c r="CU38" s="1008">
        <f t="shared" si="54"/>
        <v>12</v>
      </c>
      <c r="CV38" s="1008">
        <f t="shared" si="54"/>
        <v>11</v>
      </c>
      <c r="CW38" s="1008">
        <f t="shared" si="54"/>
        <v>9</v>
      </c>
      <c r="CX38" s="1008">
        <f t="shared" si="54"/>
        <v>17</v>
      </c>
      <c r="CY38" s="1008">
        <f t="shared" si="54"/>
        <v>17</v>
      </c>
      <c r="CZ38" s="1008">
        <f t="shared" si="54"/>
        <v>10</v>
      </c>
      <c r="DA38" s="1009">
        <f>+DA2+DA5+DA8+DA11+DA14+DA17+DA20+DA23+DA26+DA29+DA32+DA35</f>
        <v>13</v>
      </c>
      <c r="DB38" s="1009">
        <f t="shared" ref="DB38:DI38" si="55">+DB2+DB5+DB8+DB11+DB14+DB17+DB20+DB23+DB26+DB29+DB32+DB35</f>
        <v>2</v>
      </c>
      <c r="DC38" s="1009">
        <f t="shared" si="55"/>
        <v>16</v>
      </c>
      <c r="DD38" s="1009">
        <f t="shared" si="55"/>
        <v>11</v>
      </c>
      <c r="DE38" s="1009">
        <f t="shared" si="55"/>
        <v>12</v>
      </c>
      <c r="DF38" s="1009">
        <f t="shared" si="55"/>
        <v>10</v>
      </c>
      <c r="DG38" s="1009">
        <f t="shared" si="55"/>
        <v>25</v>
      </c>
      <c r="DH38" s="1009">
        <f t="shared" si="55"/>
        <v>16</v>
      </c>
      <c r="DI38" s="1009">
        <f t="shared" si="55"/>
        <v>7</v>
      </c>
      <c r="DJ38" s="1009">
        <f t="shared" ref="DJ38:DL39" si="56">+DJ2+DJ5+DJ8+DJ11+DJ14+DJ17+DJ20+DJ23+DJ26+DJ29+DJ32+DJ35</f>
        <v>5</v>
      </c>
      <c r="DK38" s="1009">
        <f t="shared" si="56"/>
        <v>5</v>
      </c>
      <c r="DL38" s="1009">
        <f t="shared" si="56"/>
        <v>4</v>
      </c>
      <c r="DM38" s="1009">
        <f t="shared" ref="DM38:DO39" si="57">+DM2+DM5+DM8+DM11+DM14+DM17+DM20+DM23+DM26+DM29+DM32+DM35</f>
        <v>10</v>
      </c>
      <c r="DN38" s="1009">
        <f t="shared" si="57"/>
        <v>4</v>
      </c>
      <c r="DO38" s="1009">
        <f t="shared" si="57"/>
        <v>18</v>
      </c>
      <c r="DP38" s="1009">
        <f t="shared" ref="DP38:DU39" si="58">+DP2+DP5+DP8+DP11+DP14+DP17+DP20+DP23+DP26+DP29+DP32+DP35</f>
        <v>12</v>
      </c>
      <c r="DQ38" s="1009">
        <f t="shared" si="58"/>
        <v>13</v>
      </c>
      <c r="DR38" s="1009">
        <f t="shared" si="58"/>
        <v>10</v>
      </c>
      <c r="DS38" s="1009">
        <f t="shared" si="58"/>
        <v>8</v>
      </c>
      <c r="DT38" s="1009">
        <f t="shared" ref="DT38:DZ38" si="59">+DT2+DT5+DT8+DT11+DT14+DT17+DT20+DT23+DT26+DT29+DT32+DT35</f>
        <v>8</v>
      </c>
      <c r="DU38" s="1009">
        <f t="shared" si="59"/>
        <v>14</v>
      </c>
      <c r="DV38" s="1009">
        <f t="shared" si="59"/>
        <v>8</v>
      </c>
      <c r="DW38" s="1009">
        <f t="shared" si="59"/>
        <v>8</v>
      </c>
      <c r="DX38" s="1009">
        <f t="shared" si="59"/>
        <v>17</v>
      </c>
      <c r="DY38" s="1009">
        <f t="shared" si="59"/>
        <v>9</v>
      </c>
      <c r="DZ38" s="1009">
        <f t="shared" si="59"/>
        <v>4</v>
      </c>
      <c r="EA38" s="1009">
        <f t="shared" ref="EA38:EC39" si="60">+EA2+EA5+EA8+EA11+EA14+EA17+EA20+EA23+EA26+EA29+EA32+EA35</f>
        <v>10</v>
      </c>
      <c r="EB38" s="1009">
        <f t="shared" si="60"/>
        <v>12</v>
      </c>
      <c r="EC38" s="1009">
        <f t="shared" si="60"/>
        <v>12</v>
      </c>
      <c r="ED38" s="1009">
        <f t="shared" ref="ED38:EF39" si="61">+ED2+ED5+ED8+ED11+ED14+ED17+ED20+ED23+ED26+ED29+ED32+ED35</f>
        <v>11</v>
      </c>
      <c r="EE38" s="1009">
        <f t="shared" si="61"/>
        <v>7</v>
      </c>
      <c r="EF38" s="1009">
        <f t="shared" si="61"/>
        <v>1</v>
      </c>
      <c r="EG38" s="1009">
        <f>+EG2+EG5+EG8+EG11+EG14+EG17+EG20+EG23+EG26+EG29+EG35+EG32</f>
        <v>14</v>
      </c>
      <c r="EH38" s="1009">
        <f>+EH2+EH5+EH8+EH11+EH14+EH17+EH20+EH23+EH26+EH29+EH35+EI32</f>
        <v>14</v>
      </c>
      <c r="EI38" s="1009">
        <f t="shared" ref="EI38:EN38" si="62">+EI2+EI5+EI8+EI11+EI14+EI17+EI20+EI23+EI26+EI29+EI35+EI32</f>
        <v>1</v>
      </c>
      <c r="EJ38" s="1009">
        <f t="shared" si="62"/>
        <v>12</v>
      </c>
      <c r="EK38" s="1009">
        <f t="shared" si="62"/>
        <v>9</v>
      </c>
      <c r="EL38" s="1009">
        <f t="shared" si="62"/>
        <v>1</v>
      </c>
      <c r="EM38" s="1009">
        <f t="shared" si="62"/>
        <v>9</v>
      </c>
      <c r="EN38" s="1009">
        <f t="shared" si="62"/>
        <v>5</v>
      </c>
      <c r="EO38" s="1009">
        <f>+EO2+EO5+EO8+EO11+EO14+EO17+EO20+EO23+EO26+EO29+EO35+EO32</f>
        <v>7</v>
      </c>
      <c r="EP38" s="1009">
        <f>+EP2+EP5+EP8+EP11+EP14+EP17+EP20+EP23+EP26+EP29+EP35+EP32</f>
        <v>5</v>
      </c>
      <c r="EQ38" s="1009">
        <f>+EQ2+EQ5+EQ8+EQ11+EQ14+EQ17+EQ20+EQ23+EQ26+EQ29+EQ35+EQ32</f>
        <v>10</v>
      </c>
      <c r="ER38" s="1009">
        <f>+ER2+ER5+ER8+ER11+ER14+ER17+ER20+ER23+ER26+ER29+ER35+ER32</f>
        <v>4</v>
      </c>
      <c r="ES38" s="1009">
        <f>+ES2+ES5+ES8+ES11+ES14+ES17+ES20+ES23+ES26+ES29+ES35+ES32</f>
        <v>4</v>
      </c>
      <c r="ET38" s="1009">
        <v>0</v>
      </c>
      <c r="EU38" s="1009">
        <f>+EU2+EU5+EU8+EU11+EU14+EU17+EU20+EU23+EU26+EU29+EU35+EU32</f>
        <v>2</v>
      </c>
      <c r="EV38" s="1009">
        <f>+EV2+EV5+EV8+EV11+EV14+EV17+EV20+EV23+EV26+EV29+EV35+EV32</f>
        <v>8</v>
      </c>
      <c r="EW38" s="1009">
        <f t="shared" ref="EW38:FD38" si="63">+EW2+EW5+EW8+EW11+EW14+EW17+EW20+EW23+EW26+EW29+EW35+EW32</f>
        <v>2</v>
      </c>
      <c r="EX38" s="1009">
        <f t="shared" si="63"/>
        <v>1</v>
      </c>
      <c r="EY38" s="1009">
        <f t="shared" si="63"/>
        <v>3</v>
      </c>
      <c r="EZ38" s="1009">
        <f t="shared" si="63"/>
        <v>5</v>
      </c>
      <c r="FA38" s="1009">
        <f t="shared" si="63"/>
        <v>7</v>
      </c>
      <c r="FB38" s="1009">
        <f t="shared" si="63"/>
        <v>3</v>
      </c>
      <c r="FC38" s="1009">
        <f t="shared" si="63"/>
        <v>8</v>
      </c>
      <c r="FD38" s="1009">
        <f t="shared" si="63"/>
        <v>8</v>
      </c>
      <c r="FE38" s="1009">
        <f>+FE2+FE8+FE11+FE14+FE17+FE20+FE23+FE26+FE29+FE35+FE32+FE5</f>
        <v>4</v>
      </c>
      <c r="FF38" s="1009">
        <f>+FF2+FF5+FF8+FF11+FF14+FF17+FF20+FF23+FF26+FF29+FF35+FF32</f>
        <v>5</v>
      </c>
      <c r="FG38" s="1009">
        <f>+FG2+FG5+FG8+FG11+FG14+FG17+FG20+FG23+FG26+FG29+FG35+FG32</f>
        <v>7</v>
      </c>
      <c r="FH38" s="1009">
        <f>+FH2+FH5+FH8+FH11+FH14+FH17+FH20+FH23+FH26+FH29+FH35+FH32</f>
        <v>1</v>
      </c>
      <c r="FI38" s="1009">
        <f>+FI2+FI5+FI8+FI11+FI14+FI17+FI20+FI23+FI26+FI29+FI35+FI32</f>
        <v>0</v>
      </c>
      <c r="FJ38" s="1009">
        <f t="shared" ref="FJ38:FU38" si="64">+FJ2+FJ5+FJ8+FJ11+FJ14+FJ17+FJ20+FJ23+FJ26+FJ29+FJ35+FJ32</f>
        <v>3</v>
      </c>
      <c r="FK38" s="1009">
        <f t="shared" si="64"/>
        <v>2</v>
      </c>
      <c r="FL38" s="1009">
        <f t="shared" si="64"/>
        <v>5</v>
      </c>
      <c r="FM38" s="1009">
        <f t="shared" si="64"/>
        <v>2</v>
      </c>
      <c r="FN38" s="1009">
        <f t="shared" si="64"/>
        <v>5</v>
      </c>
      <c r="FO38" s="1009">
        <f t="shared" si="64"/>
        <v>1</v>
      </c>
      <c r="FP38" s="1009">
        <f t="shared" si="64"/>
        <v>4</v>
      </c>
      <c r="FQ38" s="1009">
        <f t="shared" si="64"/>
        <v>1</v>
      </c>
      <c r="FR38" s="1009">
        <f t="shared" si="64"/>
        <v>4</v>
      </c>
      <c r="FS38" s="1009">
        <f t="shared" si="64"/>
        <v>2</v>
      </c>
      <c r="FT38" s="1009">
        <f t="shared" si="64"/>
        <v>1</v>
      </c>
      <c r="FU38" s="1009">
        <f t="shared" si="64"/>
        <v>2</v>
      </c>
      <c r="FV38" s="1009">
        <v>0</v>
      </c>
      <c r="FW38" s="1009">
        <f>+FW2+FW5+FW8+FW11+FW14+FW17+FW20+FW23+FW26+FW29+FW35+FW32</f>
        <v>2</v>
      </c>
      <c r="FX38" s="1009">
        <f>+FX2+FX5+FX8+FX11+FX14+FX17+FX20+FX23+FX26+FX29+FX35+FX32</f>
        <v>6</v>
      </c>
      <c r="FY38" s="1009">
        <f>+FY2+FY5+FY8+FY11+FY14+FY17+FY20+FY23+FY26+FY29+FY35+FY32</f>
        <v>4</v>
      </c>
      <c r="FZ38" s="1009">
        <f>+FZ2+FZ5+FZ8+FZ11+FZ14+FZ17+FZ20+FZ23+FZ26+FZ29+FZ35+FZ32</f>
        <v>4</v>
      </c>
      <c r="GA38" s="1009">
        <v>0</v>
      </c>
      <c r="GB38" s="1009">
        <v>0</v>
      </c>
      <c r="GC38" s="1009">
        <f t="shared" ref="GC38:GH38" si="65">+GC2+GC5+GC8+GC11+GC14+GC17+GC20+GC23+GC26+GC29+GC35+GC32</f>
        <v>4</v>
      </c>
      <c r="GD38" s="1009">
        <f t="shared" si="65"/>
        <v>6</v>
      </c>
      <c r="GE38" s="1009">
        <f t="shared" si="65"/>
        <v>6</v>
      </c>
      <c r="GF38" s="1009">
        <f t="shared" si="65"/>
        <v>2</v>
      </c>
      <c r="GG38" s="1009">
        <f t="shared" si="65"/>
        <v>3</v>
      </c>
      <c r="GH38" s="1009">
        <f t="shared" si="65"/>
        <v>1</v>
      </c>
      <c r="GI38" s="1009">
        <f t="shared" ref="GI38:GN38" si="66">+GI2+GI5+GI8+GI11+GI14+GI17+GI20+GI23+GI26+GI29+GI35+GI32</f>
        <v>5</v>
      </c>
      <c r="GJ38" s="1009">
        <f t="shared" si="66"/>
        <v>6</v>
      </c>
      <c r="GK38" s="1009">
        <f t="shared" si="66"/>
        <v>5</v>
      </c>
      <c r="GL38" s="1009">
        <f t="shared" si="66"/>
        <v>2</v>
      </c>
      <c r="GM38" s="1009">
        <f t="shared" si="66"/>
        <v>6</v>
      </c>
      <c r="GN38" s="1009">
        <f t="shared" si="66"/>
        <v>4</v>
      </c>
      <c r="GO38" s="1009">
        <f t="shared" ref="GO38:GU38" si="67">+GO2+GO5+GO8+GO11+GO14+GO17+GO20+GO23+GO26+GO29+GO35+GO32</f>
        <v>4</v>
      </c>
      <c r="GP38" s="1009">
        <f t="shared" si="67"/>
        <v>10</v>
      </c>
      <c r="GQ38" s="1009">
        <f t="shared" si="67"/>
        <v>7</v>
      </c>
      <c r="GR38" s="1009">
        <f t="shared" si="67"/>
        <v>10</v>
      </c>
      <c r="GS38" s="1009">
        <f t="shared" si="67"/>
        <v>3</v>
      </c>
      <c r="GT38" s="1009">
        <f t="shared" si="67"/>
        <v>6</v>
      </c>
      <c r="GU38" s="1009">
        <f t="shared" si="67"/>
        <v>6</v>
      </c>
      <c r="GV38" s="1009">
        <f t="shared" ref="GV38:HB38" si="68">+GV2+GV5+GV8+GV11+GV14+GV17+GV20+GV23+GV26+GV29+GV35+GV32</f>
        <v>4</v>
      </c>
      <c r="GW38" s="1009">
        <f t="shared" si="68"/>
        <v>6</v>
      </c>
      <c r="GX38" s="1009">
        <f t="shared" si="68"/>
        <v>14</v>
      </c>
      <c r="GY38" s="1009">
        <f t="shared" si="68"/>
        <v>10</v>
      </c>
      <c r="GZ38" s="1009">
        <f t="shared" si="68"/>
        <v>12</v>
      </c>
      <c r="HA38" s="1009">
        <f t="shared" si="68"/>
        <v>2</v>
      </c>
      <c r="HB38" s="1009">
        <f t="shared" si="68"/>
        <v>9</v>
      </c>
      <c r="HC38" s="1009">
        <f>+HC2+HC5+HC8+HC11+HC14+HC17+HC20+HC23+HC26+HC29+HC35+HC32</f>
        <v>9</v>
      </c>
      <c r="HD38" s="1009">
        <f t="shared" ref="HD38:HJ38" si="69">+HD2+HD5+HD8+HD11+HD14+HD17+HD20+HD23+HD26+HD29+HD35+HD32</f>
        <v>13</v>
      </c>
      <c r="HE38" s="1009">
        <f t="shared" si="69"/>
        <v>5</v>
      </c>
      <c r="HF38" s="1009">
        <f t="shared" si="69"/>
        <v>9</v>
      </c>
      <c r="HG38" s="1009">
        <f t="shared" si="69"/>
        <v>4</v>
      </c>
      <c r="HH38" s="1009">
        <f t="shared" si="69"/>
        <v>2</v>
      </c>
      <c r="HI38" s="1009">
        <f t="shared" si="69"/>
        <v>8</v>
      </c>
      <c r="HJ38" s="1009">
        <f t="shared" si="69"/>
        <v>7</v>
      </c>
      <c r="HK38" s="1009">
        <f t="shared" ref="HK38:HP38" si="70">+HK2+HK5+HK8+HK11+HK14+HK17+HK20+HK23+HK26+HK29+HK35+HK32</f>
        <v>6</v>
      </c>
      <c r="HL38" s="1009">
        <f t="shared" si="70"/>
        <v>8</v>
      </c>
      <c r="HM38" s="1009">
        <f t="shared" si="70"/>
        <v>1</v>
      </c>
      <c r="HN38" s="1009">
        <f t="shared" si="70"/>
        <v>12</v>
      </c>
      <c r="HO38" s="1009">
        <f t="shared" si="70"/>
        <v>11</v>
      </c>
      <c r="HP38" s="1009">
        <f t="shared" si="70"/>
        <v>6</v>
      </c>
      <c r="HQ38" s="1009">
        <f t="shared" ref="HQ38:HW38" si="71">+HQ2+HQ5+HQ8+HQ11+HQ14+HQ17+HQ20+HQ23+HQ26+HQ29+HQ35+HQ32</f>
        <v>5</v>
      </c>
      <c r="HR38" s="1009">
        <f t="shared" si="71"/>
        <v>3</v>
      </c>
      <c r="HS38" s="1009">
        <f t="shared" si="71"/>
        <v>9</v>
      </c>
      <c r="HT38" s="1009">
        <f t="shared" si="71"/>
        <v>11</v>
      </c>
      <c r="HU38" s="1009">
        <f t="shared" si="71"/>
        <v>1</v>
      </c>
      <c r="HV38" s="1009">
        <f t="shared" si="71"/>
        <v>7</v>
      </c>
      <c r="HW38" s="1009">
        <f t="shared" si="71"/>
        <v>22</v>
      </c>
      <c r="HX38" s="1009">
        <f t="shared" ref="HX38:HZ38" si="72">+HX2+HX5+HX8+HX11+HX14+HX17+HX20+HX23+HX26+HX29+HX35+HX32</f>
        <v>8</v>
      </c>
      <c r="HY38" s="1009">
        <f t="shared" si="72"/>
        <v>6</v>
      </c>
      <c r="HZ38" s="1009">
        <f t="shared" si="72"/>
        <v>4</v>
      </c>
      <c r="IA38" s="1009">
        <f t="shared" ref="IA38:IB38" si="73">+IA2+IA5+IA8+IA11+IA14+IA17+IA20+IA23+IA26+IA29+IA35+IA32</f>
        <v>7</v>
      </c>
      <c r="IB38" s="1009">
        <f t="shared" si="73"/>
        <v>4</v>
      </c>
      <c r="IC38" s="1009">
        <f t="shared" ref="IC38:IH38" si="74">+IC2+IC5+IC8+IC11+IC14+IC17+IC20+IC23+IC26+IC29+IC35+IC32</f>
        <v>8</v>
      </c>
      <c r="ID38" s="1009">
        <f t="shared" si="74"/>
        <v>4</v>
      </c>
      <c r="IE38" s="1009">
        <f t="shared" si="74"/>
        <v>10</v>
      </c>
      <c r="IF38" s="1009">
        <f t="shared" si="74"/>
        <v>6</v>
      </c>
      <c r="IG38" s="1009">
        <f t="shared" si="74"/>
        <v>9</v>
      </c>
      <c r="IH38" s="1009">
        <f t="shared" si="74"/>
        <v>5</v>
      </c>
      <c r="II38" s="1009">
        <f t="shared" ref="II38" si="75">+II2+II5+II8+II11+II14+II17+II20+II23+II26+II29+II35+II32</f>
        <v>8</v>
      </c>
      <c r="IJ38" s="1009">
        <f t="shared" ref="IJ38:IO38" si="76">+IJ2+IJ5+IJ8+IJ11+IJ14+IJ17+IJ20+IJ23+IJ26+IJ29+IJ35+IJ32</f>
        <v>3</v>
      </c>
      <c r="IK38" s="1009">
        <f t="shared" si="76"/>
        <v>1</v>
      </c>
      <c r="IL38" s="1009">
        <f t="shared" si="76"/>
        <v>2</v>
      </c>
      <c r="IM38" s="1009">
        <f t="shared" si="76"/>
        <v>4</v>
      </c>
      <c r="IN38" s="1009">
        <f t="shared" si="76"/>
        <v>1</v>
      </c>
      <c r="IO38" s="1009">
        <f t="shared" si="76"/>
        <v>2</v>
      </c>
      <c r="IP38" s="1009">
        <f t="shared" ref="IP38:IQ38" si="77">+IP2+IP5+IP8+IP11+IP14+IP17+IP20+IP23+IP26+IP29+IP35+IP32</f>
        <v>1</v>
      </c>
      <c r="IQ38" s="1009">
        <f t="shared" si="77"/>
        <v>9</v>
      </c>
      <c r="IR38" s="1009">
        <f t="shared" ref="IR38:IS38" si="78">+IR2+IR5+IR8+IR11+IR14+IR17+IR20+IR23+IR26+IR29+IR35+IR32</f>
        <v>5</v>
      </c>
      <c r="IS38" s="1009">
        <f t="shared" si="78"/>
        <v>4</v>
      </c>
      <c r="IT38" s="1009">
        <f t="shared" ref="IT38:IY38" si="79">+IT2+IT5+IT8+IT11+IT14+IT17+IT20+IT23+IT26+IT29+IT35+IT32</f>
        <v>11</v>
      </c>
      <c r="IU38" s="1009">
        <f t="shared" si="79"/>
        <v>5</v>
      </c>
      <c r="IV38" s="1009">
        <f t="shared" si="79"/>
        <v>5</v>
      </c>
      <c r="IW38" s="1009">
        <f t="shared" si="79"/>
        <v>3</v>
      </c>
      <c r="IX38" s="1009">
        <f t="shared" si="79"/>
        <v>7</v>
      </c>
      <c r="IY38" s="1009">
        <f t="shared" si="79"/>
        <v>4</v>
      </c>
      <c r="IZ38" s="1009">
        <f t="shared" ref="IZ38:JA38" si="80">+IZ2+IZ5+IZ8+IZ11+IZ14+IZ17+IZ20+IZ23+IZ26+IZ29+IZ35+IZ32</f>
        <v>2</v>
      </c>
      <c r="JA38" s="1009">
        <f t="shared" si="80"/>
        <v>3</v>
      </c>
      <c r="JB38" s="1009">
        <f t="shared" ref="JB38:JD38" si="81">+JB2+JB5+JB8+JB11+JB14+JB17+JB20+JB23+JB26+JB29+JB35+JB32</f>
        <v>1</v>
      </c>
      <c r="JC38" s="1009">
        <f t="shared" si="81"/>
        <v>3</v>
      </c>
      <c r="JD38" s="1009">
        <f t="shared" si="81"/>
        <v>3</v>
      </c>
      <c r="JE38" s="1009">
        <f t="shared" ref="JE38" si="82">+JE2+JE5+JE8+JE11+JE14+JE17+JE20+JE23+JE26+JE29+JE35+JE32</f>
        <v>2</v>
      </c>
      <c r="JF38" s="1010">
        <f>SUM(D38:JE38)</f>
        <v>1710</v>
      </c>
      <c r="JI38" s="1104">
        <f t="shared" ref="JI38:JP38" si="83">+JI2+JI5+JI8+JI11+JI14+JI17+JI20+JI23+JI26+JI29+JI32+JI35</f>
        <v>10</v>
      </c>
      <c r="JJ38" s="1104">
        <f t="shared" si="83"/>
        <v>6</v>
      </c>
      <c r="JK38" s="1104">
        <f t="shared" si="83"/>
        <v>11</v>
      </c>
      <c r="JL38" s="1104">
        <f t="shared" si="83"/>
        <v>2</v>
      </c>
      <c r="JM38" s="1104">
        <f t="shared" si="83"/>
        <v>3</v>
      </c>
      <c r="JN38" s="1104">
        <f t="shared" si="83"/>
        <v>12</v>
      </c>
      <c r="JO38" s="1104">
        <f t="shared" si="83"/>
        <v>3</v>
      </c>
      <c r="JP38" s="1104">
        <f t="shared" si="83"/>
        <v>2</v>
      </c>
      <c r="JQ38" s="1104">
        <f t="shared" ref="JQ38:JX38" si="84">+JQ2+JQ5+JQ8+JQ11+JQ14+JQ17+JQ20+JQ23+JQ26+JQ29+JQ32+JQ35</f>
        <v>8</v>
      </c>
      <c r="JR38" s="1104">
        <f t="shared" si="84"/>
        <v>5</v>
      </c>
      <c r="JS38" s="1104">
        <f t="shared" si="84"/>
        <v>5</v>
      </c>
      <c r="JT38" s="1104">
        <f t="shared" si="84"/>
        <v>7</v>
      </c>
      <c r="JU38" s="1104">
        <f t="shared" si="84"/>
        <v>8</v>
      </c>
      <c r="JV38" s="1104">
        <f t="shared" si="84"/>
        <v>15</v>
      </c>
      <c r="JW38" s="1104">
        <f t="shared" si="84"/>
        <v>5</v>
      </c>
      <c r="JX38" s="1104">
        <f t="shared" si="84"/>
        <v>6</v>
      </c>
      <c r="JY38" s="1104">
        <f>+JY2+JY5+JY8+JY11+JY14+JY17+JY20+JY23+JY26+JY29+JY32+JY35</f>
        <v>7</v>
      </c>
      <c r="JZ38" s="1104">
        <f t="shared" ref="JZ38:KF38" si="85">+JZ2+JZ5+JZ8+JZ11+JZ14+JZ17+JZ20+JZ23+JZ26+JZ29+JZ32+JZ35</f>
        <v>2</v>
      </c>
      <c r="KA38" s="1104">
        <f t="shared" si="85"/>
        <v>0</v>
      </c>
      <c r="KB38" s="1104">
        <f t="shared" si="85"/>
        <v>12</v>
      </c>
      <c r="KC38" s="1104">
        <f t="shared" si="85"/>
        <v>9</v>
      </c>
      <c r="KD38" s="1104">
        <f t="shared" si="85"/>
        <v>2</v>
      </c>
      <c r="KE38" s="1104">
        <f t="shared" si="85"/>
        <v>6</v>
      </c>
      <c r="KF38" s="1104">
        <f t="shared" si="85"/>
        <v>9</v>
      </c>
      <c r="KG38" s="1104">
        <f t="shared" ref="KG38:KP38" si="86">+KG2+KG5+KG8+KG11+KG14+KG17+KG20+KG23+KG26+KG29+KG32+KG35</f>
        <v>13</v>
      </c>
      <c r="KH38" s="1104">
        <f t="shared" si="86"/>
        <v>2</v>
      </c>
      <c r="KI38" s="1104">
        <f t="shared" si="86"/>
        <v>8</v>
      </c>
      <c r="KJ38" s="1104">
        <f t="shared" si="86"/>
        <v>2</v>
      </c>
      <c r="KK38" s="1104">
        <f t="shared" si="86"/>
        <v>14</v>
      </c>
      <c r="KL38" s="1104">
        <f t="shared" si="86"/>
        <v>7</v>
      </c>
      <c r="KM38" s="1104">
        <f t="shared" si="86"/>
        <v>7</v>
      </c>
      <c r="KN38" s="1104">
        <f t="shared" si="86"/>
        <v>5</v>
      </c>
      <c r="KO38" s="1104">
        <f t="shared" si="86"/>
        <v>7</v>
      </c>
      <c r="KP38" s="1104">
        <f t="shared" si="86"/>
        <v>22</v>
      </c>
      <c r="KQ38" s="1104">
        <f t="shared" ref="KQ38:KT38" si="87">+KQ2+KQ5+KQ8+KQ11+KQ14+KQ17+KQ20+KQ23+KQ26+KQ29+KQ32+KQ35</f>
        <v>2</v>
      </c>
      <c r="KR38" s="1104">
        <f t="shared" si="87"/>
        <v>7</v>
      </c>
      <c r="KS38" s="1104">
        <f t="shared" si="87"/>
        <v>9</v>
      </c>
      <c r="KT38" s="1104">
        <f t="shared" si="87"/>
        <v>2</v>
      </c>
      <c r="KU38" s="1104">
        <f t="shared" ref="KU38:KW38" si="88">+KU2+KU5+KU8+KU11+KU14+KU17+KU20+KU23+KU26+KU29+KU32+KU35</f>
        <v>6</v>
      </c>
      <c r="KV38" s="1104">
        <f t="shared" si="88"/>
        <v>11</v>
      </c>
      <c r="KW38" s="1104">
        <f t="shared" si="88"/>
        <v>10</v>
      </c>
      <c r="KX38" s="1104">
        <f t="shared" ref="KX38" si="89">+KX2+KX5+KX8+KX11+KX14+KX17+KX20+KX23+KX26+KX29+KX32+KX35</f>
        <v>0</v>
      </c>
      <c r="KY38" s="1104">
        <f>+KY2+KY5+KY8+KY11+KY14+KY17+KY20+KY23+KY26+KY29+KY32+KY35</f>
        <v>6</v>
      </c>
      <c r="KZ38" s="1104">
        <f>+KZ2+KZ5+KZ8+KZ11+KZ14+KZ17+KZ20+KZ23+KZ26+KZ29+KZ32+KZ35</f>
        <v>9</v>
      </c>
      <c r="LA38" s="1104">
        <f>+LA2+LA5+LA8+LA11+LA14+LA17+LA20+LA23+LA26+LA29+LA32+LA35</f>
        <v>3</v>
      </c>
      <c r="LB38" s="1104">
        <f>+LB2+LB5+LB8+LB11+LB14+LB17+LB20+LB23+LB26+LB29+LB32+LB35</f>
        <v>8</v>
      </c>
      <c r="LC38" s="1104">
        <f t="shared" ref="LC38:LD38" si="90">+LC2+LC5+LC8+LC11+LC14+LC17+LC20+LC23+LC26+LC29+LC32+LC35</f>
        <v>2</v>
      </c>
      <c r="LD38" s="1104">
        <f t="shared" si="90"/>
        <v>2</v>
      </c>
      <c r="LE38" s="1104">
        <f t="shared" ref="LE38:LG38" si="91">+LE2+LE5+LE8+LE11+LE14+LE17+LE20+LE23+LE26+LE29+LE32+LE35</f>
        <v>2</v>
      </c>
      <c r="LF38" s="1104">
        <f t="shared" si="91"/>
        <v>1</v>
      </c>
      <c r="LG38" s="1104">
        <f t="shared" si="91"/>
        <v>1</v>
      </c>
      <c r="LH38" s="1104">
        <f t="shared" ref="LH38:LI38" si="92">+LH2+LH5+LH8+LH11+LH14+LH17+LH20+LH23+LH26+LH29+LH32+LH35</f>
        <v>1</v>
      </c>
      <c r="LI38" s="1104">
        <f t="shared" si="92"/>
        <v>1</v>
      </c>
      <c r="LJ38" s="1104">
        <f t="shared" ref="LJ38:LK38" si="93">+LJ2+LJ5+LJ8+LJ11+LJ14+LJ17+LJ20+LJ23+LJ26+LJ29+LJ32+LJ35</f>
        <v>11</v>
      </c>
      <c r="LK38" s="1104">
        <f t="shared" si="93"/>
        <v>5</v>
      </c>
      <c r="LL38" s="1104">
        <f t="shared" ref="LL38:LM38" si="94">+LL2+LL5+LL8+LL11+LL14+LL17+LL20+LL23+LL26+LL29+LL32+LL35</f>
        <v>5</v>
      </c>
      <c r="LM38" s="1104">
        <f t="shared" si="94"/>
        <v>13</v>
      </c>
      <c r="LN38" s="1104">
        <f t="shared" ref="LN38:LP39" si="95">+LN2+LN5+LN8+LN11+LN14+LN17+LN20+LN23+LN26+LN29+LN32+LN35</f>
        <v>1</v>
      </c>
      <c r="LO38" s="1104">
        <f t="shared" si="95"/>
        <v>2</v>
      </c>
      <c r="LP38" s="1104">
        <f t="shared" si="95"/>
        <v>6</v>
      </c>
      <c r="LQ38" s="1104">
        <f t="shared" ref="LQ38:LU38" si="96">+LQ2+LQ5+LQ8+LQ11+LQ14+LQ17+LQ20+LQ23+LQ26+LQ29+LQ32+LQ35</f>
        <v>9</v>
      </c>
      <c r="LR38" s="1104">
        <f t="shared" si="96"/>
        <v>4</v>
      </c>
      <c r="LS38" s="1104">
        <f t="shared" si="96"/>
        <v>2</v>
      </c>
      <c r="LT38" s="1104">
        <f t="shared" si="96"/>
        <v>0</v>
      </c>
      <c r="LU38" s="1104">
        <f t="shared" si="96"/>
        <v>1</v>
      </c>
    </row>
    <row r="39" spans="2:333" ht="16.5" x14ac:dyDescent="0.3">
      <c r="B39" s="1006"/>
      <c r="C39" s="1006" t="s">
        <v>6157</v>
      </c>
      <c r="D39" s="1011">
        <f>+D3+D6+D9+D12+D15+D18+D21+D24+D27+D30+D33+D36</f>
        <v>3</v>
      </c>
      <c r="E39" s="1011">
        <f t="shared" ref="E39:Z39" si="97">+E3+E6+E9+E12+E15+E18+E21+E24+E27+E30+E33+E36</f>
        <v>5</v>
      </c>
      <c r="F39" s="1011">
        <f t="shared" si="97"/>
        <v>1</v>
      </c>
      <c r="G39" s="1011">
        <f t="shared" si="97"/>
        <v>8</v>
      </c>
      <c r="H39" s="1011">
        <f t="shared" si="97"/>
        <v>4</v>
      </c>
      <c r="I39" s="1011">
        <f t="shared" si="97"/>
        <v>10</v>
      </c>
      <c r="J39" s="1011"/>
      <c r="K39" s="1011">
        <f t="shared" si="97"/>
        <v>5</v>
      </c>
      <c r="L39" s="1011">
        <f t="shared" si="97"/>
        <v>8</v>
      </c>
      <c r="M39" s="1011">
        <f t="shared" si="97"/>
        <v>7</v>
      </c>
      <c r="N39" s="1011">
        <f t="shared" si="97"/>
        <v>9</v>
      </c>
      <c r="O39" s="1011">
        <f t="shared" si="97"/>
        <v>4</v>
      </c>
      <c r="P39" s="1011">
        <f t="shared" si="97"/>
        <v>4</v>
      </c>
      <c r="Q39" s="1011">
        <f t="shared" si="97"/>
        <v>3</v>
      </c>
      <c r="R39" s="1011">
        <f t="shared" si="97"/>
        <v>6</v>
      </c>
      <c r="S39" s="1011">
        <f t="shared" si="97"/>
        <v>4</v>
      </c>
      <c r="T39" s="1011">
        <f t="shared" si="97"/>
        <v>3</v>
      </c>
      <c r="U39" s="1011">
        <f t="shared" si="97"/>
        <v>6</v>
      </c>
      <c r="V39" s="1011"/>
      <c r="W39" s="1011">
        <f t="shared" si="97"/>
        <v>3</v>
      </c>
      <c r="X39" s="1011">
        <f t="shared" si="97"/>
        <v>3</v>
      </c>
      <c r="Y39" s="1011">
        <f t="shared" si="97"/>
        <v>7</v>
      </c>
      <c r="Z39" s="1011">
        <f t="shared" si="97"/>
        <v>6</v>
      </c>
      <c r="AA39" s="1011">
        <f>+AA3+AA6+AA9+AA12+AA15+AA18+AA21+AA24+AA27+AA30+AA33+AA36</f>
        <v>10</v>
      </c>
      <c r="AB39" s="1011">
        <f t="shared" ref="AB39:AW39" si="98">+AB3+AB6+AB9+AB12+AB15+AB18+AB21+AB24+AB27+AB30+AB33+AB36</f>
        <v>8</v>
      </c>
      <c r="AC39" s="1011">
        <f t="shared" si="98"/>
        <v>5</v>
      </c>
      <c r="AD39" s="1011">
        <f t="shared" si="98"/>
        <v>7</v>
      </c>
      <c r="AE39" s="1011">
        <f t="shared" si="98"/>
        <v>11</v>
      </c>
      <c r="AF39" s="1011">
        <f t="shared" si="98"/>
        <v>6</v>
      </c>
      <c r="AG39" s="1011">
        <f t="shared" si="98"/>
        <v>8</v>
      </c>
      <c r="AH39" s="1011"/>
      <c r="AI39" s="1011">
        <f t="shared" si="98"/>
        <v>0</v>
      </c>
      <c r="AJ39" s="1011">
        <f t="shared" si="98"/>
        <v>13</v>
      </c>
      <c r="AK39" s="1011">
        <f t="shared" si="98"/>
        <v>6</v>
      </c>
      <c r="AL39" s="1011">
        <f t="shared" si="98"/>
        <v>5</v>
      </c>
      <c r="AM39" s="1011">
        <f t="shared" si="98"/>
        <v>4</v>
      </c>
      <c r="AN39" s="1011">
        <f t="shared" si="98"/>
        <v>5</v>
      </c>
      <c r="AO39" s="1011">
        <f t="shared" si="98"/>
        <v>4</v>
      </c>
      <c r="AP39" s="1011">
        <f t="shared" si="98"/>
        <v>2</v>
      </c>
      <c r="AQ39" s="1011">
        <f t="shared" si="98"/>
        <v>1</v>
      </c>
      <c r="AR39" s="1011">
        <f t="shared" si="98"/>
        <v>6</v>
      </c>
      <c r="AS39" s="1011">
        <f t="shared" si="98"/>
        <v>1</v>
      </c>
      <c r="AT39" s="1011"/>
      <c r="AU39" s="1011">
        <f t="shared" si="98"/>
        <v>2</v>
      </c>
      <c r="AV39" s="1011"/>
      <c r="AW39" s="1011">
        <f t="shared" si="98"/>
        <v>6</v>
      </c>
      <c r="AX39" s="1011">
        <f>+AX3+AX6+AX9+AX12+AX15+AX18+AX21+AX24+AX27+AX30+AX33+AX36</f>
        <v>1</v>
      </c>
      <c r="AY39" s="1011">
        <f>+AY3+AY6+AY9+AY12+AY15+AY18+AY21+AY24+AY27+AY30+AY33+AY36</f>
        <v>2</v>
      </c>
      <c r="AZ39" s="1011">
        <f t="shared" ref="AZ39:BT39" si="99">+AZ3+AZ6+AZ9+AZ12+AZ15+AZ18+AZ21+AZ24+AZ27+AZ30+AZ33+AZ36</f>
        <v>4</v>
      </c>
      <c r="BA39" s="1011">
        <f t="shared" si="99"/>
        <v>1</v>
      </c>
      <c r="BB39" s="1011">
        <f t="shared" si="99"/>
        <v>4</v>
      </c>
      <c r="BC39" s="1011">
        <f t="shared" si="99"/>
        <v>1</v>
      </c>
      <c r="BD39" s="1011">
        <f t="shared" si="99"/>
        <v>0</v>
      </c>
      <c r="BE39" s="1011">
        <f t="shared" si="99"/>
        <v>3</v>
      </c>
      <c r="BF39" s="1011">
        <f t="shared" si="99"/>
        <v>1</v>
      </c>
      <c r="BG39" s="1011">
        <f t="shared" si="99"/>
        <v>1</v>
      </c>
      <c r="BH39" s="1011">
        <f t="shared" si="99"/>
        <v>1</v>
      </c>
      <c r="BI39" s="1011">
        <f t="shared" si="99"/>
        <v>0</v>
      </c>
      <c r="BJ39" s="1011">
        <f t="shared" si="99"/>
        <v>0</v>
      </c>
      <c r="BK39" s="1011">
        <f t="shared" si="99"/>
        <v>1</v>
      </c>
      <c r="BL39" s="1011">
        <f t="shared" si="99"/>
        <v>7</v>
      </c>
      <c r="BM39" s="1011">
        <f t="shared" si="99"/>
        <v>1</v>
      </c>
      <c r="BN39" s="1011">
        <f t="shared" si="99"/>
        <v>2</v>
      </c>
      <c r="BO39" s="1011">
        <f t="shared" si="99"/>
        <v>12</v>
      </c>
      <c r="BP39" s="1011">
        <f t="shared" si="99"/>
        <v>1</v>
      </c>
      <c r="BQ39" s="1011">
        <f t="shared" si="99"/>
        <v>10</v>
      </c>
      <c r="BR39" s="1011">
        <f t="shared" si="99"/>
        <v>2</v>
      </c>
      <c r="BS39" s="1011">
        <f t="shared" si="99"/>
        <v>0</v>
      </c>
      <c r="BT39" s="1011">
        <f t="shared" si="99"/>
        <v>3</v>
      </c>
      <c r="BU39" s="1012">
        <f>+BU3+BU6+BU9+BU12+BU15+BU18+BU21+BU24+BU27+BU30+BU33+BU36</f>
        <v>3</v>
      </c>
      <c r="BV39" s="1013">
        <f>+BV3+BV6+BV9+BV12+BV15+BV18+BV21+BV24+BV27+BV30+BV33+BV36</f>
        <v>5</v>
      </c>
      <c r="BW39" s="1013">
        <f t="shared" ref="BW39:CN39" si="100">+BW3+BW6+BW9+BW12+BW15+BW18+BW21+BW24+BW27+BW30+BW33+BW36</f>
        <v>7</v>
      </c>
      <c r="BX39" s="1013">
        <f t="shared" si="100"/>
        <v>2</v>
      </c>
      <c r="BY39" s="1013">
        <f t="shared" si="100"/>
        <v>7</v>
      </c>
      <c r="BZ39" s="1013">
        <f t="shared" si="100"/>
        <v>4</v>
      </c>
      <c r="CA39" s="1013">
        <f t="shared" si="100"/>
        <v>5</v>
      </c>
      <c r="CB39" s="1013">
        <f t="shared" si="100"/>
        <v>4</v>
      </c>
      <c r="CC39" s="1013">
        <f t="shared" si="100"/>
        <v>4</v>
      </c>
      <c r="CD39" s="1013">
        <f t="shared" si="100"/>
        <v>1</v>
      </c>
      <c r="CE39" s="1013">
        <f t="shared" si="100"/>
        <v>8</v>
      </c>
      <c r="CF39" s="1013">
        <f t="shared" si="100"/>
        <v>6</v>
      </c>
      <c r="CG39" s="1013">
        <f t="shared" si="100"/>
        <v>4</v>
      </c>
      <c r="CH39" s="1013"/>
      <c r="CI39" s="1013">
        <f t="shared" si="100"/>
        <v>9</v>
      </c>
      <c r="CJ39" s="1013">
        <f t="shared" si="100"/>
        <v>9</v>
      </c>
      <c r="CK39" s="1013">
        <f t="shared" si="100"/>
        <v>8</v>
      </c>
      <c r="CL39" s="1013">
        <f t="shared" si="100"/>
        <v>5</v>
      </c>
      <c r="CM39" s="1013">
        <f t="shared" si="100"/>
        <v>10</v>
      </c>
      <c r="CN39" s="1013">
        <f t="shared" si="100"/>
        <v>5</v>
      </c>
      <c r="CO39" s="1013">
        <f>+CO3+CO6+CO9+CO12+CO15+CO18+CO21+CO24+CO27+CO30+CO33+CO36</f>
        <v>3</v>
      </c>
      <c r="CP39" s="1013">
        <f t="shared" ref="CP39:CZ39" si="101">+CP3+CP6+CP9+CP12+CP15+CP18+CP21+CP24+CP27+CP30+CP33+CP36</f>
        <v>3</v>
      </c>
      <c r="CQ39" s="1013">
        <f t="shared" si="101"/>
        <v>7</v>
      </c>
      <c r="CR39" s="1013">
        <f t="shared" si="101"/>
        <v>6</v>
      </c>
      <c r="CS39" s="1013">
        <f t="shared" si="101"/>
        <v>5</v>
      </c>
      <c r="CT39" s="1013">
        <f t="shared" si="101"/>
        <v>6</v>
      </c>
      <c r="CU39" s="1013">
        <f t="shared" si="101"/>
        <v>6</v>
      </c>
      <c r="CV39" s="1013">
        <f t="shared" si="101"/>
        <v>8</v>
      </c>
      <c r="CW39" s="1013">
        <f t="shared" si="101"/>
        <v>4</v>
      </c>
      <c r="CX39" s="1013">
        <f t="shared" si="101"/>
        <v>9</v>
      </c>
      <c r="CY39" s="1013">
        <f t="shared" si="101"/>
        <v>5</v>
      </c>
      <c r="CZ39" s="1013">
        <f t="shared" si="101"/>
        <v>4</v>
      </c>
      <c r="DA39" s="1013">
        <f>+DA3+DA6+DA9+DA12+DA15+DA18+DA21+DA24+DA27+DA30+DA33+DA36</f>
        <v>11</v>
      </c>
      <c r="DB39" s="1013">
        <f t="shared" ref="DB39:DI39" si="102">+DB3+DB6+DB9+DB12+DB15+DB18+DB21+DB24+DB27+DB30+DB33+DB36</f>
        <v>0</v>
      </c>
      <c r="DC39" s="1013">
        <f t="shared" si="102"/>
        <v>8</v>
      </c>
      <c r="DD39" s="1013">
        <f t="shared" si="102"/>
        <v>3</v>
      </c>
      <c r="DE39" s="1013">
        <f t="shared" si="102"/>
        <v>7</v>
      </c>
      <c r="DF39" s="1013">
        <f t="shared" si="102"/>
        <v>8</v>
      </c>
      <c r="DG39" s="1013">
        <f t="shared" si="102"/>
        <v>21</v>
      </c>
      <c r="DH39" s="1013">
        <f t="shared" si="102"/>
        <v>11</v>
      </c>
      <c r="DI39" s="1013">
        <f t="shared" si="102"/>
        <v>5</v>
      </c>
      <c r="DJ39" s="1013">
        <f t="shared" si="56"/>
        <v>1</v>
      </c>
      <c r="DK39" s="1013">
        <f t="shared" si="56"/>
        <v>2</v>
      </c>
      <c r="DL39" s="1013">
        <f t="shared" si="56"/>
        <v>2</v>
      </c>
      <c r="DM39" s="1013">
        <f t="shared" si="57"/>
        <v>7</v>
      </c>
      <c r="DN39" s="1013">
        <f t="shared" si="57"/>
        <v>1</v>
      </c>
      <c r="DO39" s="1013">
        <f t="shared" si="57"/>
        <v>6</v>
      </c>
      <c r="DP39" s="1013">
        <f t="shared" si="58"/>
        <v>0</v>
      </c>
      <c r="DQ39" s="1013">
        <f t="shared" si="58"/>
        <v>0</v>
      </c>
      <c r="DR39" s="1013">
        <f t="shared" si="58"/>
        <v>4</v>
      </c>
      <c r="DS39" s="1013">
        <f t="shared" si="58"/>
        <v>8</v>
      </c>
      <c r="DT39" s="1013">
        <f t="shared" si="58"/>
        <v>5</v>
      </c>
      <c r="DU39" s="1013">
        <f t="shared" si="58"/>
        <v>7</v>
      </c>
      <c r="DV39" s="1013">
        <f>+DV3+DV6+DV9+DV12+DV15+DV18+DV21+DV24+DV27+DV30+DV33+DV36</f>
        <v>6</v>
      </c>
      <c r="DW39" s="1013">
        <f>+DW3+DW6+DW9+DW12+DW15+DW18+DW21+DW24+DW27+DW30+DW33+DW36</f>
        <v>7</v>
      </c>
      <c r="DX39" s="1013">
        <f>+DX3+DX6+DX9+DX12+DX15+DX18+DX21+DX24+DX27+DX30+DX33+DX36</f>
        <v>15</v>
      </c>
      <c r="DY39" s="1013">
        <f>+DY3+DY6+DY9+DY12+DY15+DY18+DY21+DY24+DY27+DY30+DY33+DY36</f>
        <v>7</v>
      </c>
      <c r="DZ39" s="1013">
        <f>+DZ3+DZ6+DZ9+DZ12+DZ15+DZ18+DZ21+DZ24+DZ27+DZ30+DZ33+DZ36</f>
        <v>4</v>
      </c>
      <c r="EA39" s="1013">
        <f t="shared" si="60"/>
        <v>7</v>
      </c>
      <c r="EB39" s="1013">
        <f t="shared" si="60"/>
        <v>5</v>
      </c>
      <c r="EC39" s="1013">
        <f t="shared" si="60"/>
        <v>10</v>
      </c>
      <c r="ED39" s="1013">
        <f t="shared" si="61"/>
        <v>4</v>
      </c>
      <c r="EE39" s="1013">
        <f t="shared" si="61"/>
        <v>5</v>
      </c>
      <c r="EF39" s="1013">
        <f t="shared" si="61"/>
        <v>0</v>
      </c>
      <c r="EG39" s="1013">
        <f>+EG3+EG6+EG9+EG12+EG15+EG18+EG21+EG24+EG27+EG30+EG36+EG33</f>
        <v>5</v>
      </c>
      <c r="EH39" s="1013">
        <f>+EH3+EH6+EH9+EH12+EH15+EH18+EH21+EH24+EH27+EH30+EH36+EI33</f>
        <v>10</v>
      </c>
      <c r="EI39" s="1013">
        <f>+EI3+EI6+EI9+EI12+EI15+EI18+EI21+EI24+EI27+EI30+EI36+EI33</f>
        <v>0</v>
      </c>
      <c r="EJ39" s="1013">
        <f>+EJ3+EJ6+EJ9+EJ12+EJ15+EJ18+EJ21+EJ24+EJ27+EJ30+EJ36+EJ32</f>
        <v>9</v>
      </c>
      <c r="EK39" s="1013">
        <f t="shared" ref="EK39:EP39" si="103">+EK3+EK6+EK9+EK12+EK15+EK18+EK21+EK24+EK27+EK30+EK36+EK33</f>
        <v>8</v>
      </c>
      <c r="EL39" s="1013">
        <f t="shared" si="103"/>
        <v>1</v>
      </c>
      <c r="EM39" s="1013">
        <f t="shared" si="103"/>
        <v>7</v>
      </c>
      <c r="EN39" s="1013">
        <f t="shared" si="103"/>
        <v>2</v>
      </c>
      <c r="EO39" s="1013">
        <f t="shared" si="103"/>
        <v>1</v>
      </c>
      <c r="EP39" s="1013">
        <f t="shared" si="103"/>
        <v>0</v>
      </c>
      <c r="EQ39" s="1013">
        <f>+EQ3+EQ6+EQ9+EQ12+EQ15+ES18+EQ21+EQ24+EQ27+EQ30+EQ36+EQ33</f>
        <v>4</v>
      </c>
      <c r="ER39" s="1013">
        <f>+ER3+ER6+ER9+ER12+ER15+JF18+ER21+ER24+ER27+ER30+ER36+ER33</f>
        <v>2</v>
      </c>
      <c r="ES39" s="1013">
        <f>+ES3+ES6+ES9+ES12+ES15+JG18+ES21+ES24+ES27+ES30+ES36+ES33</f>
        <v>2</v>
      </c>
      <c r="ET39" s="1013"/>
      <c r="EU39" s="1013">
        <f>+EU3+EU6+EU9+EU12+EU15+JI18+EU21+EU24+EU27+EU30+EU36+EU33</f>
        <v>0</v>
      </c>
      <c r="EV39" s="1013">
        <f>+EV3+EV6+EV9+EV12+EV15+JJ18+EV21+EV24+EV27+EV30+EV36+EV33</f>
        <v>7</v>
      </c>
      <c r="EW39" s="1013">
        <f>+EW3+EW6+EW9+EW12+EW15+JK18+EW21+EW24+EW27+EW30+EW36+EW33+EW18</f>
        <v>1</v>
      </c>
      <c r="EX39" s="1013">
        <f>+EX3+EX6+EX9+EX12+EX15+JL18+EX21+EX24+EX27+EX30+EX36+EX33+EX18</f>
        <v>1</v>
      </c>
      <c r="EY39" s="1013">
        <f>+EY3+EY6+EY9+EY12+EY15+JM18+EY21+EY24+EY27+EY30+EY36+EY33+EY18</f>
        <v>2</v>
      </c>
      <c r="EZ39" s="1013">
        <f>+EZ3+EZ6+EZ9+EZ12+EZ15+JN18+EZ21+EZ24+EZ27+EZ30+EZ36+EZ33+EZ18</f>
        <v>0</v>
      </c>
      <c r="FA39" s="1013">
        <f>+FA3+FA6+FA9+FA12+FA15+JQ18+FA21+FA24+FA27+FA30+FA36+FA33+FA18</f>
        <v>4</v>
      </c>
      <c r="FB39" s="1013">
        <f>+FB3+FB6+FB9+FB12+FB15+JR18+FB21+FB24+FB27+FB30+FB36+FB33+FB18</f>
        <v>1</v>
      </c>
      <c r="FC39" s="1013">
        <f>+FC3+FC6+FC9+FC12+FC15+JT18+FC21+FC24+FC27+FC30+FC36+FC33+FC18</f>
        <v>6</v>
      </c>
      <c r="FD39" s="1013">
        <f>+FD3+FD6+FD9+FD12+FD15+JX18+FD21+FD24+FD27+FD30+FD36+FD33+FD18</f>
        <v>3</v>
      </c>
      <c r="FE39" s="1013">
        <f>+FE3+FE9+FE12+FE15+JY18+FE21+FE24+FE27+FE30+FE36+FE33+FE18+FE6</f>
        <v>3</v>
      </c>
      <c r="FF39" s="1013">
        <f>+FF3+FF6+FF9+FF12+FF15+JZ18+FF21+FF24+FF27+FF30+FF36+FF33+FF18</f>
        <v>5</v>
      </c>
      <c r="FG39" s="1013">
        <f>+FG3+FG6+FG9+FG12+FG15+KA18+FG21+FG24+FG27+FG30+FG36+FG33+FG18</f>
        <v>3</v>
      </c>
      <c r="FH39" s="1013">
        <f>+FH3+FH6+FH9+FH12+FH15+KB18+FH21+FH24+FH27+FH30+FH36+FH33+FH18</f>
        <v>1</v>
      </c>
      <c r="FI39" s="1013"/>
      <c r="FJ39" s="1013">
        <f>+FJ3+FJ6+FJ9+FJ12+FJ15+KD18+FJ21+FJ24+FJ27+FJ30+FJ36+FJ33+FJ18</f>
        <v>1</v>
      </c>
      <c r="FK39" s="1013">
        <f>+FK3+FK6+FK9+FK12+FK15+KE18+FK21+FK24+FK27+FK30+FK36+FK33+FK18</f>
        <v>0</v>
      </c>
      <c r="FL39" s="1013">
        <f>+FL3+FL6+FL9+FL12+FL15+KG18+FL21+FL24+FL27+FL30+FL36+FL33+FL18</f>
        <v>5</v>
      </c>
      <c r="FM39" s="1013">
        <f t="shared" ref="FM39:FU39" si="104">+FM3+FM6+FM9+FM12+FM15+KJ18+FM21+FM24+FM27+FM30+FM36+FM33+FM18</f>
        <v>1</v>
      </c>
      <c r="FN39" s="1013">
        <f t="shared" si="104"/>
        <v>3</v>
      </c>
      <c r="FO39" s="1013">
        <f t="shared" si="104"/>
        <v>1</v>
      </c>
      <c r="FP39" s="1013">
        <f t="shared" si="104"/>
        <v>3</v>
      </c>
      <c r="FQ39" s="1013">
        <f t="shared" si="104"/>
        <v>1</v>
      </c>
      <c r="FR39" s="1013">
        <f t="shared" si="104"/>
        <v>3</v>
      </c>
      <c r="FS39" s="1013">
        <f t="shared" si="104"/>
        <v>1</v>
      </c>
      <c r="FT39" s="1013">
        <f t="shared" si="104"/>
        <v>0</v>
      </c>
      <c r="FU39" s="1013">
        <f t="shared" si="104"/>
        <v>0</v>
      </c>
      <c r="FV39" s="1013"/>
      <c r="FW39" s="1013">
        <f>+FW3+FW6+FW9+FW12+FW15+KT18+FW21+FW24+FW27+FW30+FW36+FW33+FW18</f>
        <v>0</v>
      </c>
      <c r="FX39" s="1013">
        <f>+FX3+FX6+FX9+FX12+FX15+KV18+FX21+FX24+FX27+FX30+FX36+FX33+FX18</f>
        <v>2</v>
      </c>
      <c r="FY39" s="1013">
        <f>+FY3+FY6+FY9+FY12+FY15+KW18+FY21+FY24+FY27+FY30+FY36+FY33+FY18</f>
        <v>0</v>
      </c>
      <c r="FZ39" s="1013">
        <f>+FZ3+FZ6+FZ9+FZ12+FZ15+KX18+FZ21+FZ24+FZ27+FZ30+FZ36+FZ33+FZ18</f>
        <v>2</v>
      </c>
      <c r="GA39" s="1013"/>
      <c r="GB39" s="1013"/>
      <c r="GC39" s="1013">
        <f>+GC3+GC6+GC9+GC12+GC15+LC18+GC21+GC24+GC27+GC30+GC36+GC33+GC18</f>
        <v>2</v>
      </c>
      <c r="GD39" s="1013">
        <f>+GD3+GD6+GD9+GD12+GD15+LD18+GD21+GD24+GD27+GD30+GD36+GD33+GD18</f>
        <v>4</v>
      </c>
      <c r="GE39" s="1013">
        <f>+GE3+GE6+GE9+GE12+GE15+LE18+GE21+GE24+GE27+GE30+GE36+GE33+GE18</f>
        <v>4</v>
      </c>
      <c r="GF39" s="1013">
        <f>+GF3+GF6+GF9+GF12+GF15+LF18+GF21+GF24+GF27+GF30+GF36+GF33+GF18</f>
        <v>2</v>
      </c>
      <c r="GG39" s="1013">
        <f>+GG3+GG6+GG9+GG12+GG15+LG18+GG21+GG24+GG27+GG30+GG36+GG33+GG18</f>
        <v>3</v>
      </c>
      <c r="GH39" s="1013">
        <f>+GH3+GH6+GH9+GH12+GH15+LK18+GH21+GH24+GH27+GH30+GH36+GH33+GH18</f>
        <v>0</v>
      </c>
      <c r="GI39" s="1013">
        <f>+GI3+GI6+GI9+GI12+GI15+LL18+GI21+GI24+GI27+GI30+GI36+GI33+GI18</f>
        <v>2</v>
      </c>
      <c r="GJ39" s="1013">
        <f t="shared" ref="GJ39:HO39" si="105">+GJ3+GJ6+GJ9+GJ12+GJ15+LN18+GJ21+GJ24+GJ27+GJ30+GJ36+GJ33+GJ18</f>
        <v>1</v>
      </c>
      <c r="GK39" s="1013">
        <f t="shared" si="105"/>
        <v>4</v>
      </c>
      <c r="GL39" s="1013">
        <f t="shared" si="105"/>
        <v>2</v>
      </c>
      <c r="GM39" s="1013">
        <f t="shared" si="105"/>
        <v>3</v>
      </c>
      <c r="GN39" s="1013">
        <f t="shared" si="105"/>
        <v>0</v>
      </c>
      <c r="GO39" s="1013">
        <f t="shared" si="105"/>
        <v>1</v>
      </c>
      <c r="GP39" s="1013">
        <f t="shared" si="105"/>
        <v>4</v>
      </c>
      <c r="GQ39" s="1013">
        <f t="shared" si="105"/>
        <v>2</v>
      </c>
      <c r="GR39" s="1013">
        <f t="shared" si="105"/>
        <v>4</v>
      </c>
      <c r="GS39" s="1013">
        <f t="shared" si="105"/>
        <v>3</v>
      </c>
      <c r="GT39" s="1013">
        <f t="shared" si="105"/>
        <v>2</v>
      </c>
      <c r="GU39" s="1013">
        <f t="shared" si="105"/>
        <v>4</v>
      </c>
      <c r="GV39" s="1013">
        <f t="shared" si="105"/>
        <v>3</v>
      </c>
      <c r="GW39" s="1013">
        <f t="shared" si="105"/>
        <v>5</v>
      </c>
      <c r="GX39" s="1013">
        <f t="shared" si="105"/>
        <v>11</v>
      </c>
      <c r="GY39" s="1013">
        <f t="shared" si="105"/>
        <v>8</v>
      </c>
      <c r="GZ39" s="1013">
        <f t="shared" si="105"/>
        <v>8</v>
      </c>
      <c r="HA39" s="1013">
        <f t="shared" si="105"/>
        <v>0</v>
      </c>
      <c r="HB39" s="1013">
        <f t="shared" si="105"/>
        <v>4</v>
      </c>
      <c r="HC39" s="1013">
        <f t="shared" si="105"/>
        <v>3</v>
      </c>
      <c r="HD39" s="1013">
        <f t="shared" si="105"/>
        <v>7</v>
      </c>
      <c r="HE39" s="1013">
        <f t="shared" si="105"/>
        <v>3</v>
      </c>
      <c r="HF39" s="1013">
        <f t="shared" si="105"/>
        <v>5</v>
      </c>
      <c r="HG39" s="1013">
        <f t="shared" si="105"/>
        <v>2</v>
      </c>
      <c r="HH39" s="1013">
        <f t="shared" si="105"/>
        <v>2</v>
      </c>
      <c r="HI39" s="1013">
        <f t="shared" si="105"/>
        <v>5</v>
      </c>
      <c r="HJ39" s="1013">
        <f t="shared" si="105"/>
        <v>2</v>
      </c>
      <c r="HK39" s="1013">
        <f t="shared" si="105"/>
        <v>1</v>
      </c>
      <c r="HL39" s="1013">
        <f t="shared" si="105"/>
        <v>8</v>
      </c>
      <c r="HM39" s="1013">
        <f t="shared" si="105"/>
        <v>0</v>
      </c>
      <c r="HN39" s="1013">
        <f t="shared" si="105"/>
        <v>7</v>
      </c>
      <c r="HO39" s="1013">
        <f t="shared" si="105"/>
        <v>3</v>
      </c>
      <c r="HP39" s="1013">
        <f t="shared" ref="HP39:IU39" si="106">+HP3+HP6+HP9+HP12+HP15+MT18+HP21+HP24+HP27+HP30+HP36+HP33+HP18</f>
        <v>1</v>
      </c>
      <c r="HQ39" s="1013">
        <f t="shared" si="106"/>
        <v>3</v>
      </c>
      <c r="HR39" s="1013">
        <f t="shared" si="106"/>
        <v>1</v>
      </c>
      <c r="HS39" s="1013">
        <f t="shared" si="106"/>
        <v>5</v>
      </c>
      <c r="HT39" s="1013">
        <f t="shared" si="106"/>
        <v>5</v>
      </c>
      <c r="HU39" s="1013">
        <f t="shared" si="106"/>
        <v>0</v>
      </c>
      <c r="HV39" s="1013">
        <f t="shared" si="106"/>
        <v>0</v>
      </c>
      <c r="HW39" s="1013">
        <f t="shared" si="106"/>
        <v>14</v>
      </c>
      <c r="HX39" s="1013">
        <f t="shared" si="106"/>
        <v>0</v>
      </c>
      <c r="HY39" s="1013">
        <f t="shared" si="106"/>
        <v>5</v>
      </c>
      <c r="HZ39" s="1013">
        <f t="shared" si="106"/>
        <v>3</v>
      </c>
      <c r="IA39" s="1013">
        <f t="shared" si="106"/>
        <v>4</v>
      </c>
      <c r="IB39" s="1013">
        <f t="shared" si="106"/>
        <v>1</v>
      </c>
      <c r="IC39" s="1013">
        <f t="shared" si="106"/>
        <v>7</v>
      </c>
      <c r="ID39" s="1013">
        <f t="shared" si="106"/>
        <v>0</v>
      </c>
      <c r="IE39" s="1013">
        <f t="shared" si="106"/>
        <v>1</v>
      </c>
      <c r="IF39" s="1013">
        <f t="shared" si="106"/>
        <v>5</v>
      </c>
      <c r="IG39" s="1013">
        <f t="shared" si="106"/>
        <v>6</v>
      </c>
      <c r="IH39" s="1013">
        <f t="shared" si="106"/>
        <v>3</v>
      </c>
      <c r="II39" s="1013">
        <f t="shared" si="106"/>
        <v>3</v>
      </c>
      <c r="IJ39" s="1013">
        <f t="shared" si="106"/>
        <v>0</v>
      </c>
      <c r="IK39" s="1013">
        <f t="shared" si="106"/>
        <v>0</v>
      </c>
      <c r="IL39" s="1013">
        <f t="shared" si="106"/>
        <v>0</v>
      </c>
      <c r="IM39" s="1013">
        <f t="shared" si="106"/>
        <v>2</v>
      </c>
      <c r="IN39" s="1013">
        <f t="shared" si="106"/>
        <v>1</v>
      </c>
      <c r="IO39" s="1013">
        <f t="shared" si="106"/>
        <v>0</v>
      </c>
      <c r="IP39" s="1013">
        <f t="shared" si="106"/>
        <v>1</v>
      </c>
      <c r="IQ39" s="1013">
        <f t="shared" si="106"/>
        <v>9</v>
      </c>
      <c r="IR39" s="1013">
        <f t="shared" si="106"/>
        <v>4</v>
      </c>
      <c r="IS39" s="1013">
        <f t="shared" si="106"/>
        <v>3</v>
      </c>
      <c r="IT39" s="1013">
        <f t="shared" si="106"/>
        <v>8</v>
      </c>
      <c r="IU39" s="1013">
        <f t="shared" si="106"/>
        <v>3</v>
      </c>
      <c r="IV39" s="1013">
        <f t="shared" ref="IV39:JE39" si="107">+IV3+IV6+IV9+IV12+IV15+NZ18+IV21+IV24+IV27+IV30+IV36+IV33+IV18</f>
        <v>2</v>
      </c>
      <c r="IW39" s="1013">
        <f t="shared" si="107"/>
        <v>1</v>
      </c>
      <c r="IX39" s="1013">
        <f t="shared" si="107"/>
        <v>5</v>
      </c>
      <c r="IY39" s="1013">
        <f t="shared" si="107"/>
        <v>3</v>
      </c>
      <c r="IZ39" s="1013">
        <f t="shared" si="107"/>
        <v>2</v>
      </c>
      <c r="JA39" s="1013">
        <f t="shared" si="107"/>
        <v>3</v>
      </c>
      <c r="JB39" s="1013">
        <f t="shared" si="107"/>
        <v>0</v>
      </c>
      <c r="JC39" s="1013">
        <f t="shared" si="107"/>
        <v>1</v>
      </c>
      <c r="JD39" s="1013">
        <f t="shared" si="107"/>
        <v>1</v>
      </c>
      <c r="JE39" s="1013">
        <f t="shared" si="107"/>
        <v>1</v>
      </c>
      <c r="JF39" s="1011"/>
      <c r="JI39" s="1104">
        <f>+JI3+JI6+JI9+JI12+JI15+JI18+JI21+JI24+JI27+JI30+JI33+JI36</f>
        <v>8</v>
      </c>
      <c r="JJ39" s="1104">
        <f>+JJ3+JJ6+JJ9+JJ12+JJ15+JJ18+JJ21+JJ24+JJ27+JJ30+JJ33+JJ36</f>
        <v>6</v>
      </c>
      <c r="JK39" s="1104">
        <f>+JK3+JK6+JK9+JK12+JK15+JK18+JK21+JK24+JK27+JK30+JK33+JK36</f>
        <v>4</v>
      </c>
      <c r="JL39" s="1104">
        <f>+JL3+JL6+JL9+JL12+JL15+JL18+JL21+JL24+JL27+JL30+JL33++JL36</f>
        <v>2</v>
      </c>
      <c r="JM39" s="1104">
        <f>+JM3+JM6+JM9+JM12+JM15+JM18+JM21+JM24+JM27+JM30+JM33++JM36</f>
        <v>2</v>
      </c>
      <c r="JN39" s="1104">
        <f>+JN3+JN6+JN9+JN12+JN15+JN18+JN21+JN24+JN27+JN30+JN33++JN36</f>
        <v>6</v>
      </c>
      <c r="JO39" s="1104">
        <f t="shared" ref="JO39:JT39" si="108">+JO3+JO6+JO9+JO12+JO15+JO18+JO21+JO24+JO27+JO30+JO33+JO36</f>
        <v>0</v>
      </c>
      <c r="JP39" s="1104">
        <f t="shared" si="108"/>
        <v>2</v>
      </c>
      <c r="JQ39" s="1104">
        <f t="shared" si="108"/>
        <v>2</v>
      </c>
      <c r="JR39" s="1104">
        <f t="shared" si="108"/>
        <v>0</v>
      </c>
      <c r="JS39" s="1104">
        <f t="shared" si="108"/>
        <v>5</v>
      </c>
      <c r="JT39" s="1104">
        <f t="shared" si="108"/>
        <v>7</v>
      </c>
      <c r="JU39" s="1104">
        <f>+JU3+JU6+JU9+JU12+JU15+JU18+JU21+JU24+JU27+JU30+JU33+JU36</f>
        <v>8</v>
      </c>
      <c r="JV39" s="1104">
        <f>+JV3+JV6+JV9+JV12+JV15+JV18+JV21+JV24+JV27+JV30+JV33+JV36</f>
        <v>15</v>
      </c>
      <c r="JW39" s="1104">
        <f>+JW3+JW6+JW9+JW12+JW15+JW18+JW21+JW24+JW27+JW30+JW33+JW36</f>
        <v>5</v>
      </c>
      <c r="JX39" s="1104">
        <f>+JX3+JX6+JX9+JX12+JX15+JX18+JX21+JX24+JX27+JX30+JX33+JX36</f>
        <v>6</v>
      </c>
      <c r="JY39" s="1104">
        <f>+JY3+JY6+JY9+JY12+JY15+JY18+JY21+JY24+JY27+JY30+JY33+JY36</f>
        <v>6</v>
      </c>
      <c r="JZ39" s="1104">
        <f t="shared" ref="JZ39:KF39" si="109">+JZ3+JZ6+JZ9+JZ12+JZ15+JZ18+JZ21+JZ24+JZ27+JZ30+JZ33+JZ36</f>
        <v>2</v>
      </c>
      <c r="KA39" s="1104">
        <f t="shared" si="109"/>
        <v>0</v>
      </c>
      <c r="KB39" s="1104">
        <f t="shared" si="109"/>
        <v>12</v>
      </c>
      <c r="KC39" s="1104">
        <f t="shared" si="109"/>
        <v>8</v>
      </c>
      <c r="KD39" s="1104">
        <f t="shared" si="109"/>
        <v>2</v>
      </c>
      <c r="KE39" s="1104">
        <f t="shared" si="109"/>
        <v>6</v>
      </c>
      <c r="KF39" s="1104">
        <f t="shared" si="109"/>
        <v>9</v>
      </c>
      <c r="KG39" s="1104">
        <f>+KG3+KG6+KG9+KG12+KG15+KG18+KG21+KG24+KG27+KG30+KG33+KG36</f>
        <v>13</v>
      </c>
      <c r="KH39" s="1104">
        <f t="shared" ref="KH39:KJ39" si="110">+KH3+KH6+KH9+KH12+KH15+KH18+KH21+KH24+KH27+KH30+KH33+KH36</f>
        <v>2</v>
      </c>
      <c r="KI39" s="1104">
        <f>+KI3+KI6+KI9+KI12+KI15+KI18+KI21+KI24+KI27+KI30+KI33+KI36</f>
        <v>4</v>
      </c>
      <c r="KJ39" s="1104">
        <f t="shared" si="110"/>
        <v>2</v>
      </c>
      <c r="KK39" s="1104">
        <f>+KK3+KK6+KK9+KK12+KK15+KK18+KK21+KK24+KK27+KK30+KK33+KK36</f>
        <v>12</v>
      </c>
      <c r="KL39" s="1104">
        <f t="shared" ref="KL39" si="111">+KL3+KL6+KL9+KL12+KL15+KL18+KL21+KL24+KL27+KL30+KL33+KL36</f>
        <v>7</v>
      </c>
      <c r="KM39" s="1104">
        <f t="shared" ref="KM39:KN39" si="112">+KM3+KM6+KM9+KM12+KM15+KM18+KM21+KM24+KM27+KM30+KM33+KM36</f>
        <v>7</v>
      </c>
      <c r="KN39" s="1104">
        <f t="shared" si="112"/>
        <v>0</v>
      </c>
      <c r="KO39" s="1104">
        <f t="shared" ref="KO39" si="113">+KO3+KO6+KO9+KO12+KO15+KO18+KO21+KO24+KO27+KO30+KO33+KO36</f>
        <v>7</v>
      </c>
      <c r="KP39" s="1104">
        <f t="shared" ref="KP39:KW39" si="114">+KP3+KP6+KP9+KP12+KP15+KP18+KP21+KP24+KP27+KP30+KP33+KP36</f>
        <v>12</v>
      </c>
      <c r="KQ39" s="1104">
        <f t="shared" si="114"/>
        <v>0</v>
      </c>
      <c r="KR39" s="1104">
        <f t="shared" si="114"/>
        <v>2</v>
      </c>
      <c r="KS39" s="1104">
        <f t="shared" si="114"/>
        <v>9</v>
      </c>
      <c r="KT39" s="1104">
        <f t="shared" si="114"/>
        <v>2</v>
      </c>
      <c r="KU39" s="1104">
        <f t="shared" si="114"/>
        <v>6</v>
      </c>
      <c r="KV39" s="1104">
        <f t="shared" si="114"/>
        <v>11</v>
      </c>
      <c r="KW39" s="1104">
        <f t="shared" si="114"/>
        <v>10</v>
      </c>
      <c r="KX39" s="1104"/>
      <c r="KY39" s="1104">
        <f t="shared" ref="KY39:KZ39" si="115">+KY3+KY6+KY9+KY12+KY15+KY18+KY21+KY24+KY27+KY30+KY33+KY36</f>
        <v>6</v>
      </c>
      <c r="KZ39" s="1104">
        <f t="shared" si="115"/>
        <v>9</v>
      </c>
      <c r="LA39" s="1104">
        <f t="shared" ref="LA39:LC39" si="116">+LA3+LA6+LA9+LA12+LA15+LA18+LA21+LA24+LA27+LA30+LA33+LA36</f>
        <v>3</v>
      </c>
      <c r="LB39" s="1104">
        <f t="shared" si="116"/>
        <v>8</v>
      </c>
      <c r="LC39" s="1104">
        <f t="shared" si="116"/>
        <v>2</v>
      </c>
      <c r="LD39" s="1104">
        <f t="shared" ref="LD39:LE39" si="117">+LD3+LD6+LD9+LD12+LD15+LD18+LD21+LD24+LD27+LD30+LD33+LD36</f>
        <v>2</v>
      </c>
      <c r="LE39" s="1104">
        <f t="shared" si="117"/>
        <v>0</v>
      </c>
      <c r="LF39" s="1104">
        <f t="shared" ref="LF39:LG39" si="118">+LF3+LF6+LF9+LF12+LF15+LF18+LF21+LF24+LF27+LF30+LF33+LF36</f>
        <v>1</v>
      </c>
      <c r="LG39" s="1104">
        <f t="shared" si="118"/>
        <v>1</v>
      </c>
      <c r="LH39" s="1104">
        <f t="shared" ref="LH39:LI39" si="119">+LH3+LH6+LH9+LH12+LH15+LH18+LH21+LH24+LH27+LH30+LH33+LH36</f>
        <v>1</v>
      </c>
      <c r="LI39" s="1104">
        <f t="shared" si="119"/>
        <v>1</v>
      </c>
      <c r="LJ39" s="1104">
        <f t="shared" ref="LJ39:LK39" si="120">+LJ3+LJ6+LJ9+LJ12+LJ15+LJ18+LJ21+LJ24+LJ27+LJ30+LJ33+LJ36</f>
        <v>11</v>
      </c>
      <c r="LK39" s="1104">
        <f t="shared" si="120"/>
        <v>5</v>
      </c>
      <c r="LL39" s="1104">
        <f t="shared" ref="LL39:LM39" si="121">+LL3+LL6+LL9+LL12+LL15+LL18+LL21+LL24+LL27+LL30+LL33+LL36</f>
        <v>1</v>
      </c>
      <c r="LM39" s="1104">
        <f t="shared" si="121"/>
        <v>13</v>
      </c>
      <c r="LN39" s="1104">
        <f t="shared" si="95"/>
        <v>0</v>
      </c>
      <c r="LO39" s="1104">
        <f t="shared" si="95"/>
        <v>2</v>
      </c>
      <c r="LP39" s="1104">
        <f t="shared" si="95"/>
        <v>6</v>
      </c>
      <c r="LQ39" s="1104">
        <f t="shared" ref="LQ39:LU39" si="122">+LQ3+LQ6+LQ9+LQ12+LQ15+LQ18+LQ21+LQ24+LQ27+LQ30+LQ33+LQ36</f>
        <v>9</v>
      </c>
      <c r="LR39" s="1104">
        <f t="shared" si="122"/>
        <v>4</v>
      </c>
      <c r="LS39" s="1104">
        <f t="shared" si="122"/>
        <v>0</v>
      </c>
      <c r="LT39" s="1104"/>
      <c r="LU39" s="1104">
        <f t="shared" si="122"/>
        <v>1</v>
      </c>
    </row>
    <row r="40" spans="2:333" ht="17.25" thickBot="1" x14ac:dyDescent="0.35">
      <c r="B40" s="1014"/>
      <c r="C40" s="1014" t="s">
        <v>6158</v>
      </c>
      <c r="D40" s="1015">
        <f t="shared" ref="D40:I40" si="123">+D39/D38</f>
        <v>0.5</v>
      </c>
      <c r="E40" s="1015">
        <f t="shared" si="123"/>
        <v>0.7142857142857143</v>
      </c>
      <c r="F40" s="1015">
        <f t="shared" si="123"/>
        <v>1</v>
      </c>
      <c r="G40" s="1015">
        <f t="shared" si="123"/>
        <v>1</v>
      </c>
      <c r="H40" s="1015">
        <f t="shared" si="123"/>
        <v>0.8</v>
      </c>
      <c r="I40" s="1015">
        <f t="shared" si="123"/>
        <v>1</v>
      </c>
      <c r="J40" s="1015"/>
      <c r="K40" s="1015">
        <f t="shared" ref="K40:U40" si="124">+K39/K38</f>
        <v>0.7142857142857143</v>
      </c>
      <c r="L40" s="1015">
        <f t="shared" si="124"/>
        <v>0.88888888888888884</v>
      </c>
      <c r="M40" s="1015">
        <f t="shared" si="124"/>
        <v>0.875</v>
      </c>
      <c r="N40" s="1015">
        <f t="shared" si="124"/>
        <v>0.9</v>
      </c>
      <c r="O40" s="1015">
        <f t="shared" si="124"/>
        <v>0.5714285714285714</v>
      </c>
      <c r="P40" s="1015">
        <f t="shared" si="124"/>
        <v>0.66666666666666663</v>
      </c>
      <c r="Q40" s="1015">
        <f t="shared" si="124"/>
        <v>1</v>
      </c>
      <c r="R40" s="1015">
        <f t="shared" si="124"/>
        <v>1</v>
      </c>
      <c r="S40" s="1015">
        <f t="shared" si="124"/>
        <v>0.66666666666666663</v>
      </c>
      <c r="T40" s="1015">
        <f t="shared" si="124"/>
        <v>0.75</v>
      </c>
      <c r="U40" s="1015">
        <f t="shared" si="124"/>
        <v>0.54545454545454541</v>
      </c>
      <c r="V40" s="1015"/>
      <c r="W40" s="1015">
        <f t="shared" ref="W40:AG40" si="125">+W39/W38</f>
        <v>0.6</v>
      </c>
      <c r="X40" s="1015">
        <f t="shared" si="125"/>
        <v>1</v>
      </c>
      <c r="Y40" s="1015">
        <f t="shared" si="125"/>
        <v>0.77777777777777779</v>
      </c>
      <c r="Z40" s="1015">
        <f t="shared" si="125"/>
        <v>0.46153846153846156</v>
      </c>
      <c r="AA40" s="1015">
        <f t="shared" si="125"/>
        <v>0.76923076923076927</v>
      </c>
      <c r="AB40" s="1015">
        <f t="shared" si="125"/>
        <v>0.8</v>
      </c>
      <c r="AC40" s="1015">
        <f t="shared" si="125"/>
        <v>0.7142857142857143</v>
      </c>
      <c r="AD40" s="1015">
        <f t="shared" si="125"/>
        <v>1</v>
      </c>
      <c r="AE40" s="1015">
        <f t="shared" si="125"/>
        <v>0.91666666666666663</v>
      </c>
      <c r="AF40" s="1015">
        <f t="shared" si="125"/>
        <v>0.6</v>
      </c>
      <c r="AG40" s="1015">
        <f t="shared" si="125"/>
        <v>0.66666666666666663</v>
      </c>
      <c r="AH40" s="1015"/>
      <c r="AI40" s="1015">
        <f t="shared" ref="AI40:AS40" si="126">+AI39/AI38</f>
        <v>0</v>
      </c>
      <c r="AJ40" s="1015">
        <f t="shared" si="126"/>
        <v>0.72222222222222221</v>
      </c>
      <c r="AK40" s="1015">
        <f t="shared" si="126"/>
        <v>1</v>
      </c>
      <c r="AL40" s="1015">
        <f t="shared" si="126"/>
        <v>0.83333333333333337</v>
      </c>
      <c r="AM40" s="1015">
        <f t="shared" si="126"/>
        <v>0.8</v>
      </c>
      <c r="AN40" s="1015">
        <f t="shared" si="126"/>
        <v>0.83333333333333337</v>
      </c>
      <c r="AO40" s="1015">
        <f t="shared" si="126"/>
        <v>0.30769230769230771</v>
      </c>
      <c r="AP40" s="1015">
        <f t="shared" si="126"/>
        <v>0.66666666666666663</v>
      </c>
      <c r="AQ40" s="1015">
        <f t="shared" si="126"/>
        <v>1</v>
      </c>
      <c r="AR40" s="1015">
        <f t="shared" si="126"/>
        <v>0.75</v>
      </c>
      <c r="AS40" s="1015">
        <f t="shared" si="126"/>
        <v>1</v>
      </c>
      <c r="AT40" s="1015"/>
      <c r="AU40" s="1015">
        <f>+AU39/AU38</f>
        <v>0.5</v>
      </c>
      <c r="AV40" s="1015"/>
      <c r="AW40" s="1015">
        <f t="shared" ref="AW40:CG40" si="127">+AW39/AW38</f>
        <v>0.46153846153846156</v>
      </c>
      <c r="AX40" s="1015">
        <f t="shared" si="127"/>
        <v>0.33333333333333331</v>
      </c>
      <c r="AY40" s="1015">
        <f t="shared" si="127"/>
        <v>0.33333333333333331</v>
      </c>
      <c r="AZ40" s="1015">
        <f t="shared" si="127"/>
        <v>0.8</v>
      </c>
      <c r="BA40" s="1015">
        <f t="shared" si="127"/>
        <v>0.5</v>
      </c>
      <c r="BB40" s="1015">
        <f t="shared" si="127"/>
        <v>0.2857142857142857</v>
      </c>
      <c r="BC40" s="1015">
        <f t="shared" si="127"/>
        <v>0.2</v>
      </c>
      <c r="BD40" s="1015">
        <f t="shared" si="127"/>
        <v>0</v>
      </c>
      <c r="BE40" s="1015">
        <f t="shared" si="127"/>
        <v>0.42857142857142855</v>
      </c>
      <c r="BF40" s="1015">
        <f t="shared" si="127"/>
        <v>0.2</v>
      </c>
      <c r="BG40" s="1015">
        <f t="shared" si="127"/>
        <v>0.16666666666666666</v>
      </c>
      <c r="BH40" s="1015">
        <f t="shared" si="127"/>
        <v>0.5</v>
      </c>
      <c r="BI40" s="1015">
        <f t="shared" si="127"/>
        <v>0</v>
      </c>
      <c r="BJ40" s="1015">
        <f t="shared" si="127"/>
        <v>0</v>
      </c>
      <c r="BK40" s="1015">
        <f t="shared" si="127"/>
        <v>0.125</v>
      </c>
      <c r="BL40" s="1015">
        <f t="shared" si="127"/>
        <v>0.63636363636363635</v>
      </c>
      <c r="BM40" s="1015">
        <f t="shared" si="127"/>
        <v>1</v>
      </c>
      <c r="BN40" s="1015">
        <f t="shared" si="127"/>
        <v>0.16666666666666666</v>
      </c>
      <c r="BO40" s="1015">
        <f t="shared" si="127"/>
        <v>0.70588235294117652</v>
      </c>
      <c r="BP40" s="1015">
        <f t="shared" si="127"/>
        <v>1</v>
      </c>
      <c r="BQ40" s="1015">
        <f t="shared" si="127"/>
        <v>0.58823529411764708</v>
      </c>
      <c r="BR40" s="1015">
        <f t="shared" si="127"/>
        <v>1</v>
      </c>
      <c r="BS40" s="1015">
        <f t="shared" si="127"/>
        <v>0</v>
      </c>
      <c r="BT40" s="1015">
        <f t="shared" si="127"/>
        <v>0.42857142857142855</v>
      </c>
      <c r="BU40" s="1015">
        <f t="shared" si="127"/>
        <v>0.5</v>
      </c>
      <c r="BV40" s="1015">
        <f t="shared" si="127"/>
        <v>0.41666666666666669</v>
      </c>
      <c r="BW40" s="1015">
        <f t="shared" si="127"/>
        <v>0.77777777777777779</v>
      </c>
      <c r="BX40" s="1015">
        <f t="shared" si="127"/>
        <v>0.5</v>
      </c>
      <c r="BY40" s="1015">
        <f t="shared" si="127"/>
        <v>0.77777777777777779</v>
      </c>
      <c r="BZ40" s="1015">
        <f t="shared" si="127"/>
        <v>1</v>
      </c>
      <c r="CA40" s="1015">
        <f t="shared" si="127"/>
        <v>0.625</v>
      </c>
      <c r="CB40" s="1015">
        <f t="shared" si="127"/>
        <v>1</v>
      </c>
      <c r="CC40" s="1015">
        <f t="shared" si="127"/>
        <v>0.8</v>
      </c>
      <c r="CD40" s="1015">
        <f t="shared" si="127"/>
        <v>0.5</v>
      </c>
      <c r="CE40" s="1015">
        <f t="shared" si="127"/>
        <v>0.88888888888888884</v>
      </c>
      <c r="CF40" s="1015">
        <f t="shared" si="127"/>
        <v>0.8571428571428571</v>
      </c>
      <c r="CG40" s="1015">
        <f t="shared" si="127"/>
        <v>0.8</v>
      </c>
      <c r="CH40" s="1015"/>
      <c r="CI40" s="1015">
        <f t="shared" ref="CI40:DL40" si="128">+CI39/CI38</f>
        <v>0.6428571428571429</v>
      </c>
      <c r="CJ40" s="1015">
        <f t="shared" si="128"/>
        <v>0.9</v>
      </c>
      <c r="CK40" s="1015">
        <f t="shared" si="128"/>
        <v>0.88888888888888884</v>
      </c>
      <c r="CL40" s="1015">
        <f t="shared" si="128"/>
        <v>0.7142857142857143</v>
      </c>
      <c r="CM40" s="1015">
        <f t="shared" si="128"/>
        <v>0.83333333333333337</v>
      </c>
      <c r="CN40" s="1015">
        <f t="shared" si="128"/>
        <v>1</v>
      </c>
      <c r="CO40" s="1015">
        <f t="shared" si="128"/>
        <v>0.5</v>
      </c>
      <c r="CP40" s="1015">
        <f t="shared" si="128"/>
        <v>1</v>
      </c>
      <c r="CQ40" s="1015">
        <f t="shared" si="128"/>
        <v>0.875</v>
      </c>
      <c r="CR40" s="1015">
        <f t="shared" si="128"/>
        <v>0.375</v>
      </c>
      <c r="CS40" s="1015">
        <f t="shared" si="128"/>
        <v>0.55555555555555558</v>
      </c>
      <c r="CT40" s="1015">
        <f t="shared" si="128"/>
        <v>0.75</v>
      </c>
      <c r="CU40" s="1015">
        <f t="shared" si="128"/>
        <v>0.5</v>
      </c>
      <c r="CV40" s="1015">
        <f t="shared" si="128"/>
        <v>0.72727272727272729</v>
      </c>
      <c r="CW40" s="1015">
        <f t="shared" si="128"/>
        <v>0.44444444444444442</v>
      </c>
      <c r="CX40" s="1015">
        <f t="shared" si="128"/>
        <v>0.52941176470588236</v>
      </c>
      <c r="CY40" s="1015">
        <f t="shared" si="128"/>
        <v>0.29411764705882354</v>
      </c>
      <c r="CZ40" s="1015">
        <f t="shared" si="128"/>
        <v>0.4</v>
      </c>
      <c r="DA40" s="1015">
        <f t="shared" si="128"/>
        <v>0.84615384615384615</v>
      </c>
      <c r="DB40" s="1015">
        <f t="shared" si="128"/>
        <v>0</v>
      </c>
      <c r="DC40" s="1015">
        <f t="shared" si="128"/>
        <v>0.5</v>
      </c>
      <c r="DD40" s="1015">
        <f t="shared" si="128"/>
        <v>0.27272727272727271</v>
      </c>
      <c r="DE40" s="1015">
        <f t="shared" si="128"/>
        <v>0.58333333333333337</v>
      </c>
      <c r="DF40" s="1015">
        <f t="shared" si="128"/>
        <v>0.8</v>
      </c>
      <c r="DG40" s="1015">
        <f t="shared" si="128"/>
        <v>0.84</v>
      </c>
      <c r="DH40" s="1015">
        <f t="shared" si="128"/>
        <v>0.6875</v>
      </c>
      <c r="DI40" s="1015">
        <f t="shared" si="128"/>
        <v>0.7142857142857143</v>
      </c>
      <c r="DJ40" s="1015">
        <f t="shared" si="128"/>
        <v>0.2</v>
      </c>
      <c r="DK40" s="1015">
        <f t="shared" si="128"/>
        <v>0.4</v>
      </c>
      <c r="DL40" s="1015">
        <f t="shared" si="128"/>
        <v>0.5</v>
      </c>
      <c r="DM40" s="1015">
        <f t="shared" ref="DM40:DU40" si="129">+DM39/DM38</f>
        <v>0.7</v>
      </c>
      <c r="DN40" s="1015">
        <f t="shared" si="129"/>
        <v>0.25</v>
      </c>
      <c r="DO40" s="1015">
        <f t="shared" si="129"/>
        <v>0.33333333333333331</v>
      </c>
      <c r="DP40" s="1015">
        <f t="shared" si="129"/>
        <v>0</v>
      </c>
      <c r="DQ40" s="1015">
        <f t="shared" si="129"/>
        <v>0</v>
      </c>
      <c r="DR40" s="1015">
        <f t="shared" si="129"/>
        <v>0.4</v>
      </c>
      <c r="DS40" s="1015">
        <f t="shared" si="129"/>
        <v>1</v>
      </c>
      <c r="DT40" s="1015">
        <f t="shared" si="129"/>
        <v>0.625</v>
      </c>
      <c r="DU40" s="1015">
        <f t="shared" si="129"/>
        <v>0.5</v>
      </c>
      <c r="DV40" s="1015">
        <f t="shared" ref="DV40:EA40" si="130">+DV39/DV38</f>
        <v>0.75</v>
      </c>
      <c r="DW40" s="1015">
        <f t="shared" si="130"/>
        <v>0.875</v>
      </c>
      <c r="DX40" s="1015">
        <f t="shared" si="130"/>
        <v>0.88235294117647056</v>
      </c>
      <c r="DY40" s="1015">
        <f t="shared" si="130"/>
        <v>0.77777777777777779</v>
      </c>
      <c r="DZ40" s="1015">
        <f t="shared" si="130"/>
        <v>1</v>
      </c>
      <c r="EA40" s="1015">
        <f t="shared" si="130"/>
        <v>0.7</v>
      </c>
      <c r="EB40" s="1015">
        <f t="shared" ref="EB40:EI40" si="131">+EB39/EB38</f>
        <v>0.41666666666666669</v>
      </c>
      <c r="EC40" s="1015">
        <f t="shared" si="131"/>
        <v>0.83333333333333337</v>
      </c>
      <c r="ED40" s="1015">
        <f t="shared" si="131"/>
        <v>0.36363636363636365</v>
      </c>
      <c r="EE40" s="1015">
        <f t="shared" si="131"/>
        <v>0.7142857142857143</v>
      </c>
      <c r="EF40" s="1015">
        <f t="shared" si="131"/>
        <v>0</v>
      </c>
      <c r="EG40" s="1015">
        <f t="shared" si="131"/>
        <v>0.35714285714285715</v>
      </c>
      <c r="EH40" s="1015">
        <f t="shared" si="131"/>
        <v>0.7142857142857143</v>
      </c>
      <c r="EI40" s="1015">
        <f t="shared" si="131"/>
        <v>0</v>
      </c>
      <c r="EJ40" s="1015">
        <f t="shared" ref="EJ40:EP40" si="132">+EJ39/EJ38</f>
        <v>0.75</v>
      </c>
      <c r="EK40" s="1015">
        <f t="shared" si="132"/>
        <v>0.88888888888888884</v>
      </c>
      <c r="EL40" s="1015">
        <f t="shared" si="132"/>
        <v>1</v>
      </c>
      <c r="EM40" s="1015">
        <f t="shared" si="132"/>
        <v>0.77777777777777779</v>
      </c>
      <c r="EN40" s="1015">
        <f t="shared" si="132"/>
        <v>0.4</v>
      </c>
      <c r="EO40" s="1015">
        <f t="shared" si="132"/>
        <v>0.14285714285714285</v>
      </c>
      <c r="EP40" s="1015">
        <f t="shared" si="132"/>
        <v>0</v>
      </c>
      <c r="EQ40" s="1015">
        <f>+EQ39/EQ38</f>
        <v>0.4</v>
      </c>
      <c r="ER40" s="1015">
        <f>+ER39/ER38</f>
        <v>0.5</v>
      </c>
      <c r="ES40" s="1015">
        <f>+ES39/ES38</f>
        <v>0.5</v>
      </c>
      <c r="ET40" s="1015"/>
      <c r="EU40" s="1015">
        <f t="shared" ref="EU40:FA40" si="133">+EU39/EU38</f>
        <v>0</v>
      </c>
      <c r="EV40" s="1015">
        <f t="shared" si="133"/>
        <v>0.875</v>
      </c>
      <c r="EW40" s="1015">
        <f t="shared" si="133"/>
        <v>0.5</v>
      </c>
      <c r="EX40" s="1015">
        <f t="shared" si="133"/>
        <v>1</v>
      </c>
      <c r="EY40" s="1015">
        <f t="shared" si="133"/>
        <v>0.66666666666666663</v>
      </c>
      <c r="EZ40" s="1015">
        <f t="shared" si="133"/>
        <v>0</v>
      </c>
      <c r="FA40" s="1015">
        <f t="shared" si="133"/>
        <v>0.5714285714285714</v>
      </c>
      <c r="FB40" s="1015">
        <f t="shared" ref="FB40:FH40" si="134">+FB39/FB38</f>
        <v>0.33333333333333331</v>
      </c>
      <c r="FC40" s="1015">
        <f t="shared" si="134"/>
        <v>0.75</v>
      </c>
      <c r="FD40" s="1015">
        <f t="shared" si="134"/>
        <v>0.375</v>
      </c>
      <c r="FE40" s="1015">
        <f t="shared" si="134"/>
        <v>0.75</v>
      </c>
      <c r="FF40" s="1015">
        <f t="shared" si="134"/>
        <v>1</v>
      </c>
      <c r="FG40" s="1015">
        <f t="shared" si="134"/>
        <v>0.42857142857142855</v>
      </c>
      <c r="FH40" s="1015">
        <f t="shared" si="134"/>
        <v>1</v>
      </c>
      <c r="FI40" s="1015"/>
      <c r="FJ40" s="1015">
        <f t="shared" ref="FJ40:FP40" si="135">+FJ39/FJ38</f>
        <v>0.33333333333333331</v>
      </c>
      <c r="FK40" s="1015">
        <f t="shared" si="135"/>
        <v>0</v>
      </c>
      <c r="FL40" s="1015">
        <f t="shared" si="135"/>
        <v>1</v>
      </c>
      <c r="FM40" s="1015">
        <f t="shared" si="135"/>
        <v>0.5</v>
      </c>
      <c r="FN40" s="1015">
        <f t="shared" si="135"/>
        <v>0.6</v>
      </c>
      <c r="FO40" s="1015">
        <f t="shared" si="135"/>
        <v>1</v>
      </c>
      <c r="FP40" s="1015">
        <f t="shared" si="135"/>
        <v>0.75</v>
      </c>
      <c r="FQ40" s="1015">
        <f>+FQ39/FQ38</f>
        <v>1</v>
      </c>
      <c r="FR40" s="1015">
        <f>+FR39/FR38</f>
        <v>0.75</v>
      </c>
      <c r="FS40" s="1015">
        <f>+FS39/FS38</f>
        <v>0.5</v>
      </c>
      <c r="FT40" s="1015">
        <f>+FT39/FT38</f>
        <v>0</v>
      </c>
      <c r="FU40" s="1015">
        <f>+FU39/FU38</f>
        <v>0</v>
      </c>
      <c r="FV40" s="1015"/>
      <c r="FW40" s="1015">
        <f>+FW39/FW38</f>
        <v>0</v>
      </c>
      <c r="FX40" s="1015">
        <f>+FX39/FX38</f>
        <v>0.33333333333333331</v>
      </c>
      <c r="FY40" s="1015">
        <f>+FY39/FY38</f>
        <v>0</v>
      </c>
      <c r="FZ40" s="1015">
        <f>+FZ39/FZ38</f>
        <v>0.5</v>
      </c>
      <c r="GA40" s="1015"/>
      <c r="GB40" s="1015"/>
      <c r="GC40" s="1015">
        <f t="shared" ref="GC40:GH40" si="136">+GC39/GC38</f>
        <v>0.5</v>
      </c>
      <c r="GD40" s="1015">
        <f t="shared" si="136"/>
        <v>0.66666666666666663</v>
      </c>
      <c r="GE40" s="1015">
        <f t="shared" si="136"/>
        <v>0.66666666666666663</v>
      </c>
      <c r="GF40" s="1015">
        <f t="shared" si="136"/>
        <v>1</v>
      </c>
      <c r="GG40" s="1015">
        <f t="shared" si="136"/>
        <v>1</v>
      </c>
      <c r="GH40" s="1015">
        <f t="shared" si="136"/>
        <v>0</v>
      </c>
      <c r="GI40" s="1015">
        <f t="shared" ref="GI40:GR40" si="137">+GI39/GI38</f>
        <v>0.4</v>
      </c>
      <c r="GJ40" s="1015">
        <f t="shared" si="137"/>
        <v>0.16666666666666666</v>
      </c>
      <c r="GK40" s="1015">
        <f t="shared" si="137"/>
        <v>0.8</v>
      </c>
      <c r="GL40" s="1015">
        <f t="shared" si="137"/>
        <v>1</v>
      </c>
      <c r="GM40" s="1015">
        <f t="shared" si="137"/>
        <v>0.5</v>
      </c>
      <c r="GN40" s="1015">
        <f t="shared" si="137"/>
        <v>0</v>
      </c>
      <c r="GO40" s="1015">
        <f t="shared" si="137"/>
        <v>0.25</v>
      </c>
      <c r="GP40" s="1015">
        <f t="shared" si="137"/>
        <v>0.4</v>
      </c>
      <c r="GQ40" s="1015">
        <f t="shared" si="137"/>
        <v>0.2857142857142857</v>
      </c>
      <c r="GR40" s="1015">
        <f t="shared" si="137"/>
        <v>0.4</v>
      </c>
      <c r="GS40" s="1015">
        <f>+GS39/GS38</f>
        <v>1</v>
      </c>
      <c r="GT40" s="1015">
        <f>+GT39/GT38</f>
        <v>0.33333333333333331</v>
      </c>
      <c r="GU40" s="1015">
        <f>+GU39/GU38</f>
        <v>0.66666666666666663</v>
      </c>
      <c r="GV40" s="1015">
        <f>+GV39/GV38</f>
        <v>0.75</v>
      </c>
      <c r="GW40" s="1015">
        <f>+GW39/GW38</f>
        <v>0.83333333333333337</v>
      </c>
      <c r="GX40" s="1015">
        <f t="shared" ref="GX40:HC40" si="138">+GX39/GX38</f>
        <v>0.7857142857142857</v>
      </c>
      <c r="GY40" s="1015">
        <f t="shared" si="138"/>
        <v>0.8</v>
      </c>
      <c r="GZ40" s="1015">
        <f t="shared" si="138"/>
        <v>0.66666666666666663</v>
      </c>
      <c r="HA40" s="1015">
        <f t="shared" si="138"/>
        <v>0</v>
      </c>
      <c r="HB40" s="1015">
        <f t="shared" si="138"/>
        <v>0.44444444444444442</v>
      </c>
      <c r="HC40" s="1015">
        <f t="shared" si="138"/>
        <v>0.33333333333333331</v>
      </c>
      <c r="HD40" s="1015">
        <f t="shared" ref="HD40:HJ40" si="139">+HD39/HD38</f>
        <v>0.53846153846153844</v>
      </c>
      <c r="HE40" s="1015">
        <f t="shared" si="139"/>
        <v>0.6</v>
      </c>
      <c r="HF40" s="1015">
        <f t="shared" si="139"/>
        <v>0.55555555555555558</v>
      </c>
      <c r="HG40" s="1015">
        <f t="shared" si="139"/>
        <v>0.5</v>
      </c>
      <c r="HH40" s="1015">
        <f t="shared" si="139"/>
        <v>1</v>
      </c>
      <c r="HI40" s="1015">
        <f t="shared" si="139"/>
        <v>0.625</v>
      </c>
      <c r="HJ40" s="1015">
        <f t="shared" si="139"/>
        <v>0.2857142857142857</v>
      </c>
      <c r="HK40" s="1015">
        <f t="shared" ref="HK40:HP40" si="140">+HK39/HK38</f>
        <v>0.16666666666666666</v>
      </c>
      <c r="HL40" s="1015">
        <f t="shared" si="140"/>
        <v>1</v>
      </c>
      <c r="HM40" s="1015">
        <f t="shared" si="140"/>
        <v>0</v>
      </c>
      <c r="HN40" s="1015">
        <f t="shared" si="140"/>
        <v>0.58333333333333337</v>
      </c>
      <c r="HO40" s="1015">
        <f t="shared" si="140"/>
        <v>0.27272727272727271</v>
      </c>
      <c r="HP40" s="1015">
        <f t="shared" si="140"/>
        <v>0.16666666666666666</v>
      </c>
      <c r="HQ40" s="1015">
        <f t="shared" ref="HQ40:HW40" si="141">+HQ39/HQ38</f>
        <v>0.6</v>
      </c>
      <c r="HR40" s="1015">
        <f t="shared" si="141"/>
        <v>0.33333333333333331</v>
      </c>
      <c r="HS40" s="1015">
        <f t="shared" si="141"/>
        <v>0.55555555555555558</v>
      </c>
      <c r="HT40" s="1015">
        <f t="shared" si="141"/>
        <v>0.45454545454545453</v>
      </c>
      <c r="HU40" s="1015">
        <f t="shared" si="141"/>
        <v>0</v>
      </c>
      <c r="HV40" s="1015">
        <f t="shared" si="141"/>
        <v>0</v>
      </c>
      <c r="HW40" s="1015">
        <f t="shared" si="141"/>
        <v>0.63636363636363635</v>
      </c>
      <c r="HX40" s="1015">
        <f t="shared" ref="HX40:HZ40" si="142">+HX39/HX38</f>
        <v>0</v>
      </c>
      <c r="HY40" s="1015">
        <f t="shared" si="142"/>
        <v>0.83333333333333337</v>
      </c>
      <c r="HZ40" s="1015">
        <f t="shared" si="142"/>
        <v>0.75</v>
      </c>
      <c r="IA40" s="1015">
        <f t="shared" ref="IA40:IB40" si="143">+IA39/IA38</f>
        <v>0.5714285714285714</v>
      </c>
      <c r="IB40" s="1015">
        <f t="shared" si="143"/>
        <v>0.25</v>
      </c>
      <c r="IC40" s="1015">
        <f t="shared" ref="IC40:ID40" si="144">+IC39/IC38</f>
        <v>0.875</v>
      </c>
      <c r="ID40" s="1015">
        <f t="shared" si="144"/>
        <v>0</v>
      </c>
      <c r="IE40" s="1015">
        <f t="shared" ref="IE40:IG40" si="145">+IE39/IE38</f>
        <v>0.1</v>
      </c>
      <c r="IF40" s="1015">
        <f t="shared" si="145"/>
        <v>0.83333333333333337</v>
      </c>
      <c r="IG40" s="1015">
        <f t="shared" si="145"/>
        <v>0.66666666666666663</v>
      </c>
      <c r="IH40" s="1015">
        <f t="shared" ref="IH40:II40" si="146">+IH39/IH38</f>
        <v>0.6</v>
      </c>
      <c r="II40" s="1015">
        <f t="shared" si="146"/>
        <v>0.375</v>
      </c>
      <c r="IJ40" s="1015">
        <f t="shared" ref="IJ40:IK40" si="147">+IJ39/IJ38</f>
        <v>0</v>
      </c>
      <c r="IK40" s="1015">
        <f t="shared" si="147"/>
        <v>0</v>
      </c>
      <c r="IL40" s="1015">
        <f t="shared" ref="IL40:IM40" si="148">+IL39/IL38</f>
        <v>0</v>
      </c>
      <c r="IM40" s="1015">
        <f t="shared" si="148"/>
        <v>0.5</v>
      </c>
      <c r="IN40" s="1015">
        <f t="shared" ref="IN40:IO40" si="149">+IN39/IN38</f>
        <v>1</v>
      </c>
      <c r="IO40" s="1015">
        <f t="shared" si="149"/>
        <v>0</v>
      </c>
      <c r="IP40" s="1015">
        <f t="shared" ref="IP40:IQ40" si="150">+IP39/IP38</f>
        <v>1</v>
      </c>
      <c r="IQ40" s="1015">
        <f t="shared" si="150"/>
        <v>1</v>
      </c>
      <c r="IR40" s="1015">
        <f t="shared" ref="IR40:IS40" si="151">+IR39/IR38</f>
        <v>0.8</v>
      </c>
      <c r="IS40" s="1015">
        <f t="shared" si="151"/>
        <v>0.75</v>
      </c>
      <c r="IT40" s="1015">
        <f t="shared" ref="IT40:IU40" si="152">+IT39/IT38</f>
        <v>0.72727272727272729</v>
      </c>
      <c r="IU40" s="1015">
        <f t="shared" si="152"/>
        <v>0.6</v>
      </c>
      <c r="IV40" s="1015">
        <f t="shared" ref="IV40:IX40" si="153">+IV39/IV38</f>
        <v>0.4</v>
      </c>
      <c r="IW40" s="1015">
        <f t="shared" si="153"/>
        <v>0.33333333333333331</v>
      </c>
      <c r="IX40" s="1015">
        <f t="shared" si="153"/>
        <v>0.7142857142857143</v>
      </c>
      <c r="IY40" s="1015">
        <f t="shared" ref="IY40:IZ40" si="154">+IY39/IY38</f>
        <v>0.75</v>
      </c>
      <c r="IZ40" s="1015">
        <f t="shared" si="154"/>
        <v>1</v>
      </c>
      <c r="JA40" s="1015">
        <f t="shared" ref="JA40:JD40" si="155">+JA39/JA38</f>
        <v>1</v>
      </c>
      <c r="JB40" s="1015">
        <f t="shared" si="155"/>
        <v>0</v>
      </c>
      <c r="JC40" s="1015">
        <f t="shared" si="155"/>
        <v>0.33333333333333331</v>
      </c>
      <c r="JD40" s="1015">
        <f t="shared" si="155"/>
        <v>0.33333333333333331</v>
      </c>
      <c r="JE40" s="1015">
        <f t="shared" ref="JE40" si="156">+JE39/JE38</f>
        <v>0.5</v>
      </c>
      <c r="JF40" s="1015"/>
      <c r="JI40" s="1015">
        <f t="shared" ref="JI40:JY40" si="157">+JI39/JI38</f>
        <v>0.8</v>
      </c>
      <c r="JJ40" s="1015">
        <f t="shared" si="157"/>
        <v>1</v>
      </c>
      <c r="JK40" s="1015">
        <f t="shared" si="157"/>
        <v>0.36363636363636365</v>
      </c>
      <c r="JL40" s="1015">
        <f t="shared" si="157"/>
        <v>1</v>
      </c>
      <c r="JM40" s="1015">
        <f t="shared" si="157"/>
        <v>0.66666666666666663</v>
      </c>
      <c r="JN40" s="1015">
        <f t="shared" si="157"/>
        <v>0.5</v>
      </c>
      <c r="JO40" s="1015">
        <f t="shared" si="157"/>
        <v>0</v>
      </c>
      <c r="JP40" s="1015">
        <f t="shared" si="157"/>
        <v>1</v>
      </c>
      <c r="JQ40" s="1015">
        <f t="shared" si="157"/>
        <v>0.25</v>
      </c>
      <c r="JR40" s="1015">
        <f t="shared" si="157"/>
        <v>0</v>
      </c>
      <c r="JS40" s="1015">
        <f t="shared" si="157"/>
        <v>1</v>
      </c>
      <c r="JT40" s="1015">
        <f t="shared" si="157"/>
        <v>1</v>
      </c>
      <c r="JU40" s="1015">
        <f t="shared" si="157"/>
        <v>1</v>
      </c>
      <c r="JV40" s="1015">
        <f t="shared" si="157"/>
        <v>1</v>
      </c>
      <c r="JW40" s="1015">
        <f t="shared" si="157"/>
        <v>1</v>
      </c>
      <c r="JX40" s="1015">
        <f t="shared" si="157"/>
        <v>1</v>
      </c>
      <c r="JY40" s="1015">
        <f t="shared" si="157"/>
        <v>0.8571428571428571</v>
      </c>
      <c r="JZ40" s="1015">
        <f t="shared" ref="JZ40:KG40" si="158">+JZ39/JZ38</f>
        <v>1</v>
      </c>
      <c r="KA40" s="1015" t="e">
        <f t="shared" si="158"/>
        <v>#DIV/0!</v>
      </c>
      <c r="KB40" s="1015">
        <f t="shared" si="158"/>
        <v>1</v>
      </c>
      <c r="KC40" s="1015">
        <f t="shared" si="158"/>
        <v>0.88888888888888884</v>
      </c>
      <c r="KD40" s="1015">
        <f t="shared" si="158"/>
        <v>1</v>
      </c>
      <c r="KE40" s="1015">
        <f t="shared" si="158"/>
        <v>1</v>
      </c>
      <c r="KF40" s="1015">
        <f t="shared" si="158"/>
        <v>1</v>
      </c>
      <c r="KG40" s="1015">
        <f t="shared" si="158"/>
        <v>1</v>
      </c>
      <c r="KH40" s="1015">
        <f t="shared" ref="KH40:KJ40" si="159">+KH39/KH38</f>
        <v>1</v>
      </c>
      <c r="KI40" s="1015">
        <f t="shared" si="159"/>
        <v>0.5</v>
      </c>
      <c r="KJ40" s="1015">
        <f t="shared" si="159"/>
        <v>1</v>
      </c>
      <c r="KK40" s="1015">
        <f t="shared" ref="KK40:KL40" si="160">+KK39/KK38</f>
        <v>0.8571428571428571</v>
      </c>
      <c r="KL40" s="1015">
        <f t="shared" si="160"/>
        <v>1</v>
      </c>
      <c r="KM40" s="1015">
        <f t="shared" ref="KM40:KN40" si="161">+KM39/KM38</f>
        <v>1</v>
      </c>
      <c r="KN40" s="1015">
        <f t="shared" si="161"/>
        <v>0</v>
      </c>
      <c r="KO40" s="1015">
        <f t="shared" ref="KO40:KP40" si="162">+KO39/KO38</f>
        <v>1</v>
      </c>
      <c r="KP40" s="1015">
        <f t="shared" si="162"/>
        <v>0.54545454545454541</v>
      </c>
      <c r="KQ40" s="1015">
        <f t="shared" ref="KQ40:KT40" si="163">+KQ39/KQ38</f>
        <v>0</v>
      </c>
      <c r="KR40" s="1015">
        <f t="shared" si="163"/>
        <v>0.2857142857142857</v>
      </c>
      <c r="KS40" s="1015">
        <f t="shared" si="163"/>
        <v>1</v>
      </c>
      <c r="KT40" s="1015">
        <f t="shared" si="163"/>
        <v>1</v>
      </c>
      <c r="KU40" s="1015">
        <f t="shared" ref="KU40:KW40" si="164">+KU39/KU38</f>
        <v>1</v>
      </c>
      <c r="KV40" s="1015">
        <f t="shared" si="164"/>
        <v>1</v>
      </c>
      <c r="KW40" s="1015">
        <f t="shared" si="164"/>
        <v>1</v>
      </c>
      <c r="KX40" s="1015"/>
      <c r="KY40" s="1015">
        <f t="shared" ref="KY40:KZ40" si="165">+KY39/KY38</f>
        <v>1</v>
      </c>
      <c r="KZ40" s="1015">
        <f t="shared" si="165"/>
        <v>1</v>
      </c>
      <c r="LA40" s="1015">
        <f t="shared" ref="LA40:LC40" si="166">+LA39/LA38</f>
        <v>1</v>
      </c>
      <c r="LB40" s="1015">
        <f t="shared" si="166"/>
        <v>1</v>
      </c>
      <c r="LC40" s="1015">
        <f t="shared" si="166"/>
        <v>1</v>
      </c>
      <c r="LD40" s="1015">
        <f t="shared" ref="LD40:LE40" si="167">+LD39/LD38</f>
        <v>1</v>
      </c>
      <c r="LE40" s="1015">
        <f t="shared" si="167"/>
        <v>0</v>
      </c>
      <c r="LF40" s="1015">
        <f t="shared" ref="LF40:LG40" si="168">+LF39/LF38</f>
        <v>1</v>
      </c>
      <c r="LG40" s="1015">
        <f t="shared" si="168"/>
        <v>1</v>
      </c>
      <c r="LH40" s="1015">
        <f t="shared" ref="LH40:LI40" si="169">+LH39/LH38</f>
        <v>1</v>
      </c>
      <c r="LI40" s="1015">
        <f t="shared" si="169"/>
        <v>1</v>
      </c>
      <c r="LJ40" s="1015">
        <f t="shared" ref="LJ40:LK40" si="170">+LJ39/LJ38</f>
        <v>1</v>
      </c>
      <c r="LK40" s="1015">
        <f t="shared" si="170"/>
        <v>1</v>
      </c>
      <c r="LL40" s="1015">
        <f t="shared" ref="LL40:LM40" si="171">+LL39/LL38</f>
        <v>0.2</v>
      </c>
      <c r="LM40" s="1015">
        <f t="shared" si="171"/>
        <v>1</v>
      </c>
      <c r="LN40" s="1015">
        <f t="shared" ref="LN40:LO40" si="172">+LN39/LN38</f>
        <v>0</v>
      </c>
      <c r="LO40" s="1015">
        <f t="shared" si="172"/>
        <v>1</v>
      </c>
      <c r="LP40" s="1015">
        <f t="shared" ref="LP40:LQ40" si="173">+LP39/LP38</f>
        <v>1</v>
      </c>
      <c r="LQ40" s="1015">
        <f t="shared" si="173"/>
        <v>1</v>
      </c>
      <c r="LR40" s="1015">
        <f t="shared" ref="LR40:LU40" si="174">+LR39/LR38</f>
        <v>1</v>
      </c>
      <c r="LS40" s="1015">
        <f t="shared" si="174"/>
        <v>0</v>
      </c>
      <c r="LT40" s="1015"/>
      <c r="LU40" s="1015">
        <f t="shared" si="174"/>
        <v>1</v>
      </c>
    </row>
    <row r="43" spans="2:333" x14ac:dyDescent="0.2">
      <c r="Q43" s="277"/>
      <c r="R43" s="277"/>
      <c r="S43" s="1059"/>
      <c r="X43" s="1059"/>
      <c r="Y43" s="1059"/>
      <c r="Z43" s="277"/>
      <c r="AA43" s="277"/>
      <c r="AB43" s="277"/>
      <c r="AC43" s="277"/>
      <c r="AD43" s="277"/>
      <c r="AE43" s="277"/>
      <c r="AF43" s="277"/>
      <c r="AG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row>
    <row r="44" spans="2:333" x14ac:dyDescent="0.2">
      <c r="Q44" s="277"/>
      <c r="R44" s="277"/>
      <c r="S44" s="1060"/>
      <c r="X44" s="1059"/>
      <c r="Y44" s="1059"/>
      <c r="Z44" s="277"/>
      <c r="AA44" s="277"/>
      <c r="AB44" s="277"/>
      <c r="AC44" s="277"/>
      <c r="AD44" s="277"/>
      <c r="AE44" s="277"/>
      <c r="AF44" s="277"/>
      <c r="AG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7"/>
      <c r="BJ44" s="277"/>
      <c r="BK44" s="277"/>
      <c r="BL44" s="277"/>
      <c r="BM44" s="277"/>
      <c r="BN44" s="277"/>
      <c r="BO44" s="277"/>
      <c r="BP44" s="277"/>
      <c r="BQ44" s="277"/>
      <c r="BR44" s="277"/>
      <c r="BS44" s="277"/>
      <c r="BT44" s="277"/>
      <c r="BU44" s="277"/>
      <c r="BV44" s="277"/>
      <c r="BW44" s="277"/>
      <c r="BX44" s="277"/>
      <c r="BY44" s="277"/>
      <c r="BZ44" s="277"/>
      <c r="CA44" s="277"/>
      <c r="CB44" s="277"/>
      <c r="CC44" s="277"/>
      <c r="CD44" s="277"/>
      <c r="CE44" s="277"/>
      <c r="CF44" s="277"/>
      <c r="CG44" s="277"/>
      <c r="CH44" s="277"/>
      <c r="CI44" s="277"/>
      <c r="CJ44" s="277"/>
      <c r="CK44" s="277"/>
      <c r="CL44" s="277"/>
      <c r="CM44" s="277"/>
      <c r="CN44" s="277"/>
      <c r="CO44" s="277"/>
      <c r="CP44" s="277"/>
      <c r="CQ44" s="277"/>
      <c r="CR44" s="277"/>
      <c r="CS44" s="277"/>
      <c r="CT44" s="277"/>
      <c r="CU44" s="277"/>
      <c r="CV44" s="277"/>
      <c r="CW44" s="277"/>
      <c r="CX44" s="277"/>
      <c r="CY44" s="277"/>
      <c r="CZ44" s="277"/>
      <c r="DA44" s="277"/>
      <c r="DB44" s="277"/>
      <c r="DC44" s="277"/>
      <c r="DD44" s="277"/>
      <c r="DE44" s="277"/>
      <c r="DF44" s="277"/>
      <c r="DG44" s="277"/>
      <c r="DH44" s="277"/>
      <c r="DI44" s="277"/>
      <c r="DJ44" s="277"/>
      <c r="DK44" s="277"/>
      <c r="DL44" s="277"/>
      <c r="DM44" s="277"/>
      <c r="DN44" s="277"/>
      <c r="DO44" s="277"/>
      <c r="DP44" s="277"/>
      <c r="DQ44" s="277"/>
      <c r="DR44" s="277"/>
      <c r="DS44" s="277"/>
      <c r="DT44" s="277"/>
      <c r="DU44" s="277"/>
      <c r="DV44" s="277"/>
      <c r="DW44" s="277"/>
      <c r="DX44" s="277"/>
      <c r="DY44" s="277"/>
      <c r="DZ44" s="277"/>
      <c r="EA44" s="277"/>
      <c r="EB44" s="277"/>
      <c r="EC44" s="277"/>
      <c r="ED44" s="277"/>
      <c r="EE44" s="277"/>
      <c r="EF44" s="277"/>
      <c r="EG44" s="277"/>
      <c r="EH44" s="277"/>
      <c r="EI44" s="277"/>
      <c r="EJ44" s="277"/>
      <c r="EK44" s="277"/>
      <c r="EL44" s="277"/>
      <c r="EM44" s="277"/>
      <c r="EN44" s="277"/>
      <c r="EO44" s="277"/>
      <c r="EP44" s="277"/>
      <c r="EQ44" s="277"/>
      <c r="ER44" s="277"/>
      <c r="ES44" s="277"/>
      <c r="ET44" s="277"/>
      <c r="EU44" s="277"/>
      <c r="EV44" s="277"/>
      <c r="EW44" s="277"/>
      <c r="EX44" s="277"/>
      <c r="EY44" s="277"/>
      <c r="EZ44" s="277"/>
      <c r="FA44" s="277"/>
      <c r="FB44" s="277"/>
      <c r="FC44" s="277"/>
      <c r="FD44" s="277"/>
      <c r="FE44" s="277"/>
      <c r="FF44" s="277"/>
      <c r="FG44" s="277"/>
      <c r="FH44" s="277"/>
      <c r="FI44" s="277"/>
      <c r="FJ44" s="277"/>
      <c r="FK44" s="277"/>
      <c r="FL44" s="277"/>
      <c r="FM44" s="277"/>
      <c r="FN44" s="277"/>
      <c r="FO44" s="277"/>
      <c r="FP44" s="277"/>
      <c r="FQ44" s="277"/>
      <c r="FR44" s="277"/>
      <c r="FS44" s="277"/>
      <c r="FT44" s="277"/>
      <c r="FU44" s="277"/>
      <c r="FV44" s="277"/>
      <c r="FW44" s="277"/>
      <c r="FX44" s="277"/>
      <c r="FY44" s="277"/>
      <c r="FZ44" s="277"/>
      <c r="GA44" s="277"/>
      <c r="GB44" s="277"/>
      <c r="GC44" s="277"/>
      <c r="GD44" s="277"/>
      <c r="GE44" s="277"/>
      <c r="GF44" s="277"/>
      <c r="GG44" s="277"/>
      <c r="GH44" s="277"/>
      <c r="GI44" s="277"/>
      <c r="GJ44" s="277"/>
      <c r="GK44" s="277"/>
      <c r="GL44" s="277"/>
      <c r="GM44" s="277"/>
      <c r="GN44" s="277"/>
      <c r="GO44" s="277"/>
      <c r="GP44" s="277"/>
      <c r="GQ44" s="277"/>
      <c r="GR44" s="277"/>
      <c r="GS44" s="277"/>
      <c r="GT44" s="277"/>
      <c r="GU44" s="277"/>
      <c r="GV44" s="277"/>
      <c r="GW44" s="277"/>
      <c r="GX44" s="277"/>
      <c r="GY44" s="277"/>
      <c r="GZ44" s="277"/>
      <c r="HA44" s="277"/>
      <c r="HB44" s="277"/>
      <c r="HC44" s="277"/>
      <c r="HD44" s="277"/>
      <c r="HE44" s="277"/>
      <c r="HF44" s="277"/>
      <c r="HG44" s="277"/>
      <c r="HH44" s="277"/>
      <c r="HI44" s="277"/>
      <c r="HJ44" s="277"/>
      <c r="HK44" s="277"/>
      <c r="HL44" s="277"/>
      <c r="HM44" s="277"/>
      <c r="HN44" s="277"/>
      <c r="HO44" s="277"/>
      <c r="HP44" s="277"/>
      <c r="HQ44" s="277"/>
      <c r="HR44" s="277"/>
      <c r="HS44" s="277"/>
      <c r="HT44" s="277"/>
      <c r="HU44" s="277"/>
      <c r="HV44" s="277"/>
      <c r="HW44" s="277"/>
      <c r="HX44" s="277"/>
      <c r="HY44" s="277"/>
      <c r="HZ44" s="277"/>
      <c r="IA44" s="277"/>
      <c r="IB44" s="277"/>
      <c r="IC44" s="277"/>
      <c r="ID44" s="277"/>
      <c r="IE44" s="277"/>
      <c r="IF44" s="277"/>
      <c r="IG44" s="277"/>
      <c r="IH44" s="277"/>
      <c r="II44" s="277"/>
      <c r="IJ44" s="277"/>
      <c r="IK44" s="277"/>
      <c r="IL44" s="277"/>
      <c r="IM44" s="277"/>
      <c r="IN44" s="277"/>
      <c r="IO44" s="277"/>
      <c r="IP44" s="277"/>
      <c r="IQ44" s="277"/>
      <c r="IR44" s="277"/>
      <c r="IS44" s="277"/>
      <c r="IT44" s="277"/>
      <c r="IU44" s="277"/>
      <c r="IV44" s="277"/>
      <c r="IW44" s="277"/>
      <c r="IX44" s="277"/>
      <c r="IY44" s="277"/>
      <c r="IZ44" s="277"/>
      <c r="JA44" s="277"/>
      <c r="JB44" s="277"/>
      <c r="JC44" s="277"/>
      <c r="JD44" s="277"/>
      <c r="JE44" s="277"/>
      <c r="JF44" s="277"/>
    </row>
    <row r="45" spans="2:333" x14ac:dyDescent="0.2">
      <c r="Q45" s="277"/>
      <c r="R45" s="277"/>
      <c r="S45" s="1060"/>
      <c r="X45" s="1059"/>
      <c r="Y45" s="1059"/>
      <c r="Z45" s="277"/>
      <c r="AA45" s="277"/>
      <c r="AB45" s="277"/>
      <c r="AC45" s="277"/>
      <c r="AD45" s="277"/>
      <c r="AE45" s="277"/>
      <c r="AF45" s="277"/>
      <c r="AG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7"/>
      <c r="BJ45" s="277"/>
      <c r="BK45" s="277"/>
      <c r="BL45" s="277"/>
      <c r="BM45" s="277"/>
      <c r="BN45" s="277"/>
      <c r="BO45" s="277"/>
      <c r="BP45" s="277"/>
      <c r="BQ45" s="277"/>
      <c r="BR45" s="277"/>
      <c r="BS45" s="277"/>
      <c r="BT45" s="277"/>
      <c r="BU45" s="277"/>
      <c r="BV45" s="277"/>
      <c r="BW45" s="277"/>
      <c r="BX45" s="277"/>
      <c r="BY45" s="277"/>
      <c r="BZ45" s="277"/>
      <c r="CA45" s="277"/>
      <c r="CB45" s="277"/>
      <c r="CC45" s="277"/>
      <c r="CD45" s="277"/>
      <c r="CE45" s="277"/>
      <c r="CF45" s="277"/>
      <c r="CG45" s="277"/>
      <c r="CH45" s="277"/>
      <c r="CI45" s="277"/>
      <c r="CJ45" s="277"/>
      <c r="CK45" s="277"/>
      <c r="CL45" s="277"/>
      <c r="CM45" s="277"/>
      <c r="CN45" s="277"/>
      <c r="CO45" s="277"/>
      <c r="CP45" s="277"/>
      <c r="CQ45" s="277"/>
      <c r="CR45" s="277"/>
      <c r="CS45" s="277"/>
      <c r="CT45" s="277"/>
      <c r="CU45" s="277"/>
      <c r="CV45" s="277"/>
      <c r="CW45" s="277"/>
      <c r="CX45" s="277"/>
      <c r="CY45" s="277"/>
      <c r="CZ45" s="277"/>
      <c r="DA45" s="277"/>
      <c r="DB45" s="277"/>
      <c r="DC45" s="277"/>
      <c r="DD45" s="277"/>
      <c r="DE45" s="277"/>
      <c r="DF45" s="277"/>
      <c r="DG45" s="277"/>
      <c r="DH45" s="277"/>
      <c r="DI45" s="277"/>
      <c r="DJ45" s="277"/>
      <c r="DK45" s="277"/>
      <c r="DL45" s="277"/>
      <c r="DM45" s="277"/>
      <c r="DN45" s="277"/>
      <c r="DO45" s="277"/>
      <c r="DP45" s="277"/>
      <c r="DQ45" s="277"/>
      <c r="DR45" s="277"/>
      <c r="DS45" s="277"/>
      <c r="DT45" s="277"/>
      <c r="DU45" s="277"/>
      <c r="DV45" s="277"/>
      <c r="DW45" s="277"/>
      <c r="DX45" s="277"/>
      <c r="DY45" s="277"/>
      <c r="DZ45" s="277"/>
      <c r="EA45" s="277"/>
      <c r="EB45" s="277"/>
      <c r="EC45" s="277"/>
      <c r="ED45" s="277"/>
      <c r="EE45" s="277"/>
      <c r="EF45" s="277"/>
      <c r="EG45" s="277"/>
      <c r="EH45" s="277"/>
      <c r="EI45" s="277"/>
      <c r="EJ45" s="277"/>
      <c r="EK45" s="277"/>
      <c r="EL45" s="277"/>
      <c r="EM45" s="277"/>
      <c r="EN45" s="277"/>
      <c r="EO45" s="277"/>
      <c r="EP45" s="277"/>
      <c r="EQ45" s="277"/>
      <c r="ER45" s="277"/>
      <c r="ES45" s="277"/>
      <c r="ET45" s="277"/>
      <c r="EU45" s="277"/>
      <c r="EV45" s="277"/>
      <c r="EW45" s="277"/>
      <c r="EX45" s="277"/>
      <c r="EY45" s="277"/>
      <c r="EZ45" s="277"/>
      <c r="FA45" s="277"/>
      <c r="FB45" s="277"/>
      <c r="FC45" s="277"/>
      <c r="FD45" s="277"/>
      <c r="FE45" s="277"/>
      <c r="FF45" s="277"/>
      <c r="FG45" s="277"/>
      <c r="FH45" s="277"/>
      <c r="FI45" s="277"/>
      <c r="FJ45" s="277"/>
      <c r="FK45" s="277"/>
      <c r="FL45" s="277"/>
      <c r="FM45" s="277"/>
      <c r="FN45" s="277"/>
      <c r="FO45" s="277"/>
      <c r="FP45" s="277"/>
      <c r="FQ45" s="277"/>
      <c r="FR45" s="277"/>
      <c r="FS45" s="277"/>
      <c r="FT45" s="277"/>
      <c r="FU45" s="277"/>
      <c r="FV45" s="277"/>
      <c r="FW45" s="277"/>
      <c r="FX45" s="277"/>
      <c r="FY45" s="277"/>
      <c r="FZ45" s="277"/>
      <c r="GA45" s="277"/>
      <c r="GB45" s="277"/>
      <c r="GC45" s="277"/>
      <c r="GD45" s="277"/>
      <c r="GE45" s="277"/>
      <c r="GF45" s="277"/>
      <c r="GG45" s="277"/>
      <c r="GH45" s="277"/>
      <c r="GI45" s="277"/>
      <c r="GJ45" s="277"/>
      <c r="GK45" s="277"/>
      <c r="GL45" s="277"/>
      <c r="GM45" s="277"/>
      <c r="GN45" s="277"/>
      <c r="GO45" s="277"/>
      <c r="GP45" s="277"/>
      <c r="GQ45" s="277"/>
      <c r="GR45" s="277"/>
      <c r="GS45" s="277"/>
      <c r="GT45" s="277"/>
      <c r="GU45" s="277"/>
      <c r="GV45" s="277"/>
      <c r="GW45" s="277"/>
      <c r="GX45" s="277"/>
      <c r="GY45" s="277"/>
      <c r="GZ45" s="277"/>
      <c r="HA45" s="277"/>
      <c r="HB45" s="277"/>
      <c r="HC45" s="277"/>
      <c r="HD45" s="277"/>
      <c r="HE45" s="277"/>
      <c r="HF45" s="277"/>
      <c r="HG45" s="277"/>
      <c r="HH45" s="277"/>
      <c r="HI45" s="277"/>
      <c r="HJ45" s="277"/>
      <c r="HK45" s="277"/>
      <c r="HL45" s="277"/>
      <c r="HM45" s="277"/>
      <c r="HN45" s="277"/>
      <c r="HO45" s="277"/>
      <c r="HP45" s="277"/>
      <c r="HQ45" s="277"/>
      <c r="HR45" s="277"/>
      <c r="HS45" s="277"/>
      <c r="HT45" s="277"/>
      <c r="HU45" s="277"/>
      <c r="HV45" s="277"/>
      <c r="HW45" s="277"/>
      <c r="HX45" s="277"/>
      <c r="HY45" s="277"/>
      <c r="HZ45" s="277"/>
      <c r="IA45" s="277"/>
      <c r="IB45" s="277"/>
      <c r="IC45" s="277"/>
      <c r="ID45" s="277"/>
      <c r="IE45" s="277"/>
      <c r="IF45" s="277"/>
      <c r="IG45" s="277"/>
      <c r="IH45" s="277"/>
      <c r="II45" s="277"/>
      <c r="IJ45" s="277"/>
      <c r="IK45" s="277"/>
      <c r="IL45" s="277"/>
      <c r="IM45" s="277"/>
      <c r="IN45" s="277"/>
      <c r="IO45" s="277"/>
      <c r="IP45" s="277"/>
      <c r="IQ45" s="277"/>
      <c r="IR45" s="277"/>
      <c r="IS45" s="277"/>
      <c r="IT45" s="277"/>
      <c r="IU45" s="277"/>
      <c r="IV45" s="277"/>
      <c r="IW45" s="277"/>
      <c r="IX45" s="277"/>
      <c r="IY45" s="277"/>
      <c r="IZ45" s="277"/>
      <c r="JA45" s="277"/>
      <c r="JB45" s="277"/>
      <c r="JC45" s="277"/>
      <c r="JD45" s="277"/>
      <c r="JE45" s="277"/>
      <c r="JF45" s="277"/>
    </row>
    <row r="46" spans="2:333" x14ac:dyDescent="0.2">
      <c r="Q46" s="277"/>
      <c r="R46" s="277"/>
      <c r="S46" s="1060"/>
      <c r="X46" s="1059"/>
      <c r="Y46" s="1059"/>
      <c r="Z46" s="277"/>
      <c r="AA46" s="277"/>
      <c r="AB46" s="277"/>
      <c r="AC46" s="277"/>
      <c r="AD46" s="277"/>
      <c r="AE46" s="277"/>
      <c r="AF46" s="277"/>
      <c r="AG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7"/>
      <c r="BK46" s="277"/>
      <c r="BL46" s="277"/>
      <c r="BM46" s="277"/>
      <c r="BN46" s="277"/>
      <c r="BO46" s="277"/>
      <c r="BP46" s="277"/>
      <c r="BQ46" s="277"/>
      <c r="BR46" s="277"/>
      <c r="BS46" s="277"/>
      <c r="BT46" s="277"/>
      <c r="BU46" s="277"/>
      <c r="BV46" s="277"/>
      <c r="BW46" s="277"/>
      <c r="BX46" s="277"/>
      <c r="BY46" s="277"/>
      <c r="BZ46" s="277"/>
      <c r="CA46" s="277"/>
      <c r="CB46" s="277"/>
      <c r="CC46" s="277"/>
      <c r="CD46" s="277"/>
      <c r="CE46" s="277"/>
      <c r="CF46" s="277"/>
      <c r="CG46" s="277"/>
      <c r="CH46" s="277"/>
      <c r="CI46" s="277"/>
      <c r="CJ46" s="277"/>
      <c r="CK46" s="277"/>
      <c r="CL46" s="277"/>
      <c r="CM46" s="277"/>
      <c r="CN46" s="277"/>
      <c r="CO46" s="277"/>
      <c r="CP46" s="277"/>
      <c r="CQ46" s="277"/>
      <c r="CR46" s="277"/>
      <c r="CS46" s="277"/>
      <c r="CT46" s="277"/>
      <c r="CU46" s="277"/>
      <c r="CV46" s="277"/>
      <c r="CW46" s="277"/>
      <c r="CX46" s="277"/>
      <c r="CY46" s="277"/>
      <c r="CZ46" s="277"/>
      <c r="DA46" s="277"/>
      <c r="DB46" s="277"/>
      <c r="DC46" s="277"/>
      <c r="DD46" s="277"/>
      <c r="DE46" s="277"/>
      <c r="DF46" s="277"/>
      <c r="DG46" s="277"/>
      <c r="DH46" s="277"/>
      <c r="DI46" s="277"/>
      <c r="DJ46" s="277"/>
      <c r="DK46" s="277"/>
      <c r="DL46" s="277"/>
      <c r="DM46" s="277"/>
      <c r="DN46" s="277"/>
      <c r="DO46" s="277"/>
      <c r="DP46" s="277"/>
      <c r="DQ46" s="277"/>
      <c r="DR46" s="277"/>
      <c r="DS46" s="277"/>
      <c r="DT46" s="277"/>
      <c r="DU46" s="277"/>
      <c r="DV46" s="277"/>
      <c r="DW46" s="277"/>
      <c r="DX46" s="277"/>
      <c r="DY46" s="277"/>
      <c r="DZ46" s="277"/>
      <c r="EA46" s="277"/>
      <c r="EB46" s="277"/>
      <c r="EC46" s="277"/>
      <c r="ED46" s="277"/>
      <c r="EE46" s="277"/>
      <c r="EF46" s="277"/>
      <c r="EG46" s="277"/>
      <c r="EH46" s="277"/>
      <c r="EI46" s="277"/>
      <c r="EJ46" s="277"/>
      <c r="EK46" s="277"/>
      <c r="EL46" s="277"/>
      <c r="EM46" s="277"/>
      <c r="EN46" s="277"/>
      <c r="EO46" s="277"/>
      <c r="EP46" s="277"/>
      <c r="EQ46" s="277"/>
      <c r="ER46" s="277"/>
      <c r="ES46" s="277"/>
      <c r="ET46" s="277"/>
      <c r="EU46" s="277"/>
      <c r="EV46" s="277"/>
      <c r="EW46" s="277"/>
      <c r="EX46" s="277"/>
      <c r="EY46" s="277"/>
      <c r="EZ46" s="277"/>
      <c r="FA46" s="277"/>
      <c r="FB46" s="277"/>
      <c r="FC46" s="277"/>
      <c r="FD46" s="277"/>
      <c r="FE46" s="277"/>
      <c r="FF46" s="277"/>
      <c r="FG46" s="277"/>
      <c r="FH46" s="277"/>
      <c r="FI46" s="277"/>
      <c r="FJ46" s="277"/>
      <c r="FK46" s="277"/>
      <c r="FL46" s="277"/>
      <c r="FM46" s="277"/>
      <c r="FN46" s="277"/>
      <c r="FO46" s="277"/>
      <c r="FP46" s="277"/>
      <c r="FQ46" s="277"/>
      <c r="FR46" s="277"/>
      <c r="FS46" s="277"/>
      <c r="FT46" s="277"/>
      <c r="FU46" s="277"/>
      <c r="FV46" s="277"/>
      <c r="FW46" s="277"/>
      <c r="FX46" s="277"/>
      <c r="FY46" s="277"/>
      <c r="FZ46" s="277"/>
      <c r="GA46" s="277"/>
      <c r="GB46" s="277"/>
      <c r="GC46" s="277"/>
      <c r="GD46" s="277"/>
      <c r="GE46" s="277"/>
      <c r="GF46" s="277"/>
      <c r="GG46" s="277"/>
      <c r="GH46" s="277"/>
      <c r="GI46" s="277"/>
      <c r="GJ46" s="277"/>
      <c r="GK46" s="277"/>
      <c r="GL46" s="277"/>
      <c r="GM46" s="277"/>
      <c r="GN46" s="277"/>
      <c r="GO46" s="277"/>
      <c r="GP46" s="277"/>
      <c r="GQ46" s="277"/>
      <c r="GR46" s="277"/>
      <c r="GS46" s="277"/>
      <c r="GT46" s="277"/>
      <c r="GU46" s="277"/>
      <c r="GV46" s="277"/>
      <c r="GW46" s="277"/>
      <c r="GX46" s="277"/>
      <c r="GY46" s="277"/>
      <c r="GZ46" s="277"/>
      <c r="HA46" s="277"/>
      <c r="HB46" s="277"/>
      <c r="HC46" s="277"/>
      <c r="HD46" s="277"/>
      <c r="HE46" s="277"/>
      <c r="HF46" s="277"/>
      <c r="HG46" s="277"/>
      <c r="HH46" s="277"/>
      <c r="HI46" s="277"/>
      <c r="HJ46" s="277"/>
      <c r="HK46" s="277"/>
      <c r="HL46" s="277"/>
      <c r="HM46" s="277"/>
      <c r="HN46" s="277"/>
      <c r="HO46" s="277"/>
      <c r="HP46" s="277"/>
      <c r="HQ46" s="277"/>
      <c r="HR46" s="277"/>
      <c r="HS46" s="277"/>
      <c r="HT46" s="277"/>
      <c r="HU46" s="277"/>
      <c r="HV46" s="277"/>
      <c r="HW46" s="277"/>
      <c r="HX46" s="277"/>
      <c r="HY46" s="277"/>
      <c r="HZ46" s="277"/>
      <c r="IA46" s="277"/>
      <c r="IB46" s="277"/>
      <c r="IC46" s="277"/>
      <c r="ID46" s="277"/>
      <c r="IE46" s="277"/>
      <c r="IF46" s="277"/>
      <c r="IG46" s="277"/>
      <c r="IH46" s="277"/>
      <c r="II46" s="277"/>
      <c r="IJ46" s="277"/>
      <c r="IK46" s="277"/>
      <c r="IL46" s="277"/>
      <c r="IM46" s="277"/>
      <c r="IN46" s="277"/>
      <c r="IO46" s="277"/>
      <c r="IP46" s="277"/>
      <c r="IQ46" s="277"/>
      <c r="IR46" s="277"/>
      <c r="IS46" s="277"/>
      <c r="IT46" s="277"/>
      <c r="IU46" s="277"/>
      <c r="IV46" s="277"/>
      <c r="IW46" s="277"/>
      <c r="IX46" s="277"/>
      <c r="IY46" s="277"/>
      <c r="IZ46" s="277"/>
      <c r="JA46" s="277"/>
      <c r="JB46" s="277"/>
      <c r="JC46" s="277"/>
      <c r="JD46" s="277"/>
      <c r="JE46" s="277"/>
      <c r="JF46" s="277"/>
    </row>
    <row r="47" spans="2:333" x14ac:dyDescent="0.2">
      <c r="Q47" s="277"/>
      <c r="R47" s="277"/>
      <c r="S47" s="1060"/>
      <c r="X47" s="1059"/>
      <c r="Y47" s="1059"/>
      <c r="Z47" s="277"/>
      <c r="AA47" s="277"/>
      <c r="AB47" s="277"/>
      <c r="AC47" s="277"/>
      <c r="AD47" s="277"/>
      <c r="AE47" s="277"/>
      <c r="AF47" s="277"/>
      <c r="AG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7"/>
      <c r="BJ47" s="277"/>
      <c r="BK47" s="277"/>
      <c r="BL47" s="277"/>
      <c r="BM47" s="277"/>
      <c r="BN47" s="277"/>
      <c r="BO47" s="277"/>
      <c r="BP47" s="277"/>
      <c r="BQ47" s="277"/>
      <c r="BR47" s="277"/>
      <c r="BS47" s="277"/>
      <c r="BT47" s="277"/>
      <c r="BU47" s="277"/>
      <c r="BV47" s="277"/>
      <c r="BW47" s="277"/>
      <c r="BX47" s="277"/>
      <c r="BY47" s="277"/>
      <c r="BZ47" s="277"/>
      <c r="CA47" s="277"/>
      <c r="CB47" s="277"/>
      <c r="CC47" s="277"/>
      <c r="CD47" s="277"/>
      <c r="CE47" s="277"/>
      <c r="CF47" s="277"/>
      <c r="CG47" s="277"/>
      <c r="CH47" s="277"/>
      <c r="CI47" s="277"/>
      <c r="CJ47" s="277"/>
      <c r="CK47" s="277"/>
      <c r="CL47" s="277"/>
      <c r="CM47" s="277"/>
      <c r="CN47" s="277"/>
      <c r="CO47" s="277"/>
      <c r="CP47" s="277"/>
      <c r="CQ47" s="277"/>
      <c r="CR47" s="277"/>
      <c r="CS47" s="277"/>
      <c r="CT47" s="277"/>
      <c r="CU47" s="277"/>
      <c r="CV47" s="277"/>
      <c r="CW47" s="277"/>
      <c r="CX47" s="277"/>
      <c r="CY47" s="277"/>
      <c r="CZ47" s="277"/>
      <c r="DA47" s="277"/>
      <c r="DB47" s="277"/>
      <c r="DC47" s="277"/>
      <c r="DD47" s="277"/>
      <c r="DE47" s="277"/>
      <c r="DF47" s="277"/>
      <c r="DG47" s="277"/>
      <c r="DH47" s="277"/>
      <c r="DI47" s="277"/>
      <c r="DJ47" s="277"/>
      <c r="DK47" s="277"/>
      <c r="DL47" s="277"/>
      <c r="DM47" s="277"/>
      <c r="DN47" s="277"/>
      <c r="DO47" s="277"/>
      <c r="DP47" s="277"/>
      <c r="DQ47" s="277"/>
      <c r="DR47" s="277"/>
      <c r="DS47" s="277"/>
      <c r="DT47" s="277"/>
      <c r="DU47" s="277"/>
      <c r="DV47" s="277"/>
      <c r="DW47" s="277"/>
      <c r="DX47" s="277"/>
      <c r="DY47" s="277"/>
      <c r="DZ47" s="277"/>
      <c r="EA47" s="277"/>
      <c r="EB47" s="277"/>
      <c r="EC47" s="277"/>
      <c r="ED47" s="277"/>
      <c r="EE47" s="277"/>
      <c r="EF47" s="277"/>
      <c r="EG47" s="277"/>
      <c r="EH47" s="277"/>
      <c r="EI47" s="277"/>
      <c r="EJ47" s="277"/>
      <c r="EK47" s="277"/>
      <c r="EL47" s="277"/>
      <c r="EM47" s="277"/>
      <c r="EN47" s="277"/>
      <c r="EO47" s="277"/>
      <c r="EP47" s="277"/>
      <c r="EQ47" s="277"/>
      <c r="ER47" s="277"/>
      <c r="ES47" s="277"/>
      <c r="ET47" s="277"/>
      <c r="EU47" s="277"/>
      <c r="EV47" s="277"/>
      <c r="EW47" s="277"/>
      <c r="EX47" s="277"/>
      <c r="EY47" s="277"/>
      <c r="EZ47" s="277"/>
      <c r="FA47" s="277"/>
      <c r="FB47" s="277"/>
      <c r="FC47" s="277"/>
      <c r="FD47" s="277"/>
      <c r="FE47" s="277"/>
      <c r="FF47" s="277"/>
      <c r="FG47" s="277"/>
      <c r="FH47" s="277"/>
      <c r="FI47" s="277"/>
      <c r="FJ47" s="277"/>
      <c r="FK47" s="277"/>
      <c r="FL47" s="277"/>
      <c r="FM47" s="277"/>
      <c r="FN47" s="277"/>
      <c r="FO47" s="277"/>
      <c r="FP47" s="277"/>
      <c r="FQ47" s="277"/>
      <c r="FR47" s="277"/>
      <c r="FS47" s="277"/>
      <c r="FT47" s="277"/>
      <c r="FU47" s="277"/>
      <c r="FV47" s="277"/>
      <c r="FW47" s="277"/>
      <c r="FX47" s="277"/>
      <c r="FY47" s="277"/>
      <c r="FZ47" s="277"/>
      <c r="GA47" s="277"/>
      <c r="GB47" s="277"/>
      <c r="GC47" s="277"/>
      <c r="GD47" s="277"/>
      <c r="GE47" s="277"/>
      <c r="GF47" s="277"/>
      <c r="GG47" s="277"/>
      <c r="GH47" s="277"/>
      <c r="GI47" s="277"/>
      <c r="GJ47" s="277"/>
      <c r="GK47" s="277"/>
      <c r="GL47" s="277"/>
      <c r="GM47" s="277"/>
      <c r="GN47" s="277"/>
      <c r="GO47" s="277"/>
      <c r="GP47" s="277"/>
      <c r="GQ47" s="277"/>
      <c r="GR47" s="277"/>
      <c r="GS47" s="277"/>
      <c r="GT47" s="277"/>
      <c r="GU47" s="277"/>
      <c r="GV47" s="277"/>
      <c r="GW47" s="277"/>
      <c r="GX47" s="277"/>
      <c r="GY47" s="277"/>
      <c r="GZ47" s="277"/>
      <c r="HA47" s="277"/>
      <c r="HB47" s="277"/>
      <c r="HC47" s="277"/>
      <c r="HD47" s="277"/>
      <c r="HE47" s="277"/>
      <c r="HF47" s="277"/>
      <c r="HG47" s="277"/>
      <c r="HH47" s="277"/>
      <c r="HI47" s="277"/>
      <c r="HJ47" s="277"/>
      <c r="HK47" s="277"/>
      <c r="HL47" s="277"/>
      <c r="HM47" s="277"/>
      <c r="HN47" s="277"/>
      <c r="HO47" s="277"/>
      <c r="HP47" s="277"/>
      <c r="HQ47" s="277"/>
      <c r="HR47" s="277"/>
      <c r="HS47" s="277"/>
      <c r="HT47" s="277"/>
      <c r="HU47" s="277"/>
      <c r="HV47" s="277"/>
      <c r="HW47" s="277"/>
      <c r="HX47" s="277"/>
      <c r="HY47" s="277"/>
      <c r="HZ47" s="277"/>
      <c r="IA47" s="277"/>
      <c r="IB47" s="277"/>
      <c r="IC47" s="277"/>
      <c r="ID47" s="277"/>
      <c r="IE47" s="277"/>
      <c r="IF47" s="277"/>
      <c r="IG47" s="277"/>
      <c r="IH47" s="277"/>
      <c r="II47" s="277"/>
      <c r="IJ47" s="277"/>
      <c r="IK47" s="277"/>
      <c r="IL47" s="277"/>
      <c r="IM47" s="277"/>
      <c r="IN47" s="277"/>
      <c r="IO47" s="277"/>
      <c r="IP47" s="277"/>
      <c r="IQ47" s="277"/>
      <c r="IR47" s="277"/>
      <c r="IS47" s="277"/>
      <c r="IT47" s="277"/>
      <c r="IU47" s="277"/>
      <c r="IV47" s="277"/>
      <c r="IW47" s="277"/>
      <c r="IX47" s="277"/>
      <c r="IY47" s="277"/>
      <c r="IZ47" s="277"/>
      <c r="JA47" s="277"/>
      <c r="JB47" s="277"/>
      <c r="JC47" s="277"/>
      <c r="JD47" s="277"/>
      <c r="JE47" s="277"/>
      <c r="JF47" s="277"/>
    </row>
    <row r="48" spans="2:333" x14ac:dyDescent="0.2">
      <c r="Q48" s="277"/>
      <c r="R48" s="277"/>
      <c r="S48" s="1060"/>
      <c r="X48" s="1059"/>
      <c r="Y48" s="1059"/>
      <c r="Z48" s="277"/>
      <c r="AA48" s="277"/>
      <c r="AB48" s="277"/>
      <c r="AC48" s="277"/>
      <c r="AD48" s="277"/>
      <c r="AE48" s="277"/>
      <c r="AF48" s="277"/>
      <c r="AG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7"/>
      <c r="CH48" s="277"/>
      <c r="CI48" s="277"/>
      <c r="CJ48" s="277"/>
      <c r="CK48" s="277"/>
      <c r="CL48" s="277"/>
      <c r="CM48" s="277"/>
      <c r="CN48" s="277"/>
      <c r="CO48" s="277"/>
      <c r="CP48" s="277"/>
      <c r="CQ48" s="277"/>
      <c r="CR48" s="277"/>
      <c r="CS48" s="277"/>
      <c r="CT48" s="277"/>
      <c r="CU48" s="277"/>
      <c r="CV48" s="277"/>
      <c r="CW48" s="277"/>
      <c r="CX48" s="277"/>
      <c r="CY48" s="277"/>
      <c r="CZ48" s="277"/>
      <c r="DA48" s="277"/>
      <c r="DB48" s="277"/>
      <c r="DC48" s="277"/>
      <c r="DD48" s="277"/>
      <c r="DE48" s="277"/>
      <c r="DF48" s="277"/>
      <c r="DG48" s="277"/>
      <c r="DH48" s="277"/>
      <c r="DI48" s="277"/>
      <c r="DJ48" s="277"/>
      <c r="DK48" s="277"/>
      <c r="DL48" s="277"/>
      <c r="DM48" s="277"/>
      <c r="DN48" s="277"/>
      <c r="DO48" s="277"/>
      <c r="DP48" s="277"/>
      <c r="DQ48" s="277"/>
      <c r="DR48" s="277"/>
      <c r="DS48" s="277"/>
      <c r="DT48" s="277"/>
      <c r="DU48" s="277"/>
      <c r="DV48" s="277"/>
      <c r="DW48" s="277"/>
      <c r="DX48" s="277"/>
      <c r="DY48" s="277"/>
      <c r="DZ48" s="277"/>
      <c r="EA48" s="277"/>
      <c r="EB48" s="277"/>
      <c r="EC48" s="277"/>
      <c r="ED48" s="277"/>
      <c r="EE48" s="277"/>
      <c r="EF48" s="277"/>
      <c r="EG48" s="277"/>
      <c r="EH48" s="277"/>
      <c r="EI48" s="277"/>
      <c r="EJ48" s="277"/>
      <c r="EK48" s="277"/>
      <c r="EL48" s="277"/>
      <c r="EM48" s="277"/>
      <c r="EN48" s="277"/>
      <c r="EO48" s="277"/>
      <c r="EP48" s="277"/>
      <c r="EQ48" s="277"/>
      <c r="ER48" s="277"/>
      <c r="ES48" s="277"/>
      <c r="ET48" s="277"/>
      <c r="EU48" s="277"/>
      <c r="EV48" s="277"/>
      <c r="EW48" s="277"/>
      <c r="EX48" s="277"/>
      <c r="EY48" s="277"/>
      <c r="EZ48" s="277"/>
      <c r="FA48" s="277"/>
      <c r="FB48" s="277"/>
      <c r="FC48" s="277"/>
      <c r="FD48" s="277"/>
      <c r="FE48" s="277"/>
      <c r="FF48" s="277"/>
      <c r="FG48" s="277"/>
      <c r="FH48" s="277"/>
      <c r="FI48" s="277"/>
      <c r="FJ48" s="277"/>
      <c r="FK48" s="277"/>
      <c r="FL48" s="277"/>
      <c r="FM48" s="277"/>
      <c r="FN48" s="277"/>
      <c r="FO48" s="277"/>
      <c r="FP48" s="277"/>
      <c r="FQ48" s="277"/>
      <c r="FR48" s="277"/>
      <c r="FS48" s="277"/>
      <c r="FT48" s="277"/>
      <c r="FU48" s="277"/>
      <c r="FV48" s="277"/>
      <c r="FW48" s="277"/>
      <c r="FX48" s="277"/>
      <c r="FY48" s="277"/>
      <c r="FZ48" s="277"/>
      <c r="GA48" s="277"/>
      <c r="GB48" s="277"/>
      <c r="GC48" s="277"/>
      <c r="GD48" s="277"/>
      <c r="GE48" s="277"/>
      <c r="GF48" s="277"/>
      <c r="GG48" s="277"/>
      <c r="GH48" s="277"/>
      <c r="GI48" s="277"/>
      <c r="GJ48" s="277"/>
      <c r="GK48" s="277"/>
      <c r="GL48" s="277"/>
      <c r="GM48" s="277"/>
      <c r="GN48" s="277"/>
      <c r="GO48" s="277"/>
      <c r="GP48" s="277"/>
      <c r="GQ48" s="277"/>
      <c r="GR48" s="277"/>
      <c r="GS48" s="277"/>
      <c r="GT48" s="277"/>
      <c r="GU48" s="277"/>
      <c r="GV48" s="277"/>
      <c r="GW48" s="277"/>
      <c r="GX48" s="277"/>
      <c r="GY48" s="277"/>
      <c r="GZ48" s="277"/>
      <c r="HA48" s="277"/>
      <c r="HB48" s="277"/>
      <c r="HC48" s="277"/>
      <c r="HD48" s="277"/>
      <c r="HE48" s="277"/>
      <c r="HF48" s="277"/>
      <c r="HG48" s="277"/>
      <c r="HH48" s="277"/>
      <c r="HI48" s="277"/>
      <c r="HJ48" s="277"/>
      <c r="HK48" s="277"/>
      <c r="HL48" s="277"/>
      <c r="HM48" s="277"/>
      <c r="HN48" s="277"/>
      <c r="HO48" s="277"/>
      <c r="HP48" s="277"/>
      <c r="HQ48" s="277"/>
      <c r="HR48" s="277"/>
      <c r="HS48" s="277"/>
      <c r="HT48" s="277"/>
      <c r="HU48" s="277"/>
      <c r="HV48" s="277"/>
      <c r="HW48" s="277"/>
      <c r="HX48" s="277"/>
      <c r="HY48" s="277"/>
      <c r="HZ48" s="277"/>
      <c r="IA48" s="277"/>
      <c r="IB48" s="277"/>
      <c r="IC48" s="277"/>
      <c r="ID48" s="277"/>
      <c r="IE48" s="277"/>
      <c r="IF48" s="277"/>
      <c r="IG48" s="277"/>
      <c r="IH48" s="277"/>
      <c r="II48" s="277"/>
      <c r="IJ48" s="277"/>
      <c r="IK48" s="277"/>
      <c r="IL48" s="277"/>
      <c r="IM48" s="277"/>
      <c r="IN48" s="277"/>
      <c r="IO48" s="277"/>
      <c r="IP48" s="277"/>
      <c r="IQ48" s="277"/>
      <c r="IR48" s="277"/>
      <c r="IS48" s="277"/>
      <c r="IT48" s="277"/>
      <c r="IU48" s="277"/>
      <c r="IV48" s="277"/>
      <c r="IW48" s="277"/>
      <c r="IX48" s="277"/>
      <c r="IY48" s="277"/>
      <c r="IZ48" s="277"/>
      <c r="JA48" s="277"/>
      <c r="JB48" s="277"/>
      <c r="JC48" s="277"/>
      <c r="JD48" s="277"/>
      <c r="JE48" s="277"/>
      <c r="JF48" s="277"/>
    </row>
    <row r="49" spans="17:266" x14ac:dyDescent="0.2">
      <c r="Q49" s="277"/>
      <c r="R49" s="277"/>
      <c r="S49" s="1060"/>
      <c r="X49" s="1059"/>
      <c r="Y49" s="1059"/>
      <c r="Z49" s="277"/>
      <c r="AA49" s="277"/>
      <c r="AB49" s="277"/>
      <c r="AC49" s="277"/>
      <c r="AD49" s="277"/>
      <c r="AE49" s="277"/>
      <c r="AF49" s="277"/>
      <c r="AG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7"/>
      <c r="CE49" s="277"/>
      <c r="CF49" s="277"/>
      <c r="CG49" s="277"/>
      <c r="CH49" s="277"/>
      <c r="CI49" s="277"/>
      <c r="CJ49" s="277"/>
      <c r="CK49" s="277"/>
      <c r="CL49" s="277"/>
      <c r="CM49" s="277"/>
      <c r="CN49" s="277"/>
      <c r="CO49" s="277"/>
      <c r="CP49" s="277"/>
      <c r="CQ49" s="277"/>
      <c r="CR49" s="277"/>
      <c r="CS49" s="277"/>
      <c r="CT49" s="277"/>
      <c r="CU49" s="277"/>
      <c r="CV49" s="277"/>
      <c r="CW49" s="277"/>
      <c r="CX49" s="277"/>
      <c r="CY49" s="277"/>
      <c r="CZ49" s="277"/>
      <c r="DA49" s="277"/>
      <c r="DB49" s="277"/>
      <c r="DC49" s="277"/>
      <c r="DD49" s="277"/>
      <c r="DE49" s="277"/>
      <c r="DF49" s="277"/>
      <c r="DG49" s="277"/>
      <c r="DH49" s="277"/>
      <c r="DI49" s="277"/>
      <c r="DJ49" s="277"/>
      <c r="DK49" s="277"/>
      <c r="DL49" s="277"/>
      <c r="DM49" s="277"/>
      <c r="DN49" s="277"/>
      <c r="DO49" s="277"/>
      <c r="DP49" s="277"/>
      <c r="DQ49" s="277"/>
      <c r="DR49" s="277"/>
      <c r="DS49" s="277"/>
      <c r="DT49" s="277"/>
      <c r="DU49" s="277"/>
      <c r="DV49" s="277"/>
      <c r="DW49" s="277"/>
      <c r="DX49" s="277"/>
      <c r="DY49" s="277"/>
      <c r="DZ49" s="277"/>
      <c r="EA49" s="277"/>
      <c r="EB49" s="277"/>
      <c r="EC49" s="277"/>
      <c r="ED49" s="277"/>
      <c r="EE49" s="277"/>
      <c r="EF49" s="277"/>
      <c r="EG49" s="277"/>
      <c r="EH49" s="277"/>
      <c r="EI49" s="277"/>
      <c r="EJ49" s="277"/>
      <c r="EK49" s="277"/>
      <c r="EL49" s="277"/>
      <c r="EM49" s="277"/>
      <c r="EN49" s="277"/>
      <c r="EO49" s="277"/>
      <c r="EP49" s="277"/>
      <c r="EQ49" s="277"/>
      <c r="ER49" s="277"/>
      <c r="ES49" s="277"/>
      <c r="ET49" s="277"/>
      <c r="EU49" s="277"/>
      <c r="EV49" s="277"/>
      <c r="EW49" s="277"/>
      <c r="EX49" s="277"/>
      <c r="EY49" s="277"/>
      <c r="EZ49" s="277"/>
      <c r="FA49" s="277"/>
      <c r="FB49" s="277"/>
      <c r="FC49" s="277"/>
      <c r="FD49" s="277"/>
      <c r="FE49" s="277"/>
      <c r="FF49" s="277"/>
      <c r="FG49" s="277"/>
      <c r="FH49" s="277"/>
      <c r="FI49" s="277"/>
      <c r="FJ49" s="277"/>
      <c r="FK49" s="277"/>
      <c r="FL49" s="277"/>
      <c r="FM49" s="277"/>
      <c r="FN49" s="277"/>
      <c r="FO49" s="277"/>
      <c r="FP49" s="277"/>
      <c r="FQ49" s="277"/>
      <c r="FR49" s="277"/>
      <c r="FS49" s="277"/>
      <c r="FT49" s="277"/>
      <c r="FU49" s="277"/>
      <c r="FV49" s="277"/>
      <c r="FW49" s="277"/>
      <c r="FX49" s="277"/>
      <c r="FY49" s="277"/>
      <c r="FZ49" s="277"/>
      <c r="GA49" s="277"/>
      <c r="GB49" s="277"/>
      <c r="GC49" s="277"/>
      <c r="GD49" s="277"/>
      <c r="GE49" s="277"/>
      <c r="GF49" s="277"/>
      <c r="GG49" s="277"/>
      <c r="GH49" s="277"/>
      <c r="GI49" s="277"/>
      <c r="GJ49" s="277"/>
      <c r="GK49" s="277"/>
      <c r="GL49" s="277"/>
      <c r="GM49" s="277"/>
      <c r="GN49" s="277"/>
      <c r="GO49" s="277"/>
      <c r="GP49" s="277"/>
      <c r="GQ49" s="277"/>
      <c r="GR49" s="277"/>
      <c r="GS49" s="277"/>
      <c r="GT49" s="277"/>
      <c r="GU49" s="277"/>
      <c r="GV49" s="277"/>
      <c r="GW49" s="277"/>
      <c r="GX49" s="277"/>
      <c r="GY49" s="277"/>
      <c r="GZ49" s="277"/>
      <c r="HA49" s="277"/>
      <c r="HB49" s="277"/>
      <c r="HC49" s="277"/>
      <c r="HD49" s="277"/>
      <c r="HE49" s="277"/>
      <c r="HF49" s="277"/>
      <c r="HG49" s="277"/>
      <c r="HH49" s="277"/>
      <c r="HI49" s="277"/>
      <c r="HJ49" s="277"/>
      <c r="HK49" s="277"/>
      <c r="HL49" s="277"/>
      <c r="HM49" s="277"/>
      <c r="HN49" s="277"/>
      <c r="HO49" s="277"/>
      <c r="HP49" s="277"/>
      <c r="HQ49" s="277"/>
      <c r="HR49" s="277"/>
      <c r="HS49" s="277"/>
      <c r="HT49" s="277"/>
      <c r="HU49" s="277"/>
      <c r="HV49" s="277"/>
      <c r="HW49" s="277"/>
      <c r="HX49" s="277"/>
      <c r="HY49" s="277"/>
      <c r="HZ49" s="277"/>
      <c r="IA49" s="277"/>
      <c r="IB49" s="277"/>
      <c r="IC49" s="277"/>
      <c r="ID49" s="277"/>
      <c r="IE49" s="277"/>
      <c r="IF49" s="277"/>
      <c r="IG49" s="277"/>
      <c r="IH49" s="277"/>
      <c r="II49" s="277"/>
      <c r="IJ49" s="277"/>
      <c r="IK49" s="277"/>
      <c r="IL49" s="277"/>
      <c r="IM49" s="277"/>
      <c r="IN49" s="277"/>
      <c r="IO49" s="277"/>
      <c r="IP49" s="277"/>
      <c r="IQ49" s="277"/>
      <c r="IR49" s="277"/>
      <c r="IS49" s="277"/>
      <c r="IT49" s="277"/>
      <c r="IU49" s="277"/>
      <c r="IV49" s="277"/>
      <c r="IW49" s="277"/>
      <c r="IX49" s="277"/>
      <c r="IY49" s="277"/>
      <c r="IZ49" s="277"/>
      <c r="JA49" s="277"/>
      <c r="JB49" s="277"/>
      <c r="JC49" s="277"/>
      <c r="JD49" s="277"/>
      <c r="JE49" s="277"/>
      <c r="JF49" s="277"/>
    </row>
    <row r="50" spans="17:266" x14ac:dyDescent="0.2">
      <c r="Q50" s="277"/>
      <c r="R50" s="277"/>
      <c r="S50" s="1060"/>
      <c r="X50" s="1059"/>
      <c r="Y50" s="1059"/>
      <c r="Z50" s="277"/>
      <c r="AA50" s="277"/>
      <c r="AB50" s="277"/>
      <c r="AC50" s="277"/>
      <c r="AD50" s="277"/>
      <c r="AE50" s="277"/>
      <c r="AF50" s="277"/>
      <c r="AG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7"/>
      <c r="CE50" s="277"/>
      <c r="CF50" s="277"/>
      <c r="CG50" s="277"/>
      <c r="CH50" s="277"/>
      <c r="CI50" s="277"/>
      <c r="CJ50" s="277"/>
      <c r="CK50" s="277"/>
      <c r="CL50" s="277"/>
      <c r="CM50" s="277"/>
      <c r="CN50" s="277"/>
      <c r="CO50" s="277"/>
      <c r="CP50" s="277"/>
      <c r="CQ50" s="277"/>
      <c r="CR50" s="277"/>
      <c r="CS50" s="277"/>
      <c r="CT50" s="277"/>
      <c r="CU50" s="277"/>
      <c r="CV50" s="277"/>
      <c r="CW50" s="277"/>
      <c r="CX50" s="277"/>
      <c r="CY50" s="277"/>
      <c r="CZ50" s="277"/>
      <c r="DA50" s="277"/>
      <c r="DB50" s="277"/>
      <c r="DC50" s="277"/>
      <c r="DD50" s="277"/>
      <c r="DE50" s="277"/>
      <c r="DF50" s="277"/>
      <c r="DG50" s="277"/>
      <c r="DH50" s="277"/>
      <c r="DI50" s="277"/>
      <c r="DJ50" s="277"/>
      <c r="DK50" s="277"/>
      <c r="DL50" s="277"/>
      <c r="DM50" s="277"/>
      <c r="DN50" s="277"/>
      <c r="DO50" s="277"/>
      <c r="DP50" s="277"/>
      <c r="DQ50" s="277"/>
      <c r="DR50" s="277"/>
      <c r="DS50" s="277"/>
      <c r="DT50" s="277"/>
      <c r="DU50" s="277"/>
      <c r="DV50" s="277"/>
      <c r="DW50" s="277"/>
      <c r="DX50" s="277"/>
      <c r="DY50" s="277"/>
      <c r="DZ50" s="277"/>
      <c r="EA50" s="277"/>
      <c r="EB50" s="277"/>
      <c r="EC50" s="277"/>
      <c r="ED50" s="277"/>
      <c r="EE50" s="277"/>
      <c r="EF50" s="277"/>
      <c r="EG50" s="277"/>
      <c r="EH50" s="277"/>
      <c r="EI50" s="277"/>
      <c r="EJ50" s="277"/>
      <c r="EK50" s="277"/>
      <c r="EL50" s="277"/>
      <c r="EM50" s="277"/>
      <c r="EN50" s="277"/>
      <c r="EO50" s="277"/>
      <c r="EP50" s="277"/>
      <c r="EQ50" s="277"/>
      <c r="ER50" s="277"/>
      <c r="ES50" s="277"/>
      <c r="ET50" s="277"/>
      <c r="EU50" s="277"/>
      <c r="EV50" s="277"/>
      <c r="EW50" s="277"/>
      <c r="EX50" s="277"/>
      <c r="EY50" s="277"/>
      <c r="EZ50" s="277"/>
      <c r="FA50" s="277"/>
      <c r="FB50" s="277"/>
      <c r="FC50" s="277"/>
      <c r="FD50" s="277"/>
      <c r="FE50" s="277"/>
      <c r="FF50" s="277"/>
      <c r="FG50" s="277"/>
      <c r="FH50" s="277"/>
      <c r="FI50" s="277"/>
      <c r="FJ50" s="277"/>
      <c r="FK50" s="277"/>
      <c r="FL50" s="277"/>
      <c r="FM50" s="277"/>
      <c r="FN50" s="277"/>
      <c r="FO50" s="277"/>
      <c r="FP50" s="277"/>
      <c r="FQ50" s="277"/>
      <c r="FR50" s="277"/>
      <c r="FS50" s="277"/>
      <c r="FT50" s="277"/>
      <c r="FU50" s="277"/>
      <c r="FV50" s="277"/>
      <c r="FW50" s="277"/>
      <c r="FX50" s="277"/>
      <c r="FY50" s="277"/>
      <c r="FZ50" s="277"/>
      <c r="GA50" s="277"/>
      <c r="GB50" s="277"/>
      <c r="GC50" s="277"/>
      <c r="GD50" s="277"/>
      <c r="GE50" s="277"/>
      <c r="GF50" s="277"/>
      <c r="GG50" s="277"/>
      <c r="GH50" s="277"/>
      <c r="GI50" s="277"/>
      <c r="GJ50" s="277"/>
      <c r="GK50" s="277"/>
      <c r="GL50" s="277"/>
      <c r="GM50" s="277"/>
      <c r="GN50" s="277"/>
      <c r="GO50" s="277"/>
      <c r="GP50" s="277"/>
      <c r="GQ50" s="277"/>
      <c r="GR50" s="277"/>
      <c r="GS50" s="277"/>
      <c r="GT50" s="277"/>
      <c r="GU50" s="277"/>
      <c r="GV50" s="277"/>
      <c r="GW50" s="277"/>
      <c r="GX50" s="277"/>
      <c r="GY50" s="277"/>
      <c r="GZ50" s="277"/>
      <c r="HA50" s="277"/>
      <c r="HB50" s="277"/>
      <c r="HC50" s="277"/>
      <c r="HD50" s="277"/>
      <c r="HE50" s="277"/>
      <c r="HF50" s="277"/>
      <c r="HG50" s="277"/>
      <c r="HH50" s="277"/>
      <c r="HI50" s="277"/>
      <c r="HJ50" s="277"/>
      <c r="HK50" s="277"/>
      <c r="HL50" s="277"/>
      <c r="HM50" s="277"/>
      <c r="HN50" s="277"/>
      <c r="HO50" s="277"/>
      <c r="HP50" s="277"/>
      <c r="HQ50" s="277"/>
      <c r="HR50" s="277"/>
      <c r="HS50" s="277"/>
      <c r="HT50" s="277"/>
      <c r="HU50" s="277"/>
      <c r="HV50" s="277"/>
      <c r="HW50" s="277"/>
      <c r="HX50" s="277"/>
      <c r="HY50" s="277"/>
      <c r="HZ50" s="277"/>
      <c r="IA50" s="277"/>
      <c r="IB50" s="277"/>
      <c r="IC50" s="277"/>
      <c r="ID50" s="277"/>
      <c r="IE50" s="277"/>
      <c r="IF50" s="277"/>
      <c r="IG50" s="277"/>
      <c r="IH50" s="277"/>
      <c r="II50" s="277"/>
      <c r="IJ50" s="277"/>
      <c r="IK50" s="277"/>
      <c r="IL50" s="277"/>
      <c r="IM50" s="277"/>
      <c r="IN50" s="277"/>
      <c r="IO50" s="277"/>
      <c r="IP50" s="277"/>
      <c r="IQ50" s="277"/>
      <c r="IR50" s="277"/>
      <c r="IS50" s="277"/>
      <c r="IT50" s="277"/>
      <c r="IU50" s="277"/>
      <c r="IV50" s="277"/>
      <c r="IW50" s="277"/>
      <c r="IX50" s="277"/>
      <c r="IY50" s="277"/>
      <c r="IZ50" s="277"/>
      <c r="JA50" s="277"/>
      <c r="JB50" s="277"/>
      <c r="JC50" s="277"/>
      <c r="JD50" s="277"/>
      <c r="JE50" s="277"/>
      <c r="JF50" s="277"/>
    </row>
    <row r="51" spans="17:266" x14ac:dyDescent="0.2">
      <c r="Q51" s="277"/>
      <c r="R51" s="277"/>
      <c r="S51" s="1060"/>
      <c r="X51" s="1059"/>
      <c r="Y51" s="1059"/>
      <c r="Z51" s="277"/>
      <c r="AA51" s="277"/>
      <c r="AB51" s="277"/>
      <c r="AC51" s="277"/>
      <c r="AD51" s="277"/>
      <c r="AE51" s="277"/>
      <c r="AF51" s="277"/>
      <c r="AG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7"/>
      <c r="CE51" s="277"/>
      <c r="CF51" s="277"/>
      <c r="CG51" s="277"/>
      <c r="CH51" s="277"/>
      <c r="CI51" s="277"/>
      <c r="CJ51" s="277"/>
      <c r="CK51" s="277"/>
      <c r="CL51" s="277"/>
      <c r="CM51" s="277"/>
      <c r="CN51" s="277"/>
      <c r="CO51" s="277"/>
      <c r="CP51" s="277"/>
      <c r="CQ51" s="277"/>
      <c r="CR51" s="277"/>
      <c r="CS51" s="277"/>
      <c r="CT51" s="277"/>
      <c r="CU51" s="277"/>
      <c r="CV51" s="277"/>
      <c r="CW51" s="277"/>
      <c r="CX51" s="277"/>
      <c r="CY51" s="277"/>
      <c r="CZ51" s="277"/>
      <c r="DA51" s="277"/>
      <c r="DB51" s="277"/>
      <c r="DC51" s="277"/>
      <c r="DD51" s="277"/>
      <c r="DE51" s="277"/>
      <c r="DF51" s="277"/>
      <c r="DG51" s="277"/>
      <c r="DH51" s="277"/>
      <c r="DI51" s="277"/>
      <c r="DJ51" s="277"/>
      <c r="DK51" s="277"/>
      <c r="DL51" s="277"/>
      <c r="DM51" s="277"/>
      <c r="DN51" s="277"/>
      <c r="DO51" s="277"/>
      <c r="DP51" s="277"/>
      <c r="DQ51" s="277"/>
      <c r="DR51" s="277"/>
      <c r="DS51" s="277"/>
      <c r="DT51" s="277"/>
      <c r="DU51" s="277"/>
      <c r="DV51" s="277"/>
      <c r="DW51" s="277"/>
      <c r="DX51" s="277"/>
      <c r="DY51" s="277"/>
      <c r="DZ51" s="277"/>
      <c r="EA51" s="277"/>
      <c r="EB51" s="277"/>
      <c r="EC51" s="277"/>
      <c r="ED51" s="277"/>
      <c r="EE51" s="277"/>
      <c r="EF51" s="277"/>
      <c r="EG51" s="277"/>
      <c r="EH51" s="277"/>
      <c r="EI51" s="277"/>
      <c r="EJ51" s="277"/>
      <c r="EK51" s="277"/>
      <c r="EL51" s="277"/>
      <c r="EM51" s="277"/>
      <c r="EN51" s="277"/>
      <c r="EO51" s="277"/>
      <c r="EP51" s="277"/>
      <c r="EQ51" s="277"/>
      <c r="ER51" s="277"/>
      <c r="ES51" s="277"/>
      <c r="ET51" s="277"/>
      <c r="EU51" s="277"/>
      <c r="EV51" s="277"/>
      <c r="EW51" s="277"/>
      <c r="EX51" s="277"/>
      <c r="EY51" s="277"/>
      <c r="EZ51" s="277"/>
      <c r="FA51" s="277"/>
      <c r="FB51" s="277"/>
      <c r="FC51" s="277"/>
      <c r="FD51" s="277"/>
      <c r="FE51" s="277"/>
      <c r="FF51" s="277"/>
      <c r="FG51" s="277"/>
      <c r="FH51" s="277"/>
      <c r="FI51" s="277"/>
      <c r="FJ51" s="277"/>
      <c r="FK51" s="277"/>
      <c r="FL51" s="277"/>
      <c r="FM51" s="277"/>
      <c r="FN51" s="277"/>
      <c r="FO51" s="277"/>
      <c r="FP51" s="277"/>
      <c r="FQ51" s="277"/>
      <c r="FR51" s="277"/>
      <c r="FS51" s="277"/>
      <c r="FT51" s="277"/>
      <c r="FU51" s="277"/>
      <c r="FV51" s="277"/>
      <c r="FW51" s="277"/>
      <c r="FX51" s="277"/>
      <c r="FY51" s="277"/>
      <c r="FZ51" s="277"/>
      <c r="GA51" s="277"/>
      <c r="GB51" s="277"/>
      <c r="GC51" s="277"/>
      <c r="GD51" s="277"/>
      <c r="GE51" s="277"/>
      <c r="GF51" s="277"/>
      <c r="GG51" s="277"/>
      <c r="GH51" s="277"/>
      <c r="GI51" s="277"/>
      <c r="GJ51" s="277"/>
      <c r="GK51" s="277"/>
      <c r="GL51" s="277"/>
      <c r="GM51" s="277"/>
      <c r="GN51" s="277"/>
      <c r="GO51" s="277"/>
      <c r="GP51" s="277"/>
      <c r="GQ51" s="277"/>
      <c r="GR51" s="277"/>
      <c r="GS51" s="277"/>
      <c r="GT51" s="277"/>
      <c r="GU51" s="277"/>
      <c r="GV51" s="277"/>
      <c r="GW51" s="277"/>
      <c r="GX51" s="277"/>
      <c r="GY51" s="277"/>
      <c r="GZ51" s="277"/>
      <c r="HA51" s="277"/>
      <c r="HB51" s="277"/>
      <c r="HC51" s="277"/>
      <c r="HD51" s="277"/>
      <c r="HE51" s="277"/>
      <c r="HF51" s="277"/>
      <c r="HG51" s="277"/>
      <c r="HH51" s="277"/>
      <c r="HI51" s="277"/>
      <c r="HJ51" s="277"/>
      <c r="HK51" s="277"/>
      <c r="HL51" s="277"/>
      <c r="HM51" s="277"/>
      <c r="HN51" s="277"/>
      <c r="HO51" s="277"/>
      <c r="HP51" s="277"/>
      <c r="HQ51" s="277"/>
      <c r="HR51" s="277"/>
      <c r="HS51" s="277"/>
      <c r="HT51" s="277"/>
      <c r="HU51" s="277"/>
      <c r="HV51" s="277"/>
      <c r="HW51" s="277"/>
      <c r="HX51" s="277"/>
      <c r="HY51" s="277"/>
      <c r="HZ51" s="277"/>
      <c r="IA51" s="277"/>
      <c r="IB51" s="277"/>
      <c r="IC51" s="277"/>
      <c r="ID51" s="277"/>
      <c r="IE51" s="277"/>
      <c r="IF51" s="277"/>
      <c r="IG51" s="277"/>
      <c r="IH51" s="277"/>
      <c r="II51" s="277"/>
      <c r="IJ51" s="277"/>
      <c r="IK51" s="277"/>
      <c r="IL51" s="277"/>
      <c r="IM51" s="277"/>
      <c r="IN51" s="277"/>
      <c r="IO51" s="277"/>
      <c r="IP51" s="277"/>
      <c r="IQ51" s="277"/>
      <c r="IR51" s="277"/>
      <c r="IS51" s="277"/>
      <c r="IT51" s="277"/>
      <c r="IU51" s="277"/>
      <c r="IV51" s="277"/>
      <c r="IW51" s="277"/>
      <c r="IX51" s="277"/>
      <c r="IY51" s="277"/>
      <c r="IZ51" s="277"/>
      <c r="JA51" s="277"/>
      <c r="JB51" s="277"/>
      <c r="JC51" s="277"/>
      <c r="JD51" s="277"/>
      <c r="JE51" s="277"/>
      <c r="JF51" s="277"/>
    </row>
    <row r="52" spans="17:266" x14ac:dyDescent="0.2">
      <c r="Q52" s="277"/>
      <c r="R52" s="277"/>
      <c r="S52" s="1060"/>
      <c r="X52" s="1059"/>
      <c r="Y52" s="1059"/>
      <c r="Z52" s="277"/>
      <c r="AA52" s="277"/>
      <c r="AB52" s="277"/>
      <c r="AC52" s="277"/>
      <c r="AD52" s="277"/>
      <c r="AE52" s="277"/>
      <c r="AF52" s="277"/>
      <c r="AG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c r="BU52" s="277"/>
      <c r="BV52" s="277"/>
      <c r="BW52" s="277"/>
      <c r="BX52" s="277"/>
      <c r="BY52" s="277"/>
      <c r="BZ52" s="277"/>
      <c r="CA52" s="277"/>
      <c r="CB52" s="277"/>
      <c r="CC52" s="277"/>
      <c r="CD52" s="277"/>
      <c r="CE52" s="277"/>
      <c r="CF52" s="277"/>
      <c r="CG52" s="277"/>
      <c r="CH52" s="277"/>
      <c r="CI52" s="277"/>
      <c r="CJ52" s="277"/>
      <c r="CK52" s="277"/>
      <c r="CL52" s="277"/>
      <c r="CM52" s="277"/>
      <c r="CN52" s="277"/>
      <c r="CO52" s="277"/>
      <c r="CP52" s="277"/>
      <c r="CQ52" s="277"/>
      <c r="CR52" s="277"/>
      <c r="CS52" s="277"/>
      <c r="CT52" s="277"/>
      <c r="CU52" s="277"/>
      <c r="CV52" s="277"/>
      <c r="CW52" s="277"/>
      <c r="CX52" s="277"/>
      <c r="CY52" s="277"/>
      <c r="CZ52" s="277"/>
      <c r="DA52" s="277"/>
      <c r="DB52" s="277"/>
      <c r="DC52" s="277"/>
      <c r="DD52" s="277"/>
      <c r="DE52" s="277"/>
      <c r="DF52" s="277"/>
      <c r="DG52" s="277"/>
      <c r="DH52" s="277"/>
      <c r="DI52" s="277"/>
      <c r="DJ52" s="277"/>
      <c r="DK52" s="277"/>
      <c r="DL52" s="277"/>
      <c r="DM52" s="277"/>
      <c r="DN52" s="277"/>
      <c r="DO52" s="277"/>
      <c r="DP52" s="277"/>
      <c r="DQ52" s="277"/>
      <c r="DR52" s="277"/>
      <c r="DS52" s="277"/>
      <c r="DT52" s="277"/>
      <c r="DU52" s="277"/>
      <c r="DV52" s="277"/>
      <c r="DW52" s="277"/>
      <c r="DX52" s="277"/>
      <c r="DY52" s="277"/>
      <c r="DZ52" s="277"/>
      <c r="EA52" s="277"/>
      <c r="EB52" s="277"/>
      <c r="EC52" s="277"/>
      <c r="ED52" s="277"/>
      <c r="EE52" s="277"/>
      <c r="EF52" s="277"/>
      <c r="EG52" s="277"/>
      <c r="EH52" s="277"/>
      <c r="EI52" s="277"/>
      <c r="EJ52" s="277"/>
      <c r="EK52" s="277"/>
      <c r="EL52" s="277"/>
      <c r="EM52" s="277"/>
      <c r="EN52" s="277"/>
      <c r="EO52" s="277"/>
      <c r="EP52" s="277"/>
      <c r="EQ52" s="277"/>
      <c r="ER52" s="277"/>
      <c r="ES52" s="277"/>
      <c r="ET52" s="277"/>
      <c r="EU52" s="277"/>
      <c r="EV52" s="277"/>
      <c r="EW52" s="277"/>
      <c r="EX52" s="277"/>
      <c r="EY52" s="277"/>
      <c r="EZ52" s="277"/>
      <c r="FA52" s="277"/>
      <c r="FB52" s="277"/>
      <c r="FC52" s="277"/>
      <c r="FD52" s="277"/>
      <c r="FE52" s="277"/>
      <c r="FF52" s="277"/>
      <c r="FG52" s="277"/>
      <c r="FH52" s="277"/>
      <c r="FI52" s="277"/>
      <c r="FJ52" s="277"/>
      <c r="FK52" s="277"/>
      <c r="FL52" s="277"/>
      <c r="FM52" s="277"/>
      <c r="FN52" s="277"/>
      <c r="FO52" s="277"/>
      <c r="FP52" s="277"/>
      <c r="FQ52" s="277"/>
      <c r="FR52" s="277"/>
      <c r="FS52" s="277"/>
      <c r="FT52" s="277"/>
      <c r="FU52" s="277"/>
      <c r="FV52" s="277"/>
      <c r="FW52" s="277"/>
      <c r="FX52" s="277"/>
      <c r="FY52" s="277"/>
      <c r="FZ52" s="277"/>
      <c r="GA52" s="277"/>
      <c r="GB52" s="277"/>
      <c r="GC52" s="277"/>
      <c r="GD52" s="277"/>
      <c r="GE52" s="277"/>
      <c r="GF52" s="277"/>
      <c r="GG52" s="277"/>
      <c r="GH52" s="277"/>
      <c r="GI52" s="277"/>
      <c r="GJ52" s="277"/>
      <c r="GK52" s="277"/>
      <c r="GL52" s="277"/>
      <c r="GM52" s="277"/>
      <c r="GN52" s="277"/>
      <c r="GO52" s="277"/>
      <c r="GP52" s="277"/>
      <c r="GQ52" s="277"/>
      <c r="GR52" s="277"/>
      <c r="GS52" s="277"/>
      <c r="GT52" s="277"/>
      <c r="GU52" s="277"/>
      <c r="GV52" s="277"/>
      <c r="GW52" s="277"/>
      <c r="GX52" s="277"/>
      <c r="GY52" s="277"/>
      <c r="GZ52" s="277"/>
      <c r="HA52" s="277"/>
      <c r="HB52" s="277"/>
      <c r="HC52" s="277"/>
      <c r="HD52" s="277"/>
      <c r="HE52" s="277"/>
      <c r="HF52" s="277"/>
      <c r="HG52" s="277"/>
      <c r="HH52" s="277"/>
      <c r="HI52" s="277"/>
      <c r="HJ52" s="277"/>
      <c r="HK52" s="277"/>
      <c r="HL52" s="277"/>
      <c r="HM52" s="277"/>
      <c r="HN52" s="277"/>
      <c r="HO52" s="277"/>
      <c r="HP52" s="277"/>
      <c r="HQ52" s="277"/>
      <c r="HR52" s="277"/>
      <c r="HS52" s="277"/>
      <c r="HT52" s="277"/>
      <c r="HU52" s="277"/>
      <c r="HV52" s="277"/>
      <c r="HW52" s="277"/>
      <c r="HX52" s="277"/>
      <c r="HY52" s="277"/>
      <c r="HZ52" s="277"/>
      <c r="IA52" s="277"/>
      <c r="IB52" s="277"/>
      <c r="IC52" s="277"/>
      <c r="ID52" s="277"/>
      <c r="IE52" s="277"/>
      <c r="IF52" s="277"/>
      <c r="IG52" s="277"/>
      <c r="IH52" s="277"/>
      <c r="II52" s="277"/>
      <c r="IJ52" s="277"/>
      <c r="IK52" s="277"/>
      <c r="IL52" s="277"/>
      <c r="IM52" s="277"/>
      <c r="IN52" s="277"/>
      <c r="IO52" s="277"/>
      <c r="IP52" s="277"/>
      <c r="IQ52" s="277"/>
      <c r="IR52" s="277"/>
      <c r="IS52" s="277"/>
      <c r="IT52" s="277"/>
      <c r="IU52" s="277"/>
      <c r="IV52" s="277"/>
      <c r="IW52" s="277"/>
      <c r="IX52" s="277"/>
      <c r="IY52" s="277"/>
      <c r="IZ52" s="277"/>
      <c r="JA52" s="277"/>
      <c r="JB52" s="277"/>
      <c r="JC52" s="277"/>
      <c r="JD52" s="277"/>
      <c r="JE52" s="277"/>
      <c r="JF52" s="277"/>
    </row>
    <row r="53" spans="17:266" x14ac:dyDescent="0.2">
      <c r="Q53" s="277"/>
      <c r="R53" s="277"/>
      <c r="S53" s="1060"/>
      <c r="X53" s="1059"/>
      <c r="Y53" s="1059"/>
      <c r="Z53" s="277"/>
      <c r="AA53" s="277"/>
      <c r="AB53" s="277"/>
      <c r="AC53" s="277"/>
      <c r="AD53" s="277"/>
      <c r="AE53" s="277"/>
      <c r="AF53" s="277"/>
      <c r="AG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7"/>
      <c r="CE53" s="277"/>
      <c r="CF53" s="277"/>
      <c r="CG53" s="277"/>
      <c r="CH53" s="277"/>
      <c r="CI53" s="277"/>
      <c r="CJ53" s="277"/>
      <c r="CK53" s="277"/>
      <c r="CL53" s="277"/>
      <c r="CM53" s="277"/>
      <c r="CN53" s="277"/>
      <c r="CO53" s="277"/>
      <c r="CP53" s="277"/>
      <c r="CQ53" s="277"/>
      <c r="CR53" s="277"/>
      <c r="CS53" s="277"/>
      <c r="CT53" s="277"/>
      <c r="CU53" s="277"/>
      <c r="CV53" s="277"/>
      <c r="CW53" s="277"/>
      <c r="CX53" s="277"/>
      <c r="CY53" s="277"/>
      <c r="CZ53" s="277"/>
      <c r="DA53" s="277"/>
      <c r="DB53" s="277"/>
      <c r="DC53" s="277"/>
      <c r="DD53" s="277"/>
      <c r="DE53" s="277"/>
      <c r="DF53" s="277"/>
      <c r="DG53" s="277"/>
      <c r="DH53" s="277"/>
      <c r="DI53" s="277"/>
      <c r="DJ53" s="277"/>
      <c r="DK53" s="277"/>
      <c r="DL53" s="277"/>
      <c r="DM53" s="277"/>
      <c r="DN53" s="277"/>
      <c r="DO53" s="277"/>
      <c r="DP53" s="277"/>
      <c r="DQ53" s="277"/>
      <c r="DR53" s="277"/>
      <c r="DS53" s="277"/>
      <c r="DT53" s="277"/>
      <c r="DU53" s="277"/>
      <c r="DV53" s="277"/>
      <c r="DW53" s="277"/>
      <c r="DX53" s="277"/>
      <c r="DY53" s="277"/>
      <c r="DZ53" s="277"/>
      <c r="EA53" s="277"/>
      <c r="EB53" s="277"/>
      <c r="EC53" s="277"/>
      <c r="ED53" s="277"/>
      <c r="EE53" s="277"/>
      <c r="EF53" s="277"/>
      <c r="EG53" s="277"/>
      <c r="EH53" s="277"/>
      <c r="EI53" s="277"/>
      <c r="EJ53" s="277"/>
      <c r="EK53" s="277"/>
      <c r="EL53" s="277"/>
      <c r="EM53" s="277"/>
      <c r="EN53" s="277"/>
      <c r="EO53" s="277"/>
      <c r="EP53" s="277"/>
      <c r="EQ53" s="277"/>
      <c r="ER53" s="277"/>
      <c r="ES53" s="277"/>
      <c r="ET53" s="277"/>
      <c r="EU53" s="277"/>
      <c r="EV53" s="277"/>
      <c r="EW53" s="277"/>
      <c r="EX53" s="277"/>
      <c r="EY53" s="277"/>
      <c r="EZ53" s="277"/>
      <c r="FA53" s="277"/>
      <c r="FB53" s="277"/>
      <c r="FC53" s="277"/>
      <c r="FD53" s="277"/>
      <c r="FE53" s="277"/>
      <c r="FF53" s="277"/>
      <c r="FG53" s="277"/>
      <c r="FH53" s="277"/>
      <c r="FI53" s="277"/>
      <c r="FJ53" s="277"/>
      <c r="FK53" s="277"/>
      <c r="FL53" s="277"/>
      <c r="FM53" s="277"/>
      <c r="FN53" s="277"/>
      <c r="FO53" s="277"/>
      <c r="FP53" s="277"/>
      <c r="FQ53" s="277"/>
      <c r="FR53" s="277"/>
      <c r="FS53" s="277"/>
      <c r="FT53" s="277"/>
      <c r="FU53" s="277"/>
      <c r="FV53" s="277"/>
      <c r="FW53" s="277"/>
      <c r="FX53" s="277"/>
      <c r="FY53" s="277"/>
      <c r="FZ53" s="277"/>
      <c r="GA53" s="277"/>
      <c r="GB53" s="277"/>
      <c r="GC53" s="277"/>
      <c r="GD53" s="277"/>
      <c r="GE53" s="277"/>
      <c r="GF53" s="277"/>
      <c r="GG53" s="277"/>
      <c r="GH53" s="277"/>
      <c r="GI53" s="277"/>
      <c r="GJ53" s="277"/>
      <c r="GK53" s="277"/>
      <c r="GL53" s="277"/>
      <c r="GM53" s="277"/>
      <c r="GN53" s="277"/>
      <c r="GO53" s="277"/>
      <c r="GP53" s="277"/>
      <c r="GQ53" s="277"/>
      <c r="GR53" s="277"/>
      <c r="GS53" s="277"/>
      <c r="GT53" s="277"/>
      <c r="GU53" s="277"/>
      <c r="GV53" s="277"/>
      <c r="GW53" s="277"/>
      <c r="GX53" s="277"/>
      <c r="GY53" s="277"/>
      <c r="GZ53" s="277"/>
      <c r="HA53" s="277"/>
      <c r="HB53" s="277"/>
      <c r="HC53" s="277"/>
      <c r="HD53" s="277"/>
      <c r="HE53" s="277"/>
      <c r="HF53" s="277"/>
      <c r="HG53" s="277"/>
      <c r="HH53" s="277"/>
      <c r="HI53" s="277"/>
      <c r="HJ53" s="277"/>
      <c r="HK53" s="277"/>
      <c r="HL53" s="277"/>
      <c r="HM53" s="277"/>
      <c r="HN53" s="277"/>
      <c r="HO53" s="277"/>
      <c r="HP53" s="277"/>
      <c r="HQ53" s="277"/>
      <c r="HR53" s="277"/>
      <c r="HS53" s="277"/>
      <c r="HT53" s="277"/>
      <c r="HU53" s="277"/>
      <c r="HV53" s="277"/>
      <c r="HW53" s="277"/>
      <c r="HX53" s="277"/>
      <c r="HY53" s="277"/>
      <c r="HZ53" s="277"/>
      <c r="IA53" s="277"/>
      <c r="IB53" s="277"/>
      <c r="IC53" s="277"/>
      <c r="ID53" s="277"/>
      <c r="IE53" s="277"/>
      <c r="IF53" s="277"/>
      <c r="IG53" s="277"/>
      <c r="IH53" s="277"/>
      <c r="II53" s="277"/>
      <c r="IJ53" s="277"/>
      <c r="IK53" s="277"/>
      <c r="IL53" s="277"/>
      <c r="IM53" s="277"/>
      <c r="IN53" s="277"/>
      <c r="IO53" s="277"/>
      <c r="IP53" s="277"/>
      <c r="IQ53" s="277"/>
      <c r="IR53" s="277"/>
      <c r="IS53" s="277"/>
      <c r="IT53" s="277"/>
      <c r="IU53" s="277"/>
      <c r="IV53" s="277"/>
      <c r="IW53" s="277"/>
      <c r="IX53" s="277"/>
      <c r="IY53" s="277"/>
      <c r="IZ53" s="277"/>
      <c r="JA53" s="277"/>
      <c r="JB53" s="277"/>
      <c r="JC53" s="277"/>
      <c r="JD53" s="277"/>
      <c r="JE53" s="277"/>
      <c r="JF53" s="277"/>
    </row>
    <row r="54" spans="17:266" x14ac:dyDescent="0.2">
      <c r="Q54" s="277"/>
      <c r="R54" s="277"/>
      <c r="S54" s="1060"/>
      <c r="X54" s="1059"/>
      <c r="Y54" s="1059"/>
      <c r="Z54" s="277"/>
      <c r="AA54" s="277"/>
      <c r="AB54" s="277"/>
      <c r="AC54" s="277"/>
      <c r="AD54" s="277"/>
      <c r="AE54" s="277"/>
      <c r="AF54" s="277"/>
      <c r="AG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c r="BU54" s="277"/>
      <c r="BV54" s="277"/>
      <c r="BW54" s="277"/>
      <c r="BX54" s="277"/>
      <c r="BY54" s="277"/>
      <c r="BZ54" s="277"/>
      <c r="CA54" s="277"/>
      <c r="CB54" s="277"/>
      <c r="CC54" s="277"/>
      <c r="CD54" s="277"/>
      <c r="CE54" s="277"/>
      <c r="CF54" s="277"/>
      <c r="CG54" s="277"/>
      <c r="CH54" s="277"/>
      <c r="CI54" s="277"/>
      <c r="CJ54" s="277"/>
      <c r="CK54" s="277"/>
      <c r="CL54" s="277"/>
      <c r="CM54" s="277"/>
      <c r="CN54" s="277"/>
      <c r="CO54" s="277"/>
      <c r="CP54" s="277"/>
      <c r="CQ54" s="277"/>
      <c r="CR54" s="277"/>
      <c r="CS54" s="277"/>
      <c r="CT54" s="277"/>
      <c r="CU54" s="277"/>
      <c r="CV54" s="277"/>
      <c r="CW54" s="277"/>
      <c r="CX54" s="277"/>
      <c r="CY54" s="277"/>
      <c r="CZ54" s="277"/>
      <c r="DA54" s="277"/>
      <c r="DB54" s="277"/>
      <c r="DC54" s="277"/>
      <c r="DD54" s="277"/>
      <c r="DE54" s="277"/>
      <c r="DF54" s="277"/>
      <c r="DG54" s="277"/>
      <c r="DH54" s="277"/>
      <c r="DI54" s="277"/>
      <c r="DJ54" s="277"/>
      <c r="DK54" s="277"/>
      <c r="DL54" s="277"/>
      <c r="DM54" s="277"/>
      <c r="DN54" s="277"/>
      <c r="DO54" s="277"/>
      <c r="DP54" s="277"/>
      <c r="DQ54" s="277"/>
      <c r="DR54" s="277"/>
      <c r="DS54" s="277"/>
      <c r="DT54" s="277"/>
      <c r="DU54" s="277"/>
      <c r="DV54" s="277"/>
      <c r="DW54" s="277"/>
      <c r="DX54" s="277"/>
      <c r="DY54" s="277"/>
      <c r="DZ54" s="277"/>
      <c r="EA54" s="277"/>
      <c r="EB54" s="277"/>
      <c r="EC54" s="277"/>
      <c r="ED54" s="277"/>
      <c r="EE54" s="277"/>
      <c r="EF54" s="277"/>
      <c r="EG54" s="277"/>
      <c r="EH54" s="277"/>
      <c r="EI54" s="277"/>
      <c r="EJ54" s="277"/>
      <c r="EK54" s="277"/>
      <c r="EL54" s="277"/>
      <c r="EM54" s="277"/>
      <c r="EN54" s="277"/>
      <c r="EO54" s="277"/>
      <c r="EP54" s="277"/>
      <c r="EQ54" s="277"/>
      <c r="ER54" s="277"/>
      <c r="ES54" s="277"/>
      <c r="ET54" s="277"/>
      <c r="EU54" s="277"/>
      <c r="EV54" s="277"/>
      <c r="EW54" s="277"/>
      <c r="EX54" s="277"/>
      <c r="EY54" s="277"/>
      <c r="EZ54" s="277"/>
      <c r="FA54" s="277"/>
      <c r="FB54" s="277"/>
      <c r="FC54" s="277"/>
      <c r="FD54" s="277"/>
      <c r="FE54" s="277"/>
      <c r="FF54" s="277"/>
      <c r="FG54" s="277"/>
      <c r="FH54" s="277"/>
      <c r="FI54" s="277"/>
      <c r="FJ54" s="277"/>
      <c r="FK54" s="277"/>
      <c r="FL54" s="277"/>
      <c r="FM54" s="277"/>
      <c r="FN54" s="277"/>
      <c r="FO54" s="277"/>
      <c r="FP54" s="277"/>
      <c r="FQ54" s="277"/>
      <c r="FR54" s="277"/>
      <c r="FS54" s="277"/>
      <c r="FT54" s="277"/>
      <c r="FU54" s="277"/>
      <c r="FV54" s="277"/>
      <c r="FW54" s="277"/>
      <c r="FX54" s="277"/>
      <c r="FY54" s="277"/>
      <c r="FZ54" s="277"/>
      <c r="GA54" s="277"/>
      <c r="GB54" s="277"/>
      <c r="GC54" s="277"/>
      <c r="GD54" s="277"/>
      <c r="GE54" s="277"/>
      <c r="GF54" s="277"/>
      <c r="GG54" s="277"/>
      <c r="GH54" s="277"/>
      <c r="GI54" s="277"/>
      <c r="GJ54" s="277"/>
      <c r="GK54" s="277"/>
      <c r="GL54" s="277"/>
      <c r="GM54" s="277"/>
      <c r="GN54" s="277"/>
      <c r="GO54" s="277"/>
      <c r="GP54" s="277"/>
      <c r="GQ54" s="277"/>
      <c r="GR54" s="277"/>
      <c r="GS54" s="277"/>
      <c r="GT54" s="277"/>
      <c r="GU54" s="277"/>
      <c r="GV54" s="277"/>
      <c r="GW54" s="277"/>
      <c r="GX54" s="277"/>
      <c r="GY54" s="277"/>
      <c r="GZ54" s="277"/>
      <c r="HA54" s="277"/>
      <c r="HB54" s="277"/>
      <c r="HC54" s="277"/>
      <c r="HD54" s="277"/>
      <c r="HE54" s="277"/>
      <c r="HF54" s="277"/>
      <c r="HG54" s="277"/>
      <c r="HH54" s="277"/>
      <c r="HI54" s="277"/>
      <c r="HJ54" s="277"/>
      <c r="HK54" s="277"/>
      <c r="HL54" s="277"/>
      <c r="HM54" s="277"/>
      <c r="HN54" s="277"/>
      <c r="HO54" s="277"/>
      <c r="HP54" s="277"/>
      <c r="HQ54" s="277"/>
      <c r="HR54" s="277"/>
      <c r="HS54" s="277"/>
      <c r="HT54" s="277"/>
      <c r="HU54" s="277"/>
      <c r="HV54" s="277"/>
      <c r="HW54" s="277"/>
      <c r="HX54" s="277"/>
      <c r="HY54" s="277"/>
      <c r="HZ54" s="277"/>
      <c r="IA54" s="277"/>
      <c r="IB54" s="277"/>
      <c r="IC54" s="277"/>
      <c r="ID54" s="277"/>
      <c r="IE54" s="277"/>
      <c r="IF54" s="277"/>
      <c r="IG54" s="277"/>
      <c r="IH54" s="277"/>
      <c r="II54" s="277"/>
      <c r="IJ54" s="277"/>
      <c r="IK54" s="277"/>
      <c r="IL54" s="277"/>
      <c r="IM54" s="277"/>
      <c r="IN54" s="277"/>
      <c r="IO54" s="277"/>
      <c r="IP54" s="277"/>
      <c r="IQ54" s="277"/>
      <c r="IR54" s="277"/>
      <c r="IS54" s="277"/>
      <c r="IT54" s="277"/>
      <c r="IU54" s="277"/>
      <c r="IV54" s="277"/>
      <c r="IW54" s="277"/>
      <c r="IX54" s="277"/>
      <c r="IY54" s="277"/>
      <c r="IZ54" s="277"/>
      <c r="JA54" s="277"/>
      <c r="JB54" s="277"/>
      <c r="JC54" s="277"/>
      <c r="JD54" s="277"/>
      <c r="JE54" s="277"/>
      <c r="JF54" s="277"/>
    </row>
    <row r="55" spans="17:266" x14ac:dyDescent="0.2">
      <c r="Q55" s="277"/>
      <c r="R55" s="277"/>
      <c r="S55" s="1060"/>
      <c r="X55" s="1059"/>
      <c r="Y55" s="1059"/>
      <c r="Z55" s="277"/>
      <c r="AA55" s="277"/>
      <c r="AB55" s="277"/>
      <c r="AC55" s="277"/>
      <c r="AD55" s="277"/>
      <c r="AE55" s="277"/>
      <c r="AF55" s="277"/>
      <c r="AG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7"/>
      <c r="CE55" s="277"/>
      <c r="CF55" s="277"/>
      <c r="CG55" s="277"/>
      <c r="CH55" s="277"/>
      <c r="CI55" s="277"/>
      <c r="CJ55" s="277"/>
      <c r="CK55" s="277"/>
      <c r="CL55" s="277"/>
      <c r="CM55" s="277"/>
      <c r="CN55" s="277"/>
      <c r="CO55" s="277"/>
      <c r="CP55" s="277"/>
      <c r="CQ55" s="277"/>
      <c r="CR55" s="277"/>
      <c r="CS55" s="277"/>
      <c r="CT55" s="277"/>
      <c r="CU55" s="277"/>
      <c r="CV55" s="277"/>
      <c r="CW55" s="277"/>
      <c r="CX55" s="277"/>
      <c r="CY55" s="277"/>
      <c r="CZ55" s="277"/>
      <c r="DA55" s="277"/>
      <c r="DB55" s="277"/>
      <c r="DC55" s="277"/>
      <c r="DD55" s="277"/>
      <c r="DE55" s="277"/>
      <c r="DF55" s="277"/>
      <c r="DG55" s="277"/>
      <c r="DH55" s="277"/>
      <c r="DI55" s="277"/>
      <c r="DJ55" s="277"/>
      <c r="DK55" s="277"/>
      <c r="DL55" s="277"/>
      <c r="DM55" s="277"/>
      <c r="DN55" s="277"/>
      <c r="DO55" s="277"/>
      <c r="DP55" s="277"/>
      <c r="DQ55" s="277"/>
      <c r="DR55" s="277"/>
      <c r="DS55" s="277"/>
      <c r="DT55" s="277"/>
      <c r="DU55" s="277"/>
      <c r="DV55" s="277"/>
      <c r="DW55" s="277"/>
      <c r="DX55" s="277"/>
      <c r="DY55" s="277"/>
      <c r="DZ55" s="277"/>
      <c r="EA55" s="277"/>
      <c r="EB55" s="277"/>
      <c r="EC55" s="277"/>
      <c r="ED55" s="277"/>
      <c r="EE55" s="277"/>
      <c r="EF55" s="277"/>
      <c r="EG55" s="277"/>
      <c r="EH55" s="277"/>
      <c r="EI55" s="277"/>
      <c r="EJ55" s="277"/>
      <c r="EK55" s="277"/>
      <c r="EL55" s="277"/>
      <c r="EM55" s="277"/>
      <c r="EN55" s="277"/>
      <c r="EO55" s="277"/>
      <c r="EP55" s="277"/>
      <c r="EQ55" s="277"/>
      <c r="ER55" s="277"/>
      <c r="ES55" s="277"/>
      <c r="ET55" s="277"/>
      <c r="EU55" s="277"/>
      <c r="EV55" s="277"/>
      <c r="EW55" s="277"/>
      <c r="EX55" s="277"/>
      <c r="EY55" s="277"/>
      <c r="EZ55" s="277"/>
      <c r="FA55" s="277"/>
      <c r="FB55" s="277"/>
      <c r="FC55" s="277"/>
      <c r="FD55" s="277"/>
      <c r="FE55" s="277"/>
      <c r="FF55" s="277"/>
      <c r="FG55" s="277"/>
      <c r="FH55" s="277"/>
      <c r="FI55" s="277"/>
      <c r="FJ55" s="277"/>
      <c r="FK55" s="277"/>
      <c r="FL55" s="277"/>
      <c r="FM55" s="277"/>
      <c r="FN55" s="277"/>
      <c r="FO55" s="277"/>
      <c r="FP55" s="277"/>
      <c r="FQ55" s="277"/>
      <c r="FR55" s="277"/>
      <c r="FS55" s="277"/>
      <c r="FT55" s="277"/>
      <c r="FU55" s="277"/>
      <c r="FV55" s="277"/>
      <c r="FW55" s="277"/>
      <c r="FX55" s="277"/>
      <c r="FY55" s="277"/>
      <c r="FZ55" s="277"/>
      <c r="GA55" s="277"/>
      <c r="GB55" s="277"/>
      <c r="GC55" s="277"/>
      <c r="GD55" s="277"/>
      <c r="GE55" s="277"/>
      <c r="GF55" s="277"/>
      <c r="GG55" s="277"/>
      <c r="GH55" s="277"/>
      <c r="GI55" s="277"/>
      <c r="GJ55" s="277"/>
      <c r="GK55" s="277"/>
      <c r="GL55" s="277"/>
      <c r="GM55" s="277"/>
      <c r="GN55" s="277"/>
      <c r="GO55" s="277"/>
      <c r="GP55" s="277"/>
      <c r="GQ55" s="277"/>
      <c r="GR55" s="277"/>
      <c r="GS55" s="277"/>
      <c r="GT55" s="277"/>
      <c r="GU55" s="277"/>
      <c r="GV55" s="277"/>
      <c r="GW55" s="277"/>
      <c r="GX55" s="277"/>
      <c r="GY55" s="277"/>
      <c r="GZ55" s="277"/>
      <c r="HA55" s="277"/>
      <c r="HB55" s="277"/>
      <c r="HC55" s="277"/>
      <c r="HD55" s="277"/>
      <c r="HE55" s="277"/>
      <c r="HF55" s="277"/>
      <c r="HG55" s="277"/>
      <c r="HH55" s="277"/>
      <c r="HI55" s="277"/>
      <c r="HJ55" s="277"/>
      <c r="HK55" s="277"/>
      <c r="HL55" s="277"/>
      <c r="HM55" s="277"/>
      <c r="HN55" s="277"/>
      <c r="HO55" s="277"/>
      <c r="HP55" s="277"/>
      <c r="HQ55" s="277"/>
      <c r="HR55" s="277"/>
      <c r="HS55" s="277"/>
      <c r="HT55" s="277"/>
      <c r="HU55" s="277"/>
      <c r="HV55" s="277"/>
      <c r="HW55" s="277"/>
      <c r="HX55" s="277"/>
      <c r="HY55" s="277"/>
      <c r="HZ55" s="277"/>
      <c r="IA55" s="277"/>
      <c r="IB55" s="277"/>
      <c r="IC55" s="277"/>
      <c r="ID55" s="277"/>
      <c r="IE55" s="277"/>
      <c r="IF55" s="277"/>
      <c r="IG55" s="277"/>
      <c r="IH55" s="277"/>
      <c r="II55" s="277"/>
      <c r="IJ55" s="277"/>
      <c r="IK55" s="277"/>
      <c r="IL55" s="277"/>
      <c r="IM55" s="277"/>
      <c r="IN55" s="277"/>
      <c r="IO55" s="277"/>
      <c r="IP55" s="277"/>
      <c r="IQ55" s="277"/>
      <c r="IR55" s="277"/>
      <c r="IS55" s="277"/>
      <c r="IT55" s="277"/>
      <c r="IU55" s="277"/>
      <c r="IV55" s="277"/>
      <c r="IW55" s="277"/>
      <c r="IX55" s="277"/>
      <c r="IY55" s="277"/>
      <c r="IZ55" s="277"/>
      <c r="JA55" s="277"/>
      <c r="JB55" s="277"/>
      <c r="JC55" s="277"/>
      <c r="JD55" s="277"/>
      <c r="JE55" s="277"/>
      <c r="JF55" s="277"/>
    </row>
    <row r="56" spans="17:266" x14ac:dyDescent="0.2">
      <c r="Q56" s="277"/>
      <c r="R56" s="277"/>
      <c r="S56" s="1060"/>
      <c r="X56" s="1059"/>
      <c r="Y56" s="1059"/>
      <c r="Z56" s="277"/>
      <c r="AA56" s="277"/>
      <c r="AB56" s="277"/>
      <c r="AC56" s="277"/>
      <c r="AD56" s="277"/>
      <c r="AE56" s="277"/>
      <c r="AF56" s="277"/>
      <c r="AG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c r="BU56" s="277"/>
      <c r="BV56" s="277"/>
      <c r="BW56" s="277"/>
      <c r="BX56" s="277"/>
      <c r="BY56" s="277"/>
      <c r="BZ56" s="277"/>
      <c r="CA56" s="277"/>
      <c r="CB56" s="277"/>
      <c r="CC56" s="277"/>
      <c r="CD56" s="277"/>
      <c r="CE56" s="277"/>
      <c r="CF56" s="277"/>
      <c r="CG56" s="277"/>
      <c r="CH56" s="277"/>
      <c r="CI56" s="277"/>
      <c r="CJ56" s="277"/>
      <c r="CK56" s="277"/>
      <c r="CL56" s="277"/>
      <c r="CM56" s="277"/>
      <c r="CN56" s="277"/>
      <c r="CO56" s="277"/>
      <c r="CP56" s="277"/>
      <c r="CQ56" s="277"/>
      <c r="CR56" s="277"/>
      <c r="CS56" s="277"/>
      <c r="CT56" s="277"/>
      <c r="CU56" s="277"/>
      <c r="CV56" s="277"/>
      <c r="CW56" s="277"/>
      <c r="CX56" s="277"/>
      <c r="CY56" s="277"/>
      <c r="CZ56" s="277"/>
      <c r="DA56" s="277"/>
      <c r="DB56" s="277"/>
      <c r="DC56" s="277"/>
      <c r="DD56" s="277"/>
      <c r="DE56" s="277"/>
      <c r="DF56" s="277"/>
      <c r="DG56" s="277"/>
      <c r="DH56" s="277"/>
      <c r="DI56" s="277"/>
      <c r="DJ56" s="277"/>
      <c r="DK56" s="277"/>
      <c r="DL56" s="277"/>
      <c r="DM56" s="277"/>
      <c r="DN56" s="277"/>
      <c r="DO56" s="277"/>
      <c r="DP56" s="277"/>
      <c r="DQ56" s="277"/>
      <c r="DR56" s="277"/>
      <c r="DS56" s="277"/>
      <c r="DT56" s="277"/>
      <c r="DU56" s="277"/>
      <c r="DV56" s="277"/>
      <c r="DW56" s="277"/>
      <c r="DX56" s="277"/>
      <c r="DY56" s="277"/>
      <c r="DZ56" s="277"/>
      <c r="EA56" s="277"/>
      <c r="EB56" s="277"/>
      <c r="EC56" s="277"/>
      <c r="ED56" s="277"/>
      <c r="EE56" s="277"/>
      <c r="EF56" s="277"/>
      <c r="EG56" s="277"/>
      <c r="EH56" s="277"/>
      <c r="EI56" s="277"/>
      <c r="EJ56" s="277"/>
      <c r="EK56" s="277"/>
      <c r="EL56" s="277"/>
      <c r="EM56" s="277"/>
      <c r="EN56" s="277"/>
      <c r="EO56" s="277"/>
      <c r="EP56" s="277"/>
      <c r="EQ56" s="277"/>
      <c r="ER56" s="277"/>
      <c r="ES56" s="277"/>
      <c r="ET56" s="277"/>
      <c r="EU56" s="277"/>
      <c r="EV56" s="277"/>
      <c r="EW56" s="277"/>
      <c r="EX56" s="277"/>
      <c r="EY56" s="277"/>
      <c r="EZ56" s="277"/>
      <c r="FA56" s="277"/>
      <c r="FB56" s="277"/>
      <c r="FC56" s="277"/>
      <c r="FD56" s="277"/>
      <c r="FE56" s="277"/>
      <c r="FF56" s="277"/>
      <c r="FG56" s="277"/>
      <c r="FH56" s="277"/>
      <c r="FI56" s="277"/>
      <c r="FJ56" s="277"/>
      <c r="FK56" s="277"/>
      <c r="FL56" s="277"/>
      <c r="FM56" s="277"/>
      <c r="FN56" s="277"/>
      <c r="FO56" s="277"/>
      <c r="FP56" s="277"/>
      <c r="FQ56" s="277"/>
      <c r="FR56" s="277"/>
      <c r="FS56" s="277"/>
      <c r="FT56" s="277"/>
      <c r="FU56" s="277"/>
      <c r="FV56" s="277"/>
      <c r="FW56" s="277"/>
      <c r="FX56" s="277"/>
      <c r="FY56" s="277"/>
      <c r="FZ56" s="277"/>
      <c r="GA56" s="277"/>
      <c r="GB56" s="277"/>
      <c r="GC56" s="277"/>
      <c r="GD56" s="277"/>
      <c r="GE56" s="277"/>
      <c r="GF56" s="277"/>
      <c r="GG56" s="277"/>
      <c r="GH56" s="277"/>
      <c r="GI56" s="277"/>
      <c r="GJ56" s="277"/>
      <c r="GK56" s="277"/>
      <c r="GL56" s="277"/>
      <c r="GM56" s="277"/>
      <c r="GN56" s="277"/>
      <c r="GO56" s="277"/>
      <c r="GP56" s="277"/>
      <c r="GQ56" s="277"/>
      <c r="GR56" s="277"/>
      <c r="GS56" s="277"/>
      <c r="GT56" s="277"/>
      <c r="GU56" s="277"/>
      <c r="GV56" s="277"/>
      <c r="GW56" s="277"/>
      <c r="GX56" s="277"/>
      <c r="GY56" s="277"/>
      <c r="GZ56" s="277"/>
      <c r="HA56" s="277"/>
      <c r="HB56" s="277"/>
      <c r="HC56" s="277"/>
      <c r="HD56" s="277"/>
      <c r="HE56" s="277"/>
      <c r="HF56" s="277"/>
      <c r="HG56" s="277"/>
      <c r="HH56" s="277"/>
      <c r="HI56" s="277"/>
      <c r="HJ56" s="277"/>
      <c r="HK56" s="277"/>
      <c r="HL56" s="277"/>
      <c r="HM56" s="277"/>
      <c r="HN56" s="277"/>
      <c r="HO56" s="277"/>
      <c r="HP56" s="277"/>
      <c r="HQ56" s="277"/>
      <c r="HR56" s="277"/>
      <c r="HS56" s="277"/>
      <c r="HT56" s="277"/>
      <c r="HU56" s="277"/>
      <c r="HV56" s="277"/>
      <c r="HW56" s="277"/>
      <c r="HX56" s="277"/>
      <c r="HY56" s="277"/>
      <c r="HZ56" s="277"/>
      <c r="IA56" s="277"/>
      <c r="IB56" s="277"/>
      <c r="IC56" s="277"/>
      <c r="ID56" s="277"/>
      <c r="IE56" s="277"/>
      <c r="IF56" s="277"/>
      <c r="IG56" s="277"/>
      <c r="IH56" s="277"/>
      <c r="II56" s="277"/>
      <c r="IJ56" s="277"/>
      <c r="IK56" s="277"/>
      <c r="IL56" s="277"/>
      <c r="IM56" s="277"/>
      <c r="IN56" s="277"/>
      <c r="IO56" s="277"/>
      <c r="IP56" s="277"/>
      <c r="IQ56" s="277"/>
      <c r="IR56" s="277"/>
      <c r="IS56" s="277"/>
      <c r="IT56" s="277"/>
      <c r="IU56" s="277"/>
      <c r="IV56" s="277"/>
      <c r="IW56" s="277"/>
      <c r="IX56" s="277"/>
      <c r="IY56" s="277"/>
      <c r="IZ56" s="277"/>
      <c r="JA56" s="277"/>
      <c r="JB56" s="277"/>
      <c r="JC56" s="277"/>
      <c r="JD56" s="277"/>
      <c r="JE56" s="277"/>
      <c r="JF56" s="277"/>
    </row>
    <row r="57" spans="17:266" x14ac:dyDescent="0.2">
      <c r="Q57" s="277"/>
      <c r="R57" s="277"/>
      <c r="S57" s="1060"/>
      <c r="X57" s="1059"/>
      <c r="Y57" s="1059"/>
      <c r="Z57" s="277"/>
      <c r="AA57" s="277"/>
      <c r="AB57" s="277"/>
      <c r="AC57" s="277"/>
      <c r="AD57" s="277"/>
      <c r="AE57" s="277"/>
      <c r="AF57" s="277"/>
      <c r="AG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c r="BU57" s="277"/>
      <c r="BV57" s="277"/>
      <c r="BW57" s="277"/>
      <c r="BX57" s="277"/>
      <c r="BY57" s="277"/>
      <c r="BZ57" s="277"/>
      <c r="CA57" s="277"/>
      <c r="CB57" s="277"/>
      <c r="CC57" s="277"/>
      <c r="CD57" s="277"/>
      <c r="CE57" s="277"/>
      <c r="CF57" s="277"/>
      <c r="CG57" s="277"/>
      <c r="CH57" s="277"/>
      <c r="CI57" s="277"/>
      <c r="CJ57" s="277"/>
      <c r="CK57" s="277"/>
      <c r="CL57" s="277"/>
      <c r="CM57" s="277"/>
      <c r="CN57" s="277"/>
      <c r="CO57" s="277"/>
      <c r="CP57" s="277"/>
      <c r="CQ57" s="277"/>
      <c r="CR57" s="277"/>
      <c r="CS57" s="277"/>
      <c r="CT57" s="277"/>
      <c r="CU57" s="277"/>
      <c r="CV57" s="277"/>
      <c r="CW57" s="277"/>
      <c r="CX57" s="277"/>
      <c r="CY57" s="277"/>
      <c r="CZ57" s="277"/>
      <c r="DA57" s="277"/>
      <c r="DB57" s="277"/>
      <c r="DC57" s="277"/>
      <c r="DD57" s="277"/>
      <c r="DE57" s="277"/>
      <c r="DF57" s="277"/>
      <c r="DG57" s="277"/>
      <c r="DH57" s="277"/>
      <c r="DI57" s="277"/>
      <c r="DJ57" s="277"/>
      <c r="DK57" s="277"/>
      <c r="DL57" s="277"/>
      <c r="DM57" s="277"/>
      <c r="DN57" s="277"/>
      <c r="DO57" s="277"/>
      <c r="DP57" s="277"/>
      <c r="DQ57" s="277"/>
      <c r="DR57" s="277"/>
      <c r="DS57" s="277"/>
      <c r="DT57" s="277"/>
      <c r="DU57" s="277"/>
      <c r="DV57" s="277"/>
      <c r="DW57" s="277"/>
      <c r="DX57" s="277"/>
      <c r="DY57" s="277"/>
      <c r="DZ57" s="277"/>
      <c r="EA57" s="277"/>
      <c r="EB57" s="277"/>
      <c r="EC57" s="277"/>
      <c r="ED57" s="277"/>
      <c r="EE57" s="277"/>
      <c r="EF57" s="277"/>
      <c r="EG57" s="277"/>
      <c r="EH57" s="277"/>
      <c r="EI57" s="277"/>
      <c r="EJ57" s="277"/>
      <c r="EK57" s="277"/>
      <c r="EL57" s="277"/>
      <c r="EM57" s="277"/>
      <c r="EN57" s="277"/>
      <c r="EO57" s="277"/>
      <c r="EP57" s="277"/>
      <c r="EQ57" s="277"/>
      <c r="ER57" s="277"/>
      <c r="ES57" s="277"/>
      <c r="ET57" s="277"/>
      <c r="EU57" s="277"/>
      <c r="EV57" s="277"/>
      <c r="EW57" s="277"/>
      <c r="EX57" s="277"/>
      <c r="EY57" s="277"/>
      <c r="EZ57" s="277"/>
      <c r="FA57" s="277"/>
      <c r="FB57" s="277"/>
      <c r="FC57" s="277"/>
      <c r="FD57" s="277"/>
      <c r="FE57" s="277"/>
      <c r="FF57" s="277"/>
      <c r="FG57" s="277"/>
      <c r="FH57" s="277"/>
      <c r="FI57" s="277"/>
      <c r="FJ57" s="277"/>
      <c r="FK57" s="277"/>
      <c r="FL57" s="277"/>
      <c r="FM57" s="277"/>
      <c r="FN57" s="277"/>
      <c r="FO57" s="277"/>
      <c r="FP57" s="277"/>
      <c r="FQ57" s="277"/>
      <c r="FR57" s="277"/>
      <c r="FS57" s="277"/>
      <c r="FT57" s="277"/>
      <c r="FU57" s="277"/>
      <c r="FV57" s="277"/>
      <c r="FW57" s="277"/>
      <c r="FX57" s="277"/>
      <c r="FY57" s="277"/>
      <c r="FZ57" s="277"/>
      <c r="GA57" s="277"/>
      <c r="GB57" s="277"/>
      <c r="GC57" s="277"/>
      <c r="GD57" s="277"/>
      <c r="GE57" s="277"/>
      <c r="GF57" s="277"/>
      <c r="GG57" s="277"/>
      <c r="GH57" s="277"/>
      <c r="GI57" s="277"/>
      <c r="GJ57" s="277"/>
      <c r="GK57" s="277"/>
      <c r="GL57" s="277"/>
      <c r="GM57" s="277"/>
      <c r="GN57" s="277"/>
      <c r="GO57" s="277"/>
      <c r="GP57" s="277"/>
      <c r="GQ57" s="277"/>
      <c r="GR57" s="277"/>
      <c r="GS57" s="277"/>
      <c r="GT57" s="277"/>
      <c r="GU57" s="277"/>
      <c r="GV57" s="277"/>
      <c r="GW57" s="277"/>
      <c r="GX57" s="277"/>
      <c r="GY57" s="277"/>
      <c r="GZ57" s="277"/>
      <c r="HA57" s="277"/>
      <c r="HB57" s="277"/>
      <c r="HC57" s="277"/>
      <c r="HD57" s="277"/>
      <c r="HE57" s="277"/>
      <c r="HF57" s="277"/>
      <c r="HG57" s="277"/>
      <c r="HH57" s="277"/>
      <c r="HI57" s="277"/>
      <c r="HJ57" s="277"/>
      <c r="HK57" s="277"/>
      <c r="HL57" s="277"/>
      <c r="HM57" s="277"/>
      <c r="HN57" s="277"/>
      <c r="HO57" s="277"/>
      <c r="HP57" s="277"/>
      <c r="HQ57" s="277"/>
      <c r="HR57" s="277"/>
      <c r="HS57" s="277"/>
      <c r="HT57" s="277"/>
      <c r="HU57" s="277"/>
      <c r="HV57" s="277"/>
      <c r="HW57" s="277"/>
      <c r="HX57" s="277"/>
      <c r="HY57" s="277"/>
      <c r="HZ57" s="277"/>
      <c r="IA57" s="277"/>
      <c r="IB57" s="277"/>
      <c r="IC57" s="277"/>
      <c r="ID57" s="277"/>
      <c r="IE57" s="277"/>
      <c r="IF57" s="277"/>
      <c r="IG57" s="277"/>
      <c r="IH57" s="277"/>
      <c r="II57" s="277"/>
      <c r="IJ57" s="277"/>
      <c r="IK57" s="277"/>
      <c r="IL57" s="277"/>
      <c r="IM57" s="277"/>
      <c r="IN57" s="277"/>
      <c r="IO57" s="277"/>
      <c r="IP57" s="277"/>
      <c r="IQ57" s="277"/>
      <c r="IR57" s="277"/>
      <c r="IS57" s="277"/>
      <c r="IT57" s="277"/>
      <c r="IU57" s="277"/>
      <c r="IV57" s="277"/>
      <c r="IW57" s="277"/>
      <c r="IX57" s="277"/>
      <c r="IY57" s="277"/>
      <c r="IZ57" s="277"/>
      <c r="JA57" s="277"/>
      <c r="JB57" s="277"/>
      <c r="JC57" s="277"/>
      <c r="JD57" s="277"/>
      <c r="JE57" s="277"/>
      <c r="JF57" s="277"/>
    </row>
    <row r="58" spans="17:266" x14ac:dyDescent="0.2">
      <c r="Q58" s="277"/>
      <c r="R58" s="277"/>
      <c r="S58" s="1060"/>
      <c r="X58" s="1059"/>
      <c r="Y58" s="1059"/>
      <c r="Z58" s="277"/>
      <c r="AA58" s="277"/>
      <c r="AB58" s="277"/>
      <c r="AC58" s="277"/>
      <c r="AD58" s="277"/>
      <c r="AE58" s="277"/>
      <c r="AF58" s="277"/>
      <c r="AG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c r="BU58" s="277"/>
      <c r="BV58" s="277"/>
      <c r="BW58" s="277"/>
      <c r="BX58" s="277"/>
      <c r="BY58" s="277"/>
      <c r="BZ58" s="277"/>
      <c r="CA58" s="277"/>
      <c r="CB58" s="277"/>
      <c r="CC58" s="277"/>
      <c r="CD58" s="277"/>
      <c r="CE58" s="277"/>
      <c r="CF58" s="277"/>
      <c r="CG58" s="277"/>
      <c r="CH58" s="277"/>
      <c r="CI58" s="277"/>
      <c r="CJ58" s="277"/>
      <c r="CK58" s="277"/>
      <c r="CL58" s="277"/>
      <c r="CM58" s="277"/>
      <c r="CN58" s="277"/>
      <c r="CO58" s="277"/>
      <c r="CP58" s="277"/>
      <c r="CQ58" s="277"/>
      <c r="CR58" s="277"/>
      <c r="CS58" s="277"/>
      <c r="CT58" s="277"/>
      <c r="CU58" s="277"/>
      <c r="CV58" s="277"/>
      <c r="CW58" s="277"/>
      <c r="CX58" s="277"/>
      <c r="CY58" s="277"/>
      <c r="CZ58" s="277"/>
      <c r="DA58" s="277"/>
      <c r="DB58" s="277"/>
      <c r="DC58" s="277"/>
      <c r="DD58" s="277"/>
      <c r="DE58" s="277"/>
      <c r="DF58" s="277"/>
      <c r="DG58" s="277"/>
      <c r="DH58" s="277"/>
      <c r="DI58" s="277"/>
      <c r="DJ58" s="277"/>
      <c r="DK58" s="277"/>
      <c r="DL58" s="277"/>
      <c r="DM58" s="277"/>
      <c r="DN58" s="277"/>
      <c r="DO58" s="277"/>
      <c r="DP58" s="277"/>
      <c r="DQ58" s="277"/>
      <c r="DR58" s="277"/>
      <c r="DS58" s="277"/>
      <c r="DT58" s="277"/>
      <c r="DU58" s="277"/>
      <c r="DV58" s="277"/>
      <c r="DW58" s="277"/>
      <c r="DX58" s="277"/>
      <c r="DY58" s="277"/>
      <c r="DZ58" s="277"/>
      <c r="EA58" s="277"/>
      <c r="EB58" s="277"/>
      <c r="EC58" s="277"/>
      <c r="ED58" s="277"/>
      <c r="EE58" s="277"/>
      <c r="EF58" s="277"/>
      <c r="EG58" s="277"/>
      <c r="EH58" s="277"/>
      <c r="EI58" s="277"/>
      <c r="EJ58" s="277"/>
      <c r="EK58" s="277"/>
      <c r="EL58" s="277"/>
      <c r="EM58" s="277"/>
      <c r="EN58" s="277"/>
      <c r="EO58" s="277"/>
      <c r="EP58" s="277"/>
      <c r="EQ58" s="277"/>
      <c r="ER58" s="277"/>
      <c r="ES58" s="277"/>
      <c r="ET58" s="277"/>
      <c r="EU58" s="277"/>
      <c r="EV58" s="277"/>
      <c r="EW58" s="277"/>
      <c r="EX58" s="277"/>
      <c r="EY58" s="277"/>
      <c r="EZ58" s="277"/>
      <c r="FA58" s="277"/>
      <c r="FB58" s="277"/>
      <c r="FC58" s="277"/>
      <c r="FD58" s="277"/>
      <c r="FE58" s="277"/>
      <c r="FF58" s="277"/>
      <c r="FG58" s="277"/>
      <c r="FH58" s="277"/>
      <c r="FI58" s="277"/>
      <c r="FJ58" s="277"/>
      <c r="FK58" s="277"/>
      <c r="FL58" s="277"/>
      <c r="FM58" s="277"/>
      <c r="FN58" s="277"/>
      <c r="FO58" s="277"/>
      <c r="FP58" s="277"/>
      <c r="FQ58" s="277"/>
      <c r="FR58" s="277"/>
      <c r="FS58" s="277"/>
      <c r="FT58" s="277"/>
      <c r="FU58" s="277"/>
      <c r="FV58" s="277"/>
      <c r="FW58" s="277"/>
      <c r="FX58" s="277"/>
      <c r="FY58" s="277"/>
      <c r="FZ58" s="277"/>
      <c r="GA58" s="277"/>
      <c r="GB58" s="277"/>
      <c r="GC58" s="277"/>
      <c r="GD58" s="277"/>
      <c r="GE58" s="277"/>
      <c r="GF58" s="277"/>
      <c r="GG58" s="277"/>
      <c r="GH58" s="277"/>
      <c r="GI58" s="277"/>
      <c r="GJ58" s="277"/>
      <c r="GK58" s="277"/>
      <c r="GL58" s="277"/>
      <c r="GM58" s="277"/>
      <c r="GN58" s="277"/>
      <c r="GO58" s="277"/>
      <c r="GP58" s="277"/>
      <c r="GQ58" s="277"/>
      <c r="GR58" s="277"/>
      <c r="GS58" s="277"/>
      <c r="GT58" s="277"/>
      <c r="GU58" s="277"/>
      <c r="GV58" s="277"/>
      <c r="GW58" s="277"/>
      <c r="GX58" s="277"/>
      <c r="GY58" s="277"/>
      <c r="GZ58" s="277"/>
      <c r="HA58" s="277"/>
      <c r="HB58" s="277"/>
      <c r="HC58" s="277"/>
      <c r="HD58" s="277"/>
      <c r="HE58" s="277"/>
      <c r="HF58" s="277"/>
      <c r="HG58" s="277"/>
      <c r="HH58" s="277"/>
      <c r="HI58" s="277"/>
      <c r="HJ58" s="277"/>
      <c r="HK58" s="277"/>
      <c r="HL58" s="277"/>
      <c r="HM58" s="277"/>
      <c r="HN58" s="277"/>
      <c r="HO58" s="277"/>
      <c r="HP58" s="277"/>
      <c r="HQ58" s="277"/>
      <c r="HR58" s="277"/>
      <c r="HS58" s="277"/>
      <c r="HT58" s="277"/>
      <c r="HU58" s="277"/>
      <c r="HV58" s="277"/>
      <c r="HW58" s="277"/>
      <c r="HX58" s="277"/>
      <c r="HY58" s="277"/>
      <c r="HZ58" s="277"/>
      <c r="IA58" s="277"/>
      <c r="IB58" s="277"/>
      <c r="IC58" s="277"/>
      <c r="ID58" s="277"/>
      <c r="IE58" s="277"/>
      <c r="IF58" s="277"/>
      <c r="IG58" s="277"/>
      <c r="IH58" s="277"/>
      <c r="II58" s="277"/>
      <c r="IJ58" s="277"/>
      <c r="IK58" s="277"/>
      <c r="IL58" s="277"/>
      <c r="IM58" s="277"/>
      <c r="IN58" s="277"/>
      <c r="IO58" s="277"/>
      <c r="IP58" s="277"/>
      <c r="IQ58" s="277"/>
      <c r="IR58" s="277"/>
      <c r="IS58" s="277"/>
      <c r="IT58" s="277"/>
      <c r="IU58" s="277"/>
      <c r="IV58" s="277"/>
      <c r="IW58" s="277"/>
      <c r="IX58" s="277"/>
      <c r="IY58" s="277"/>
      <c r="IZ58" s="277"/>
      <c r="JA58" s="277"/>
      <c r="JB58" s="277"/>
      <c r="JC58" s="277"/>
      <c r="JD58" s="277"/>
      <c r="JE58" s="277"/>
      <c r="JF58" s="277"/>
    </row>
    <row r="59" spans="17:266" x14ac:dyDescent="0.2">
      <c r="Q59" s="277"/>
      <c r="R59" s="277"/>
      <c r="S59" s="1060"/>
      <c r="X59" s="1059"/>
      <c r="Y59" s="1059"/>
      <c r="Z59" s="277"/>
      <c r="AA59" s="277"/>
      <c r="AB59" s="277"/>
      <c r="AC59" s="277"/>
      <c r="AD59" s="277"/>
      <c r="AE59" s="277"/>
      <c r="AF59" s="277"/>
      <c r="AG59" s="277"/>
      <c r="AI59" s="277"/>
      <c r="AJ59" s="277"/>
      <c r="AK59" s="277"/>
      <c r="AL59" s="277"/>
      <c r="AM59" s="277"/>
      <c r="AN59" s="277"/>
      <c r="AO59" s="277"/>
      <c r="AP59" s="277"/>
      <c r="AQ59" s="277"/>
      <c r="AR59" s="277"/>
      <c r="AS59" s="277"/>
      <c r="AT59" s="277"/>
      <c r="AU59" s="277"/>
      <c r="AV59" s="277"/>
      <c r="AW59" s="277"/>
      <c r="AX59" s="277"/>
      <c r="AY59" s="277"/>
      <c r="AZ59" s="277"/>
      <c r="BA59" s="277"/>
      <c r="BB59" s="277"/>
      <c r="BC59" s="277"/>
      <c r="BD59" s="277"/>
      <c r="BE59" s="277"/>
      <c r="BF59" s="277"/>
      <c r="BG59" s="277"/>
      <c r="BH59" s="277"/>
      <c r="BI59" s="277"/>
      <c r="BJ59" s="277"/>
      <c r="BK59" s="277"/>
      <c r="BL59" s="277"/>
      <c r="BM59" s="277"/>
      <c r="BN59" s="277"/>
      <c r="BO59" s="277"/>
      <c r="BP59" s="277"/>
      <c r="BQ59" s="277"/>
      <c r="BR59" s="277"/>
      <c r="BS59" s="277"/>
      <c r="BT59" s="277"/>
      <c r="BU59" s="277"/>
      <c r="BV59" s="277"/>
      <c r="BW59" s="277"/>
      <c r="BX59" s="277"/>
      <c r="BY59" s="277"/>
      <c r="BZ59" s="277"/>
      <c r="CA59" s="277"/>
      <c r="CB59" s="277"/>
      <c r="CC59" s="277"/>
      <c r="CD59" s="277"/>
      <c r="CE59" s="277"/>
      <c r="CF59" s="277"/>
      <c r="CG59" s="277"/>
      <c r="CH59" s="277"/>
      <c r="CI59" s="277"/>
      <c r="CJ59" s="277"/>
      <c r="CK59" s="277"/>
      <c r="CL59" s="277"/>
      <c r="CM59" s="277"/>
      <c r="CN59" s="277"/>
      <c r="CO59" s="277"/>
      <c r="CP59" s="277"/>
      <c r="CQ59" s="277"/>
      <c r="CR59" s="277"/>
      <c r="CS59" s="277"/>
      <c r="CT59" s="277"/>
      <c r="CU59" s="277"/>
      <c r="CV59" s="277"/>
      <c r="CW59" s="277"/>
      <c r="CX59" s="277"/>
      <c r="CY59" s="277"/>
      <c r="CZ59" s="277"/>
      <c r="DA59" s="277"/>
      <c r="DB59" s="277"/>
      <c r="DC59" s="277"/>
      <c r="DD59" s="277"/>
      <c r="DE59" s="277"/>
      <c r="DF59" s="277"/>
      <c r="DG59" s="277"/>
      <c r="DH59" s="277"/>
      <c r="DI59" s="277"/>
      <c r="DJ59" s="277"/>
      <c r="DK59" s="277"/>
      <c r="DL59" s="277"/>
      <c r="DM59" s="277"/>
      <c r="DN59" s="277"/>
      <c r="DO59" s="277"/>
      <c r="DP59" s="277"/>
      <c r="DQ59" s="277"/>
      <c r="DR59" s="277"/>
      <c r="DS59" s="277"/>
      <c r="DT59" s="277"/>
      <c r="DU59" s="277"/>
      <c r="DV59" s="277"/>
      <c r="DW59" s="277"/>
      <c r="DX59" s="277"/>
      <c r="DY59" s="277"/>
      <c r="DZ59" s="277"/>
      <c r="EA59" s="277"/>
      <c r="EB59" s="277"/>
      <c r="EC59" s="277"/>
      <c r="ED59" s="277"/>
      <c r="EE59" s="277"/>
      <c r="EF59" s="277"/>
      <c r="EG59" s="277"/>
      <c r="EH59" s="277"/>
      <c r="EI59" s="277"/>
      <c r="EJ59" s="277"/>
      <c r="EK59" s="277"/>
      <c r="EL59" s="277"/>
      <c r="EM59" s="277"/>
      <c r="EN59" s="277"/>
      <c r="EO59" s="277"/>
      <c r="EP59" s="277"/>
      <c r="EQ59" s="277"/>
      <c r="ER59" s="277"/>
      <c r="ES59" s="277"/>
      <c r="ET59" s="277"/>
      <c r="EU59" s="277"/>
      <c r="EV59" s="277"/>
      <c r="EW59" s="277"/>
      <c r="EX59" s="277"/>
      <c r="EY59" s="277"/>
      <c r="EZ59" s="277"/>
      <c r="FA59" s="277"/>
      <c r="FB59" s="277"/>
      <c r="FC59" s="277"/>
      <c r="FD59" s="277"/>
      <c r="FE59" s="277"/>
      <c r="FF59" s="277"/>
      <c r="FG59" s="277"/>
      <c r="FH59" s="277"/>
      <c r="FI59" s="277"/>
      <c r="FJ59" s="277"/>
      <c r="FK59" s="277"/>
      <c r="FL59" s="277"/>
      <c r="FM59" s="277"/>
      <c r="FN59" s="277"/>
      <c r="FO59" s="277"/>
      <c r="FP59" s="277"/>
      <c r="FQ59" s="277"/>
      <c r="FR59" s="277"/>
      <c r="FS59" s="277"/>
      <c r="FT59" s="277"/>
      <c r="FU59" s="277"/>
      <c r="FV59" s="277"/>
      <c r="FW59" s="277"/>
      <c r="FX59" s="277"/>
      <c r="FY59" s="277"/>
      <c r="FZ59" s="277"/>
      <c r="GA59" s="277"/>
      <c r="GB59" s="277"/>
      <c r="GC59" s="277"/>
      <c r="GD59" s="277"/>
      <c r="GE59" s="277"/>
      <c r="GF59" s="277"/>
      <c r="GG59" s="277"/>
      <c r="GH59" s="277"/>
      <c r="GI59" s="277"/>
      <c r="GJ59" s="277"/>
      <c r="GK59" s="277"/>
      <c r="GL59" s="277"/>
      <c r="GM59" s="277"/>
      <c r="GN59" s="277"/>
      <c r="GO59" s="277"/>
      <c r="GP59" s="277"/>
      <c r="GQ59" s="277"/>
      <c r="GR59" s="277"/>
      <c r="GS59" s="277"/>
      <c r="GT59" s="277"/>
      <c r="GU59" s="277"/>
      <c r="GV59" s="277"/>
      <c r="GW59" s="277"/>
      <c r="GX59" s="277"/>
      <c r="GY59" s="277"/>
      <c r="GZ59" s="277"/>
      <c r="HA59" s="277"/>
      <c r="HB59" s="277"/>
      <c r="HC59" s="277"/>
      <c r="HD59" s="277"/>
      <c r="HE59" s="277"/>
      <c r="HF59" s="277"/>
      <c r="HG59" s="277"/>
      <c r="HH59" s="277"/>
      <c r="HI59" s="277"/>
      <c r="HJ59" s="277"/>
      <c r="HK59" s="277"/>
      <c r="HL59" s="277"/>
      <c r="HM59" s="277"/>
      <c r="HN59" s="277"/>
      <c r="HO59" s="277"/>
      <c r="HP59" s="277"/>
      <c r="HQ59" s="277"/>
      <c r="HR59" s="277"/>
      <c r="HS59" s="277"/>
      <c r="HT59" s="277"/>
      <c r="HU59" s="277"/>
      <c r="HV59" s="277"/>
      <c r="HW59" s="277"/>
      <c r="HX59" s="277"/>
      <c r="HY59" s="277"/>
      <c r="HZ59" s="277"/>
      <c r="IA59" s="277"/>
      <c r="IB59" s="277"/>
      <c r="IC59" s="277"/>
      <c r="ID59" s="277"/>
      <c r="IE59" s="277"/>
      <c r="IF59" s="277"/>
      <c r="IG59" s="277"/>
      <c r="IH59" s="277"/>
      <c r="II59" s="277"/>
      <c r="IJ59" s="277"/>
      <c r="IK59" s="277"/>
      <c r="IL59" s="277"/>
      <c r="IM59" s="277"/>
      <c r="IN59" s="277"/>
      <c r="IO59" s="277"/>
      <c r="IP59" s="277"/>
      <c r="IQ59" s="277"/>
      <c r="IR59" s="277"/>
      <c r="IS59" s="277"/>
      <c r="IT59" s="277"/>
      <c r="IU59" s="277"/>
      <c r="IV59" s="277"/>
      <c r="IW59" s="277"/>
      <c r="IX59" s="277"/>
      <c r="IY59" s="277"/>
      <c r="IZ59" s="277"/>
      <c r="JA59" s="277"/>
      <c r="JB59" s="277"/>
      <c r="JC59" s="277"/>
      <c r="JD59" s="277"/>
      <c r="JE59" s="277"/>
      <c r="JF59" s="277"/>
    </row>
    <row r="60" spans="17:266" x14ac:dyDescent="0.2">
      <c r="Q60" s="277"/>
      <c r="R60" s="277"/>
      <c r="S60" s="1060"/>
      <c r="X60" s="1059"/>
      <c r="Y60" s="1059"/>
      <c r="Z60" s="277"/>
      <c r="AA60" s="277"/>
      <c r="AB60" s="277"/>
      <c r="AC60" s="277"/>
      <c r="AD60" s="277"/>
      <c r="AE60" s="277"/>
      <c r="AF60" s="277"/>
      <c r="AG60" s="277"/>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7"/>
      <c r="CH60" s="277"/>
      <c r="CI60" s="277"/>
      <c r="CJ60" s="277"/>
      <c r="CK60" s="277"/>
      <c r="CL60" s="277"/>
      <c r="CM60" s="277"/>
      <c r="CN60" s="277"/>
      <c r="CO60" s="277"/>
      <c r="CP60" s="277"/>
      <c r="CQ60" s="277"/>
      <c r="CR60" s="277"/>
      <c r="CS60" s="277"/>
      <c r="CT60" s="277"/>
      <c r="CU60" s="277"/>
      <c r="CV60" s="277"/>
      <c r="CW60" s="277"/>
      <c r="CX60" s="277"/>
      <c r="CY60" s="277"/>
      <c r="CZ60" s="277"/>
      <c r="DA60" s="277"/>
      <c r="DB60" s="277"/>
      <c r="DC60" s="277"/>
      <c r="DD60" s="277"/>
      <c r="DE60" s="277"/>
      <c r="DF60" s="277"/>
      <c r="DG60" s="277"/>
      <c r="DH60" s="277"/>
      <c r="DI60" s="277"/>
      <c r="DJ60" s="277"/>
      <c r="DK60" s="277"/>
      <c r="DL60" s="277"/>
      <c r="DM60" s="277"/>
      <c r="DN60" s="277"/>
      <c r="DO60" s="277"/>
      <c r="DP60" s="277"/>
      <c r="DQ60" s="277"/>
      <c r="DR60" s="277"/>
      <c r="DS60" s="277"/>
      <c r="DT60" s="277"/>
      <c r="DU60" s="277"/>
      <c r="DV60" s="277"/>
      <c r="DW60" s="277"/>
      <c r="DX60" s="277"/>
      <c r="DY60" s="277"/>
      <c r="DZ60" s="277"/>
      <c r="EA60" s="277"/>
      <c r="EB60" s="277"/>
      <c r="EC60" s="277"/>
      <c r="ED60" s="277"/>
      <c r="EE60" s="277"/>
      <c r="EF60" s="277"/>
      <c r="EG60" s="277"/>
      <c r="EH60" s="277"/>
      <c r="EI60" s="277"/>
      <c r="EJ60" s="277"/>
      <c r="EK60" s="277"/>
      <c r="EL60" s="277"/>
      <c r="EM60" s="277"/>
      <c r="EN60" s="277"/>
      <c r="EO60" s="277"/>
      <c r="EP60" s="277"/>
      <c r="EQ60" s="277"/>
      <c r="ER60" s="277"/>
      <c r="ES60" s="277"/>
      <c r="ET60" s="277"/>
      <c r="EU60" s="277"/>
      <c r="EV60" s="277"/>
      <c r="EW60" s="277"/>
      <c r="EX60" s="277"/>
      <c r="EY60" s="277"/>
      <c r="EZ60" s="277"/>
      <c r="FA60" s="277"/>
      <c r="FB60" s="277"/>
      <c r="FC60" s="277"/>
      <c r="FD60" s="277"/>
      <c r="FE60" s="277"/>
      <c r="FF60" s="277"/>
      <c r="FG60" s="277"/>
      <c r="FH60" s="277"/>
      <c r="FI60" s="277"/>
      <c r="FJ60" s="277"/>
      <c r="FK60" s="277"/>
      <c r="FL60" s="277"/>
      <c r="FM60" s="277"/>
      <c r="FN60" s="277"/>
      <c r="FO60" s="277"/>
      <c r="FP60" s="277"/>
      <c r="FQ60" s="277"/>
      <c r="FR60" s="277"/>
      <c r="FS60" s="277"/>
      <c r="FT60" s="277"/>
      <c r="FU60" s="277"/>
      <c r="FV60" s="277"/>
      <c r="FW60" s="277"/>
      <c r="FX60" s="277"/>
      <c r="FY60" s="277"/>
      <c r="FZ60" s="277"/>
      <c r="GA60" s="277"/>
      <c r="GB60" s="277"/>
      <c r="GC60" s="277"/>
      <c r="GD60" s="277"/>
      <c r="GE60" s="277"/>
      <c r="GF60" s="277"/>
      <c r="GG60" s="277"/>
      <c r="GH60" s="277"/>
      <c r="GI60" s="277"/>
      <c r="GJ60" s="277"/>
      <c r="GK60" s="277"/>
      <c r="GL60" s="277"/>
      <c r="GM60" s="277"/>
      <c r="GN60" s="277"/>
      <c r="GO60" s="277"/>
      <c r="GP60" s="277"/>
      <c r="GQ60" s="277"/>
      <c r="GR60" s="277"/>
      <c r="GS60" s="277"/>
      <c r="GT60" s="277"/>
      <c r="GU60" s="277"/>
      <c r="GV60" s="277"/>
      <c r="GW60" s="277"/>
      <c r="GX60" s="277"/>
      <c r="GY60" s="277"/>
      <c r="GZ60" s="277"/>
      <c r="HA60" s="277"/>
      <c r="HB60" s="277"/>
      <c r="HC60" s="277"/>
      <c r="HD60" s="277"/>
      <c r="HE60" s="277"/>
      <c r="HF60" s="277"/>
      <c r="HG60" s="277"/>
      <c r="HH60" s="277"/>
      <c r="HI60" s="277"/>
      <c r="HJ60" s="277"/>
      <c r="HK60" s="277"/>
      <c r="HL60" s="277"/>
      <c r="HM60" s="277"/>
      <c r="HN60" s="277"/>
      <c r="HO60" s="277"/>
      <c r="HP60" s="277"/>
      <c r="HQ60" s="277"/>
      <c r="HR60" s="277"/>
      <c r="HS60" s="277"/>
      <c r="HT60" s="277"/>
      <c r="HU60" s="277"/>
      <c r="HV60" s="277"/>
      <c r="HW60" s="277"/>
      <c r="HX60" s="277"/>
      <c r="HY60" s="277"/>
      <c r="HZ60" s="277"/>
      <c r="IA60" s="277"/>
      <c r="IB60" s="277"/>
      <c r="IC60" s="277"/>
      <c r="ID60" s="277"/>
      <c r="IE60" s="277"/>
      <c r="IF60" s="277"/>
      <c r="IG60" s="277"/>
      <c r="IH60" s="277"/>
      <c r="II60" s="277"/>
      <c r="IJ60" s="277"/>
      <c r="IK60" s="277"/>
      <c r="IL60" s="277"/>
      <c r="IM60" s="277"/>
      <c r="IN60" s="277"/>
      <c r="IO60" s="277"/>
      <c r="IP60" s="277"/>
      <c r="IQ60" s="277"/>
      <c r="IR60" s="277"/>
      <c r="IS60" s="277"/>
      <c r="IT60" s="277"/>
      <c r="IU60" s="277"/>
      <c r="IV60" s="277"/>
      <c r="IW60" s="277"/>
      <c r="IX60" s="277"/>
      <c r="IY60" s="277"/>
      <c r="IZ60" s="277"/>
      <c r="JA60" s="277"/>
      <c r="JB60" s="277"/>
      <c r="JC60" s="277"/>
      <c r="JD60" s="277"/>
      <c r="JE60" s="277"/>
      <c r="JF60" s="277"/>
    </row>
    <row r="61" spans="17:266" x14ac:dyDescent="0.2">
      <c r="Q61" s="277"/>
      <c r="R61" s="277"/>
      <c r="S61" s="1060"/>
      <c r="X61" s="1059"/>
      <c r="Y61" s="1059"/>
      <c r="Z61" s="277"/>
      <c r="AA61" s="277"/>
      <c r="AB61" s="277"/>
      <c r="AC61" s="277"/>
      <c r="AD61" s="277"/>
      <c r="AE61" s="277"/>
      <c r="AF61" s="277"/>
      <c r="AG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c r="BU61" s="277"/>
      <c r="BV61" s="277"/>
      <c r="BW61" s="277"/>
      <c r="BX61" s="277"/>
      <c r="BY61" s="277"/>
      <c r="BZ61" s="277"/>
      <c r="CA61" s="277"/>
      <c r="CB61" s="277"/>
      <c r="CC61" s="277"/>
      <c r="CD61" s="277"/>
      <c r="CE61" s="277"/>
      <c r="CF61" s="277"/>
      <c r="CG61" s="277"/>
      <c r="CH61" s="277"/>
      <c r="CI61" s="277"/>
      <c r="CJ61" s="277"/>
      <c r="CK61" s="277"/>
      <c r="CL61" s="277"/>
      <c r="CM61" s="277"/>
      <c r="CN61" s="277"/>
      <c r="CO61" s="277"/>
      <c r="CP61" s="277"/>
      <c r="CQ61" s="277"/>
      <c r="CR61" s="277"/>
      <c r="CS61" s="277"/>
      <c r="CT61" s="277"/>
      <c r="CU61" s="277"/>
      <c r="CV61" s="277"/>
      <c r="CW61" s="277"/>
      <c r="CX61" s="277"/>
      <c r="CY61" s="277"/>
      <c r="CZ61" s="277"/>
      <c r="DA61" s="277"/>
      <c r="DB61" s="277"/>
      <c r="DC61" s="277"/>
      <c r="DD61" s="277"/>
      <c r="DE61" s="277"/>
      <c r="DF61" s="277"/>
      <c r="DG61" s="277"/>
      <c r="DH61" s="277"/>
      <c r="DI61" s="277"/>
      <c r="DJ61" s="277"/>
      <c r="DK61" s="277"/>
      <c r="DL61" s="277"/>
      <c r="DM61" s="277"/>
      <c r="DN61" s="277"/>
      <c r="DO61" s="277"/>
      <c r="DP61" s="277"/>
      <c r="DQ61" s="277"/>
      <c r="DR61" s="277"/>
      <c r="DS61" s="277"/>
      <c r="DT61" s="277"/>
      <c r="DU61" s="277"/>
      <c r="DV61" s="277"/>
      <c r="DW61" s="277"/>
      <c r="DX61" s="277"/>
      <c r="DY61" s="277"/>
      <c r="DZ61" s="277"/>
      <c r="EA61" s="277"/>
      <c r="EB61" s="277"/>
      <c r="EC61" s="277"/>
      <c r="ED61" s="277"/>
      <c r="EE61" s="277"/>
      <c r="EF61" s="277"/>
      <c r="EG61" s="277"/>
      <c r="EH61" s="277"/>
      <c r="EI61" s="277"/>
      <c r="EJ61" s="277"/>
      <c r="EK61" s="277"/>
      <c r="EL61" s="277"/>
      <c r="EM61" s="277"/>
      <c r="EN61" s="277"/>
      <c r="EO61" s="277"/>
      <c r="EP61" s="277"/>
      <c r="EQ61" s="277"/>
      <c r="ER61" s="277"/>
      <c r="ES61" s="277"/>
      <c r="ET61" s="277"/>
      <c r="EU61" s="277"/>
      <c r="EV61" s="277"/>
      <c r="EW61" s="277"/>
      <c r="EX61" s="277"/>
      <c r="EY61" s="277"/>
      <c r="EZ61" s="277"/>
      <c r="FA61" s="277"/>
      <c r="FB61" s="277"/>
      <c r="FC61" s="277"/>
      <c r="FD61" s="277"/>
      <c r="FE61" s="277"/>
      <c r="FF61" s="277"/>
      <c r="FG61" s="277"/>
      <c r="FH61" s="277"/>
      <c r="FI61" s="277"/>
      <c r="FJ61" s="277"/>
      <c r="FK61" s="277"/>
      <c r="FL61" s="277"/>
      <c r="FM61" s="277"/>
      <c r="FN61" s="277"/>
      <c r="FO61" s="277"/>
      <c r="FP61" s="277"/>
      <c r="FQ61" s="277"/>
      <c r="FR61" s="277"/>
      <c r="FS61" s="277"/>
      <c r="FT61" s="277"/>
      <c r="FU61" s="277"/>
      <c r="FV61" s="277"/>
      <c r="FW61" s="277"/>
      <c r="FX61" s="277"/>
      <c r="FY61" s="277"/>
      <c r="FZ61" s="277"/>
      <c r="GA61" s="277"/>
      <c r="GB61" s="277"/>
      <c r="GC61" s="277"/>
      <c r="GD61" s="277"/>
      <c r="GE61" s="277"/>
      <c r="GF61" s="277"/>
      <c r="GG61" s="277"/>
      <c r="GH61" s="277"/>
      <c r="GI61" s="277"/>
      <c r="GJ61" s="277"/>
      <c r="GK61" s="277"/>
      <c r="GL61" s="277"/>
      <c r="GM61" s="277"/>
      <c r="GN61" s="277"/>
      <c r="GO61" s="277"/>
      <c r="GP61" s="277"/>
      <c r="GQ61" s="277"/>
      <c r="GR61" s="277"/>
      <c r="GS61" s="277"/>
      <c r="GT61" s="277"/>
      <c r="GU61" s="277"/>
      <c r="GV61" s="277"/>
      <c r="GW61" s="277"/>
      <c r="GX61" s="277"/>
      <c r="GY61" s="277"/>
      <c r="GZ61" s="277"/>
      <c r="HA61" s="277"/>
      <c r="HB61" s="277"/>
      <c r="HC61" s="277"/>
      <c r="HD61" s="277"/>
      <c r="HE61" s="277"/>
      <c r="HF61" s="277"/>
      <c r="HG61" s="277"/>
      <c r="HH61" s="277"/>
      <c r="HI61" s="277"/>
      <c r="HJ61" s="277"/>
      <c r="HK61" s="277"/>
      <c r="HL61" s="277"/>
      <c r="HM61" s="277"/>
      <c r="HN61" s="277"/>
      <c r="HO61" s="277"/>
      <c r="HP61" s="277"/>
      <c r="HQ61" s="277"/>
      <c r="HR61" s="277"/>
      <c r="HS61" s="277"/>
      <c r="HT61" s="277"/>
      <c r="HU61" s="277"/>
      <c r="HV61" s="277"/>
      <c r="HW61" s="277"/>
      <c r="HX61" s="277"/>
      <c r="HY61" s="277"/>
      <c r="HZ61" s="277"/>
      <c r="IA61" s="277"/>
      <c r="IB61" s="277"/>
      <c r="IC61" s="277"/>
      <c r="ID61" s="277"/>
      <c r="IE61" s="277"/>
      <c r="IF61" s="277"/>
      <c r="IG61" s="277"/>
      <c r="IH61" s="277"/>
      <c r="II61" s="277"/>
      <c r="IJ61" s="277"/>
      <c r="IK61" s="277"/>
      <c r="IL61" s="277"/>
      <c r="IM61" s="277"/>
      <c r="IN61" s="277"/>
      <c r="IO61" s="277"/>
      <c r="IP61" s="277"/>
      <c r="IQ61" s="277"/>
      <c r="IR61" s="277"/>
      <c r="IS61" s="277"/>
      <c r="IT61" s="277"/>
      <c r="IU61" s="277"/>
      <c r="IV61" s="277"/>
      <c r="IW61" s="277"/>
      <c r="IX61" s="277"/>
      <c r="IY61" s="277"/>
      <c r="IZ61" s="277"/>
      <c r="JA61" s="277"/>
      <c r="JB61" s="277"/>
      <c r="JC61" s="277"/>
      <c r="JD61" s="277"/>
      <c r="JE61" s="277"/>
      <c r="JF61" s="277"/>
    </row>
    <row r="62" spans="17:266" x14ac:dyDescent="0.2">
      <c r="Q62" s="277"/>
      <c r="R62" s="277"/>
      <c r="S62" s="1060"/>
      <c r="X62" s="1059"/>
      <c r="Y62" s="1059"/>
      <c r="Z62" s="277"/>
      <c r="AA62" s="277"/>
      <c r="AB62" s="277"/>
      <c r="AC62" s="277"/>
      <c r="AD62" s="277"/>
      <c r="AE62" s="277"/>
      <c r="AF62" s="277"/>
      <c r="AG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c r="BU62" s="277"/>
      <c r="BV62" s="277"/>
      <c r="BW62" s="277"/>
      <c r="BX62" s="277"/>
      <c r="BY62" s="277"/>
      <c r="BZ62" s="277"/>
      <c r="CA62" s="277"/>
      <c r="CB62" s="277"/>
      <c r="CC62" s="277"/>
      <c r="CD62" s="277"/>
      <c r="CE62" s="277"/>
      <c r="CF62" s="277"/>
      <c r="CG62" s="277"/>
      <c r="CH62" s="277"/>
      <c r="CI62" s="277"/>
      <c r="CJ62" s="277"/>
      <c r="CK62" s="277"/>
      <c r="CL62" s="277"/>
      <c r="CM62" s="277"/>
      <c r="CN62" s="277"/>
      <c r="CO62" s="277"/>
      <c r="CP62" s="277"/>
      <c r="CQ62" s="277"/>
      <c r="CR62" s="277"/>
      <c r="CS62" s="277"/>
      <c r="CT62" s="277"/>
      <c r="CU62" s="277"/>
      <c r="CV62" s="277"/>
      <c r="CW62" s="277"/>
      <c r="CX62" s="277"/>
      <c r="CY62" s="277"/>
      <c r="CZ62" s="277"/>
      <c r="DA62" s="277"/>
      <c r="DB62" s="277"/>
      <c r="DC62" s="277"/>
      <c r="DD62" s="277"/>
      <c r="DE62" s="277"/>
      <c r="DF62" s="277"/>
      <c r="DG62" s="277"/>
      <c r="DH62" s="277"/>
      <c r="DI62" s="277"/>
      <c r="DJ62" s="277"/>
      <c r="DK62" s="277"/>
      <c r="DL62" s="277"/>
      <c r="DM62" s="277"/>
      <c r="DN62" s="277"/>
      <c r="DO62" s="277"/>
      <c r="DP62" s="277"/>
      <c r="DQ62" s="277"/>
      <c r="DR62" s="277"/>
      <c r="DS62" s="277"/>
      <c r="DT62" s="277"/>
      <c r="DU62" s="277"/>
      <c r="DV62" s="277"/>
      <c r="DW62" s="277"/>
      <c r="DX62" s="277"/>
      <c r="DY62" s="277"/>
      <c r="DZ62" s="277"/>
      <c r="EA62" s="277"/>
      <c r="EB62" s="277"/>
      <c r="EC62" s="277"/>
      <c r="ED62" s="277"/>
      <c r="EE62" s="277"/>
      <c r="EF62" s="277"/>
      <c r="EG62" s="277"/>
      <c r="EH62" s="277"/>
      <c r="EI62" s="277"/>
      <c r="EJ62" s="277"/>
      <c r="EK62" s="277"/>
      <c r="EL62" s="277"/>
      <c r="EM62" s="277"/>
      <c r="EN62" s="277"/>
      <c r="EO62" s="277"/>
      <c r="EP62" s="277"/>
      <c r="EQ62" s="277"/>
      <c r="ER62" s="277"/>
      <c r="ES62" s="277"/>
      <c r="ET62" s="277"/>
      <c r="EU62" s="277"/>
      <c r="EV62" s="277"/>
      <c r="EW62" s="277"/>
      <c r="EX62" s="277"/>
      <c r="EY62" s="277"/>
      <c r="EZ62" s="277"/>
      <c r="FA62" s="277"/>
      <c r="FB62" s="277"/>
      <c r="FC62" s="277"/>
      <c r="FD62" s="277"/>
      <c r="FE62" s="277"/>
      <c r="FF62" s="277"/>
      <c r="FG62" s="277"/>
      <c r="FH62" s="277"/>
      <c r="FI62" s="277"/>
      <c r="FJ62" s="277"/>
      <c r="FK62" s="277"/>
      <c r="FL62" s="277"/>
      <c r="FM62" s="277"/>
      <c r="FN62" s="277"/>
      <c r="FO62" s="277"/>
      <c r="FP62" s="277"/>
      <c r="FQ62" s="277"/>
      <c r="FR62" s="277"/>
      <c r="FS62" s="277"/>
      <c r="FT62" s="277"/>
      <c r="FU62" s="277"/>
      <c r="FV62" s="277"/>
      <c r="FW62" s="277"/>
      <c r="FX62" s="277"/>
      <c r="FY62" s="277"/>
      <c r="FZ62" s="277"/>
      <c r="GA62" s="277"/>
      <c r="GB62" s="277"/>
      <c r="GC62" s="277"/>
      <c r="GD62" s="277"/>
      <c r="GE62" s="277"/>
      <c r="GF62" s="277"/>
      <c r="GG62" s="277"/>
      <c r="GH62" s="277"/>
      <c r="GI62" s="277"/>
      <c r="GJ62" s="277"/>
      <c r="GK62" s="277"/>
      <c r="GL62" s="277"/>
      <c r="GM62" s="277"/>
      <c r="GN62" s="277"/>
      <c r="GO62" s="277"/>
      <c r="GP62" s="277"/>
      <c r="GQ62" s="277"/>
      <c r="GR62" s="277"/>
      <c r="GS62" s="277"/>
      <c r="GT62" s="277"/>
      <c r="GU62" s="277"/>
      <c r="GV62" s="277"/>
      <c r="GW62" s="277"/>
      <c r="GX62" s="277"/>
      <c r="GY62" s="277"/>
      <c r="GZ62" s="277"/>
      <c r="HA62" s="277"/>
      <c r="HB62" s="277"/>
      <c r="HC62" s="277"/>
      <c r="HD62" s="277"/>
      <c r="HE62" s="277"/>
      <c r="HF62" s="277"/>
      <c r="HG62" s="277"/>
      <c r="HH62" s="277"/>
      <c r="HI62" s="277"/>
      <c r="HJ62" s="277"/>
      <c r="HK62" s="277"/>
      <c r="HL62" s="277"/>
      <c r="HM62" s="277"/>
      <c r="HN62" s="277"/>
      <c r="HO62" s="277"/>
      <c r="HP62" s="277"/>
      <c r="HQ62" s="277"/>
      <c r="HR62" s="277"/>
      <c r="HS62" s="277"/>
      <c r="HT62" s="277"/>
      <c r="HU62" s="277"/>
      <c r="HV62" s="277"/>
      <c r="HW62" s="277"/>
      <c r="HX62" s="277"/>
      <c r="HY62" s="277"/>
      <c r="HZ62" s="277"/>
      <c r="IA62" s="277"/>
      <c r="IB62" s="277"/>
      <c r="IC62" s="277"/>
      <c r="ID62" s="277"/>
      <c r="IE62" s="277"/>
      <c r="IF62" s="277"/>
      <c r="IG62" s="277"/>
      <c r="IH62" s="277"/>
      <c r="II62" s="277"/>
      <c r="IJ62" s="277"/>
      <c r="IK62" s="277"/>
      <c r="IL62" s="277"/>
      <c r="IM62" s="277"/>
      <c r="IN62" s="277"/>
      <c r="IO62" s="277"/>
      <c r="IP62" s="277"/>
      <c r="IQ62" s="277"/>
      <c r="IR62" s="277"/>
      <c r="IS62" s="277"/>
      <c r="IT62" s="277"/>
      <c r="IU62" s="277"/>
      <c r="IV62" s="277"/>
      <c r="IW62" s="277"/>
      <c r="IX62" s="277"/>
      <c r="IY62" s="277"/>
      <c r="IZ62" s="277"/>
      <c r="JA62" s="277"/>
      <c r="JB62" s="277"/>
      <c r="JC62" s="277"/>
      <c r="JD62" s="277"/>
      <c r="JE62" s="277"/>
      <c r="JF62" s="277"/>
    </row>
    <row r="63" spans="17:266" x14ac:dyDescent="0.2">
      <c r="Q63" s="277"/>
      <c r="R63" s="277"/>
      <c r="S63" s="1060"/>
      <c r="X63" s="1059"/>
      <c r="Y63" s="1059"/>
      <c r="Z63" s="277"/>
      <c r="AA63" s="277"/>
      <c r="AB63" s="277"/>
      <c r="AC63" s="277"/>
      <c r="AD63" s="277"/>
      <c r="AE63" s="277"/>
      <c r="AF63" s="277"/>
      <c r="AG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7"/>
      <c r="CA63" s="277"/>
      <c r="CB63" s="277"/>
      <c r="CC63" s="277"/>
      <c r="CD63" s="277"/>
      <c r="CE63" s="277"/>
      <c r="CF63" s="277"/>
      <c r="CG63" s="277"/>
      <c r="CH63" s="277"/>
      <c r="CI63" s="277"/>
      <c r="CJ63" s="277"/>
      <c r="CK63" s="277"/>
      <c r="CL63" s="277"/>
      <c r="CM63" s="277"/>
      <c r="CN63" s="277"/>
      <c r="CO63" s="277"/>
      <c r="CP63" s="277"/>
      <c r="CQ63" s="277"/>
      <c r="CR63" s="277"/>
      <c r="CS63" s="277"/>
      <c r="CT63" s="277"/>
      <c r="CU63" s="277"/>
      <c r="CV63" s="277"/>
      <c r="CW63" s="277"/>
      <c r="CX63" s="277"/>
      <c r="CY63" s="277"/>
      <c r="CZ63" s="277"/>
      <c r="DA63" s="277"/>
      <c r="DB63" s="277"/>
      <c r="DC63" s="277"/>
      <c r="DD63" s="277"/>
      <c r="DE63" s="277"/>
      <c r="DF63" s="277"/>
      <c r="DG63" s="277"/>
      <c r="DH63" s="277"/>
      <c r="DI63" s="277"/>
      <c r="DJ63" s="277"/>
      <c r="DK63" s="277"/>
      <c r="DL63" s="277"/>
      <c r="DM63" s="277"/>
      <c r="DN63" s="277"/>
      <c r="DO63" s="277"/>
      <c r="DP63" s="277"/>
      <c r="DQ63" s="277"/>
      <c r="DR63" s="277"/>
      <c r="DS63" s="277"/>
      <c r="DT63" s="277"/>
      <c r="DU63" s="277"/>
      <c r="DV63" s="277"/>
      <c r="DW63" s="277"/>
      <c r="DX63" s="277"/>
      <c r="DY63" s="277"/>
      <c r="DZ63" s="277"/>
      <c r="EA63" s="277"/>
      <c r="EB63" s="277"/>
      <c r="EC63" s="277"/>
      <c r="ED63" s="277"/>
      <c r="EE63" s="277"/>
      <c r="EF63" s="277"/>
      <c r="EG63" s="277"/>
      <c r="EH63" s="277"/>
      <c r="EI63" s="277"/>
      <c r="EJ63" s="277"/>
      <c r="EK63" s="277"/>
      <c r="EL63" s="277"/>
      <c r="EM63" s="277"/>
      <c r="EN63" s="277"/>
      <c r="EO63" s="277"/>
      <c r="EP63" s="277"/>
      <c r="EQ63" s="277"/>
      <c r="ER63" s="277"/>
      <c r="ES63" s="277"/>
      <c r="ET63" s="277"/>
      <c r="EU63" s="277"/>
      <c r="EV63" s="277"/>
      <c r="EW63" s="277"/>
      <c r="EX63" s="277"/>
      <c r="EY63" s="277"/>
      <c r="EZ63" s="277"/>
      <c r="FA63" s="277"/>
      <c r="FB63" s="277"/>
      <c r="FC63" s="277"/>
      <c r="FD63" s="277"/>
      <c r="FE63" s="277"/>
      <c r="FF63" s="277"/>
      <c r="FG63" s="277"/>
      <c r="FH63" s="277"/>
      <c r="FI63" s="277"/>
      <c r="FJ63" s="277"/>
      <c r="FK63" s="277"/>
      <c r="FL63" s="277"/>
      <c r="FM63" s="277"/>
      <c r="FN63" s="277"/>
      <c r="FO63" s="277"/>
      <c r="FP63" s="277"/>
      <c r="FQ63" s="277"/>
      <c r="FR63" s="277"/>
      <c r="FS63" s="277"/>
      <c r="FT63" s="277"/>
      <c r="FU63" s="277"/>
      <c r="FV63" s="277"/>
      <c r="FW63" s="277"/>
      <c r="FX63" s="277"/>
      <c r="FY63" s="277"/>
      <c r="FZ63" s="277"/>
      <c r="GA63" s="277"/>
      <c r="GB63" s="277"/>
      <c r="GC63" s="277"/>
      <c r="GD63" s="277"/>
      <c r="GE63" s="277"/>
      <c r="GF63" s="277"/>
      <c r="GG63" s="277"/>
      <c r="GH63" s="277"/>
      <c r="GI63" s="277"/>
      <c r="GJ63" s="277"/>
      <c r="GK63" s="277"/>
      <c r="GL63" s="277"/>
      <c r="GM63" s="277"/>
      <c r="GN63" s="277"/>
      <c r="GO63" s="277"/>
      <c r="GP63" s="277"/>
      <c r="GQ63" s="277"/>
      <c r="GR63" s="277"/>
      <c r="GS63" s="277"/>
      <c r="GT63" s="277"/>
      <c r="GU63" s="277"/>
      <c r="GV63" s="277"/>
      <c r="GW63" s="277"/>
      <c r="GX63" s="277"/>
      <c r="GY63" s="277"/>
      <c r="GZ63" s="277"/>
      <c r="HA63" s="277"/>
      <c r="HB63" s="277"/>
      <c r="HC63" s="277"/>
      <c r="HD63" s="277"/>
      <c r="HE63" s="277"/>
      <c r="HF63" s="277"/>
      <c r="HG63" s="277"/>
      <c r="HH63" s="277"/>
      <c r="HI63" s="277"/>
      <c r="HJ63" s="277"/>
      <c r="HK63" s="277"/>
      <c r="HL63" s="277"/>
      <c r="HM63" s="277"/>
      <c r="HN63" s="277"/>
      <c r="HO63" s="277"/>
      <c r="HP63" s="277"/>
      <c r="HQ63" s="277"/>
      <c r="HR63" s="277"/>
      <c r="HS63" s="277"/>
      <c r="HT63" s="277"/>
      <c r="HU63" s="277"/>
      <c r="HV63" s="277"/>
      <c r="HW63" s="277"/>
      <c r="HX63" s="277"/>
      <c r="HY63" s="277"/>
      <c r="HZ63" s="277"/>
      <c r="IA63" s="277"/>
      <c r="IB63" s="277"/>
      <c r="IC63" s="277"/>
      <c r="ID63" s="277"/>
      <c r="IE63" s="277"/>
      <c r="IF63" s="277"/>
      <c r="IG63" s="277"/>
      <c r="IH63" s="277"/>
      <c r="II63" s="277"/>
      <c r="IJ63" s="277"/>
      <c r="IK63" s="277"/>
      <c r="IL63" s="277"/>
      <c r="IM63" s="277"/>
      <c r="IN63" s="277"/>
      <c r="IO63" s="277"/>
      <c r="IP63" s="277"/>
      <c r="IQ63" s="277"/>
      <c r="IR63" s="277"/>
      <c r="IS63" s="277"/>
      <c r="IT63" s="277"/>
      <c r="IU63" s="277"/>
      <c r="IV63" s="277"/>
      <c r="IW63" s="277"/>
      <c r="IX63" s="277"/>
      <c r="IY63" s="277"/>
      <c r="IZ63" s="277"/>
      <c r="JA63" s="277"/>
      <c r="JB63" s="277"/>
      <c r="JC63" s="277"/>
      <c r="JD63" s="277"/>
      <c r="JE63" s="277"/>
      <c r="JF63" s="277"/>
    </row>
    <row r="64" spans="17:266" x14ac:dyDescent="0.2">
      <c r="Q64" s="277"/>
      <c r="R64" s="277"/>
      <c r="S64" s="1060"/>
      <c r="X64" s="1059"/>
      <c r="Y64" s="1059"/>
      <c r="Z64" s="277"/>
      <c r="AA64" s="277"/>
      <c r="AB64" s="277"/>
      <c r="AC64" s="277"/>
      <c r="AD64" s="277"/>
      <c r="AE64" s="277"/>
      <c r="AF64" s="277"/>
      <c r="AG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7"/>
      <c r="CE64" s="277"/>
      <c r="CF64" s="277"/>
      <c r="CG64" s="277"/>
      <c r="CH64" s="277"/>
      <c r="CI64" s="277"/>
      <c r="CJ64" s="277"/>
      <c r="CK64" s="277"/>
      <c r="CL64" s="277"/>
      <c r="CM64" s="277"/>
      <c r="CN64" s="277"/>
      <c r="CO64" s="277"/>
      <c r="CP64" s="277"/>
      <c r="CQ64" s="277"/>
      <c r="CR64" s="277"/>
      <c r="CS64" s="277"/>
      <c r="CT64" s="277"/>
      <c r="CU64" s="277"/>
      <c r="CV64" s="277"/>
      <c r="CW64" s="277"/>
      <c r="CX64" s="277"/>
      <c r="CY64" s="277"/>
      <c r="CZ64" s="277"/>
      <c r="DA64" s="277"/>
      <c r="DB64" s="277"/>
      <c r="DC64" s="277"/>
      <c r="DD64" s="277"/>
      <c r="DE64" s="277"/>
      <c r="DF64" s="277"/>
      <c r="DG64" s="277"/>
      <c r="DH64" s="277"/>
      <c r="DI64" s="277"/>
      <c r="DJ64" s="277"/>
      <c r="DK64" s="277"/>
      <c r="DL64" s="277"/>
      <c r="DM64" s="277"/>
      <c r="DN64" s="277"/>
      <c r="DO64" s="277"/>
      <c r="DP64" s="277"/>
      <c r="DQ64" s="277"/>
      <c r="DR64" s="277"/>
      <c r="DS64" s="277"/>
      <c r="DT64" s="277"/>
      <c r="DU64" s="277"/>
      <c r="DV64" s="277"/>
      <c r="DW64" s="277"/>
      <c r="DX64" s="277"/>
      <c r="DY64" s="277"/>
      <c r="DZ64" s="277"/>
      <c r="EA64" s="277"/>
      <c r="EB64" s="277"/>
      <c r="EC64" s="277"/>
      <c r="ED64" s="277"/>
      <c r="EE64" s="277"/>
      <c r="EF64" s="277"/>
      <c r="EG64" s="277"/>
      <c r="EH64" s="277"/>
      <c r="EI64" s="277"/>
      <c r="EJ64" s="277"/>
      <c r="EK64" s="277"/>
      <c r="EL64" s="277"/>
      <c r="EM64" s="277"/>
      <c r="EN64" s="277"/>
      <c r="EO64" s="277"/>
      <c r="EP64" s="277"/>
      <c r="EQ64" s="277"/>
      <c r="ER64" s="277"/>
      <c r="ES64" s="277"/>
      <c r="ET64" s="277"/>
      <c r="EU64" s="277"/>
      <c r="EV64" s="277"/>
      <c r="EW64" s="277"/>
      <c r="EX64" s="277"/>
      <c r="EY64" s="277"/>
      <c r="EZ64" s="277"/>
      <c r="FA64" s="277"/>
      <c r="FB64" s="277"/>
      <c r="FC64" s="277"/>
      <c r="FD64" s="277"/>
      <c r="FE64" s="277"/>
      <c r="FF64" s="277"/>
      <c r="FG64" s="277"/>
      <c r="FH64" s="277"/>
      <c r="FI64" s="277"/>
      <c r="FJ64" s="277"/>
      <c r="FK64" s="277"/>
      <c r="FL64" s="277"/>
      <c r="FM64" s="277"/>
      <c r="FN64" s="277"/>
      <c r="FO64" s="277"/>
      <c r="FP64" s="277"/>
      <c r="FQ64" s="277"/>
      <c r="FR64" s="277"/>
      <c r="FS64" s="277"/>
      <c r="FT64" s="277"/>
      <c r="FU64" s="277"/>
      <c r="FV64" s="277"/>
      <c r="FW64" s="277"/>
      <c r="FX64" s="277"/>
      <c r="FY64" s="277"/>
      <c r="FZ64" s="277"/>
      <c r="GA64" s="277"/>
      <c r="GB64" s="277"/>
      <c r="GC64" s="277"/>
      <c r="GD64" s="277"/>
      <c r="GE64" s="277"/>
      <c r="GF64" s="277"/>
      <c r="GG64" s="277"/>
      <c r="GH64" s="277"/>
      <c r="GI64" s="277"/>
      <c r="GJ64" s="277"/>
      <c r="GK64" s="277"/>
      <c r="GL64" s="277"/>
      <c r="GM64" s="277"/>
      <c r="GN64" s="277"/>
      <c r="GO64" s="277"/>
      <c r="GP64" s="277"/>
      <c r="GQ64" s="277"/>
      <c r="GR64" s="277"/>
      <c r="GS64" s="277"/>
      <c r="GT64" s="277"/>
      <c r="GU64" s="277"/>
      <c r="GV64" s="277"/>
      <c r="GW64" s="277"/>
      <c r="GX64" s="277"/>
      <c r="GY64" s="277"/>
      <c r="GZ64" s="277"/>
      <c r="HA64" s="277"/>
      <c r="HB64" s="277"/>
      <c r="HC64" s="277"/>
      <c r="HD64" s="277"/>
      <c r="HE64" s="277"/>
      <c r="HF64" s="277"/>
      <c r="HG64" s="277"/>
      <c r="HH64" s="277"/>
      <c r="HI64" s="277"/>
      <c r="HJ64" s="277"/>
      <c r="HK64" s="277"/>
      <c r="HL64" s="277"/>
      <c r="HM64" s="277"/>
      <c r="HN64" s="277"/>
      <c r="HO64" s="277"/>
      <c r="HP64" s="277"/>
      <c r="HQ64" s="277"/>
      <c r="HR64" s="277"/>
      <c r="HS64" s="277"/>
      <c r="HT64" s="277"/>
      <c r="HU64" s="277"/>
      <c r="HV64" s="277"/>
      <c r="HW64" s="277"/>
      <c r="HX64" s="277"/>
      <c r="HY64" s="277"/>
      <c r="HZ64" s="277"/>
      <c r="IA64" s="277"/>
      <c r="IB64" s="277"/>
      <c r="IC64" s="277"/>
      <c r="ID64" s="277"/>
      <c r="IE64" s="277"/>
      <c r="IF64" s="277"/>
      <c r="IG64" s="277"/>
      <c r="IH64" s="277"/>
      <c r="II64" s="277"/>
      <c r="IJ64" s="277"/>
      <c r="IK64" s="277"/>
      <c r="IL64" s="277"/>
      <c r="IM64" s="277"/>
      <c r="IN64" s="277"/>
      <c r="IO64" s="277"/>
      <c r="IP64" s="277"/>
      <c r="IQ64" s="277"/>
      <c r="IR64" s="277"/>
      <c r="IS64" s="277"/>
      <c r="IT64" s="277"/>
      <c r="IU64" s="277"/>
      <c r="IV64" s="277"/>
      <c r="IW64" s="277"/>
      <c r="IX64" s="277"/>
      <c r="IY64" s="277"/>
      <c r="IZ64" s="277"/>
      <c r="JA64" s="277"/>
      <c r="JB64" s="277"/>
      <c r="JC64" s="277"/>
      <c r="JD64" s="277"/>
      <c r="JE64" s="277"/>
      <c r="JF64" s="277"/>
    </row>
    <row r="65" spans="17:266" x14ac:dyDescent="0.2">
      <c r="Q65" s="277"/>
      <c r="R65" s="277"/>
      <c r="S65" s="1060"/>
      <c r="X65" s="1059"/>
      <c r="Y65" s="1059"/>
      <c r="Z65" s="277"/>
      <c r="AA65" s="277"/>
      <c r="AB65" s="277"/>
      <c r="AC65" s="277"/>
      <c r="AD65" s="277"/>
      <c r="AE65" s="277"/>
      <c r="AF65" s="277"/>
      <c r="AG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c r="BU65" s="277"/>
      <c r="BV65" s="277"/>
      <c r="BW65" s="277"/>
      <c r="BX65" s="277"/>
      <c r="BY65" s="277"/>
      <c r="BZ65" s="277"/>
      <c r="CA65" s="277"/>
      <c r="CB65" s="277"/>
      <c r="CC65" s="277"/>
      <c r="CD65" s="277"/>
      <c r="CE65" s="277"/>
      <c r="CF65" s="277"/>
      <c r="CG65" s="277"/>
      <c r="CH65" s="277"/>
      <c r="CI65" s="277"/>
      <c r="CJ65" s="277"/>
      <c r="CK65" s="277"/>
      <c r="CL65" s="277"/>
      <c r="CM65" s="277"/>
      <c r="CN65" s="277"/>
      <c r="CO65" s="277"/>
      <c r="CP65" s="277"/>
      <c r="CQ65" s="277"/>
      <c r="CR65" s="277"/>
      <c r="CS65" s="277"/>
      <c r="CT65" s="277"/>
      <c r="CU65" s="277"/>
      <c r="CV65" s="277"/>
      <c r="CW65" s="277"/>
      <c r="CX65" s="277"/>
      <c r="CY65" s="277"/>
      <c r="CZ65" s="277"/>
      <c r="DA65" s="277"/>
      <c r="DB65" s="277"/>
      <c r="DC65" s="277"/>
      <c r="DD65" s="277"/>
      <c r="DE65" s="277"/>
      <c r="DF65" s="277"/>
      <c r="DG65" s="277"/>
      <c r="DH65" s="277"/>
      <c r="DI65" s="277"/>
      <c r="DJ65" s="277"/>
      <c r="DK65" s="277"/>
      <c r="DL65" s="277"/>
      <c r="DM65" s="277"/>
      <c r="DN65" s="277"/>
      <c r="DO65" s="277"/>
      <c r="DP65" s="277"/>
      <c r="DQ65" s="277"/>
      <c r="DR65" s="277"/>
      <c r="DS65" s="277"/>
      <c r="DT65" s="277"/>
      <c r="DU65" s="277"/>
      <c r="DV65" s="277"/>
      <c r="DW65" s="277"/>
      <c r="DX65" s="277"/>
      <c r="DY65" s="277"/>
      <c r="DZ65" s="277"/>
      <c r="EA65" s="277"/>
      <c r="EB65" s="277"/>
      <c r="EC65" s="277"/>
      <c r="ED65" s="277"/>
      <c r="EE65" s="277"/>
      <c r="EF65" s="277"/>
      <c r="EG65" s="277"/>
      <c r="EH65" s="277"/>
      <c r="EI65" s="277"/>
      <c r="EJ65" s="277"/>
      <c r="EK65" s="277"/>
      <c r="EL65" s="277"/>
      <c r="EM65" s="277"/>
      <c r="EN65" s="277"/>
      <c r="EO65" s="277"/>
      <c r="EP65" s="277"/>
      <c r="EQ65" s="277"/>
      <c r="ER65" s="277"/>
      <c r="ES65" s="277"/>
      <c r="ET65" s="277"/>
      <c r="EU65" s="277"/>
      <c r="EV65" s="277"/>
      <c r="EW65" s="277"/>
      <c r="EX65" s="277"/>
      <c r="EY65" s="277"/>
      <c r="EZ65" s="277"/>
      <c r="FA65" s="277"/>
      <c r="FB65" s="277"/>
      <c r="FC65" s="277"/>
      <c r="FD65" s="277"/>
      <c r="FE65" s="277"/>
      <c r="FF65" s="277"/>
      <c r="FG65" s="277"/>
      <c r="FH65" s="277"/>
      <c r="FI65" s="277"/>
      <c r="FJ65" s="277"/>
      <c r="FK65" s="277"/>
      <c r="FL65" s="277"/>
      <c r="FM65" s="277"/>
      <c r="FN65" s="277"/>
      <c r="FO65" s="277"/>
      <c r="FP65" s="277"/>
      <c r="FQ65" s="277"/>
      <c r="FR65" s="277"/>
      <c r="FS65" s="277"/>
      <c r="FT65" s="277"/>
      <c r="FU65" s="277"/>
      <c r="FV65" s="277"/>
      <c r="FW65" s="277"/>
      <c r="FX65" s="277"/>
      <c r="FY65" s="277"/>
      <c r="FZ65" s="277"/>
      <c r="GA65" s="277"/>
      <c r="GB65" s="277"/>
      <c r="GC65" s="277"/>
      <c r="GD65" s="277"/>
      <c r="GE65" s="277"/>
      <c r="GF65" s="277"/>
      <c r="GG65" s="277"/>
      <c r="GH65" s="277"/>
      <c r="GI65" s="277"/>
      <c r="GJ65" s="277"/>
      <c r="GK65" s="277"/>
      <c r="GL65" s="277"/>
      <c r="GM65" s="277"/>
      <c r="GN65" s="277"/>
      <c r="GO65" s="277"/>
      <c r="GP65" s="277"/>
      <c r="GQ65" s="277"/>
      <c r="GR65" s="277"/>
      <c r="GS65" s="277"/>
      <c r="GT65" s="277"/>
      <c r="GU65" s="277"/>
      <c r="GV65" s="277"/>
      <c r="GW65" s="277"/>
      <c r="GX65" s="277"/>
      <c r="GY65" s="277"/>
      <c r="GZ65" s="277"/>
      <c r="HA65" s="277"/>
      <c r="HB65" s="277"/>
      <c r="HC65" s="277"/>
      <c r="HD65" s="277"/>
      <c r="HE65" s="277"/>
      <c r="HF65" s="277"/>
      <c r="HG65" s="277"/>
      <c r="HH65" s="277"/>
      <c r="HI65" s="277"/>
      <c r="HJ65" s="277"/>
      <c r="HK65" s="277"/>
      <c r="HL65" s="277"/>
      <c r="HM65" s="277"/>
      <c r="HN65" s="277"/>
      <c r="HO65" s="277"/>
      <c r="HP65" s="277"/>
      <c r="HQ65" s="277"/>
      <c r="HR65" s="277"/>
      <c r="HS65" s="277"/>
      <c r="HT65" s="277"/>
      <c r="HU65" s="277"/>
      <c r="HV65" s="277"/>
      <c r="HW65" s="277"/>
      <c r="HX65" s="277"/>
      <c r="HY65" s="277"/>
      <c r="HZ65" s="277"/>
      <c r="IA65" s="277"/>
      <c r="IB65" s="277"/>
      <c r="IC65" s="277"/>
      <c r="ID65" s="277"/>
      <c r="IE65" s="277"/>
      <c r="IF65" s="277"/>
      <c r="IG65" s="277"/>
      <c r="IH65" s="277"/>
      <c r="II65" s="277"/>
      <c r="IJ65" s="277"/>
      <c r="IK65" s="277"/>
      <c r="IL65" s="277"/>
      <c r="IM65" s="277"/>
      <c r="IN65" s="277"/>
      <c r="IO65" s="277"/>
      <c r="IP65" s="277"/>
      <c r="IQ65" s="277"/>
      <c r="IR65" s="277"/>
      <c r="IS65" s="277"/>
      <c r="IT65" s="277"/>
      <c r="IU65" s="277"/>
      <c r="IV65" s="277"/>
      <c r="IW65" s="277"/>
      <c r="IX65" s="277"/>
      <c r="IY65" s="277"/>
      <c r="IZ65" s="277"/>
      <c r="JA65" s="277"/>
      <c r="JB65" s="277"/>
      <c r="JC65" s="277"/>
      <c r="JD65" s="277"/>
      <c r="JE65" s="277"/>
      <c r="JF65" s="277"/>
    </row>
    <row r="66" spans="17:266" x14ac:dyDescent="0.2">
      <c r="Q66" s="277"/>
      <c r="R66" s="277"/>
      <c r="S66" s="1060"/>
      <c r="X66" s="1059"/>
      <c r="Y66" s="1059"/>
      <c r="Z66" s="277"/>
      <c r="AA66" s="277"/>
      <c r="AB66" s="277"/>
      <c r="AC66" s="277"/>
      <c r="AD66" s="277"/>
      <c r="AE66" s="277"/>
      <c r="AF66" s="277"/>
      <c r="AG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c r="BU66" s="277"/>
      <c r="BV66" s="277"/>
      <c r="BW66" s="277"/>
      <c r="BX66" s="277"/>
      <c r="BY66" s="277"/>
      <c r="BZ66" s="277"/>
      <c r="CA66" s="277"/>
      <c r="CB66" s="277"/>
      <c r="CC66" s="277"/>
      <c r="CD66" s="277"/>
      <c r="CE66" s="277"/>
      <c r="CF66" s="277"/>
      <c r="CG66" s="277"/>
      <c r="CH66" s="277"/>
      <c r="CI66" s="277"/>
      <c r="CJ66" s="277"/>
      <c r="CK66" s="277"/>
      <c r="CL66" s="277"/>
      <c r="CM66" s="277"/>
      <c r="CN66" s="277"/>
      <c r="CO66" s="277"/>
      <c r="CP66" s="277"/>
      <c r="CQ66" s="277"/>
      <c r="CR66" s="277"/>
      <c r="CS66" s="277"/>
      <c r="CT66" s="277"/>
      <c r="CU66" s="277"/>
      <c r="CV66" s="277"/>
      <c r="CW66" s="277"/>
      <c r="CX66" s="277"/>
      <c r="CY66" s="277"/>
      <c r="CZ66" s="277"/>
      <c r="DA66" s="277"/>
      <c r="DB66" s="277"/>
      <c r="DC66" s="277"/>
      <c r="DD66" s="277"/>
      <c r="DE66" s="277"/>
      <c r="DF66" s="277"/>
      <c r="DG66" s="277"/>
      <c r="DH66" s="277"/>
      <c r="DI66" s="277"/>
      <c r="DJ66" s="277"/>
      <c r="DK66" s="277"/>
      <c r="DL66" s="277"/>
      <c r="DM66" s="277"/>
      <c r="DN66" s="277"/>
      <c r="DO66" s="277"/>
      <c r="DP66" s="277"/>
      <c r="DQ66" s="277"/>
      <c r="DR66" s="277"/>
      <c r="DS66" s="277"/>
      <c r="DT66" s="277"/>
      <c r="DU66" s="277"/>
      <c r="DV66" s="277"/>
      <c r="DW66" s="277"/>
      <c r="DX66" s="277"/>
      <c r="DY66" s="277"/>
      <c r="DZ66" s="277"/>
      <c r="EA66" s="277"/>
      <c r="EB66" s="277"/>
      <c r="EC66" s="277"/>
      <c r="ED66" s="277"/>
      <c r="EE66" s="277"/>
      <c r="EF66" s="277"/>
      <c r="EG66" s="277"/>
      <c r="EH66" s="277"/>
      <c r="EI66" s="277"/>
      <c r="EJ66" s="277"/>
      <c r="EK66" s="277"/>
      <c r="EL66" s="277"/>
      <c r="EM66" s="277"/>
      <c r="EN66" s="277"/>
      <c r="EO66" s="277"/>
      <c r="EP66" s="277"/>
      <c r="EQ66" s="277"/>
      <c r="ER66" s="277"/>
      <c r="ES66" s="277"/>
      <c r="ET66" s="277"/>
      <c r="EU66" s="277"/>
      <c r="EV66" s="277"/>
      <c r="EW66" s="277"/>
      <c r="EX66" s="277"/>
      <c r="EY66" s="277"/>
      <c r="EZ66" s="277"/>
      <c r="FA66" s="277"/>
      <c r="FB66" s="277"/>
      <c r="FC66" s="277"/>
      <c r="FD66" s="277"/>
      <c r="FE66" s="277"/>
      <c r="FF66" s="277"/>
      <c r="FG66" s="277"/>
      <c r="FH66" s="277"/>
      <c r="FI66" s="277"/>
      <c r="FJ66" s="277"/>
      <c r="FK66" s="277"/>
      <c r="FL66" s="277"/>
      <c r="FM66" s="277"/>
      <c r="FN66" s="277"/>
      <c r="FO66" s="277"/>
      <c r="FP66" s="277"/>
      <c r="FQ66" s="277"/>
      <c r="FR66" s="277"/>
      <c r="FS66" s="277"/>
      <c r="FT66" s="277"/>
      <c r="FU66" s="277"/>
      <c r="FV66" s="277"/>
      <c r="FW66" s="277"/>
      <c r="FX66" s="277"/>
      <c r="FY66" s="277"/>
      <c r="FZ66" s="277"/>
      <c r="GA66" s="277"/>
      <c r="GB66" s="277"/>
      <c r="GC66" s="277"/>
      <c r="GD66" s="277"/>
      <c r="GE66" s="277"/>
      <c r="GF66" s="277"/>
      <c r="GG66" s="277"/>
      <c r="GH66" s="277"/>
      <c r="GI66" s="277"/>
      <c r="GJ66" s="277"/>
      <c r="GK66" s="277"/>
      <c r="GL66" s="277"/>
      <c r="GM66" s="277"/>
      <c r="GN66" s="277"/>
      <c r="GO66" s="277"/>
      <c r="GP66" s="277"/>
      <c r="GQ66" s="277"/>
      <c r="GR66" s="277"/>
      <c r="GS66" s="277"/>
      <c r="GT66" s="277"/>
      <c r="GU66" s="277"/>
      <c r="GV66" s="277"/>
      <c r="GW66" s="277"/>
      <c r="GX66" s="277"/>
      <c r="GY66" s="277"/>
      <c r="GZ66" s="277"/>
      <c r="HA66" s="277"/>
      <c r="HB66" s="277"/>
      <c r="HC66" s="277"/>
      <c r="HD66" s="277"/>
      <c r="HE66" s="277"/>
      <c r="HF66" s="277"/>
      <c r="HG66" s="277"/>
      <c r="HH66" s="277"/>
      <c r="HI66" s="277"/>
      <c r="HJ66" s="277"/>
      <c r="HK66" s="277"/>
      <c r="HL66" s="277"/>
      <c r="HM66" s="277"/>
      <c r="HN66" s="277"/>
      <c r="HO66" s="277"/>
      <c r="HP66" s="277"/>
      <c r="HQ66" s="277"/>
      <c r="HR66" s="277"/>
      <c r="HS66" s="277"/>
      <c r="HT66" s="277"/>
      <c r="HU66" s="277"/>
      <c r="HV66" s="277"/>
      <c r="HW66" s="277"/>
      <c r="HX66" s="277"/>
      <c r="HY66" s="277"/>
      <c r="HZ66" s="277"/>
      <c r="IA66" s="277"/>
      <c r="IB66" s="277"/>
      <c r="IC66" s="277"/>
      <c r="ID66" s="277"/>
      <c r="IE66" s="277"/>
      <c r="IF66" s="277"/>
      <c r="IG66" s="277"/>
      <c r="IH66" s="277"/>
      <c r="II66" s="277"/>
      <c r="IJ66" s="277"/>
      <c r="IK66" s="277"/>
      <c r="IL66" s="277"/>
      <c r="IM66" s="277"/>
      <c r="IN66" s="277"/>
      <c r="IO66" s="277"/>
      <c r="IP66" s="277"/>
      <c r="IQ66" s="277"/>
      <c r="IR66" s="277"/>
      <c r="IS66" s="277"/>
      <c r="IT66" s="277"/>
      <c r="IU66" s="277"/>
      <c r="IV66" s="277"/>
      <c r="IW66" s="277"/>
      <c r="IX66" s="277"/>
      <c r="IY66" s="277"/>
      <c r="IZ66" s="277"/>
      <c r="JA66" s="277"/>
      <c r="JB66" s="277"/>
      <c r="JC66" s="277"/>
      <c r="JD66" s="277"/>
      <c r="JE66" s="277"/>
      <c r="JF66" s="277"/>
    </row>
    <row r="67" spans="17:266" x14ac:dyDescent="0.2">
      <c r="Q67" s="277"/>
      <c r="R67" s="277"/>
      <c r="S67" s="1060"/>
      <c r="X67" s="1059"/>
      <c r="Y67" s="1059"/>
      <c r="Z67" s="277"/>
      <c r="AA67" s="277"/>
      <c r="AB67" s="277"/>
      <c r="AC67" s="277"/>
      <c r="AD67" s="277"/>
      <c r="AE67" s="277"/>
      <c r="AF67" s="277"/>
      <c r="AG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7"/>
      <c r="CA67" s="277"/>
      <c r="CB67" s="277"/>
      <c r="CC67" s="277"/>
      <c r="CD67" s="277"/>
      <c r="CE67" s="277"/>
      <c r="CF67" s="277"/>
      <c r="CG67" s="277"/>
      <c r="CH67" s="277"/>
      <c r="CI67" s="277"/>
      <c r="CJ67" s="277"/>
      <c r="CK67" s="277"/>
      <c r="CL67" s="277"/>
      <c r="CM67" s="277"/>
      <c r="CN67" s="277"/>
      <c r="CO67" s="277"/>
      <c r="CP67" s="277"/>
      <c r="CQ67" s="277"/>
      <c r="CR67" s="277"/>
      <c r="CS67" s="277"/>
      <c r="CT67" s="277"/>
      <c r="CU67" s="277"/>
      <c r="CV67" s="277"/>
      <c r="CW67" s="277"/>
      <c r="CX67" s="277"/>
      <c r="CY67" s="277"/>
      <c r="CZ67" s="277"/>
      <c r="DA67" s="277"/>
      <c r="DB67" s="277"/>
      <c r="DC67" s="277"/>
      <c r="DD67" s="277"/>
      <c r="DE67" s="277"/>
      <c r="DF67" s="277"/>
      <c r="DG67" s="277"/>
      <c r="DH67" s="277"/>
      <c r="DI67" s="277"/>
      <c r="DJ67" s="277"/>
      <c r="DK67" s="277"/>
      <c r="DL67" s="277"/>
      <c r="DM67" s="277"/>
      <c r="DN67" s="277"/>
      <c r="DO67" s="277"/>
      <c r="DP67" s="277"/>
      <c r="DQ67" s="277"/>
      <c r="DR67" s="277"/>
      <c r="DS67" s="277"/>
      <c r="DT67" s="277"/>
      <c r="DU67" s="277"/>
      <c r="DV67" s="277"/>
      <c r="DW67" s="277"/>
      <c r="DX67" s="277"/>
      <c r="DY67" s="277"/>
      <c r="DZ67" s="277"/>
      <c r="EA67" s="277"/>
      <c r="EB67" s="277"/>
      <c r="EC67" s="277"/>
      <c r="ED67" s="277"/>
      <c r="EE67" s="277"/>
      <c r="EF67" s="277"/>
      <c r="EG67" s="277"/>
      <c r="EH67" s="277"/>
      <c r="EI67" s="277"/>
      <c r="EJ67" s="277"/>
      <c r="EK67" s="277"/>
      <c r="EL67" s="277"/>
      <c r="EM67" s="277"/>
      <c r="EN67" s="277"/>
      <c r="EO67" s="277"/>
      <c r="EP67" s="277"/>
      <c r="EQ67" s="277"/>
      <c r="ER67" s="277"/>
      <c r="ES67" s="277"/>
      <c r="ET67" s="277"/>
      <c r="EU67" s="277"/>
      <c r="EV67" s="277"/>
      <c r="EW67" s="277"/>
      <c r="EX67" s="277"/>
      <c r="EY67" s="277"/>
      <c r="EZ67" s="277"/>
      <c r="FA67" s="277"/>
      <c r="FB67" s="277"/>
      <c r="FC67" s="277"/>
      <c r="FD67" s="277"/>
      <c r="FE67" s="277"/>
      <c r="FF67" s="277"/>
      <c r="FG67" s="277"/>
      <c r="FH67" s="277"/>
      <c r="FI67" s="277"/>
      <c r="FJ67" s="277"/>
      <c r="FK67" s="277"/>
      <c r="FL67" s="277"/>
      <c r="FM67" s="277"/>
      <c r="FN67" s="277"/>
      <c r="FO67" s="277"/>
      <c r="FP67" s="277"/>
      <c r="FQ67" s="277"/>
      <c r="FR67" s="277"/>
      <c r="FS67" s="277"/>
      <c r="FT67" s="277"/>
      <c r="FU67" s="277"/>
      <c r="FV67" s="277"/>
      <c r="FW67" s="277"/>
      <c r="FX67" s="277"/>
      <c r="FY67" s="277"/>
      <c r="FZ67" s="277"/>
      <c r="GA67" s="277"/>
      <c r="GB67" s="277"/>
      <c r="GC67" s="277"/>
      <c r="GD67" s="277"/>
      <c r="GE67" s="277"/>
      <c r="GF67" s="277"/>
      <c r="GG67" s="277"/>
      <c r="GH67" s="277"/>
      <c r="GI67" s="277"/>
      <c r="GJ67" s="277"/>
      <c r="GK67" s="277"/>
      <c r="GL67" s="277"/>
      <c r="GM67" s="277"/>
      <c r="GN67" s="277"/>
      <c r="GO67" s="277"/>
      <c r="GP67" s="277"/>
      <c r="GQ67" s="277"/>
      <c r="GR67" s="277"/>
      <c r="GS67" s="277"/>
      <c r="GT67" s="277"/>
      <c r="GU67" s="277"/>
      <c r="GV67" s="277"/>
      <c r="GW67" s="277"/>
      <c r="GX67" s="277"/>
      <c r="GY67" s="277"/>
      <c r="GZ67" s="277"/>
      <c r="HA67" s="277"/>
      <c r="HB67" s="277"/>
      <c r="HC67" s="277"/>
      <c r="HD67" s="277"/>
      <c r="HE67" s="277"/>
      <c r="HF67" s="277"/>
      <c r="HG67" s="277"/>
      <c r="HH67" s="277"/>
      <c r="HI67" s="277"/>
      <c r="HJ67" s="277"/>
      <c r="HK67" s="277"/>
      <c r="HL67" s="277"/>
      <c r="HM67" s="277"/>
      <c r="HN67" s="277"/>
      <c r="HO67" s="277"/>
      <c r="HP67" s="277"/>
      <c r="HQ67" s="277"/>
      <c r="HR67" s="277"/>
      <c r="HS67" s="277"/>
      <c r="HT67" s="277"/>
      <c r="HU67" s="277"/>
      <c r="HV67" s="277"/>
      <c r="HW67" s="277"/>
      <c r="HX67" s="277"/>
      <c r="HY67" s="277"/>
      <c r="HZ67" s="277"/>
      <c r="IA67" s="277"/>
      <c r="IB67" s="277"/>
      <c r="IC67" s="277"/>
      <c r="ID67" s="277"/>
      <c r="IE67" s="277"/>
      <c r="IF67" s="277"/>
      <c r="IG67" s="277"/>
      <c r="IH67" s="277"/>
      <c r="II67" s="277"/>
      <c r="IJ67" s="277"/>
      <c r="IK67" s="277"/>
      <c r="IL67" s="277"/>
      <c r="IM67" s="277"/>
      <c r="IN67" s="277"/>
      <c r="IO67" s="277"/>
      <c r="IP67" s="277"/>
      <c r="IQ67" s="277"/>
      <c r="IR67" s="277"/>
      <c r="IS67" s="277"/>
      <c r="IT67" s="277"/>
      <c r="IU67" s="277"/>
      <c r="IV67" s="277"/>
      <c r="IW67" s="277"/>
      <c r="IX67" s="277"/>
      <c r="IY67" s="277"/>
      <c r="IZ67" s="277"/>
      <c r="JA67" s="277"/>
      <c r="JB67" s="277"/>
      <c r="JC67" s="277"/>
      <c r="JD67" s="277"/>
      <c r="JE67" s="277"/>
      <c r="JF67" s="277"/>
    </row>
    <row r="68" spans="17:266" x14ac:dyDescent="0.2">
      <c r="Q68" s="277"/>
      <c r="R68" s="277"/>
      <c r="S68" s="1060"/>
      <c r="X68" s="1059"/>
      <c r="Y68" s="1059"/>
      <c r="Z68" s="277"/>
      <c r="AA68" s="277"/>
      <c r="AB68" s="277"/>
      <c r="AC68" s="277"/>
      <c r="AD68" s="277"/>
      <c r="AE68" s="277"/>
      <c r="AF68" s="277"/>
      <c r="AG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c r="BU68" s="277"/>
      <c r="BV68" s="277"/>
      <c r="BW68" s="277"/>
      <c r="BX68" s="277"/>
      <c r="BY68" s="277"/>
      <c r="BZ68" s="277"/>
      <c r="CA68" s="277"/>
      <c r="CB68" s="277"/>
      <c r="CC68" s="277"/>
      <c r="CD68" s="277"/>
      <c r="CE68" s="277"/>
      <c r="CF68" s="277"/>
      <c r="CG68" s="277"/>
      <c r="CH68" s="277"/>
      <c r="CI68" s="277"/>
      <c r="CJ68" s="277"/>
      <c r="CK68" s="277"/>
      <c r="CL68" s="277"/>
      <c r="CM68" s="277"/>
      <c r="CN68" s="277"/>
      <c r="CO68" s="277"/>
      <c r="CP68" s="277"/>
      <c r="CQ68" s="277"/>
      <c r="CR68" s="277"/>
      <c r="CS68" s="277"/>
      <c r="CT68" s="277"/>
      <c r="CU68" s="277"/>
      <c r="CV68" s="277"/>
      <c r="CW68" s="277"/>
      <c r="CX68" s="277"/>
      <c r="CY68" s="277"/>
      <c r="CZ68" s="277"/>
      <c r="DA68" s="277"/>
      <c r="DB68" s="277"/>
      <c r="DC68" s="277"/>
      <c r="DD68" s="277"/>
      <c r="DE68" s="277"/>
      <c r="DF68" s="277"/>
      <c r="DG68" s="277"/>
      <c r="DH68" s="277"/>
      <c r="DI68" s="277"/>
      <c r="DJ68" s="277"/>
      <c r="DK68" s="277"/>
      <c r="DL68" s="277"/>
      <c r="DM68" s="277"/>
      <c r="DN68" s="277"/>
      <c r="DO68" s="277"/>
      <c r="DP68" s="277"/>
      <c r="DQ68" s="277"/>
      <c r="DR68" s="277"/>
      <c r="DS68" s="277"/>
      <c r="DT68" s="277"/>
      <c r="DU68" s="277"/>
      <c r="DV68" s="277"/>
      <c r="DW68" s="277"/>
      <c r="DX68" s="277"/>
      <c r="DY68" s="277"/>
      <c r="DZ68" s="277"/>
      <c r="EA68" s="277"/>
      <c r="EB68" s="277"/>
      <c r="EC68" s="277"/>
      <c r="ED68" s="277"/>
      <c r="EE68" s="277"/>
      <c r="EF68" s="277"/>
      <c r="EG68" s="277"/>
      <c r="EH68" s="277"/>
      <c r="EI68" s="277"/>
      <c r="EJ68" s="277"/>
      <c r="EK68" s="277"/>
      <c r="EL68" s="277"/>
      <c r="EM68" s="277"/>
      <c r="EN68" s="277"/>
      <c r="EO68" s="277"/>
      <c r="EP68" s="277"/>
      <c r="EQ68" s="277"/>
      <c r="ER68" s="277"/>
      <c r="ES68" s="277"/>
      <c r="ET68" s="277"/>
      <c r="EU68" s="277"/>
      <c r="EV68" s="277"/>
      <c r="EW68" s="277"/>
      <c r="EX68" s="277"/>
      <c r="EY68" s="277"/>
      <c r="EZ68" s="277"/>
      <c r="FA68" s="277"/>
      <c r="FB68" s="277"/>
      <c r="FC68" s="277"/>
      <c r="FD68" s="277"/>
      <c r="FE68" s="277"/>
      <c r="FF68" s="277"/>
      <c r="FG68" s="277"/>
      <c r="FH68" s="277"/>
      <c r="FI68" s="277"/>
      <c r="FJ68" s="277"/>
      <c r="FK68" s="277"/>
      <c r="FL68" s="277"/>
      <c r="FM68" s="277"/>
      <c r="FN68" s="277"/>
      <c r="FO68" s="277"/>
      <c r="FP68" s="277"/>
      <c r="FQ68" s="277"/>
      <c r="FR68" s="277"/>
      <c r="FS68" s="277"/>
      <c r="FT68" s="277"/>
      <c r="FU68" s="277"/>
      <c r="FV68" s="277"/>
      <c r="FW68" s="277"/>
      <c r="FX68" s="277"/>
      <c r="FY68" s="277"/>
      <c r="FZ68" s="277"/>
      <c r="GA68" s="277"/>
      <c r="GB68" s="277"/>
      <c r="GC68" s="277"/>
      <c r="GD68" s="277"/>
      <c r="GE68" s="277"/>
      <c r="GF68" s="277"/>
      <c r="GG68" s="277"/>
      <c r="GH68" s="277"/>
      <c r="GI68" s="277"/>
      <c r="GJ68" s="277"/>
      <c r="GK68" s="277"/>
      <c r="GL68" s="277"/>
      <c r="GM68" s="277"/>
      <c r="GN68" s="277"/>
      <c r="GO68" s="277"/>
      <c r="GP68" s="277"/>
      <c r="GQ68" s="277"/>
      <c r="GR68" s="277"/>
      <c r="GS68" s="277"/>
      <c r="GT68" s="277"/>
      <c r="GU68" s="277"/>
      <c r="GV68" s="277"/>
      <c r="GW68" s="277"/>
      <c r="GX68" s="277"/>
      <c r="GY68" s="277"/>
      <c r="GZ68" s="277"/>
      <c r="HA68" s="277"/>
      <c r="HB68" s="277"/>
      <c r="HC68" s="277"/>
      <c r="HD68" s="277"/>
      <c r="HE68" s="277"/>
      <c r="HF68" s="277"/>
      <c r="HG68" s="277"/>
      <c r="HH68" s="277"/>
      <c r="HI68" s="277"/>
      <c r="HJ68" s="277"/>
      <c r="HK68" s="277"/>
      <c r="HL68" s="277"/>
      <c r="HM68" s="277"/>
      <c r="HN68" s="277"/>
      <c r="HO68" s="277"/>
      <c r="HP68" s="277"/>
      <c r="HQ68" s="277"/>
      <c r="HR68" s="277"/>
      <c r="HS68" s="277"/>
      <c r="HT68" s="277"/>
      <c r="HU68" s="277"/>
      <c r="HV68" s="277"/>
      <c r="HW68" s="277"/>
      <c r="HX68" s="277"/>
      <c r="HY68" s="277"/>
      <c r="HZ68" s="277"/>
      <c r="IA68" s="277"/>
      <c r="IB68" s="277"/>
      <c r="IC68" s="277"/>
      <c r="ID68" s="277"/>
      <c r="IE68" s="277"/>
      <c r="IF68" s="277"/>
      <c r="IG68" s="277"/>
      <c r="IH68" s="277"/>
      <c r="II68" s="277"/>
      <c r="IJ68" s="277"/>
      <c r="IK68" s="277"/>
      <c r="IL68" s="277"/>
      <c r="IM68" s="277"/>
      <c r="IN68" s="277"/>
      <c r="IO68" s="277"/>
      <c r="IP68" s="277"/>
      <c r="IQ68" s="277"/>
      <c r="IR68" s="277"/>
      <c r="IS68" s="277"/>
      <c r="IT68" s="277"/>
      <c r="IU68" s="277"/>
      <c r="IV68" s="277"/>
      <c r="IW68" s="277"/>
      <c r="IX68" s="277"/>
      <c r="IY68" s="277"/>
      <c r="IZ68" s="277"/>
      <c r="JA68" s="277"/>
      <c r="JB68" s="277"/>
      <c r="JC68" s="277"/>
      <c r="JD68" s="277"/>
      <c r="JE68" s="277"/>
      <c r="JF68" s="277"/>
    </row>
    <row r="69" spans="17:266" x14ac:dyDescent="0.2">
      <c r="Q69" s="277"/>
      <c r="R69" s="277"/>
      <c r="S69" s="1060"/>
      <c r="X69" s="1059"/>
      <c r="Y69" s="1059"/>
      <c r="Z69" s="277"/>
      <c r="AA69" s="277"/>
      <c r="AB69" s="277"/>
      <c r="AC69" s="277"/>
      <c r="AD69" s="277"/>
      <c r="AE69" s="277"/>
      <c r="AF69" s="277"/>
      <c r="AG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c r="BR69" s="277"/>
      <c r="BS69" s="277"/>
      <c r="BT69" s="277"/>
      <c r="BU69" s="277"/>
      <c r="BV69" s="277"/>
      <c r="BW69" s="277"/>
      <c r="BX69" s="277"/>
      <c r="BY69" s="277"/>
      <c r="BZ69" s="277"/>
      <c r="CA69" s="277"/>
      <c r="CB69" s="277"/>
      <c r="CC69" s="277"/>
      <c r="CD69" s="277"/>
      <c r="CE69" s="277"/>
      <c r="CF69" s="277"/>
      <c r="CG69" s="277"/>
      <c r="CH69" s="277"/>
      <c r="CI69" s="277"/>
      <c r="CJ69" s="277"/>
      <c r="CK69" s="277"/>
      <c r="CL69" s="277"/>
      <c r="CM69" s="277"/>
      <c r="CN69" s="277"/>
      <c r="CO69" s="277"/>
      <c r="CP69" s="277"/>
      <c r="CQ69" s="277"/>
      <c r="CR69" s="277"/>
      <c r="CS69" s="277"/>
      <c r="CT69" s="277"/>
      <c r="CU69" s="277"/>
      <c r="CV69" s="277"/>
      <c r="CW69" s="277"/>
      <c r="CX69" s="277"/>
      <c r="CY69" s="277"/>
      <c r="CZ69" s="277"/>
      <c r="DA69" s="277"/>
      <c r="DB69" s="277"/>
      <c r="DC69" s="277"/>
      <c r="DD69" s="277"/>
      <c r="DE69" s="277"/>
      <c r="DF69" s="277"/>
      <c r="DG69" s="277"/>
      <c r="DH69" s="277"/>
      <c r="DI69" s="277"/>
      <c r="DJ69" s="277"/>
      <c r="DK69" s="277"/>
      <c r="DL69" s="277"/>
      <c r="DM69" s="277"/>
      <c r="DN69" s="277"/>
      <c r="DO69" s="277"/>
      <c r="DP69" s="277"/>
      <c r="DQ69" s="277"/>
      <c r="DR69" s="277"/>
      <c r="DS69" s="277"/>
      <c r="DT69" s="277"/>
      <c r="DU69" s="277"/>
      <c r="DV69" s="277"/>
      <c r="DW69" s="277"/>
      <c r="DX69" s="277"/>
      <c r="DY69" s="277"/>
      <c r="DZ69" s="277"/>
      <c r="EA69" s="277"/>
      <c r="EB69" s="277"/>
      <c r="EC69" s="277"/>
      <c r="ED69" s="277"/>
      <c r="EE69" s="277"/>
      <c r="EF69" s="277"/>
      <c r="EG69" s="277"/>
      <c r="EH69" s="277"/>
      <c r="EI69" s="277"/>
      <c r="EJ69" s="277"/>
      <c r="EK69" s="277"/>
      <c r="EL69" s="277"/>
      <c r="EM69" s="277"/>
      <c r="EN69" s="277"/>
      <c r="EO69" s="277"/>
      <c r="EP69" s="277"/>
      <c r="EQ69" s="277"/>
      <c r="ER69" s="277"/>
      <c r="ES69" s="277"/>
      <c r="ET69" s="277"/>
      <c r="EU69" s="277"/>
      <c r="EV69" s="277"/>
      <c r="EW69" s="277"/>
      <c r="EX69" s="277"/>
      <c r="EY69" s="277"/>
      <c r="EZ69" s="277"/>
      <c r="FA69" s="277"/>
      <c r="FB69" s="277"/>
      <c r="FC69" s="277"/>
      <c r="FD69" s="277"/>
      <c r="FE69" s="277"/>
      <c r="FF69" s="277"/>
      <c r="FG69" s="277"/>
      <c r="FH69" s="277"/>
      <c r="FI69" s="277"/>
      <c r="FJ69" s="277"/>
      <c r="FK69" s="277"/>
      <c r="FL69" s="277"/>
      <c r="FM69" s="277"/>
      <c r="FN69" s="277"/>
      <c r="FO69" s="277"/>
      <c r="FP69" s="277"/>
      <c r="FQ69" s="277"/>
      <c r="FR69" s="277"/>
      <c r="FS69" s="277"/>
      <c r="FT69" s="277"/>
      <c r="FU69" s="277"/>
      <c r="FV69" s="277"/>
      <c r="FW69" s="277"/>
      <c r="FX69" s="277"/>
      <c r="FY69" s="277"/>
      <c r="FZ69" s="277"/>
      <c r="GA69" s="277"/>
      <c r="GB69" s="277"/>
      <c r="GC69" s="277"/>
      <c r="GD69" s="277"/>
      <c r="GE69" s="277"/>
      <c r="GF69" s="277"/>
      <c r="GG69" s="277"/>
      <c r="GH69" s="277"/>
      <c r="GI69" s="277"/>
      <c r="GJ69" s="277"/>
      <c r="GK69" s="277"/>
      <c r="GL69" s="277"/>
      <c r="GM69" s="277"/>
      <c r="GN69" s="277"/>
      <c r="GO69" s="277"/>
      <c r="GP69" s="277"/>
      <c r="GQ69" s="277"/>
      <c r="GR69" s="277"/>
      <c r="GS69" s="277"/>
      <c r="GT69" s="277"/>
      <c r="GU69" s="277"/>
      <c r="GV69" s="277"/>
      <c r="GW69" s="277"/>
      <c r="GX69" s="277"/>
      <c r="GY69" s="277"/>
      <c r="GZ69" s="277"/>
      <c r="HA69" s="277"/>
      <c r="HB69" s="277"/>
      <c r="HC69" s="277"/>
      <c r="HD69" s="277"/>
      <c r="HE69" s="277"/>
      <c r="HF69" s="277"/>
      <c r="HG69" s="277"/>
      <c r="HH69" s="277"/>
      <c r="HI69" s="277"/>
      <c r="HJ69" s="277"/>
      <c r="HK69" s="277"/>
      <c r="HL69" s="277"/>
      <c r="HM69" s="277"/>
      <c r="HN69" s="277"/>
      <c r="HO69" s="277"/>
      <c r="HP69" s="277"/>
      <c r="HQ69" s="277"/>
      <c r="HR69" s="277"/>
      <c r="HS69" s="277"/>
      <c r="HT69" s="277"/>
      <c r="HU69" s="277"/>
      <c r="HV69" s="277"/>
      <c r="HW69" s="277"/>
      <c r="HX69" s="277"/>
      <c r="HY69" s="277"/>
      <c r="HZ69" s="277"/>
      <c r="IA69" s="277"/>
      <c r="IB69" s="277"/>
      <c r="IC69" s="277"/>
      <c r="ID69" s="277"/>
      <c r="IE69" s="277"/>
      <c r="IF69" s="277"/>
      <c r="IG69" s="277"/>
      <c r="IH69" s="277"/>
      <c r="II69" s="277"/>
      <c r="IJ69" s="277"/>
      <c r="IK69" s="277"/>
      <c r="IL69" s="277"/>
      <c r="IM69" s="277"/>
      <c r="IN69" s="277"/>
      <c r="IO69" s="277"/>
      <c r="IP69" s="277"/>
      <c r="IQ69" s="277"/>
      <c r="IR69" s="277"/>
      <c r="IS69" s="277"/>
      <c r="IT69" s="277"/>
      <c r="IU69" s="277"/>
      <c r="IV69" s="277"/>
      <c r="IW69" s="277"/>
      <c r="IX69" s="277"/>
      <c r="IY69" s="277"/>
      <c r="IZ69" s="277"/>
      <c r="JA69" s="277"/>
      <c r="JB69" s="277"/>
      <c r="JC69" s="277"/>
      <c r="JD69" s="277"/>
      <c r="JE69" s="277"/>
      <c r="JF69" s="277"/>
    </row>
    <row r="70" spans="17:266" x14ac:dyDescent="0.2">
      <c r="Q70" s="277"/>
      <c r="R70" s="277"/>
      <c r="S70" s="1060"/>
      <c r="X70" s="1059"/>
      <c r="Y70" s="1059"/>
      <c r="Z70" s="277"/>
      <c r="AA70" s="277"/>
      <c r="AB70" s="277"/>
      <c r="AC70" s="277"/>
      <c r="AD70" s="277"/>
      <c r="AE70" s="277"/>
      <c r="AF70" s="277"/>
      <c r="AG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77"/>
      <c r="CD70" s="277"/>
      <c r="CE70" s="277"/>
      <c r="CF70" s="277"/>
      <c r="CG70" s="277"/>
      <c r="CH70" s="277"/>
      <c r="CI70" s="277"/>
      <c r="CJ70" s="277"/>
      <c r="CK70" s="277"/>
      <c r="CL70" s="277"/>
      <c r="CM70" s="277"/>
      <c r="CN70" s="277"/>
      <c r="CO70" s="277"/>
      <c r="CP70" s="277"/>
      <c r="CQ70" s="277"/>
      <c r="CR70" s="277"/>
      <c r="CS70" s="277"/>
      <c r="CT70" s="277"/>
      <c r="CU70" s="277"/>
      <c r="CV70" s="277"/>
      <c r="CW70" s="277"/>
      <c r="CX70" s="277"/>
      <c r="CY70" s="277"/>
      <c r="CZ70" s="277"/>
      <c r="DA70" s="277"/>
      <c r="DB70" s="277"/>
      <c r="DC70" s="277"/>
      <c r="DD70" s="277"/>
      <c r="DE70" s="277"/>
      <c r="DF70" s="277"/>
      <c r="DG70" s="277"/>
      <c r="DH70" s="277"/>
      <c r="DI70" s="277"/>
      <c r="DJ70" s="277"/>
      <c r="DK70" s="277"/>
      <c r="DL70" s="277"/>
      <c r="DM70" s="277"/>
      <c r="DN70" s="277"/>
      <c r="DO70" s="277"/>
      <c r="DP70" s="277"/>
      <c r="DQ70" s="277"/>
      <c r="DR70" s="277"/>
      <c r="DS70" s="277"/>
      <c r="DT70" s="277"/>
      <c r="DU70" s="277"/>
      <c r="DV70" s="277"/>
      <c r="DW70" s="277"/>
      <c r="DX70" s="277"/>
      <c r="DY70" s="277"/>
      <c r="DZ70" s="277"/>
      <c r="EA70" s="277"/>
      <c r="EB70" s="277"/>
      <c r="EC70" s="277"/>
      <c r="ED70" s="277"/>
      <c r="EE70" s="277"/>
      <c r="EF70" s="277"/>
      <c r="EG70" s="277"/>
      <c r="EH70" s="277"/>
      <c r="EI70" s="277"/>
      <c r="EJ70" s="277"/>
      <c r="EK70" s="277"/>
      <c r="EL70" s="277"/>
      <c r="EM70" s="277"/>
      <c r="EN70" s="277"/>
      <c r="EO70" s="277"/>
      <c r="EP70" s="277"/>
      <c r="EQ70" s="277"/>
      <c r="ER70" s="277"/>
      <c r="ES70" s="277"/>
      <c r="ET70" s="277"/>
      <c r="EU70" s="277"/>
      <c r="EV70" s="277"/>
      <c r="EW70" s="277"/>
      <c r="EX70" s="277"/>
      <c r="EY70" s="277"/>
      <c r="EZ70" s="277"/>
      <c r="FA70" s="277"/>
      <c r="FB70" s="277"/>
      <c r="FC70" s="277"/>
      <c r="FD70" s="277"/>
      <c r="FE70" s="277"/>
      <c r="FF70" s="277"/>
      <c r="FG70" s="277"/>
      <c r="FH70" s="277"/>
      <c r="FI70" s="277"/>
      <c r="FJ70" s="277"/>
      <c r="FK70" s="277"/>
      <c r="FL70" s="277"/>
      <c r="FM70" s="277"/>
      <c r="FN70" s="277"/>
      <c r="FO70" s="277"/>
      <c r="FP70" s="277"/>
      <c r="FQ70" s="277"/>
      <c r="FR70" s="277"/>
      <c r="FS70" s="277"/>
      <c r="FT70" s="277"/>
      <c r="FU70" s="277"/>
      <c r="FV70" s="277"/>
      <c r="FW70" s="277"/>
      <c r="FX70" s="277"/>
      <c r="FY70" s="277"/>
      <c r="FZ70" s="277"/>
      <c r="GA70" s="277"/>
      <c r="GB70" s="277"/>
      <c r="GC70" s="277"/>
      <c r="GD70" s="277"/>
      <c r="GE70" s="277"/>
      <c r="GF70" s="277"/>
      <c r="GG70" s="277"/>
      <c r="GH70" s="277"/>
      <c r="GI70" s="277"/>
      <c r="GJ70" s="277"/>
      <c r="GK70" s="277"/>
      <c r="GL70" s="277"/>
      <c r="GM70" s="277"/>
      <c r="GN70" s="277"/>
      <c r="GO70" s="277"/>
      <c r="GP70" s="277"/>
      <c r="GQ70" s="277"/>
      <c r="GR70" s="277"/>
      <c r="GS70" s="277"/>
      <c r="GT70" s="277"/>
      <c r="GU70" s="277"/>
      <c r="GV70" s="277"/>
      <c r="GW70" s="277"/>
      <c r="GX70" s="277"/>
      <c r="GY70" s="277"/>
      <c r="GZ70" s="277"/>
      <c r="HA70" s="277"/>
      <c r="HB70" s="277"/>
      <c r="HC70" s="277"/>
      <c r="HD70" s="277"/>
      <c r="HE70" s="277"/>
      <c r="HF70" s="277"/>
      <c r="HG70" s="277"/>
      <c r="HH70" s="277"/>
      <c r="HI70" s="277"/>
      <c r="HJ70" s="277"/>
      <c r="HK70" s="277"/>
      <c r="HL70" s="277"/>
      <c r="HM70" s="277"/>
      <c r="HN70" s="277"/>
      <c r="HO70" s="277"/>
      <c r="HP70" s="277"/>
      <c r="HQ70" s="277"/>
      <c r="HR70" s="277"/>
      <c r="HS70" s="277"/>
      <c r="HT70" s="277"/>
      <c r="HU70" s="277"/>
      <c r="HV70" s="277"/>
      <c r="HW70" s="277"/>
      <c r="HX70" s="277"/>
      <c r="HY70" s="277"/>
      <c r="HZ70" s="277"/>
      <c r="IA70" s="277"/>
      <c r="IB70" s="277"/>
      <c r="IC70" s="277"/>
      <c r="ID70" s="277"/>
      <c r="IE70" s="277"/>
      <c r="IF70" s="277"/>
      <c r="IG70" s="277"/>
      <c r="IH70" s="277"/>
      <c r="II70" s="277"/>
      <c r="IJ70" s="277"/>
      <c r="IK70" s="277"/>
      <c r="IL70" s="277"/>
      <c r="IM70" s="277"/>
      <c r="IN70" s="277"/>
      <c r="IO70" s="277"/>
      <c r="IP70" s="277"/>
      <c r="IQ70" s="277"/>
      <c r="IR70" s="277"/>
      <c r="IS70" s="277"/>
      <c r="IT70" s="277"/>
      <c r="IU70" s="277"/>
      <c r="IV70" s="277"/>
      <c r="IW70" s="277"/>
      <c r="IX70" s="277"/>
      <c r="IY70" s="277"/>
      <c r="IZ70" s="277"/>
      <c r="JA70" s="277"/>
      <c r="JB70" s="277"/>
      <c r="JC70" s="277"/>
      <c r="JD70" s="277"/>
      <c r="JE70" s="277"/>
      <c r="JF70" s="277"/>
    </row>
    <row r="71" spans="17:266" x14ac:dyDescent="0.2">
      <c r="Q71" s="277"/>
      <c r="R71" s="277"/>
      <c r="S71" s="1060"/>
      <c r="X71" s="1059"/>
      <c r="Y71" s="1059"/>
      <c r="Z71" s="277"/>
      <c r="AA71" s="277"/>
      <c r="AB71" s="277"/>
      <c r="AC71" s="277"/>
      <c r="AD71" s="277"/>
      <c r="AE71" s="277"/>
      <c r="AF71" s="277"/>
      <c r="AG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c r="BU71" s="277"/>
      <c r="BV71" s="277"/>
      <c r="BW71" s="277"/>
      <c r="BX71" s="277"/>
      <c r="BY71" s="277"/>
      <c r="BZ71" s="277"/>
      <c r="CA71" s="277"/>
      <c r="CB71" s="277"/>
      <c r="CC71" s="277"/>
      <c r="CD71" s="277"/>
      <c r="CE71" s="277"/>
      <c r="CF71" s="277"/>
      <c r="CG71" s="277"/>
      <c r="CH71" s="277"/>
      <c r="CI71" s="277"/>
      <c r="CJ71" s="277"/>
      <c r="CK71" s="277"/>
      <c r="CL71" s="277"/>
      <c r="CM71" s="277"/>
      <c r="CN71" s="277"/>
      <c r="CO71" s="277"/>
      <c r="CP71" s="277"/>
      <c r="CQ71" s="277"/>
      <c r="CR71" s="277"/>
      <c r="CS71" s="277"/>
      <c r="CT71" s="277"/>
      <c r="CU71" s="277"/>
      <c r="CV71" s="277"/>
      <c r="CW71" s="277"/>
      <c r="CX71" s="277"/>
      <c r="CY71" s="277"/>
      <c r="CZ71" s="277"/>
      <c r="DA71" s="277"/>
      <c r="DB71" s="277"/>
      <c r="DC71" s="277"/>
      <c r="DD71" s="277"/>
      <c r="DE71" s="277"/>
      <c r="DF71" s="277"/>
      <c r="DG71" s="277"/>
      <c r="DH71" s="277"/>
      <c r="DI71" s="277"/>
      <c r="DJ71" s="277"/>
      <c r="DK71" s="277"/>
      <c r="DL71" s="277"/>
      <c r="DM71" s="277"/>
      <c r="DN71" s="277"/>
      <c r="DO71" s="277"/>
      <c r="DP71" s="277"/>
      <c r="DQ71" s="277"/>
      <c r="DR71" s="277"/>
      <c r="DS71" s="277"/>
      <c r="DT71" s="277"/>
      <c r="DU71" s="277"/>
      <c r="DV71" s="277"/>
      <c r="DW71" s="277"/>
      <c r="DX71" s="277"/>
      <c r="DY71" s="277"/>
      <c r="DZ71" s="277"/>
      <c r="EA71" s="277"/>
      <c r="EB71" s="277"/>
      <c r="EC71" s="277"/>
      <c r="ED71" s="277"/>
      <c r="EE71" s="277"/>
      <c r="EF71" s="277"/>
      <c r="EG71" s="277"/>
      <c r="EH71" s="277"/>
      <c r="EI71" s="277"/>
      <c r="EJ71" s="277"/>
      <c r="EK71" s="277"/>
      <c r="EL71" s="277"/>
      <c r="EM71" s="277"/>
      <c r="EN71" s="277"/>
      <c r="EO71" s="277"/>
      <c r="EP71" s="277"/>
      <c r="EQ71" s="277"/>
      <c r="ER71" s="277"/>
      <c r="ES71" s="277"/>
      <c r="ET71" s="277"/>
      <c r="EU71" s="277"/>
      <c r="EV71" s="277"/>
      <c r="EW71" s="277"/>
      <c r="EX71" s="277"/>
      <c r="EY71" s="277"/>
      <c r="EZ71" s="277"/>
      <c r="FA71" s="277"/>
      <c r="FB71" s="277"/>
      <c r="FC71" s="277"/>
      <c r="FD71" s="277"/>
      <c r="FE71" s="277"/>
      <c r="FF71" s="277"/>
      <c r="FG71" s="277"/>
      <c r="FH71" s="277"/>
      <c r="FI71" s="277"/>
      <c r="FJ71" s="277"/>
      <c r="FK71" s="277"/>
      <c r="FL71" s="277"/>
      <c r="FM71" s="277"/>
      <c r="FN71" s="277"/>
      <c r="FO71" s="277"/>
      <c r="FP71" s="277"/>
      <c r="FQ71" s="277"/>
      <c r="FR71" s="277"/>
      <c r="FS71" s="277"/>
      <c r="FT71" s="277"/>
      <c r="FU71" s="277"/>
      <c r="FV71" s="277"/>
      <c r="FW71" s="277"/>
      <c r="FX71" s="277"/>
      <c r="FY71" s="277"/>
      <c r="FZ71" s="277"/>
      <c r="GA71" s="277"/>
      <c r="GB71" s="277"/>
      <c r="GC71" s="277"/>
      <c r="GD71" s="277"/>
      <c r="GE71" s="277"/>
      <c r="GF71" s="277"/>
      <c r="GG71" s="277"/>
      <c r="GH71" s="277"/>
      <c r="GI71" s="277"/>
      <c r="GJ71" s="277"/>
      <c r="GK71" s="277"/>
      <c r="GL71" s="277"/>
      <c r="GM71" s="277"/>
      <c r="GN71" s="277"/>
      <c r="GO71" s="277"/>
      <c r="GP71" s="277"/>
      <c r="GQ71" s="277"/>
      <c r="GR71" s="277"/>
      <c r="GS71" s="277"/>
      <c r="GT71" s="277"/>
      <c r="GU71" s="277"/>
      <c r="GV71" s="277"/>
      <c r="GW71" s="277"/>
      <c r="GX71" s="277"/>
      <c r="GY71" s="277"/>
      <c r="GZ71" s="277"/>
      <c r="HA71" s="277"/>
      <c r="HB71" s="277"/>
      <c r="HC71" s="277"/>
      <c r="HD71" s="277"/>
      <c r="HE71" s="277"/>
      <c r="HF71" s="277"/>
      <c r="HG71" s="277"/>
      <c r="HH71" s="277"/>
      <c r="HI71" s="277"/>
      <c r="HJ71" s="277"/>
      <c r="HK71" s="277"/>
      <c r="HL71" s="277"/>
      <c r="HM71" s="277"/>
      <c r="HN71" s="277"/>
      <c r="HO71" s="277"/>
      <c r="HP71" s="277"/>
      <c r="HQ71" s="277"/>
      <c r="HR71" s="277"/>
      <c r="HS71" s="277"/>
      <c r="HT71" s="277"/>
      <c r="HU71" s="277"/>
      <c r="HV71" s="277"/>
      <c r="HW71" s="277"/>
      <c r="HX71" s="277"/>
      <c r="HY71" s="277"/>
      <c r="HZ71" s="277"/>
      <c r="IA71" s="277"/>
      <c r="IB71" s="277"/>
      <c r="IC71" s="277"/>
      <c r="ID71" s="277"/>
      <c r="IE71" s="277"/>
      <c r="IF71" s="277"/>
      <c r="IG71" s="277"/>
      <c r="IH71" s="277"/>
      <c r="II71" s="277"/>
      <c r="IJ71" s="277"/>
      <c r="IK71" s="277"/>
      <c r="IL71" s="277"/>
      <c r="IM71" s="277"/>
      <c r="IN71" s="277"/>
      <c r="IO71" s="277"/>
      <c r="IP71" s="277"/>
      <c r="IQ71" s="277"/>
      <c r="IR71" s="277"/>
      <c r="IS71" s="277"/>
      <c r="IT71" s="277"/>
      <c r="IU71" s="277"/>
      <c r="IV71" s="277"/>
      <c r="IW71" s="277"/>
      <c r="IX71" s="277"/>
      <c r="IY71" s="277"/>
      <c r="IZ71" s="277"/>
      <c r="JA71" s="277"/>
      <c r="JB71" s="277"/>
      <c r="JC71" s="277"/>
      <c r="JD71" s="277"/>
      <c r="JE71" s="277"/>
      <c r="JF71" s="277"/>
    </row>
    <row r="72" spans="17:266" x14ac:dyDescent="0.2">
      <c r="Q72" s="277"/>
      <c r="R72" s="277"/>
      <c r="S72" s="1060"/>
      <c r="X72" s="1059"/>
      <c r="Y72" s="1059"/>
      <c r="Z72" s="277"/>
      <c r="AA72" s="277"/>
      <c r="AB72" s="277"/>
      <c r="AC72" s="277"/>
      <c r="AD72" s="277"/>
      <c r="AE72" s="277"/>
      <c r="AF72" s="277"/>
      <c r="AG72" s="277"/>
      <c r="AI72" s="277"/>
      <c r="AJ72" s="277"/>
      <c r="AK72" s="277"/>
      <c r="AL72" s="277"/>
      <c r="AM72" s="277"/>
      <c r="AN72" s="277"/>
      <c r="AO72" s="277"/>
      <c r="AP72" s="277"/>
      <c r="AQ72" s="277"/>
      <c r="AR72" s="277"/>
      <c r="AS72" s="277"/>
      <c r="AT72" s="277"/>
      <c r="AU72" s="277"/>
      <c r="AV72" s="277"/>
      <c r="AW72" s="277"/>
      <c r="AX72" s="277"/>
      <c r="AY72" s="277"/>
      <c r="AZ72" s="277"/>
      <c r="BA72" s="277"/>
      <c r="BB72" s="277"/>
      <c r="BC72" s="277"/>
      <c r="BD72" s="277"/>
      <c r="BE72" s="277"/>
      <c r="BF72" s="277"/>
      <c r="BG72" s="277"/>
      <c r="BH72" s="277"/>
      <c r="BI72" s="277"/>
      <c r="BJ72" s="277"/>
      <c r="BK72" s="277"/>
      <c r="BL72" s="277"/>
      <c r="BM72" s="277"/>
      <c r="BN72" s="277"/>
      <c r="BO72" s="277"/>
      <c r="BP72" s="277"/>
      <c r="BQ72" s="277"/>
      <c r="BR72" s="277"/>
      <c r="BS72" s="277"/>
      <c r="BT72" s="277"/>
      <c r="BU72" s="277"/>
      <c r="BV72" s="277"/>
      <c r="BW72" s="277"/>
      <c r="BX72" s="277"/>
      <c r="BY72" s="277"/>
      <c r="BZ72" s="277"/>
      <c r="CA72" s="277"/>
      <c r="CB72" s="277"/>
      <c r="CC72" s="277"/>
      <c r="CD72" s="277"/>
      <c r="CE72" s="277"/>
      <c r="CF72" s="277"/>
      <c r="CG72" s="277"/>
      <c r="CH72" s="277"/>
      <c r="CI72" s="277"/>
      <c r="CJ72" s="277"/>
      <c r="CK72" s="277"/>
      <c r="CL72" s="277"/>
      <c r="CM72" s="277"/>
      <c r="CN72" s="277"/>
      <c r="CO72" s="277"/>
      <c r="CP72" s="277"/>
      <c r="CQ72" s="277"/>
      <c r="CR72" s="277"/>
      <c r="CS72" s="277"/>
      <c r="CT72" s="277"/>
      <c r="CU72" s="277"/>
      <c r="CV72" s="277"/>
      <c r="CW72" s="277"/>
      <c r="CX72" s="277"/>
      <c r="CY72" s="277"/>
      <c r="CZ72" s="277"/>
      <c r="DA72" s="277"/>
      <c r="DB72" s="277"/>
      <c r="DC72" s="277"/>
      <c r="DD72" s="277"/>
      <c r="DE72" s="277"/>
      <c r="DF72" s="277"/>
      <c r="DG72" s="277"/>
      <c r="DH72" s="277"/>
      <c r="DI72" s="277"/>
      <c r="DJ72" s="277"/>
      <c r="DK72" s="277"/>
      <c r="DL72" s="277"/>
      <c r="DM72" s="277"/>
      <c r="DN72" s="277"/>
      <c r="DO72" s="277"/>
      <c r="DP72" s="277"/>
      <c r="DQ72" s="277"/>
      <c r="DR72" s="277"/>
      <c r="DS72" s="277"/>
      <c r="DT72" s="277"/>
      <c r="DU72" s="277"/>
      <c r="DV72" s="277"/>
      <c r="DW72" s="277"/>
      <c r="DX72" s="277"/>
      <c r="DY72" s="277"/>
      <c r="DZ72" s="277"/>
      <c r="EA72" s="277"/>
      <c r="EB72" s="277"/>
      <c r="EC72" s="277"/>
      <c r="ED72" s="277"/>
      <c r="EE72" s="277"/>
      <c r="EF72" s="277"/>
      <c r="EG72" s="277"/>
      <c r="EH72" s="277"/>
      <c r="EI72" s="277"/>
      <c r="EJ72" s="277"/>
      <c r="EK72" s="277"/>
      <c r="EL72" s="277"/>
      <c r="EM72" s="277"/>
      <c r="EN72" s="277"/>
      <c r="EO72" s="277"/>
      <c r="EP72" s="277"/>
      <c r="EQ72" s="277"/>
      <c r="ER72" s="277"/>
      <c r="ES72" s="277"/>
      <c r="ET72" s="277"/>
      <c r="EU72" s="277"/>
      <c r="EV72" s="277"/>
      <c r="EW72" s="277"/>
      <c r="EX72" s="277"/>
      <c r="EY72" s="277"/>
      <c r="EZ72" s="277"/>
      <c r="FA72" s="277"/>
      <c r="FB72" s="277"/>
      <c r="FC72" s="277"/>
      <c r="FD72" s="277"/>
      <c r="FE72" s="277"/>
      <c r="FF72" s="277"/>
      <c r="FG72" s="277"/>
      <c r="FH72" s="277"/>
      <c r="FI72" s="277"/>
      <c r="FJ72" s="277"/>
      <c r="FK72" s="277"/>
      <c r="FL72" s="277"/>
      <c r="FM72" s="277"/>
      <c r="FN72" s="277"/>
      <c r="FO72" s="277"/>
      <c r="FP72" s="277"/>
      <c r="FQ72" s="277"/>
      <c r="FR72" s="277"/>
      <c r="FS72" s="277"/>
      <c r="FT72" s="277"/>
      <c r="FU72" s="277"/>
      <c r="FV72" s="277"/>
      <c r="FW72" s="277"/>
      <c r="FX72" s="277"/>
      <c r="FY72" s="277"/>
      <c r="FZ72" s="277"/>
      <c r="GA72" s="277"/>
      <c r="GB72" s="277"/>
      <c r="GC72" s="277"/>
      <c r="GD72" s="277"/>
      <c r="GE72" s="277"/>
      <c r="GF72" s="277"/>
      <c r="GG72" s="277"/>
      <c r="GH72" s="277"/>
      <c r="GI72" s="277"/>
      <c r="GJ72" s="277"/>
      <c r="GK72" s="277"/>
      <c r="GL72" s="277"/>
      <c r="GM72" s="277"/>
      <c r="GN72" s="277"/>
      <c r="GO72" s="277"/>
      <c r="GP72" s="277"/>
      <c r="GQ72" s="277"/>
      <c r="GR72" s="277"/>
      <c r="GS72" s="277"/>
      <c r="GT72" s="277"/>
      <c r="GU72" s="277"/>
      <c r="GV72" s="277"/>
      <c r="GW72" s="277"/>
      <c r="GX72" s="277"/>
      <c r="GY72" s="277"/>
      <c r="GZ72" s="277"/>
      <c r="HA72" s="277"/>
      <c r="HB72" s="277"/>
      <c r="HC72" s="277"/>
      <c r="HD72" s="277"/>
      <c r="HE72" s="277"/>
      <c r="HF72" s="277"/>
      <c r="HG72" s="277"/>
      <c r="HH72" s="277"/>
      <c r="HI72" s="277"/>
      <c r="HJ72" s="277"/>
      <c r="HK72" s="277"/>
      <c r="HL72" s="277"/>
      <c r="HM72" s="277"/>
      <c r="HN72" s="277"/>
      <c r="HO72" s="277"/>
      <c r="HP72" s="277"/>
      <c r="HQ72" s="277"/>
      <c r="HR72" s="277"/>
      <c r="HS72" s="277"/>
      <c r="HT72" s="277"/>
      <c r="HU72" s="277"/>
      <c r="HV72" s="277"/>
      <c r="HW72" s="277"/>
      <c r="HX72" s="277"/>
      <c r="HY72" s="277"/>
      <c r="HZ72" s="277"/>
      <c r="IA72" s="277"/>
      <c r="IB72" s="277"/>
      <c r="IC72" s="277"/>
      <c r="ID72" s="277"/>
      <c r="IE72" s="277"/>
      <c r="IF72" s="277"/>
      <c r="IG72" s="277"/>
      <c r="IH72" s="277"/>
      <c r="II72" s="277"/>
      <c r="IJ72" s="277"/>
      <c r="IK72" s="277"/>
      <c r="IL72" s="277"/>
      <c r="IM72" s="277"/>
      <c r="IN72" s="277"/>
      <c r="IO72" s="277"/>
      <c r="IP72" s="277"/>
      <c r="IQ72" s="277"/>
      <c r="IR72" s="277"/>
      <c r="IS72" s="277"/>
      <c r="IT72" s="277"/>
      <c r="IU72" s="277"/>
      <c r="IV72" s="277"/>
      <c r="IW72" s="277"/>
      <c r="IX72" s="277"/>
      <c r="IY72" s="277"/>
      <c r="IZ72" s="277"/>
      <c r="JA72" s="277"/>
      <c r="JB72" s="277"/>
      <c r="JC72" s="277"/>
      <c r="JD72" s="277"/>
      <c r="JE72" s="277"/>
      <c r="JF72" s="277"/>
    </row>
    <row r="73" spans="17:266" x14ac:dyDescent="0.2">
      <c r="Q73" s="277"/>
      <c r="R73" s="277"/>
      <c r="S73" s="1060"/>
      <c r="X73" s="1059"/>
      <c r="Y73" s="1059"/>
      <c r="Z73" s="277"/>
      <c r="AA73" s="277"/>
      <c r="AB73" s="277"/>
      <c r="AC73" s="277"/>
      <c r="AD73" s="277"/>
      <c r="AE73" s="277"/>
      <c r="AF73" s="277"/>
      <c r="AG73" s="277"/>
      <c r="AI73" s="277"/>
      <c r="AJ73" s="277"/>
      <c r="AK73" s="277"/>
      <c r="AL73" s="277"/>
      <c r="AM73" s="277"/>
      <c r="AN73" s="277"/>
      <c r="AO73" s="277"/>
      <c r="AP73" s="277"/>
      <c r="AQ73" s="277"/>
      <c r="AR73" s="277"/>
      <c r="AS73" s="277"/>
      <c r="AT73" s="277"/>
      <c r="AU73" s="277"/>
      <c r="AV73" s="277"/>
      <c r="AW73" s="277"/>
      <c r="AX73" s="277"/>
      <c r="AY73" s="277"/>
      <c r="AZ73" s="277"/>
      <c r="BA73" s="277"/>
      <c r="BB73" s="277"/>
      <c r="BC73" s="277"/>
      <c r="BD73" s="277"/>
      <c r="BE73" s="277"/>
      <c r="BF73" s="277"/>
      <c r="BG73" s="277"/>
      <c r="BH73" s="277"/>
      <c r="BI73" s="277"/>
      <c r="BJ73" s="277"/>
      <c r="BK73" s="277"/>
      <c r="BL73" s="277"/>
      <c r="BM73" s="277"/>
      <c r="BN73" s="277"/>
      <c r="BO73" s="277"/>
      <c r="BP73" s="277"/>
      <c r="BQ73" s="277"/>
      <c r="BR73" s="277"/>
      <c r="BS73" s="277"/>
      <c r="BT73" s="277"/>
      <c r="BU73" s="277"/>
      <c r="BV73" s="277"/>
      <c r="BW73" s="277"/>
      <c r="BX73" s="277"/>
      <c r="BY73" s="277"/>
      <c r="BZ73" s="277"/>
      <c r="CA73" s="277"/>
      <c r="CB73" s="277"/>
      <c r="CC73" s="277"/>
      <c r="CD73" s="277"/>
      <c r="CE73" s="277"/>
      <c r="CF73" s="277"/>
      <c r="CG73" s="277"/>
      <c r="CH73" s="277"/>
      <c r="CI73" s="277"/>
      <c r="CJ73" s="277"/>
      <c r="CK73" s="277"/>
      <c r="CL73" s="277"/>
      <c r="CM73" s="277"/>
      <c r="CN73" s="277"/>
      <c r="CO73" s="277"/>
      <c r="CP73" s="277"/>
      <c r="CQ73" s="277"/>
      <c r="CR73" s="277"/>
      <c r="CS73" s="277"/>
      <c r="CT73" s="277"/>
      <c r="CU73" s="277"/>
      <c r="CV73" s="277"/>
      <c r="CW73" s="277"/>
      <c r="CX73" s="277"/>
      <c r="CY73" s="277"/>
      <c r="CZ73" s="277"/>
      <c r="DA73" s="277"/>
      <c r="DB73" s="277"/>
      <c r="DC73" s="277"/>
      <c r="DD73" s="277"/>
      <c r="DE73" s="277"/>
      <c r="DF73" s="277"/>
      <c r="DG73" s="277"/>
      <c r="DH73" s="277"/>
      <c r="DI73" s="277"/>
      <c r="DJ73" s="277"/>
      <c r="DK73" s="277"/>
      <c r="DL73" s="277"/>
      <c r="DM73" s="277"/>
      <c r="DN73" s="277"/>
      <c r="DO73" s="277"/>
      <c r="DP73" s="277"/>
      <c r="DQ73" s="277"/>
      <c r="DR73" s="277"/>
      <c r="DS73" s="277"/>
      <c r="DT73" s="277"/>
      <c r="DU73" s="277"/>
      <c r="DV73" s="277"/>
      <c r="DW73" s="277"/>
      <c r="DX73" s="277"/>
      <c r="DY73" s="277"/>
      <c r="DZ73" s="277"/>
      <c r="EA73" s="277"/>
      <c r="EB73" s="277"/>
      <c r="EC73" s="277"/>
      <c r="ED73" s="277"/>
      <c r="EE73" s="277"/>
      <c r="EF73" s="277"/>
      <c r="EG73" s="277"/>
      <c r="EH73" s="277"/>
      <c r="EI73" s="277"/>
      <c r="EJ73" s="277"/>
      <c r="EK73" s="277"/>
      <c r="EL73" s="277"/>
      <c r="EM73" s="277"/>
      <c r="EN73" s="277"/>
      <c r="EO73" s="277"/>
      <c r="EP73" s="277"/>
      <c r="EQ73" s="277"/>
      <c r="ER73" s="277"/>
      <c r="ES73" s="277"/>
      <c r="ET73" s="277"/>
      <c r="EU73" s="277"/>
      <c r="EV73" s="277"/>
      <c r="EW73" s="277"/>
      <c r="EX73" s="277"/>
      <c r="EY73" s="277"/>
      <c r="EZ73" s="277"/>
      <c r="FA73" s="277"/>
      <c r="FB73" s="277"/>
      <c r="FC73" s="277"/>
      <c r="FD73" s="277"/>
      <c r="FE73" s="277"/>
      <c r="FF73" s="277"/>
      <c r="FG73" s="277"/>
      <c r="FH73" s="277"/>
      <c r="FI73" s="277"/>
      <c r="FJ73" s="277"/>
      <c r="FK73" s="277"/>
      <c r="FL73" s="277"/>
      <c r="FM73" s="277"/>
      <c r="FN73" s="277"/>
      <c r="FO73" s="277"/>
      <c r="FP73" s="277"/>
      <c r="FQ73" s="277"/>
      <c r="FR73" s="277"/>
      <c r="FS73" s="277"/>
      <c r="FT73" s="277"/>
      <c r="FU73" s="277"/>
      <c r="FV73" s="277"/>
      <c r="FW73" s="277"/>
      <c r="FX73" s="277"/>
      <c r="FY73" s="277"/>
      <c r="FZ73" s="277"/>
      <c r="GA73" s="277"/>
      <c r="GB73" s="277"/>
      <c r="GC73" s="277"/>
      <c r="GD73" s="277"/>
      <c r="GE73" s="277"/>
      <c r="GF73" s="277"/>
      <c r="GG73" s="277"/>
      <c r="GH73" s="277"/>
      <c r="GI73" s="277"/>
      <c r="GJ73" s="277"/>
      <c r="GK73" s="277"/>
      <c r="GL73" s="277"/>
      <c r="GM73" s="277"/>
      <c r="GN73" s="277"/>
      <c r="GO73" s="277"/>
      <c r="GP73" s="277"/>
      <c r="GQ73" s="277"/>
      <c r="GR73" s="277"/>
      <c r="GS73" s="277"/>
      <c r="GT73" s="277"/>
      <c r="GU73" s="277"/>
      <c r="GV73" s="277"/>
      <c r="GW73" s="277"/>
      <c r="GX73" s="277"/>
      <c r="GY73" s="277"/>
      <c r="GZ73" s="277"/>
      <c r="HA73" s="277"/>
      <c r="HB73" s="277"/>
      <c r="HC73" s="277"/>
      <c r="HD73" s="277"/>
      <c r="HE73" s="277"/>
      <c r="HF73" s="277"/>
      <c r="HG73" s="277"/>
      <c r="HH73" s="277"/>
      <c r="HI73" s="277"/>
      <c r="HJ73" s="277"/>
      <c r="HK73" s="277"/>
      <c r="HL73" s="277"/>
      <c r="HM73" s="277"/>
      <c r="HN73" s="277"/>
      <c r="HO73" s="277"/>
      <c r="HP73" s="277"/>
      <c r="HQ73" s="277"/>
      <c r="HR73" s="277"/>
      <c r="HS73" s="277"/>
      <c r="HT73" s="277"/>
      <c r="HU73" s="277"/>
      <c r="HV73" s="277"/>
      <c r="HW73" s="277"/>
      <c r="HX73" s="277"/>
      <c r="HY73" s="277"/>
      <c r="HZ73" s="277"/>
      <c r="IA73" s="277"/>
      <c r="IB73" s="277"/>
      <c r="IC73" s="277"/>
      <c r="ID73" s="277"/>
      <c r="IE73" s="277"/>
      <c r="IF73" s="277"/>
      <c r="IG73" s="277"/>
      <c r="IH73" s="277"/>
      <c r="II73" s="277"/>
      <c r="IJ73" s="277"/>
      <c r="IK73" s="277"/>
      <c r="IL73" s="277"/>
      <c r="IM73" s="277"/>
      <c r="IN73" s="277"/>
      <c r="IO73" s="277"/>
      <c r="IP73" s="277"/>
      <c r="IQ73" s="277"/>
      <c r="IR73" s="277"/>
      <c r="IS73" s="277"/>
      <c r="IT73" s="277"/>
      <c r="IU73" s="277"/>
      <c r="IV73" s="277"/>
      <c r="IW73" s="277"/>
      <c r="IX73" s="277"/>
      <c r="IY73" s="277"/>
      <c r="IZ73" s="277"/>
      <c r="JA73" s="277"/>
      <c r="JB73" s="277"/>
      <c r="JC73" s="277"/>
      <c r="JD73" s="277"/>
      <c r="JE73" s="277"/>
      <c r="JF73" s="277"/>
    </row>
    <row r="74" spans="17:266" x14ac:dyDescent="0.2">
      <c r="Q74" s="277"/>
      <c r="R74" s="277"/>
      <c r="S74" s="1060"/>
      <c r="X74" s="1059"/>
      <c r="Y74" s="1059"/>
      <c r="Z74" s="277"/>
      <c r="AA74" s="277"/>
      <c r="AB74" s="277"/>
      <c r="AC74" s="277"/>
      <c r="AD74" s="277"/>
      <c r="AE74" s="277"/>
      <c r="AF74" s="277"/>
      <c r="AG74" s="277"/>
      <c r="AI74" s="277"/>
      <c r="AJ74" s="277"/>
      <c r="AK74" s="277"/>
      <c r="AL74" s="277"/>
      <c r="AM74" s="277"/>
      <c r="AN74" s="277"/>
      <c r="AO74" s="277"/>
      <c r="AP74" s="277"/>
      <c r="AQ74" s="277"/>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c r="BR74" s="277"/>
      <c r="BS74" s="277"/>
      <c r="BT74" s="277"/>
      <c r="BU74" s="277"/>
      <c r="BV74" s="277"/>
      <c r="BW74" s="277"/>
      <c r="BX74" s="277"/>
      <c r="BY74" s="277"/>
      <c r="BZ74" s="277"/>
      <c r="CA74" s="277"/>
      <c r="CB74" s="277"/>
      <c r="CC74" s="277"/>
      <c r="CD74" s="277"/>
      <c r="CE74" s="277"/>
      <c r="CF74" s="277"/>
      <c r="CG74" s="277"/>
      <c r="CH74" s="277"/>
      <c r="CI74" s="277"/>
      <c r="CJ74" s="277"/>
      <c r="CK74" s="277"/>
      <c r="CL74" s="277"/>
      <c r="CM74" s="277"/>
      <c r="CN74" s="277"/>
      <c r="CO74" s="277"/>
      <c r="CP74" s="277"/>
      <c r="CQ74" s="277"/>
      <c r="CR74" s="277"/>
      <c r="CS74" s="277"/>
      <c r="CT74" s="277"/>
      <c r="CU74" s="277"/>
      <c r="CV74" s="277"/>
      <c r="CW74" s="277"/>
      <c r="CX74" s="277"/>
      <c r="CY74" s="277"/>
      <c r="CZ74" s="277"/>
      <c r="DA74" s="277"/>
      <c r="DB74" s="277"/>
      <c r="DC74" s="277"/>
      <c r="DD74" s="277"/>
      <c r="DE74" s="277"/>
      <c r="DF74" s="277"/>
      <c r="DG74" s="277"/>
      <c r="DH74" s="277"/>
      <c r="DI74" s="277"/>
      <c r="DJ74" s="277"/>
      <c r="DK74" s="277"/>
      <c r="DL74" s="277"/>
      <c r="DM74" s="277"/>
      <c r="DN74" s="277"/>
      <c r="DO74" s="277"/>
      <c r="DP74" s="277"/>
      <c r="DQ74" s="277"/>
      <c r="DR74" s="277"/>
      <c r="DS74" s="277"/>
      <c r="DT74" s="277"/>
      <c r="DU74" s="277"/>
      <c r="DV74" s="277"/>
      <c r="DW74" s="277"/>
      <c r="DX74" s="277"/>
      <c r="DY74" s="277"/>
      <c r="DZ74" s="277"/>
      <c r="EA74" s="277"/>
      <c r="EB74" s="277"/>
      <c r="EC74" s="277"/>
      <c r="ED74" s="277"/>
      <c r="EE74" s="277"/>
      <c r="EF74" s="277"/>
      <c r="EG74" s="277"/>
      <c r="EH74" s="277"/>
      <c r="EI74" s="277"/>
      <c r="EJ74" s="277"/>
      <c r="EK74" s="277"/>
      <c r="EL74" s="277"/>
      <c r="EM74" s="277"/>
      <c r="EN74" s="277"/>
      <c r="EO74" s="277"/>
      <c r="EP74" s="277"/>
      <c r="EQ74" s="277"/>
      <c r="ER74" s="277"/>
      <c r="ES74" s="277"/>
      <c r="ET74" s="277"/>
      <c r="EU74" s="277"/>
      <c r="EV74" s="277"/>
      <c r="EW74" s="277"/>
      <c r="EX74" s="277"/>
      <c r="EY74" s="277"/>
      <c r="EZ74" s="277"/>
      <c r="FA74" s="277"/>
      <c r="FB74" s="277"/>
      <c r="FC74" s="277"/>
      <c r="FD74" s="277"/>
      <c r="FE74" s="277"/>
      <c r="FF74" s="277"/>
      <c r="FG74" s="277"/>
      <c r="FH74" s="277"/>
      <c r="FI74" s="277"/>
      <c r="FJ74" s="277"/>
      <c r="FK74" s="277"/>
      <c r="FL74" s="277"/>
      <c r="FM74" s="277"/>
      <c r="FN74" s="277"/>
      <c r="FO74" s="277"/>
      <c r="FP74" s="277"/>
      <c r="FQ74" s="277"/>
      <c r="FR74" s="277"/>
      <c r="FS74" s="277"/>
      <c r="FT74" s="277"/>
      <c r="FU74" s="277"/>
      <c r="FV74" s="277"/>
      <c r="FW74" s="277"/>
      <c r="FX74" s="277"/>
      <c r="FY74" s="277"/>
      <c r="FZ74" s="277"/>
      <c r="GA74" s="277"/>
      <c r="GB74" s="277"/>
      <c r="GC74" s="277"/>
      <c r="GD74" s="277"/>
      <c r="GE74" s="277"/>
      <c r="GF74" s="277"/>
      <c r="GG74" s="277"/>
      <c r="GH74" s="277"/>
      <c r="GI74" s="277"/>
      <c r="GJ74" s="277"/>
      <c r="GK74" s="277"/>
      <c r="GL74" s="277"/>
      <c r="GM74" s="277"/>
      <c r="GN74" s="277"/>
      <c r="GO74" s="277"/>
      <c r="GP74" s="277"/>
      <c r="GQ74" s="277"/>
      <c r="GR74" s="277"/>
      <c r="GS74" s="277"/>
      <c r="GT74" s="277"/>
      <c r="GU74" s="277"/>
      <c r="GV74" s="277"/>
      <c r="GW74" s="277"/>
      <c r="GX74" s="277"/>
      <c r="GY74" s="277"/>
      <c r="GZ74" s="277"/>
      <c r="HA74" s="277"/>
      <c r="HB74" s="277"/>
      <c r="HC74" s="277"/>
      <c r="HD74" s="277"/>
      <c r="HE74" s="277"/>
      <c r="HF74" s="277"/>
      <c r="HG74" s="277"/>
      <c r="HH74" s="277"/>
      <c r="HI74" s="277"/>
      <c r="HJ74" s="277"/>
      <c r="HK74" s="277"/>
      <c r="HL74" s="277"/>
      <c r="HM74" s="277"/>
      <c r="HN74" s="277"/>
      <c r="HO74" s="277"/>
      <c r="HP74" s="277"/>
      <c r="HQ74" s="277"/>
      <c r="HR74" s="277"/>
      <c r="HS74" s="277"/>
      <c r="HT74" s="277"/>
      <c r="HU74" s="277"/>
      <c r="HV74" s="277"/>
      <c r="HW74" s="277"/>
      <c r="HX74" s="277"/>
      <c r="HY74" s="277"/>
      <c r="HZ74" s="277"/>
      <c r="IA74" s="277"/>
      <c r="IB74" s="277"/>
      <c r="IC74" s="277"/>
      <c r="ID74" s="277"/>
      <c r="IE74" s="277"/>
      <c r="IF74" s="277"/>
      <c r="IG74" s="277"/>
      <c r="IH74" s="277"/>
      <c r="II74" s="277"/>
      <c r="IJ74" s="277"/>
      <c r="IK74" s="277"/>
      <c r="IL74" s="277"/>
      <c r="IM74" s="277"/>
      <c r="IN74" s="277"/>
      <c r="IO74" s="277"/>
      <c r="IP74" s="277"/>
      <c r="IQ74" s="277"/>
      <c r="IR74" s="277"/>
      <c r="IS74" s="277"/>
      <c r="IT74" s="277"/>
      <c r="IU74" s="277"/>
      <c r="IV74" s="277"/>
      <c r="IW74" s="277"/>
      <c r="IX74" s="277"/>
      <c r="IY74" s="277"/>
      <c r="IZ74" s="277"/>
      <c r="JA74" s="277"/>
      <c r="JB74" s="277"/>
      <c r="JC74" s="277"/>
      <c r="JD74" s="277"/>
      <c r="JE74" s="277"/>
      <c r="JF74" s="277"/>
    </row>
    <row r="75" spans="17:266" x14ac:dyDescent="0.2">
      <c r="Q75" s="277"/>
      <c r="R75" s="277"/>
      <c r="S75" s="1060"/>
      <c r="X75" s="1059"/>
      <c r="Y75" s="1059"/>
      <c r="Z75" s="277"/>
      <c r="AA75" s="277"/>
      <c r="AB75" s="277"/>
      <c r="AC75" s="277"/>
      <c r="AD75" s="277"/>
      <c r="AE75" s="277"/>
      <c r="AF75" s="277"/>
      <c r="AG75" s="277"/>
      <c r="AI75" s="277"/>
      <c r="AJ75" s="277"/>
      <c r="AK75" s="277"/>
      <c r="AL75" s="277"/>
      <c r="AM75" s="277"/>
      <c r="AN75" s="277"/>
      <c r="AO75" s="277"/>
      <c r="AP75" s="277"/>
      <c r="AQ75" s="277"/>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c r="BR75" s="277"/>
      <c r="BS75" s="277"/>
      <c r="BT75" s="277"/>
      <c r="BU75" s="277"/>
      <c r="BV75" s="277"/>
      <c r="BW75" s="277"/>
      <c r="BX75" s="277"/>
      <c r="BY75" s="277"/>
      <c r="BZ75" s="277"/>
      <c r="CA75" s="277"/>
      <c r="CB75" s="277"/>
      <c r="CC75" s="277"/>
      <c r="CD75" s="277"/>
      <c r="CE75" s="277"/>
      <c r="CF75" s="277"/>
      <c r="CG75" s="277"/>
      <c r="CH75" s="277"/>
      <c r="CI75" s="277"/>
      <c r="CJ75" s="277"/>
      <c r="CK75" s="277"/>
      <c r="CL75" s="277"/>
      <c r="CM75" s="277"/>
      <c r="CN75" s="277"/>
      <c r="CO75" s="277"/>
      <c r="CP75" s="277"/>
      <c r="CQ75" s="277"/>
      <c r="CR75" s="277"/>
      <c r="CS75" s="277"/>
      <c r="CT75" s="277"/>
      <c r="CU75" s="277"/>
      <c r="CV75" s="277"/>
      <c r="CW75" s="277"/>
      <c r="CX75" s="277"/>
      <c r="CY75" s="277"/>
      <c r="CZ75" s="277"/>
      <c r="DA75" s="277"/>
      <c r="DB75" s="277"/>
      <c r="DC75" s="277"/>
      <c r="DD75" s="277"/>
      <c r="DE75" s="277"/>
      <c r="DF75" s="277"/>
      <c r="DG75" s="277"/>
      <c r="DH75" s="277"/>
      <c r="DI75" s="277"/>
      <c r="DJ75" s="277"/>
      <c r="DK75" s="277"/>
      <c r="DL75" s="277"/>
      <c r="DM75" s="277"/>
      <c r="DN75" s="277"/>
      <c r="DO75" s="277"/>
      <c r="DP75" s="277"/>
      <c r="DQ75" s="277"/>
      <c r="DR75" s="277"/>
      <c r="DS75" s="277"/>
      <c r="DT75" s="277"/>
      <c r="DU75" s="277"/>
      <c r="DV75" s="277"/>
      <c r="DW75" s="277"/>
      <c r="DX75" s="277"/>
      <c r="DY75" s="277"/>
      <c r="DZ75" s="277"/>
      <c r="EA75" s="277"/>
      <c r="EB75" s="277"/>
      <c r="EC75" s="277"/>
      <c r="ED75" s="277"/>
      <c r="EE75" s="277"/>
      <c r="EF75" s="277"/>
      <c r="EG75" s="277"/>
      <c r="EH75" s="277"/>
      <c r="EI75" s="277"/>
      <c r="EJ75" s="277"/>
      <c r="EK75" s="277"/>
      <c r="EL75" s="277"/>
      <c r="EM75" s="277"/>
      <c r="EN75" s="277"/>
      <c r="EO75" s="277"/>
      <c r="EP75" s="277"/>
      <c r="EQ75" s="277"/>
      <c r="ER75" s="277"/>
      <c r="ES75" s="277"/>
      <c r="ET75" s="277"/>
      <c r="EU75" s="277"/>
      <c r="EV75" s="277"/>
      <c r="EW75" s="277"/>
      <c r="EX75" s="277"/>
      <c r="EY75" s="277"/>
      <c r="EZ75" s="277"/>
      <c r="FA75" s="277"/>
      <c r="FB75" s="277"/>
      <c r="FC75" s="277"/>
      <c r="FD75" s="277"/>
      <c r="FE75" s="277"/>
      <c r="FF75" s="277"/>
      <c r="FG75" s="277"/>
      <c r="FH75" s="277"/>
      <c r="FI75" s="277"/>
      <c r="FJ75" s="277"/>
      <c r="FK75" s="277"/>
      <c r="FL75" s="277"/>
      <c r="FM75" s="277"/>
      <c r="FN75" s="277"/>
      <c r="FO75" s="277"/>
      <c r="FP75" s="277"/>
      <c r="FQ75" s="277"/>
      <c r="FR75" s="277"/>
      <c r="FS75" s="277"/>
      <c r="FT75" s="277"/>
      <c r="FU75" s="277"/>
      <c r="FV75" s="277"/>
      <c r="FW75" s="277"/>
      <c r="FX75" s="277"/>
      <c r="FY75" s="277"/>
      <c r="FZ75" s="277"/>
      <c r="GA75" s="277"/>
      <c r="GB75" s="277"/>
      <c r="GC75" s="277"/>
      <c r="GD75" s="277"/>
      <c r="GE75" s="277"/>
      <c r="GF75" s="277"/>
      <c r="GG75" s="277"/>
      <c r="GH75" s="277"/>
      <c r="GI75" s="277"/>
      <c r="GJ75" s="277"/>
      <c r="GK75" s="277"/>
      <c r="GL75" s="277"/>
      <c r="GM75" s="277"/>
      <c r="GN75" s="277"/>
      <c r="GO75" s="277"/>
      <c r="GP75" s="277"/>
      <c r="GQ75" s="277"/>
      <c r="GR75" s="277"/>
      <c r="GS75" s="277"/>
      <c r="GT75" s="277"/>
      <c r="GU75" s="277"/>
      <c r="GV75" s="277"/>
      <c r="GW75" s="277"/>
      <c r="GX75" s="277"/>
      <c r="GY75" s="277"/>
      <c r="GZ75" s="277"/>
      <c r="HA75" s="277"/>
      <c r="HB75" s="277"/>
      <c r="HC75" s="277"/>
      <c r="HD75" s="277"/>
      <c r="HE75" s="277"/>
      <c r="HF75" s="277"/>
      <c r="HG75" s="277"/>
      <c r="HH75" s="277"/>
      <c r="HI75" s="277"/>
      <c r="HJ75" s="277"/>
      <c r="HK75" s="277"/>
      <c r="HL75" s="277"/>
      <c r="HM75" s="277"/>
      <c r="HN75" s="277"/>
      <c r="HO75" s="277"/>
      <c r="HP75" s="277"/>
      <c r="HQ75" s="277"/>
      <c r="HR75" s="277"/>
      <c r="HS75" s="277"/>
      <c r="HT75" s="277"/>
      <c r="HU75" s="277"/>
      <c r="HV75" s="277"/>
      <c r="HW75" s="277"/>
      <c r="HX75" s="277"/>
      <c r="HY75" s="277"/>
      <c r="HZ75" s="277"/>
      <c r="IA75" s="277"/>
      <c r="IB75" s="277"/>
      <c r="IC75" s="277"/>
      <c r="ID75" s="277"/>
      <c r="IE75" s="277"/>
      <c r="IF75" s="277"/>
      <c r="IG75" s="277"/>
      <c r="IH75" s="277"/>
      <c r="II75" s="277"/>
      <c r="IJ75" s="277"/>
      <c r="IK75" s="277"/>
      <c r="IL75" s="277"/>
      <c r="IM75" s="277"/>
      <c r="IN75" s="277"/>
      <c r="IO75" s="277"/>
      <c r="IP75" s="277"/>
      <c r="IQ75" s="277"/>
      <c r="IR75" s="277"/>
      <c r="IS75" s="277"/>
      <c r="IT75" s="277"/>
      <c r="IU75" s="277"/>
      <c r="IV75" s="277"/>
      <c r="IW75" s="277"/>
      <c r="IX75" s="277"/>
      <c r="IY75" s="277"/>
      <c r="IZ75" s="277"/>
      <c r="JA75" s="277"/>
      <c r="JB75" s="277"/>
      <c r="JC75" s="277"/>
      <c r="JD75" s="277"/>
      <c r="JE75" s="277"/>
      <c r="JF75" s="277"/>
    </row>
    <row r="76" spans="17:266" x14ac:dyDescent="0.2">
      <c r="Q76" s="277"/>
      <c r="R76" s="277"/>
      <c r="S76" s="1060"/>
      <c r="X76" s="1059"/>
      <c r="Y76" s="1059"/>
      <c r="Z76" s="277"/>
      <c r="AA76" s="277"/>
      <c r="AB76" s="277"/>
      <c r="AC76" s="277"/>
      <c r="AD76" s="277"/>
      <c r="AE76" s="277"/>
      <c r="AF76" s="277"/>
      <c r="AG76" s="277"/>
      <c r="AI76" s="277"/>
      <c r="AJ76" s="277"/>
      <c r="AK76" s="277"/>
      <c r="AL76" s="277"/>
      <c r="AM76" s="277"/>
      <c r="AN76" s="277"/>
      <c r="AO76" s="277"/>
      <c r="AP76" s="277"/>
      <c r="AQ76" s="277"/>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c r="BR76" s="277"/>
      <c r="BS76" s="277"/>
      <c r="BT76" s="277"/>
      <c r="BU76" s="277"/>
      <c r="BV76" s="277"/>
      <c r="BW76" s="277"/>
      <c r="BX76" s="277"/>
      <c r="BY76" s="277"/>
      <c r="BZ76" s="277"/>
      <c r="CA76" s="277"/>
      <c r="CB76" s="277"/>
      <c r="CC76" s="277"/>
      <c r="CD76" s="277"/>
      <c r="CE76" s="277"/>
      <c r="CF76" s="277"/>
      <c r="CG76" s="277"/>
      <c r="CH76" s="277"/>
      <c r="CI76" s="277"/>
      <c r="CJ76" s="277"/>
      <c r="CK76" s="277"/>
      <c r="CL76" s="277"/>
      <c r="CM76" s="277"/>
      <c r="CN76" s="277"/>
      <c r="CO76" s="277"/>
      <c r="CP76" s="277"/>
      <c r="CQ76" s="277"/>
      <c r="CR76" s="277"/>
      <c r="CS76" s="277"/>
      <c r="CT76" s="277"/>
      <c r="CU76" s="277"/>
      <c r="CV76" s="277"/>
      <c r="CW76" s="277"/>
      <c r="CX76" s="277"/>
      <c r="CY76" s="277"/>
      <c r="CZ76" s="277"/>
      <c r="DA76" s="277"/>
      <c r="DB76" s="277"/>
      <c r="DC76" s="277"/>
      <c r="DD76" s="277"/>
      <c r="DE76" s="277"/>
      <c r="DF76" s="277"/>
      <c r="DG76" s="277"/>
      <c r="DH76" s="277"/>
      <c r="DI76" s="277"/>
      <c r="DJ76" s="277"/>
      <c r="DK76" s="277"/>
      <c r="DL76" s="277"/>
      <c r="DM76" s="277"/>
      <c r="DN76" s="277"/>
      <c r="DO76" s="277"/>
      <c r="DP76" s="277"/>
      <c r="DQ76" s="277"/>
      <c r="DR76" s="277"/>
      <c r="DS76" s="277"/>
      <c r="DT76" s="277"/>
      <c r="DU76" s="277"/>
      <c r="DV76" s="277"/>
      <c r="DW76" s="277"/>
      <c r="DX76" s="277"/>
      <c r="DY76" s="277"/>
      <c r="DZ76" s="277"/>
      <c r="EA76" s="277"/>
      <c r="EB76" s="277"/>
      <c r="EC76" s="277"/>
      <c r="ED76" s="277"/>
      <c r="EE76" s="277"/>
      <c r="EF76" s="277"/>
      <c r="EG76" s="277"/>
      <c r="EH76" s="277"/>
      <c r="EI76" s="277"/>
      <c r="EJ76" s="277"/>
      <c r="EK76" s="277"/>
      <c r="EL76" s="277"/>
      <c r="EM76" s="277"/>
      <c r="EN76" s="277"/>
      <c r="EO76" s="277"/>
      <c r="EP76" s="277"/>
      <c r="EQ76" s="277"/>
      <c r="ER76" s="277"/>
      <c r="ES76" s="277"/>
      <c r="ET76" s="277"/>
      <c r="EU76" s="277"/>
      <c r="EV76" s="277"/>
      <c r="EW76" s="277"/>
      <c r="EX76" s="277"/>
      <c r="EY76" s="277"/>
      <c r="EZ76" s="277"/>
      <c r="FA76" s="277"/>
      <c r="FB76" s="277"/>
      <c r="FC76" s="277"/>
      <c r="FD76" s="277"/>
      <c r="FE76" s="277"/>
      <c r="FF76" s="277"/>
      <c r="FG76" s="277"/>
      <c r="FH76" s="277"/>
      <c r="FI76" s="277"/>
      <c r="FJ76" s="277"/>
      <c r="FK76" s="277"/>
      <c r="FL76" s="277"/>
      <c r="FM76" s="277"/>
      <c r="FN76" s="277"/>
      <c r="FO76" s="277"/>
      <c r="FP76" s="277"/>
      <c r="FQ76" s="277"/>
      <c r="FR76" s="277"/>
      <c r="FS76" s="277"/>
      <c r="FT76" s="277"/>
      <c r="FU76" s="277"/>
      <c r="FV76" s="277"/>
      <c r="FW76" s="277"/>
      <c r="FX76" s="277"/>
      <c r="FY76" s="277"/>
      <c r="FZ76" s="277"/>
      <c r="GA76" s="277"/>
      <c r="GB76" s="277"/>
      <c r="GC76" s="277"/>
      <c r="GD76" s="277"/>
      <c r="GE76" s="277"/>
      <c r="GF76" s="277"/>
      <c r="GG76" s="277"/>
      <c r="GH76" s="277"/>
      <c r="GI76" s="277"/>
      <c r="GJ76" s="277"/>
      <c r="GK76" s="277"/>
      <c r="GL76" s="277"/>
      <c r="GM76" s="277"/>
      <c r="GN76" s="277"/>
      <c r="GO76" s="277"/>
      <c r="GP76" s="277"/>
      <c r="GQ76" s="277"/>
      <c r="GR76" s="277"/>
      <c r="GS76" s="277"/>
      <c r="GT76" s="277"/>
      <c r="GU76" s="277"/>
      <c r="GV76" s="277"/>
      <c r="GW76" s="277"/>
      <c r="GX76" s="277"/>
      <c r="GY76" s="277"/>
      <c r="GZ76" s="277"/>
      <c r="HA76" s="277"/>
      <c r="HB76" s="277"/>
      <c r="HC76" s="277"/>
      <c r="HD76" s="277"/>
      <c r="HE76" s="277"/>
      <c r="HF76" s="277"/>
      <c r="HG76" s="277"/>
      <c r="HH76" s="277"/>
      <c r="HI76" s="277"/>
      <c r="HJ76" s="277"/>
      <c r="HK76" s="277"/>
      <c r="HL76" s="277"/>
      <c r="HM76" s="277"/>
      <c r="HN76" s="277"/>
      <c r="HO76" s="277"/>
      <c r="HP76" s="277"/>
      <c r="HQ76" s="277"/>
      <c r="HR76" s="277"/>
      <c r="HS76" s="277"/>
      <c r="HT76" s="277"/>
      <c r="HU76" s="277"/>
      <c r="HV76" s="277"/>
      <c r="HW76" s="277"/>
      <c r="HX76" s="277"/>
      <c r="HY76" s="277"/>
      <c r="HZ76" s="277"/>
      <c r="IA76" s="277"/>
      <c r="IB76" s="277"/>
      <c r="IC76" s="277"/>
      <c r="ID76" s="277"/>
      <c r="IE76" s="277"/>
      <c r="IF76" s="277"/>
      <c r="IG76" s="277"/>
      <c r="IH76" s="277"/>
      <c r="II76" s="277"/>
      <c r="IJ76" s="277"/>
      <c r="IK76" s="277"/>
      <c r="IL76" s="277"/>
      <c r="IM76" s="277"/>
      <c r="IN76" s="277"/>
      <c r="IO76" s="277"/>
      <c r="IP76" s="277"/>
      <c r="IQ76" s="277"/>
      <c r="IR76" s="277"/>
      <c r="IS76" s="277"/>
      <c r="IT76" s="277"/>
      <c r="IU76" s="277"/>
      <c r="IV76" s="277"/>
      <c r="IW76" s="277"/>
      <c r="IX76" s="277"/>
      <c r="IY76" s="277"/>
      <c r="IZ76" s="277"/>
      <c r="JA76" s="277"/>
      <c r="JB76" s="277"/>
      <c r="JC76" s="277"/>
      <c r="JD76" s="277"/>
      <c r="JE76" s="277"/>
      <c r="JF76" s="277"/>
    </row>
    <row r="77" spans="17:266" x14ac:dyDescent="0.2">
      <c r="Q77" s="277"/>
      <c r="R77" s="277"/>
      <c r="S77" s="1060"/>
      <c r="X77" s="1059"/>
      <c r="Y77" s="1059"/>
      <c r="Z77" s="277"/>
      <c r="AA77" s="277"/>
      <c r="AB77" s="277"/>
      <c r="AC77" s="277"/>
      <c r="AD77" s="277"/>
      <c r="AE77" s="277"/>
      <c r="AF77" s="277"/>
      <c r="AG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c r="BU77" s="277"/>
      <c r="BV77" s="277"/>
      <c r="BW77" s="277"/>
      <c r="BX77" s="277"/>
      <c r="BY77" s="277"/>
      <c r="BZ77" s="277"/>
      <c r="CA77" s="277"/>
      <c r="CB77" s="277"/>
      <c r="CC77" s="277"/>
      <c r="CD77" s="277"/>
      <c r="CE77" s="277"/>
      <c r="CF77" s="277"/>
      <c r="CG77" s="277"/>
      <c r="CH77" s="277"/>
      <c r="CI77" s="277"/>
      <c r="CJ77" s="277"/>
      <c r="CK77" s="277"/>
      <c r="CL77" s="277"/>
      <c r="CM77" s="277"/>
      <c r="CN77" s="277"/>
      <c r="CO77" s="277"/>
      <c r="CP77" s="277"/>
      <c r="CQ77" s="277"/>
      <c r="CR77" s="277"/>
      <c r="CS77" s="277"/>
      <c r="CT77" s="277"/>
      <c r="CU77" s="277"/>
      <c r="CV77" s="277"/>
      <c r="CW77" s="277"/>
      <c r="CX77" s="277"/>
      <c r="CY77" s="277"/>
      <c r="CZ77" s="277"/>
      <c r="DA77" s="277"/>
      <c r="DB77" s="277"/>
      <c r="DC77" s="277"/>
      <c r="DD77" s="277"/>
      <c r="DE77" s="277"/>
      <c r="DF77" s="277"/>
      <c r="DG77" s="277"/>
      <c r="DH77" s="277"/>
      <c r="DI77" s="277"/>
      <c r="DJ77" s="277"/>
      <c r="DK77" s="277"/>
      <c r="DL77" s="277"/>
      <c r="DM77" s="277"/>
      <c r="DN77" s="277"/>
      <c r="DO77" s="277"/>
      <c r="DP77" s="277"/>
      <c r="DQ77" s="277"/>
      <c r="DR77" s="277"/>
      <c r="DS77" s="277"/>
      <c r="DT77" s="277"/>
      <c r="DU77" s="277"/>
      <c r="DV77" s="277"/>
      <c r="DW77" s="277"/>
      <c r="DX77" s="277"/>
      <c r="DY77" s="277"/>
      <c r="DZ77" s="277"/>
      <c r="EA77" s="277"/>
      <c r="EB77" s="277"/>
      <c r="EC77" s="277"/>
      <c r="ED77" s="277"/>
      <c r="EE77" s="277"/>
      <c r="EF77" s="277"/>
      <c r="EG77" s="277"/>
      <c r="EH77" s="277"/>
      <c r="EI77" s="277"/>
      <c r="EJ77" s="277"/>
      <c r="EK77" s="277"/>
      <c r="EL77" s="277"/>
      <c r="EM77" s="277"/>
      <c r="EN77" s="277"/>
      <c r="EO77" s="277"/>
      <c r="EP77" s="277"/>
      <c r="EQ77" s="277"/>
      <c r="ER77" s="277"/>
      <c r="ES77" s="277"/>
      <c r="ET77" s="277"/>
      <c r="EU77" s="277"/>
      <c r="EV77" s="277"/>
      <c r="EW77" s="277"/>
      <c r="EX77" s="277"/>
      <c r="EY77" s="277"/>
      <c r="EZ77" s="277"/>
      <c r="FA77" s="277"/>
      <c r="FB77" s="277"/>
      <c r="FC77" s="277"/>
      <c r="FD77" s="277"/>
      <c r="FE77" s="277"/>
      <c r="FF77" s="277"/>
      <c r="FG77" s="277"/>
      <c r="FH77" s="277"/>
      <c r="FI77" s="277"/>
      <c r="FJ77" s="277"/>
      <c r="FK77" s="277"/>
      <c r="FL77" s="277"/>
      <c r="FM77" s="277"/>
      <c r="FN77" s="277"/>
      <c r="FO77" s="277"/>
      <c r="FP77" s="277"/>
      <c r="FQ77" s="277"/>
      <c r="FR77" s="277"/>
      <c r="FS77" s="277"/>
      <c r="FT77" s="277"/>
      <c r="FU77" s="277"/>
      <c r="FV77" s="277"/>
      <c r="FW77" s="277"/>
      <c r="FX77" s="277"/>
      <c r="FY77" s="277"/>
      <c r="FZ77" s="277"/>
      <c r="GA77" s="277"/>
      <c r="GB77" s="277"/>
      <c r="GC77" s="277"/>
      <c r="GD77" s="277"/>
      <c r="GE77" s="277"/>
      <c r="GF77" s="277"/>
      <c r="GG77" s="277"/>
      <c r="GH77" s="277"/>
      <c r="GI77" s="277"/>
      <c r="GJ77" s="277"/>
      <c r="GK77" s="277"/>
      <c r="GL77" s="277"/>
      <c r="GM77" s="277"/>
      <c r="GN77" s="277"/>
      <c r="GO77" s="277"/>
      <c r="GP77" s="277"/>
      <c r="GQ77" s="277"/>
      <c r="GR77" s="277"/>
      <c r="GS77" s="277"/>
      <c r="GT77" s="277"/>
      <c r="GU77" s="277"/>
      <c r="GV77" s="277"/>
      <c r="GW77" s="277"/>
      <c r="GX77" s="277"/>
      <c r="GY77" s="277"/>
      <c r="GZ77" s="277"/>
      <c r="HA77" s="277"/>
      <c r="HB77" s="277"/>
      <c r="HC77" s="277"/>
      <c r="HD77" s="277"/>
      <c r="HE77" s="277"/>
      <c r="HF77" s="277"/>
      <c r="HG77" s="277"/>
      <c r="HH77" s="277"/>
      <c r="HI77" s="277"/>
      <c r="HJ77" s="277"/>
      <c r="HK77" s="277"/>
      <c r="HL77" s="277"/>
      <c r="HM77" s="277"/>
      <c r="HN77" s="277"/>
      <c r="HO77" s="277"/>
      <c r="HP77" s="277"/>
      <c r="HQ77" s="277"/>
      <c r="HR77" s="277"/>
      <c r="HS77" s="277"/>
      <c r="HT77" s="277"/>
      <c r="HU77" s="277"/>
      <c r="HV77" s="277"/>
      <c r="HW77" s="277"/>
      <c r="HX77" s="277"/>
      <c r="HY77" s="277"/>
      <c r="HZ77" s="277"/>
      <c r="IA77" s="277"/>
      <c r="IB77" s="277"/>
      <c r="IC77" s="277"/>
      <c r="ID77" s="277"/>
      <c r="IE77" s="277"/>
      <c r="IF77" s="277"/>
      <c r="IG77" s="277"/>
      <c r="IH77" s="277"/>
      <c r="II77" s="277"/>
      <c r="IJ77" s="277"/>
      <c r="IK77" s="277"/>
      <c r="IL77" s="277"/>
      <c r="IM77" s="277"/>
      <c r="IN77" s="277"/>
      <c r="IO77" s="277"/>
      <c r="IP77" s="277"/>
      <c r="IQ77" s="277"/>
      <c r="IR77" s="277"/>
      <c r="IS77" s="277"/>
      <c r="IT77" s="277"/>
      <c r="IU77" s="277"/>
      <c r="IV77" s="277"/>
      <c r="IW77" s="277"/>
      <c r="IX77" s="277"/>
      <c r="IY77" s="277"/>
      <c r="IZ77" s="277"/>
      <c r="JA77" s="277"/>
      <c r="JB77" s="277"/>
      <c r="JC77" s="277"/>
      <c r="JD77" s="277"/>
      <c r="JE77" s="277"/>
      <c r="JF77" s="277"/>
    </row>
    <row r="78" spans="17:266" x14ac:dyDescent="0.2">
      <c r="Q78" s="277"/>
      <c r="R78" s="277"/>
      <c r="S78" s="1060"/>
      <c r="X78" s="1059"/>
      <c r="Y78" s="1059"/>
      <c r="Z78" s="277"/>
      <c r="AA78" s="277"/>
      <c r="AB78" s="277"/>
      <c r="AC78" s="277"/>
      <c r="AD78" s="277"/>
      <c r="AE78" s="277"/>
      <c r="AF78" s="277"/>
      <c r="AG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c r="BU78" s="277"/>
      <c r="BV78" s="277"/>
      <c r="BW78" s="277"/>
      <c r="BX78" s="277"/>
      <c r="BY78" s="277"/>
      <c r="BZ78" s="277"/>
      <c r="CA78" s="277"/>
      <c r="CB78" s="277"/>
      <c r="CC78" s="277"/>
      <c r="CD78" s="277"/>
      <c r="CE78" s="277"/>
      <c r="CF78" s="277"/>
      <c r="CG78" s="277"/>
      <c r="CH78" s="277"/>
      <c r="CI78" s="277"/>
      <c r="CJ78" s="277"/>
      <c r="CK78" s="277"/>
      <c r="CL78" s="277"/>
      <c r="CM78" s="277"/>
      <c r="CN78" s="277"/>
      <c r="CO78" s="277"/>
      <c r="CP78" s="277"/>
      <c r="CQ78" s="277"/>
      <c r="CR78" s="277"/>
      <c r="CS78" s="277"/>
      <c r="CT78" s="277"/>
      <c r="CU78" s="277"/>
      <c r="CV78" s="277"/>
      <c r="CW78" s="277"/>
      <c r="CX78" s="277"/>
      <c r="CY78" s="277"/>
      <c r="CZ78" s="277"/>
      <c r="DA78" s="277"/>
      <c r="DB78" s="277"/>
      <c r="DC78" s="277"/>
      <c r="DD78" s="277"/>
      <c r="DE78" s="277"/>
      <c r="DF78" s="277"/>
      <c r="DG78" s="277"/>
      <c r="DH78" s="277"/>
      <c r="DI78" s="277"/>
      <c r="DJ78" s="277"/>
      <c r="DK78" s="277"/>
      <c r="DL78" s="277"/>
      <c r="DM78" s="277"/>
      <c r="DN78" s="277"/>
      <c r="DO78" s="277"/>
      <c r="DP78" s="277"/>
      <c r="DQ78" s="277"/>
      <c r="DR78" s="277"/>
      <c r="DS78" s="277"/>
      <c r="DT78" s="277"/>
      <c r="DU78" s="277"/>
      <c r="DV78" s="277"/>
      <c r="DW78" s="277"/>
      <c r="DX78" s="277"/>
      <c r="DY78" s="277"/>
      <c r="DZ78" s="277"/>
      <c r="EA78" s="277"/>
      <c r="EB78" s="277"/>
      <c r="EC78" s="277"/>
      <c r="ED78" s="277"/>
      <c r="EE78" s="277"/>
      <c r="EF78" s="277"/>
      <c r="EG78" s="277"/>
      <c r="EH78" s="277"/>
      <c r="EI78" s="277"/>
      <c r="EJ78" s="277"/>
      <c r="EK78" s="277"/>
      <c r="EL78" s="277"/>
      <c r="EM78" s="277"/>
      <c r="EN78" s="277"/>
      <c r="EO78" s="277"/>
      <c r="EP78" s="277"/>
      <c r="EQ78" s="277"/>
      <c r="ER78" s="277"/>
      <c r="ES78" s="277"/>
      <c r="ET78" s="277"/>
      <c r="EU78" s="277"/>
      <c r="EV78" s="277"/>
      <c r="EW78" s="277"/>
      <c r="EX78" s="277"/>
      <c r="EY78" s="277"/>
      <c r="EZ78" s="277"/>
      <c r="FA78" s="277"/>
      <c r="FB78" s="277"/>
      <c r="FC78" s="277"/>
      <c r="FD78" s="277"/>
      <c r="FE78" s="277"/>
      <c r="FF78" s="277"/>
      <c r="FG78" s="277"/>
      <c r="FH78" s="277"/>
      <c r="FI78" s="277"/>
      <c r="FJ78" s="277"/>
      <c r="FK78" s="277"/>
      <c r="FL78" s="277"/>
      <c r="FM78" s="277"/>
      <c r="FN78" s="277"/>
      <c r="FO78" s="277"/>
      <c r="FP78" s="277"/>
      <c r="FQ78" s="277"/>
      <c r="FR78" s="277"/>
      <c r="FS78" s="277"/>
      <c r="FT78" s="277"/>
      <c r="FU78" s="277"/>
      <c r="FV78" s="277"/>
      <c r="FW78" s="277"/>
      <c r="FX78" s="277"/>
      <c r="FY78" s="277"/>
      <c r="FZ78" s="277"/>
      <c r="GA78" s="277"/>
      <c r="GB78" s="277"/>
      <c r="GC78" s="277"/>
      <c r="GD78" s="277"/>
      <c r="GE78" s="277"/>
      <c r="GF78" s="277"/>
      <c r="GG78" s="277"/>
      <c r="GH78" s="277"/>
      <c r="GI78" s="277"/>
      <c r="GJ78" s="277"/>
      <c r="GK78" s="277"/>
      <c r="GL78" s="277"/>
      <c r="GM78" s="277"/>
      <c r="GN78" s="277"/>
      <c r="GO78" s="277"/>
      <c r="GP78" s="277"/>
      <c r="GQ78" s="277"/>
      <c r="GR78" s="277"/>
      <c r="GS78" s="277"/>
      <c r="GT78" s="277"/>
      <c r="GU78" s="277"/>
      <c r="GV78" s="277"/>
      <c r="GW78" s="277"/>
      <c r="GX78" s="277"/>
      <c r="GY78" s="277"/>
      <c r="GZ78" s="277"/>
      <c r="HA78" s="277"/>
      <c r="HB78" s="277"/>
      <c r="HC78" s="277"/>
      <c r="HD78" s="277"/>
      <c r="HE78" s="277"/>
      <c r="HF78" s="277"/>
      <c r="HG78" s="277"/>
      <c r="HH78" s="277"/>
      <c r="HI78" s="277"/>
      <c r="HJ78" s="277"/>
      <c r="HK78" s="277"/>
      <c r="HL78" s="277"/>
      <c r="HM78" s="277"/>
      <c r="HN78" s="277"/>
      <c r="HO78" s="277"/>
      <c r="HP78" s="277"/>
      <c r="HQ78" s="277"/>
      <c r="HR78" s="277"/>
      <c r="HS78" s="277"/>
      <c r="HT78" s="277"/>
      <c r="HU78" s="277"/>
      <c r="HV78" s="277"/>
      <c r="HW78" s="277"/>
      <c r="HX78" s="277"/>
      <c r="HY78" s="277"/>
      <c r="HZ78" s="277"/>
      <c r="IA78" s="277"/>
      <c r="IB78" s="277"/>
      <c r="IC78" s="277"/>
      <c r="ID78" s="277"/>
      <c r="IE78" s="277"/>
      <c r="IF78" s="277"/>
      <c r="IG78" s="277"/>
      <c r="IH78" s="277"/>
      <c r="II78" s="277"/>
      <c r="IJ78" s="277"/>
      <c r="IK78" s="277"/>
      <c r="IL78" s="277"/>
      <c r="IM78" s="277"/>
      <c r="IN78" s="277"/>
      <c r="IO78" s="277"/>
      <c r="IP78" s="277"/>
      <c r="IQ78" s="277"/>
      <c r="IR78" s="277"/>
      <c r="IS78" s="277"/>
      <c r="IT78" s="277"/>
      <c r="IU78" s="277"/>
      <c r="IV78" s="277"/>
      <c r="IW78" s="277"/>
      <c r="IX78" s="277"/>
      <c r="IY78" s="277"/>
      <c r="IZ78" s="277"/>
      <c r="JA78" s="277"/>
      <c r="JB78" s="277"/>
      <c r="JC78" s="277"/>
      <c r="JD78" s="277"/>
      <c r="JE78" s="277"/>
      <c r="JF78" s="277"/>
    </row>
    <row r="79" spans="17:266" x14ac:dyDescent="0.2">
      <c r="Q79" s="277"/>
      <c r="R79" s="277"/>
      <c r="S79" s="1060"/>
      <c r="X79" s="1059"/>
      <c r="Y79" s="1059"/>
      <c r="Z79" s="277"/>
      <c r="AA79" s="277"/>
      <c r="AB79" s="277"/>
      <c r="AC79" s="277"/>
      <c r="AD79" s="277"/>
      <c r="AE79" s="277"/>
      <c r="AF79" s="277"/>
      <c r="AG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7"/>
      <c r="CA79" s="277"/>
      <c r="CB79" s="277"/>
      <c r="CC79" s="277"/>
      <c r="CD79" s="277"/>
      <c r="CE79" s="277"/>
      <c r="CF79" s="277"/>
      <c r="CG79" s="277"/>
      <c r="CH79" s="277"/>
      <c r="CI79" s="277"/>
      <c r="CJ79" s="277"/>
      <c r="CK79" s="277"/>
      <c r="CL79" s="277"/>
      <c r="CM79" s="277"/>
      <c r="CN79" s="277"/>
      <c r="CO79" s="277"/>
      <c r="CP79" s="277"/>
      <c r="CQ79" s="277"/>
      <c r="CR79" s="277"/>
      <c r="CS79" s="277"/>
      <c r="CT79" s="277"/>
      <c r="CU79" s="277"/>
      <c r="CV79" s="277"/>
      <c r="CW79" s="277"/>
      <c r="CX79" s="277"/>
      <c r="CY79" s="277"/>
      <c r="CZ79" s="277"/>
      <c r="DA79" s="277"/>
      <c r="DB79" s="277"/>
      <c r="DC79" s="277"/>
      <c r="DD79" s="277"/>
      <c r="DE79" s="277"/>
      <c r="DF79" s="277"/>
      <c r="DG79" s="277"/>
      <c r="DH79" s="277"/>
      <c r="DI79" s="277"/>
      <c r="DJ79" s="277"/>
      <c r="DK79" s="277"/>
      <c r="DL79" s="277"/>
      <c r="DM79" s="277"/>
      <c r="DN79" s="277"/>
      <c r="DO79" s="277"/>
      <c r="DP79" s="277"/>
      <c r="DQ79" s="277"/>
      <c r="DR79" s="277"/>
      <c r="DS79" s="277"/>
      <c r="DT79" s="277"/>
      <c r="DU79" s="277"/>
      <c r="DV79" s="277"/>
      <c r="DW79" s="277"/>
      <c r="DX79" s="277"/>
      <c r="DY79" s="277"/>
      <c r="DZ79" s="277"/>
      <c r="EA79" s="277"/>
      <c r="EB79" s="277"/>
      <c r="EC79" s="277"/>
      <c r="ED79" s="277"/>
      <c r="EE79" s="277"/>
      <c r="EF79" s="277"/>
      <c r="EG79" s="277"/>
      <c r="EH79" s="277"/>
      <c r="EI79" s="277"/>
      <c r="EJ79" s="277"/>
      <c r="EK79" s="277"/>
      <c r="EL79" s="277"/>
      <c r="EM79" s="277"/>
      <c r="EN79" s="277"/>
      <c r="EO79" s="277"/>
      <c r="EP79" s="277"/>
      <c r="EQ79" s="277"/>
      <c r="ER79" s="277"/>
      <c r="ES79" s="277"/>
      <c r="ET79" s="277"/>
      <c r="EU79" s="277"/>
      <c r="EV79" s="277"/>
      <c r="EW79" s="277"/>
      <c r="EX79" s="277"/>
      <c r="EY79" s="277"/>
      <c r="EZ79" s="277"/>
      <c r="FA79" s="277"/>
      <c r="FB79" s="277"/>
      <c r="FC79" s="277"/>
      <c r="FD79" s="277"/>
      <c r="FE79" s="277"/>
      <c r="FF79" s="277"/>
      <c r="FG79" s="277"/>
      <c r="FH79" s="277"/>
      <c r="FI79" s="277"/>
      <c r="FJ79" s="277"/>
      <c r="FK79" s="277"/>
      <c r="FL79" s="277"/>
      <c r="FM79" s="277"/>
      <c r="FN79" s="277"/>
      <c r="FO79" s="277"/>
      <c r="FP79" s="277"/>
      <c r="FQ79" s="277"/>
      <c r="FR79" s="277"/>
      <c r="FS79" s="277"/>
      <c r="FT79" s="277"/>
      <c r="FU79" s="277"/>
      <c r="FV79" s="277"/>
      <c r="FW79" s="277"/>
      <c r="FX79" s="277"/>
      <c r="FY79" s="277"/>
      <c r="FZ79" s="277"/>
      <c r="GA79" s="277"/>
      <c r="GB79" s="277"/>
      <c r="GC79" s="277"/>
      <c r="GD79" s="277"/>
      <c r="GE79" s="277"/>
      <c r="GF79" s="277"/>
      <c r="GG79" s="277"/>
      <c r="GH79" s="277"/>
      <c r="GI79" s="277"/>
      <c r="GJ79" s="277"/>
      <c r="GK79" s="277"/>
      <c r="GL79" s="277"/>
      <c r="GM79" s="277"/>
      <c r="GN79" s="277"/>
      <c r="GO79" s="277"/>
      <c r="GP79" s="277"/>
      <c r="GQ79" s="277"/>
      <c r="GR79" s="277"/>
      <c r="GS79" s="277"/>
      <c r="GT79" s="277"/>
      <c r="GU79" s="277"/>
      <c r="GV79" s="277"/>
      <c r="GW79" s="277"/>
      <c r="GX79" s="277"/>
      <c r="GY79" s="277"/>
      <c r="GZ79" s="277"/>
      <c r="HA79" s="277"/>
      <c r="HB79" s="277"/>
      <c r="HC79" s="277"/>
      <c r="HD79" s="277"/>
      <c r="HE79" s="277"/>
      <c r="HF79" s="277"/>
      <c r="HG79" s="277"/>
      <c r="HH79" s="277"/>
      <c r="HI79" s="277"/>
      <c r="HJ79" s="277"/>
      <c r="HK79" s="277"/>
      <c r="HL79" s="277"/>
      <c r="HM79" s="277"/>
      <c r="HN79" s="277"/>
      <c r="HO79" s="277"/>
      <c r="HP79" s="277"/>
      <c r="HQ79" s="277"/>
      <c r="HR79" s="277"/>
      <c r="HS79" s="277"/>
      <c r="HT79" s="277"/>
      <c r="HU79" s="277"/>
      <c r="HV79" s="277"/>
      <c r="HW79" s="277"/>
      <c r="HX79" s="277"/>
      <c r="HY79" s="277"/>
      <c r="HZ79" s="277"/>
      <c r="IA79" s="277"/>
      <c r="IB79" s="277"/>
      <c r="IC79" s="277"/>
      <c r="ID79" s="277"/>
      <c r="IE79" s="277"/>
      <c r="IF79" s="277"/>
      <c r="IG79" s="277"/>
      <c r="IH79" s="277"/>
      <c r="II79" s="277"/>
      <c r="IJ79" s="277"/>
      <c r="IK79" s="277"/>
      <c r="IL79" s="277"/>
      <c r="IM79" s="277"/>
      <c r="IN79" s="277"/>
      <c r="IO79" s="277"/>
      <c r="IP79" s="277"/>
      <c r="IQ79" s="277"/>
      <c r="IR79" s="277"/>
      <c r="IS79" s="277"/>
      <c r="IT79" s="277"/>
      <c r="IU79" s="277"/>
      <c r="IV79" s="277"/>
      <c r="IW79" s="277"/>
      <c r="IX79" s="277"/>
      <c r="IY79" s="277"/>
      <c r="IZ79" s="277"/>
      <c r="JA79" s="277"/>
      <c r="JB79" s="277"/>
      <c r="JC79" s="277"/>
      <c r="JD79" s="277"/>
      <c r="JE79" s="277"/>
      <c r="JF79" s="277"/>
    </row>
    <row r="80" spans="17:266" x14ac:dyDescent="0.2">
      <c r="Q80" s="276"/>
      <c r="R80" s="276"/>
      <c r="S80" s="1060"/>
      <c r="X80" s="1059"/>
      <c r="Y80" s="1059"/>
      <c r="Z80" s="276"/>
      <c r="AA80" s="276"/>
      <c r="AB80" s="276"/>
      <c r="AC80" s="276"/>
      <c r="AD80" s="276"/>
      <c r="AE80" s="276"/>
      <c r="AF80" s="276"/>
      <c r="AG80" s="276"/>
      <c r="AI80" s="276"/>
      <c r="AJ80" s="276"/>
      <c r="AK80" s="276"/>
      <c r="AL80" s="276"/>
      <c r="AM80" s="276"/>
      <c r="AN80" s="276"/>
      <c r="AO80" s="276"/>
      <c r="AP80" s="276"/>
      <c r="AQ80" s="276"/>
      <c r="AR80" s="276"/>
      <c r="AS80" s="276"/>
      <c r="AT80" s="276"/>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276"/>
      <c r="BW80" s="276"/>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276"/>
      <c r="DI80" s="27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276"/>
      <c r="FG80" s="276"/>
      <c r="FH80" s="276"/>
      <c r="FI80" s="276"/>
      <c r="FJ80" s="276"/>
      <c r="FK80" s="276"/>
      <c r="FL80" s="276"/>
      <c r="FM80" s="276"/>
      <c r="FN80" s="276"/>
      <c r="FO80" s="276"/>
      <c r="FP80" s="276"/>
      <c r="FQ80" s="276"/>
      <c r="FR80" s="276"/>
      <c r="FS80" s="276"/>
      <c r="FT80" s="276"/>
      <c r="FU80" s="276"/>
      <c r="FV80" s="276"/>
      <c r="FW80" s="276"/>
      <c r="FX80" s="276"/>
      <c r="FY80" s="276"/>
      <c r="FZ80" s="276"/>
      <c r="GA80" s="276"/>
      <c r="GB80" s="276"/>
      <c r="GC80" s="276"/>
      <c r="GD80" s="276"/>
      <c r="GE80" s="276"/>
      <c r="GF80" s="276"/>
      <c r="GG80" s="276"/>
      <c r="GH80" s="276"/>
      <c r="GI80" s="276"/>
      <c r="GJ80" s="276"/>
      <c r="GK80" s="276"/>
      <c r="GL80" s="276"/>
      <c r="GM80" s="276"/>
      <c r="GN80" s="276"/>
      <c r="GO80" s="276"/>
      <c r="GP80" s="276"/>
      <c r="GQ80" s="276"/>
      <c r="GR80" s="276"/>
      <c r="GS80" s="276"/>
      <c r="GT80" s="276"/>
      <c r="GU80" s="276"/>
      <c r="GV80" s="276"/>
      <c r="GW80" s="276"/>
      <c r="GX80" s="276"/>
      <c r="GY80" s="276"/>
      <c r="GZ80" s="276"/>
      <c r="HA80" s="276"/>
      <c r="HB80" s="276"/>
      <c r="HC80" s="276"/>
      <c r="HD80" s="276"/>
      <c r="HE80" s="276"/>
      <c r="HF80" s="276"/>
      <c r="HG80" s="276"/>
      <c r="HH80" s="276"/>
      <c r="HI80" s="276"/>
      <c r="HJ80" s="276"/>
      <c r="HK80" s="276"/>
      <c r="HL80" s="276"/>
      <c r="HM80" s="276"/>
      <c r="HN80" s="276"/>
      <c r="HO80" s="276"/>
      <c r="HP80" s="276"/>
      <c r="HQ80" s="276"/>
      <c r="HR80" s="276"/>
      <c r="HS80" s="276"/>
      <c r="HT80" s="276"/>
      <c r="HU80" s="276"/>
      <c r="HV80" s="276"/>
      <c r="HW80" s="276"/>
      <c r="HX80" s="276"/>
      <c r="HY80" s="276"/>
      <c r="HZ80" s="276"/>
      <c r="IA80" s="276"/>
      <c r="IB80" s="276"/>
      <c r="IC80" s="276"/>
      <c r="ID80" s="276"/>
      <c r="IE80" s="276"/>
      <c r="IF80" s="276"/>
      <c r="IG80" s="276"/>
      <c r="IH80" s="276"/>
      <c r="II80" s="276"/>
      <c r="IJ80" s="276"/>
      <c r="IK80" s="276"/>
      <c r="IL80" s="276"/>
      <c r="IM80" s="276"/>
      <c r="IN80" s="276"/>
      <c r="IO80" s="276"/>
      <c r="IP80" s="276"/>
      <c r="IQ80" s="276"/>
      <c r="IR80" s="276"/>
      <c r="IS80" s="276"/>
      <c r="IT80" s="276"/>
      <c r="IU80" s="276"/>
      <c r="IV80" s="276"/>
      <c r="IW80" s="276"/>
      <c r="IX80" s="276"/>
      <c r="IY80" s="276"/>
      <c r="IZ80" s="276"/>
      <c r="JA80" s="276"/>
      <c r="JB80" s="276"/>
      <c r="JC80" s="276"/>
      <c r="JD80" s="276"/>
      <c r="JE80" s="276"/>
      <c r="JF80" s="276"/>
    </row>
    <row r="81" spans="19:34" x14ac:dyDescent="0.2">
      <c r="S81" s="1060"/>
      <c r="X81" s="1059"/>
      <c r="Y81" s="1059"/>
    </row>
    <row r="82" spans="19:34" x14ac:dyDescent="0.2">
      <c r="S82" s="1060"/>
      <c r="X82" s="1059"/>
      <c r="Y82" s="1059"/>
    </row>
    <row r="83" spans="19:34" x14ac:dyDescent="0.2">
      <c r="S83" s="276"/>
      <c r="X83" s="276"/>
      <c r="Y83" s="276"/>
    </row>
    <row r="84" spans="19:34" x14ac:dyDescent="0.2">
      <c r="S84" s="276"/>
      <c r="T84" s="276"/>
      <c r="U84" s="276"/>
      <c r="V84" s="276"/>
      <c r="W84" s="276"/>
      <c r="X84" s="276"/>
      <c r="Y84" s="276"/>
      <c r="AH84" s="276"/>
    </row>
    <row r="85" spans="19:34" x14ac:dyDescent="0.2">
      <c r="T85" s="1047"/>
      <c r="U85" s="1047"/>
      <c r="V85" s="1047"/>
      <c r="W85" s="1047"/>
      <c r="X85" s="1047"/>
      <c r="Y85" s="1047"/>
      <c r="AH85" s="1047"/>
    </row>
    <row r="86" spans="19:34" x14ac:dyDescent="0.2">
      <c r="T86" s="1047"/>
      <c r="U86" s="1047"/>
      <c r="V86" s="1047"/>
      <c r="W86" s="1047"/>
      <c r="X86" s="1047"/>
      <c r="Y86" s="1047"/>
      <c r="AH86" s="1047"/>
    </row>
    <row r="87" spans="19:34" x14ac:dyDescent="0.2">
      <c r="T87" s="1047"/>
      <c r="U87" s="1047"/>
      <c r="V87" s="1047"/>
      <c r="W87" s="1047"/>
      <c r="X87" s="1047"/>
      <c r="Y87" s="1047"/>
      <c r="AH87" s="1047"/>
    </row>
    <row r="88" spans="19:34" x14ac:dyDescent="0.2">
      <c r="T88" s="1047"/>
      <c r="U88" s="1047"/>
      <c r="V88" s="1047"/>
      <c r="W88" s="1047"/>
      <c r="X88" s="1047"/>
      <c r="Y88" s="1047"/>
      <c r="AH88" s="1047"/>
    </row>
    <row r="89" spans="19:34" x14ac:dyDescent="0.2">
      <c r="T89" s="1047"/>
      <c r="U89" s="1047"/>
      <c r="V89" s="1047"/>
      <c r="W89" s="1047"/>
      <c r="X89" s="1047"/>
      <c r="Y89" s="1047"/>
      <c r="AH89" s="1047"/>
    </row>
    <row r="90" spans="19:34" x14ac:dyDescent="0.2">
      <c r="T90" s="1047"/>
      <c r="U90" s="1047"/>
      <c r="V90" s="1047"/>
      <c r="W90" s="1047"/>
      <c r="X90" s="1047"/>
      <c r="Y90" s="1047"/>
      <c r="AH90" s="1047"/>
    </row>
    <row r="91" spans="19:34" x14ac:dyDescent="0.2">
      <c r="T91" s="1047"/>
      <c r="U91" s="1047"/>
      <c r="V91" s="1047"/>
      <c r="W91" s="1047"/>
      <c r="X91" s="1047"/>
      <c r="Y91" s="1047"/>
      <c r="AH91" s="1047"/>
    </row>
    <row r="92" spans="19:34" x14ac:dyDescent="0.2">
      <c r="T92" s="1047"/>
      <c r="U92" s="1047"/>
      <c r="V92" s="1047"/>
      <c r="W92" s="1047"/>
      <c r="X92" s="1047"/>
      <c r="Y92" s="1047"/>
      <c r="AH92" s="1047"/>
    </row>
  </sheetData>
  <phoneticPr fontId="0" type="noConversion"/>
  <printOptions horizontalCentered="1" verticalCentered="1"/>
  <pageMargins left="0.31496062992125984" right="0.27559055118110237" top="0.70866141732283472" bottom="0.15748031496062992" header="0.51181102362204722" footer="0"/>
  <pageSetup paperSize="5" scale="55" orientation="landscape" horizontalDpi="1200" verticalDpi="1200" r:id="rId1"/>
  <headerFooter alignWithMargins="0"/>
  <rowBreaks count="1" manualBreakCount="1">
    <brk id="44" max="16383" man="1"/>
  </rowBreaks>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F720-6062-4C8B-B89E-5B5DE6C94C0D}">
  <sheetPr codeName="Hoja24">
    <pageSetUpPr fitToPage="1"/>
  </sheetPr>
  <dimension ref="A55:AG1482"/>
  <sheetViews>
    <sheetView topLeftCell="F1477" zoomScale="90" zoomScaleNormal="90" zoomScalePageLayoutView="90" workbookViewId="0">
      <selection activeCell="H1483" sqref="H1483"/>
    </sheetView>
  </sheetViews>
  <sheetFormatPr baseColWidth="10" defaultColWidth="11.42578125" defaultRowHeight="12.75" x14ac:dyDescent="0.2"/>
  <cols>
    <col min="1" max="1" width="8.140625" style="1110" customWidth="1"/>
    <col min="2" max="2" width="8" style="1110" customWidth="1"/>
    <col min="3" max="3" width="9.140625" style="1110" bestFit="1" customWidth="1"/>
    <col min="4" max="4" width="18.42578125" style="1110" bestFit="1" customWidth="1"/>
    <col min="5" max="5" width="8.85546875" style="1110" bestFit="1" customWidth="1"/>
    <col min="6" max="6" width="19.28515625" style="1110" customWidth="1"/>
    <col min="7" max="7" width="18.42578125" style="1110" customWidth="1"/>
    <col min="8" max="8" width="9.28515625" style="1110" bestFit="1" customWidth="1"/>
    <col min="9" max="9" width="12.28515625" style="1110" bestFit="1" customWidth="1"/>
    <col min="10" max="10" width="8.7109375" style="1110" bestFit="1" customWidth="1"/>
    <col min="11" max="11" width="17.28515625" style="1110" bestFit="1" customWidth="1"/>
    <col min="12" max="12" width="13.140625" style="1110" customWidth="1"/>
    <col min="13" max="13" width="10.7109375" style="1110" bestFit="1" customWidth="1"/>
    <col min="14" max="14" width="9.85546875" style="1110" customWidth="1"/>
    <col min="15" max="15" width="14.85546875" style="1110" bestFit="1" customWidth="1"/>
    <col min="16" max="16" width="12.7109375" style="1110" customWidth="1"/>
    <col min="17" max="17" width="11.7109375" style="1110" customWidth="1"/>
    <col min="18" max="18" width="7.28515625" style="1110" bestFit="1" customWidth="1"/>
    <col min="19" max="19" width="27.140625" style="1110" customWidth="1"/>
    <col min="20" max="20" width="39.42578125" style="1110" customWidth="1"/>
    <col min="21" max="21" width="14.140625" style="1286" customWidth="1"/>
    <col min="22" max="23" width="13.5703125" style="1286" customWidth="1"/>
    <col min="24" max="16384" width="11.42578125" style="1110"/>
  </cols>
  <sheetData>
    <row r="55" spans="15:16" x14ac:dyDescent="0.2">
      <c r="P55" s="1319"/>
    </row>
    <row r="56" spans="15:16" x14ac:dyDescent="0.2">
      <c r="O56" s="1111"/>
      <c r="P56" s="1319"/>
    </row>
    <row r="57" spans="15:16" x14ac:dyDescent="0.2">
      <c r="O57" s="1111"/>
      <c r="P57" s="1319"/>
    </row>
    <row r="58" spans="15:16" x14ac:dyDescent="0.2">
      <c r="O58" s="1112" t="s">
        <v>7974</v>
      </c>
      <c r="P58" s="1319"/>
    </row>
    <row r="59" spans="15:16" x14ac:dyDescent="0.2">
      <c r="O59" s="1111"/>
      <c r="P59" s="1319"/>
    </row>
    <row r="60" spans="15:16" x14ac:dyDescent="0.2">
      <c r="O60" s="1319" t="s">
        <v>6161</v>
      </c>
      <c r="P60" s="1319">
        <f>COUNTA(U66:U1481)</f>
        <v>1415</v>
      </c>
    </row>
    <row r="61" spans="15:16" x14ac:dyDescent="0.2">
      <c r="O61" s="1319" t="s">
        <v>6162</v>
      </c>
      <c r="P61" s="1319">
        <f>COUNTIF(U66:U1481,"en término")</f>
        <v>783</v>
      </c>
    </row>
    <row r="62" spans="15:16" x14ac:dyDescent="0.2">
      <c r="O62" s="1319" t="s">
        <v>6163</v>
      </c>
      <c r="P62" s="1320">
        <f>+P61/P60</f>
        <v>0.55335689045936398</v>
      </c>
    </row>
    <row r="64" spans="15:16" ht="13.5" thickBot="1" x14ac:dyDescent="0.25"/>
    <row r="65" spans="1:26" s="1321" customFormat="1" ht="18.75" thickBot="1" x14ac:dyDescent="0.2">
      <c r="A65" s="1113" t="s">
        <v>6164</v>
      </c>
      <c r="B65" s="1113" t="s">
        <v>6164</v>
      </c>
      <c r="C65" s="1113" t="s">
        <v>130</v>
      </c>
      <c r="D65" s="1113" t="s">
        <v>4</v>
      </c>
      <c r="E65" s="1113" t="s">
        <v>5</v>
      </c>
      <c r="F65" s="1113" t="s">
        <v>6</v>
      </c>
      <c r="G65" s="1113" t="s">
        <v>7</v>
      </c>
      <c r="H65" s="1114" t="s">
        <v>9</v>
      </c>
      <c r="I65" s="1113" t="s">
        <v>11</v>
      </c>
      <c r="J65" s="1113" t="s">
        <v>12</v>
      </c>
      <c r="K65" s="1113" t="s">
        <v>13</v>
      </c>
      <c r="L65" s="1113" t="s">
        <v>14</v>
      </c>
      <c r="M65" s="1115" t="s">
        <v>16</v>
      </c>
      <c r="N65" s="1116" t="s">
        <v>17</v>
      </c>
      <c r="O65" s="1115" t="s">
        <v>19</v>
      </c>
      <c r="P65" s="1113" t="s">
        <v>20</v>
      </c>
      <c r="Q65" s="1113" t="s">
        <v>21</v>
      </c>
      <c r="R65" s="1115" t="s">
        <v>22</v>
      </c>
      <c r="S65" s="1113" t="s">
        <v>131</v>
      </c>
      <c r="T65" s="1113" t="s">
        <v>30</v>
      </c>
      <c r="U65" s="1113" t="s">
        <v>6165</v>
      </c>
      <c r="V65" s="1113" t="s">
        <v>6166</v>
      </c>
      <c r="W65" s="1113" t="s">
        <v>6167</v>
      </c>
    </row>
    <row r="66" spans="1:26" s="1321" customFormat="1" ht="49.9" customHeight="1" thickBot="1" x14ac:dyDescent="0.2">
      <c r="A66" s="1117">
        <v>2007</v>
      </c>
      <c r="B66" s="1117">
        <v>2007</v>
      </c>
      <c r="C66" s="1118" t="s">
        <v>36</v>
      </c>
      <c r="D66" s="1119" t="s">
        <v>37</v>
      </c>
      <c r="E66" s="1120" t="s">
        <v>1641</v>
      </c>
      <c r="F66" s="1120"/>
      <c r="G66" s="1121">
        <v>7010001</v>
      </c>
      <c r="H66" s="1122">
        <v>3775</v>
      </c>
      <c r="I66" s="1123">
        <v>39085</v>
      </c>
      <c r="J66" s="1124">
        <v>16</v>
      </c>
      <c r="K66" s="1125">
        <f t="shared" ref="K66:K97" si="0">+I66+J66</f>
        <v>39101</v>
      </c>
      <c r="L66" s="1123" t="s">
        <v>41</v>
      </c>
      <c r="M66" s="1123">
        <v>39100</v>
      </c>
      <c r="N66" s="1124">
        <f t="shared" ref="N66:N97" si="1">IF(P66="","",+P66-K66)</f>
        <v>15</v>
      </c>
      <c r="O66" s="1126">
        <v>39108</v>
      </c>
      <c r="P66" s="1127">
        <v>39116</v>
      </c>
      <c r="Q66" s="1127">
        <f>+P66+30</f>
        <v>39146</v>
      </c>
      <c r="R66" s="1124">
        <f t="shared" ref="R66:R129" si="2">IF(Q66="","",+Q66-I66)</f>
        <v>61</v>
      </c>
      <c r="S66" s="1128" t="s">
        <v>53</v>
      </c>
      <c r="T66" s="1129"/>
      <c r="U66" s="1130" t="str">
        <f t="shared" ref="U66:U129" si="3">IF(N66="","",IF(N66&lt;=0,"en término","atrasado"))</f>
        <v>atrasado</v>
      </c>
      <c r="V66" s="1130" t="str">
        <f t="shared" ref="V66:V129" si="4">VLOOKUP(MONTH(M66),$Y$66:$Z$77,2,FALSE)</f>
        <v>Enero</v>
      </c>
      <c r="W66" s="1128">
        <f t="shared" ref="W66:W129" si="5">+IF(U66="atrasado",0)+IF(U66="en término",1)</f>
        <v>0</v>
      </c>
      <c r="Y66" s="1322">
        <v>1</v>
      </c>
      <c r="Z66" s="1322" t="s">
        <v>2968</v>
      </c>
    </row>
    <row r="67" spans="1:26" s="1321" customFormat="1" ht="49.9" customHeight="1" thickBot="1" x14ac:dyDescent="0.2">
      <c r="A67" s="1117">
        <v>2007</v>
      </c>
      <c r="B67" s="1117">
        <v>2007</v>
      </c>
      <c r="C67" s="1118" t="s">
        <v>36</v>
      </c>
      <c r="D67" s="1119" t="s">
        <v>133</v>
      </c>
      <c r="E67" s="1120" t="s">
        <v>1643</v>
      </c>
      <c r="F67" s="1120"/>
      <c r="G67" s="1121">
        <v>4500014635</v>
      </c>
      <c r="H67" s="1122">
        <v>42823</v>
      </c>
      <c r="I67" s="1123">
        <v>39037</v>
      </c>
      <c r="J67" s="1124">
        <v>60</v>
      </c>
      <c r="K67" s="1125">
        <f t="shared" si="0"/>
        <v>39097</v>
      </c>
      <c r="L67" s="1123" t="s">
        <v>41</v>
      </c>
      <c r="M67" s="1123">
        <v>39100</v>
      </c>
      <c r="N67" s="1124">
        <f t="shared" si="1"/>
        <v>39</v>
      </c>
      <c r="O67" s="1126">
        <v>39133</v>
      </c>
      <c r="P67" s="1127">
        <v>39136</v>
      </c>
      <c r="Q67" s="1127">
        <f>+P67+15</f>
        <v>39151</v>
      </c>
      <c r="R67" s="1124">
        <f t="shared" si="2"/>
        <v>114</v>
      </c>
      <c r="S67" s="1128" t="s">
        <v>6168</v>
      </c>
      <c r="T67" s="1129" t="s">
        <v>6169</v>
      </c>
      <c r="U67" s="1130" t="str">
        <f t="shared" si="3"/>
        <v>atrasado</v>
      </c>
      <c r="V67" s="1130" t="str">
        <f t="shared" si="4"/>
        <v>Enero</v>
      </c>
      <c r="W67" s="1128">
        <f t="shared" si="5"/>
        <v>0</v>
      </c>
      <c r="Y67" s="1322">
        <v>2</v>
      </c>
      <c r="Z67" s="1322" t="s">
        <v>2981</v>
      </c>
    </row>
    <row r="68" spans="1:26" s="1321" customFormat="1" ht="49.9" customHeight="1" thickBot="1" x14ac:dyDescent="0.2">
      <c r="A68" s="1117">
        <v>2007</v>
      </c>
      <c r="B68" s="1117">
        <v>2007</v>
      </c>
      <c r="C68" s="1118" t="s">
        <v>36</v>
      </c>
      <c r="D68" s="1119" t="s">
        <v>37</v>
      </c>
      <c r="E68" s="1120" t="s">
        <v>1650</v>
      </c>
      <c r="F68" s="1120"/>
      <c r="G68" s="1121">
        <v>7010003</v>
      </c>
      <c r="H68" s="1122">
        <v>288570</v>
      </c>
      <c r="I68" s="1123">
        <v>39086</v>
      </c>
      <c r="J68" s="1124">
        <v>15</v>
      </c>
      <c r="K68" s="1125">
        <f t="shared" si="0"/>
        <v>39101</v>
      </c>
      <c r="L68" s="1123" t="s">
        <v>41</v>
      </c>
      <c r="M68" s="1123">
        <v>39100</v>
      </c>
      <c r="N68" s="1124">
        <f t="shared" si="1"/>
        <v>15</v>
      </c>
      <c r="O68" s="1126">
        <v>39108</v>
      </c>
      <c r="P68" s="1127">
        <v>39116</v>
      </c>
      <c r="Q68" s="1127">
        <f>+P68+30</f>
        <v>39146</v>
      </c>
      <c r="R68" s="1124">
        <f t="shared" si="2"/>
        <v>60</v>
      </c>
      <c r="S68" s="1128" t="s">
        <v>1651</v>
      </c>
      <c r="T68" s="1129"/>
      <c r="U68" s="1130" t="str">
        <f t="shared" si="3"/>
        <v>atrasado</v>
      </c>
      <c r="V68" s="1130" t="str">
        <f t="shared" si="4"/>
        <v>Enero</v>
      </c>
      <c r="W68" s="1128">
        <f t="shared" si="5"/>
        <v>0</v>
      </c>
      <c r="Y68" s="1322">
        <v>3</v>
      </c>
      <c r="Z68" s="1322" t="s">
        <v>3846</v>
      </c>
    </row>
    <row r="69" spans="1:26" s="1321" customFormat="1" ht="49.9" customHeight="1" thickBot="1" x14ac:dyDescent="0.2">
      <c r="A69" s="1117">
        <v>2007</v>
      </c>
      <c r="B69" s="1117">
        <v>2007</v>
      </c>
      <c r="C69" s="1118" t="s">
        <v>36</v>
      </c>
      <c r="D69" s="1119" t="s">
        <v>37</v>
      </c>
      <c r="E69" s="1120" t="s">
        <v>1653</v>
      </c>
      <c r="F69" s="1120"/>
      <c r="G69" s="1121">
        <v>6110001</v>
      </c>
      <c r="H69" s="1122">
        <v>31827</v>
      </c>
      <c r="I69" s="1123">
        <v>39027</v>
      </c>
      <c r="J69" s="1124">
        <v>90</v>
      </c>
      <c r="K69" s="1125">
        <f t="shared" si="0"/>
        <v>39117</v>
      </c>
      <c r="L69" s="1123" t="s">
        <v>41</v>
      </c>
      <c r="M69" s="1123">
        <v>39100</v>
      </c>
      <c r="N69" s="1124">
        <f t="shared" si="1"/>
        <v>-1</v>
      </c>
      <c r="O69" s="1126"/>
      <c r="P69" s="1127">
        <v>39116</v>
      </c>
      <c r="Q69" s="1127">
        <f>+P69+30</f>
        <v>39146</v>
      </c>
      <c r="R69" s="1124">
        <f t="shared" si="2"/>
        <v>119</v>
      </c>
      <c r="S69" s="1128" t="s">
        <v>70</v>
      </c>
      <c r="T69" s="1129"/>
      <c r="U69" s="1130" t="str">
        <f t="shared" si="3"/>
        <v>en término</v>
      </c>
      <c r="V69" s="1130" t="str">
        <f t="shared" si="4"/>
        <v>Enero</v>
      </c>
      <c r="W69" s="1128">
        <f t="shared" si="5"/>
        <v>1</v>
      </c>
      <c r="Y69" s="1322">
        <v>4</v>
      </c>
      <c r="Z69" s="1322" t="s">
        <v>2929</v>
      </c>
    </row>
    <row r="70" spans="1:26" s="1321" customFormat="1" ht="49.9" customHeight="1" thickBot="1" x14ac:dyDescent="0.2">
      <c r="A70" s="1117">
        <v>2007</v>
      </c>
      <c r="B70" s="1117">
        <v>2007</v>
      </c>
      <c r="C70" s="1118" t="s">
        <v>36</v>
      </c>
      <c r="D70" s="1119" t="s">
        <v>133</v>
      </c>
      <c r="E70" s="1120" t="s">
        <v>1655</v>
      </c>
      <c r="F70" s="1120"/>
      <c r="G70" s="1121">
        <v>4500014736</v>
      </c>
      <c r="H70" s="1122">
        <v>16892</v>
      </c>
      <c r="I70" s="1123">
        <v>39050</v>
      </c>
      <c r="J70" s="1124">
        <v>60</v>
      </c>
      <c r="K70" s="1125">
        <f t="shared" si="0"/>
        <v>39110</v>
      </c>
      <c r="L70" s="1123" t="s">
        <v>41</v>
      </c>
      <c r="M70" s="1123">
        <v>39100</v>
      </c>
      <c r="N70" s="1124">
        <f t="shared" si="1"/>
        <v>26</v>
      </c>
      <c r="O70" s="1126">
        <v>39133</v>
      </c>
      <c r="P70" s="1127">
        <v>39136</v>
      </c>
      <c r="Q70" s="1127">
        <f>+P70+15</f>
        <v>39151</v>
      </c>
      <c r="R70" s="1124">
        <f t="shared" si="2"/>
        <v>101</v>
      </c>
      <c r="S70" s="1128" t="s">
        <v>6168</v>
      </c>
      <c r="T70" s="1129" t="s">
        <v>6169</v>
      </c>
      <c r="U70" s="1130" t="str">
        <f t="shared" si="3"/>
        <v>atrasado</v>
      </c>
      <c r="V70" s="1130" t="str">
        <f t="shared" si="4"/>
        <v>Enero</v>
      </c>
      <c r="W70" s="1128">
        <f t="shared" si="5"/>
        <v>0</v>
      </c>
      <c r="Y70" s="1322">
        <v>5</v>
      </c>
      <c r="Z70" s="1322" t="s">
        <v>2937</v>
      </c>
    </row>
    <row r="71" spans="1:26" s="1321" customFormat="1" ht="49.9" customHeight="1" thickBot="1" x14ac:dyDescent="0.2">
      <c r="A71" s="1117">
        <v>2007</v>
      </c>
      <c r="B71" s="1117">
        <v>2007</v>
      </c>
      <c r="C71" s="1118" t="s">
        <v>36</v>
      </c>
      <c r="D71" s="1119" t="s">
        <v>37</v>
      </c>
      <c r="E71" s="1120" t="s">
        <v>1554</v>
      </c>
      <c r="F71" s="1120"/>
      <c r="G71" s="1121">
        <v>6120003</v>
      </c>
      <c r="H71" s="1122">
        <v>43295</v>
      </c>
      <c r="I71" s="1123">
        <v>39078</v>
      </c>
      <c r="J71" s="1124">
        <v>63</v>
      </c>
      <c r="K71" s="1125">
        <f t="shared" si="0"/>
        <v>39141</v>
      </c>
      <c r="L71" s="1123" t="s">
        <v>41</v>
      </c>
      <c r="M71" s="1123">
        <v>39140</v>
      </c>
      <c r="N71" s="1124">
        <f t="shared" si="1"/>
        <v>31</v>
      </c>
      <c r="O71" s="1126">
        <v>39164</v>
      </c>
      <c r="P71" s="1127">
        <v>39172</v>
      </c>
      <c r="Q71" s="1127">
        <v>39191</v>
      </c>
      <c r="R71" s="1124">
        <f t="shared" si="2"/>
        <v>113</v>
      </c>
      <c r="S71" s="1128" t="s">
        <v>6170</v>
      </c>
      <c r="T71" s="1129" t="s">
        <v>1658</v>
      </c>
      <c r="U71" s="1130" t="str">
        <f t="shared" si="3"/>
        <v>atrasado</v>
      </c>
      <c r="V71" s="1130" t="str">
        <f t="shared" si="4"/>
        <v>Febrero</v>
      </c>
      <c r="W71" s="1128">
        <f t="shared" si="5"/>
        <v>0</v>
      </c>
      <c r="Y71" s="1322">
        <v>6</v>
      </c>
      <c r="Z71" s="1322" t="s">
        <v>2943</v>
      </c>
    </row>
    <row r="72" spans="1:26" s="1321" customFormat="1" ht="49.9" customHeight="1" thickBot="1" x14ac:dyDescent="0.2">
      <c r="A72" s="1117">
        <v>2007</v>
      </c>
      <c r="B72" s="1117">
        <v>2007</v>
      </c>
      <c r="C72" s="1118" t="s">
        <v>36</v>
      </c>
      <c r="D72" s="1119" t="s">
        <v>37</v>
      </c>
      <c r="E72" s="1120" t="s">
        <v>1659</v>
      </c>
      <c r="F72" s="1120"/>
      <c r="G72" s="1121">
        <v>7010005</v>
      </c>
      <c r="H72" s="1122">
        <v>49680</v>
      </c>
      <c r="I72" s="1123">
        <v>39111</v>
      </c>
      <c r="J72" s="1124">
        <v>45</v>
      </c>
      <c r="K72" s="1125">
        <f t="shared" si="0"/>
        <v>39156</v>
      </c>
      <c r="L72" s="1123" t="s">
        <v>41</v>
      </c>
      <c r="M72" s="1123">
        <v>39157</v>
      </c>
      <c r="N72" s="1124">
        <f t="shared" si="1"/>
        <v>16</v>
      </c>
      <c r="O72" s="1126">
        <v>39164</v>
      </c>
      <c r="P72" s="1127">
        <v>39172</v>
      </c>
      <c r="Q72" s="1127">
        <v>39191</v>
      </c>
      <c r="R72" s="1124">
        <f t="shared" si="2"/>
        <v>80</v>
      </c>
      <c r="S72" s="1128" t="s">
        <v>1661</v>
      </c>
      <c r="T72" s="1129"/>
      <c r="U72" s="1130" t="str">
        <f t="shared" si="3"/>
        <v>atrasado</v>
      </c>
      <c r="V72" s="1130" t="str">
        <f t="shared" si="4"/>
        <v>Marzo</v>
      </c>
      <c r="W72" s="1128">
        <f t="shared" si="5"/>
        <v>0</v>
      </c>
      <c r="Y72" s="1322">
        <v>7</v>
      </c>
      <c r="Z72" s="1322" t="s">
        <v>2949</v>
      </c>
    </row>
    <row r="73" spans="1:26" s="1321" customFormat="1" ht="49.9" customHeight="1" thickBot="1" x14ac:dyDescent="0.2">
      <c r="A73" s="1117">
        <v>2007</v>
      </c>
      <c r="B73" s="1117">
        <v>2007</v>
      </c>
      <c r="C73" s="1118" t="s">
        <v>36</v>
      </c>
      <c r="D73" s="1119" t="s">
        <v>37</v>
      </c>
      <c r="E73" s="1120" t="s">
        <v>1662</v>
      </c>
      <c r="F73" s="1120"/>
      <c r="G73" s="1121">
        <v>7020001</v>
      </c>
      <c r="H73" s="1122">
        <v>2447</v>
      </c>
      <c r="I73" s="1123">
        <v>39111</v>
      </c>
      <c r="J73" s="1124">
        <v>45</v>
      </c>
      <c r="K73" s="1125">
        <f t="shared" si="0"/>
        <v>39156</v>
      </c>
      <c r="L73" s="1123" t="s">
        <v>41</v>
      </c>
      <c r="M73" s="1123">
        <v>39157</v>
      </c>
      <c r="N73" s="1124">
        <f t="shared" si="1"/>
        <v>16</v>
      </c>
      <c r="O73" s="1126">
        <v>39164</v>
      </c>
      <c r="P73" s="1127">
        <v>39172</v>
      </c>
      <c r="Q73" s="1127">
        <v>39191</v>
      </c>
      <c r="R73" s="1124">
        <f t="shared" si="2"/>
        <v>80</v>
      </c>
      <c r="S73" s="1128" t="s">
        <v>53</v>
      </c>
      <c r="T73" s="1129"/>
      <c r="U73" s="1130" t="str">
        <f t="shared" si="3"/>
        <v>atrasado</v>
      </c>
      <c r="V73" s="1130" t="str">
        <f t="shared" si="4"/>
        <v>Marzo</v>
      </c>
      <c r="W73" s="1128">
        <f t="shared" si="5"/>
        <v>0</v>
      </c>
      <c r="Y73" s="1322">
        <v>8</v>
      </c>
      <c r="Z73" s="1322" t="s">
        <v>2957</v>
      </c>
    </row>
    <row r="74" spans="1:26" s="1321" customFormat="1" ht="49.9" customHeight="1" thickBot="1" x14ac:dyDescent="0.2">
      <c r="A74" s="1117">
        <v>2007</v>
      </c>
      <c r="B74" s="1117">
        <v>2007</v>
      </c>
      <c r="C74" s="1118" t="s">
        <v>36</v>
      </c>
      <c r="D74" s="1119" t="s">
        <v>133</v>
      </c>
      <c r="E74" s="1120" t="s">
        <v>1663</v>
      </c>
      <c r="F74" s="1121" t="s">
        <v>1664</v>
      </c>
      <c r="G74" s="1121">
        <v>4501396608</v>
      </c>
      <c r="H74" s="1122">
        <v>237032.4</v>
      </c>
      <c r="I74" s="1123">
        <v>39097</v>
      </c>
      <c r="J74" s="1124">
        <v>98</v>
      </c>
      <c r="K74" s="1125">
        <f t="shared" si="0"/>
        <v>39195</v>
      </c>
      <c r="L74" s="1123" t="s">
        <v>41</v>
      </c>
      <c r="M74" s="1123">
        <v>39206</v>
      </c>
      <c r="N74" s="1124">
        <f t="shared" si="1"/>
        <v>19</v>
      </c>
      <c r="O74" s="1126">
        <v>39210</v>
      </c>
      <c r="P74" s="1127">
        <v>39214</v>
      </c>
      <c r="Q74" s="1127">
        <f>+P74+10</f>
        <v>39224</v>
      </c>
      <c r="R74" s="1124">
        <f t="shared" si="2"/>
        <v>127</v>
      </c>
      <c r="S74" s="1128" t="s">
        <v>1666</v>
      </c>
      <c r="T74" s="1129" t="s">
        <v>1670</v>
      </c>
      <c r="U74" s="1130" t="str">
        <f t="shared" si="3"/>
        <v>atrasado</v>
      </c>
      <c r="V74" s="1130" t="str">
        <f t="shared" si="4"/>
        <v>Mayo</v>
      </c>
      <c r="W74" s="1128">
        <f t="shared" si="5"/>
        <v>0</v>
      </c>
      <c r="Y74" s="1322">
        <v>9</v>
      </c>
      <c r="Z74" s="1322" t="s">
        <v>3056</v>
      </c>
    </row>
    <row r="75" spans="1:26" s="1321" customFormat="1" ht="49.9" customHeight="1" thickBot="1" x14ac:dyDescent="0.2">
      <c r="A75" s="1117">
        <v>2007</v>
      </c>
      <c r="B75" s="1117">
        <v>2007</v>
      </c>
      <c r="C75" s="1118" t="s">
        <v>36</v>
      </c>
      <c r="D75" s="1119" t="s">
        <v>133</v>
      </c>
      <c r="E75" s="1120" t="s">
        <v>1663</v>
      </c>
      <c r="F75" s="1121" t="s">
        <v>1664</v>
      </c>
      <c r="G75" s="1121">
        <v>4501405029</v>
      </c>
      <c r="H75" s="1122">
        <v>88226.92</v>
      </c>
      <c r="I75" s="1123">
        <v>39101</v>
      </c>
      <c r="J75" s="1124">
        <v>96</v>
      </c>
      <c r="K75" s="1125">
        <f t="shared" si="0"/>
        <v>39197</v>
      </c>
      <c r="L75" s="1123" t="s">
        <v>41</v>
      </c>
      <c r="M75" s="1123">
        <v>39206</v>
      </c>
      <c r="N75" s="1124">
        <f t="shared" si="1"/>
        <v>17</v>
      </c>
      <c r="O75" s="1126">
        <v>39210</v>
      </c>
      <c r="P75" s="1127">
        <v>39214</v>
      </c>
      <c r="Q75" s="1127">
        <f>+P75+10</f>
        <v>39224</v>
      </c>
      <c r="R75" s="1124">
        <f t="shared" si="2"/>
        <v>123</v>
      </c>
      <c r="S75" s="1128" t="s">
        <v>1671</v>
      </c>
      <c r="T75" s="1129" t="s">
        <v>1670</v>
      </c>
      <c r="U75" s="1130" t="str">
        <f t="shared" si="3"/>
        <v>atrasado</v>
      </c>
      <c r="V75" s="1130" t="str">
        <f t="shared" si="4"/>
        <v>Mayo</v>
      </c>
      <c r="W75" s="1128">
        <f t="shared" si="5"/>
        <v>0</v>
      </c>
      <c r="Y75" s="1322">
        <v>10</v>
      </c>
      <c r="Z75" s="1322" t="s">
        <v>3067</v>
      </c>
    </row>
    <row r="76" spans="1:26" s="1321" customFormat="1" ht="49.9" customHeight="1" thickBot="1" x14ac:dyDescent="0.2">
      <c r="A76" s="1117">
        <v>2007</v>
      </c>
      <c r="B76" s="1117">
        <v>2007</v>
      </c>
      <c r="C76" s="1118" t="s">
        <v>36</v>
      </c>
      <c r="D76" s="1119" t="s">
        <v>133</v>
      </c>
      <c r="E76" s="1120" t="s">
        <v>1334</v>
      </c>
      <c r="F76" s="1121" t="s">
        <v>1335</v>
      </c>
      <c r="G76" s="1121">
        <v>4501459714</v>
      </c>
      <c r="H76" s="1122">
        <v>17465.63</v>
      </c>
      <c r="I76" s="1123">
        <v>39139</v>
      </c>
      <c r="J76" s="1124">
        <v>59</v>
      </c>
      <c r="K76" s="1125">
        <f t="shared" si="0"/>
        <v>39198</v>
      </c>
      <c r="L76" s="1123" t="s">
        <v>41</v>
      </c>
      <c r="M76" s="1123">
        <v>39206</v>
      </c>
      <c r="N76" s="1124">
        <f t="shared" si="1"/>
        <v>16</v>
      </c>
      <c r="O76" s="1126">
        <v>39210</v>
      </c>
      <c r="P76" s="1127">
        <v>39214</v>
      </c>
      <c r="Q76" s="1127">
        <f>+P76+10</f>
        <v>39224</v>
      </c>
      <c r="R76" s="1124">
        <f t="shared" si="2"/>
        <v>85</v>
      </c>
      <c r="S76" s="1128" t="s">
        <v>1463</v>
      </c>
      <c r="T76" s="1129" t="s">
        <v>1670</v>
      </c>
      <c r="U76" s="1130" t="str">
        <f t="shared" si="3"/>
        <v>atrasado</v>
      </c>
      <c r="V76" s="1130" t="str">
        <f t="shared" si="4"/>
        <v>Mayo</v>
      </c>
      <c r="W76" s="1128">
        <f t="shared" si="5"/>
        <v>0</v>
      </c>
      <c r="Y76" s="1322">
        <v>11</v>
      </c>
      <c r="Z76" s="1322" t="s">
        <v>3074</v>
      </c>
    </row>
    <row r="77" spans="1:26" s="1321" customFormat="1" ht="49.9" customHeight="1" thickBot="1" x14ac:dyDescent="0.2">
      <c r="A77" s="1117">
        <v>2007</v>
      </c>
      <c r="B77" s="1117">
        <v>2007</v>
      </c>
      <c r="C77" s="1118" t="s">
        <v>36</v>
      </c>
      <c r="D77" s="1119" t="s">
        <v>37</v>
      </c>
      <c r="E77" s="1120" t="s">
        <v>1674</v>
      </c>
      <c r="F77" s="1120"/>
      <c r="G77" s="1121">
        <v>7040001</v>
      </c>
      <c r="H77" s="1122">
        <v>2323</v>
      </c>
      <c r="I77" s="1123">
        <v>39184</v>
      </c>
      <c r="J77" s="1124">
        <v>30</v>
      </c>
      <c r="K77" s="1125">
        <f t="shared" si="0"/>
        <v>39214</v>
      </c>
      <c r="L77" s="1123" t="s">
        <v>41</v>
      </c>
      <c r="M77" s="1123">
        <v>39224</v>
      </c>
      <c r="N77" s="1124">
        <f t="shared" si="1"/>
        <v>18</v>
      </c>
      <c r="O77" s="1126"/>
      <c r="P77" s="1127">
        <v>39232</v>
      </c>
      <c r="Q77" s="1127">
        <v>39237</v>
      </c>
      <c r="R77" s="1124">
        <f t="shared" si="2"/>
        <v>53</v>
      </c>
      <c r="S77" s="1128" t="s">
        <v>1254</v>
      </c>
      <c r="T77" s="1129"/>
      <c r="U77" s="1130" t="str">
        <f t="shared" si="3"/>
        <v>atrasado</v>
      </c>
      <c r="V77" s="1130" t="str">
        <f t="shared" si="4"/>
        <v>Mayo</v>
      </c>
      <c r="W77" s="1128">
        <f t="shared" si="5"/>
        <v>0</v>
      </c>
      <c r="Y77" s="1322">
        <v>12</v>
      </c>
      <c r="Z77" s="1322" t="s">
        <v>3082</v>
      </c>
    </row>
    <row r="78" spans="1:26" s="1321" customFormat="1" ht="49.9" customHeight="1" thickBot="1" x14ac:dyDescent="0.2">
      <c r="A78" s="1117">
        <v>2007</v>
      </c>
      <c r="B78" s="1117">
        <v>2007</v>
      </c>
      <c r="C78" s="1118" t="s">
        <v>36</v>
      </c>
      <c r="D78" s="1119" t="s">
        <v>37</v>
      </c>
      <c r="E78" s="1120" t="s">
        <v>1679</v>
      </c>
      <c r="F78" s="1120"/>
      <c r="G78" s="1121">
        <v>7040004</v>
      </c>
      <c r="H78" s="1122">
        <v>2840</v>
      </c>
      <c r="I78" s="1123">
        <v>39198</v>
      </c>
      <c r="J78" s="1124">
        <v>30</v>
      </c>
      <c r="K78" s="1125">
        <f t="shared" si="0"/>
        <v>39228</v>
      </c>
      <c r="L78" s="1123" t="s">
        <v>41</v>
      </c>
      <c r="M78" s="1123">
        <v>39224</v>
      </c>
      <c r="N78" s="1124">
        <f t="shared" si="1"/>
        <v>4</v>
      </c>
      <c r="O78" s="1126"/>
      <c r="P78" s="1127">
        <v>39232</v>
      </c>
      <c r="Q78" s="1127">
        <v>39234</v>
      </c>
      <c r="R78" s="1124">
        <f t="shared" si="2"/>
        <v>36</v>
      </c>
      <c r="S78" s="1128" t="s">
        <v>1680</v>
      </c>
      <c r="T78" s="1129"/>
      <c r="U78" s="1130" t="str">
        <f t="shared" si="3"/>
        <v>atrasado</v>
      </c>
      <c r="V78" s="1130" t="str">
        <f t="shared" si="4"/>
        <v>Mayo</v>
      </c>
      <c r="W78" s="1128">
        <f t="shared" si="5"/>
        <v>0</v>
      </c>
    </row>
    <row r="79" spans="1:26" s="1321" customFormat="1" ht="49.9" customHeight="1" thickBot="1" x14ac:dyDescent="0.2">
      <c r="A79" s="1117">
        <v>2007</v>
      </c>
      <c r="B79" s="1117">
        <v>2007</v>
      </c>
      <c r="C79" s="1118" t="s">
        <v>36</v>
      </c>
      <c r="D79" s="1119" t="s">
        <v>133</v>
      </c>
      <c r="E79" s="1120" t="s">
        <v>1334</v>
      </c>
      <c r="F79" s="1121" t="s">
        <v>1335</v>
      </c>
      <c r="G79" s="1121">
        <v>4501529732</v>
      </c>
      <c r="H79" s="1122">
        <v>1803.86</v>
      </c>
      <c r="I79" s="1123">
        <v>39182</v>
      </c>
      <c r="J79" s="1124">
        <v>106</v>
      </c>
      <c r="K79" s="1125">
        <f t="shared" si="0"/>
        <v>39288</v>
      </c>
      <c r="L79" s="1123" t="s">
        <v>41</v>
      </c>
      <c r="M79" s="1123">
        <v>39259</v>
      </c>
      <c r="N79" s="1124">
        <f t="shared" si="1"/>
        <v>-13</v>
      </c>
      <c r="O79" s="1126"/>
      <c r="P79" s="1127">
        <v>39275</v>
      </c>
      <c r="Q79" s="1127">
        <f t="shared" ref="Q79:Q85" si="6">+P79+20</f>
        <v>39295</v>
      </c>
      <c r="R79" s="1124">
        <f t="shared" si="2"/>
        <v>113</v>
      </c>
      <c r="S79" s="1128" t="s">
        <v>1463</v>
      </c>
      <c r="T79" s="1129" t="s">
        <v>1684</v>
      </c>
      <c r="U79" s="1130" t="str">
        <f t="shared" si="3"/>
        <v>en término</v>
      </c>
      <c r="V79" s="1130" t="str">
        <f t="shared" si="4"/>
        <v>Junio</v>
      </c>
      <c r="W79" s="1128">
        <f t="shared" si="5"/>
        <v>1</v>
      </c>
    </row>
    <row r="80" spans="1:26" s="1321" customFormat="1" ht="49.9" customHeight="1" thickBot="1" x14ac:dyDescent="0.2">
      <c r="A80" s="1117">
        <v>2007</v>
      </c>
      <c r="B80" s="1117">
        <v>2007</v>
      </c>
      <c r="C80" s="1118" t="s">
        <v>36</v>
      </c>
      <c r="D80" s="1119" t="s">
        <v>133</v>
      </c>
      <c r="E80" s="1120" t="s">
        <v>1663</v>
      </c>
      <c r="F80" s="1121" t="s">
        <v>1664</v>
      </c>
      <c r="G80" s="1121">
        <v>4501522021</v>
      </c>
      <c r="H80" s="1122">
        <v>58015.9</v>
      </c>
      <c r="I80" s="1123">
        <v>39175</v>
      </c>
      <c r="J80" s="1124">
        <v>98</v>
      </c>
      <c r="K80" s="1125">
        <f t="shared" si="0"/>
        <v>39273</v>
      </c>
      <c r="L80" s="1123" t="s">
        <v>41</v>
      </c>
      <c r="M80" s="1123">
        <v>39259</v>
      </c>
      <c r="N80" s="1124">
        <f t="shared" si="1"/>
        <v>2</v>
      </c>
      <c r="O80" s="1126"/>
      <c r="P80" s="1127">
        <v>39275</v>
      </c>
      <c r="Q80" s="1127">
        <f t="shared" si="6"/>
        <v>39295</v>
      </c>
      <c r="R80" s="1124">
        <f t="shared" si="2"/>
        <v>120</v>
      </c>
      <c r="S80" s="1128" t="s">
        <v>1686</v>
      </c>
      <c r="T80" s="1129" t="s">
        <v>1684</v>
      </c>
      <c r="U80" s="1130" t="str">
        <f t="shared" si="3"/>
        <v>atrasado</v>
      </c>
      <c r="V80" s="1130" t="str">
        <f t="shared" si="4"/>
        <v>Junio</v>
      </c>
      <c r="W80" s="1128">
        <f t="shared" si="5"/>
        <v>0</v>
      </c>
    </row>
    <row r="81" spans="1:23" s="1321" customFormat="1" ht="49.9" customHeight="1" thickBot="1" x14ac:dyDescent="0.2">
      <c r="A81" s="1117">
        <v>2007</v>
      </c>
      <c r="B81" s="1117">
        <v>2007</v>
      </c>
      <c r="C81" s="1118" t="s">
        <v>36</v>
      </c>
      <c r="D81" s="1119" t="s">
        <v>133</v>
      </c>
      <c r="E81" s="1120" t="s">
        <v>1663</v>
      </c>
      <c r="F81" s="1121" t="s">
        <v>1664</v>
      </c>
      <c r="G81" s="1121">
        <v>4501490413</v>
      </c>
      <c r="H81" s="1122">
        <v>123169</v>
      </c>
      <c r="I81" s="1123">
        <v>39156</v>
      </c>
      <c r="J81" s="1124">
        <v>102</v>
      </c>
      <c r="K81" s="1125">
        <f t="shared" si="0"/>
        <v>39258</v>
      </c>
      <c r="L81" s="1123" t="s">
        <v>41</v>
      </c>
      <c r="M81" s="1123">
        <v>39259</v>
      </c>
      <c r="N81" s="1124">
        <f t="shared" si="1"/>
        <v>17</v>
      </c>
      <c r="O81" s="1126"/>
      <c r="P81" s="1127">
        <v>39275</v>
      </c>
      <c r="Q81" s="1127">
        <f t="shared" si="6"/>
        <v>39295</v>
      </c>
      <c r="R81" s="1124">
        <f t="shared" si="2"/>
        <v>139</v>
      </c>
      <c r="S81" s="1128" t="s">
        <v>1279</v>
      </c>
      <c r="T81" s="1131" t="s">
        <v>1690</v>
      </c>
      <c r="U81" s="1128" t="str">
        <f t="shared" si="3"/>
        <v>atrasado</v>
      </c>
      <c r="V81" s="1130" t="str">
        <f t="shared" si="4"/>
        <v>Junio</v>
      </c>
      <c r="W81" s="1128">
        <f t="shared" si="5"/>
        <v>0</v>
      </c>
    </row>
    <row r="82" spans="1:23" s="1321" customFormat="1" ht="49.9" customHeight="1" thickBot="1" x14ac:dyDescent="0.2">
      <c r="A82" s="1117">
        <v>2007</v>
      </c>
      <c r="B82" s="1117">
        <v>2007</v>
      </c>
      <c r="C82" s="1118" t="s">
        <v>36</v>
      </c>
      <c r="D82" s="1119" t="s">
        <v>133</v>
      </c>
      <c r="E82" s="1120" t="s">
        <v>1663</v>
      </c>
      <c r="F82" s="1121" t="s">
        <v>1664</v>
      </c>
      <c r="G82" s="1121">
        <v>4501496480</v>
      </c>
      <c r="H82" s="1122">
        <v>296472.38</v>
      </c>
      <c r="I82" s="1123">
        <v>39161</v>
      </c>
      <c r="J82" s="1124">
        <v>97</v>
      </c>
      <c r="K82" s="1125">
        <f t="shared" si="0"/>
        <v>39258</v>
      </c>
      <c r="L82" s="1123" t="s">
        <v>41</v>
      </c>
      <c r="M82" s="1123">
        <v>39259</v>
      </c>
      <c r="N82" s="1124">
        <f t="shared" si="1"/>
        <v>17</v>
      </c>
      <c r="O82" s="1126"/>
      <c r="P82" s="1127">
        <v>39275</v>
      </c>
      <c r="Q82" s="1127">
        <f t="shared" si="6"/>
        <v>39295</v>
      </c>
      <c r="R82" s="1124">
        <f t="shared" si="2"/>
        <v>134</v>
      </c>
      <c r="S82" s="1128" t="s">
        <v>1691</v>
      </c>
      <c r="T82" s="1129" t="s">
        <v>6171</v>
      </c>
      <c r="U82" s="1130" t="str">
        <f t="shared" si="3"/>
        <v>atrasado</v>
      </c>
      <c r="V82" s="1130" t="str">
        <f t="shared" si="4"/>
        <v>Junio</v>
      </c>
      <c r="W82" s="1128">
        <f t="shared" si="5"/>
        <v>0</v>
      </c>
    </row>
    <row r="83" spans="1:23" s="1321" customFormat="1" ht="49.9" customHeight="1" thickBot="1" x14ac:dyDescent="0.2">
      <c r="A83" s="1117">
        <v>2007</v>
      </c>
      <c r="B83" s="1117">
        <v>2007</v>
      </c>
      <c r="C83" s="1118" t="s">
        <v>36</v>
      </c>
      <c r="D83" s="1119" t="s">
        <v>133</v>
      </c>
      <c r="E83" s="1120" t="s">
        <v>1663</v>
      </c>
      <c r="F83" s="1121" t="s">
        <v>1664</v>
      </c>
      <c r="G83" s="1121">
        <v>4501507591</v>
      </c>
      <c r="H83" s="1122">
        <v>93586.59</v>
      </c>
      <c r="I83" s="1123">
        <v>39169</v>
      </c>
      <c r="J83" s="1124">
        <v>93</v>
      </c>
      <c r="K83" s="1125">
        <f t="shared" si="0"/>
        <v>39262</v>
      </c>
      <c r="L83" s="1123" t="s">
        <v>41</v>
      </c>
      <c r="M83" s="1123">
        <v>39259</v>
      </c>
      <c r="N83" s="1124">
        <f t="shared" si="1"/>
        <v>13</v>
      </c>
      <c r="O83" s="1126"/>
      <c r="P83" s="1127">
        <v>39275</v>
      </c>
      <c r="Q83" s="1127">
        <f t="shared" si="6"/>
        <v>39295</v>
      </c>
      <c r="R83" s="1124">
        <f t="shared" si="2"/>
        <v>126</v>
      </c>
      <c r="S83" s="1128" t="s">
        <v>1694</v>
      </c>
      <c r="T83" s="1129" t="s">
        <v>1690</v>
      </c>
      <c r="U83" s="1130" t="str">
        <f t="shared" si="3"/>
        <v>atrasado</v>
      </c>
      <c r="V83" s="1130" t="str">
        <f t="shared" si="4"/>
        <v>Junio</v>
      </c>
      <c r="W83" s="1128">
        <f t="shared" si="5"/>
        <v>0</v>
      </c>
    </row>
    <row r="84" spans="1:23" s="1321" customFormat="1" ht="49.9" customHeight="1" thickBot="1" x14ac:dyDescent="0.2">
      <c r="A84" s="1117">
        <v>2007</v>
      </c>
      <c r="B84" s="1117">
        <v>2007</v>
      </c>
      <c r="C84" s="1118" t="s">
        <v>36</v>
      </c>
      <c r="D84" s="1119" t="s">
        <v>37</v>
      </c>
      <c r="E84" s="1120" t="s">
        <v>1696</v>
      </c>
      <c r="F84" s="1120"/>
      <c r="G84" s="1121">
        <v>7060001</v>
      </c>
      <c r="H84" s="1122">
        <v>960</v>
      </c>
      <c r="I84" s="1123">
        <v>39234</v>
      </c>
      <c r="J84" s="1124">
        <v>30</v>
      </c>
      <c r="K84" s="1125">
        <f t="shared" si="0"/>
        <v>39264</v>
      </c>
      <c r="L84" s="1123" t="s">
        <v>41</v>
      </c>
      <c r="M84" s="1123">
        <v>39259</v>
      </c>
      <c r="N84" s="1124">
        <f t="shared" si="1"/>
        <v>11</v>
      </c>
      <c r="O84" s="1126"/>
      <c r="P84" s="1127">
        <v>39275</v>
      </c>
      <c r="Q84" s="1127">
        <f t="shared" si="6"/>
        <v>39295</v>
      </c>
      <c r="R84" s="1124">
        <f t="shared" si="2"/>
        <v>61</v>
      </c>
      <c r="S84" s="1128" t="s">
        <v>1697</v>
      </c>
      <c r="T84" s="1131" t="s">
        <v>1698</v>
      </c>
      <c r="U84" s="1128" t="str">
        <f t="shared" si="3"/>
        <v>atrasado</v>
      </c>
      <c r="V84" s="1130" t="str">
        <f t="shared" si="4"/>
        <v>Junio</v>
      </c>
      <c r="W84" s="1128">
        <f t="shared" si="5"/>
        <v>0</v>
      </c>
    </row>
    <row r="85" spans="1:23" s="1321" customFormat="1" ht="49.9" customHeight="1" thickBot="1" x14ac:dyDescent="0.2">
      <c r="A85" s="1117">
        <v>2007</v>
      </c>
      <c r="B85" s="1117">
        <v>2007</v>
      </c>
      <c r="C85" s="1118" t="s">
        <v>36</v>
      </c>
      <c r="D85" s="1119" t="s">
        <v>37</v>
      </c>
      <c r="E85" s="1120" t="s">
        <v>1699</v>
      </c>
      <c r="F85" s="1120"/>
      <c r="G85" s="1121">
        <v>7050005</v>
      </c>
      <c r="H85" s="1122">
        <v>15050</v>
      </c>
      <c r="I85" s="1123">
        <v>39210</v>
      </c>
      <c r="J85" s="1124">
        <v>60</v>
      </c>
      <c r="K85" s="1125">
        <f t="shared" si="0"/>
        <v>39270</v>
      </c>
      <c r="L85" s="1123" t="s">
        <v>41</v>
      </c>
      <c r="M85" s="1123">
        <v>39259</v>
      </c>
      <c r="N85" s="1124">
        <f t="shared" si="1"/>
        <v>5</v>
      </c>
      <c r="O85" s="1126"/>
      <c r="P85" s="1127">
        <v>39275</v>
      </c>
      <c r="Q85" s="1127">
        <f t="shared" si="6"/>
        <v>39295</v>
      </c>
      <c r="R85" s="1124">
        <f t="shared" si="2"/>
        <v>85</v>
      </c>
      <c r="S85" s="1128" t="s">
        <v>6172</v>
      </c>
      <c r="T85" s="1131" t="s">
        <v>1698</v>
      </c>
      <c r="U85" s="1128" t="str">
        <f t="shared" si="3"/>
        <v>atrasado</v>
      </c>
      <c r="V85" s="1130" t="str">
        <f t="shared" si="4"/>
        <v>Junio</v>
      </c>
      <c r="W85" s="1128">
        <f t="shared" si="5"/>
        <v>0</v>
      </c>
    </row>
    <row r="86" spans="1:23" s="1321" customFormat="1" ht="49.9" customHeight="1" thickBot="1" x14ac:dyDescent="0.2">
      <c r="A86" s="1117">
        <v>2007</v>
      </c>
      <c r="B86" s="1117">
        <v>2007</v>
      </c>
      <c r="C86" s="1118" t="s">
        <v>36</v>
      </c>
      <c r="D86" s="1119" t="s">
        <v>37</v>
      </c>
      <c r="E86" s="1120" t="s">
        <v>1701</v>
      </c>
      <c r="F86" s="1120"/>
      <c r="G86" s="1121">
        <v>7070001</v>
      </c>
      <c r="H86" s="1122">
        <v>1058</v>
      </c>
      <c r="I86" s="1123">
        <v>39266</v>
      </c>
      <c r="J86" s="1124">
        <v>15</v>
      </c>
      <c r="K86" s="1125">
        <f t="shared" si="0"/>
        <v>39281</v>
      </c>
      <c r="L86" s="1123" t="s">
        <v>41</v>
      </c>
      <c r="M86" s="1123">
        <v>39273</v>
      </c>
      <c r="N86" s="1124">
        <f t="shared" si="1"/>
        <v>3</v>
      </c>
      <c r="O86" s="1126"/>
      <c r="P86" s="1127">
        <v>39284</v>
      </c>
      <c r="Q86" s="1127">
        <v>39286</v>
      </c>
      <c r="R86" s="1124">
        <f t="shared" si="2"/>
        <v>20</v>
      </c>
      <c r="S86" s="1128" t="s">
        <v>6173</v>
      </c>
      <c r="T86" s="1129"/>
      <c r="U86" s="1130" t="str">
        <f t="shared" si="3"/>
        <v>atrasado</v>
      </c>
      <c r="V86" s="1130" t="str">
        <f t="shared" si="4"/>
        <v>Julio</v>
      </c>
      <c r="W86" s="1128">
        <f t="shared" si="5"/>
        <v>0</v>
      </c>
    </row>
    <row r="87" spans="1:23" s="1321" customFormat="1" ht="49.9" customHeight="1" thickBot="1" x14ac:dyDescent="0.2">
      <c r="A87" s="1117">
        <v>2007</v>
      </c>
      <c r="B87" s="1117">
        <v>2007</v>
      </c>
      <c r="C87" s="1118" t="s">
        <v>36</v>
      </c>
      <c r="D87" s="1119" t="s">
        <v>133</v>
      </c>
      <c r="E87" s="1120" t="s">
        <v>1663</v>
      </c>
      <c r="F87" s="1121" t="s">
        <v>1664</v>
      </c>
      <c r="G87" s="1121">
        <v>4501539152</v>
      </c>
      <c r="H87" s="1122">
        <v>116132.94</v>
      </c>
      <c r="I87" s="1123">
        <v>39189</v>
      </c>
      <c r="J87" s="1124">
        <v>99</v>
      </c>
      <c r="K87" s="1125">
        <f t="shared" si="0"/>
        <v>39288</v>
      </c>
      <c r="L87" s="1123" t="s">
        <v>41</v>
      </c>
      <c r="M87" s="1123">
        <v>39283</v>
      </c>
      <c r="N87" s="1124">
        <f t="shared" si="1"/>
        <v>22</v>
      </c>
      <c r="O87" s="1126">
        <v>39293</v>
      </c>
      <c r="P87" s="1127">
        <v>39310</v>
      </c>
      <c r="Q87" s="1127">
        <f>+P87+20</f>
        <v>39330</v>
      </c>
      <c r="R87" s="1124">
        <f t="shared" si="2"/>
        <v>141</v>
      </c>
      <c r="S87" s="1128" t="s">
        <v>1340</v>
      </c>
      <c r="T87" s="1131" t="s">
        <v>6174</v>
      </c>
      <c r="U87" s="1128" t="str">
        <f t="shared" si="3"/>
        <v>atrasado</v>
      </c>
      <c r="V87" s="1130" t="str">
        <f t="shared" si="4"/>
        <v>Julio</v>
      </c>
      <c r="W87" s="1128">
        <f t="shared" si="5"/>
        <v>0</v>
      </c>
    </row>
    <row r="88" spans="1:23" s="1321" customFormat="1" ht="49.9" customHeight="1" thickBot="1" x14ac:dyDescent="0.2">
      <c r="A88" s="1117">
        <v>2007</v>
      </c>
      <c r="B88" s="1117">
        <v>2007</v>
      </c>
      <c r="C88" s="1118" t="s">
        <v>36</v>
      </c>
      <c r="D88" s="1119" t="s">
        <v>133</v>
      </c>
      <c r="E88" s="1120" t="s">
        <v>1663</v>
      </c>
      <c r="F88" s="1121" t="s">
        <v>1664</v>
      </c>
      <c r="G88" s="1121">
        <v>4501547359</v>
      </c>
      <c r="H88" s="1122">
        <v>82766.09</v>
      </c>
      <c r="I88" s="1123">
        <v>39195</v>
      </c>
      <c r="J88" s="1124">
        <v>93</v>
      </c>
      <c r="K88" s="1125">
        <f t="shared" si="0"/>
        <v>39288</v>
      </c>
      <c r="L88" s="1123" t="s">
        <v>41</v>
      </c>
      <c r="M88" s="1123">
        <v>39283</v>
      </c>
      <c r="N88" s="1124">
        <f t="shared" si="1"/>
        <v>22</v>
      </c>
      <c r="O88" s="1126">
        <v>39293</v>
      </c>
      <c r="P88" s="1127">
        <v>39310</v>
      </c>
      <c r="Q88" s="1127">
        <f>+P88+20</f>
        <v>39330</v>
      </c>
      <c r="R88" s="1124">
        <f t="shared" si="2"/>
        <v>135</v>
      </c>
      <c r="S88" s="1128" t="s">
        <v>1332</v>
      </c>
      <c r="T88" s="1131" t="s">
        <v>1716</v>
      </c>
      <c r="U88" s="1128" t="str">
        <f t="shared" si="3"/>
        <v>atrasado</v>
      </c>
      <c r="V88" s="1130" t="str">
        <f t="shared" si="4"/>
        <v>Julio</v>
      </c>
      <c r="W88" s="1128">
        <f t="shared" si="5"/>
        <v>0</v>
      </c>
    </row>
    <row r="89" spans="1:23" s="1321" customFormat="1" ht="49.9" customHeight="1" thickBot="1" x14ac:dyDescent="0.2">
      <c r="A89" s="1117">
        <v>2007</v>
      </c>
      <c r="B89" s="1117">
        <v>2007</v>
      </c>
      <c r="C89" s="1118" t="s">
        <v>36</v>
      </c>
      <c r="D89" s="1119" t="s">
        <v>133</v>
      </c>
      <c r="E89" s="1120" t="s">
        <v>1663</v>
      </c>
      <c r="F89" s="1121" t="s">
        <v>1664</v>
      </c>
      <c r="G89" s="1121">
        <v>4501578323</v>
      </c>
      <c r="H89" s="1122">
        <v>7778.75</v>
      </c>
      <c r="I89" s="1123">
        <v>39211</v>
      </c>
      <c r="J89" s="1124">
        <v>110</v>
      </c>
      <c r="K89" s="1125">
        <f t="shared" si="0"/>
        <v>39321</v>
      </c>
      <c r="L89" s="1123" t="s">
        <v>41</v>
      </c>
      <c r="M89" s="1123">
        <v>39283</v>
      </c>
      <c r="N89" s="1124">
        <f t="shared" si="1"/>
        <v>-11</v>
      </c>
      <c r="O89" s="1126">
        <v>39293</v>
      </c>
      <c r="P89" s="1127">
        <v>39310</v>
      </c>
      <c r="Q89" s="1127">
        <f>+P89+20</f>
        <v>39330</v>
      </c>
      <c r="R89" s="1124">
        <f t="shared" si="2"/>
        <v>119</v>
      </c>
      <c r="S89" s="1128" t="s">
        <v>1717</v>
      </c>
      <c r="T89" s="1131" t="s">
        <v>1719</v>
      </c>
      <c r="U89" s="1128" t="str">
        <f t="shared" si="3"/>
        <v>en término</v>
      </c>
      <c r="V89" s="1130" t="str">
        <f t="shared" si="4"/>
        <v>Julio</v>
      </c>
      <c r="W89" s="1128">
        <f t="shared" si="5"/>
        <v>1</v>
      </c>
    </row>
    <row r="90" spans="1:23" s="1321" customFormat="1" ht="49.9" customHeight="1" thickBot="1" x14ac:dyDescent="0.2">
      <c r="A90" s="1117">
        <v>2007</v>
      </c>
      <c r="B90" s="1117">
        <v>2007</v>
      </c>
      <c r="C90" s="1118" t="s">
        <v>36</v>
      </c>
      <c r="D90" s="1119" t="s">
        <v>37</v>
      </c>
      <c r="E90" s="1120" t="s">
        <v>1720</v>
      </c>
      <c r="F90" s="1120"/>
      <c r="G90" s="1121">
        <v>7040003</v>
      </c>
      <c r="H90" s="1122">
        <v>23550</v>
      </c>
      <c r="I90" s="1123">
        <v>39191</v>
      </c>
      <c r="J90" s="1124">
        <v>137</v>
      </c>
      <c r="K90" s="1125">
        <f t="shared" si="0"/>
        <v>39328</v>
      </c>
      <c r="L90" s="1123" t="s">
        <v>41</v>
      </c>
      <c r="M90" s="1123">
        <v>39283</v>
      </c>
      <c r="N90" s="1124">
        <f t="shared" si="1"/>
        <v>-18</v>
      </c>
      <c r="O90" s="1126">
        <v>39293</v>
      </c>
      <c r="P90" s="1127">
        <v>39310</v>
      </c>
      <c r="Q90" s="1127">
        <f>+P90+20</f>
        <v>39330</v>
      </c>
      <c r="R90" s="1124">
        <f t="shared" si="2"/>
        <v>139</v>
      </c>
      <c r="S90" s="1128" t="s">
        <v>1087</v>
      </c>
      <c r="T90" s="1131" t="s">
        <v>1722</v>
      </c>
      <c r="U90" s="1128" t="str">
        <f t="shared" si="3"/>
        <v>en término</v>
      </c>
      <c r="V90" s="1130" t="str">
        <f t="shared" si="4"/>
        <v>Julio</v>
      </c>
      <c r="W90" s="1128">
        <f t="shared" si="5"/>
        <v>1</v>
      </c>
    </row>
    <row r="91" spans="1:23" s="1321" customFormat="1" ht="49.9" customHeight="1" thickBot="1" x14ac:dyDescent="0.2">
      <c r="A91" s="1117">
        <v>2007</v>
      </c>
      <c r="B91" s="1117">
        <v>2007</v>
      </c>
      <c r="C91" s="1118" t="s">
        <v>36</v>
      </c>
      <c r="D91" s="1119" t="s">
        <v>37</v>
      </c>
      <c r="E91" s="1120" t="s">
        <v>1723</v>
      </c>
      <c r="F91" s="1120"/>
      <c r="G91" s="1121">
        <v>7050006</v>
      </c>
      <c r="H91" s="1122">
        <f>540+1400+3920+1815+5390+945+3150+4898+1920+4525+800+1777.67</f>
        <v>31080.67</v>
      </c>
      <c r="I91" s="1123">
        <v>39224</v>
      </c>
      <c r="J91" s="1124">
        <v>90</v>
      </c>
      <c r="K91" s="1125">
        <f t="shared" si="0"/>
        <v>39314</v>
      </c>
      <c r="L91" s="1123" t="s">
        <v>41</v>
      </c>
      <c r="M91" s="1123">
        <v>39283</v>
      </c>
      <c r="N91" s="1124">
        <f t="shared" si="1"/>
        <v>-4</v>
      </c>
      <c r="O91" s="1126">
        <v>39293</v>
      </c>
      <c r="P91" s="1127">
        <v>39310</v>
      </c>
      <c r="Q91" s="1127">
        <f>+P91+20</f>
        <v>39330</v>
      </c>
      <c r="R91" s="1124">
        <f t="shared" si="2"/>
        <v>106</v>
      </c>
      <c r="S91" s="1128" t="s">
        <v>6175</v>
      </c>
      <c r="T91" s="1131" t="s">
        <v>1722</v>
      </c>
      <c r="U91" s="1128" t="str">
        <f t="shared" si="3"/>
        <v>en término</v>
      </c>
      <c r="V91" s="1130" t="str">
        <f t="shared" si="4"/>
        <v>Julio</v>
      </c>
      <c r="W91" s="1128">
        <f t="shared" si="5"/>
        <v>1</v>
      </c>
    </row>
    <row r="92" spans="1:23" s="1321" customFormat="1" ht="49.9" customHeight="1" thickBot="1" x14ac:dyDescent="0.2">
      <c r="A92" s="1117">
        <v>2007</v>
      </c>
      <c r="B92" s="1117">
        <v>2007</v>
      </c>
      <c r="C92" s="1118" t="s">
        <v>36</v>
      </c>
      <c r="D92" s="1119" t="s">
        <v>133</v>
      </c>
      <c r="E92" s="1120" t="s">
        <v>1334</v>
      </c>
      <c r="F92" s="1121" t="s">
        <v>1335</v>
      </c>
      <c r="G92" s="1121">
        <v>4501642732</v>
      </c>
      <c r="H92" s="1122">
        <v>3950.36</v>
      </c>
      <c r="I92" s="1123">
        <v>39252</v>
      </c>
      <c r="J92" s="1124">
        <v>93</v>
      </c>
      <c r="K92" s="1125">
        <f t="shared" si="0"/>
        <v>39345</v>
      </c>
      <c r="L92" s="1123" t="s">
        <v>41</v>
      </c>
      <c r="M92" s="1123">
        <v>39311</v>
      </c>
      <c r="N92" s="1124">
        <f t="shared" si="1"/>
        <v>-28</v>
      </c>
      <c r="O92" s="1126">
        <v>39315</v>
      </c>
      <c r="P92" s="1127">
        <v>39317</v>
      </c>
      <c r="Q92" s="1127">
        <v>39336</v>
      </c>
      <c r="R92" s="1124">
        <f t="shared" si="2"/>
        <v>84</v>
      </c>
      <c r="S92" s="1128" t="s">
        <v>1463</v>
      </c>
      <c r="T92" s="1129"/>
      <c r="U92" s="1130" t="str">
        <f t="shared" si="3"/>
        <v>en término</v>
      </c>
      <c r="V92" s="1130" t="str">
        <f t="shared" si="4"/>
        <v>Agosto</v>
      </c>
      <c r="W92" s="1128">
        <f t="shared" si="5"/>
        <v>1</v>
      </c>
    </row>
    <row r="93" spans="1:23" s="1321" customFormat="1" ht="49.9" customHeight="1" thickBot="1" x14ac:dyDescent="0.2">
      <c r="A93" s="1117">
        <v>2007</v>
      </c>
      <c r="B93" s="1117">
        <v>2007</v>
      </c>
      <c r="C93" s="1118" t="s">
        <v>36</v>
      </c>
      <c r="D93" s="1119" t="s">
        <v>133</v>
      </c>
      <c r="E93" s="1120" t="s">
        <v>1663</v>
      </c>
      <c r="F93" s="1121" t="s">
        <v>1664</v>
      </c>
      <c r="G93" s="1121">
        <v>4501516889</v>
      </c>
      <c r="H93" s="1122">
        <v>9274.41</v>
      </c>
      <c r="I93" s="1123">
        <v>39171</v>
      </c>
      <c r="J93" s="1124">
        <v>166</v>
      </c>
      <c r="K93" s="1125">
        <f t="shared" si="0"/>
        <v>39337</v>
      </c>
      <c r="L93" s="1123" t="s">
        <v>41</v>
      </c>
      <c r="M93" s="1123">
        <v>39318</v>
      </c>
      <c r="N93" s="1124">
        <f t="shared" si="1"/>
        <v>-15</v>
      </c>
      <c r="O93" s="1126"/>
      <c r="P93" s="1127">
        <v>39322</v>
      </c>
      <c r="Q93" s="1127">
        <v>39329</v>
      </c>
      <c r="R93" s="1124">
        <f t="shared" si="2"/>
        <v>158</v>
      </c>
      <c r="S93" s="1128" t="s">
        <v>6176</v>
      </c>
      <c r="T93" s="1129"/>
      <c r="U93" s="1130" t="str">
        <f t="shared" si="3"/>
        <v>en término</v>
      </c>
      <c r="V93" s="1130" t="str">
        <f t="shared" si="4"/>
        <v>Agosto</v>
      </c>
      <c r="W93" s="1128">
        <f t="shared" si="5"/>
        <v>1</v>
      </c>
    </row>
    <row r="94" spans="1:23" s="1321" customFormat="1" ht="49.9" customHeight="1" thickBot="1" x14ac:dyDescent="0.2">
      <c r="A94" s="1117">
        <v>2007</v>
      </c>
      <c r="B94" s="1117">
        <v>2007</v>
      </c>
      <c r="C94" s="1118" t="s">
        <v>36</v>
      </c>
      <c r="D94" s="1119" t="s">
        <v>37</v>
      </c>
      <c r="E94" s="1120" t="s">
        <v>1729</v>
      </c>
      <c r="F94" s="1120"/>
      <c r="G94" s="1121">
        <v>7050002</v>
      </c>
      <c r="H94" s="1122">
        <v>120250</v>
      </c>
      <c r="I94" s="1123">
        <v>39205</v>
      </c>
      <c r="J94" s="1124">
        <v>150</v>
      </c>
      <c r="K94" s="1125">
        <f t="shared" si="0"/>
        <v>39355</v>
      </c>
      <c r="L94" s="1123" t="s">
        <v>41</v>
      </c>
      <c r="M94" s="1123">
        <v>39311</v>
      </c>
      <c r="N94" s="1124">
        <f t="shared" si="1"/>
        <v>-38</v>
      </c>
      <c r="O94" s="1126">
        <v>39315</v>
      </c>
      <c r="P94" s="1127">
        <v>39317</v>
      </c>
      <c r="Q94" s="1127">
        <v>39336</v>
      </c>
      <c r="R94" s="1124">
        <f t="shared" si="2"/>
        <v>131</v>
      </c>
      <c r="S94" s="1128" t="s">
        <v>1279</v>
      </c>
      <c r="T94" s="1131" t="s">
        <v>1730</v>
      </c>
      <c r="U94" s="1128" t="str">
        <f t="shared" si="3"/>
        <v>en término</v>
      </c>
      <c r="V94" s="1130" t="str">
        <f t="shared" si="4"/>
        <v>Agosto</v>
      </c>
      <c r="W94" s="1128">
        <f t="shared" si="5"/>
        <v>1</v>
      </c>
    </row>
    <row r="95" spans="1:23" s="1321" customFormat="1" ht="49.9" customHeight="1" thickBot="1" x14ac:dyDescent="0.2">
      <c r="A95" s="1117">
        <v>2007</v>
      </c>
      <c r="B95" s="1117">
        <v>2007</v>
      </c>
      <c r="C95" s="1118" t="s">
        <v>36</v>
      </c>
      <c r="D95" s="1119" t="s">
        <v>37</v>
      </c>
      <c r="E95" s="1120" t="s">
        <v>1731</v>
      </c>
      <c r="F95" s="1120"/>
      <c r="G95" s="1121">
        <v>7070003</v>
      </c>
      <c r="H95" s="1122">
        <v>3345</v>
      </c>
      <c r="I95" s="1123">
        <v>39274</v>
      </c>
      <c r="J95" s="1124">
        <v>35</v>
      </c>
      <c r="K95" s="1125">
        <f t="shared" si="0"/>
        <v>39309</v>
      </c>
      <c r="L95" s="1123" t="s">
        <v>41</v>
      </c>
      <c r="M95" s="1123">
        <v>39311</v>
      </c>
      <c r="N95" s="1124">
        <f t="shared" si="1"/>
        <v>8</v>
      </c>
      <c r="O95" s="1126">
        <v>39315</v>
      </c>
      <c r="P95" s="1127">
        <v>39317</v>
      </c>
      <c r="Q95" s="1127">
        <v>39336</v>
      </c>
      <c r="R95" s="1124">
        <f t="shared" si="2"/>
        <v>62</v>
      </c>
      <c r="S95" s="1128" t="s">
        <v>1732</v>
      </c>
      <c r="T95" s="1129"/>
      <c r="U95" s="1130" t="str">
        <f t="shared" si="3"/>
        <v>atrasado</v>
      </c>
      <c r="V95" s="1130" t="str">
        <f t="shared" si="4"/>
        <v>Agosto</v>
      </c>
      <c r="W95" s="1128">
        <f t="shared" si="5"/>
        <v>0</v>
      </c>
    </row>
    <row r="96" spans="1:23" s="1321" customFormat="1" ht="49.9" customHeight="1" thickBot="1" x14ac:dyDescent="0.2">
      <c r="A96" s="1117">
        <v>2007</v>
      </c>
      <c r="B96" s="1117">
        <v>2007</v>
      </c>
      <c r="C96" s="1118" t="s">
        <v>36</v>
      </c>
      <c r="D96" s="1119" t="s">
        <v>133</v>
      </c>
      <c r="E96" s="1120" t="s">
        <v>1663</v>
      </c>
      <c r="F96" s="1121" t="s">
        <v>1664</v>
      </c>
      <c r="G96" s="1121">
        <v>4501454521</v>
      </c>
      <c r="H96" s="1122">
        <v>51062.85</v>
      </c>
      <c r="I96" s="1123">
        <v>39135</v>
      </c>
      <c r="J96" s="1124">
        <v>93</v>
      </c>
      <c r="K96" s="1125">
        <f t="shared" si="0"/>
        <v>39228</v>
      </c>
      <c r="L96" s="1123" t="s">
        <v>41</v>
      </c>
      <c r="M96" s="1123">
        <v>39311</v>
      </c>
      <c r="N96" s="1124">
        <f t="shared" si="1"/>
        <v>89</v>
      </c>
      <c r="O96" s="1126">
        <v>39315</v>
      </c>
      <c r="P96" s="1127">
        <v>39317</v>
      </c>
      <c r="Q96" s="1127">
        <v>39336</v>
      </c>
      <c r="R96" s="1124">
        <f t="shared" si="2"/>
        <v>201</v>
      </c>
      <c r="S96" s="1128" t="s">
        <v>1223</v>
      </c>
      <c r="T96" s="1131" t="s">
        <v>6177</v>
      </c>
      <c r="U96" s="1128" t="str">
        <f t="shared" si="3"/>
        <v>atrasado</v>
      </c>
      <c r="V96" s="1130" t="str">
        <f t="shared" si="4"/>
        <v>Agosto</v>
      </c>
      <c r="W96" s="1128">
        <f t="shared" si="5"/>
        <v>0</v>
      </c>
    </row>
    <row r="97" spans="1:23" s="1321" customFormat="1" ht="49.9" customHeight="1" thickBot="1" x14ac:dyDescent="0.2">
      <c r="A97" s="1117">
        <v>2007</v>
      </c>
      <c r="B97" s="1117">
        <v>2007</v>
      </c>
      <c r="C97" s="1118" t="s">
        <v>36</v>
      </c>
      <c r="D97" s="1119" t="s">
        <v>133</v>
      </c>
      <c r="E97" s="1120" t="s">
        <v>1663</v>
      </c>
      <c r="F97" s="1121" t="s">
        <v>1664</v>
      </c>
      <c r="G97" s="1121">
        <v>4501659707</v>
      </c>
      <c r="H97" s="1122">
        <v>967.62</v>
      </c>
      <c r="I97" s="1123">
        <v>39261</v>
      </c>
      <c r="J97" s="1124">
        <v>102</v>
      </c>
      <c r="K97" s="1125">
        <f t="shared" si="0"/>
        <v>39363</v>
      </c>
      <c r="L97" s="1123" t="s">
        <v>41</v>
      </c>
      <c r="M97" s="1123">
        <v>39318</v>
      </c>
      <c r="N97" s="1124">
        <f t="shared" si="1"/>
        <v>-41</v>
      </c>
      <c r="O97" s="1126"/>
      <c r="P97" s="1127">
        <v>39322</v>
      </c>
      <c r="Q97" s="1127">
        <v>39329</v>
      </c>
      <c r="R97" s="1124">
        <f t="shared" si="2"/>
        <v>68</v>
      </c>
      <c r="S97" s="1128" t="s">
        <v>6178</v>
      </c>
      <c r="T97" s="1129"/>
      <c r="U97" s="1130" t="str">
        <f t="shared" si="3"/>
        <v>en término</v>
      </c>
      <c r="V97" s="1130" t="str">
        <f t="shared" si="4"/>
        <v>Agosto</v>
      </c>
      <c r="W97" s="1128">
        <f t="shared" si="5"/>
        <v>1</v>
      </c>
    </row>
    <row r="98" spans="1:23" s="1321" customFormat="1" ht="49.9" customHeight="1" thickBot="1" x14ac:dyDescent="0.2">
      <c r="A98" s="1117">
        <v>2007</v>
      </c>
      <c r="B98" s="1117">
        <v>2007</v>
      </c>
      <c r="C98" s="1118" t="s">
        <v>36</v>
      </c>
      <c r="D98" s="1119" t="s">
        <v>133</v>
      </c>
      <c r="E98" s="1120" t="s">
        <v>1663</v>
      </c>
      <c r="F98" s="1121" t="s">
        <v>1664</v>
      </c>
      <c r="G98" s="1121">
        <v>4501666150</v>
      </c>
      <c r="H98" s="1122">
        <v>325320.26</v>
      </c>
      <c r="I98" s="1123">
        <v>39262</v>
      </c>
      <c r="J98" s="1124">
        <v>100</v>
      </c>
      <c r="K98" s="1125">
        <f t="shared" ref="K98:K129" si="7">+I98+J98</f>
        <v>39362</v>
      </c>
      <c r="L98" s="1123" t="s">
        <v>41</v>
      </c>
      <c r="M98" s="1123">
        <v>39346</v>
      </c>
      <c r="N98" s="1124">
        <f t="shared" ref="N98:N126" si="8">IF(P98="","",+P98-K98)</f>
        <v>4</v>
      </c>
      <c r="O98" s="1126"/>
      <c r="P98" s="1127">
        <v>39366</v>
      </c>
      <c r="Q98" s="1127">
        <v>39374</v>
      </c>
      <c r="R98" s="1124">
        <f t="shared" si="2"/>
        <v>112</v>
      </c>
      <c r="S98" s="1128" t="s">
        <v>1741</v>
      </c>
      <c r="T98" s="1131" t="s">
        <v>1744</v>
      </c>
      <c r="U98" s="1128" t="str">
        <f t="shared" si="3"/>
        <v>atrasado</v>
      </c>
      <c r="V98" s="1130" t="str">
        <f t="shared" si="4"/>
        <v>Septiembre</v>
      </c>
      <c r="W98" s="1128">
        <f t="shared" si="5"/>
        <v>0</v>
      </c>
    </row>
    <row r="99" spans="1:23" s="1321" customFormat="1" ht="49.9" customHeight="1" thickBot="1" x14ac:dyDescent="0.2">
      <c r="A99" s="1117">
        <v>2007</v>
      </c>
      <c r="B99" s="1117">
        <v>2007</v>
      </c>
      <c r="C99" s="1118" t="s">
        <v>36</v>
      </c>
      <c r="D99" s="1119" t="s">
        <v>133</v>
      </c>
      <c r="E99" s="1120" t="s">
        <v>1663</v>
      </c>
      <c r="F99" s="1121" t="s">
        <v>1664</v>
      </c>
      <c r="G99" s="1121">
        <v>4501637614</v>
      </c>
      <c r="H99" s="1122">
        <v>182786.15</v>
      </c>
      <c r="I99" s="1123">
        <v>39248</v>
      </c>
      <c r="J99" s="1124">
        <v>102</v>
      </c>
      <c r="K99" s="1125">
        <f t="shared" si="7"/>
        <v>39350</v>
      </c>
      <c r="L99" s="1123" t="s">
        <v>41</v>
      </c>
      <c r="M99" s="1123">
        <v>39346</v>
      </c>
      <c r="N99" s="1124">
        <f t="shared" si="8"/>
        <v>16</v>
      </c>
      <c r="O99" s="1126"/>
      <c r="P99" s="1127">
        <v>39366</v>
      </c>
      <c r="Q99" s="1127">
        <v>39374</v>
      </c>
      <c r="R99" s="1124">
        <f t="shared" si="2"/>
        <v>126</v>
      </c>
      <c r="S99" s="1128" t="s">
        <v>1745</v>
      </c>
      <c r="T99" s="1131" t="s">
        <v>1744</v>
      </c>
      <c r="U99" s="1128" t="str">
        <f t="shared" si="3"/>
        <v>atrasado</v>
      </c>
      <c r="V99" s="1130" t="str">
        <f t="shared" si="4"/>
        <v>Septiembre</v>
      </c>
      <c r="W99" s="1128">
        <f t="shared" si="5"/>
        <v>0</v>
      </c>
    </row>
    <row r="100" spans="1:23" s="1321" customFormat="1" ht="49.9" customHeight="1" thickBot="1" x14ac:dyDescent="0.2">
      <c r="A100" s="1117">
        <v>2007</v>
      </c>
      <c r="B100" s="1117">
        <v>2007</v>
      </c>
      <c r="C100" s="1118" t="s">
        <v>36</v>
      </c>
      <c r="D100" s="1119" t="s">
        <v>133</v>
      </c>
      <c r="E100" s="1120" t="s">
        <v>1663</v>
      </c>
      <c r="F100" s="1121" t="s">
        <v>1664</v>
      </c>
      <c r="G100" s="1121">
        <v>4501634870</v>
      </c>
      <c r="H100" s="1122">
        <v>12274.73</v>
      </c>
      <c r="I100" s="1123">
        <v>39247</v>
      </c>
      <c r="J100" s="1124">
        <v>114</v>
      </c>
      <c r="K100" s="1125">
        <f t="shared" si="7"/>
        <v>39361</v>
      </c>
      <c r="L100" s="1123" t="s">
        <v>41</v>
      </c>
      <c r="M100" s="1123">
        <v>39346</v>
      </c>
      <c r="N100" s="1124">
        <f t="shared" si="8"/>
        <v>5</v>
      </c>
      <c r="O100" s="1126"/>
      <c r="P100" s="1127">
        <v>39366</v>
      </c>
      <c r="Q100" s="1127">
        <v>39374</v>
      </c>
      <c r="R100" s="1124">
        <f t="shared" si="2"/>
        <v>127</v>
      </c>
      <c r="S100" s="1128" t="s">
        <v>879</v>
      </c>
      <c r="T100" s="1131" t="s">
        <v>1744</v>
      </c>
      <c r="U100" s="1128" t="str">
        <f t="shared" si="3"/>
        <v>atrasado</v>
      </c>
      <c r="V100" s="1130" t="str">
        <f t="shared" si="4"/>
        <v>Septiembre</v>
      </c>
      <c r="W100" s="1128">
        <f t="shared" si="5"/>
        <v>0</v>
      </c>
    </row>
    <row r="101" spans="1:23" s="1321" customFormat="1" ht="49.9" customHeight="1" thickBot="1" x14ac:dyDescent="0.2">
      <c r="A101" s="1117">
        <v>2007</v>
      </c>
      <c r="B101" s="1117">
        <v>2007</v>
      </c>
      <c r="C101" s="1118" t="s">
        <v>36</v>
      </c>
      <c r="D101" s="1119" t="s">
        <v>37</v>
      </c>
      <c r="E101" s="1120" t="s">
        <v>1554</v>
      </c>
      <c r="F101" s="1120"/>
      <c r="G101" s="1121">
        <v>7080003</v>
      </c>
      <c r="H101" s="1122">
        <f>150+2910+700+6080+8370+8586</f>
        <v>26796</v>
      </c>
      <c r="I101" s="1123">
        <v>39310</v>
      </c>
      <c r="J101" s="1124">
        <v>30</v>
      </c>
      <c r="K101" s="1125">
        <f t="shared" si="7"/>
        <v>39340</v>
      </c>
      <c r="L101" s="1123" t="s">
        <v>41</v>
      </c>
      <c r="M101" s="1123">
        <v>39346</v>
      </c>
      <c r="N101" s="1124">
        <f t="shared" si="8"/>
        <v>26</v>
      </c>
      <c r="O101" s="1126"/>
      <c r="P101" s="1127">
        <v>39366</v>
      </c>
      <c r="Q101" s="1127">
        <v>39374</v>
      </c>
      <c r="R101" s="1124">
        <f t="shared" si="2"/>
        <v>64</v>
      </c>
      <c r="S101" s="1128" t="s">
        <v>6179</v>
      </c>
      <c r="T101" s="1131" t="s">
        <v>1744</v>
      </c>
      <c r="U101" s="1128" t="str">
        <f t="shared" si="3"/>
        <v>atrasado</v>
      </c>
      <c r="V101" s="1130" t="str">
        <f t="shared" si="4"/>
        <v>Septiembre</v>
      </c>
      <c r="W101" s="1128">
        <f t="shared" si="5"/>
        <v>0</v>
      </c>
    </row>
    <row r="102" spans="1:23" s="1321" customFormat="1" ht="49.9" customHeight="1" thickBot="1" x14ac:dyDescent="0.2">
      <c r="A102" s="1117">
        <v>2007</v>
      </c>
      <c r="B102" s="1117">
        <v>2007</v>
      </c>
      <c r="C102" s="1118" t="s">
        <v>36</v>
      </c>
      <c r="D102" s="1119" t="s">
        <v>37</v>
      </c>
      <c r="E102" s="1120" t="s">
        <v>1753</v>
      </c>
      <c r="F102" s="1120"/>
      <c r="G102" s="1121">
        <v>7080004</v>
      </c>
      <c r="H102" s="1122">
        <v>8540</v>
      </c>
      <c r="I102" s="1123">
        <v>39317</v>
      </c>
      <c r="J102" s="1124">
        <v>30</v>
      </c>
      <c r="K102" s="1125">
        <f t="shared" si="7"/>
        <v>39347</v>
      </c>
      <c r="L102" s="1123" t="s">
        <v>41</v>
      </c>
      <c r="M102" s="1123">
        <v>39346</v>
      </c>
      <c r="N102" s="1124">
        <f t="shared" si="8"/>
        <v>19</v>
      </c>
      <c r="O102" s="1126"/>
      <c r="P102" s="1127">
        <v>39366</v>
      </c>
      <c r="Q102" s="1127">
        <v>39374</v>
      </c>
      <c r="R102" s="1124">
        <f t="shared" si="2"/>
        <v>57</v>
      </c>
      <c r="S102" s="1128" t="s">
        <v>73</v>
      </c>
      <c r="T102" s="1131" t="s">
        <v>1744</v>
      </c>
      <c r="U102" s="1128" t="str">
        <f t="shared" si="3"/>
        <v>atrasado</v>
      </c>
      <c r="V102" s="1130" t="str">
        <f t="shared" si="4"/>
        <v>Septiembre</v>
      </c>
      <c r="W102" s="1128">
        <f t="shared" si="5"/>
        <v>0</v>
      </c>
    </row>
    <row r="103" spans="1:23" s="1321" customFormat="1" ht="49.9" customHeight="1" thickBot="1" x14ac:dyDescent="0.2">
      <c r="A103" s="1117">
        <v>2007</v>
      </c>
      <c r="B103" s="1117">
        <v>2007</v>
      </c>
      <c r="C103" s="1118" t="s">
        <v>36</v>
      </c>
      <c r="D103" s="1119" t="s">
        <v>37</v>
      </c>
      <c r="E103" s="1120" t="s">
        <v>1736</v>
      </c>
      <c r="F103" s="1120"/>
      <c r="G103" s="1121">
        <v>7090001</v>
      </c>
      <c r="H103" s="1122">
        <f>2900+616.5</f>
        <v>3516.5</v>
      </c>
      <c r="I103" s="1123">
        <v>39331</v>
      </c>
      <c r="J103" s="1124">
        <v>113</v>
      </c>
      <c r="K103" s="1125">
        <f t="shared" si="7"/>
        <v>39444</v>
      </c>
      <c r="L103" s="1123" t="s">
        <v>41</v>
      </c>
      <c r="M103" s="1123">
        <v>39346</v>
      </c>
      <c r="N103" s="1124">
        <f t="shared" si="8"/>
        <v>-78</v>
      </c>
      <c r="O103" s="1126"/>
      <c r="P103" s="1127">
        <v>39366</v>
      </c>
      <c r="Q103" s="1127">
        <v>39374</v>
      </c>
      <c r="R103" s="1124">
        <f t="shared" si="2"/>
        <v>43</v>
      </c>
      <c r="S103" s="1128" t="s">
        <v>1754</v>
      </c>
      <c r="T103" s="1131" t="s">
        <v>1744</v>
      </c>
      <c r="U103" s="1128" t="str">
        <f t="shared" si="3"/>
        <v>en término</v>
      </c>
      <c r="V103" s="1130" t="str">
        <f t="shared" si="4"/>
        <v>Septiembre</v>
      </c>
      <c r="W103" s="1128">
        <f t="shared" si="5"/>
        <v>1</v>
      </c>
    </row>
    <row r="104" spans="1:23" s="1321" customFormat="1" ht="49.9" customHeight="1" thickBot="1" x14ac:dyDescent="0.2">
      <c r="A104" s="1117">
        <v>2007</v>
      </c>
      <c r="B104" s="1117">
        <v>2007</v>
      </c>
      <c r="C104" s="1118" t="s">
        <v>36</v>
      </c>
      <c r="D104" s="1119" t="s">
        <v>37</v>
      </c>
      <c r="E104" s="1120" t="s">
        <v>1755</v>
      </c>
      <c r="F104" s="1121" t="s">
        <v>1756</v>
      </c>
      <c r="G104" s="1121">
        <v>7080002</v>
      </c>
      <c r="H104" s="1122">
        <v>380</v>
      </c>
      <c r="I104" s="1123">
        <v>39310</v>
      </c>
      <c r="J104" s="1124">
        <v>30</v>
      </c>
      <c r="K104" s="1125">
        <f t="shared" si="7"/>
        <v>39340</v>
      </c>
      <c r="L104" s="1123" t="s">
        <v>41</v>
      </c>
      <c r="M104" s="1123">
        <v>39346</v>
      </c>
      <c r="N104" s="1124">
        <f t="shared" si="8"/>
        <v>26</v>
      </c>
      <c r="O104" s="1126"/>
      <c r="P104" s="1127">
        <v>39366</v>
      </c>
      <c r="Q104" s="1127">
        <v>39374</v>
      </c>
      <c r="R104" s="1124">
        <f t="shared" si="2"/>
        <v>64</v>
      </c>
      <c r="S104" s="1128" t="s">
        <v>1757</v>
      </c>
      <c r="T104" s="1131" t="s">
        <v>1744</v>
      </c>
      <c r="U104" s="1128" t="str">
        <f t="shared" si="3"/>
        <v>atrasado</v>
      </c>
      <c r="V104" s="1130" t="str">
        <f t="shared" si="4"/>
        <v>Septiembre</v>
      </c>
      <c r="W104" s="1128">
        <f t="shared" si="5"/>
        <v>0</v>
      </c>
    </row>
    <row r="105" spans="1:23" s="1321" customFormat="1" ht="49.9" customHeight="1" thickBot="1" x14ac:dyDescent="0.2">
      <c r="A105" s="1117">
        <v>2007</v>
      </c>
      <c r="B105" s="1117">
        <v>2007</v>
      </c>
      <c r="C105" s="1118" t="s">
        <v>36</v>
      </c>
      <c r="D105" s="1119" t="s">
        <v>37</v>
      </c>
      <c r="E105" s="1120" t="s">
        <v>1758</v>
      </c>
      <c r="F105" s="1120"/>
      <c r="G105" s="1121">
        <v>7070005</v>
      </c>
      <c r="H105" s="1122">
        <v>7850</v>
      </c>
      <c r="I105" s="1123">
        <v>39290</v>
      </c>
      <c r="J105" s="1124">
        <v>60</v>
      </c>
      <c r="K105" s="1125">
        <f t="shared" si="7"/>
        <v>39350</v>
      </c>
      <c r="L105" s="1123" t="s">
        <v>41</v>
      </c>
      <c r="M105" s="1123">
        <v>39346</v>
      </c>
      <c r="N105" s="1124">
        <f t="shared" si="8"/>
        <v>16</v>
      </c>
      <c r="O105" s="1126"/>
      <c r="P105" s="1127">
        <v>39366</v>
      </c>
      <c r="Q105" s="1127">
        <v>39374</v>
      </c>
      <c r="R105" s="1124">
        <f t="shared" si="2"/>
        <v>84</v>
      </c>
      <c r="S105" s="1128" t="s">
        <v>6180</v>
      </c>
      <c r="T105" s="1131" t="s">
        <v>1744</v>
      </c>
      <c r="U105" s="1128" t="str">
        <f t="shared" si="3"/>
        <v>atrasado</v>
      </c>
      <c r="V105" s="1130" t="str">
        <f t="shared" si="4"/>
        <v>Septiembre</v>
      </c>
      <c r="W105" s="1128">
        <f t="shared" si="5"/>
        <v>0</v>
      </c>
    </row>
    <row r="106" spans="1:23" s="1321" customFormat="1" ht="49.9" customHeight="1" thickBot="1" x14ac:dyDescent="0.2">
      <c r="A106" s="1117">
        <v>2007</v>
      </c>
      <c r="B106" s="1117">
        <v>2007</v>
      </c>
      <c r="C106" s="1118" t="s">
        <v>36</v>
      </c>
      <c r="D106" s="1119" t="s">
        <v>37</v>
      </c>
      <c r="E106" s="1120" t="s">
        <v>1723</v>
      </c>
      <c r="F106" s="1120"/>
      <c r="G106" s="1121">
        <v>7050006</v>
      </c>
      <c r="H106" s="1122">
        <v>6414.33</v>
      </c>
      <c r="I106" s="1123">
        <v>39224</v>
      </c>
      <c r="J106" s="1124">
        <v>90</v>
      </c>
      <c r="K106" s="1125">
        <f t="shared" si="7"/>
        <v>39314</v>
      </c>
      <c r="L106" s="1123" t="s">
        <v>41</v>
      </c>
      <c r="M106" s="1123">
        <v>39346</v>
      </c>
      <c r="N106" s="1124">
        <f t="shared" si="8"/>
        <v>52</v>
      </c>
      <c r="O106" s="1126"/>
      <c r="P106" s="1127">
        <v>39366</v>
      </c>
      <c r="Q106" s="1127">
        <v>39374</v>
      </c>
      <c r="R106" s="1124">
        <f t="shared" si="2"/>
        <v>150</v>
      </c>
      <c r="S106" s="1128" t="s">
        <v>6181</v>
      </c>
      <c r="T106" s="1131" t="s">
        <v>1744</v>
      </c>
      <c r="U106" s="1128" t="str">
        <f t="shared" si="3"/>
        <v>atrasado</v>
      </c>
      <c r="V106" s="1130" t="str">
        <f t="shared" si="4"/>
        <v>Septiembre</v>
      </c>
      <c r="W106" s="1128">
        <f t="shared" si="5"/>
        <v>0</v>
      </c>
    </row>
    <row r="107" spans="1:23" s="1321" customFormat="1" ht="49.9" customHeight="1" thickBot="1" x14ac:dyDescent="0.2">
      <c r="A107" s="1117">
        <v>2007</v>
      </c>
      <c r="B107" s="1117">
        <v>2007</v>
      </c>
      <c r="C107" s="1118" t="s">
        <v>36</v>
      </c>
      <c r="D107" s="1119" t="s">
        <v>37</v>
      </c>
      <c r="E107" s="1120" t="s">
        <v>1761</v>
      </c>
      <c r="F107" s="1121" t="s">
        <v>1762</v>
      </c>
      <c r="G107" s="1121">
        <v>7060005</v>
      </c>
      <c r="H107" s="1122">
        <v>5060</v>
      </c>
      <c r="I107" s="1123">
        <v>39256</v>
      </c>
      <c r="J107" s="1124">
        <v>70</v>
      </c>
      <c r="K107" s="1125">
        <f t="shared" si="7"/>
        <v>39326</v>
      </c>
      <c r="L107" s="1123" t="s">
        <v>41</v>
      </c>
      <c r="M107" s="1123">
        <v>39346</v>
      </c>
      <c r="N107" s="1124">
        <f t="shared" si="8"/>
        <v>40</v>
      </c>
      <c r="O107" s="1126"/>
      <c r="P107" s="1127">
        <v>39366</v>
      </c>
      <c r="Q107" s="1127">
        <v>39374</v>
      </c>
      <c r="R107" s="1124">
        <f t="shared" si="2"/>
        <v>118</v>
      </c>
      <c r="S107" s="1128" t="s">
        <v>119</v>
      </c>
      <c r="T107" s="1131" t="s">
        <v>1744</v>
      </c>
      <c r="U107" s="1128" t="str">
        <f t="shared" si="3"/>
        <v>atrasado</v>
      </c>
      <c r="V107" s="1130" t="str">
        <f t="shared" si="4"/>
        <v>Septiembre</v>
      </c>
      <c r="W107" s="1128">
        <f t="shared" si="5"/>
        <v>0</v>
      </c>
    </row>
    <row r="108" spans="1:23" s="1321" customFormat="1" ht="49.9" customHeight="1" thickBot="1" x14ac:dyDescent="0.2">
      <c r="A108" s="1117">
        <v>2007</v>
      </c>
      <c r="B108" s="1117">
        <v>2007</v>
      </c>
      <c r="C108" s="1118" t="s">
        <v>36</v>
      </c>
      <c r="D108" s="1119" t="s">
        <v>37</v>
      </c>
      <c r="E108" s="1120" t="s">
        <v>1763</v>
      </c>
      <c r="F108" s="1121" t="s">
        <v>1764</v>
      </c>
      <c r="G108" s="1121">
        <v>7100002</v>
      </c>
      <c r="H108" s="1122">
        <v>303</v>
      </c>
      <c r="I108" s="1123">
        <v>39353</v>
      </c>
      <c r="J108" s="1124">
        <v>30</v>
      </c>
      <c r="K108" s="1125">
        <f t="shared" si="7"/>
        <v>39383</v>
      </c>
      <c r="L108" s="1123" t="s">
        <v>41</v>
      </c>
      <c r="M108" s="1123">
        <v>39360</v>
      </c>
      <c r="N108" s="1124">
        <f t="shared" si="8"/>
        <v>-18</v>
      </c>
      <c r="O108" s="1126"/>
      <c r="P108" s="1127">
        <v>39365</v>
      </c>
      <c r="Q108" s="1127">
        <v>39367</v>
      </c>
      <c r="R108" s="1124">
        <f t="shared" si="2"/>
        <v>14</v>
      </c>
      <c r="S108" s="1128" t="s">
        <v>53</v>
      </c>
      <c r="T108" s="1131" t="s">
        <v>1768</v>
      </c>
      <c r="U108" s="1128" t="str">
        <f t="shared" si="3"/>
        <v>en término</v>
      </c>
      <c r="V108" s="1130" t="str">
        <f t="shared" si="4"/>
        <v>Octubre</v>
      </c>
      <c r="W108" s="1128">
        <f t="shared" si="5"/>
        <v>1</v>
      </c>
    </row>
    <row r="109" spans="1:23" s="1321" customFormat="1" ht="49.9" customHeight="1" thickBot="1" x14ac:dyDescent="0.2">
      <c r="A109" s="1117">
        <v>2007</v>
      </c>
      <c r="B109" s="1117">
        <v>2007</v>
      </c>
      <c r="C109" s="1118" t="s">
        <v>36</v>
      </c>
      <c r="D109" s="1119" t="s">
        <v>133</v>
      </c>
      <c r="E109" s="1120" t="s">
        <v>1663</v>
      </c>
      <c r="F109" s="1121" t="s">
        <v>1664</v>
      </c>
      <c r="G109" s="1121">
        <v>4501590872</v>
      </c>
      <c r="H109" s="1122">
        <v>20681.07</v>
      </c>
      <c r="I109" s="1123">
        <v>39219</v>
      </c>
      <c r="J109" s="1124">
        <v>126</v>
      </c>
      <c r="K109" s="1125">
        <f t="shared" si="7"/>
        <v>39345</v>
      </c>
      <c r="L109" s="1123" t="s">
        <v>41</v>
      </c>
      <c r="M109" s="1123">
        <v>39365</v>
      </c>
      <c r="N109" s="1124">
        <f t="shared" si="8"/>
        <v>30</v>
      </c>
      <c r="O109" s="1126">
        <v>39370</v>
      </c>
      <c r="P109" s="1127">
        <v>39375</v>
      </c>
      <c r="Q109" s="1127">
        <v>39386</v>
      </c>
      <c r="R109" s="1124">
        <f t="shared" si="2"/>
        <v>167</v>
      </c>
      <c r="S109" s="1128" t="s">
        <v>1770</v>
      </c>
      <c r="T109" s="1131" t="s">
        <v>1773</v>
      </c>
      <c r="U109" s="1128" t="str">
        <f t="shared" si="3"/>
        <v>atrasado</v>
      </c>
      <c r="V109" s="1130" t="str">
        <f t="shared" si="4"/>
        <v>Octubre</v>
      </c>
      <c r="W109" s="1128">
        <f t="shared" si="5"/>
        <v>0</v>
      </c>
    </row>
    <row r="110" spans="1:23" s="1321" customFormat="1" ht="49.9" customHeight="1" thickBot="1" x14ac:dyDescent="0.2">
      <c r="A110" s="1117">
        <v>2007</v>
      </c>
      <c r="B110" s="1117">
        <v>2007</v>
      </c>
      <c r="C110" s="1118" t="s">
        <v>36</v>
      </c>
      <c r="D110" s="1119" t="s">
        <v>133</v>
      </c>
      <c r="E110" s="1120" t="s">
        <v>1663</v>
      </c>
      <c r="F110" s="1121" t="s">
        <v>1664</v>
      </c>
      <c r="G110" s="1121">
        <v>4501693931</v>
      </c>
      <c r="H110" s="1122">
        <v>117425</v>
      </c>
      <c r="I110" s="1123">
        <v>39282</v>
      </c>
      <c r="J110" s="1124">
        <v>98</v>
      </c>
      <c r="K110" s="1125">
        <f t="shared" si="7"/>
        <v>39380</v>
      </c>
      <c r="L110" s="1123" t="s">
        <v>41</v>
      </c>
      <c r="M110" s="1123">
        <v>39374</v>
      </c>
      <c r="N110" s="1124">
        <f t="shared" si="8"/>
        <v>10</v>
      </c>
      <c r="O110" s="1126">
        <v>39388</v>
      </c>
      <c r="P110" s="1127">
        <v>39390</v>
      </c>
      <c r="Q110" s="1127">
        <v>39399</v>
      </c>
      <c r="R110" s="1124">
        <f t="shared" si="2"/>
        <v>117</v>
      </c>
      <c r="S110" s="1128" t="s">
        <v>1775</v>
      </c>
      <c r="T110" s="1129" t="s">
        <v>1778</v>
      </c>
      <c r="U110" s="1130" t="str">
        <f t="shared" si="3"/>
        <v>atrasado</v>
      </c>
      <c r="V110" s="1130" t="str">
        <f t="shared" si="4"/>
        <v>Octubre</v>
      </c>
      <c r="W110" s="1128">
        <f t="shared" si="5"/>
        <v>0</v>
      </c>
    </row>
    <row r="111" spans="1:23" s="1321" customFormat="1" ht="49.9" customHeight="1" thickBot="1" x14ac:dyDescent="0.2">
      <c r="A111" s="1117">
        <v>2007</v>
      </c>
      <c r="B111" s="1117">
        <v>2007</v>
      </c>
      <c r="C111" s="1118" t="s">
        <v>36</v>
      </c>
      <c r="D111" s="1119" t="s">
        <v>37</v>
      </c>
      <c r="E111" s="1120" t="s">
        <v>1779</v>
      </c>
      <c r="F111" s="1121" t="s">
        <v>1780</v>
      </c>
      <c r="G111" s="1121">
        <v>7060004</v>
      </c>
      <c r="H111" s="1122">
        <v>139860</v>
      </c>
      <c r="I111" s="1123">
        <v>39256</v>
      </c>
      <c r="J111" s="1124">
        <v>176</v>
      </c>
      <c r="K111" s="1125">
        <f t="shared" si="7"/>
        <v>39432</v>
      </c>
      <c r="L111" s="1123" t="s">
        <v>41</v>
      </c>
      <c r="M111" s="1123">
        <v>39374</v>
      </c>
      <c r="N111" s="1124">
        <f t="shared" si="8"/>
        <v>-42</v>
      </c>
      <c r="O111" s="1126">
        <v>39388</v>
      </c>
      <c r="P111" s="1127">
        <v>39390</v>
      </c>
      <c r="Q111" s="1127">
        <v>39399</v>
      </c>
      <c r="R111" s="1124">
        <f t="shared" si="2"/>
        <v>143</v>
      </c>
      <c r="S111" s="1128" t="s">
        <v>1671</v>
      </c>
      <c r="T111" s="1129" t="s">
        <v>1778</v>
      </c>
      <c r="U111" s="1130" t="str">
        <f t="shared" si="3"/>
        <v>en término</v>
      </c>
      <c r="V111" s="1130" t="str">
        <f t="shared" si="4"/>
        <v>Octubre</v>
      </c>
      <c r="W111" s="1128">
        <f t="shared" si="5"/>
        <v>1</v>
      </c>
    </row>
    <row r="112" spans="1:23" s="1321" customFormat="1" ht="49.9" customHeight="1" thickBot="1" x14ac:dyDescent="0.2">
      <c r="A112" s="1117">
        <v>2007</v>
      </c>
      <c r="B112" s="1117">
        <v>2007</v>
      </c>
      <c r="C112" s="1118" t="s">
        <v>36</v>
      </c>
      <c r="D112" s="1119" t="s">
        <v>37</v>
      </c>
      <c r="E112" s="1120" t="s">
        <v>1781</v>
      </c>
      <c r="F112" s="1121" t="s">
        <v>1782</v>
      </c>
      <c r="G112" s="1121">
        <v>7080001</v>
      </c>
      <c r="H112" s="1122">
        <v>78093.460000000006</v>
      </c>
      <c r="I112" s="1123">
        <v>39293</v>
      </c>
      <c r="J112" s="1124">
        <v>90</v>
      </c>
      <c r="K112" s="1125">
        <f t="shared" si="7"/>
        <v>39383</v>
      </c>
      <c r="L112" s="1123" t="s">
        <v>41</v>
      </c>
      <c r="M112" s="1123">
        <v>39374</v>
      </c>
      <c r="N112" s="1124">
        <f t="shared" si="8"/>
        <v>7</v>
      </c>
      <c r="O112" s="1126">
        <v>39388</v>
      </c>
      <c r="P112" s="1127">
        <v>39390</v>
      </c>
      <c r="Q112" s="1127">
        <v>39399</v>
      </c>
      <c r="R112" s="1124">
        <f t="shared" si="2"/>
        <v>106</v>
      </c>
      <c r="S112" s="1128" t="s">
        <v>1783</v>
      </c>
      <c r="T112" s="1129" t="s">
        <v>1778</v>
      </c>
      <c r="U112" s="1130" t="str">
        <f t="shared" si="3"/>
        <v>atrasado</v>
      </c>
      <c r="V112" s="1130" t="str">
        <f t="shared" si="4"/>
        <v>Octubre</v>
      </c>
      <c r="W112" s="1128">
        <f t="shared" si="5"/>
        <v>0</v>
      </c>
    </row>
    <row r="113" spans="1:23" s="1321" customFormat="1" ht="49.9" customHeight="1" thickBot="1" x14ac:dyDescent="0.2">
      <c r="A113" s="1117">
        <v>2007</v>
      </c>
      <c r="B113" s="1117">
        <v>2007</v>
      </c>
      <c r="C113" s="1118" t="s">
        <v>36</v>
      </c>
      <c r="D113" s="1119" t="s">
        <v>37</v>
      </c>
      <c r="E113" s="1120" t="s">
        <v>1784</v>
      </c>
      <c r="F113" s="1120"/>
      <c r="G113" s="1121">
        <v>7090002</v>
      </c>
      <c r="H113" s="1122">
        <v>19150</v>
      </c>
      <c r="I113" s="1123">
        <v>39331</v>
      </c>
      <c r="J113" s="1124">
        <v>60</v>
      </c>
      <c r="K113" s="1125">
        <f t="shared" si="7"/>
        <v>39391</v>
      </c>
      <c r="L113" s="1123" t="s">
        <v>41</v>
      </c>
      <c r="M113" s="1123">
        <v>39374</v>
      </c>
      <c r="N113" s="1124">
        <f t="shared" si="8"/>
        <v>-1</v>
      </c>
      <c r="O113" s="1126">
        <v>39388</v>
      </c>
      <c r="P113" s="1127">
        <v>39390</v>
      </c>
      <c r="Q113" s="1127">
        <v>39399</v>
      </c>
      <c r="R113" s="1124">
        <f t="shared" si="2"/>
        <v>68</v>
      </c>
      <c r="S113" s="1128" t="s">
        <v>6182</v>
      </c>
      <c r="T113" s="1129" t="s">
        <v>1778</v>
      </c>
      <c r="U113" s="1130" t="str">
        <f t="shared" si="3"/>
        <v>en término</v>
      </c>
      <c r="V113" s="1130" t="str">
        <f t="shared" si="4"/>
        <v>Octubre</v>
      </c>
      <c r="W113" s="1128">
        <f t="shared" si="5"/>
        <v>1</v>
      </c>
    </row>
    <row r="114" spans="1:23" s="1321" customFormat="1" ht="49.9" customHeight="1" thickBot="1" x14ac:dyDescent="0.2">
      <c r="A114" s="1117">
        <v>2007</v>
      </c>
      <c r="B114" s="1117">
        <v>2007</v>
      </c>
      <c r="C114" s="1118" t="s">
        <v>36</v>
      </c>
      <c r="D114" s="1119" t="s">
        <v>133</v>
      </c>
      <c r="E114" s="1120" t="s">
        <v>1663</v>
      </c>
      <c r="F114" s="1121" t="s">
        <v>1664</v>
      </c>
      <c r="G114" s="1121">
        <v>4501656095</v>
      </c>
      <c r="H114" s="1122">
        <v>616.70000000000005</v>
      </c>
      <c r="I114" s="1123">
        <v>39260</v>
      </c>
      <c r="J114" s="1124">
        <v>119</v>
      </c>
      <c r="K114" s="1125">
        <f t="shared" si="7"/>
        <v>39379</v>
      </c>
      <c r="L114" s="1123" t="s">
        <v>41</v>
      </c>
      <c r="M114" s="1123">
        <v>39346</v>
      </c>
      <c r="N114" s="1124">
        <f t="shared" si="8"/>
        <v>16</v>
      </c>
      <c r="O114" s="1126">
        <v>39392</v>
      </c>
      <c r="P114" s="1127">
        <v>39395</v>
      </c>
      <c r="Q114" s="1127">
        <f>+P114+10</f>
        <v>39405</v>
      </c>
      <c r="R114" s="1124">
        <f t="shared" si="2"/>
        <v>145</v>
      </c>
      <c r="S114" s="1128" t="s">
        <v>1786</v>
      </c>
      <c r="T114" s="1131" t="s">
        <v>1744</v>
      </c>
      <c r="U114" s="1128" t="str">
        <f t="shared" si="3"/>
        <v>atrasado</v>
      </c>
      <c r="V114" s="1130" t="str">
        <f t="shared" si="4"/>
        <v>Septiembre</v>
      </c>
      <c r="W114" s="1128">
        <f t="shared" si="5"/>
        <v>0</v>
      </c>
    </row>
    <row r="115" spans="1:23" s="1321" customFormat="1" ht="49.9" customHeight="1" thickBot="1" x14ac:dyDescent="0.2">
      <c r="A115" s="1117">
        <v>2007</v>
      </c>
      <c r="B115" s="1117">
        <v>2007</v>
      </c>
      <c r="C115" s="1118" t="s">
        <v>36</v>
      </c>
      <c r="D115" s="1119" t="s">
        <v>37</v>
      </c>
      <c r="E115" s="1120" t="s">
        <v>1789</v>
      </c>
      <c r="F115" s="1121" t="s">
        <v>1790</v>
      </c>
      <c r="G115" s="1121">
        <v>7080005</v>
      </c>
      <c r="H115" s="1122">
        <v>78915.179999999993</v>
      </c>
      <c r="I115" s="1123">
        <v>39310</v>
      </c>
      <c r="J115" s="1124">
        <v>90</v>
      </c>
      <c r="K115" s="1125">
        <f t="shared" si="7"/>
        <v>39400</v>
      </c>
      <c r="L115" s="1123" t="s">
        <v>41</v>
      </c>
      <c r="M115" s="1123">
        <v>39388</v>
      </c>
      <c r="N115" s="1124">
        <f t="shared" si="8"/>
        <v>-5</v>
      </c>
      <c r="O115" s="1126">
        <v>39392</v>
      </c>
      <c r="P115" s="1127">
        <v>39395</v>
      </c>
      <c r="Q115" s="1127">
        <v>39409</v>
      </c>
      <c r="R115" s="1124">
        <f t="shared" si="2"/>
        <v>99</v>
      </c>
      <c r="S115" s="1128" t="s">
        <v>1791</v>
      </c>
      <c r="T115" s="1129"/>
      <c r="U115" s="1130" t="str">
        <f t="shared" si="3"/>
        <v>en término</v>
      </c>
      <c r="V115" s="1130" t="str">
        <f t="shared" si="4"/>
        <v>Noviembre</v>
      </c>
      <c r="W115" s="1128">
        <f t="shared" si="5"/>
        <v>1</v>
      </c>
    </row>
    <row r="116" spans="1:23" s="1321" customFormat="1" ht="49.9" customHeight="1" thickBot="1" x14ac:dyDescent="0.2">
      <c r="A116" s="1117">
        <v>2007</v>
      </c>
      <c r="B116" s="1117">
        <v>2007</v>
      </c>
      <c r="C116" s="1118" t="s">
        <v>36</v>
      </c>
      <c r="D116" s="1119" t="s">
        <v>133</v>
      </c>
      <c r="E116" s="1120" t="s">
        <v>1663</v>
      </c>
      <c r="F116" s="1121" t="s">
        <v>1664</v>
      </c>
      <c r="G116" s="1121">
        <v>4501741667</v>
      </c>
      <c r="H116" s="1122">
        <v>86850.39</v>
      </c>
      <c r="I116" s="1123">
        <v>39310</v>
      </c>
      <c r="J116" s="1124">
        <v>102</v>
      </c>
      <c r="K116" s="1125">
        <f t="shared" si="7"/>
        <v>39412</v>
      </c>
      <c r="L116" s="1123" t="s">
        <v>41</v>
      </c>
      <c r="M116" s="1123">
        <v>39388</v>
      </c>
      <c r="N116" s="1124">
        <f t="shared" si="8"/>
        <v>-17</v>
      </c>
      <c r="O116" s="1126">
        <v>39392</v>
      </c>
      <c r="P116" s="1127">
        <v>39395</v>
      </c>
      <c r="Q116" s="1127">
        <v>39409</v>
      </c>
      <c r="R116" s="1124">
        <f t="shared" si="2"/>
        <v>99</v>
      </c>
      <c r="S116" s="1128" t="s">
        <v>1322</v>
      </c>
      <c r="T116" s="1129"/>
      <c r="U116" s="1130" t="str">
        <f t="shared" si="3"/>
        <v>en término</v>
      </c>
      <c r="V116" s="1130" t="str">
        <f t="shared" si="4"/>
        <v>Noviembre</v>
      </c>
      <c r="W116" s="1128">
        <f t="shared" si="5"/>
        <v>1</v>
      </c>
    </row>
    <row r="117" spans="1:23" s="1321" customFormat="1" ht="49.9" customHeight="1" thickBot="1" x14ac:dyDescent="0.2">
      <c r="A117" s="1117">
        <v>2007</v>
      </c>
      <c r="B117" s="1117">
        <v>2007</v>
      </c>
      <c r="C117" s="1118" t="s">
        <v>36</v>
      </c>
      <c r="D117" s="1119" t="s">
        <v>133</v>
      </c>
      <c r="E117" s="1120" t="s">
        <v>1663</v>
      </c>
      <c r="F117" s="1121" t="s">
        <v>1664</v>
      </c>
      <c r="G117" s="1121">
        <v>4501743373</v>
      </c>
      <c r="H117" s="1122">
        <v>11678.03</v>
      </c>
      <c r="I117" s="1123">
        <v>39311</v>
      </c>
      <c r="J117" s="1124">
        <v>104</v>
      </c>
      <c r="K117" s="1125">
        <f t="shared" si="7"/>
        <v>39415</v>
      </c>
      <c r="L117" s="1123" t="s">
        <v>41</v>
      </c>
      <c r="M117" s="1123">
        <v>39388</v>
      </c>
      <c r="N117" s="1124">
        <f t="shared" si="8"/>
        <v>-20</v>
      </c>
      <c r="O117" s="1126">
        <v>39392</v>
      </c>
      <c r="P117" s="1127">
        <v>39395</v>
      </c>
      <c r="Q117" s="1127">
        <v>39409</v>
      </c>
      <c r="R117" s="1124">
        <f t="shared" si="2"/>
        <v>98</v>
      </c>
      <c r="S117" s="1128" t="s">
        <v>1795</v>
      </c>
      <c r="T117" s="1129"/>
      <c r="U117" s="1130" t="str">
        <f t="shared" si="3"/>
        <v>en término</v>
      </c>
      <c r="V117" s="1130" t="str">
        <f t="shared" si="4"/>
        <v>Noviembre</v>
      </c>
      <c r="W117" s="1128">
        <f t="shared" si="5"/>
        <v>1</v>
      </c>
    </row>
    <row r="118" spans="1:23" s="1321" customFormat="1" ht="49.9" customHeight="1" thickBot="1" x14ac:dyDescent="0.2">
      <c r="A118" s="1117">
        <v>2007</v>
      </c>
      <c r="B118" s="1117">
        <v>2007</v>
      </c>
      <c r="C118" s="1118" t="s">
        <v>36</v>
      </c>
      <c r="D118" s="1119" t="s">
        <v>133</v>
      </c>
      <c r="E118" s="1120" t="s">
        <v>1663</v>
      </c>
      <c r="F118" s="1121" t="s">
        <v>1664</v>
      </c>
      <c r="G118" s="1121">
        <v>4501681660</v>
      </c>
      <c r="H118" s="1122">
        <v>1012</v>
      </c>
      <c r="I118" s="1123">
        <v>39274</v>
      </c>
      <c r="J118" s="1124">
        <v>106</v>
      </c>
      <c r="K118" s="1125">
        <f t="shared" si="7"/>
        <v>39380</v>
      </c>
      <c r="L118" s="1123" t="s">
        <v>41</v>
      </c>
      <c r="M118" s="1123">
        <v>39402</v>
      </c>
      <c r="N118" s="1124">
        <f t="shared" si="8"/>
        <v>27</v>
      </c>
      <c r="O118" s="1126"/>
      <c r="P118" s="1127">
        <v>39407</v>
      </c>
      <c r="Q118" s="1127">
        <f>+P118+10</f>
        <v>39417</v>
      </c>
      <c r="R118" s="1124">
        <f t="shared" si="2"/>
        <v>143</v>
      </c>
      <c r="S118" s="1128" t="s">
        <v>1798</v>
      </c>
      <c r="T118" s="1131" t="s">
        <v>1801</v>
      </c>
      <c r="U118" s="1128" t="str">
        <f t="shared" si="3"/>
        <v>atrasado</v>
      </c>
      <c r="V118" s="1130" t="str">
        <f t="shared" si="4"/>
        <v>Noviembre</v>
      </c>
      <c r="W118" s="1128">
        <f t="shared" si="5"/>
        <v>0</v>
      </c>
    </row>
    <row r="119" spans="1:23" s="1321" customFormat="1" ht="49.9" customHeight="1" thickBot="1" x14ac:dyDescent="0.2">
      <c r="A119" s="1117">
        <v>2007</v>
      </c>
      <c r="B119" s="1117">
        <v>2007</v>
      </c>
      <c r="C119" s="1118" t="s">
        <v>36</v>
      </c>
      <c r="D119" s="1119" t="s">
        <v>133</v>
      </c>
      <c r="E119" s="1120" t="s">
        <v>1802</v>
      </c>
      <c r="F119" s="1121" t="s">
        <v>1803</v>
      </c>
      <c r="G119" s="1121">
        <v>4501856775</v>
      </c>
      <c r="H119" s="1122">
        <v>8432.24</v>
      </c>
      <c r="I119" s="1123">
        <v>39379</v>
      </c>
      <c r="J119" s="1124">
        <v>66</v>
      </c>
      <c r="K119" s="1125">
        <f t="shared" si="7"/>
        <v>39445</v>
      </c>
      <c r="L119" s="1123" t="s">
        <v>41</v>
      </c>
      <c r="M119" s="1123">
        <v>39413</v>
      </c>
      <c r="N119" s="1124">
        <f t="shared" si="8"/>
        <v>-29</v>
      </c>
      <c r="O119" s="1126">
        <v>39416</v>
      </c>
      <c r="P119" s="1127">
        <v>39416</v>
      </c>
      <c r="Q119" s="1127">
        <v>39434</v>
      </c>
      <c r="R119" s="1124">
        <f t="shared" si="2"/>
        <v>55</v>
      </c>
      <c r="S119" s="1128" t="s">
        <v>6183</v>
      </c>
      <c r="T119" s="1129"/>
      <c r="U119" s="1130" t="str">
        <f t="shared" si="3"/>
        <v>en término</v>
      </c>
      <c r="V119" s="1130" t="str">
        <f t="shared" si="4"/>
        <v>Noviembre</v>
      </c>
      <c r="W119" s="1128">
        <f t="shared" si="5"/>
        <v>1</v>
      </c>
    </row>
    <row r="120" spans="1:23" s="1321" customFormat="1" ht="49.9" customHeight="1" thickBot="1" x14ac:dyDescent="0.2">
      <c r="A120" s="1117">
        <v>2007</v>
      </c>
      <c r="B120" s="1117">
        <v>2007</v>
      </c>
      <c r="C120" s="1118" t="s">
        <v>36</v>
      </c>
      <c r="D120" s="1119" t="s">
        <v>133</v>
      </c>
      <c r="E120" s="1120" t="s">
        <v>1663</v>
      </c>
      <c r="F120" s="1121" t="s">
        <v>1664</v>
      </c>
      <c r="G120" s="1121">
        <v>4501808848</v>
      </c>
      <c r="H120" s="1122">
        <v>7764.87</v>
      </c>
      <c r="I120" s="1123">
        <v>39351</v>
      </c>
      <c r="J120" s="1124">
        <v>102</v>
      </c>
      <c r="K120" s="1125">
        <f t="shared" si="7"/>
        <v>39453</v>
      </c>
      <c r="L120" s="1123" t="s">
        <v>41</v>
      </c>
      <c r="M120" s="1123">
        <v>39413</v>
      </c>
      <c r="N120" s="1124">
        <f t="shared" si="8"/>
        <v>-37</v>
      </c>
      <c r="O120" s="1126">
        <v>39416</v>
      </c>
      <c r="P120" s="1127">
        <v>39416</v>
      </c>
      <c r="Q120" s="1127">
        <v>39434</v>
      </c>
      <c r="R120" s="1124">
        <f t="shared" si="2"/>
        <v>83</v>
      </c>
      <c r="S120" s="1128" t="s">
        <v>1808</v>
      </c>
      <c r="T120" s="1129"/>
      <c r="U120" s="1130" t="str">
        <f t="shared" si="3"/>
        <v>en término</v>
      </c>
      <c r="V120" s="1130" t="str">
        <f t="shared" si="4"/>
        <v>Noviembre</v>
      </c>
      <c r="W120" s="1128">
        <f t="shared" si="5"/>
        <v>1</v>
      </c>
    </row>
    <row r="121" spans="1:23" s="1321" customFormat="1" ht="49.9" customHeight="1" thickBot="1" x14ac:dyDescent="0.2">
      <c r="A121" s="1117">
        <v>2007</v>
      </c>
      <c r="B121" s="1117">
        <v>2007</v>
      </c>
      <c r="C121" s="1118" t="s">
        <v>36</v>
      </c>
      <c r="D121" s="1119" t="s">
        <v>133</v>
      </c>
      <c r="E121" s="1120" t="s">
        <v>1663</v>
      </c>
      <c r="F121" s="1121" t="s">
        <v>1664</v>
      </c>
      <c r="G121" s="1121">
        <v>4501806419</v>
      </c>
      <c r="H121" s="1122">
        <v>26750.7</v>
      </c>
      <c r="I121" s="1123">
        <v>39350</v>
      </c>
      <c r="J121" s="1124">
        <v>96</v>
      </c>
      <c r="K121" s="1125">
        <f t="shared" si="7"/>
        <v>39446</v>
      </c>
      <c r="L121" s="1123" t="s">
        <v>41</v>
      </c>
      <c r="M121" s="1123">
        <v>39413</v>
      </c>
      <c r="N121" s="1124">
        <f t="shared" si="8"/>
        <v>-30</v>
      </c>
      <c r="O121" s="1126">
        <v>39416</v>
      </c>
      <c r="P121" s="1127">
        <v>39416</v>
      </c>
      <c r="Q121" s="1127">
        <v>39434</v>
      </c>
      <c r="R121" s="1124">
        <f t="shared" si="2"/>
        <v>84</v>
      </c>
      <c r="S121" s="1128" t="s">
        <v>1812</v>
      </c>
      <c r="T121" s="1129"/>
      <c r="U121" s="1130" t="str">
        <f t="shared" si="3"/>
        <v>en término</v>
      </c>
      <c r="V121" s="1130" t="str">
        <f t="shared" si="4"/>
        <v>Noviembre</v>
      </c>
      <c r="W121" s="1128">
        <f t="shared" si="5"/>
        <v>1</v>
      </c>
    </row>
    <row r="122" spans="1:23" s="1321" customFormat="1" ht="49.9" customHeight="1" thickBot="1" x14ac:dyDescent="0.2">
      <c r="A122" s="1117">
        <v>2007</v>
      </c>
      <c r="B122" s="1117">
        <v>2007</v>
      </c>
      <c r="C122" s="1118" t="s">
        <v>36</v>
      </c>
      <c r="D122" s="1119" t="s">
        <v>133</v>
      </c>
      <c r="E122" s="1120" t="s">
        <v>1663</v>
      </c>
      <c r="F122" s="1121" t="s">
        <v>1664</v>
      </c>
      <c r="G122" s="1121">
        <v>4501844821</v>
      </c>
      <c r="H122" s="1122">
        <v>1371.61</v>
      </c>
      <c r="I122" s="1123">
        <v>39371</v>
      </c>
      <c r="J122" s="1124">
        <v>93</v>
      </c>
      <c r="K122" s="1125">
        <f t="shared" si="7"/>
        <v>39464</v>
      </c>
      <c r="L122" s="1123" t="s">
        <v>41</v>
      </c>
      <c r="M122" s="1123">
        <v>39413</v>
      </c>
      <c r="N122" s="1124">
        <f t="shared" si="8"/>
        <v>-48</v>
      </c>
      <c r="O122" s="1126">
        <v>39416</v>
      </c>
      <c r="P122" s="1127">
        <v>39416</v>
      </c>
      <c r="Q122" s="1127">
        <v>39434</v>
      </c>
      <c r="R122" s="1124">
        <f t="shared" si="2"/>
        <v>63</v>
      </c>
      <c r="S122" s="1128" t="s">
        <v>53</v>
      </c>
      <c r="T122" s="1129"/>
      <c r="U122" s="1130" t="str">
        <f t="shared" si="3"/>
        <v>en término</v>
      </c>
      <c r="V122" s="1130" t="str">
        <f t="shared" si="4"/>
        <v>Noviembre</v>
      </c>
      <c r="W122" s="1128">
        <f t="shared" si="5"/>
        <v>1</v>
      </c>
    </row>
    <row r="123" spans="1:23" s="1321" customFormat="1" ht="49.9" customHeight="1" thickBot="1" x14ac:dyDescent="0.2">
      <c r="A123" s="1117">
        <v>2007</v>
      </c>
      <c r="B123" s="1117">
        <v>2007</v>
      </c>
      <c r="C123" s="1118" t="s">
        <v>36</v>
      </c>
      <c r="D123" s="1119" t="s">
        <v>133</v>
      </c>
      <c r="E123" s="1120" t="s">
        <v>1663</v>
      </c>
      <c r="F123" s="1121" t="s">
        <v>1664</v>
      </c>
      <c r="G123" s="1121">
        <v>4501596029</v>
      </c>
      <c r="H123" s="1122">
        <v>68909.39</v>
      </c>
      <c r="I123" s="1123">
        <v>39224</v>
      </c>
      <c r="J123" s="1124">
        <v>97</v>
      </c>
      <c r="K123" s="1125">
        <f t="shared" si="7"/>
        <v>39321</v>
      </c>
      <c r="L123" s="1123" t="s">
        <v>41</v>
      </c>
      <c r="M123" s="1123">
        <v>39413</v>
      </c>
      <c r="N123" s="1124">
        <f t="shared" si="8"/>
        <v>95</v>
      </c>
      <c r="O123" s="1126">
        <v>39416</v>
      </c>
      <c r="P123" s="1127">
        <v>39416</v>
      </c>
      <c r="Q123" s="1127">
        <v>39434</v>
      </c>
      <c r="R123" s="1124">
        <f t="shared" si="2"/>
        <v>210</v>
      </c>
      <c r="S123" s="1128" t="s">
        <v>1340</v>
      </c>
      <c r="T123" s="1129" t="s">
        <v>1814</v>
      </c>
      <c r="U123" s="1130" t="str">
        <f t="shared" si="3"/>
        <v>atrasado</v>
      </c>
      <c r="V123" s="1130" t="str">
        <f t="shared" si="4"/>
        <v>Noviembre</v>
      </c>
      <c r="W123" s="1128">
        <f t="shared" si="5"/>
        <v>0</v>
      </c>
    </row>
    <row r="124" spans="1:23" s="1321" customFormat="1" ht="49.9" customHeight="1" thickBot="1" x14ac:dyDescent="0.2">
      <c r="A124" s="1117">
        <v>2007</v>
      </c>
      <c r="B124" s="1117">
        <v>2007</v>
      </c>
      <c r="C124" s="1118" t="s">
        <v>36</v>
      </c>
      <c r="D124" s="1119" t="s">
        <v>133</v>
      </c>
      <c r="E124" s="1120" t="s">
        <v>1663</v>
      </c>
      <c r="F124" s="1121" t="s">
        <v>1664</v>
      </c>
      <c r="G124" s="1121">
        <v>4501787104</v>
      </c>
      <c r="H124" s="1122">
        <v>108585.87</v>
      </c>
      <c r="I124" s="1123">
        <v>39337</v>
      </c>
      <c r="J124" s="1124">
        <v>106</v>
      </c>
      <c r="K124" s="1125">
        <f t="shared" si="7"/>
        <v>39443</v>
      </c>
      <c r="L124" s="1123" t="s">
        <v>41</v>
      </c>
      <c r="M124" s="1123">
        <v>39413</v>
      </c>
      <c r="N124" s="1124">
        <f t="shared" si="8"/>
        <v>-27</v>
      </c>
      <c r="O124" s="1126">
        <v>39416</v>
      </c>
      <c r="P124" s="1127">
        <v>39416</v>
      </c>
      <c r="Q124" s="1127">
        <v>39434</v>
      </c>
      <c r="R124" s="1124">
        <f t="shared" si="2"/>
        <v>97</v>
      </c>
      <c r="S124" s="1128" t="s">
        <v>1058</v>
      </c>
      <c r="T124" s="1129"/>
      <c r="U124" s="1130" t="str">
        <f t="shared" si="3"/>
        <v>en término</v>
      </c>
      <c r="V124" s="1130" t="str">
        <f t="shared" si="4"/>
        <v>Noviembre</v>
      </c>
      <c r="W124" s="1128">
        <f t="shared" si="5"/>
        <v>1</v>
      </c>
    </row>
    <row r="125" spans="1:23" s="1321" customFormat="1" ht="49.9" customHeight="1" thickBot="1" x14ac:dyDescent="0.2">
      <c r="A125" s="1117">
        <v>2007</v>
      </c>
      <c r="B125" s="1117">
        <v>2007</v>
      </c>
      <c r="C125" s="1118" t="s">
        <v>36</v>
      </c>
      <c r="D125" s="1119" t="s">
        <v>37</v>
      </c>
      <c r="E125" s="1120" t="s">
        <v>1816</v>
      </c>
      <c r="F125" s="1121" t="s">
        <v>1817</v>
      </c>
      <c r="G125" s="1121">
        <v>7110001</v>
      </c>
      <c r="H125" s="1122">
        <v>6375</v>
      </c>
      <c r="I125" s="1123">
        <v>39399</v>
      </c>
      <c r="J125" s="1124">
        <v>30</v>
      </c>
      <c r="K125" s="1125">
        <f t="shared" si="7"/>
        <v>39429</v>
      </c>
      <c r="L125" s="1123" t="s">
        <v>41</v>
      </c>
      <c r="M125" s="1123">
        <v>39413</v>
      </c>
      <c r="N125" s="1124">
        <f t="shared" si="8"/>
        <v>-13</v>
      </c>
      <c r="O125" s="1126">
        <v>39416</v>
      </c>
      <c r="P125" s="1127">
        <v>39416</v>
      </c>
      <c r="Q125" s="1127">
        <v>39434</v>
      </c>
      <c r="R125" s="1124">
        <f t="shared" si="2"/>
        <v>35</v>
      </c>
      <c r="S125" s="1128" t="s">
        <v>53</v>
      </c>
      <c r="T125" s="1129"/>
      <c r="U125" s="1130" t="str">
        <f t="shared" si="3"/>
        <v>en término</v>
      </c>
      <c r="V125" s="1130" t="str">
        <f t="shared" si="4"/>
        <v>Noviembre</v>
      </c>
      <c r="W125" s="1128">
        <f t="shared" si="5"/>
        <v>1</v>
      </c>
    </row>
    <row r="126" spans="1:23" s="1321" customFormat="1" ht="49.9" customHeight="1" thickBot="1" x14ac:dyDescent="0.2">
      <c r="A126" s="1117">
        <v>2007</v>
      </c>
      <c r="B126" s="1117">
        <v>2007</v>
      </c>
      <c r="C126" s="1118" t="s">
        <v>78</v>
      </c>
      <c r="D126" s="1119" t="s">
        <v>79</v>
      </c>
      <c r="E126" s="1120" t="s">
        <v>3638</v>
      </c>
      <c r="F126" s="1120"/>
      <c r="G126" s="1121" t="s">
        <v>3639</v>
      </c>
      <c r="H126" s="1122">
        <v>906</v>
      </c>
      <c r="I126" s="1123">
        <v>39162</v>
      </c>
      <c r="J126" s="1124">
        <v>30</v>
      </c>
      <c r="K126" s="1125">
        <f t="shared" si="7"/>
        <v>39192</v>
      </c>
      <c r="L126" s="1123" t="s">
        <v>124</v>
      </c>
      <c r="M126" s="1123">
        <v>39182</v>
      </c>
      <c r="N126" s="1124">
        <f t="shared" si="8"/>
        <v>3</v>
      </c>
      <c r="O126" s="1124"/>
      <c r="P126" s="1132">
        <v>39195</v>
      </c>
      <c r="Q126" s="1123">
        <v>39198</v>
      </c>
      <c r="R126" s="1124">
        <f t="shared" si="2"/>
        <v>36</v>
      </c>
      <c r="S126" s="1121" t="s">
        <v>2087</v>
      </c>
      <c r="T126" s="1120"/>
      <c r="U126" s="1120" t="str">
        <f t="shared" si="3"/>
        <v>atrasado</v>
      </c>
      <c r="V126" s="1130" t="str">
        <f t="shared" si="4"/>
        <v>Abril</v>
      </c>
      <c r="W126" s="1128">
        <f t="shared" si="5"/>
        <v>0</v>
      </c>
    </row>
    <row r="127" spans="1:23" s="1321" customFormat="1" ht="49.9" customHeight="1" thickBot="1" x14ac:dyDescent="0.2">
      <c r="A127" s="1117">
        <v>2007</v>
      </c>
      <c r="B127" s="1117">
        <v>2007</v>
      </c>
      <c r="C127" s="1118" t="s">
        <v>4005</v>
      </c>
      <c r="D127" s="1119" t="s">
        <v>4236</v>
      </c>
      <c r="E127" s="1120" t="s">
        <v>4487</v>
      </c>
      <c r="F127" s="1120"/>
      <c r="G127" s="1121" t="s">
        <v>4488</v>
      </c>
      <c r="H127" s="1122">
        <v>214979.20000000001</v>
      </c>
      <c r="I127" s="1123">
        <v>39066</v>
      </c>
      <c r="J127" s="1124">
        <v>20</v>
      </c>
      <c r="K127" s="1125">
        <f t="shared" si="7"/>
        <v>39086</v>
      </c>
      <c r="L127" s="1133" t="s">
        <v>4405</v>
      </c>
      <c r="M127" s="1123">
        <v>39098</v>
      </c>
      <c r="N127" s="1124">
        <f>IF(M127="","",+M127-K127)</f>
        <v>12</v>
      </c>
      <c r="O127" s="1123">
        <v>39106</v>
      </c>
      <c r="P127" s="1132">
        <v>39115</v>
      </c>
      <c r="Q127" s="1123">
        <f>+P127+20</f>
        <v>39135</v>
      </c>
      <c r="R127" s="1124">
        <f t="shared" si="2"/>
        <v>69</v>
      </c>
      <c r="S127" s="1128" t="s">
        <v>4489</v>
      </c>
      <c r="T127" s="1131" t="s">
        <v>4492</v>
      </c>
      <c r="U127" s="1128" t="str">
        <f t="shared" si="3"/>
        <v>atrasado</v>
      </c>
      <c r="V127" s="1130" t="str">
        <f t="shared" si="4"/>
        <v>Enero</v>
      </c>
      <c r="W127" s="1128">
        <f t="shared" si="5"/>
        <v>0</v>
      </c>
    </row>
    <row r="128" spans="1:23" s="1321" customFormat="1" ht="49.9" customHeight="1" thickBot="1" x14ac:dyDescent="0.2">
      <c r="A128" s="1117">
        <v>2007</v>
      </c>
      <c r="B128" s="1117">
        <v>2007</v>
      </c>
      <c r="C128" s="1118" t="s">
        <v>4005</v>
      </c>
      <c r="D128" s="1119" t="s">
        <v>4236</v>
      </c>
      <c r="E128" s="1120" t="s">
        <v>4498</v>
      </c>
      <c r="F128" s="1120"/>
      <c r="G128" s="1121" t="s">
        <v>4499</v>
      </c>
      <c r="H128" s="1122">
        <v>264301.3</v>
      </c>
      <c r="I128" s="1123">
        <v>39149</v>
      </c>
      <c r="J128" s="1124">
        <v>25</v>
      </c>
      <c r="K128" s="1125">
        <f t="shared" si="7"/>
        <v>39174</v>
      </c>
      <c r="L128" s="1133" t="s">
        <v>4405</v>
      </c>
      <c r="M128" s="1123">
        <v>39176</v>
      </c>
      <c r="N128" s="1124">
        <f>IF(M128="","",+M128-K128)</f>
        <v>2</v>
      </c>
      <c r="O128" s="1123">
        <v>39180</v>
      </c>
      <c r="P128" s="1132">
        <v>39183</v>
      </c>
      <c r="Q128" s="1123">
        <v>39213</v>
      </c>
      <c r="R128" s="1124">
        <f t="shared" si="2"/>
        <v>64</v>
      </c>
      <c r="S128" s="1128" t="s">
        <v>4500</v>
      </c>
      <c r="T128" s="1134"/>
      <c r="U128" s="1130" t="str">
        <f t="shared" si="3"/>
        <v>atrasado</v>
      </c>
      <c r="V128" s="1130" t="str">
        <f t="shared" si="4"/>
        <v>Abril</v>
      </c>
      <c r="W128" s="1128">
        <f t="shared" si="5"/>
        <v>0</v>
      </c>
    </row>
    <row r="129" spans="1:23" s="1321" customFormat="1" ht="49.9" customHeight="1" thickBot="1" x14ac:dyDescent="0.2">
      <c r="A129" s="1117">
        <v>2007</v>
      </c>
      <c r="B129" s="1117">
        <v>2007</v>
      </c>
      <c r="C129" s="1118" t="s">
        <v>4005</v>
      </c>
      <c r="D129" s="1119" t="s">
        <v>4236</v>
      </c>
      <c r="E129" s="1120" t="s">
        <v>4508</v>
      </c>
      <c r="F129" s="1120"/>
      <c r="G129" s="1121" t="s">
        <v>4509</v>
      </c>
      <c r="H129" s="1122">
        <v>93676.800000000003</v>
      </c>
      <c r="I129" s="1123">
        <v>39190</v>
      </c>
      <c r="J129" s="1124">
        <v>12</v>
      </c>
      <c r="K129" s="1125">
        <f t="shared" si="7"/>
        <v>39202</v>
      </c>
      <c r="L129" s="1133" t="s">
        <v>4405</v>
      </c>
      <c r="M129" s="1123">
        <v>39204</v>
      </c>
      <c r="N129" s="1124">
        <f>IF(M129="","",+M129-K129)</f>
        <v>2</v>
      </c>
      <c r="O129" s="1123">
        <v>39210</v>
      </c>
      <c r="P129" s="1132">
        <v>39221</v>
      </c>
      <c r="Q129" s="1123">
        <v>39247</v>
      </c>
      <c r="R129" s="1124">
        <f t="shared" si="2"/>
        <v>57</v>
      </c>
      <c r="S129" s="1128" t="s">
        <v>4510</v>
      </c>
      <c r="T129" s="1134"/>
      <c r="U129" s="1130" t="str">
        <f t="shared" si="3"/>
        <v>atrasado</v>
      </c>
      <c r="V129" s="1130" t="str">
        <f t="shared" si="4"/>
        <v>Mayo</v>
      </c>
      <c r="W129" s="1128">
        <f t="shared" si="5"/>
        <v>0</v>
      </c>
    </row>
    <row r="130" spans="1:23" s="1321" customFormat="1" ht="49.9" customHeight="1" thickBot="1" x14ac:dyDescent="0.2">
      <c r="A130" s="1117">
        <v>2007</v>
      </c>
      <c r="B130" s="1117">
        <v>2007</v>
      </c>
      <c r="C130" s="1118" t="s">
        <v>4005</v>
      </c>
      <c r="D130" s="1119" t="s">
        <v>4236</v>
      </c>
      <c r="E130" s="1120" t="s">
        <v>4519</v>
      </c>
      <c r="F130" s="1120"/>
      <c r="G130" s="1121" t="s">
        <v>4520</v>
      </c>
      <c r="H130" s="1122">
        <v>111684.4</v>
      </c>
      <c r="I130" s="1123">
        <v>39234</v>
      </c>
      <c r="J130" s="1124">
        <v>30</v>
      </c>
      <c r="K130" s="1125">
        <f t="shared" ref="K130:K161" si="9">+I130+J130</f>
        <v>39264</v>
      </c>
      <c r="L130" s="1133" t="s">
        <v>4405</v>
      </c>
      <c r="M130" s="1123">
        <v>39266</v>
      </c>
      <c r="N130" s="1124">
        <f>IF(M130="","",+M130-K130)</f>
        <v>2</v>
      </c>
      <c r="O130" s="1123">
        <v>39280</v>
      </c>
      <c r="P130" s="1132">
        <v>39284</v>
      </c>
      <c r="Q130" s="1123">
        <v>39310</v>
      </c>
      <c r="R130" s="1124">
        <f t="shared" ref="R130:R193" si="10">IF(Q130="","",+Q130-I130)</f>
        <v>76</v>
      </c>
      <c r="S130" s="1128" t="s">
        <v>4521</v>
      </c>
      <c r="T130" s="1129" t="s">
        <v>4492</v>
      </c>
      <c r="U130" s="1130" t="str">
        <f t="shared" ref="U130:U193" si="11">IF(N130="","",IF(N130&lt;=0,"en término","atrasado"))</f>
        <v>atrasado</v>
      </c>
      <c r="V130" s="1130" t="str">
        <f t="shared" ref="V130:V193" si="12">VLOOKUP(MONTH(M130),$Y$66:$Z$77,2,FALSE)</f>
        <v>Julio</v>
      </c>
      <c r="W130" s="1128">
        <f t="shared" ref="W130:W193" si="13">+IF(U130="atrasado",0)+IF(U130="en término",1)</f>
        <v>0</v>
      </c>
    </row>
    <row r="131" spans="1:23" s="1321" customFormat="1" ht="49.9" customHeight="1" thickBot="1" x14ac:dyDescent="0.2">
      <c r="A131" s="1117">
        <v>2007</v>
      </c>
      <c r="B131" s="1117">
        <v>2007</v>
      </c>
      <c r="C131" s="1118" t="s">
        <v>4005</v>
      </c>
      <c r="D131" s="1119" t="s">
        <v>4236</v>
      </c>
      <c r="E131" s="1120" t="s">
        <v>4527</v>
      </c>
      <c r="F131" s="1120"/>
      <c r="G131" s="1121" t="s">
        <v>4528</v>
      </c>
      <c r="H131" s="1122">
        <v>176741</v>
      </c>
      <c r="I131" s="1123">
        <v>39279</v>
      </c>
      <c r="J131" s="1124">
        <v>30</v>
      </c>
      <c r="K131" s="1125">
        <f t="shared" si="9"/>
        <v>39309</v>
      </c>
      <c r="L131" s="1133" t="s">
        <v>4405</v>
      </c>
      <c r="M131" s="1123">
        <v>39360</v>
      </c>
      <c r="N131" s="1124">
        <v>0</v>
      </c>
      <c r="O131" s="1123">
        <v>39371</v>
      </c>
      <c r="P131" s="1132">
        <v>39377</v>
      </c>
      <c r="Q131" s="1125">
        <f>+P131+25</f>
        <v>39402</v>
      </c>
      <c r="R131" s="1124">
        <f t="shared" si="10"/>
        <v>123</v>
      </c>
      <c r="S131" s="1128" t="s">
        <v>4529</v>
      </c>
      <c r="T131" s="1129" t="s">
        <v>4531</v>
      </c>
      <c r="U131" s="1130" t="str">
        <f t="shared" si="11"/>
        <v>en término</v>
      </c>
      <c r="V131" s="1130" t="str">
        <f t="shared" si="12"/>
        <v>Octubre</v>
      </c>
      <c r="W131" s="1128">
        <f t="shared" si="13"/>
        <v>1</v>
      </c>
    </row>
    <row r="132" spans="1:23" s="1321" customFormat="1" ht="49.9" customHeight="1" thickBot="1" x14ac:dyDescent="0.2">
      <c r="A132" s="1117">
        <v>2007</v>
      </c>
      <c r="B132" s="1117">
        <v>2007</v>
      </c>
      <c r="C132" s="1118" t="s">
        <v>4005</v>
      </c>
      <c r="D132" s="1119" t="s">
        <v>4236</v>
      </c>
      <c r="E132" s="1120" t="s">
        <v>4543</v>
      </c>
      <c r="F132" s="1120"/>
      <c r="G132" s="1121" t="s">
        <v>4544</v>
      </c>
      <c r="H132" s="1122">
        <v>56235.7</v>
      </c>
      <c r="I132" s="1123">
        <v>39385</v>
      </c>
      <c r="J132" s="1124">
        <v>30</v>
      </c>
      <c r="K132" s="1125">
        <f t="shared" si="9"/>
        <v>39415</v>
      </c>
      <c r="L132" s="1133" t="s">
        <v>4405</v>
      </c>
      <c r="M132" s="1123">
        <v>39434</v>
      </c>
      <c r="N132" s="1124">
        <v>0</v>
      </c>
      <c r="O132" s="1123">
        <v>39437</v>
      </c>
      <c r="P132" s="1132">
        <v>39446</v>
      </c>
      <c r="Q132" s="1132">
        <f>+P132+30</f>
        <v>39476</v>
      </c>
      <c r="R132" s="1124">
        <f t="shared" si="10"/>
        <v>91</v>
      </c>
      <c r="S132" s="1128" t="s">
        <v>4546</v>
      </c>
      <c r="T132" s="1129" t="s">
        <v>6184</v>
      </c>
      <c r="U132" s="1130" t="str">
        <f t="shared" si="11"/>
        <v>en término</v>
      </c>
      <c r="V132" s="1130" t="str">
        <f t="shared" si="12"/>
        <v>Diciembre</v>
      </c>
      <c r="W132" s="1128">
        <f t="shared" si="13"/>
        <v>1</v>
      </c>
    </row>
    <row r="133" spans="1:23" s="1321" customFormat="1" ht="49.9" customHeight="1" thickBot="1" x14ac:dyDescent="0.2">
      <c r="A133" s="1117">
        <v>2007</v>
      </c>
      <c r="B133" s="1117">
        <v>2007</v>
      </c>
      <c r="C133" s="1135" t="s">
        <v>114</v>
      </c>
      <c r="D133" s="1136" t="s">
        <v>115</v>
      </c>
      <c r="E133" s="1120" t="s">
        <v>4746</v>
      </c>
      <c r="F133" s="1137"/>
      <c r="G133" s="1138">
        <v>15502583</v>
      </c>
      <c r="H133" s="1139">
        <v>7280</v>
      </c>
      <c r="I133" s="1123">
        <v>39101</v>
      </c>
      <c r="J133" s="1124">
        <v>65</v>
      </c>
      <c r="K133" s="1125">
        <f t="shared" si="9"/>
        <v>39166</v>
      </c>
      <c r="L133" s="1123" t="s">
        <v>124</v>
      </c>
      <c r="M133" s="1123">
        <v>39156</v>
      </c>
      <c r="N133" s="1124">
        <v>0</v>
      </c>
      <c r="O133" s="1123">
        <v>39192</v>
      </c>
      <c r="P133" s="1125">
        <v>39199</v>
      </c>
      <c r="Q133" s="1123">
        <f>+P133+30</f>
        <v>39229</v>
      </c>
      <c r="R133" s="1124">
        <f t="shared" si="10"/>
        <v>128</v>
      </c>
      <c r="S133" s="1128" t="s">
        <v>6185</v>
      </c>
      <c r="T133" s="1140" t="s">
        <v>6186</v>
      </c>
      <c r="U133" s="1141" t="str">
        <f t="shared" si="11"/>
        <v>en término</v>
      </c>
      <c r="V133" s="1130" t="str">
        <f t="shared" si="12"/>
        <v>Marzo</v>
      </c>
      <c r="W133" s="1128">
        <f t="shared" si="13"/>
        <v>1</v>
      </c>
    </row>
    <row r="134" spans="1:23" s="1321" customFormat="1" ht="49.9" customHeight="1" thickBot="1" x14ac:dyDescent="0.2">
      <c r="A134" s="1117">
        <v>2007</v>
      </c>
      <c r="B134" s="1117">
        <v>2007</v>
      </c>
      <c r="C134" s="1135" t="s">
        <v>114</v>
      </c>
      <c r="D134" s="1136" t="s">
        <v>115</v>
      </c>
      <c r="E134" s="1120" t="s">
        <v>4751</v>
      </c>
      <c r="F134" s="1137"/>
      <c r="G134" s="1138">
        <v>15502612</v>
      </c>
      <c r="H134" s="1139">
        <v>7280</v>
      </c>
      <c r="I134" s="1123">
        <v>39150</v>
      </c>
      <c r="J134" s="1124">
        <v>16</v>
      </c>
      <c r="K134" s="1125">
        <f t="shared" si="9"/>
        <v>39166</v>
      </c>
      <c r="L134" s="1123" t="s">
        <v>124</v>
      </c>
      <c r="M134" s="1123">
        <v>39156</v>
      </c>
      <c r="N134" s="1124">
        <v>0</v>
      </c>
      <c r="O134" s="1123">
        <v>39192</v>
      </c>
      <c r="P134" s="1125">
        <v>39199</v>
      </c>
      <c r="Q134" s="1123">
        <f>+P134+30</f>
        <v>39229</v>
      </c>
      <c r="R134" s="1124">
        <f t="shared" si="10"/>
        <v>79</v>
      </c>
      <c r="S134" s="1128" t="s">
        <v>6185</v>
      </c>
      <c r="T134" s="1140" t="s">
        <v>6186</v>
      </c>
      <c r="U134" s="1141" t="str">
        <f t="shared" si="11"/>
        <v>en término</v>
      </c>
      <c r="V134" s="1130" t="str">
        <f t="shared" si="12"/>
        <v>Marzo</v>
      </c>
      <c r="W134" s="1128">
        <f t="shared" si="13"/>
        <v>1</v>
      </c>
    </row>
    <row r="135" spans="1:23" s="1321" customFormat="1" ht="49.9" customHeight="1" thickBot="1" x14ac:dyDescent="0.2">
      <c r="A135" s="1117">
        <v>2007</v>
      </c>
      <c r="B135" s="1117">
        <v>2007</v>
      </c>
      <c r="C135" s="1118" t="s">
        <v>114</v>
      </c>
      <c r="D135" s="1119" t="s">
        <v>115</v>
      </c>
      <c r="E135" s="1120" t="s">
        <v>4752</v>
      </c>
      <c r="F135" s="1120"/>
      <c r="G135" s="1121" t="s">
        <v>4753</v>
      </c>
      <c r="H135" s="1122">
        <v>12410.04</v>
      </c>
      <c r="I135" s="1123">
        <v>39405</v>
      </c>
      <c r="J135" s="1124">
        <v>30</v>
      </c>
      <c r="K135" s="1125">
        <f t="shared" si="9"/>
        <v>39435</v>
      </c>
      <c r="L135" s="1123" t="s">
        <v>124</v>
      </c>
      <c r="M135" s="1123">
        <v>39434</v>
      </c>
      <c r="N135" s="1124">
        <f t="shared" ref="N135:N143" si="14">IF(P135="","",+P135-K135)</f>
        <v>14</v>
      </c>
      <c r="O135" s="1123">
        <v>39442</v>
      </c>
      <c r="P135" s="1132">
        <v>39449</v>
      </c>
      <c r="Q135" s="1125">
        <f>+P135+20</f>
        <v>39469</v>
      </c>
      <c r="R135" s="1124">
        <f t="shared" si="10"/>
        <v>64</v>
      </c>
      <c r="S135" s="1128" t="s">
        <v>6187</v>
      </c>
      <c r="T135" s="1140"/>
      <c r="U135" s="1141" t="str">
        <f t="shared" si="11"/>
        <v>atrasado</v>
      </c>
      <c r="V135" s="1130" t="str">
        <f t="shared" si="12"/>
        <v>Diciembre</v>
      </c>
      <c r="W135" s="1128">
        <f t="shared" si="13"/>
        <v>0</v>
      </c>
    </row>
    <row r="136" spans="1:23" s="1321" customFormat="1" ht="49.9" customHeight="1" thickBot="1" x14ac:dyDescent="0.2">
      <c r="A136" s="1117">
        <v>2007</v>
      </c>
      <c r="B136" s="1117">
        <v>2007</v>
      </c>
      <c r="C136" s="1118" t="s">
        <v>4832</v>
      </c>
      <c r="D136" s="1119" t="s">
        <v>4910</v>
      </c>
      <c r="E136" s="1120" t="s">
        <v>4952</v>
      </c>
      <c r="F136" s="1120"/>
      <c r="G136" s="1121" t="s">
        <v>4953</v>
      </c>
      <c r="H136" s="1122">
        <v>36690</v>
      </c>
      <c r="I136" s="1123">
        <v>39043</v>
      </c>
      <c r="J136" s="1124">
        <v>64</v>
      </c>
      <c r="K136" s="1125">
        <f t="shared" si="9"/>
        <v>39107</v>
      </c>
      <c r="L136" s="1123" t="s">
        <v>124</v>
      </c>
      <c r="M136" s="1123">
        <v>39094</v>
      </c>
      <c r="N136" s="1124">
        <f t="shared" si="14"/>
        <v>-3</v>
      </c>
      <c r="O136" s="1126">
        <v>39100</v>
      </c>
      <c r="P136" s="1127">
        <v>39104</v>
      </c>
      <c r="Q136" s="1126">
        <f>+P136+20</f>
        <v>39124</v>
      </c>
      <c r="R136" s="1124">
        <f t="shared" si="10"/>
        <v>81</v>
      </c>
      <c r="S136" s="1121" t="s">
        <v>4954</v>
      </c>
      <c r="T136" s="1123"/>
      <c r="U136" s="1123" t="str">
        <f t="shared" si="11"/>
        <v>en término</v>
      </c>
      <c r="V136" s="1130" t="str">
        <f t="shared" si="12"/>
        <v>Enero</v>
      </c>
      <c r="W136" s="1128">
        <f t="shared" si="13"/>
        <v>1</v>
      </c>
    </row>
    <row r="137" spans="1:23" s="1321" customFormat="1" ht="49.9" customHeight="1" thickBot="1" x14ac:dyDescent="0.2">
      <c r="A137" s="1117">
        <v>2007</v>
      </c>
      <c r="B137" s="1117">
        <v>2007</v>
      </c>
      <c r="C137" s="1118" t="s">
        <v>4832</v>
      </c>
      <c r="D137" s="1119" t="s">
        <v>4910</v>
      </c>
      <c r="E137" s="1120" t="s">
        <v>4957</v>
      </c>
      <c r="F137" s="1120"/>
      <c r="G137" s="1121" t="s">
        <v>4958</v>
      </c>
      <c r="H137" s="1122">
        <v>9620</v>
      </c>
      <c r="I137" s="1123">
        <v>39045</v>
      </c>
      <c r="J137" s="1124">
        <v>62</v>
      </c>
      <c r="K137" s="1125">
        <f t="shared" si="9"/>
        <v>39107</v>
      </c>
      <c r="L137" s="1123" t="s">
        <v>124</v>
      </c>
      <c r="M137" s="1123">
        <v>39094</v>
      </c>
      <c r="N137" s="1124">
        <f t="shared" si="14"/>
        <v>-3</v>
      </c>
      <c r="O137" s="1126">
        <v>39100</v>
      </c>
      <c r="P137" s="1127">
        <v>39104</v>
      </c>
      <c r="Q137" s="1126">
        <f>+P137+20</f>
        <v>39124</v>
      </c>
      <c r="R137" s="1124">
        <f t="shared" si="10"/>
        <v>79</v>
      </c>
      <c r="S137" s="1121" t="s">
        <v>2683</v>
      </c>
      <c r="T137" s="1123"/>
      <c r="U137" s="1123" t="str">
        <f t="shared" si="11"/>
        <v>en término</v>
      </c>
      <c r="V137" s="1130" t="str">
        <f t="shared" si="12"/>
        <v>Enero</v>
      </c>
      <c r="W137" s="1128">
        <f t="shared" si="13"/>
        <v>1</v>
      </c>
    </row>
    <row r="138" spans="1:23" s="1321" customFormat="1" ht="49.9" customHeight="1" thickBot="1" x14ac:dyDescent="0.2">
      <c r="A138" s="1117">
        <v>2007</v>
      </c>
      <c r="B138" s="1117">
        <v>2007</v>
      </c>
      <c r="C138" s="1118" t="s">
        <v>4832</v>
      </c>
      <c r="D138" s="1119" t="s">
        <v>4846</v>
      </c>
      <c r="E138" s="1120" t="s">
        <v>4964</v>
      </c>
      <c r="F138" s="1120"/>
      <c r="G138" s="1121" t="s">
        <v>4965</v>
      </c>
      <c r="H138" s="1122">
        <v>6387.4</v>
      </c>
      <c r="I138" s="1123">
        <v>39304</v>
      </c>
      <c r="J138" s="1124">
        <v>35</v>
      </c>
      <c r="K138" s="1125">
        <f t="shared" si="9"/>
        <v>39339</v>
      </c>
      <c r="L138" s="1123" t="s">
        <v>124</v>
      </c>
      <c r="M138" s="1123">
        <v>39329</v>
      </c>
      <c r="N138" s="1124">
        <f t="shared" si="14"/>
        <v>-3</v>
      </c>
      <c r="O138" s="1123">
        <v>39332</v>
      </c>
      <c r="P138" s="1132">
        <v>39336</v>
      </c>
      <c r="Q138" s="1123">
        <v>39346</v>
      </c>
      <c r="R138" s="1124">
        <f t="shared" si="10"/>
        <v>42</v>
      </c>
      <c r="S138" s="1128" t="s">
        <v>6188</v>
      </c>
      <c r="T138" s="1140"/>
      <c r="U138" s="1141" t="str">
        <f t="shared" si="11"/>
        <v>en término</v>
      </c>
      <c r="V138" s="1130" t="str">
        <f t="shared" si="12"/>
        <v>Septiembre</v>
      </c>
      <c r="W138" s="1128">
        <f t="shared" si="13"/>
        <v>1</v>
      </c>
    </row>
    <row r="139" spans="1:23" s="1321" customFormat="1" ht="49.9" customHeight="1" thickBot="1" x14ac:dyDescent="0.2">
      <c r="A139" s="1117">
        <v>2007</v>
      </c>
      <c r="B139" s="1117">
        <v>2007</v>
      </c>
      <c r="C139" s="1118" t="s">
        <v>120</v>
      </c>
      <c r="D139" s="1119" t="s">
        <v>121</v>
      </c>
      <c r="E139" s="1120" t="s">
        <v>5164</v>
      </c>
      <c r="F139" s="1120"/>
      <c r="G139" s="1121">
        <v>6704</v>
      </c>
      <c r="H139" s="1122">
        <v>4425.7</v>
      </c>
      <c r="I139" s="1123">
        <v>39045</v>
      </c>
      <c r="J139" s="1124">
        <v>52</v>
      </c>
      <c r="K139" s="1125">
        <f t="shared" si="9"/>
        <v>39097</v>
      </c>
      <c r="L139" s="1123" t="s">
        <v>124</v>
      </c>
      <c r="M139" s="1123">
        <v>39094</v>
      </c>
      <c r="N139" s="1124">
        <f t="shared" si="14"/>
        <v>26</v>
      </c>
      <c r="O139" s="1123">
        <v>39106</v>
      </c>
      <c r="P139" s="1132">
        <v>39123</v>
      </c>
      <c r="Q139" s="1123">
        <f>+P139+24</f>
        <v>39147</v>
      </c>
      <c r="R139" s="1124">
        <f t="shared" si="10"/>
        <v>102</v>
      </c>
      <c r="S139" s="1128" t="s">
        <v>6189</v>
      </c>
      <c r="T139" s="1129" t="s">
        <v>5163</v>
      </c>
      <c r="U139" s="1130" t="str">
        <f t="shared" si="11"/>
        <v>atrasado</v>
      </c>
      <c r="V139" s="1130" t="str">
        <f t="shared" si="12"/>
        <v>Enero</v>
      </c>
      <c r="W139" s="1128">
        <f t="shared" si="13"/>
        <v>0</v>
      </c>
    </row>
    <row r="140" spans="1:23" s="1321" customFormat="1" ht="49.9" customHeight="1" thickBot="1" x14ac:dyDescent="0.2">
      <c r="A140" s="1117">
        <v>2007</v>
      </c>
      <c r="B140" s="1117">
        <v>2007</v>
      </c>
      <c r="C140" s="1118" t="s">
        <v>120</v>
      </c>
      <c r="D140" s="1119" t="s">
        <v>121</v>
      </c>
      <c r="E140" s="1120" t="s">
        <v>5167</v>
      </c>
      <c r="F140" s="1120"/>
      <c r="G140" s="1121">
        <v>7143</v>
      </c>
      <c r="H140" s="1122">
        <v>7396.11</v>
      </c>
      <c r="I140" s="1123">
        <v>39072</v>
      </c>
      <c r="J140" s="1124">
        <v>70</v>
      </c>
      <c r="K140" s="1125">
        <f t="shared" si="9"/>
        <v>39142</v>
      </c>
      <c r="L140" s="1123" t="s">
        <v>124</v>
      </c>
      <c r="M140" s="1123">
        <v>39140</v>
      </c>
      <c r="N140" s="1124">
        <f t="shared" si="14"/>
        <v>12</v>
      </c>
      <c r="O140" s="1123">
        <v>39142</v>
      </c>
      <c r="P140" s="1132">
        <v>39154</v>
      </c>
      <c r="Q140" s="1123">
        <v>39178</v>
      </c>
      <c r="R140" s="1124">
        <f t="shared" si="10"/>
        <v>106</v>
      </c>
      <c r="S140" s="1128" t="s">
        <v>6190</v>
      </c>
      <c r="T140" s="1129" t="s">
        <v>5163</v>
      </c>
      <c r="U140" s="1130" t="str">
        <f t="shared" si="11"/>
        <v>atrasado</v>
      </c>
      <c r="V140" s="1130" t="str">
        <f t="shared" si="12"/>
        <v>Febrero</v>
      </c>
      <c r="W140" s="1128">
        <f t="shared" si="13"/>
        <v>0</v>
      </c>
    </row>
    <row r="141" spans="1:23" s="1321" customFormat="1" ht="49.9" customHeight="1" thickBot="1" x14ac:dyDescent="0.2">
      <c r="A141" s="1117">
        <v>2007</v>
      </c>
      <c r="B141" s="1117">
        <v>2007</v>
      </c>
      <c r="C141" s="1118" t="s">
        <v>120</v>
      </c>
      <c r="D141" s="1119" t="s">
        <v>121</v>
      </c>
      <c r="E141" s="1120" t="s">
        <v>5170</v>
      </c>
      <c r="F141" s="1120"/>
      <c r="G141" s="1121">
        <v>8015</v>
      </c>
      <c r="H141" s="1122">
        <v>20271.7</v>
      </c>
      <c r="I141" s="1123">
        <v>39134</v>
      </c>
      <c r="J141" s="1124">
        <v>45</v>
      </c>
      <c r="K141" s="1125">
        <f t="shared" si="9"/>
        <v>39179</v>
      </c>
      <c r="L141" s="1123" t="s">
        <v>124</v>
      </c>
      <c r="M141" s="1123">
        <v>39168</v>
      </c>
      <c r="N141" s="1124">
        <f t="shared" si="14"/>
        <v>19</v>
      </c>
      <c r="O141" s="1123">
        <v>39191</v>
      </c>
      <c r="P141" s="1132">
        <v>39198</v>
      </c>
      <c r="Q141" s="1123">
        <v>39221</v>
      </c>
      <c r="R141" s="1124">
        <f t="shared" si="10"/>
        <v>87</v>
      </c>
      <c r="S141" s="1128" t="s">
        <v>6191</v>
      </c>
      <c r="T141" s="1129" t="s">
        <v>5173</v>
      </c>
      <c r="U141" s="1130" t="str">
        <f t="shared" si="11"/>
        <v>atrasado</v>
      </c>
      <c r="V141" s="1130" t="str">
        <f t="shared" si="12"/>
        <v>Marzo</v>
      </c>
      <c r="W141" s="1128">
        <f t="shared" si="13"/>
        <v>0</v>
      </c>
    </row>
    <row r="142" spans="1:23" s="1321" customFormat="1" ht="49.9" customHeight="1" thickBot="1" x14ac:dyDescent="0.2">
      <c r="A142" s="1117">
        <v>2007</v>
      </c>
      <c r="B142" s="1117">
        <v>2007</v>
      </c>
      <c r="C142" s="1118" t="s">
        <v>120</v>
      </c>
      <c r="D142" s="1119" t="s">
        <v>121</v>
      </c>
      <c r="E142" s="1120" t="s">
        <v>5174</v>
      </c>
      <c r="F142" s="1120"/>
      <c r="G142" s="1121">
        <v>11163</v>
      </c>
      <c r="H142" s="1122">
        <v>11333.7</v>
      </c>
      <c r="I142" s="1123">
        <v>39330</v>
      </c>
      <c r="J142" s="1124">
        <v>55</v>
      </c>
      <c r="K142" s="1125">
        <f t="shared" si="9"/>
        <v>39385</v>
      </c>
      <c r="L142" s="1133" t="s">
        <v>124</v>
      </c>
      <c r="M142" s="1123">
        <v>39371</v>
      </c>
      <c r="N142" s="1124">
        <f t="shared" si="14"/>
        <v>9</v>
      </c>
      <c r="O142" s="1123">
        <v>39386</v>
      </c>
      <c r="P142" s="1132">
        <v>39394</v>
      </c>
      <c r="Q142" s="1125">
        <f>+P142+40+10</f>
        <v>39444</v>
      </c>
      <c r="R142" s="1124">
        <f t="shared" si="10"/>
        <v>114</v>
      </c>
      <c r="S142" s="1128" t="s">
        <v>6192</v>
      </c>
      <c r="T142" s="1140"/>
      <c r="U142" s="1141" t="str">
        <f t="shared" si="11"/>
        <v>atrasado</v>
      </c>
      <c r="V142" s="1130" t="str">
        <f t="shared" si="12"/>
        <v>Octubre</v>
      </c>
      <c r="W142" s="1128">
        <f t="shared" si="13"/>
        <v>0</v>
      </c>
    </row>
    <row r="143" spans="1:23" s="1321" customFormat="1" ht="49.9" customHeight="1" thickBot="1" x14ac:dyDescent="0.2">
      <c r="A143" s="1117">
        <v>2007</v>
      </c>
      <c r="B143" s="1117">
        <v>2007</v>
      </c>
      <c r="C143" s="1118" t="s">
        <v>120</v>
      </c>
      <c r="D143" s="1119" t="s">
        <v>121</v>
      </c>
      <c r="E143" s="1120" t="s">
        <v>5178</v>
      </c>
      <c r="F143" s="1120"/>
      <c r="G143" s="1121">
        <v>11897</v>
      </c>
      <c r="H143" s="1122">
        <v>17943.95</v>
      </c>
      <c r="I143" s="1123">
        <v>39374</v>
      </c>
      <c r="J143" s="1124">
        <v>88</v>
      </c>
      <c r="K143" s="1125">
        <f t="shared" si="9"/>
        <v>39462</v>
      </c>
      <c r="L143" s="1133" t="s">
        <v>124</v>
      </c>
      <c r="M143" s="1123">
        <v>39423</v>
      </c>
      <c r="N143" s="1124">
        <f t="shared" si="14"/>
        <v>-25</v>
      </c>
      <c r="O143" s="1123">
        <v>39428</v>
      </c>
      <c r="P143" s="1132">
        <v>39437</v>
      </c>
      <c r="Q143" s="1123">
        <f>+P143+40+10</f>
        <v>39487</v>
      </c>
      <c r="R143" s="1124">
        <f t="shared" si="10"/>
        <v>113</v>
      </c>
      <c r="S143" s="1128" t="s">
        <v>6193</v>
      </c>
      <c r="T143" s="1140"/>
      <c r="U143" s="1141" t="str">
        <f t="shared" si="11"/>
        <v>en término</v>
      </c>
      <c r="V143" s="1130" t="str">
        <f t="shared" si="12"/>
        <v>Diciembre</v>
      </c>
      <c r="W143" s="1128">
        <f t="shared" si="13"/>
        <v>1</v>
      </c>
    </row>
    <row r="144" spans="1:23" s="1321" customFormat="1" ht="49.9" customHeight="1" thickBot="1" x14ac:dyDescent="0.2">
      <c r="A144" s="1117">
        <v>2007</v>
      </c>
      <c r="B144" s="1117">
        <v>2007</v>
      </c>
      <c r="C144" s="1118" t="s">
        <v>5265</v>
      </c>
      <c r="D144" s="1119" t="s">
        <v>5266</v>
      </c>
      <c r="E144" s="1120" t="s">
        <v>5290</v>
      </c>
      <c r="F144" s="1120"/>
      <c r="G144" s="1121" t="s">
        <v>5291</v>
      </c>
      <c r="H144" s="1122">
        <v>5973.75</v>
      </c>
      <c r="I144" s="1123">
        <v>39045</v>
      </c>
      <c r="J144" s="1124">
        <v>60</v>
      </c>
      <c r="K144" s="1125">
        <f t="shared" si="9"/>
        <v>39105</v>
      </c>
      <c r="L144" s="1123" t="s">
        <v>124</v>
      </c>
      <c r="M144" s="1123">
        <v>39094</v>
      </c>
      <c r="N144" s="1124">
        <f>IF(M144="","",+M144-K144)</f>
        <v>-11</v>
      </c>
      <c r="O144" s="1123">
        <v>39101</v>
      </c>
      <c r="P144" s="1132">
        <v>39107</v>
      </c>
      <c r="Q144" s="1123">
        <f>+P144+30</f>
        <v>39137</v>
      </c>
      <c r="R144" s="1124">
        <f t="shared" si="10"/>
        <v>92</v>
      </c>
      <c r="S144" s="1128" t="s">
        <v>6194</v>
      </c>
      <c r="T144" s="1141"/>
      <c r="U144" s="1141" t="str">
        <f t="shared" si="11"/>
        <v>en término</v>
      </c>
      <c r="V144" s="1130" t="str">
        <f t="shared" si="12"/>
        <v>Enero</v>
      </c>
      <c r="W144" s="1128">
        <f t="shared" si="13"/>
        <v>1</v>
      </c>
    </row>
    <row r="145" spans="1:23" s="1321" customFormat="1" ht="49.9" customHeight="1" thickBot="1" x14ac:dyDescent="0.2">
      <c r="A145" s="1117">
        <v>2007</v>
      </c>
      <c r="B145" s="1117">
        <v>2007</v>
      </c>
      <c r="C145" s="1118" t="s">
        <v>5265</v>
      </c>
      <c r="D145" s="1119" t="s">
        <v>5280</v>
      </c>
      <c r="E145" s="1120" t="s">
        <v>5300</v>
      </c>
      <c r="F145" s="1120"/>
      <c r="G145" s="1121" t="s">
        <v>5301</v>
      </c>
      <c r="H145" s="1122">
        <v>2718.1</v>
      </c>
      <c r="I145" s="1123">
        <v>39216</v>
      </c>
      <c r="J145" s="1124">
        <v>30</v>
      </c>
      <c r="K145" s="1125">
        <f t="shared" si="9"/>
        <v>39246</v>
      </c>
      <c r="L145" s="1123" t="s">
        <v>124</v>
      </c>
      <c r="M145" s="1123">
        <v>39241</v>
      </c>
      <c r="N145" s="1124">
        <f>IF(M145="","",+M145-K145)</f>
        <v>-5</v>
      </c>
      <c r="O145" s="1123">
        <v>39247</v>
      </c>
      <c r="P145" s="1132">
        <v>39258</v>
      </c>
      <c r="Q145" s="1123">
        <v>39285</v>
      </c>
      <c r="R145" s="1124">
        <f t="shared" si="10"/>
        <v>69</v>
      </c>
      <c r="S145" s="1128" t="s">
        <v>6195</v>
      </c>
      <c r="T145" s="1141" t="s">
        <v>5304</v>
      </c>
      <c r="U145" s="1141" t="str">
        <f t="shared" si="11"/>
        <v>en término</v>
      </c>
      <c r="V145" s="1130" t="str">
        <f t="shared" si="12"/>
        <v>Junio</v>
      </c>
      <c r="W145" s="1128">
        <f t="shared" si="13"/>
        <v>1</v>
      </c>
    </row>
    <row r="146" spans="1:23" s="1321" customFormat="1" ht="49.9" customHeight="1" thickBot="1" x14ac:dyDescent="0.2">
      <c r="A146" s="1117">
        <v>2007</v>
      </c>
      <c r="B146" s="1117">
        <v>2007</v>
      </c>
      <c r="C146" s="1118" t="s">
        <v>5265</v>
      </c>
      <c r="D146" s="1119" t="s">
        <v>5280</v>
      </c>
      <c r="E146" s="1120" t="s">
        <v>5305</v>
      </c>
      <c r="F146" s="1120"/>
      <c r="G146" s="1121" t="s">
        <v>5306</v>
      </c>
      <c r="H146" s="1122">
        <v>18185.52</v>
      </c>
      <c r="I146" s="1123">
        <v>39202</v>
      </c>
      <c r="J146" s="1124">
        <v>60</v>
      </c>
      <c r="K146" s="1125">
        <f t="shared" si="9"/>
        <v>39262</v>
      </c>
      <c r="L146" s="1123" t="s">
        <v>124</v>
      </c>
      <c r="M146" s="1123">
        <v>39252</v>
      </c>
      <c r="N146" s="1124">
        <f>IF(M146="","",+M146-K146)</f>
        <v>-10</v>
      </c>
      <c r="O146" s="1123">
        <v>39258</v>
      </c>
      <c r="P146" s="1132">
        <v>39264</v>
      </c>
      <c r="Q146" s="1123">
        <v>39292</v>
      </c>
      <c r="R146" s="1124">
        <f t="shared" si="10"/>
        <v>90</v>
      </c>
      <c r="S146" s="1128" t="s">
        <v>6196</v>
      </c>
      <c r="T146" s="1141" t="s">
        <v>5309</v>
      </c>
      <c r="U146" s="1141" t="str">
        <f t="shared" si="11"/>
        <v>en término</v>
      </c>
      <c r="V146" s="1130" t="str">
        <f t="shared" si="12"/>
        <v>Junio</v>
      </c>
      <c r="W146" s="1128">
        <f t="shared" si="13"/>
        <v>1</v>
      </c>
    </row>
    <row r="147" spans="1:23" s="1321" customFormat="1" ht="49.9" customHeight="1" thickBot="1" x14ac:dyDescent="0.2">
      <c r="A147" s="1117">
        <v>2007</v>
      </c>
      <c r="B147" s="1117">
        <v>2007</v>
      </c>
      <c r="C147" s="1118" t="s">
        <v>5366</v>
      </c>
      <c r="D147" s="1119" t="s">
        <v>5382</v>
      </c>
      <c r="E147" s="1120" t="s">
        <v>5383</v>
      </c>
      <c r="F147" s="1120"/>
      <c r="G147" s="1121" t="s">
        <v>5384</v>
      </c>
      <c r="H147" s="1122">
        <v>279</v>
      </c>
      <c r="I147" s="1123">
        <v>39183</v>
      </c>
      <c r="J147" s="1124">
        <v>10</v>
      </c>
      <c r="K147" s="1125">
        <f t="shared" si="9"/>
        <v>39193</v>
      </c>
      <c r="L147" s="1123" t="s">
        <v>124</v>
      </c>
      <c r="M147" s="1123">
        <v>39217</v>
      </c>
      <c r="N147" s="1124">
        <v>0</v>
      </c>
      <c r="O147" s="1124"/>
      <c r="P147" s="1132">
        <v>39224</v>
      </c>
      <c r="Q147" s="1123">
        <v>39234</v>
      </c>
      <c r="R147" s="1124">
        <f t="shared" si="10"/>
        <v>51</v>
      </c>
      <c r="S147" s="1121" t="s">
        <v>6197</v>
      </c>
      <c r="T147" s="1142" t="s">
        <v>6198</v>
      </c>
      <c r="U147" s="1128" t="str">
        <f t="shared" si="11"/>
        <v>en término</v>
      </c>
      <c r="V147" s="1130" t="str">
        <f t="shared" si="12"/>
        <v>Mayo</v>
      </c>
      <c r="W147" s="1128">
        <f t="shared" si="13"/>
        <v>1</v>
      </c>
    </row>
    <row r="148" spans="1:23" s="1321" customFormat="1" ht="49.9" customHeight="1" thickBot="1" x14ac:dyDescent="0.2">
      <c r="A148" s="1143">
        <v>2007</v>
      </c>
      <c r="B148" s="1143">
        <v>2007</v>
      </c>
      <c r="C148" s="1144" t="s">
        <v>5366</v>
      </c>
      <c r="D148" s="1145" t="s">
        <v>5382</v>
      </c>
      <c r="E148" s="1146" t="s">
        <v>5390</v>
      </c>
      <c r="F148" s="1146"/>
      <c r="G148" s="1147" t="s">
        <v>5391</v>
      </c>
      <c r="H148" s="1148">
        <v>4820</v>
      </c>
      <c r="I148" s="1149">
        <v>39398</v>
      </c>
      <c r="J148" s="1150">
        <v>30</v>
      </c>
      <c r="K148" s="1151">
        <f t="shared" si="9"/>
        <v>39428</v>
      </c>
      <c r="L148" s="1152" t="s">
        <v>124</v>
      </c>
      <c r="M148" s="1149">
        <v>39409</v>
      </c>
      <c r="N148" s="1150">
        <f t="shared" ref="N148:N183" si="15">IF(P148="","",+P148-K148)</f>
        <v>-4</v>
      </c>
      <c r="O148" s="1149">
        <v>39416</v>
      </c>
      <c r="P148" s="1153">
        <v>39424</v>
      </c>
      <c r="Q148" s="1149">
        <f>+P148+41</f>
        <v>39465</v>
      </c>
      <c r="R148" s="1150">
        <f t="shared" si="10"/>
        <v>67</v>
      </c>
      <c r="S148" s="1154" t="s">
        <v>6199</v>
      </c>
      <c r="T148" s="1155" t="s">
        <v>5396</v>
      </c>
      <c r="U148" s="1156" t="str">
        <f t="shared" si="11"/>
        <v>en término</v>
      </c>
      <c r="V148" s="1290" t="str">
        <f t="shared" si="12"/>
        <v>Noviembre</v>
      </c>
      <c r="W148" s="1323">
        <f t="shared" si="13"/>
        <v>1</v>
      </c>
    </row>
    <row r="149" spans="1:23" s="1321" customFormat="1" ht="49.9" customHeight="1" thickTop="1" thickBot="1" x14ac:dyDescent="0.2">
      <c r="A149" s="1157">
        <v>2008</v>
      </c>
      <c r="B149" s="1157">
        <v>2008</v>
      </c>
      <c r="C149" s="1158" t="s">
        <v>36</v>
      </c>
      <c r="D149" s="1159" t="s">
        <v>133</v>
      </c>
      <c r="E149" s="1160" t="s">
        <v>1663</v>
      </c>
      <c r="F149" s="1161" t="s">
        <v>1664</v>
      </c>
      <c r="G149" s="1162">
        <v>4501846098</v>
      </c>
      <c r="H149" s="1163">
        <v>48568.480000000003</v>
      </c>
      <c r="I149" s="1164">
        <v>39372</v>
      </c>
      <c r="J149" s="1165">
        <v>97</v>
      </c>
      <c r="K149" s="1166">
        <f t="shared" si="9"/>
        <v>39469</v>
      </c>
      <c r="L149" s="1167" t="s">
        <v>41</v>
      </c>
      <c r="M149" s="1164">
        <v>39454</v>
      </c>
      <c r="N149" s="1165">
        <f t="shared" si="15"/>
        <v>-11</v>
      </c>
      <c r="O149" s="1164">
        <v>39456</v>
      </c>
      <c r="P149" s="1168">
        <v>39458</v>
      </c>
      <c r="Q149" s="1164">
        <f t="shared" ref="Q149:Q155" si="16">+P149+15</f>
        <v>39473</v>
      </c>
      <c r="R149" s="1165">
        <f t="shared" si="10"/>
        <v>101</v>
      </c>
      <c r="S149" s="1169" t="s">
        <v>1828</v>
      </c>
      <c r="T149" s="1170"/>
      <c r="U149" s="1161" t="str">
        <f t="shared" si="11"/>
        <v>en término</v>
      </c>
      <c r="V149" s="1130" t="str">
        <f t="shared" si="12"/>
        <v>Enero</v>
      </c>
      <c r="W149" s="1324">
        <f t="shared" si="13"/>
        <v>1</v>
      </c>
    </row>
    <row r="150" spans="1:23" s="1321" customFormat="1" ht="49.9" customHeight="1" thickBot="1" x14ac:dyDescent="0.2">
      <c r="A150" s="1117">
        <v>2008</v>
      </c>
      <c r="B150" s="1117">
        <v>2008</v>
      </c>
      <c r="C150" s="1118" t="s">
        <v>36</v>
      </c>
      <c r="D150" s="1119" t="s">
        <v>133</v>
      </c>
      <c r="E150" s="1120" t="s">
        <v>1663</v>
      </c>
      <c r="F150" s="1141" t="s">
        <v>1664</v>
      </c>
      <c r="G150" s="1121">
        <v>4501855333</v>
      </c>
      <c r="H150" s="1122">
        <v>116312.84</v>
      </c>
      <c r="I150" s="1123">
        <v>39378</v>
      </c>
      <c r="J150" s="1124">
        <v>94</v>
      </c>
      <c r="K150" s="1125">
        <f t="shared" si="9"/>
        <v>39472</v>
      </c>
      <c r="L150" s="1133" t="s">
        <v>41</v>
      </c>
      <c r="M150" s="1123">
        <v>39454</v>
      </c>
      <c r="N150" s="1124">
        <f t="shared" si="15"/>
        <v>-14</v>
      </c>
      <c r="O150" s="1123">
        <v>39456</v>
      </c>
      <c r="P150" s="1132">
        <v>39458</v>
      </c>
      <c r="Q150" s="1123">
        <f t="shared" si="16"/>
        <v>39473</v>
      </c>
      <c r="R150" s="1124">
        <f t="shared" si="10"/>
        <v>95</v>
      </c>
      <c r="S150" s="1128" t="s">
        <v>1058</v>
      </c>
      <c r="T150" s="1140"/>
      <c r="U150" s="1141" t="str">
        <f t="shared" si="11"/>
        <v>en término</v>
      </c>
      <c r="V150" s="1130" t="str">
        <f t="shared" si="12"/>
        <v>Enero</v>
      </c>
      <c r="W150" s="1128">
        <f t="shared" si="13"/>
        <v>1</v>
      </c>
    </row>
    <row r="151" spans="1:23" s="1321" customFormat="1" ht="49.9" customHeight="1" thickBot="1" x14ac:dyDescent="0.2">
      <c r="A151" s="1117">
        <v>2008</v>
      </c>
      <c r="B151" s="1117">
        <v>2008</v>
      </c>
      <c r="C151" s="1118" t="s">
        <v>36</v>
      </c>
      <c r="D151" s="1119" t="s">
        <v>133</v>
      </c>
      <c r="E151" s="1120" t="s">
        <v>1663</v>
      </c>
      <c r="F151" s="1141" t="s">
        <v>1664</v>
      </c>
      <c r="G151" s="1121">
        <v>4501859642</v>
      </c>
      <c r="H151" s="1122">
        <v>45525.75</v>
      </c>
      <c r="I151" s="1123">
        <v>39380</v>
      </c>
      <c r="J151" s="1124">
        <v>92</v>
      </c>
      <c r="K151" s="1125">
        <f t="shared" si="9"/>
        <v>39472</v>
      </c>
      <c r="L151" s="1133" t="s">
        <v>41</v>
      </c>
      <c r="M151" s="1123">
        <v>39454</v>
      </c>
      <c r="N151" s="1124">
        <f t="shared" si="15"/>
        <v>-14</v>
      </c>
      <c r="O151" s="1123">
        <v>39456</v>
      </c>
      <c r="P151" s="1132">
        <v>39458</v>
      </c>
      <c r="Q151" s="1123">
        <f t="shared" si="16"/>
        <v>39473</v>
      </c>
      <c r="R151" s="1124">
        <f t="shared" si="10"/>
        <v>93</v>
      </c>
      <c r="S151" s="1128" t="s">
        <v>1831</v>
      </c>
      <c r="T151" s="1140"/>
      <c r="U151" s="1141" t="str">
        <f t="shared" si="11"/>
        <v>en término</v>
      </c>
      <c r="V151" s="1130" t="str">
        <f t="shared" si="12"/>
        <v>Enero</v>
      </c>
      <c r="W151" s="1128">
        <f t="shared" si="13"/>
        <v>1</v>
      </c>
    </row>
    <row r="152" spans="1:23" s="1321" customFormat="1" ht="49.9" customHeight="1" thickBot="1" x14ac:dyDescent="0.2">
      <c r="A152" s="1117">
        <v>2008</v>
      </c>
      <c r="B152" s="1117">
        <v>2008</v>
      </c>
      <c r="C152" s="1118" t="s">
        <v>36</v>
      </c>
      <c r="D152" s="1119" t="s">
        <v>133</v>
      </c>
      <c r="E152" s="1120" t="s">
        <v>1663</v>
      </c>
      <c r="F152" s="1141" t="s">
        <v>1664</v>
      </c>
      <c r="G152" s="1121">
        <v>4501897770</v>
      </c>
      <c r="H152" s="1122">
        <v>11802.88</v>
      </c>
      <c r="I152" s="1123">
        <v>39401</v>
      </c>
      <c r="J152" s="1124">
        <v>94</v>
      </c>
      <c r="K152" s="1125">
        <f t="shared" si="9"/>
        <v>39495</v>
      </c>
      <c r="L152" s="1133" t="s">
        <v>41</v>
      </c>
      <c r="M152" s="1123">
        <v>39454</v>
      </c>
      <c r="N152" s="1124">
        <f t="shared" si="15"/>
        <v>-37</v>
      </c>
      <c r="O152" s="1123">
        <v>39456</v>
      </c>
      <c r="P152" s="1132">
        <v>39458</v>
      </c>
      <c r="Q152" s="1123">
        <f t="shared" si="16"/>
        <v>39473</v>
      </c>
      <c r="R152" s="1124">
        <f t="shared" si="10"/>
        <v>72</v>
      </c>
      <c r="S152" s="1128" t="s">
        <v>1832</v>
      </c>
      <c r="T152" s="1140"/>
      <c r="U152" s="1141" t="str">
        <f t="shared" si="11"/>
        <v>en término</v>
      </c>
      <c r="V152" s="1130" t="str">
        <f t="shared" si="12"/>
        <v>Enero</v>
      </c>
      <c r="W152" s="1128">
        <f t="shared" si="13"/>
        <v>1</v>
      </c>
    </row>
    <row r="153" spans="1:23" s="1321" customFormat="1" ht="49.9" customHeight="1" thickBot="1" x14ac:dyDescent="0.2">
      <c r="A153" s="1117">
        <v>2008</v>
      </c>
      <c r="B153" s="1117">
        <v>2008</v>
      </c>
      <c r="C153" s="1118" t="s">
        <v>36</v>
      </c>
      <c r="D153" s="1119" t="s">
        <v>133</v>
      </c>
      <c r="E153" s="1120" t="s">
        <v>1663</v>
      </c>
      <c r="F153" s="1141" t="s">
        <v>1664</v>
      </c>
      <c r="G153" s="1121">
        <v>4501860739</v>
      </c>
      <c r="H153" s="1122">
        <v>83883.19</v>
      </c>
      <c r="I153" s="1123">
        <v>39380</v>
      </c>
      <c r="J153" s="1124">
        <v>123</v>
      </c>
      <c r="K153" s="1125">
        <f t="shared" si="9"/>
        <v>39503</v>
      </c>
      <c r="L153" s="1133" t="s">
        <v>41</v>
      </c>
      <c r="M153" s="1123">
        <v>39454</v>
      </c>
      <c r="N153" s="1124">
        <f t="shared" si="15"/>
        <v>-45</v>
      </c>
      <c r="O153" s="1123">
        <v>39456</v>
      </c>
      <c r="P153" s="1132">
        <v>39458</v>
      </c>
      <c r="Q153" s="1123">
        <f t="shared" si="16"/>
        <v>39473</v>
      </c>
      <c r="R153" s="1124">
        <f t="shared" si="10"/>
        <v>93</v>
      </c>
      <c r="S153" s="1128" t="s">
        <v>786</v>
      </c>
      <c r="T153" s="1140"/>
      <c r="U153" s="1141" t="str">
        <f t="shared" si="11"/>
        <v>en término</v>
      </c>
      <c r="V153" s="1130" t="str">
        <f t="shared" si="12"/>
        <v>Enero</v>
      </c>
      <c r="W153" s="1128">
        <f t="shared" si="13"/>
        <v>1</v>
      </c>
    </row>
    <row r="154" spans="1:23" s="1321" customFormat="1" ht="49.9" customHeight="1" thickBot="1" x14ac:dyDescent="0.2">
      <c r="A154" s="1117">
        <v>2008</v>
      </c>
      <c r="B154" s="1117">
        <v>2008</v>
      </c>
      <c r="C154" s="1118" t="s">
        <v>36</v>
      </c>
      <c r="D154" s="1119" t="s">
        <v>37</v>
      </c>
      <c r="E154" s="1120" t="s">
        <v>1833</v>
      </c>
      <c r="F154" s="1141" t="s">
        <v>1834</v>
      </c>
      <c r="G154" s="1121">
        <v>7100005</v>
      </c>
      <c r="H154" s="1122">
        <f>13920.8+35269.2</f>
        <v>49190</v>
      </c>
      <c r="I154" s="1123">
        <v>39363</v>
      </c>
      <c r="J154" s="1124">
        <v>121</v>
      </c>
      <c r="K154" s="1125">
        <f t="shared" si="9"/>
        <v>39484</v>
      </c>
      <c r="L154" s="1133" t="s">
        <v>41</v>
      </c>
      <c r="M154" s="1123">
        <v>39454</v>
      </c>
      <c r="N154" s="1124">
        <f t="shared" si="15"/>
        <v>-27</v>
      </c>
      <c r="O154" s="1123">
        <v>39456</v>
      </c>
      <c r="P154" s="1132">
        <v>39457</v>
      </c>
      <c r="Q154" s="1123">
        <f t="shared" si="16"/>
        <v>39472</v>
      </c>
      <c r="R154" s="1124">
        <f t="shared" si="10"/>
        <v>109</v>
      </c>
      <c r="S154" s="1128" t="s">
        <v>1038</v>
      </c>
      <c r="T154" s="1140"/>
      <c r="U154" s="1141" t="str">
        <f t="shared" si="11"/>
        <v>en término</v>
      </c>
      <c r="V154" s="1130" t="str">
        <f t="shared" si="12"/>
        <v>Enero</v>
      </c>
      <c r="W154" s="1128">
        <f t="shared" si="13"/>
        <v>1</v>
      </c>
    </row>
    <row r="155" spans="1:23" s="1321" customFormat="1" ht="49.9" customHeight="1" thickBot="1" x14ac:dyDescent="0.2">
      <c r="A155" s="1117">
        <v>2008</v>
      </c>
      <c r="B155" s="1117">
        <v>2008</v>
      </c>
      <c r="C155" s="1118" t="s">
        <v>36</v>
      </c>
      <c r="D155" s="1119" t="s">
        <v>37</v>
      </c>
      <c r="E155" s="1120" t="s">
        <v>1836</v>
      </c>
      <c r="F155" s="1141" t="s">
        <v>1837</v>
      </c>
      <c r="G155" s="1121">
        <v>7100006</v>
      </c>
      <c r="H155" s="1122">
        <f>1636+538.09+2363.25+405.25+43502.5</f>
        <v>48445.09</v>
      </c>
      <c r="I155" s="1123">
        <v>39386</v>
      </c>
      <c r="J155" s="1124">
        <v>83</v>
      </c>
      <c r="K155" s="1125">
        <f t="shared" si="9"/>
        <v>39469</v>
      </c>
      <c r="L155" s="1133" t="s">
        <v>41</v>
      </c>
      <c r="M155" s="1123">
        <v>39454</v>
      </c>
      <c r="N155" s="1124">
        <f t="shared" si="15"/>
        <v>-12</v>
      </c>
      <c r="O155" s="1123">
        <v>39456</v>
      </c>
      <c r="P155" s="1132">
        <v>39457</v>
      </c>
      <c r="Q155" s="1123">
        <f t="shared" si="16"/>
        <v>39472</v>
      </c>
      <c r="R155" s="1124">
        <f t="shared" si="10"/>
        <v>86</v>
      </c>
      <c r="S155" s="1128" t="s">
        <v>1838</v>
      </c>
      <c r="T155" s="1140"/>
      <c r="U155" s="1141" t="str">
        <f t="shared" si="11"/>
        <v>en término</v>
      </c>
      <c r="V155" s="1130" t="str">
        <f t="shared" si="12"/>
        <v>Enero</v>
      </c>
      <c r="W155" s="1128">
        <f t="shared" si="13"/>
        <v>1</v>
      </c>
    </row>
    <row r="156" spans="1:23" s="1321" customFormat="1" ht="49.9" customHeight="1" thickBot="1" x14ac:dyDescent="0.2">
      <c r="A156" s="1117">
        <v>2008</v>
      </c>
      <c r="B156" s="1117">
        <v>2008</v>
      </c>
      <c r="C156" s="1118" t="s">
        <v>36</v>
      </c>
      <c r="D156" s="1119" t="s">
        <v>133</v>
      </c>
      <c r="E156" s="1120" t="s">
        <v>1663</v>
      </c>
      <c r="F156" s="1141" t="s">
        <v>1664</v>
      </c>
      <c r="G156" s="1121">
        <v>4501899330</v>
      </c>
      <c r="H156" s="1122">
        <v>42992.88</v>
      </c>
      <c r="I156" s="1123">
        <v>39402</v>
      </c>
      <c r="J156" s="1124">
        <v>100</v>
      </c>
      <c r="K156" s="1125">
        <f t="shared" si="9"/>
        <v>39502</v>
      </c>
      <c r="L156" s="1133" t="s">
        <v>41</v>
      </c>
      <c r="M156" s="1123">
        <v>39463</v>
      </c>
      <c r="N156" s="1124">
        <f t="shared" si="15"/>
        <v>-36</v>
      </c>
      <c r="O156" s="1123"/>
      <c r="P156" s="1132">
        <v>39466</v>
      </c>
      <c r="Q156" s="1123">
        <v>39486</v>
      </c>
      <c r="R156" s="1124">
        <f t="shared" si="10"/>
        <v>84</v>
      </c>
      <c r="S156" s="1128" t="s">
        <v>1839</v>
      </c>
      <c r="T156" s="1140"/>
      <c r="U156" s="1141" t="str">
        <f t="shared" si="11"/>
        <v>en término</v>
      </c>
      <c r="V156" s="1130" t="str">
        <f t="shared" si="12"/>
        <v>Enero</v>
      </c>
      <c r="W156" s="1128">
        <f t="shared" si="13"/>
        <v>1</v>
      </c>
    </row>
    <row r="157" spans="1:23" s="1321" customFormat="1" ht="49.9" customHeight="1" thickBot="1" x14ac:dyDescent="0.2">
      <c r="A157" s="1117">
        <v>2008</v>
      </c>
      <c r="B157" s="1117">
        <v>2008</v>
      </c>
      <c r="C157" s="1118" t="s">
        <v>36</v>
      </c>
      <c r="D157" s="1119" t="s">
        <v>133</v>
      </c>
      <c r="E157" s="1120" t="s">
        <v>1663</v>
      </c>
      <c r="F157" s="1141" t="s">
        <v>1664</v>
      </c>
      <c r="G157" s="1121">
        <v>4501907880</v>
      </c>
      <c r="H157" s="1122">
        <v>221957.25</v>
      </c>
      <c r="I157" s="1123">
        <v>39409</v>
      </c>
      <c r="J157" s="1124">
        <v>95</v>
      </c>
      <c r="K157" s="1125">
        <f t="shared" si="9"/>
        <v>39504</v>
      </c>
      <c r="L157" s="1133" t="s">
        <v>41</v>
      </c>
      <c r="M157" s="1123">
        <v>39463</v>
      </c>
      <c r="N157" s="1124">
        <f t="shared" si="15"/>
        <v>-38</v>
      </c>
      <c r="O157" s="1123"/>
      <c r="P157" s="1132">
        <v>39466</v>
      </c>
      <c r="Q157" s="1123">
        <v>39486</v>
      </c>
      <c r="R157" s="1124">
        <f t="shared" si="10"/>
        <v>77</v>
      </c>
      <c r="S157" s="1128" t="s">
        <v>1367</v>
      </c>
      <c r="T157" s="1140"/>
      <c r="U157" s="1141" t="str">
        <f t="shared" si="11"/>
        <v>en término</v>
      </c>
      <c r="V157" s="1130" t="str">
        <f t="shared" si="12"/>
        <v>Enero</v>
      </c>
      <c r="W157" s="1128">
        <f t="shared" si="13"/>
        <v>1</v>
      </c>
    </row>
    <row r="158" spans="1:23" s="1321" customFormat="1" ht="49.9" customHeight="1" thickBot="1" x14ac:dyDescent="0.2">
      <c r="A158" s="1117">
        <v>2008</v>
      </c>
      <c r="B158" s="1117">
        <v>2008</v>
      </c>
      <c r="C158" s="1118" t="s">
        <v>36</v>
      </c>
      <c r="D158" s="1119" t="s">
        <v>133</v>
      </c>
      <c r="E158" s="1120" t="s">
        <v>1802</v>
      </c>
      <c r="F158" s="1141" t="s">
        <v>1803</v>
      </c>
      <c r="G158" s="1121">
        <v>4501811011</v>
      </c>
      <c r="H158" s="1122">
        <v>20543.240000000002</v>
      </c>
      <c r="I158" s="1123">
        <v>39352</v>
      </c>
      <c r="J158" s="1124">
        <v>67</v>
      </c>
      <c r="K158" s="1125">
        <f t="shared" si="9"/>
        <v>39419</v>
      </c>
      <c r="L158" s="1133" t="s">
        <v>41</v>
      </c>
      <c r="M158" s="1123">
        <v>39463</v>
      </c>
      <c r="N158" s="1124">
        <f t="shared" si="15"/>
        <v>47</v>
      </c>
      <c r="O158" s="1123"/>
      <c r="P158" s="1132">
        <v>39466</v>
      </c>
      <c r="Q158" s="1123">
        <v>39486</v>
      </c>
      <c r="R158" s="1124">
        <f t="shared" si="10"/>
        <v>134</v>
      </c>
      <c r="S158" s="1128" t="s">
        <v>6200</v>
      </c>
      <c r="T158" s="1140" t="s">
        <v>1814</v>
      </c>
      <c r="U158" s="1141" t="str">
        <f t="shared" si="11"/>
        <v>atrasado</v>
      </c>
      <c r="V158" s="1130" t="str">
        <f t="shared" si="12"/>
        <v>Enero</v>
      </c>
      <c r="W158" s="1128">
        <f t="shared" si="13"/>
        <v>0</v>
      </c>
    </row>
    <row r="159" spans="1:23" s="1321" customFormat="1" ht="49.9" customHeight="1" thickBot="1" x14ac:dyDescent="0.2">
      <c r="A159" s="1117">
        <v>2008</v>
      </c>
      <c r="B159" s="1117">
        <v>2008</v>
      </c>
      <c r="C159" s="1118" t="s">
        <v>36</v>
      </c>
      <c r="D159" s="1119" t="s">
        <v>133</v>
      </c>
      <c r="E159" s="1120" t="s">
        <v>1802</v>
      </c>
      <c r="F159" s="1141" t="s">
        <v>1803</v>
      </c>
      <c r="G159" s="1121">
        <v>4501763992</v>
      </c>
      <c r="H159" s="1122">
        <v>38845.120000000003</v>
      </c>
      <c r="I159" s="1123">
        <v>39323</v>
      </c>
      <c r="J159" s="1124">
        <v>72</v>
      </c>
      <c r="K159" s="1125">
        <f t="shared" si="9"/>
        <v>39395</v>
      </c>
      <c r="L159" s="1133" t="s">
        <v>41</v>
      </c>
      <c r="M159" s="1123">
        <v>39463</v>
      </c>
      <c r="N159" s="1124">
        <f t="shared" si="15"/>
        <v>71</v>
      </c>
      <c r="O159" s="1123"/>
      <c r="P159" s="1132">
        <v>39466</v>
      </c>
      <c r="Q159" s="1123">
        <v>39486</v>
      </c>
      <c r="R159" s="1124">
        <f t="shared" si="10"/>
        <v>163</v>
      </c>
      <c r="S159" s="1128" t="s">
        <v>6201</v>
      </c>
      <c r="T159" s="1140" t="s">
        <v>1814</v>
      </c>
      <c r="U159" s="1141" t="str">
        <f t="shared" si="11"/>
        <v>atrasado</v>
      </c>
      <c r="V159" s="1130" t="str">
        <f t="shared" si="12"/>
        <v>Enero</v>
      </c>
      <c r="W159" s="1128">
        <f t="shared" si="13"/>
        <v>0</v>
      </c>
    </row>
    <row r="160" spans="1:23" s="1321" customFormat="1" ht="49.9" customHeight="1" thickBot="1" x14ac:dyDescent="0.2">
      <c r="A160" s="1117">
        <v>2008</v>
      </c>
      <c r="B160" s="1117">
        <v>2008</v>
      </c>
      <c r="C160" s="1118" t="s">
        <v>36</v>
      </c>
      <c r="D160" s="1119" t="s">
        <v>37</v>
      </c>
      <c r="E160" s="1120" t="s">
        <v>1554</v>
      </c>
      <c r="F160" s="1141" t="s">
        <v>1846</v>
      </c>
      <c r="G160" s="1121">
        <v>7120002</v>
      </c>
      <c r="H160" s="1122">
        <v>20401</v>
      </c>
      <c r="I160" s="1123">
        <v>39135</v>
      </c>
      <c r="J160" s="1124">
        <v>30</v>
      </c>
      <c r="K160" s="1125">
        <f t="shared" si="9"/>
        <v>39165</v>
      </c>
      <c r="L160" s="1133" t="s">
        <v>41</v>
      </c>
      <c r="M160" s="1123">
        <v>39463</v>
      </c>
      <c r="N160" s="1124">
        <f t="shared" si="15"/>
        <v>301</v>
      </c>
      <c r="O160" s="1123"/>
      <c r="P160" s="1132">
        <v>39466</v>
      </c>
      <c r="Q160" s="1123">
        <v>39486</v>
      </c>
      <c r="R160" s="1124">
        <f t="shared" si="10"/>
        <v>351</v>
      </c>
      <c r="S160" s="1128" t="s">
        <v>6202</v>
      </c>
      <c r="T160" s="1140" t="s">
        <v>1850</v>
      </c>
      <c r="U160" s="1141" t="str">
        <f t="shared" si="11"/>
        <v>atrasado</v>
      </c>
      <c r="V160" s="1130" t="str">
        <f t="shared" si="12"/>
        <v>Enero</v>
      </c>
      <c r="W160" s="1128">
        <f t="shared" si="13"/>
        <v>0</v>
      </c>
    </row>
    <row r="161" spans="1:23" s="1321" customFormat="1" ht="49.9" customHeight="1" thickBot="1" x14ac:dyDescent="0.2">
      <c r="A161" s="1117">
        <v>2008</v>
      </c>
      <c r="B161" s="1117">
        <v>2008</v>
      </c>
      <c r="C161" s="1118" t="s">
        <v>36</v>
      </c>
      <c r="D161" s="1119" t="s">
        <v>37</v>
      </c>
      <c r="E161" s="1120" t="s">
        <v>1554</v>
      </c>
      <c r="F161" s="1141" t="s">
        <v>1851</v>
      </c>
      <c r="G161" s="1121">
        <v>7120003</v>
      </c>
      <c r="H161" s="1122">
        <v>16902</v>
      </c>
      <c r="I161" s="1123">
        <v>39188</v>
      </c>
      <c r="J161" s="1124">
        <v>30</v>
      </c>
      <c r="K161" s="1125">
        <f t="shared" si="9"/>
        <v>39218</v>
      </c>
      <c r="L161" s="1133" t="s">
        <v>41</v>
      </c>
      <c r="M161" s="1123">
        <v>39463</v>
      </c>
      <c r="N161" s="1124">
        <f t="shared" si="15"/>
        <v>248</v>
      </c>
      <c r="O161" s="1123"/>
      <c r="P161" s="1132">
        <v>39466</v>
      </c>
      <c r="Q161" s="1123">
        <v>39486</v>
      </c>
      <c r="R161" s="1124">
        <f t="shared" si="10"/>
        <v>298</v>
      </c>
      <c r="S161" s="1128" t="s">
        <v>6203</v>
      </c>
      <c r="T161" s="1140" t="s">
        <v>1853</v>
      </c>
      <c r="U161" s="1141" t="str">
        <f t="shared" si="11"/>
        <v>atrasado</v>
      </c>
      <c r="V161" s="1130" t="str">
        <f t="shared" si="12"/>
        <v>Enero</v>
      </c>
      <c r="W161" s="1128">
        <f t="shared" si="13"/>
        <v>0</v>
      </c>
    </row>
    <row r="162" spans="1:23" s="1321" customFormat="1" ht="49.9" customHeight="1" thickBot="1" x14ac:dyDescent="0.2">
      <c r="A162" s="1117">
        <v>2008</v>
      </c>
      <c r="B162" s="1117">
        <v>2008</v>
      </c>
      <c r="C162" s="1118" t="s">
        <v>36</v>
      </c>
      <c r="D162" s="1119" t="s">
        <v>37</v>
      </c>
      <c r="E162" s="1120" t="s">
        <v>1554</v>
      </c>
      <c r="F162" s="1141" t="s">
        <v>1854</v>
      </c>
      <c r="G162" s="1121">
        <v>7120004</v>
      </c>
      <c r="H162" s="1122">
        <v>32210</v>
      </c>
      <c r="I162" s="1123">
        <v>39216</v>
      </c>
      <c r="J162" s="1124">
        <v>30</v>
      </c>
      <c r="K162" s="1125">
        <f t="shared" ref="K162:K175" si="17">+I162+J162</f>
        <v>39246</v>
      </c>
      <c r="L162" s="1133" t="s">
        <v>41</v>
      </c>
      <c r="M162" s="1123">
        <v>39463</v>
      </c>
      <c r="N162" s="1124">
        <f t="shared" si="15"/>
        <v>220</v>
      </c>
      <c r="O162" s="1123"/>
      <c r="P162" s="1132">
        <v>39466</v>
      </c>
      <c r="Q162" s="1123">
        <v>39486</v>
      </c>
      <c r="R162" s="1124">
        <f t="shared" si="10"/>
        <v>270</v>
      </c>
      <c r="S162" s="1128" t="s">
        <v>6204</v>
      </c>
      <c r="T162" s="1140" t="s">
        <v>1856</v>
      </c>
      <c r="U162" s="1141" t="str">
        <f t="shared" si="11"/>
        <v>atrasado</v>
      </c>
      <c r="V162" s="1130" t="str">
        <f t="shared" si="12"/>
        <v>Enero</v>
      </c>
      <c r="W162" s="1128">
        <f t="shared" si="13"/>
        <v>0</v>
      </c>
    </row>
    <row r="163" spans="1:23" s="1321" customFormat="1" ht="49.9" customHeight="1" thickBot="1" x14ac:dyDescent="0.2">
      <c r="A163" s="1117">
        <v>2008</v>
      </c>
      <c r="B163" s="1117">
        <v>2008</v>
      </c>
      <c r="C163" s="1118" t="s">
        <v>36</v>
      </c>
      <c r="D163" s="1119" t="s">
        <v>133</v>
      </c>
      <c r="E163" s="1120" t="s">
        <v>1663</v>
      </c>
      <c r="F163" s="1141" t="s">
        <v>1664</v>
      </c>
      <c r="G163" s="1121">
        <v>4501963332</v>
      </c>
      <c r="H163" s="1122">
        <v>206282.33</v>
      </c>
      <c r="I163" s="1123">
        <v>39437</v>
      </c>
      <c r="J163" s="1124">
        <v>97</v>
      </c>
      <c r="K163" s="1125">
        <f t="shared" si="17"/>
        <v>39534</v>
      </c>
      <c r="L163" s="1133" t="s">
        <v>41</v>
      </c>
      <c r="M163" s="1123">
        <v>39524</v>
      </c>
      <c r="N163" s="1124">
        <f t="shared" si="15"/>
        <v>4</v>
      </c>
      <c r="O163" s="1123">
        <v>39527</v>
      </c>
      <c r="P163" s="1132">
        <v>39538</v>
      </c>
      <c r="Q163" s="1123">
        <f>+P163+20</f>
        <v>39558</v>
      </c>
      <c r="R163" s="1124">
        <f t="shared" si="10"/>
        <v>121</v>
      </c>
      <c r="S163" s="1128" t="s">
        <v>1868</v>
      </c>
      <c r="T163" s="1140" t="s">
        <v>1871</v>
      </c>
      <c r="U163" s="1141" t="str">
        <f t="shared" si="11"/>
        <v>atrasado</v>
      </c>
      <c r="V163" s="1130" t="str">
        <f t="shared" si="12"/>
        <v>Marzo</v>
      </c>
      <c r="W163" s="1128">
        <f t="shared" si="13"/>
        <v>0</v>
      </c>
    </row>
    <row r="164" spans="1:23" s="1321" customFormat="1" ht="49.9" customHeight="1" thickBot="1" x14ac:dyDescent="0.2">
      <c r="A164" s="1117">
        <v>2008</v>
      </c>
      <c r="B164" s="1117">
        <v>2008</v>
      </c>
      <c r="C164" s="1118" t="s">
        <v>36</v>
      </c>
      <c r="D164" s="1119" t="s">
        <v>133</v>
      </c>
      <c r="E164" s="1120" t="s">
        <v>1663</v>
      </c>
      <c r="F164" s="1141" t="s">
        <v>1664</v>
      </c>
      <c r="G164" s="1121">
        <v>4501963220</v>
      </c>
      <c r="H164" s="1122">
        <v>43011.42</v>
      </c>
      <c r="I164" s="1123">
        <v>39437</v>
      </c>
      <c r="J164" s="1124">
        <v>98</v>
      </c>
      <c r="K164" s="1125">
        <f t="shared" si="17"/>
        <v>39535</v>
      </c>
      <c r="L164" s="1133" t="s">
        <v>41</v>
      </c>
      <c r="M164" s="1123">
        <v>39524</v>
      </c>
      <c r="N164" s="1124">
        <f t="shared" si="15"/>
        <v>3</v>
      </c>
      <c r="O164" s="1123">
        <v>39527</v>
      </c>
      <c r="P164" s="1132">
        <v>39538</v>
      </c>
      <c r="Q164" s="1123">
        <f>+P164+20</f>
        <v>39558</v>
      </c>
      <c r="R164" s="1124">
        <f t="shared" si="10"/>
        <v>121</v>
      </c>
      <c r="S164" s="1128" t="s">
        <v>1872</v>
      </c>
      <c r="T164" s="1140"/>
      <c r="U164" s="1141" t="str">
        <f t="shared" si="11"/>
        <v>atrasado</v>
      </c>
      <c r="V164" s="1130" t="str">
        <f t="shared" si="12"/>
        <v>Marzo</v>
      </c>
      <c r="W164" s="1128">
        <f t="shared" si="13"/>
        <v>0</v>
      </c>
    </row>
    <row r="165" spans="1:23" s="1321" customFormat="1" ht="49.9" customHeight="1" thickBot="1" x14ac:dyDescent="0.2">
      <c r="A165" s="1117">
        <v>2008</v>
      </c>
      <c r="B165" s="1117">
        <v>2008</v>
      </c>
      <c r="C165" s="1118" t="s">
        <v>36</v>
      </c>
      <c r="D165" s="1119" t="s">
        <v>133</v>
      </c>
      <c r="E165" s="1120" t="s">
        <v>1663</v>
      </c>
      <c r="F165" s="1141" t="s">
        <v>1664</v>
      </c>
      <c r="G165" s="1121">
        <v>4502014045</v>
      </c>
      <c r="H165" s="1122">
        <v>19011.419999999998</v>
      </c>
      <c r="I165" s="1123">
        <v>39470</v>
      </c>
      <c r="J165" s="1124">
        <v>121</v>
      </c>
      <c r="K165" s="1125">
        <f t="shared" si="17"/>
        <v>39591</v>
      </c>
      <c r="L165" s="1133" t="s">
        <v>41</v>
      </c>
      <c r="M165" s="1123">
        <v>39552</v>
      </c>
      <c r="N165" s="1124">
        <f t="shared" si="15"/>
        <v>-23</v>
      </c>
      <c r="O165" s="1123"/>
      <c r="P165" s="1132">
        <v>39568</v>
      </c>
      <c r="Q165" s="1123">
        <f>+P165+20</f>
        <v>39588</v>
      </c>
      <c r="R165" s="1124">
        <f t="shared" si="10"/>
        <v>118</v>
      </c>
      <c r="S165" s="1128" t="s">
        <v>879</v>
      </c>
      <c r="T165" s="1140" t="s">
        <v>1890</v>
      </c>
      <c r="U165" s="1141" t="str">
        <f t="shared" si="11"/>
        <v>en término</v>
      </c>
      <c r="V165" s="1130" t="str">
        <f t="shared" si="12"/>
        <v>Abril</v>
      </c>
      <c r="W165" s="1128">
        <f t="shared" si="13"/>
        <v>1</v>
      </c>
    </row>
    <row r="166" spans="1:23" s="1321" customFormat="1" ht="49.9" customHeight="1" thickBot="1" x14ac:dyDescent="0.2">
      <c r="A166" s="1117">
        <v>2008</v>
      </c>
      <c r="B166" s="1117">
        <v>2008</v>
      </c>
      <c r="C166" s="1118" t="s">
        <v>36</v>
      </c>
      <c r="D166" s="1119" t="s">
        <v>133</v>
      </c>
      <c r="E166" s="1120" t="s">
        <v>1663</v>
      </c>
      <c r="F166" s="1141" t="s">
        <v>1664</v>
      </c>
      <c r="G166" s="1121">
        <v>4501713217</v>
      </c>
      <c r="H166" s="1122">
        <v>694.92</v>
      </c>
      <c r="I166" s="1123">
        <v>39294</v>
      </c>
      <c r="J166" s="1124">
        <v>114</v>
      </c>
      <c r="K166" s="1125">
        <f t="shared" si="17"/>
        <v>39408</v>
      </c>
      <c r="L166" s="1133" t="s">
        <v>41</v>
      </c>
      <c r="M166" s="1123">
        <v>39552</v>
      </c>
      <c r="N166" s="1124">
        <f t="shared" si="15"/>
        <v>160</v>
      </c>
      <c r="O166" s="1123"/>
      <c r="P166" s="1132">
        <v>39568</v>
      </c>
      <c r="Q166" s="1123">
        <f>+P166+20</f>
        <v>39588</v>
      </c>
      <c r="R166" s="1124">
        <f t="shared" si="10"/>
        <v>294</v>
      </c>
      <c r="S166" s="1128" t="s">
        <v>1891</v>
      </c>
      <c r="T166" s="1140" t="s">
        <v>6205</v>
      </c>
      <c r="U166" s="1141" t="str">
        <f t="shared" si="11"/>
        <v>atrasado</v>
      </c>
      <c r="V166" s="1130" t="str">
        <f t="shared" si="12"/>
        <v>Abril</v>
      </c>
      <c r="W166" s="1128">
        <f t="shared" si="13"/>
        <v>0</v>
      </c>
    </row>
    <row r="167" spans="1:23" s="1321" customFormat="1" ht="49.9" customHeight="1" thickBot="1" x14ac:dyDescent="0.2">
      <c r="A167" s="1117">
        <v>2008</v>
      </c>
      <c r="B167" s="1117">
        <v>2008</v>
      </c>
      <c r="C167" s="1118" t="s">
        <v>36</v>
      </c>
      <c r="D167" s="1119" t="s">
        <v>133</v>
      </c>
      <c r="E167" s="1120" t="s">
        <v>1663</v>
      </c>
      <c r="F167" s="1141" t="s">
        <v>1664</v>
      </c>
      <c r="G167" s="1121">
        <v>4502005604</v>
      </c>
      <c r="H167" s="1122">
        <v>52423.63</v>
      </c>
      <c r="I167" s="1123">
        <v>39464</v>
      </c>
      <c r="J167" s="1124">
        <v>96</v>
      </c>
      <c r="K167" s="1125">
        <f t="shared" si="17"/>
        <v>39560</v>
      </c>
      <c r="L167" s="1133" t="s">
        <v>41</v>
      </c>
      <c r="M167" s="1123">
        <v>39552</v>
      </c>
      <c r="N167" s="1124">
        <f t="shared" si="15"/>
        <v>8</v>
      </c>
      <c r="O167" s="1123"/>
      <c r="P167" s="1132">
        <v>39568</v>
      </c>
      <c r="Q167" s="1123">
        <f>+P167+13</f>
        <v>39581</v>
      </c>
      <c r="R167" s="1124">
        <f t="shared" si="10"/>
        <v>117</v>
      </c>
      <c r="S167" s="1128" t="s">
        <v>1838</v>
      </c>
      <c r="T167" s="1140"/>
      <c r="U167" s="1141" t="str">
        <f t="shared" si="11"/>
        <v>atrasado</v>
      </c>
      <c r="V167" s="1130" t="str">
        <f t="shared" si="12"/>
        <v>Abril</v>
      </c>
      <c r="W167" s="1128">
        <f t="shared" si="13"/>
        <v>0</v>
      </c>
    </row>
    <row r="168" spans="1:23" s="1321" customFormat="1" ht="49.9" customHeight="1" thickBot="1" x14ac:dyDescent="0.2">
      <c r="A168" s="1117">
        <v>2008</v>
      </c>
      <c r="B168" s="1117">
        <v>2008</v>
      </c>
      <c r="C168" s="1118" t="s">
        <v>36</v>
      </c>
      <c r="D168" s="1119" t="s">
        <v>133</v>
      </c>
      <c r="E168" s="1120" t="s">
        <v>1663</v>
      </c>
      <c r="F168" s="1141" t="s">
        <v>1664</v>
      </c>
      <c r="G168" s="1121">
        <v>4501694685</v>
      </c>
      <c r="H168" s="1122">
        <v>1049.72</v>
      </c>
      <c r="I168" s="1123">
        <v>39282</v>
      </c>
      <c r="J168" s="1124">
        <v>148</v>
      </c>
      <c r="K168" s="1125">
        <f t="shared" si="17"/>
        <v>39430</v>
      </c>
      <c r="L168" s="1133" t="s">
        <v>41</v>
      </c>
      <c r="M168" s="1123">
        <v>39552</v>
      </c>
      <c r="N168" s="1124">
        <f t="shared" si="15"/>
        <v>138</v>
      </c>
      <c r="O168" s="1123"/>
      <c r="P168" s="1132">
        <v>39568</v>
      </c>
      <c r="Q168" s="1123">
        <f t="shared" ref="Q168:Q175" si="18">+P168+20</f>
        <v>39588</v>
      </c>
      <c r="R168" s="1124">
        <f t="shared" si="10"/>
        <v>306</v>
      </c>
      <c r="S168" s="1128" t="s">
        <v>53</v>
      </c>
      <c r="T168" s="1140" t="s">
        <v>1897</v>
      </c>
      <c r="U168" s="1141" t="str">
        <f t="shared" si="11"/>
        <v>atrasado</v>
      </c>
      <c r="V168" s="1130" t="str">
        <f t="shared" si="12"/>
        <v>Abril</v>
      </c>
      <c r="W168" s="1128">
        <f t="shared" si="13"/>
        <v>0</v>
      </c>
    </row>
    <row r="169" spans="1:23" s="1321" customFormat="1" ht="49.9" customHeight="1" thickBot="1" x14ac:dyDescent="0.2">
      <c r="A169" s="1117">
        <v>2008</v>
      </c>
      <c r="B169" s="1117">
        <v>2008</v>
      </c>
      <c r="C169" s="1118" t="s">
        <v>36</v>
      </c>
      <c r="D169" s="1119" t="s">
        <v>37</v>
      </c>
      <c r="E169" s="1120" t="s">
        <v>1898</v>
      </c>
      <c r="F169" s="1141" t="s">
        <v>1899</v>
      </c>
      <c r="G169" s="1121">
        <v>8030001</v>
      </c>
      <c r="H169" s="1122">
        <v>2313</v>
      </c>
      <c r="I169" s="1123">
        <v>39519</v>
      </c>
      <c r="J169" s="1124">
        <v>60</v>
      </c>
      <c r="K169" s="1125">
        <f t="shared" si="17"/>
        <v>39579</v>
      </c>
      <c r="L169" s="1133" t="s">
        <v>41</v>
      </c>
      <c r="M169" s="1123">
        <v>39552</v>
      </c>
      <c r="N169" s="1124">
        <f t="shared" si="15"/>
        <v>-11</v>
      </c>
      <c r="O169" s="1123"/>
      <c r="P169" s="1132">
        <v>39568</v>
      </c>
      <c r="Q169" s="1123">
        <f t="shared" si="18"/>
        <v>39588</v>
      </c>
      <c r="R169" s="1124">
        <f t="shared" si="10"/>
        <v>69</v>
      </c>
      <c r="S169" s="1128" t="s">
        <v>1020</v>
      </c>
      <c r="T169" s="1140"/>
      <c r="U169" s="1141" t="str">
        <f t="shared" si="11"/>
        <v>en término</v>
      </c>
      <c r="V169" s="1130" t="str">
        <f t="shared" si="12"/>
        <v>Abril</v>
      </c>
      <c r="W169" s="1128">
        <f t="shared" si="13"/>
        <v>1</v>
      </c>
    </row>
    <row r="170" spans="1:23" s="1321" customFormat="1" ht="49.9" customHeight="1" thickBot="1" x14ac:dyDescent="0.2">
      <c r="A170" s="1117">
        <v>2008</v>
      </c>
      <c r="B170" s="1117">
        <v>2008</v>
      </c>
      <c r="C170" s="1118" t="s">
        <v>36</v>
      </c>
      <c r="D170" s="1119" t="s">
        <v>37</v>
      </c>
      <c r="E170" s="1120" t="s">
        <v>1902</v>
      </c>
      <c r="F170" s="1141" t="s">
        <v>1903</v>
      </c>
      <c r="G170" s="1121">
        <v>8030002</v>
      </c>
      <c r="H170" s="1122">
        <v>45995.360000000001</v>
      </c>
      <c r="I170" s="1123">
        <v>39511</v>
      </c>
      <c r="J170" s="1124">
        <v>70</v>
      </c>
      <c r="K170" s="1125">
        <f t="shared" si="17"/>
        <v>39581</v>
      </c>
      <c r="L170" s="1133" t="s">
        <v>41</v>
      </c>
      <c r="M170" s="1123">
        <v>39552</v>
      </c>
      <c r="N170" s="1124">
        <f t="shared" si="15"/>
        <v>-13</v>
      </c>
      <c r="O170" s="1123"/>
      <c r="P170" s="1132">
        <v>39568</v>
      </c>
      <c r="Q170" s="1123">
        <f t="shared" si="18"/>
        <v>39588</v>
      </c>
      <c r="R170" s="1124">
        <f t="shared" si="10"/>
        <v>77</v>
      </c>
      <c r="S170" s="1128" t="s">
        <v>1904</v>
      </c>
      <c r="T170" s="1140"/>
      <c r="U170" s="1141" t="str">
        <f t="shared" si="11"/>
        <v>en término</v>
      </c>
      <c r="V170" s="1130" t="str">
        <f t="shared" si="12"/>
        <v>Abril</v>
      </c>
      <c r="W170" s="1128">
        <f t="shared" si="13"/>
        <v>1</v>
      </c>
    </row>
    <row r="171" spans="1:23" s="1321" customFormat="1" ht="49.9" customHeight="1" thickBot="1" x14ac:dyDescent="0.2">
      <c r="A171" s="1117">
        <v>2008</v>
      </c>
      <c r="B171" s="1117">
        <v>2008</v>
      </c>
      <c r="C171" s="1118" t="s">
        <v>36</v>
      </c>
      <c r="D171" s="1119" t="s">
        <v>37</v>
      </c>
      <c r="E171" s="1120" t="s">
        <v>1905</v>
      </c>
      <c r="F171" s="1141" t="s">
        <v>1906</v>
      </c>
      <c r="G171" s="1121">
        <v>8030003</v>
      </c>
      <c r="H171" s="1122">
        <v>4825</v>
      </c>
      <c r="I171" s="1123">
        <v>39520</v>
      </c>
      <c r="J171" s="1124">
        <v>30</v>
      </c>
      <c r="K171" s="1125">
        <f t="shared" si="17"/>
        <v>39550</v>
      </c>
      <c r="L171" s="1133" t="s">
        <v>41</v>
      </c>
      <c r="M171" s="1123">
        <v>39552</v>
      </c>
      <c r="N171" s="1124">
        <f t="shared" si="15"/>
        <v>18</v>
      </c>
      <c r="O171" s="1123"/>
      <c r="P171" s="1132">
        <v>39568</v>
      </c>
      <c r="Q171" s="1123">
        <f t="shared" si="18"/>
        <v>39588</v>
      </c>
      <c r="R171" s="1124">
        <f t="shared" si="10"/>
        <v>68</v>
      </c>
      <c r="S171" s="1128" t="s">
        <v>6206</v>
      </c>
      <c r="T171" s="1140"/>
      <c r="U171" s="1141" t="str">
        <f t="shared" si="11"/>
        <v>atrasado</v>
      </c>
      <c r="V171" s="1130" t="str">
        <f t="shared" si="12"/>
        <v>Abril</v>
      </c>
      <c r="W171" s="1128">
        <f t="shared" si="13"/>
        <v>0</v>
      </c>
    </row>
    <row r="172" spans="1:23" s="1321" customFormat="1" ht="49.9" customHeight="1" thickBot="1" x14ac:dyDescent="0.2">
      <c r="A172" s="1117">
        <v>2008</v>
      </c>
      <c r="B172" s="1117">
        <v>2008</v>
      </c>
      <c r="C172" s="1118" t="s">
        <v>36</v>
      </c>
      <c r="D172" s="1119" t="s">
        <v>133</v>
      </c>
      <c r="E172" s="1120" t="s">
        <v>1663</v>
      </c>
      <c r="F172" s="1141" t="s">
        <v>1664</v>
      </c>
      <c r="G172" s="1121">
        <v>4502052850</v>
      </c>
      <c r="H172" s="1122">
        <v>109728.12</v>
      </c>
      <c r="I172" s="1123">
        <v>39497</v>
      </c>
      <c r="J172" s="1124">
        <v>98</v>
      </c>
      <c r="K172" s="1125">
        <f t="shared" si="17"/>
        <v>39595</v>
      </c>
      <c r="L172" s="1133" t="s">
        <v>41</v>
      </c>
      <c r="M172" s="1123">
        <v>39584</v>
      </c>
      <c r="N172" s="1124">
        <f t="shared" si="15"/>
        <v>5</v>
      </c>
      <c r="O172" s="1123">
        <v>39587</v>
      </c>
      <c r="P172" s="1132">
        <v>39600</v>
      </c>
      <c r="Q172" s="1123">
        <f t="shared" si="18"/>
        <v>39620</v>
      </c>
      <c r="R172" s="1124">
        <f t="shared" si="10"/>
        <v>123</v>
      </c>
      <c r="S172" s="1128" t="s">
        <v>1122</v>
      </c>
      <c r="T172" s="1140" t="s">
        <v>1911</v>
      </c>
      <c r="U172" s="1141" t="str">
        <f t="shared" si="11"/>
        <v>atrasado</v>
      </c>
      <c r="V172" s="1130" t="str">
        <f t="shared" si="12"/>
        <v>Mayo</v>
      </c>
      <c r="W172" s="1128">
        <f t="shared" si="13"/>
        <v>0</v>
      </c>
    </row>
    <row r="173" spans="1:23" s="1321" customFormat="1" ht="49.9" customHeight="1" thickBot="1" x14ac:dyDescent="0.2">
      <c r="A173" s="1117">
        <v>2008</v>
      </c>
      <c r="B173" s="1117">
        <v>2008</v>
      </c>
      <c r="C173" s="1118" t="s">
        <v>36</v>
      </c>
      <c r="D173" s="1119" t="s">
        <v>133</v>
      </c>
      <c r="E173" s="1120" t="s">
        <v>1663</v>
      </c>
      <c r="F173" s="1141" t="s">
        <v>1664</v>
      </c>
      <c r="G173" s="1121">
        <v>4502052512</v>
      </c>
      <c r="H173" s="1122">
        <v>46268.56</v>
      </c>
      <c r="I173" s="1123">
        <v>39497</v>
      </c>
      <c r="J173" s="1124">
        <v>97</v>
      </c>
      <c r="K173" s="1125">
        <f t="shared" si="17"/>
        <v>39594</v>
      </c>
      <c r="L173" s="1133" t="s">
        <v>41</v>
      </c>
      <c r="M173" s="1123">
        <v>39584</v>
      </c>
      <c r="N173" s="1124">
        <f t="shared" si="15"/>
        <v>6</v>
      </c>
      <c r="O173" s="1123">
        <v>39587</v>
      </c>
      <c r="P173" s="1132">
        <v>39600</v>
      </c>
      <c r="Q173" s="1123">
        <f t="shared" si="18"/>
        <v>39620</v>
      </c>
      <c r="R173" s="1124">
        <f t="shared" si="10"/>
        <v>123</v>
      </c>
      <c r="S173" s="1128" t="s">
        <v>758</v>
      </c>
      <c r="T173" s="1140" t="s">
        <v>1911</v>
      </c>
      <c r="U173" s="1141" t="str">
        <f t="shared" si="11"/>
        <v>atrasado</v>
      </c>
      <c r="V173" s="1130" t="str">
        <f t="shared" si="12"/>
        <v>Mayo</v>
      </c>
      <c r="W173" s="1128">
        <f t="shared" si="13"/>
        <v>0</v>
      </c>
    </row>
    <row r="174" spans="1:23" s="1321" customFormat="1" ht="49.9" customHeight="1" thickBot="1" x14ac:dyDescent="0.2">
      <c r="A174" s="1117">
        <v>2008</v>
      </c>
      <c r="B174" s="1117">
        <v>2008</v>
      </c>
      <c r="C174" s="1118" t="s">
        <v>36</v>
      </c>
      <c r="D174" s="1119" t="s">
        <v>37</v>
      </c>
      <c r="E174" s="1120" t="s">
        <v>1913</v>
      </c>
      <c r="F174" s="1141" t="s">
        <v>1914</v>
      </c>
      <c r="G174" s="1121">
        <v>8040005</v>
      </c>
      <c r="H174" s="1122">
        <v>6210</v>
      </c>
      <c r="I174" s="1123">
        <v>39560</v>
      </c>
      <c r="J174" s="1124">
        <v>30</v>
      </c>
      <c r="K174" s="1125">
        <f t="shared" si="17"/>
        <v>39590</v>
      </c>
      <c r="L174" s="1133" t="s">
        <v>41</v>
      </c>
      <c r="M174" s="1123">
        <v>39584</v>
      </c>
      <c r="N174" s="1124">
        <f t="shared" si="15"/>
        <v>10</v>
      </c>
      <c r="O174" s="1123">
        <v>39587</v>
      </c>
      <c r="P174" s="1132">
        <v>39600</v>
      </c>
      <c r="Q174" s="1123">
        <f t="shared" si="18"/>
        <v>39620</v>
      </c>
      <c r="R174" s="1124">
        <f t="shared" si="10"/>
        <v>60</v>
      </c>
      <c r="S174" s="1128" t="s">
        <v>1915</v>
      </c>
      <c r="T174" s="1140" t="s">
        <v>1911</v>
      </c>
      <c r="U174" s="1141" t="str">
        <f t="shared" si="11"/>
        <v>atrasado</v>
      </c>
      <c r="V174" s="1130" t="str">
        <f t="shared" si="12"/>
        <v>Mayo</v>
      </c>
      <c r="W174" s="1128">
        <f t="shared" si="13"/>
        <v>0</v>
      </c>
    </row>
    <row r="175" spans="1:23" s="1321" customFormat="1" ht="49.9" customHeight="1" thickBot="1" x14ac:dyDescent="0.2">
      <c r="A175" s="1117">
        <v>2008</v>
      </c>
      <c r="B175" s="1117">
        <v>2008</v>
      </c>
      <c r="C175" s="1118" t="s">
        <v>36</v>
      </c>
      <c r="D175" s="1119" t="s">
        <v>37</v>
      </c>
      <c r="E175" s="1120" t="s">
        <v>1917</v>
      </c>
      <c r="F175" s="1141" t="s">
        <v>1918</v>
      </c>
      <c r="G175" s="1121">
        <v>8040007</v>
      </c>
      <c r="H175" s="1122">
        <v>2650</v>
      </c>
      <c r="I175" s="1123">
        <v>39556</v>
      </c>
      <c r="J175" s="1124">
        <v>45</v>
      </c>
      <c r="K175" s="1125">
        <f t="shared" si="17"/>
        <v>39601</v>
      </c>
      <c r="L175" s="1133" t="s">
        <v>41</v>
      </c>
      <c r="M175" s="1123">
        <v>39584</v>
      </c>
      <c r="N175" s="1124">
        <f t="shared" si="15"/>
        <v>-1</v>
      </c>
      <c r="O175" s="1123">
        <v>39587</v>
      </c>
      <c r="P175" s="1132">
        <v>39600</v>
      </c>
      <c r="Q175" s="1123">
        <f t="shared" si="18"/>
        <v>39620</v>
      </c>
      <c r="R175" s="1124">
        <f t="shared" si="10"/>
        <v>64</v>
      </c>
      <c r="S175" s="1128" t="s">
        <v>1919</v>
      </c>
      <c r="T175" s="1140" t="s">
        <v>1911</v>
      </c>
      <c r="U175" s="1141" t="str">
        <f t="shared" si="11"/>
        <v>en término</v>
      </c>
      <c r="V175" s="1130" t="str">
        <f t="shared" si="12"/>
        <v>Mayo</v>
      </c>
      <c r="W175" s="1128">
        <f t="shared" si="13"/>
        <v>1</v>
      </c>
    </row>
    <row r="176" spans="1:23" s="1321" customFormat="1" ht="49.9" customHeight="1" thickBot="1" x14ac:dyDescent="0.2">
      <c r="A176" s="1117">
        <v>2008</v>
      </c>
      <c r="B176" s="1117">
        <v>2008</v>
      </c>
      <c r="C176" s="1118" t="s">
        <v>36</v>
      </c>
      <c r="D176" s="1119" t="s">
        <v>133</v>
      </c>
      <c r="E176" s="1120" t="s">
        <v>1663</v>
      </c>
      <c r="F176" s="1141" t="s">
        <v>1664</v>
      </c>
      <c r="G176" s="1121">
        <v>4502109297</v>
      </c>
      <c r="H176" s="1122">
        <v>52874.33</v>
      </c>
      <c r="I176" s="1123">
        <v>39531</v>
      </c>
      <c r="J176" s="1124">
        <v>94</v>
      </c>
      <c r="K176" s="1125">
        <v>39626</v>
      </c>
      <c r="L176" s="1133" t="s">
        <v>41</v>
      </c>
      <c r="M176" s="1123">
        <v>39612</v>
      </c>
      <c r="N176" s="1124">
        <f t="shared" si="15"/>
        <v>1</v>
      </c>
      <c r="O176" s="1123">
        <v>39620</v>
      </c>
      <c r="P176" s="1132">
        <v>39627</v>
      </c>
      <c r="Q176" s="1123">
        <v>39643</v>
      </c>
      <c r="R176" s="1124">
        <f t="shared" si="10"/>
        <v>112</v>
      </c>
      <c r="S176" s="1128" t="s">
        <v>955</v>
      </c>
      <c r="T176" s="1140"/>
      <c r="U176" s="1141" t="str">
        <f t="shared" si="11"/>
        <v>atrasado</v>
      </c>
      <c r="V176" s="1130" t="str">
        <f t="shared" si="12"/>
        <v>Junio</v>
      </c>
      <c r="W176" s="1128">
        <f t="shared" si="13"/>
        <v>0</v>
      </c>
    </row>
    <row r="177" spans="1:23" s="1321" customFormat="1" ht="49.9" customHeight="1" thickBot="1" x14ac:dyDescent="0.2">
      <c r="A177" s="1117">
        <v>2008</v>
      </c>
      <c r="B177" s="1117">
        <v>2008</v>
      </c>
      <c r="C177" s="1118" t="s">
        <v>36</v>
      </c>
      <c r="D177" s="1119" t="s">
        <v>37</v>
      </c>
      <c r="E177" s="1120" t="s">
        <v>1925</v>
      </c>
      <c r="F177" s="1141" t="s">
        <v>1926</v>
      </c>
      <c r="G177" s="1121">
        <v>8040006</v>
      </c>
      <c r="H177" s="1122">
        <v>11740</v>
      </c>
      <c r="I177" s="1123">
        <v>39560</v>
      </c>
      <c r="J177" s="1124">
        <v>60</v>
      </c>
      <c r="K177" s="1125">
        <f t="shared" ref="K177:K183" si="19">+I177+J177</f>
        <v>39620</v>
      </c>
      <c r="L177" s="1133" t="s">
        <v>41</v>
      </c>
      <c r="M177" s="1123">
        <v>39612</v>
      </c>
      <c r="N177" s="1124">
        <f t="shared" si="15"/>
        <v>7</v>
      </c>
      <c r="O177" s="1123">
        <v>39620</v>
      </c>
      <c r="P177" s="1132">
        <v>39627</v>
      </c>
      <c r="Q177" s="1123">
        <v>39643</v>
      </c>
      <c r="R177" s="1124">
        <f t="shared" si="10"/>
        <v>83</v>
      </c>
      <c r="S177" s="1128" t="s">
        <v>419</v>
      </c>
      <c r="T177" s="1140"/>
      <c r="U177" s="1141" t="str">
        <f t="shared" si="11"/>
        <v>atrasado</v>
      </c>
      <c r="V177" s="1130" t="str">
        <f t="shared" si="12"/>
        <v>Junio</v>
      </c>
      <c r="W177" s="1128">
        <f t="shared" si="13"/>
        <v>0</v>
      </c>
    </row>
    <row r="178" spans="1:23" s="1321" customFormat="1" ht="49.9" customHeight="1" thickBot="1" x14ac:dyDescent="0.2">
      <c r="A178" s="1117">
        <v>2008</v>
      </c>
      <c r="B178" s="1117">
        <v>2008</v>
      </c>
      <c r="C178" s="1118" t="s">
        <v>36</v>
      </c>
      <c r="D178" s="1119" t="s">
        <v>37</v>
      </c>
      <c r="E178" s="1120" t="s">
        <v>1929</v>
      </c>
      <c r="F178" s="1141" t="s">
        <v>1930</v>
      </c>
      <c r="G178" s="1121">
        <v>8040008</v>
      </c>
      <c r="H178" s="1122">
        <v>6339.9</v>
      </c>
      <c r="I178" s="1123">
        <v>39549</v>
      </c>
      <c r="J178" s="1124">
        <v>90</v>
      </c>
      <c r="K178" s="1125">
        <f t="shared" si="19"/>
        <v>39639</v>
      </c>
      <c r="L178" s="1133" t="s">
        <v>41</v>
      </c>
      <c r="M178" s="1123">
        <v>39612</v>
      </c>
      <c r="N178" s="1124">
        <f t="shared" si="15"/>
        <v>-12</v>
      </c>
      <c r="O178" s="1123">
        <v>39620</v>
      </c>
      <c r="P178" s="1132">
        <v>39627</v>
      </c>
      <c r="Q178" s="1123">
        <v>39643</v>
      </c>
      <c r="R178" s="1124">
        <f t="shared" si="10"/>
        <v>94</v>
      </c>
      <c r="S178" s="1128" t="s">
        <v>1931</v>
      </c>
      <c r="T178" s="1140"/>
      <c r="U178" s="1141" t="str">
        <f t="shared" si="11"/>
        <v>en término</v>
      </c>
      <c r="V178" s="1130" t="str">
        <f t="shared" si="12"/>
        <v>Junio</v>
      </c>
      <c r="W178" s="1128">
        <f t="shared" si="13"/>
        <v>1</v>
      </c>
    </row>
    <row r="179" spans="1:23" s="1321" customFormat="1" ht="49.9" customHeight="1" thickBot="1" x14ac:dyDescent="0.2">
      <c r="A179" s="1117">
        <v>2008</v>
      </c>
      <c r="B179" s="1117">
        <v>2008</v>
      </c>
      <c r="C179" s="1118" t="s">
        <v>36</v>
      </c>
      <c r="D179" s="1119" t="s">
        <v>37</v>
      </c>
      <c r="E179" s="1120" t="s">
        <v>1933</v>
      </c>
      <c r="F179" s="1141" t="s">
        <v>1934</v>
      </c>
      <c r="G179" s="1121">
        <v>8050001</v>
      </c>
      <c r="H179" s="1122">
        <v>40096</v>
      </c>
      <c r="I179" s="1123">
        <v>39567</v>
      </c>
      <c r="J179" s="1124">
        <v>90</v>
      </c>
      <c r="K179" s="1125">
        <f t="shared" si="19"/>
        <v>39657</v>
      </c>
      <c r="L179" s="1133" t="s">
        <v>41</v>
      </c>
      <c r="M179" s="1123">
        <v>39612</v>
      </c>
      <c r="N179" s="1124">
        <f t="shared" si="15"/>
        <v>-30</v>
      </c>
      <c r="O179" s="1123">
        <v>39620</v>
      </c>
      <c r="P179" s="1132">
        <v>39627</v>
      </c>
      <c r="Q179" s="1123">
        <v>39643</v>
      </c>
      <c r="R179" s="1124">
        <f t="shared" si="10"/>
        <v>76</v>
      </c>
      <c r="S179" s="1128" t="s">
        <v>6207</v>
      </c>
      <c r="T179" s="1140"/>
      <c r="U179" s="1141" t="str">
        <f t="shared" si="11"/>
        <v>en término</v>
      </c>
      <c r="V179" s="1130" t="str">
        <f t="shared" si="12"/>
        <v>Junio</v>
      </c>
      <c r="W179" s="1128">
        <f t="shared" si="13"/>
        <v>1</v>
      </c>
    </row>
    <row r="180" spans="1:23" s="1321" customFormat="1" ht="49.9" customHeight="1" thickBot="1" x14ac:dyDescent="0.2">
      <c r="A180" s="1117">
        <v>2008</v>
      </c>
      <c r="B180" s="1117">
        <v>2008</v>
      </c>
      <c r="C180" s="1118" t="s">
        <v>36</v>
      </c>
      <c r="D180" s="1119" t="s">
        <v>37</v>
      </c>
      <c r="E180" s="1120" t="s">
        <v>1936</v>
      </c>
      <c r="F180" s="1141" t="s">
        <v>1937</v>
      </c>
      <c r="G180" s="1121">
        <v>8060001</v>
      </c>
      <c r="H180" s="1122">
        <v>3170</v>
      </c>
      <c r="I180" s="1123">
        <v>39582</v>
      </c>
      <c r="J180" s="1124">
        <v>52</v>
      </c>
      <c r="K180" s="1125">
        <f t="shared" si="19"/>
        <v>39634</v>
      </c>
      <c r="L180" s="1133" t="s">
        <v>41</v>
      </c>
      <c r="M180" s="1123">
        <v>39612</v>
      </c>
      <c r="N180" s="1124">
        <f t="shared" si="15"/>
        <v>-7</v>
      </c>
      <c r="O180" s="1123">
        <v>39620</v>
      </c>
      <c r="P180" s="1132">
        <v>39627</v>
      </c>
      <c r="Q180" s="1123">
        <v>39643</v>
      </c>
      <c r="R180" s="1124">
        <f t="shared" si="10"/>
        <v>61</v>
      </c>
      <c r="S180" s="1128" t="s">
        <v>6208</v>
      </c>
      <c r="T180" s="1140"/>
      <c r="U180" s="1141" t="str">
        <f t="shared" si="11"/>
        <v>en término</v>
      </c>
      <c r="V180" s="1130" t="str">
        <f t="shared" si="12"/>
        <v>Junio</v>
      </c>
      <c r="W180" s="1128">
        <f t="shared" si="13"/>
        <v>1</v>
      </c>
    </row>
    <row r="181" spans="1:23" s="1321" customFormat="1" ht="49.9" customHeight="1" thickBot="1" x14ac:dyDescent="0.2">
      <c r="A181" s="1117">
        <v>2008</v>
      </c>
      <c r="B181" s="1117">
        <v>2008</v>
      </c>
      <c r="C181" s="1118" t="s">
        <v>36</v>
      </c>
      <c r="D181" s="1119" t="s">
        <v>133</v>
      </c>
      <c r="E181" s="1120" t="s">
        <v>1663</v>
      </c>
      <c r="F181" s="1141" t="s">
        <v>1664</v>
      </c>
      <c r="G181" s="1121">
        <v>4501617268</v>
      </c>
      <c r="H181" s="1122">
        <v>131937.06</v>
      </c>
      <c r="I181" s="1123">
        <v>39234</v>
      </c>
      <c r="J181" s="1124">
        <v>94</v>
      </c>
      <c r="K181" s="1125">
        <f t="shared" si="19"/>
        <v>39328</v>
      </c>
      <c r="L181" s="1133" t="s">
        <v>41</v>
      </c>
      <c r="M181" s="1123">
        <v>39612</v>
      </c>
      <c r="N181" s="1124">
        <f t="shared" si="15"/>
        <v>299</v>
      </c>
      <c r="O181" s="1123">
        <v>39620</v>
      </c>
      <c r="P181" s="1132">
        <v>39627</v>
      </c>
      <c r="Q181" s="1123">
        <v>39643</v>
      </c>
      <c r="R181" s="1124">
        <f t="shared" si="10"/>
        <v>409</v>
      </c>
      <c r="S181" s="1128" t="s">
        <v>1939</v>
      </c>
      <c r="T181" s="1140" t="s">
        <v>1897</v>
      </c>
      <c r="U181" s="1141" t="str">
        <f t="shared" si="11"/>
        <v>atrasado</v>
      </c>
      <c r="V181" s="1130" t="str">
        <f t="shared" si="12"/>
        <v>Junio</v>
      </c>
      <c r="W181" s="1128">
        <f t="shared" si="13"/>
        <v>0</v>
      </c>
    </row>
    <row r="182" spans="1:23" s="1321" customFormat="1" ht="49.9" customHeight="1" thickBot="1" x14ac:dyDescent="0.2">
      <c r="A182" s="1117">
        <v>2008</v>
      </c>
      <c r="B182" s="1117">
        <v>2008</v>
      </c>
      <c r="C182" s="1118" t="s">
        <v>36</v>
      </c>
      <c r="D182" s="1119" t="s">
        <v>133</v>
      </c>
      <c r="E182" s="1120" t="s">
        <v>1663</v>
      </c>
      <c r="F182" s="1141" t="s">
        <v>1664</v>
      </c>
      <c r="G182" s="1121">
        <v>4502104393</v>
      </c>
      <c r="H182" s="1122">
        <v>2002.09</v>
      </c>
      <c r="I182" s="1123">
        <v>39526</v>
      </c>
      <c r="J182" s="1124">
        <v>116</v>
      </c>
      <c r="K182" s="1125">
        <f t="shared" si="19"/>
        <v>39642</v>
      </c>
      <c r="L182" s="1133" t="s">
        <v>41</v>
      </c>
      <c r="M182" s="1123">
        <v>39612</v>
      </c>
      <c r="N182" s="1124">
        <f t="shared" si="15"/>
        <v>-15</v>
      </c>
      <c r="O182" s="1123">
        <v>39620</v>
      </c>
      <c r="P182" s="1132">
        <v>39627</v>
      </c>
      <c r="Q182" s="1123">
        <v>39643</v>
      </c>
      <c r="R182" s="1124">
        <f t="shared" si="10"/>
        <v>117</v>
      </c>
      <c r="S182" s="1128" t="s">
        <v>1020</v>
      </c>
      <c r="T182" s="1140" t="s">
        <v>1943</v>
      </c>
      <c r="U182" s="1141" t="str">
        <f t="shared" si="11"/>
        <v>en término</v>
      </c>
      <c r="V182" s="1130" t="str">
        <f t="shared" si="12"/>
        <v>Junio</v>
      </c>
      <c r="W182" s="1128">
        <f t="shared" si="13"/>
        <v>1</v>
      </c>
    </row>
    <row r="183" spans="1:23" s="1321" customFormat="1" ht="49.9" customHeight="1" thickBot="1" x14ac:dyDescent="0.2">
      <c r="A183" s="1117">
        <v>2008</v>
      </c>
      <c r="B183" s="1117">
        <v>2008</v>
      </c>
      <c r="C183" s="1118" t="s">
        <v>36</v>
      </c>
      <c r="D183" s="1119" t="s">
        <v>133</v>
      </c>
      <c r="E183" s="1120" t="s">
        <v>1663</v>
      </c>
      <c r="F183" s="1141" t="s">
        <v>1664</v>
      </c>
      <c r="G183" s="1121">
        <v>4502088373</v>
      </c>
      <c r="H183" s="1122">
        <v>912.96</v>
      </c>
      <c r="I183" s="1123">
        <v>39514</v>
      </c>
      <c r="J183" s="1124">
        <v>112</v>
      </c>
      <c r="K183" s="1125">
        <f t="shared" si="19"/>
        <v>39626</v>
      </c>
      <c r="L183" s="1133" t="s">
        <v>41</v>
      </c>
      <c r="M183" s="1123">
        <v>39612</v>
      </c>
      <c r="N183" s="1124">
        <f t="shared" si="15"/>
        <v>1</v>
      </c>
      <c r="O183" s="1123">
        <v>39620</v>
      </c>
      <c r="P183" s="1132">
        <v>39627</v>
      </c>
      <c r="Q183" s="1123">
        <v>39643</v>
      </c>
      <c r="R183" s="1124">
        <f t="shared" si="10"/>
        <v>129</v>
      </c>
      <c r="S183" s="1128" t="s">
        <v>53</v>
      </c>
      <c r="T183" s="1140" t="s">
        <v>1945</v>
      </c>
      <c r="U183" s="1141" t="str">
        <f t="shared" si="11"/>
        <v>atrasado</v>
      </c>
      <c r="V183" s="1130" t="str">
        <f t="shared" si="12"/>
        <v>Junio</v>
      </c>
      <c r="W183" s="1128">
        <f t="shared" si="13"/>
        <v>0</v>
      </c>
    </row>
    <row r="184" spans="1:23" s="1321" customFormat="1" ht="49.9" customHeight="1" thickBot="1" x14ac:dyDescent="0.2">
      <c r="A184" s="1117">
        <v>2008</v>
      </c>
      <c r="B184" s="1117">
        <v>2008</v>
      </c>
      <c r="C184" s="1118" t="s">
        <v>36</v>
      </c>
      <c r="D184" s="1119" t="s">
        <v>133</v>
      </c>
      <c r="E184" s="1120" t="s">
        <v>1663</v>
      </c>
      <c r="F184" s="1141" t="s">
        <v>1664</v>
      </c>
      <c r="G184" s="1121">
        <v>4502088373</v>
      </c>
      <c r="H184" s="1122">
        <v>557.91999999999996</v>
      </c>
      <c r="I184" s="1123">
        <v>39514</v>
      </c>
      <c r="J184" s="1124">
        <v>76</v>
      </c>
      <c r="K184" s="1125">
        <f>+I183+J184</f>
        <v>39590</v>
      </c>
      <c r="L184" s="1133" t="s">
        <v>41</v>
      </c>
      <c r="M184" s="1123">
        <v>39612</v>
      </c>
      <c r="N184" s="1124">
        <f>IF(P183="","",+P183-K184)</f>
        <v>37</v>
      </c>
      <c r="O184" s="1123">
        <v>39620</v>
      </c>
      <c r="P184" s="1132">
        <v>39627</v>
      </c>
      <c r="Q184" s="1123">
        <v>39643</v>
      </c>
      <c r="R184" s="1124">
        <f t="shared" si="10"/>
        <v>129</v>
      </c>
      <c r="S184" s="1128" t="s">
        <v>53</v>
      </c>
      <c r="T184" s="1140"/>
      <c r="U184" s="1141" t="str">
        <f t="shared" si="11"/>
        <v>atrasado</v>
      </c>
      <c r="V184" s="1130" t="str">
        <f t="shared" si="12"/>
        <v>Junio</v>
      </c>
      <c r="W184" s="1128">
        <f t="shared" si="13"/>
        <v>0</v>
      </c>
    </row>
    <row r="185" spans="1:23" s="1321" customFormat="1" ht="49.9" customHeight="1" thickBot="1" x14ac:dyDescent="0.2">
      <c r="A185" s="1117">
        <v>2008</v>
      </c>
      <c r="B185" s="1117">
        <v>2008</v>
      </c>
      <c r="C185" s="1118" t="s">
        <v>36</v>
      </c>
      <c r="D185" s="1119" t="s">
        <v>133</v>
      </c>
      <c r="E185" s="1120" t="s">
        <v>1946</v>
      </c>
      <c r="F185" s="1141" t="s">
        <v>1803</v>
      </c>
      <c r="G185" s="1121">
        <v>4502203191</v>
      </c>
      <c r="H185" s="1122">
        <v>41700</v>
      </c>
      <c r="I185" s="1123">
        <v>39583</v>
      </c>
      <c r="J185" s="1124">
        <v>66</v>
      </c>
      <c r="K185" s="1125">
        <f t="shared" ref="K185:K216" si="20">+I185+J185</f>
        <v>39649</v>
      </c>
      <c r="L185" s="1133" t="s">
        <v>41</v>
      </c>
      <c r="M185" s="1123">
        <v>39612</v>
      </c>
      <c r="N185" s="1124">
        <f t="shared" ref="N185:N211" si="21">IF(P185="","",+P185-K185)</f>
        <v>-22</v>
      </c>
      <c r="O185" s="1123">
        <v>39620</v>
      </c>
      <c r="P185" s="1132">
        <v>39627</v>
      </c>
      <c r="Q185" s="1123">
        <v>39643</v>
      </c>
      <c r="R185" s="1124">
        <f t="shared" si="10"/>
        <v>60</v>
      </c>
      <c r="S185" s="1128" t="s">
        <v>6209</v>
      </c>
      <c r="T185" s="1140" t="s">
        <v>1950</v>
      </c>
      <c r="U185" s="1141" t="str">
        <f t="shared" si="11"/>
        <v>en término</v>
      </c>
      <c r="V185" s="1130" t="str">
        <f t="shared" si="12"/>
        <v>Junio</v>
      </c>
      <c r="W185" s="1128">
        <f t="shared" si="13"/>
        <v>1</v>
      </c>
    </row>
    <row r="186" spans="1:23" s="1321" customFormat="1" ht="49.9" customHeight="1" thickBot="1" x14ac:dyDescent="0.2">
      <c r="A186" s="1117">
        <v>2008</v>
      </c>
      <c r="B186" s="1117">
        <v>2008</v>
      </c>
      <c r="C186" s="1118" t="s">
        <v>36</v>
      </c>
      <c r="D186" s="1119" t="s">
        <v>133</v>
      </c>
      <c r="E186" s="1120" t="s">
        <v>1663</v>
      </c>
      <c r="F186" s="1141" t="s">
        <v>1664</v>
      </c>
      <c r="G186" s="1121">
        <v>4502096896</v>
      </c>
      <c r="H186" s="1122">
        <v>13490.8</v>
      </c>
      <c r="I186" s="1123">
        <v>39521</v>
      </c>
      <c r="J186" s="1124">
        <v>96</v>
      </c>
      <c r="K186" s="1125">
        <f t="shared" si="20"/>
        <v>39617</v>
      </c>
      <c r="L186" s="1133" t="s">
        <v>41</v>
      </c>
      <c r="M186" s="1123">
        <v>39612</v>
      </c>
      <c r="N186" s="1124">
        <f t="shared" si="21"/>
        <v>10</v>
      </c>
      <c r="O186" s="1123">
        <v>39620</v>
      </c>
      <c r="P186" s="1132">
        <v>39627</v>
      </c>
      <c r="Q186" s="1123">
        <v>39643</v>
      </c>
      <c r="R186" s="1124">
        <f t="shared" si="10"/>
        <v>122</v>
      </c>
      <c r="S186" s="1128" t="s">
        <v>1951</v>
      </c>
      <c r="T186" s="1140" t="s">
        <v>1954</v>
      </c>
      <c r="U186" s="1141" t="str">
        <f t="shared" si="11"/>
        <v>atrasado</v>
      </c>
      <c r="V186" s="1130" t="str">
        <f t="shared" si="12"/>
        <v>Junio</v>
      </c>
      <c r="W186" s="1128">
        <f t="shared" si="13"/>
        <v>0</v>
      </c>
    </row>
    <row r="187" spans="1:23" s="1321" customFormat="1" ht="49.9" customHeight="1" thickBot="1" x14ac:dyDescent="0.2">
      <c r="A187" s="1117">
        <v>2008</v>
      </c>
      <c r="B187" s="1117">
        <v>2008</v>
      </c>
      <c r="C187" s="1118" t="s">
        <v>36</v>
      </c>
      <c r="D187" s="1119" t="s">
        <v>133</v>
      </c>
      <c r="E187" s="1120" t="s">
        <v>1958</v>
      </c>
      <c r="F187" s="1141" t="s">
        <v>1959</v>
      </c>
      <c r="G187" s="1121">
        <v>4502192438</v>
      </c>
      <c r="H187" s="1122">
        <v>7696.43</v>
      </c>
      <c r="I187" s="1123">
        <v>39577</v>
      </c>
      <c r="J187" s="1124">
        <v>95</v>
      </c>
      <c r="K187" s="1125">
        <f t="shared" si="20"/>
        <v>39672</v>
      </c>
      <c r="L187" s="1133" t="s">
        <v>41</v>
      </c>
      <c r="M187" s="1123">
        <v>39644</v>
      </c>
      <c r="N187" s="1124">
        <f t="shared" si="21"/>
        <v>-17</v>
      </c>
      <c r="O187" s="1123">
        <v>39651</v>
      </c>
      <c r="P187" s="1132">
        <v>39655</v>
      </c>
      <c r="Q187" s="1123">
        <v>39669</v>
      </c>
      <c r="R187" s="1124">
        <f t="shared" si="10"/>
        <v>92</v>
      </c>
      <c r="S187" s="1128" t="s">
        <v>53</v>
      </c>
      <c r="T187" s="1140" t="s">
        <v>1963</v>
      </c>
      <c r="U187" s="1141" t="str">
        <f t="shared" si="11"/>
        <v>en término</v>
      </c>
      <c r="V187" s="1130" t="str">
        <f t="shared" si="12"/>
        <v>Julio</v>
      </c>
      <c r="W187" s="1128">
        <f t="shared" si="13"/>
        <v>1</v>
      </c>
    </row>
    <row r="188" spans="1:23" s="1321" customFormat="1" ht="49.9" customHeight="1" thickBot="1" x14ac:dyDescent="0.2">
      <c r="A188" s="1117">
        <v>2008</v>
      </c>
      <c r="B188" s="1117">
        <v>2008</v>
      </c>
      <c r="C188" s="1118" t="s">
        <v>36</v>
      </c>
      <c r="D188" s="1119" t="s">
        <v>133</v>
      </c>
      <c r="E188" s="1120" t="s">
        <v>1802</v>
      </c>
      <c r="F188" s="1141" t="s">
        <v>1803</v>
      </c>
      <c r="G188" s="1121">
        <v>4502238480</v>
      </c>
      <c r="H188" s="1122">
        <v>5560</v>
      </c>
      <c r="I188" s="1123">
        <v>39603</v>
      </c>
      <c r="J188" s="1124">
        <v>62</v>
      </c>
      <c r="K188" s="1125">
        <f t="shared" si="20"/>
        <v>39665</v>
      </c>
      <c r="L188" s="1133" t="s">
        <v>41</v>
      </c>
      <c r="M188" s="1123">
        <v>39644</v>
      </c>
      <c r="N188" s="1124">
        <f t="shared" si="21"/>
        <v>-10</v>
      </c>
      <c r="O188" s="1123">
        <v>39651</v>
      </c>
      <c r="P188" s="1132">
        <v>39655</v>
      </c>
      <c r="Q188" s="1123">
        <v>39669</v>
      </c>
      <c r="R188" s="1124">
        <f t="shared" si="10"/>
        <v>66</v>
      </c>
      <c r="S188" s="1128" t="s">
        <v>6210</v>
      </c>
      <c r="T188" s="1140" t="s">
        <v>1966</v>
      </c>
      <c r="U188" s="1141" t="str">
        <f t="shared" si="11"/>
        <v>en término</v>
      </c>
      <c r="V188" s="1130" t="str">
        <f t="shared" si="12"/>
        <v>Julio</v>
      </c>
      <c r="W188" s="1128">
        <f t="shared" si="13"/>
        <v>1</v>
      </c>
    </row>
    <row r="189" spans="1:23" s="1321" customFormat="1" ht="49.9" customHeight="1" thickBot="1" x14ac:dyDescent="0.2">
      <c r="A189" s="1117">
        <v>2008</v>
      </c>
      <c r="B189" s="1117">
        <v>2008</v>
      </c>
      <c r="C189" s="1118" t="s">
        <v>36</v>
      </c>
      <c r="D189" s="1119" t="s">
        <v>133</v>
      </c>
      <c r="E189" s="1120" t="s">
        <v>1958</v>
      </c>
      <c r="F189" s="1141" t="s">
        <v>1959</v>
      </c>
      <c r="G189" s="1121">
        <v>4502230678</v>
      </c>
      <c r="H189" s="1122">
        <v>4431.6899999999996</v>
      </c>
      <c r="I189" s="1123">
        <v>39598</v>
      </c>
      <c r="J189" s="1124">
        <v>94</v>
      </c>
      <c r="K189" s="1125">
        <f t="shared" si="20"/>
        <v>39692</v>
      </c>
      <c r="L189" s="1133" t="s">
        <v>41</v>
      </c>
      <c r="M189" s="1123">
        <v>39644</v>
      </c>
      <c r="N189" s="1124">
        <f t="shared" si="21"/>
        <v>-37</v>
      </c>
      <c r="O189" s="1123">
        <v>39651</v>
      </c>
      <c r="P189" s="1132">
        <v>39655</v>
      </c>
      <c r="Q189" s="1123">
        <v>39669</v>
      </c>
      <c r="R189" s="1124">
        <f t="shared" si="10"/>
        <v>71</v>
      </c>
      <c r="S189" s="1128" t="s">
        <v>53</v>
      </c>
      <c r="T189" s="1140"/>
      <c r="U189" s="1141" t="str">
        <f t="shared" si="11"/>
        <v>en término</v>
      </c>
      <c r="V189" s="1130" t="str">
        <f t="shared" si="12"/>
        <v>Julio</v>
      </c>
      <c r="W189" s="1128">
        <f t="shared" si="13"/>
        <v>1</v>
      </c>
    </row>
    <row r="190" spans="1:23" s="1321" customFormat="1" ht="49.9" customHeight="1" thickBot="1" x14ac:dyDescent="0.2">
      <c r="A190" s="1117">
        <v>2008</v>
      </c>
      <c r="B190" s="1117">
        <v>2008</v>
      </c>
      <c r="C190" s="1118" t="s">
        <v>36</v>
      </c>
      <c r="D190" s="1119" t="s">
        <v>133</v>
      </c>
      <c r="E190" s="1120" t="s">
        <v>1968</v>
      </c>
      <c r="F190" s="1141" t="s">
        <v>1803</v>
      </c>
      <c r="G190" s="1121">
        <v>4502238723</v>
      </c>
      <c r="H190" s="1122">
        <v>24530</v>
      </c>
      <c r="I190" s="1123">
        <v>39604</v>
      </c>
      <c r="J190" s="1124">
        <v>64</v>
      </c>
      <c r="K190" s="1125">
        <f t="shared" si="20"/>
        <v>39668</v>
      </c>
      <c r="L190" s="1133" t="s">
        <v>41</v>
      </c>
      <c r="M190" s="1123">
        <v>39644</v>
      </c>
      <c r="N190" s="1124">
        <f t="shared" si="21"/>
        <v>-13</v>
      </c>
      <c r="O190" s="1123">
        <v>39651</v>
      </c>
      <c r="P190" s="1132">
        <v>39655</v>
      </c>
      <c r="Q190" s="1123">
        <v>39669</v>
      </c>
      <c r="R190" s="1124">
        <f t="shared" si="10"/>
        <v>65</v>
      </c>
      <c r="S190" s="1128" t="s">
        <v>6211</v>
      </c>
      <c r="T190" s="1140" t="s">
        <v>1966</v>
      </c>
      <c r="U190" s="1141" t="str">
        <f t="shared" si="11"/>
        <v>en término</v>
      </c>
      <c r="V190" s="1130" t="str">
        <f t="shared" si="12"/>
        <v>Julio</v>
      </c>
      <c r="W190" s="1128">
        <f t="shared" si="13"/>
        <v>1</v>
      </c>
    </row>
    <row r="191" spans="1:23" s="1321" customFormat="1" ht="49.9" customHeight="1" thickBot="1" x14ac:dyDescent="0.2">
      <c r="A191" s="1117">
        <v>2008</v>
      </c>
      <c r="B191" s="1117">
        <v>2008</v>
      </c>
      <c r="C191" s="1118" t="s">
        <v>36</v>
      </c>
      <c r="D191" s="1119" t="s">
        <v>37</v>
      </c>
      <c r="E191" s="1120" t="s">
        <v>1971</v>
      </c>
      <c r="F191" s="1141" t="s">
        <v>1972</v>
      </c>
      <c r="G191" s="1121">
        <v>8060003</v>
      </c>
      <c r="H191" s="1122">
        <v>30950</v>
      </c>
      <c r="I191" s="1123">
        <v>39594</v>
      </c>
      <c r="J191" s="1124">
        <v>61</v>
      </c>
      <c r="K191" s="1125">
        <f t="shared" si="20"/>
        <v>39655</v>
      </c>
      <c r="L191" s="1133" t="s">
        <v>41</v>
      </c>
      <c r="M191" s="1123">
        <v>39644</v>
      </c>
      <c r="N191" s="1124">
        <f t="shared" si="21"/>
        <v>0</v>
      </c>
      <c r="O191" s="1123">
        <v>39651</v>
      </c>
      <c r="P191" s="1132">
        <v>39655</v>
      </c>
      <c r="Q191" s="1123">
        <v>39669</v>
      </c>
      <c r="R191" s="1124">
        <f t="shared" si="10"/>
        <v>75</v>
      </c>
      <c r="S191" s="1128" t="s">
        <v>6212</v>
      </c>
      <c r="T191" s="1140"/>
      <c r="U191" s="1141" t="str">
        <f t="shared" si="11"/>
        <v>en término</v>
      </c>
      <c r="V191" s="1130" t="str">
        <f t="shared" si="12"/>
        <v>Julio</v>
      </c>
      <c r="W191" s="1128">
        <f t="shared" si="13"/>
        <v>1</v>
      </c>
    </row>
    <row r="192" spans="1:23" s="1321" customFormat="1" ht="49.9" customHeight="1" thickBot="1" x14ac:dyDescent="0.2">
      <c r="A192" s="1117">
        <v>2008</v>
      </c>
      <c r="B192" s="1117">
        <v>2008</v>
      </c>
      <c r="C192" s="1118" t="s">
        <v>36</v>
      </c>
      <c r="D192" s="1119" t="s">
        <v>133</v>
      </c>
      <c r="E192" s="1120" t="s">
        <v>1802</v>
      </c>
      <c r="F192" s="1141" t="s">
        <v>1803</v>
      </c>
      <c r="G192" s="1121">
        <v>4502269915</v>
      </c>
      <c r="H192" s="1122">
        <v>32829.68</v>
      </c>
      <c r="I192" s="1123">
        <v>39624</v>
      </c>
      <c r="J192" s="1124">
        <v>62</v>
      </c>
      <c r="K192" s="1125">
        <f t="shared" si="20"/>
        <v>39686</v>
      </c>
      <c r="L192" s="1133" t="s">
        <v>41</v>
      </c>
      <c r="M192" s="1123">
        <v>39672</v>
      </c>
      <c r="N192" s="1124">
        <f t="shared" si="21"/>
        <v>-10</v>
      </c>
      <c r="O192" s="1123">
        <v>39675</v>
      </c>
      <c r="P192" s="1132">
        <v>39676</v>
      </c>
      <c r="Q192" s="1123">
        <v>39693</v>
      </c>
      <c r="R192" s="1124">
        <f t="shared" si="10"/>
        <v>69</v>
      </c>
      <c r="S192" s="1128" t="s">
        <v>6213</v>
      </c>
      <c r="T192" s="1140" t="s">
        <v>1977</v>
      </c>
      <c r="U192" s="1141" t="str">
        <f t="shared" si="11"/>
        <v>en término</v>
      </c>
      <c r="V192" s="1130" t="str">
        <f t="shared" si="12"/>
        <v>Agosto</v>
      </c>
      <c r="W192" s="1128">
        <f t="shared" si="13"/>
        <v>1</v>
      </c>
    </row>
    <row r="193" spans="1:23" s="1321" customFormat="1" ht="49.9" customHeight="1" thickBot="1" x14ac:dyDescent="0.2">
      <c r="A193" s="1117">
        <v>2008</v>
      </c>
      <c r="B193" s="1117">
        <v>2008</v>
      </c>
      <c r="C193" s="1118" t="s">
        <v>36</v>
      </c>
      <c r="D193" s="1119" t="s">
        <v>133</v>
      </c>
      <c r="E193" s="1120" t="s">
        <v>1968</v>
      </c>
      <c r="F193" s="1141" t="s">
        <v>1803</v>
      </c>
      <c r="G193" s="1121">
        <v>4502238609</v>
      </c>
      <c r="H193" s="1122">
        <v>41700</v>
      </c>
      <c r="I193" s="1123">
        <v>39603</v>
      </c>
      <c r="J193" s="1124">
        <v>62</v>
      </c>
      <c r="K193" s="1125">
        <f t="shared" si="20"/>
        <v>39665</v>
      </c>
      <c r="L193" s="1133" t="s">
        <v>41</v>
      </c>
      <c r="M193" s="1123">
        <v>39672</v>
      </c>
      <c r="N193" s="1124">
        <f t="shared" si="21"/>
        <v>11</v>
      </c>
      <c r="O193" s="1123">
        <v>39675</v>
      </c>
      <c r="P193" s="1132">
        <v>39676</v>
      </c>
      <c r="Q193" s="1123">
        <v>39693</v>
      </c>
      <c r="R193" s="1124">
        <f t="shared" si="10"/>
        <v>90</v>
      </c>
      <c r="S193" s="1128" t="s">
        <v>6214</v>
      </c>
      <c r="T193" s="1140" t="s">
        <v>1966</v>
      </c>
      <c r="U193" s="1141" t="str">
        <f t="shared" si="11"/>
        <v>atrasado</v>
      </c>
      <c r="V193" s="1130" t="str">
        <f t="shared" si="12"/>
        <v>Agosto</v>
      </c>
      <c r="W193" s="1128">
        <f t="shared" si="13"/>
        <v>0</v>
      </c>
    </row>
    <row r="194" spans="1:23" s="1321" customFormat="1" ht="49.9" customHeight="1" thickBot="1" x14ac:dyDescent="0.2">
      <c r="A194" s="1117">
        <v>2008</v>
      </c>
      <c r="B194" s="1117">
        <v>2008</v>
      </c>
      <c r="C194" s="1118" t="s">
        <v>36</v>
      </c>
      <c r="D194" s="1119" t="s">
        <v>37</v>
      </c>
      <c r="E194" s="1120" t="s">
        <v>1980</v>
      </c>
      <c r="F194" s="1141" t="s">
        <v>1981</v>
      </c>
      <c r="G194" s="1121">
        <v>8060002</v>
      </c>
      <c r="H194" s="1122">
        <v>110450</v>
      </c>
      <c r="I194" s="1123">
        <v>39591</v>
      </c>
      <c r="J194" s="1124">
        <v>124</v>
      </c>
      <c r="K194" s="1125">
        <f t="shared" si="20"/>
        <v>39715</v>
      </c>
      <c r="L194" s="1133" t="s">
        <v>41</v>
      </c>
      <c r="M194" s="1123">
        <v>39672</v>
      </c>
      <c r="N194" s="1124">
        <f t="shared" si="21"/>
        <v>-39</v>
      </c>
      <c r="O194" s="1123">
        <v>39675</v>
      </c>
      <c r="P194" s="1132">
        <v>39676</v>
      </c>
      <c r="Q194" s="1123">
        <v>39693</v>
      </c>
      <c r="R194" s="1124">
        <f t="shared" ref="R194:R257" si="22">IF(Q194="","",+Q194-I194)</f>
        <v>102</v>
      </c>
      <c r="S194" s="1128" t="s">
        <v>1982</v>
      </c>
      <c r="T194" s="1140"/>
      <c r="U194" s="1141" t="str">
        <f t="shared" ref="U194:U257" si="23">IF(N194="","",IF(N194&lt;=0,"en término","atrasado"))</f>
        <v>en término</v>
      </c>
      <c r="V194" s="1130" t="str">
        <f t="shared" ref="V194:V257" si="24">VLOOKUP(MONTH(M194),$Y$66:$Z$77,2,FALSE)</f>
        <v>Agosto</v>
      </c>
      <c r="W194" s="1128">
        <f t="shared" ref="W194:W257" si="25">+IF(U194="atrasado",0)+IF(U194="en término",1)</f>
        <v>1</v>
      </c>
    </row>
    <row r="195" spans="1:23" s="1321" customFormat="1" ht="49.9" customHeight="1" thickBot="1" x14ac:dyDescent="0.2">
      <c r="A195" s="1117">
        <v>2008</v>
      </c>
      <c r="B195" s="1117">
        <v>2008</v>
      </c>
      <c r="C195" s="1118" t="s">
        <v>36</v>
      </c>
      <c r="D195" s="1119" t="s">
        <v>133</v>
      </c>
      <c r="E195" s="1120" t="s">
        <v>1958</v>
      </c>
      <c r="F195" s="1141" t="s">
        <v>1959</v>
      </c>
      <c r="G195" s="1121">
        <v>4502292490</v>
      </c>
      <c r="H195" s="1122">
        <v>9050.7999999999993</v>
      </c>
      <c r="I195" s="1123">
        <v>39633</v>
      </c>
      <c r="J195" s="1124">
        <v>97</v>
      </c>
      <c r="K195" s="1125">
        <f t="shared" si="20"/>
        <v>39730</v>
      </c>
      <c r="L195" s="1133" t="s">
        <v>41</v>
      </c>
      <c r="M195" s="1123">
        <v>39693</v>
      </c>
      <c r="N195" s="1124">
        <f t="shared" si="21"/>
        <v>-22</v>
      </c>
      <c r="O195" s="1123">
        <v>39703</v>
      </c>
      <c r="P195" s="1132">
        <v>39708</v>
      </c>
      <c r="Q195" s="1123">
        <v>39724</v>
      </c>
      <c r="R195" s="1124">
        <f t="shared" si="22"/>
        <v>91</v>
      </c>
      <c r="S195" s="1128" t="s">
        <v>53</v>
      </c>
      <c r="T195" s="1140" t="s">
        <v>1985</v>
      </c>
      <c r="U195" s="1141" t="str">
        <f t="shared" si="23"/>
        <v>en término</v>
      </c>
      <c r="V195" s="1130" t="str">
        <f t="shared" si="24"/>
        <v>Septiembre</v>
      </c>
      <c r="W195" s="1128">
        <f t="shared" si="25"/>
        <v>1</v>
      </c>
    </row>
    <row r="196" spans="1:23" s="1321" customFormat="1" ht="49.9" customHeight="1" thickBot="1" x14ac:dyDescent="0.2">
      <c r="A196" s="1117">
        <v>2008</v>
      </c>
      <c r="B196" s="1117">
        <v>2008</v>
      </c>
      <c r="C196" s="1118" t="s">
        <v>36</v>
      </c>
      <c r="D196" s="1119" t="s">
        <v>37</v>
      </c>
      <c r="E196" s="1120" t="s">
        <v>1986</v>
      </c>
      <c r="F196" s="1141" t="s">
        <v>1987</v>
      </c>
      <c r="G196" s="1121">
        <v>8080002</v>
      </c>
      <c r="H196" s="1122">
        <f>4800+105+43</f>
        <v>4948</v>
      </c>
      <c r="I196" s="1123">
        <v>39660</v>
      </c>
      <c r="J196" s="1124">
        <v>79</v>
      </c>
      <c r="K196" s="1125">
        <f t="shared" si="20"/>
        <v>39739</v>
      </c>
      <c r="L196" s="1133" t="s">
        <v>41</v>
      </c>
      <c r="M196" s="1123">
        <v>39693</v>
      </c>
      <c r="N196" s="1124">
        <f t="shared" si="21"/>
        <v>-31</v>
      </c>
      <c r="O196" s="1123">
        <v>39703</v>
      </c>
      <c r="P196" s="1132">
        <v>39708</v>
      </c>
      <c r="Q196" s="1123">
        <v>39724</v>
      </c>
      <c r="R196" s="1124">
        <f t="shared" si="22"/>
        <v>64</v>
      </c>
      <c r="S196" s="1128" t="s">
        <v>1988</v>
      </c>
      <c r="T196" s="1140"/>
      <c r="U196" s="1141" t="str">
        <f t="shared" si="23"/>
        <v>en término</v>
      </c>
      <c r="V196" s="1130" t="str">
        <f t="shared" si="24"/>
        <v>Septiembre</v>
      </c>
      <c r="W196" s="1128">
        <f t="shared" si="25"/>
        <v>1</v>
      </c>
    </row>
    <row r="197" spans="1:23" s="1321" customFormat="1" ht="49.9" customHeight="1" thickBot="1" x14ac:dyDescent="0.2">
      <c r="A197" s="1117">
        <v>2008</v>
      </c>
      <c r="B197" s="1117">
        <v>2008</v>
      </c>
      <c r="C197" s="1118" t="s">
        <v>36</v>
      </c>
      <c r="D197" s="1119" t="s">
        <v>37</v>
      </c>
      <c r="E197" s="1120" t="s">
        <v>1989</v>
      </c>
      <c r="F197" s="1141" t="s">
        <v>1990</v>
      </c>
      <c r="G197" s="1121">
        <v>8070006</v>
      </c>
      <c r="H197" s="1122">
        <v>14242.5</v>
      </c>
      <c r="I197" s="1123">
        <v>39660</v>
      </c>
      <c r="J197" s="1124">
        <v>82</v>
      </c>
      <c r="K197" s="1125">
        <f t="shared" si="20"/>
        <v>39742</v>
      </c>
      <c r="L197" s="1133" t="s">
        <v>41</v>
      </c>
      <c r="M197" s="1123">
        <v>39693</v>
      </c>
      <c r="N197" s="1124">
        <f t="shared" si="21"/>
        <v>-34</v>
      </c>
      <c r="O197" s="1123">
        <v>39703</v>
      </c>
      <c r="P197" s="1132">
        <v>39708</v>
      </c>
      <c r="Q197" s="1123">
        <v>39724</v>
      </c>
      <c r="R197" s="1124">
        <f t="shared" si="22"/>
        <v>64</v>
      </c>
      <c r="S197" s="1128" t="s">
        <v>6215</v>
      </c>
      <c r="T197" s="1140"/>
      <c r="U197" s="1141" t="str">
        <f t="shared" si="23"/>
        <v>en término</v>
      </c>
      <c r="V197" s="1130" t="str">
        <f t="shared" si="24"/>
        <v>Septiembre</v>
      </c>
      <c r="W197" s="1128">
        <f t="shared" si="25"/>
        <v>1</v>
      </c>
    </row>
    <row r="198" spans="1:23" s="1321" customFormat="1" ht="49.9" customHeight="1" thickBot="1" x14ac:dyDescent="0.2">
      <c r="A198" s="1117">
        <v>2008</v>
      </c>
      <c r="B198" s="1117">
        <v>2008</v>
      </c>
      <c r="C198" s="1118" t="s">
        <v>36</v>
      </c>
      <c r="D198" s="1119" t="s">
        <v>37</v>
      </c>
      <c r="E198" s="1120" t="s">
        <v>1992</v>
      </c>
      <c r="F198" s="1141" t="s">
        <v>1993</v>
      </c>
      <c r="G198" s="1121">
        <v>8080007</v>
      </c>
      <c r="H198" s="1122">
        <v>4305</v>
      </c>
      <c r="I198" s="1123">
        <v>39668</v>
      </c>
      <c r="J198" s="1124">
        <v>72</v>
      </c>
      <c r="K198" s="1125">
        <f t="shared" si="20"/>
        <v>39740</v>
      </c>
      <c r="L198" s="1133" t="s">
        <v>41</v>
      </c>
      <c r="M198" s="1123">
        <v>39693</v>
      </c>
      <c r="N198" s="1124">
        <f t="shared" si="21"/>
        <v>-32</v>
      </c>
      <c r="O198" s="1123">
        <v>39703</v>
      </c>
      <c r="P198" s="1132">
        <v>39708</v>
      </c>
      <c r="Q198" s="1123">
        <v>39724</v>
      </c>
      <c r="R198" s="1124">
        <f t="shared" si="22"/>
        <v>56</v>
      </c>
      <c r="S198" s="1128" t="s">
        <v>1994</v>
      </c>
      <c r="T198" s="1140"/>
      <c r="U198" s="1141" t="str">
        <f t="shared" si="23"/>
        <v>en término</v>
      </c>
      <c r="V198" s="1130" t="str">
        <f t="shared" si="24"/>
        <v>Septiembre</v>
      </c>
      <c r="W198" s="1128">
        <f t="shared" si="25"/>
        <v>1</v>
      </c>
    </row>
    <row r="199" spans="1:23" s="1321" customFormat="1" ht="49.9" customHeight="1" thickBot="1" x14ac:dyDescent="0.2">
      <c r="A199" s="1117">
        <v>2008</v>
      </c>
      <c r="B199" s="1117">
        <v>2008</v>
      </c>
      <c r="C199" s="1118" t="s">
        <v>36</v>
      </c>
      <c r="D199" s="1119" t="s">
        <v>37</v>
      </c>
      <c r="E199" s="1120" t="s">
        <v>1995</v>
      </c>
      <c r="F199" s="1141" t="s">
        <v>1996</v>
      </c>
      <c r="G199" s="1121">
        <v>80800012</v>
      </c>
      <c r="H199" s="1122">
        <v>6982</v>
      </c>
      <c r="I199" s="1123">
        <v>39679</v>
      </c>
      <c r="J199" s="1124">
        <v>62</v>
      </c>
      <c r="K199" s="1125">
        <f t="shared" si="20"/>
        <v>39741</v>
      </c>
      <c r="L199" s="1133" t="s">
        <v>41</v>
      </c>
      <c r="M199" s="1123">
        <v>39693</v>
      </c>
      <c r="N199" s="1124">
        <f t="shared" si="21"/>
        <v>-33</v>
      </c>
      <c r="O199" s="1123">
        <v>39703</v>
      </c>
      <c r="P199" s="1132">
        <v>39708</v>
      </c>
      <c r="Q199" s="1123">
        <v>39724</v>
      </c>
      <c r="R199" s="1124">
        <f t="shared" si="22"/>
        <v>45</v>
      </c>
      <c r="S199" s="1128" t="s">
        <v>1998</v>
      </c>
      <c r="T199" s="1140"/>
      <c r="U199" s="1141" t="str">
        <f t="shared" si="23"/>
        <v>en término</v>
      </c>
      <c r="V199" s="1130" t="str">
        <f t="shared" si="24"/>
        <v>Septiembre</v>
      </c>
      <c r="W199" s="1128">
        <f t="shared" si="25"/>
        <v>1</v>
      </c>
    </row>
    <row r="200" spans="1:23" s="1321" customFormat="1" ht="49.9" customHeight="1" thickBot="1" x14ac:dyDescent="0.2">
      <c r="A200" s="1117">
        <v>2008</v>
      </c>
      <c r="B200" s="1117">
        <v>2008</v>
      </c>
      <c r="C200" s="1118" t="s">
        <v>36</v>
      </c>
      <c r="D200" s="1119" t="s">
        <v>37</v>
      </c>
      <c r="E200" s="1120" t="s">
        <v>1989</v>
      </c>
      <c r="F200" s="1141" t="s">
        <v>1999</v>
      </c>
      <c r="G200" s="1121">
        <v>8080008</v>
      </c>
      <c r="H200" s="1122">
        <v>21100</v>
      </c>
      <c r="I200" s="1123">
        <v>39668</v>
      </c>
      <c r="J200" s="1124">
        <v>92</v>
      </c>
      <c r="K200" s="1125">
        <f t="shared" si="20"/>
        <v>39760</v>
      </c>
      <c r="L200" s="1133" t="s">
        <v>41</v>
      </c>
      <c r="M200" s="1123">
        <v>39714</v>
      </c>
      <c r="N200" s="1124">
        <f t="shared" si="21"/>
        <v>-29</v>
      </c>
      <c r="O200" s="1123">
        <v>39729</v>
      </c>
      <c r="P200" s="1132">
        <v>39731</v>
      </c>
      <c r="Q200" s="1123">
        <v>39734</v>
      </c>
      <c r="R200" s="1124">
        <f t="shared" si="22"/>
        <v>66</v>
      </c>
      <c r="S200" s="1128" t="s">
        <v>6215</v>
      </c>
      <c r="T200" s="1140"/>
      <c r="U200" s="1141" t="str">
        <f t="shared" si="23"/>
        <v>en término</v>
      </c>
      <c r="V200" s="1130" t="str">
        <f t="shared" si="24"/>
        <v>Septiembre</v>
      </c>
      <c r="W200" s="1128">
        <f t="shared" si="25"/>
        <v>1</v>
      </c>
    </row>
    <row r="201" spans="1:23" s="1321" customFormat="1" ht="49.9" customHeight="1" thickBot="1" x14ac:dyDescent="0.2">
      <c r="A201" s="1117">
        <v>2008</v>
      </c>
      <c r="B201" s="1117">
        <v>2008</v>
      </c>
      <c r="C201" s="1118" t="s">
        <v>36</v>
      </c>
      <c r="D201" s="1119" t="s">
        <v>37</v>
      </c>
      <c r="E201" s="1120" t="s">
        <v>2001</v>
      </c>
      <c r="F201" s="1141" t="s">
        <v>2002</v>
      </c>
      <c r="G201" s="1121">
        <v>8090001</v>
      </c>
      <c r="H201" s="1122">
        <v>9049.18</v>
      </c>
      <c r="I201" s="1123">
        <v>39687</v>
      </c>
      <c r="J201" s="1124">
        <v>31</v>
      </c>
      <c r="K201" s="1125">
        <f t="shared" si="20"/>
        <v>39718</v>
      </c>
      <c r="L201" s="1133" t="s">
        <v>41</v>
      </c>
      <c r="M201" s="1123">
        <v>39714</v>
      </c>
      <c r="N201" s="1124">
        <f t="shared" si="21"/>
        <v>13</v>
      </c>
      <c r="O201" s="1123">
        <v>39729</v>
      </c>
      <c r="P201" s="1132">
        <v>39731</v>
      </c>
      <c r="Q201" s="1123">
        <v>39734</v>
      </c>
      <c r="R201" s="1124">
        <f t="shared" si="22"/>
        <v>47</v>
      </c>
      <c r="S201" s="1128" t="s">
        <v>6216</v>
      </c>
      <c r="T201" s="1140" t="s">
        <v>2004</v>
      </c>
      <c r="U201" s="1141" t="str">
        <f t="shared" si="23"/>
        <v>atrasado</v>
      </c>
      <c r="V201" s="1130" t="str">
        <f t="shared" si="24"/>
        <v>Septiembre</v>
      </c>
      <c r="W201" s="1128">
        <f t="shared" si="25"/>
        <v>0</v>
      </c>
    </row>
    <row r="202" spans="1:23" s="1321" customFormat="1" ht="49.9" customHeight="1" thickBot="1" x14ac:dyDescent="0.2">
      <c r="A202" s="1117">
        <v>2008</v>
      </c>
      <c r="B202" s="1117">
        <v>2008</v>
      </c>
      <c r="C202" s="1118" t="s">
        <v>36</v>
      </c>
      <c r="D202" s="1119" t="s">
        <v>133</v>
      </c>
      <c r="E202" s="1120" t="s">
        <v>1968</v>
      </c>
      <c r="F202" s="1141" t="s">
        <v>1803</v>
      </c>
      <c r="G202" s="1121">
        <v>4502269915</v>
      </c>
      <c r="H202" s="1122">
        <v>33360</v>
      </c>
      <c r="I202" s="1123">
        <v>39624</v>
      </c>
      <c r="J202" s="1124">
        <v>62</v>
      </c>
      <c r="K202" s="1125">
        <f t="shared" si="20"/>
        <v>39686</v>
      </c>
      <c r="L202" s="1133" t="s">
        <v>41</v>
      </c>
      <c r="M202" s="1123">
        <v>39717</v>
      </c>
      <c r="N202" s="1124">
        <f t="shared" si="21"/>
        <v>53</v>
      </c>
      <c r="O202" s="1123">
        <v>39729</v>
      </c>
      <c r="P202" s="1132">
        <v>39739</v>
      </c>
      <c r="Q202" s="1123">
        <v>39749</v>
      </c>
      <c r="R202" s="1124">
        <f t="shared" si="22"/>
        <v>125</v>
      </c>
      <c r="S202" s="1128" t="s">
        <v>2006</v>
      </c>
      <c r="T202" s="1140" t="s">
        <v>2008</v>
      </c>
      <c r="U202" s="1141" t="str">
        <f t="shared" si="23"/>
        <v>atrasado</v>
      </c>
      <c r="V202" s="1130" t="str">
        <f t="shared" si="24"/>
        <v>Septiembre</v>
      </c>
      <c r="W202" s="1128">
        <f t="shared" si="25"/>
        <v>0</v>
      </c>
    </row>
    <row r="203" spans="1:23" s="1321" customFormat="1" ht="49.9" customHeight="1" thickBot="1" x14ac:dyDescent="0.2">
      <c r="A203" s="1117">
        <v>2008</v>
      </c>
      <c r="B203" s="1117">
        <v>2008</v>
      </c>
      <c r="C203" s="1118" t="s">
        <v>36</v>
      </c>
      <c r="D203" s="1119" t="s">
        <v>133</v>
      </c>
      <c r="E203" s="1120" t="s">
        <v>1968</v>
      </c>
      <c r="F203" s="1141" t="s">
        <v>1803</v>
      </c>
      <c r="G203" s="1121">
        <v>4502269931</v>
      </c>
      <c r="H203" s="1122">
        <v>27800</v>
      </c>
      <c r="I203" s="1123">
        <v>39624</v>
      </c>
      <c r="J203" s="1124">
        <v>158</v>
      </c>
      <c r="K203" s="1125">
        <f t="shared" si="20"/>
        <v>39782</v>
      </c>
      <c r="L203" s="1133" t="s">
        <v>41</v>
      </c>
      <c r="M203" s="1123">
        <v>39749</v>
      </c>
      <c r="N203" s="1124">
        <f t="shared" si="21"/>
        <v>-22</v>
      </c>
      <c r="O203" s="1123">
        <v>39755</v>
      </c>
      <c r="P203" s="1132">
        <v>39760</v>
      </c>
      <c r="Q203" s="1123">
        <f>+P203+20</f>
        <v>39780</v>
      </c>
      <c r="R203" s="1124">
        <f t="shared" si="22"/>
        <v>156</v>
      </c>
      <c r="S203" s="1128" t="s">
        <v>6217</v>
      </c>
      <c r="T203" s="1140"/>
      <c r="U203" s="1141" t="str">
        <f t="shared" si="23"/>
        <v>en término</v>
      </c>
      <c r="V203" s="1130" t="str">
        <f t="shared" si="24"/>
        <v>Octubre</v>
      </c>
      <c r="W203" s="1128">
        <f t="shared" si="25"/>
        <v>1</v>
      </c>
    </row>
    <row r="204" spans="1:23" s="1321" customFormat="1" ht="49.9" customHeight="1" thickBot="1" x14ac:dyDescent="0.2">
      <c r="A204" s="1117">
        <v>2008</v>
      </c>
      <c r="B204" s="1117">
        <v>2008</v>
      </c>
      <c r="C204" s="1118" t="s">
        <v>36</v>
      </c>
      <c r="D204" s="1119" t="s">
        <v>133</v>
      </c>
      <c r="E204" s="1120" t="s">
        <v>1958</v>
      </c>
      <c r="F204" s="1141" t="s">
        <v>1959</v>
      </c>
      <c r="G204" s="1121">
        <v>4502410200</v>
      </c>
      <c r="H204" s="1122">
        <v>12673.05</v>
      </c>
      <c r="I204" s="1123">
        <v>39701</v>
      </c>
      <c r="J204" s="1124">
        <v>63</v>
      </c>
      <c r="K204" s="1125">
        <f t="shared" si="20"/>
        <v>39764</v>
      </c>
      <c r="L204" s="1133" t="s">
        <v>41</v>
      </c>
      <c r="M204" s="1123">
        <v>39749</v>
      </c>
      <c r="N204" s="1124">
        <f t="shared" si="21"/>
        <v>-4</v>
      </c>
      <c r="O204" s="1123">
        <v>39755</v>
      </c>
      <c r="P204" s="1132">
        <v>39760</v>
      </c>
      <c r="Q204" s="1123">
        <f>+P204+20</f>
        <v>39780</v>
      </c>
      <c r="R204" s="1124">
        <f t="shared" si="22"/>
        <v>79</v>
      </c>
      <c r="S204" s="1128" t="s">
        <v>53</v>
      </c>
      <c r="T204" s="1140"/>
      <c r="U204" s="1141" t="str">
        <f t="shared" si="23"/>
        <v>en término</v>
      </c>
      <c r="V204" s="1130" t="str">
        <f t="shared" si="24"/>
        <v>Octubre</v>
      </c>
      <c r="W204" s="1128">
        <f t="shared" si="25"/>
        <v>1</v>
      </c>
    </row>
    <row r="205" spans="1:23" s="1321" customFormat="1" ht="49.9" customHeight="1" thickBot="1" x14ac:dyDescent="0.2">
      <c r="A205" s="1117">
        <v>2008</v>
      </c>
      <c r="B205" s="1117">
        <v>2008</v>
      </c>
      <c r="C205" s="1118" t="s">
        <v>36</v>
      </c>
      <c r="D205" s="1119" t="s">
        <v>37</v>
      </c>
      <c r="E205" s="1120" t="s">
        <v>2013</v>
      </c>
      <c r="F205" s="1141" t="s">
        <v>2014</v>
      </c>
      <c r="G205" s="1121">
        <v>8100001</v>
      </c>
      <c r="H205" s="1122">
        <v>6465</v>
      </c>
      <c r="I205" s="1123">
        <v>39717</v>
      </c>
      <c r="J205" s="1124">
        <v>52</v>
      </c>
      <c r="K205" s="1125">
        <f t="shared" si="20"/>
        <v>39769</v>
      </c>
      <c r="L205" s="1133" t="s">
        <v>41</v>
      </c>
      <c r="M205" s="1123">
        <v>39749</v>
      </c>
      <c r="N205" s="1124">
        <f t="shared" si="21"/>
        <v>-9</v>
      </c>
      <c r="O205" s="1123">
        <v>39755</v>
      </c>
      <c r="P205" s="1132">
        <v>39760</v>
      </c>
      <c r="Q205" s="1123">
        <f>+P205+20</f>
        <v>39780</v>
      </c>
      <c r="R205" s="1124">
        <f t="shared" si="22"/>
        <v>63</v>
      </c>
      <c r="S205" s="1128" t="s">
        <v>2015</v>
      </c>
      <c r="T205" s="1140"/>
      <c r="U205" s="1141" t="str">
        <f t="shared" si="23"/>
        <v>en término</v>
      </c>
      <c r="V205" s="1130" t="str">
        <f t="shared" si="24"/>
        <v>Octubre</v>
      </c>
      <c r="W205" s="1128">
        <f t="shared" si="25"/>
        <v>1</v>
      </c>
    </row>
    <row r="206" spans="1:23" s="1325" customFormat="1" ht="54.95" customHeight="1" thickBot="1" x14ac:dyDescent="0.25">
      <c r="A206" s="1117">
        <v>2008</v>
      </c>
      <c r="B206" s="1117">
        <v>2008</v>
      </c>
      <c r="C206" s="1118" t="s">
        <v>36</v>
      </c>
      <c r="D206" s="1119" t="s">
        <v>37</v>
      </c>
      <c r="E206" s="1120" t="s">
        <v>1971</v>
      </c>
      <c r="F206" s="1120" t="s">
        <v>1972</v>
      </c>
      <c r="G206" s="1121">
        <v>8060004</v>
      </c>
      <c r="H206" s="1122">
        <v>81900</v>
      </c>
      <c r="I206" s="1123">
        <v>39594</v>
      </c>
      <c r="J206" s="1124">
        <v>196</v>
      </c>
      <c r="K206" s="1125">
        <f t="shared" si="20"/>
        <v>39790</v>
      </c>
      <c r="L206" s="1125"/>
      <c r="M206" s="1123">
        <v>39773</v>
      </c>
      <c r="N206" s="1124">
        <f t="shared" si="21"/>
        <v>-2</v>
      </c>
      <c r="O206" s="1126">
        <v>39773</v>
      </c>
      <c r="P206" s="1127">
        <v>39788</v>
      </c>
      <c r="Q206" s="1127">
        <f>+P206+30</f>
        <v>39818</v>
      </c>
      <c r="R206" s="1124">
        <f t="shared" si="22"/>
        <v>224</v>
      </c>
      <c r="S206" s="1128" t="s">
        <v>6218</v>
      </c>
      <c r="T206" s="1131"/>
      <c r="U206" s="1128" t="str">
        <f t="shared" si="23"/>
        <v>en término</v>
      </c>
      <c r="V206" s="1130" t="str">
        <f t="shared" si="24"/>
        <v>Noviembre</v>
      </c>
      <c r="W206" s="1128">
        <f t="shared" si="25"/>
        <v>1</v>
      </c>
    </row>
    <row r="207" spans="1:23" s="1325" customFormat="1" ht="54.95" customHeight="1" thickBot="1" x14ac:dyDescent="0.25">
      <c r="A207" s="1117">
        <v>2008</v>
      </c>
      <c r="B207" s="1117">
        <v>2008</v>
      </c>
      <c r="C207" s="1144" t="s">
        <v>36</v>
      </c>
      <c r="D207" s="1145" t="s">
        <v>37</v>
      </c>
      <c r="E207" s="1146" t="s">
        <v>1989</v>
      </c>
      <c r="F207" s="1156" t="s">
        <v>2020</v>
      </c>
      <c r="G207" s="1147">
        <v>8090002</v>
      </c>
      <c r="H207" s="1148">
        <v>16977</v>
      </c>
      <c r="I207" s="1149">
        <v>39695</v>
      </c>
      <c r="J207" s="1150">
        <v>89</v>
      </c>
      <c r="K207" s="1151">
        <f t="shared" si="20"/>
        <v>39784</v>
      </c>
      <c r="L207" s="1151"/>
      <c r="M207" s="1149">
        <v>39773</v>
      </c>
      <c r="N207" s="1150">
        <f t="shared" si="21"/>
        <v>4</v>
      </c>
      <c r="O207" s="1171">
        <v>39773</v>
      </c>
      <c r="P207" s="1172">
        <v>39788</v>
      </c>
      <c r="Q207" s="1172">
        <f>+P207+30</f>
        <v>39818</v>
      </c>
      <c r="R207" s="1150">
        <f t="shared" si="22"/>
        <v>123</v>
      </c>
      <c r="S207" s="1154" t="s">
        <v>6219</v>
      </c>
      <c r="T207" s="1173"/>
      <c r="U207" s="1154" t="str">
        <f t="shared" si="23"/>
        <v>atrasado</v>
      </c>
      <c r="V207" s="1130" t="str">
        <f t="shared" si="24"/>
        <v>Noviembre</v>
      </c>
      <c r="W207" s="1128">
        <f t="shared" si="25"/>
        <v>0</v>
      </c>
    </row>
    <row r="208" spans="1:23" s="1325" customFormat="1" ht="54.95" customHeight="1" thickBot="1" x14ac:dyDescent="0.25">
      <c r="A208" s="1117">
        <v>2008</v>
      </c>
      <c r="B208" s="1117">
        <v>2008</v>
      </c>
      <c r="C208" s="1118" t="s">
        <v>36</v>
      </c>
      <c r="D208" s="1119" t="s">
        <v>37</v>
      </c>
      <c r="E208" s="1120" t="s">
        <v>2023</v>
      </c>
      <c r="F208" s="1120" t="s">
        <v>2024</v>
      </c>
      <c r="G208" s="1121">
        <v>8110003</v>
      </c>
      <c r="H208" s="1122">
        <v>7940</v>
      </c>
      <c r="I208" s="1123">
        <v>39758</v>
      </c>
      <c r="J208" s="1124">
        <v>35</v>
      </c>
      <c r="K208" s="1125">
        <f t="shared" si="20"/>
        <v>39793</v>
      </c>
      <c r="L208" s="1125"/>
      <c r="M208" s="1123">
        <v>39773</v>
      </c>
      <c r="N208" s="1124">
        <f t="shared" si="21"/>
        <v>-5</v>
      </c>
      <c r="O208" s="1126">
        <v>39773</v>
      </c>
      <c r="P208" s="1127">
        <v>39788</v>
      </c>
      <c r="Q208" s="1127">
        <f>+P208+30</f>
        <v>39818</v>
      </c>
      <c r="R208" s="1124">
        <f t="shared" si="22"/>
        <v>60</v>
      </c>
      <c r="S208" s="1128" t="s">
        <v>6220</v>
      </c>
      <c r="T208" s="1131"/>
      <c r="U208" s="1128" t="str">
        <f t="shared" si="23"/>
        <v>en término</v>
      </c>
      <c r="V208" s="1130" t="str">
        <f t="shared" si="24"/>
        <v>Noviembre</v>
      </c>
      <c r="W208" s="1128">
        <f t="shared" si="25"/>
        <v>1</v>
      </c>
    </row>
    <row r="209" spans="1:23" s="1325" customFormat="1" ht="54.95" customHeight="1" thickBot="1" x14ac:dyDescent="0.25">
      <c r="A209" s="1117">
        <v>2008</v>
      </c>
      <c r="B209" s="1117">
        <v>2008</v>
      </c>
      <c r="C209" s="1144" t="s">
        <v>36</v>
      </c>
      <c r="D209" s="1145" t="s">
        <v>37</v>
      </c>
      <c r="E209" s="1146" t="s">
        <v>1980</v>
      </c>
      <c r="F209" s="1146" t="s">
        <v>1981</v>
      </c>
      <c r="G209" s="1147">
        <v>8100004</v>
      </c>
      <c r="H209" s="1148">
        <v>26500</v>
      </c>
      <c r="I209" s="1149">
        <v>39743</v>
      </c>
      <c r="J209" s="1150">
        <v>120</v>
      </c>
      <c r="K209" s="1151">
        <f t="shared" si="20"/>
        <v>39863</v>
      </c>
      <c r="L209" s="1151"/>
      <c r="M209" s="1149">
        <v>39791</v>
      </c>
      <c r="N209" s="1150">
        <f t="shared" si="21"/>
        <v>-54</v>
      </c>
      <c r="O209" s="1171">
        <v>39808</v>
      </c>
      <c r="P209" s="1172">
        <v>39809</v>
      </c>
      <c r="Q209" s="1172">
        <v>39826</v>
      </c>
      <c r="R209" s="1150">
        <f t="shared" si="22"/>
        <v>83</v>
      </c>
      <c r="S209" s="1154" t="s">
        <v>6221</v>
      </c>
      <c r="T209" s="1173"/>
      <c r="U209" s="1154" t="str">
        <f t="shared" si="23"/>
        <v>en término</v>
      </c>
      <c r="V209" s="1130" t="str">
        <f t="shared" si="24"/>
        <v>Diciembre</v>
      </c>
      <c r="W209" s="1128">
        <f t="shared" si="25"/>
        <v>1</v>
      </c>
    </row>
    <row r="210" spans="1:23" s="1325" customFormat="1" ht="54.95" customHeight="1" thickBot="1" x14ac:dyDescent="0.25">
      <c r="A210" s="1117">
        <v>2008</v>
      </c>
      <c r="B210" s="1117">
        <v>2008</v>
      </c>
      <c r="C210" s="1118" t="s">
        <v>36</v>
      </c>
      <c r="D210" s="1119" t="s">
        <v>37</v>
      </c>
      <c r="E210" s="1120" t="s">
        <v>2027</v>
      </c>
      <c r="F210" s="1141" t="s">
        <v>2028</v>
      </c>
      <c r="G210" s="1121">
        <v>8110002</v>
      </c>
      <c r="H210" s="1122">
        <f>1606+320</f>
        <v>1926</v>
      </c>
      <c r="I210" s="1123">
        <v>39758</v>
      </c>
      <c r="J210" s="1124">
        <v>59</v>
      </c>
      <c r="K210" s="1125">
        <f t="shared" si="20"/>
        <v>39817</v>
      </c>
      <c r="L210" s="1125"/>
      <c r="M210" s="1123">
        <v>39791</v>
      </c>
      <c r="N210" s="1124">
        <f t="shared" si="21"/>
        <v>-8</v>
      </c>
      <c r="O210" s="1126">
        <v>39808</v>
      </c>
      <c r="P210" s="1127">
        <v>39809</v>
      </c>
      <c r="Q210" s="1127">
        <v>39826</v>
      </c>
      <c r="R210" s="1124">
        <f t="shared" si="22"/>
        <v>68</v>
      </c>
      <c r="S210" s="1128" t="s">
        <v>53</v>
      </c>
      <c r="T210" s="1131"/>
      <c r="U210" s="1128" t="str">
        <f t="shared" si="23"/>
        <v>en término</v>
      </c>
      <c r="V210" s="1130" t="str">
        <f t="shared" si="24"/>
        <v>Diciembre</v>
      </c>
      <c r="W210" s="1128">
        <f t="shared" si="25"/>
        <v>1</v>
      </c>
    </row>
    <row r="211" spans="1:23" s="1321" customFormat="1" ht="49.9" customHeight="1" thickBot="1" x14ac:dyDescent="0.2">
      <c r="A211" s="1117">
        <v>2008</v>
      </c>
      <c r="B211" s="1117">
        <v>2008</v>
      </c>
      <c r="C211" s="1118" t="s">
        <v>78</v>
      </c>
      <c r="D211" s="1119" t="s">
        <v>3649</v>
      </c>
      <c r="E211" s="1120" t="s">
        <v>3650</v>
      </c>
      <c r="F211" s="1141"/>
      <c r="G211" s="1121" t="s">
        <v>3651</v>
      </c>
      <c r="H211" s="1122">
        <v>9350</v>
      </c>
      <c r="I211" s="1123">
        <v>39567</v>
      </c>
      <c r="J211" s="1124">
        <v>30</v>
      </c>
      <c r="K211" s="1125">
        <f t="shared" si="20"/>
        <v>39597</v>
      </c>
      <c r="L211" s="1133" t="s">
        <v>124</v>
      </c>
      <c r="M211" s="1123">
        <v>39578</v>
      </c>
      <c r="N211" s="1124">
        <f t="shared" si="21"/>
        <v>-7</v>
      </c>
      <c r="O211" s="1123"/>
      <c r="P211" s="1132">
        <v>39590</v>
      </c>
      <c r="Q211" s="1123">
        <f>+P211+15</f>
        <v>39605</v>
      </c>
      <c r="R211" s="1124">
        <f t="shared" si="22"/>
        <v>38</v>
      </c>
      <c r="S211" s="1128" t="s">
        <v>6222</v>
      </c>
      <c r="T211" s="1140" t="s">
        <v>3655</v>
      </c>
      <c r="U211" s="1141" t="str">
        <f t="shared" si="23"/>
        <v>en término</v>
      </c>
      <c r="V211" s="1130" t="str">
        <f t="shared" si="24"/>
        <v>Mayo</v>
      </c>
      <c r="W211" s="1128">
        <f t="shared" si="25"/>
        <v>1</v>
      </c>
    </row>
    <row r="212" spans="1:23" s="1321" customFormat="1" ht="49.9" customHeight="1" thickBot="1" x14ac:dyDescent="0.2">
      <c r="A212" s="1117">
        <v>2008</v>
      </c>
      <c r="B212" s="1117">
        <v>2008</v>
      </c>
      <c r="C212" s="1118" t="s">
        <v>78</v>
      </c>
      <c r="D212" s="1119" t="s">
        <v>3165</v>
      </c>
      <c r="E212" s="1120" t="s">
        <v>3656</v>
      </c>
      <c r="F212" s="1141"/>
      <c r="G212" s="1121">
        <v>547765</v>
      </c>
      <c r="H212" s="1122">
        <v>190609.7</v>
      </c>
      <c r="I212" s="1123">
        <v>39562</v>
      </c>
      <c r="J212" s="1124">
        <v>64</v>
      </c>
      <c r="K212" s="1125">
        <f t="shared" si="20"/>
        <v>39626</v>
      </c>
      <c r="L212" s="1133" t="s">
        <v>124</v>
      </c>
      <c r="M212" s="1123">
        <v>39623</v>
      </c>
      <c r="N212" s="1124">
        <v>0</v>
      </c>
      <c r="O212" s="1123">
        <v>39625</v>
      </c>
      <c r="P212" s="1132">
        <v>39641</v>
      </c>
      <c r="Q212" s="1123">
        <f>+P212+20</f>
        <v>39661</v>
      </c>
      <c r="R212" s="1124">
        <f t="shared" si="22"/>
        <v>99</v>
      </c>
      <c r="S212" s="1128" t="s">
        <v>6223</v>
      </c>
      <c r="T212" s="1140" t="s">
        <v>3661</v>
      </c>
      <c r="U212" s="1141" t="str">
        <f t="shared" si="23"/>
        <v>en término</v>
      </c>
      <c r="V212" s="1130" t="str">
        <f t="shared" si="24"/>
        <v>Junio</v>
      </c>
      <c r="W212" s="1128">
        <f t="shared" si="25"/>
        <v>1</v>
      </c>
    </row>
    <row r="213" spans="1:23" s="1321" customFormat="1" ht="49.9" customHeight="1" thickBot="1" x14ac:dyDescent="0.2">
      <c r="A213" s="1117">
        <v>2008</v>
      </c>
      <c r="B213" s="1117">
        <v>2008</v>
      </c>
      <c r="C213" s="1118" t="s">
        <v>78</v>
      </c>
      <c r="D213" s="1119" t="s">
        <v>3649</v>
      </c>
      <c r="E213" s="1120" t="s">
        <v>3650</v>
      </c>
      <c r="F213" s="1141"/>
      <c r="G213" s="1121" t="s">
        <v>3651</v>
      </c>
      <c r="H213" s="1122">
        <f>2820+170</f>
        <v>2990</v>
      </c>
      <c r="I213" s="1123">
        <v>39567</v>
      </c>
      <c r="J213" s="1124">
        <v>30</v>
      </c>
      <c r="K213" s="1125">
        <f t="shared" si="20"/>
        <v>39597</v>
      </c>
      <c r="L213" s="1133" t="s">
        <v>124</v>
      </c>
      <c r="M213" s="1123">
        <v>39626</v>
      </c>
      <c r="N213" s="1124">
        <f>IF(P213="","",+P213-K213)</f>
        <v>40</v>
      </c>
      <c r="O213" s="1123">
        <v>39633</v>
      </c>
      <c r="P213" s="1132">
        <v>39637</v>
      </c>
      <c r="Q213" s="1123">
        <f>+P213+15</f>
        <v>39652</v>
      </c>
      <c r="R213" s="1124">
        <f t="shared" si="22"/>
        <v>85</v>
      </c>
      <c r="S213" s="1128" t="s">
        <v>6224</v>
      </c>
      <c r="T213" s="1140" t="s">
        <v>3665</v>
      </c>
      <c r="U213" s="1141" t="str">
        <f t="shared" si="23"/>
        <v>atrasado</v>
      </c>
      <c r="V213" s="1130" t="str">
        <f t="shared" si="24"/>
        <v>Junio</v>
      </c>
      <c r="W213" s="1128">
        <f t="shared" si="25"/>
        <v>0</v>
      </c>
    </row>
    <row r="214" spans="1:23" s="1321" customFormat="1" ht="49.9" customHeight="1" thickBot="1" x14ac:dyDescent="0.2">
      <c r="A214" s="1117">
        <v>2008</v>
      </c>
      <c r="B214" s="1117">
        <v>2008</v>
      </c>
      <c r="C214" s="1118" t="s">
        <v>78</v>
      </c>
      <c r="D214" s="1119" t="s">
        <v>3649</v>
      </c>
      <c r="E214" s="1120" t="s">
        <v>3666</v>
      </c>
      <c r="F214" s="1141"/>
      <c r="G214" s="1121" t="s">
        <v>3667</v>
      </c>
      <c r="H214" s="1122">
        <v>9900</v>
      </c>
      <c r="I214" s="1123">
        <v>39598</v>
      </c>
      <c r="J214" s="1124">
        <v>35</v>
      </c>
      <c r="K214" s="1125">
        <f t="shared" si="20"/>
        <v>39633</v>
      </c>
      <c r="L214" s="1133" t="s">
        <v>124</v>
      </c>
      <c r="M214" s="1123">
        <v>39626</v>
      </c>
      <c r="N214" s="1124">
        <f>IF(P214="","",+P214-K214)</f>
        <v>4</v>
      </c>
      <c r="O214" s="1123">
        <v>39633</v>
      </c>
      <c r="P214" s="1132">
        <v>39637</v>
      </c>
      <c r="Q214" s="1123">
        <f>+P214+15</f>
        <v>39652</v>
      </c>
      <c r="R214" s="1124">
        <f t="shared" si="22"/>
        <v>54</v>
      </c>
      <c r="S214" s="1128" t="s">
        <v>6225</v>
      </c>
      <c r="T214" s="1140" t="s">
        <v>3665</v>
      </c>
      <c r="U214" s="1141" t="str">
        <f t="shared" si="23"/>
        <v>atrasado</v>
      </c>
      <c r="V214" s="1130" t="str">
        <f t="shared" si="24"/>
        <v>Junio</v>
      </c>
      <c r="W214" s="1128">
        <f t="shared" si="25"/>
        <v>0</v>
      </c>
    </row>
    <row r="215" spans="1:23" s="1321" customFormat="1" ht="49.9" customHeight="1" thickBot="1" x14ac:dyDescent="0.2">
      <c r="A215" s="1117">
        <v>2008</v>
      </c>
      <c r="B215" s="1117">
        <v>2008</v>
      </c>
      <c r="C215" s="1118" t="s">
        <v>78</v>
      </c>
      <c r="D215" s="1119" t="s">
        <v>79</v>
      </c>
      <c r="E215" s="1120" t="s">
        <v>3669</v>
      </c>
      <c r="F215" s="1141"/>
      <c r="G215" s="1121" t="s">
        <v>3670</v>
      </c>
      <c r="H215" s="1122">
        <v>7882</v>
      </c>
      <c r="I215" s="1123">
        <v>39693</v>
      </c>
      <c r="J215" s="1124">
        <v>45</v>
      </c>
      <c r="K215" s="1125">
        <f t="shared" si="20"/>
        <v>39738</v>
      </c>
      <c r="L215" s="1133" t="s">
        <v>124</v>
      </c>
      <c r="M215" s="1123">
        <v>39703</v>
      </c>
      <c r="N215" s="1124">
        <f>IF(P215="","",+P215-K215)</f>
        <v>-27</v>
      </c>
      <c r="O215" s="1123">
        <v>39710</v>
      </c>
      <c r="P215" s="1132">
        <v>39711</v>
      </c>
      <c r="Q215" s="1123">
        <v>39713</v>
      </c>
      <c r="R215" s="1124">
        <f t="shared" si="22"/>
        <v>20</v>
      </c>
      <c r="S215" s="1128" t="s">
        <v>3671</v>
      </c>
      <c r="T215" s="1140"/>
      <c r="U215" s="1141" t="str">
        <f t="shared" si="23"/>
        <v>en término</v>
      </c>
      <c r="V215" s="1130" t="str">
        <f t="shared" si="24"/>
        <v>Septiembre</v>
      </c>
      <c r="W215" s="1128">
        <f t="shared" si="25"/>
        <v>1</v>
      </c>
    </row>
    <row r="216" spans="1:23" s="1321" customFormat="1" ht="49.9" customHeight="1" thickBot="1" x14ac:dyDescent="0.2">
      <c r="A216" s="1117">
        <v>2008</v>
      </c>
      <c r="B216" s="1117">
        <v>2008</v>
      </c>
      <c r="C216" s="1118" t="s">
        <v>78</v>
      </c>
      <c r="D216" s="1119" t="s">
        <v>79</v>
      </c>
      <c r="E216" s="1120" t="s">
        <v>3674</v>
      </c>
      <c r="F216" s="1141"/>
      <c r="G216" s="1121" t="s">
        <v>3675</v>
      </c>
      <c r="H216" s="1122">
        <v>10284</v>
      </c>
      <c r="I216" s="1123">
        <v>39723</v>
      </c>
      <c r="J216" s="1124">
        <v>46</v>
      </c>
      <c r="K216" s="1125">
        <f t="shared" si="20"/>
        <v>39769</v>
      </c>
      <c r="L216" s="1133" t="s">
        <v>124</v>
      </c>
      <c r="M216" s="1123">
        <v>39756</v>
      </c>
      <c r="N216" s="1124">
        <f>IF(P216="","",+P216-K216)</f>
        <v>-5</v>
      </c>
      <c r="O216" s="1123"/>
      <c r="P216" s="1132">
        <v>39764</v>
      </c>
      <c r="Q216" s="1123">
        <f>+P216+5</f>
        <v>39769</v>
      </c>
      <c r="R216" s="1124">
        <f t="shared" si="22"/>
        <v>46</v>
      </c>
      <c r="S216" s="1128" t="s">
        <v>6226</v>
      </c>
      <c r="T216" s="1140"/>
      <c r="U216" s="1141" t="str">
        <f t="shared" si="23"/>
        <v>en término</v>
      </c>
      <c r="V216" s="1130" t="str">
        <f t="shared" si="24"/>
        <v>Noviembre</v>
      </c>
      <c r="W216" s="1128">
        <f t="shared" si="25"/>
        <v>1</v>
      </c>
    </row>
    <row r="217" spans="1:23" s="1321" customFormat="1" ht="49.9" customHeight="1" thickBot="1" x14ac:dyDescent="0.2">
      <c r="A217" s="1117">
        <v>2008</v>
      </c>
      <c r="B217" s="1117">
        <v>2008</v>
      </c>
      <c r="C217" s="1118" t="s">
        <v>78</v>
      </c>
      <c r="D217" s="1119" t="s">
        <v>79</v>
      </c>
      <c r="E217" s="1120" t="s">
        <v>3679</v>
      </c>
      <c r="F217" s="1141"/>
      <c r="G217" s="1121" t="s">
        <v>3680</v>
      </c>
      <c r="H217" s="1122">
        <v>12910</v>
      </c>
      <c r="I217" s="1123">
        <v>39766</v>
      </c>
      <c r="J217" s="1124">
        <v>45</v>
      </c>
      <c r="K217" s="1125">
        <f t="shared" ref="K217:K248" si="26">+I217+J217</f>
        <v>39811</v>
      </c>
      <c r="L217" s="1133" t="s">
        <v>124</v>
      </c>
      <c r="M217" s="1123">
        <v>39792</v>
      </c>
      <c r="N217" s="1124">
        <f>IF(P217="","",+P217-K217)</f>
        <v>-10</v>
      </c>
      <c r="O217" s="1123"/>
      <c r="P217" s="1132">
        <v>39801</v>
      </c>
      <c r="Q217" s="1123">
        <f>+P217+15</f>
        <v>39816</v>
      </c>
      <c r="R217" s="1124">
        <f t="shared" si="22"/>
        <v>50</v>
      </c>
      <c r="S217" s="1128" t="s">
        <v>6227</v>
      </c>
      <c r="T217" s="1140"/>
      <c r="U217" s="1141" t="str">
        <f t="shared" si="23"/>
        <v>en término</v>
      </c>
      <c r="V217" s="1130" t="str">
        <f t="shared" si="24"/>
        <v>Diciembre</v>
      </c>
      <c r="W217" s="1128">
        <f t="shared" si="25"/>
        <v>1</v>
      </c>
    </row>
    <row r="218" spans="1:23" s="1321" customFormat="1" ht="49.9" customHeight="1" thickBot="1" x14ac:dyDescent="0.2">
      <c r="A218" s="1117">
        <v>2008</v>
      </c>
      <c r="B218" s="1117">
        <v>2008</v>
      </c>
      <c r="C218" s="1118" t="s">
        <v>4005</v>
      </c>
      <c r="D218" s="1119" t="s">
        <v>4236</v>
      </c>
      <c r="E218" s="1120" t="s">
        <v>4549</v>
      </c>
      <c r="F218" s="1141"/>
      <c r="G218" s="1121" t="s">
        <v>4550</v>
      </c>
      <c r="H218" s="1122">
        <v>615</v>
      </c>
      <c r="I218" s="1123">
        <v>39484</v>
      </c>
      <c r="J218" s="1124">
        <v>10</v>
      </c>
      <c r="K218" s="1125">
        <f t="shared" si="26"/>
        <v>39494</v>
      </c>
      <c r="L218" s="1133" t="s">
        <v>4405</v>
      </c>
      <c r="M218" s="1123">
        <v>39484</v>
      </c>
      <c r="N218" s="1124">
        <f>IF(M218="","",+M218-K218)</f>
        <v>-10</v>
      </c>
      <c r="O218" s="1123"/>
      <c r="P218" s="1132">
        <v>39484</v>
      </c>
      <c r="Q218" s="1123">
        <v>39491</v>
      </c>
      <c r="R218" s="1124">
        <f t="shared" si="22"/>
        <v>7</v>
      </c>
      <c r="S218" s="1128" t="s">
        <v>4552</v>
      </c>
      <c r="T218" s="1140"/>
      <c r="U218" s="1141" t="str">
        <f t="shared" si="23"/>
        <v>en término</v>
      </c>
      <c r="V218" s="1130" t="str">
        <f t="shared" si="24"/>
        <v>Febrero</v>
      </c>
      <c r="W218" s="1128">
        <f t="shared" si="25"/>
        <v>1</v>
      </c>
    </row>
    <row r="219" spans="1:23" s="1321" customFormat="1" ht="49.9" customHeight="1" thickBot="1" x14ac:dyDescent="0.2">
      <c r="A219" s="1117">
        <v>2008</v>
      </c>
      <c r="B219" s="1117">
        <v>2008</v>
      </c>
      <c r="C219" s="1118" t="s">
        <v>4005</v>
      </c>
      <c r="D219" s="1119" t="s">
        <v>4236</v>
      </c>
      <c r="E219" s="1120" t="s">
        <v>4554</v>
      </c>
      <c r="F219" s="1141"/>
      <c r="G219" s="1121" t="s">
        <v>4555</v>
      </c>
      <c r="H219" s="1122">
        <v>38111.4</v>
      </c>
      <c r="I219" s="1123">
        <v>39479</v>
      </c>
      <c r="J219" s="1124">
        <v>30</v>
      </c>
      <c r="K219" s="1125">
        <f t="shared" si="26"/>
        <v>39509</v>
      </c>
      <c r="L219" s="1133" t="s">
        <v>4405</v>
      </c>
      <c r="M219" s="1123">
        <v>39498</v>
      </c>
      <c r="N219" s="1124">
        <f>IF(M219="","",+M219-K219)</f>
        <v>-11</v>
      </c>
      <c r="O219" s="1123">
        <v>39505</v>
      </c>
      <c r="P219" s="1132">
        <v>39510</v>
      </c>
      <c r="Q219" s="1123">
        <f>+P219+30</f>
        <v>39540</v>
      </c>
      <c r="R219" s="1124">
        <f t="shared" si="22"/>
        <v>61</v>
      </c>
      <c r="S219" s="1128" t="s">
        <v>4556</v>
      </c>
      <c r="T219" s="1140"/>
      <c r="U219" s="1141" t="str">
        <f t="shared" si="23"/>
        <v>en término</v>
      </c>
      <c r="V219" s="1130" t="str">
        <f t="shared" si="24"/>
        <v>Febrero</v>
      </c>
      <c r="W219" s="1128">
        <f t="shared" si="25"/>
        <v>1</v>
      </c>
    </row>
    <row r="220" spans="1:23" s="1321" customFormat="1" ht="49.9" customHeight="1" thickBot="1" x14ac:dyDescent="0.2">
      <c r="A220" s="1117">
        <v>2008</v>
      </c>
      <c r="B220" s="1117">
        <v>2008</v>
      </c>
      <c r="C220" s="1118" t="s">
        <v>4005</v>
      </c>
      <c r="D220" s="1119" t="s">
        <v>4236</v>
      </c>
      <c r="E220" s="1120" t="s">
        <v>4559</v>
      </c>
      <c r="F220" s="1141"/>
      <c r="G220" s="1121" t="s">
        <v>4560</v>
      </c>
      <c r="H220" s="1122">
        <v>49427.6</v>
      </c>
      <c r="I220" s="1123">
        <v>39531</v>
      </c>
      <c r="J220" s="1124">
        <v>30</v>
      </c>
      <c r="K220" s="1125">
        <f t="shared" si="26"/>
        <v>39561</v>
      </c>
      <c r="L220" s="1133" t="s">
        <v>4405</v>
      </c>
      <c r="M220" s="1123">
        <v>39556</v>
      </c>
      <c r="N220" s="1124">
        <f>IF(M220="","",+M220-K220)</f>
        <v>-5</v>
      </c>
      <c r="O220" s="1123">
        <v>39562</v>
      </c>
      <c r="P220" s="1132">
        <v>39575</v>
      </c>
      <c r="Q220" s="1123">
        <f>+P220+30</f>
        <v>39605</v>
      </c>
      <c r="R220" s="1124">
        <f t="shared" si="22"/>
        <v>74</v>
      </c>
      <c r="S220" s="1128" t="s">
        <v>4562</v>
      </c>
      <c r="T220" s="1140"/>
      <c r="U220" s="1141" t="str">
        <f t="shared" si="23"/>
        <v>en término</v>
      </c>
      <c r="V220" s="1130" t="str">
        <f t="shared" si="24"/>
        <v>Abril</v>
      </c>
      <c r="W220" s="1128">
        <f t="shared" si="25"/>
        <v>1</v>
      </c>
    </row>
    <row r="221" spans="1:23" s="1321" customFormat="1" ht="49.9" customHeight="1" thickBot="1" x14ac:dyDescent="0.2">
      <c r="A221" s="1117">
        <v>2008</v>
      </c>
      <c r="B221" s="1117">
        <v>2008</v>
      </c>
      <c r="C221" s="1118" t="s">
        <v>4005</v>
      </c>
      <c r="D221" s="1119" t="s">
        <v>4236</v>
      </c>
      <c r="E221" s="1120" t="s">
        <v>4565</v>
      </c>
      <c r="F221" s="1141"/>
      <c r="G221" s="1121" t="s">
        <v>4566</v>
      </c>
      <c r="H221" s="1122">
        <v>53569</v>
      </c>
      <c r="I221" s="1123">
        <v>39580</v>
      </c>
      <c r="J221" s="1124">
        <v>30</v>
      </c>
      <c r="K221" s="1125">
        <f t="shared" si="26"/>
        <v>39610</v>
      </c>
      <c r="L221" s="1133" t="s">
        <v>4405</v>
      </c>
      <c r="M221" s="1123">
        <v>39593</v>
      </c>
      <c r="N221" s="1124">
        <f>IF(M221="","",+M221-K221)</f>
        <v>-17</v>
      </c>
      <c r="O221" s="1123">
        <v>39602</v>
      </c>
      <c r="P221" s="1132">
        <v>39609</v>
      </c>
      <c r="Q221" s="1123">
        <f>+P221+30</f>
        <v>39639</v>
      </c>
      <c r="R221" s="1124">
        <f t="shared" si="22"/>
        <v>59</v>
      </c>
      <c r="S221" s="1128" t="s">
        <v>4568</v>
      </c>
      <c r="T221" s="1140"/>
      <c r="U221" s="1141" t="str">
        <f t="shared" si="23"/>
        <v>en término</v>
      </c>
      <c r="V221" s="1130" t="str">
        <f t="shared" si="24"/>
        <v>Mayo</v>
      </c>
      <c r="W221" s="1128">
        <f t="shared" si="25"/>
        <v>1</v>
      </c>
    </row>
    <row r="222" spans="1:23" s="1321" customFormat="1" ht="49.9" customHeight="1" thickBot="1" x14ac:dyDescent="0.2">
      <c r="A222" s="1117">
        <v>2008</v>
      </c>
      <c r="B222" s="1117">
        <v>2008</v>
      </c>
      <c r="C222" s="1118" t="s">
        <v>4005</v>
      </c>
      <c r="D222" s="1119" t="s">
        <v>4236</v>
      </c>
      <c r="E222" s="1120"/>
      <c r="F222" s="1141"/>
      <c r="G222" s="1121" t="s">
        <v>4570</v>
      </c>
      <c r="H222" s="1122">
        <v>10210</v>
      </c>
      <c r="I222" s="1123">
        <v>39554</v>
      </c>
      <c r="J222" s="1124">
        <v>30</v>
      </c>
      <c r="K222" s="1125">
        <f t="shared" si="26"/>
        <v>39584</v>
      </c>
      <c r="L222" s="1133" t="s">
        <v>4405</v>
      </c>
      <c r="M222" s="1123">
        <v>39643</v>
      </c>
      <c r="N222" s="1124">
        <f>IF(P222="","",+P222-K222)</f>
        <v>60</v>
      </c>
      <c r="O222" s="1123"/>
      <c r="P222" s="1132">
        <v>39644</v>
      </c>
      <c r="Q222" s="1123">
        <v>39646</v>
      </c>
      <c r="R222" s="1124">
        <f t="shared" si="22"/>
        <v>92</v>
      </c>
      <c r="S222" s="1128" t="s">
        <v>4571</v>
      </c>
      <c r="T222" s="1140"/>
      <c r="U222" s="1141" t="str">
        <f t="shared" si="23"/>
        <v>atrasado</v>
      </c>
      <c r="V222" s="1130" t="str">
        <f t="shared" si="24"/>
        <v>Julio</v>
      </c>
      <c r="W222" s="1128">
        <f t="shared" si="25"/>
        <v>0</v>
      </c>
    </row>
    <row r="223" spans="1:23" s="1321" customFormat="1" ht="49.9" customHeight="1" thickBot="1" x14ac:dyDescent="0.2">
      <c r="A223" s="1117">
        <v>2008</v>
      </c>
      <c r="B223" s="1117">
        <v>2008</v>
      </c>
      <c r="C223" s="1118" t="s">
        <v>4005</v>
      </c>
      <c r="D223" s="1119" t="s">
        <v>4236</v>
      </c>
      <c r="E223" s="1120" t="s">
        <v>4577</v>
      </c>
      <c r="F223" s="1141"/>
      <c r="G223" s="1121" t="s">
        <v>4578</v>
      </c>
      <c r="H223" s="1122">
        <v>33032</v>
      </c>
      <c r="I223" s="1123">
        <v>39665</v>
      </c>
      <c r="J223" s="1124">
        <v>30</v>
      </c>
      <c r="K223" s="1125">
        <f t="shared" si="26"/>
        <v>39695</v>
      </c>
      <c r="L223" s="1133" t="s">
        <v>4405</v>
      </c>
      <c r="M223" s="1123">
        <v>39686</v>
      </c>
      <c r="N223" s="1124">
        <f>IF(M223="","",+M223-K223)</f>
        <v>-9</v>
      </c>
      <c r="O223" s="1123">
        <v>39688</v>
      </c>
      <c r="P223" s="1132">
        <v>39700</v>
      </c>
      <c r="Q223" s="1123">
        <f>+P223+30</f>
        <v>39730</v>
      </c>
      <c r="R223" s="1124">
        <f t="shared" si="22"/>
        <v>65</v>
      </c>
      <c r="S223" s="1128" t="s">
        <v>4580</v>
      </c>
      <c r="T223" s="1140"/>
      <c r="U223" s="1141" t="str">
        <f t="shared" si="23"/>
        <v>en término</v>
      </c>
      <c r="V223" s="1130" t="str">
        <f t="shared" si="24"/>
        <v>Agosto</v>
      </c>
      <c r="W223" s="1128">
        <f t="shared" si="25"/>
        <v>1</v>
      </c>
    </row>
    <row r="224" spans="1:23" s="1321" customFormat="1" ht="49.9" customHeight="1" thickBot="1" x14ac:dyDescent="0.2">
      <c r="A224" s="1117">
        <v>2008</v>
      </c>
      <c r="B224" s="1117">
        <v>2008</v>
      </c>
      <c r="C224" s="1118" t="s">
        <v>4005</v>
      </c>
      <c r="D224" s="1119" t="s">
        <v>4236</v>
      </c>
      <c r="E224" s="1120"/>
      <c r="F224" s="1141"/>
      <c r="G224" s="1121" t="s">
        <v>4570</v>
      </c>
      <c r="H224" s="1122">
        <v>4480</v>
      </c>
      <c r="I224" s="1123">
        <v>39554</v>
      </c>
      <c r="J224" s="1124">
        <v>30</v>
      </c>
      <c r="K224" s="1125">
        <f t="shared" si="26"/>
        <v>39584</v>
      </c>
      <c r="L224" s="1133" t="s">
        <v>4405</v>
      </c>
      <c r="M224" s="1123">
        <v>39715</v>
      </c>
      <c r="N224" s="1124">
        <f>IF(P224="","",+P224-K224)</f>
        <v>211</v>
      </c>
      <c r="O224" s="1123"/>
      <c r="P224" s="1132">
        <v>39795</v>
      </c>
      <c r="Q224" s="1123">
        <f>+P224+30</f>
        <v>39825</v>
      </c>
      <c r="R224" s="1124">
        <f t="shared" si="22"/>
        <v>271</v>
      </c>
      <c r="S224" s="1128" t="s">
        <v>4583</v>
      </c>
      <c r="T224" s="1140"/>
      <c r="U224" s="1141" t="str">
        <f t="shared" si="23"/>
        <v>atrasado</v>
      </c>
      <c r="V224" s="1130" t="str">
        <f t="shared" si="24"/>
        <v>Septiembre</v>
      </c>
      <c r="W224" s="1128">
        <f t="shared" si="25"/>
        <v>0</v>
      </c>
    </row>
    <row r="225" spans="1:23" s="1321" customFormat="1" ht="49.9" customHeight="1" thickBot="1" x14ac:dyDescent="0.2">
      <c r="A225" s="1117">
        <v>2008</v>
      </c>
      <c r="B225" s="1117">
        <v>2008</v>
      </c>
      <c r="C225" s="1118" t="s">
        <v>4005</v>
      </c>
      <c r="D225" s="1119" t="s">
        <v>4236</v>
      </c>
      <c r="E225" s="1120"/>
      <c r="F225" s="1141"/>
      <c r="G225" s="1121" t="s">
        <v>4585</v>
      </c>
      <c r="H225" s="1122">
        <v>14675</v>
      </c>
      <c r="I225" s="1123">
        <v>39580</v>
      </c>
      <c r="J225" s="1124">
        <v>90</v>
      </c>
      <c r="K225" s="1125">
        <f t="shared" si="26"/>
        <v>39670</v>
      </c>
      <c r="L225" s="1133" t="s">
        <v>4405</v>
      </c>
      <c r="M225" s="1123">
        <v>39701</v>
      </c>
      <c r="N225" s="1124">
        <f>IF(P225="","",+P225-K225)</f>
        <v>125</v>
      </c>
      <c r="O225" s="1123"/>
      <c r="P225" s="1132">
        <v>39795</v>
      </c>
      <c r="Q225" s="1123">
        <f>+P225+30</f>
        <v>39825</v>
      </c>
      <c r="R225" s="1124">
        <f t="shared" si="22"/>
        <v>245</v>
      </c>
      <c r="S225" s="1128" t="s">
        <v>4387</v>
      </c>
      <c r="T225" s="1140"/>
      <c r="U225" s="1141" t="str">
        <f t="shared" si="23"/>
        <v>atrasado</v>
      </c>
      <c r="V225" s="1130" t="str">
        <f t="shared" si="24"/>
        <v>Septiembre</v>
      </c>
      <c r="W225" s="1128">
        <f t="shared" si="25"/>
        <v>0</v>
      </c>
    </row>
    <row r="226" spans="1:23" s="1321" customFormat="1" ht="49.9" customHeight="1" thickBot="1" x14ac:dyDescent="0.2">
      <c r="A226" s="1117">
        <v>2008</v>
      </c>
      <c r="B226" s="1117">
        <v>2008</v>
      </c>
      <c r="C226" s="1118" t="s">
        <v>4005</v>
      </c>
      <c r="D226" s="1119" t="s">
        <v>4236</v>
      </c>
      <c r="E226" s="1120" t="s">
        <v>4586</v>
      </c>
      <c r="F226" s="1141"/>
      <c r="G226" s="1121" t="s">
        <v>4587</v>
      </c>
      <c r="H226" s="1122">
        <v>102581.8</v>
      </c>
      <c r="I226" s="1123">
        <v>39636</v>
      </c>
      <c r="J226" s="1124">
        <v>30</v>
      </c>
      <c r="K226" s="1125">
        <f t="shared" si="26"/>
        <v>39666</v>
      </c>
      <c r="L226" s="1133" t="s">
        <v>4405</v>
      </c>
      <c r="M226" s="1123">
        <v>39654</v>
      </c>
      <c r="N226" s="1124">
        <f>IF(M226="","",+M226-K226)</f>
        <v>-12</v>
      </c>
      <c r="O226" s="1123">
        <v>39777</v>
      </c>
      <c r="P226" s="1132">
        <v>39780</v>
      </c>
      <c r="Q226" s="1123">
        <f>+P226+25</f>
        <v>39805</v>
      </c>
      <c r="R226" s="1124">
        <f t="shared" si="22"/>
        <v>169</v>
      </c>
      <c r="S226" s="1128" t="s">
        <v>4589</v>
      </c>
      <c r="T226" s="1140" t="s">
        <v>4592</v>
      </c>
      <c r="U226" s="1141" t="str">
        <f t="shared" si="23"/>
        <v>en término</v>
      </c>
      <c r="V226" s="1130" t="str">
        <f t="shared" si="24"/>
        <v>Julio</v>
      </c>
      <c r="W226" s="1128">
        <f t="shared" si="25"/>
        <v>1</v>
      </c>
    </row>
    <row r="227" spans="1:23" s="1321" customFormat="1" ht="49.9" customHeight="1" thickBot="1" x14ac:dyDescent="0.2">
      <c r="A227" s="1117">
        <v>2008</v>
      </c>
      <c r="B227" s="1117">
        <v>2008</v>
      </c>
      <c r="C227" s="1118" t="s">
        <v>4005</v>
      </c>
      <c r="D227" s="1119" t="s">
        <v>4236</v>
      </c>
      <c r="E227" s="1120" t="s">
        <v>4593</v>
      </c>
      <c r="F227" s="1141"/>
      <c r="G227" s="1121" t="s">
        <v>4594</v>
      </c>
      <c r="H227" s="1122">
        <v>168064</v>
      </c>
      <c r="I227" s="1123">
        <v>39771</v>
      </c>
      <c r="J227" s="1124">
        <v>30</v>
      </c>
      <c r="K227" s="1125">
        <f t="shared" si="26"/>
        <v>39801</v>
      </c>
      <c r="L227" s="1133" t="s">
        <v>4588</v>
      </c>
      <c r="M227" s="1123">
        <v>39794</v>
      </c>
      <c r="N227" s="1124">
        <f>IF(M227="","",+M227-K227)</f>
        <v>-7</v>
      </c>
      <c r="O227" s="1123">
        <v>39798</v>
      </c>
      <c r="P227" s="1132">
        <v>39803</v>
      </c>
      <c r="Q227" s="1123">
        <f>+P227+25</f>
        <v>39828</v>
      </c>
      <c r="R227" s="1124">
        <f t="shared" si="22"/>
        <v>57</v>
      </c>
      <c r="S227" s="1128" t="s">
        <v>4596</v>
      </c>
      <c r="T227" s="1140"/>
      <c r="U227" s="1141" t="str">
        <f t="shared" si="23"/>
        <v>en término</v>
      </c>
      <c r="V227" s="1130" t="str">
        <f t="shared" si="24"/>
        <v>Diciembre</v>
      </c>
      <c r="W227" s="1128">
        <f t="shared" si="25"/>
        <v>1</v>
      </c>
    </row>
    <row r="228" spans="1:23" s="1321" customFormat="1" ht="49.9" customHeight="1" thickBot="1" x14ac:dyDescent="0.2">
      <c r="A228" s="1117">
        <v>2008</v>
      </c>
      <c r="B228" s="1117">
        <v>2008</v>
      </c>
      <c r="C228" s="1118" t="s">
        <v>4661</v>
      </c>
      <c r="D228" s="1119" t="s">
        <v>4679</v>
      </c>
      <c r="E228" s="1120" t="s">
        <v>4680</v>
      </c>
      <c r="F228" s="1141"/>
      <c r="G228" s="1121">
        <v>8020001</v>
      </c>
      <c r="H228" s="1122">
        <v>1081.8499999999999</v>
      </c>
      <c r="I228" s="1123">
        <v>39479</v>
      </c>
      <c r="J228" s="1124">
        <v>30</v>
      </c>
      <c r="K228" s="1125">
        <f t="shared" si="26"/>
        <v>39509</v>
      </c>
      <c r="L228" s="1133" t="s">
        <v>4682</v>
      </c>
      <c r="M228" s="1123">
        <v>39507</v>
      </c>
      <c r="N228" s="1124">
        <f t="shared" ref="N228:N238" si="27">IF(P228="","",+P228-K228)</f>
        <v>12</v>
      </c>
      <c r="O228" s="1123"/>
      <c r="P228" s="1132">
        <v>39521</v>
      </c>
      <c r="Q228" s="1123">
        <v>39524</v>
      </c>
      <c r="R228" s="1124">
        <f t="shared" si="22"/>
        <v>45</v>
      </c>
      <c r="S228" s="1128" t="s">
        <v>4683</v>
      </c>
      <c r="T228" s="1140"/>
      <c r="U228" s="1141" t="str">
        <f t="shared" si="23"/>
        <v>atrasado</v>
      </c>
      <c r="V228" s="1130" t="str">
        <f t="shared" si="24"/>
        <v>Febrero</v>
      </c>
      <c r="W228" s="1128">
        <f t="shared" si="25"/>
        <v>0</v>
      </c>
    </row>
    <row r="229" spans="1:23" s="1321" customFormat="1" ht="49.9" customHeight="1" thickBot="1" x14ac:dyDescent="0.2">
      <c r="A229" s="1117">
        <v>2008</v>
      </c>
      <c r="B229" s="1117">
        <v>2008</v>
      </c>
      <c r="C229" s="1118" t="s">
        <v>4661</v>
      </c>
      <c r="D229" s="1119" t="s">
        <v>4679</v>
      </c>
      <c r="E229" s="1120" t="s">
        <v>4685</v>
      </c>
      <c r="F229" s="1141"/>
      <c r="G229" s="1121">
        <v>8110004</v>
      </c>
      <c r="H229" s="1122">
        <v>1750</v>
      </c>
      <c r="I229" s="1123">
        <v>39766</v>
      </c>
      <c r="J229" s="1124">
        <v>30</v>
      </c>
      <c r="K229" s="1125">
        <f t="shared" si="26"/>
        <v>39796</v>
      </c>
      <c r="L229" s="1133" t="s">
        <v>4686</v>
      </c>
      <c r="M229" s="1123">
        <v>39794</v>
      </c>
      <c r="N229" s="1124">
        <f t="shared" si="27"/>
        <v>29</v>
      </c>
      <c r="O229" s="1123"/>
      <c r="P229" s="1132">
        <v>39825</v>
      </c>
      <c r="Q229" s="1123">
        <f>+P229+10</f>
        <v>39835</v>
      </c>
      <c r="R229" s="1124">
        <f t="shared" si="22"/>
        <v>69</v>
      </c>
      <c r="S229" s="1128" t="s">
        <v>4683</v>
      </c>
      <c r="T229" s="1140"/>
      <c r="U229" s="1141" t="str">
        <f t="shared" si="23"/>
        <v>atrasado</v>
      </c>
      <c r="V229" s="1130" t="str">
        <f t="shared" si="24"/>
        <v>Diciembre</v>
      </c>
      <c r="W229" s="1128">
        <f t="shared" si="25"/>
        <v>0</v>
      </c>
    </row>
    <row r="230" spans="1:23" s="1321" customFormat="1" ht="49.9" customHeight="1" thickBot="1" x14ac:dyDescent="0.2">
      <c r="A230" s="1117">
        <v>2008</v>
      </c>
      <c r="B230" s="1117">
        <v>2008</v>
      </c>
      <c r="C230" s="1118" t="s">
        <v>114</v>
      </c>
      <c r="D230" s="1119" t="s">
        <v>115</v>
      </c>
      <c r="E230" s="1120" t="s">
        <v>4758</v>
      </c>
      <c r="F230" s="1141"/>
      <c r="G230" s="1121" t="s">
        <v>4759</v>
      </c>
      <c r="H230" s="1122">
        <v>74764.92</v>
      </c>
      <c r="I230" s="1123">
        <v>39682</v>
      </c>
      <c r="J230" s="1124">
        <v>60</v>
      </c>
      <c r="K230" s="1125">
        <f t="shared" si="26"/>
        <v>39742</v>
      </c>
      <c r="L230" s="1133" t="s">
        <v>124</v>
      </c>
      <c r="M230" s="1123">
        <v>39721</v>
      </c>
      <c r="N230" s="1124">
        <f t="shared" si="27"/>
        <v>0</v>
      </c>
      <c r="O230" s="1123">
        <v>39735</v>
      </c>
      <c r="P230" s="1132">
        <v>39742</v>
      </c>
      <c r="Q230" s="1123">
        <f>+P230+30</f>
        <v>39772</v>
      </c>
      <c r="R230" s="1124">
        <f t="shared" si="22"/>
        <v>90</v>
      </c>
      <c r="S230" s="1128" t="s">
        <v>6228</v>
      </c>
      <c r="T230" s="1140" t="s">
        <v>4763</v>
      </c>
      <c r="U230" s="1141" t="str">
        <f t="shared" si="23"/>
        <v>en término</v>
      </c>
      <c r="V230" s="1130" t="str">
        <f t="shared" si="24"/>
        <v>Septiembre</v>
      </c>
      <c r="W230" s="1128">
        <f t="shared" si="25"/>
        <v>1</v>
      </c>
    </row>
    <row r="231" spans="1:23" s="1321" customFormat="1" ht="49.9" customHeight="1" thickBot="1" x14ac:dyDescent="0.2">
      <c r="A231" s="1117">
        <v>2008</v>
      </c>
      <c r="B231" s="1117">
        <v>2008</v>
      </c>
      <c r="C231" s="1118" t="s">
        <v>4832</v>
      </c>
      <c r="D231" s="1119" t="s">
        <v>4846</v>
      </c>
      <c r="E231" s="1120" t="s">
        <v>4976</v>
      </c>
      <c r="F231" s="1141"/>
      <c r="G231" s="1121" t="s">
        <v>4977</v>
      </c>
      <c r="H231" s="1122">
        <v>18236.099999999999</v>
      </c>
      <c r="I231" s="1123">
        <v>39520</v>
      </c>
      <c r="J231" s="1124">
        <v>60</v>
      </c>
      <c r="K231" s="1125">
        <f t="shared" si="26"/>
        <v>39580</v>
      </c>
      <c r="L231" s="1133" t="s">
        <v>124</v>
      </c>
      <c r="M231" s="1123">
        <v>39563</v>
      </c>
      <c r="N231" s="1124">
        <f t="shared" si="27"/>
        <v>-3</v>
      </c>
      <c r="O231" s="1123"/>
      <c r="P231" s="1132">
        <v>39577</v>
      </c>
      <c r="Q231" s="1123">
        <v>39589</v>
      </c>
      <c r="R231" s="1124">
        <f t="shared" si="22"/>
        <v>69</v>
      </c>
      <c r="S231" s="1128" t="s">
        <v>6229</v>
      </c>
      <c r="T231" s="1140"/>
      <c r="U231" s="1141" t="str">
        <f t="shared" si="23"/>
        <v>en término</v>
      </c>
      <c r="V231" s="1130" t="str">
        <f t="shared" si="24"/>
        <v>Abril</v>
      </c>
      <c r="W231" s="1128">
        <f t="shared" si="25"/>
        <v>1</v>
      </c>
    </row>
    <row r="232" spans="1:23" s="1321" customFormat="1" ht="49.9" customHeight="1" thickBot="1" x14ac:dyDescent="0.2">
      <c r="A232" s="1117">
        <v>2008</v>
      </c>
      <c r="B232" s="1117">
        <v>2008</v>
      </c>
      <c r="C232" s="1118" t="s">
        <v>4832</v>
      </c>
      <c r="D232" s="1119" t="s">
        <v>4981</v>
      </c>
      <c r="E232" s="1120" t="s">
        <v>4982</v>
      </c>
      <c r="F232" s="1141"/>
      <c r="G232" s="1121">
        <v>563</v>
      </c>
      <c r="H232" s="1122">
        <v>33048.71</v>
      </c>
      <c r="I232" s="1123">
        <v>39552</v>
      </c>
      <c r="J232" s="1124">
        <v>60</v>
      </c>
      <c r="K232" s="1125">
        <f t="shared" si="26"/>
        <v>39612</v>
      </c>
      <c r="L232" s="1133" t="s">
        <v>124</v>
      </c>
      <c r="M232" s="1123">
        <v>39594</v>
      </c>
      <c r="N232" s="1124">
        <f t="shared" si="27"/>
        <v>1</v>
      </c>
      <c r="O232" s="1123">
        <v>39601</v>
      </c>
      <c r="P232" s="1132">
        <v>39613</v>
      </c>
      <c r="Q232" s="1123">
        <v>39629</v>
      </c>
      <c r="R232" s="1124">
        <f t="shared" si="22"/>
        <v>77</v>
      </c>
      <c r="S232" s="1128" t="s">
        <v>4989</v>
      </c>
      <c r="T232" s="1140" t="s">
        <v>4991</v>
      </c>
      <c r="U232" s="1141" t="str">
        <f t="shared" si="23"/>
        <v>atrasado</v>
      </c>
      <c r="V232" s="1130" t="str">
        <f t="shared" si="24"/>
        <v>Mayo</v>
      </c>
      <c r="W232" s="1128">
        <f t="shared" si="25"/>
        <v>0</v>
      </c>
    </row>
    <row r="233" spans="1:23" s="1321" customFormat="1" ht="49.9" customHeight="1" thickBot="1" x14ac:dyDescent="0.2">
      <c r="A233" s="1117">
        <v>2008</v>
      </c>
      <c r="B233" s="1117">
        <v>2008</v>
      </c>
      <c r="C233" s="1118" t="s">
        <v>4832</v>
      </c>
      <c r="D233" s="1119" t="s">
        <v>4910</v>
      </c>
      <c r="E233" s="1120" t="s">
        <v>4999</v>
      </c>
      <c r="F233" s="1141"/>
      <c r="G233" s="1121" t="s">
        <v>5000</v>
      </c>
      <c r="H233" s="1122">
        <v>2660</v>
      </c>
      <c r="I233" s="1123">
        <v>39645</v>
      </c>
      <c r="J233" s="1124">
        <v>19</v>
      </c>
      <c r="K233" s="1125">
        <f t="shared" si="26"/>
        <v>39664</v>
      </c>
      <c r="L233" s="1133" t="s">
        <v>124</v>
      </c>
      <c r="M233" s="1123">
        <v>39654</v>
      </c>
      <c r="N233" s="1124">
        <f t="shared" si="27"/>
        <v>15</v>
      </c>
      <c r="O233" s="1123">
        <v>39666</v>
      </c>
      <c r="P233" s="1132">
        <v>39679</v>
      </c>
      <c r="Q233" s="1123">
        <f>+P233+12</f>
        <v>39691</v>
      </c>
      <c r="R233" s="1124">
        <f t="shared" si="22"/>
        <v>46</v>
      </c>
      <c r="S233" s="1128" t="s">
        <v>5002</v>
      </c>
      <c r="T233" s="1140" t="s">
        <v>5003</v>
      </c>
      <c r="U233" s="1141" t="str">
        <f t="shared" si="23"/>
        <v>atrasado</v>
      </c>
      <c r="V233" s="1130" t="str">
        <f t="shared" si="24"/>
        <v>Julio</v>
      </c>
      <c r="W233" s="1128">
        <f t="shared" si="25"/>
        <v>0</v>
      </c>
    </row>
    <row r="234" spans="1:23" s="1321" customFormat="1" ht="49.9" customHeight="1" thickBot="1" x14ac:dyDescent="0.2">
      <c r="A234" s="1117">
        <v>2008</v>
      </c>
      <c r="B234" s="1117">
        <v>2008</v>
      </c>
      <c r="C234" s="1118" t="s">
        <v>4832</v>
      </c>
      <c r="D234" s="1119" t="s">
        <v>4910</v>
      </c>
      <c r="E234" s="1120" t="s">
        <v>5004</v>
      </c>
      <c r="F234" s="1141"/>
      <c r="G234" s="1121" t="s">
        <v>5005</v>
      </c>
      <c r="H234" s="1122">
        <v>66700</v>
      </c>
      <c r="I234" s="1123">
        <v>39688</v>
      </c>
      <c r="J234" s="1124">
        <v>53</v>
      </c>
      <c r="K234" s="1125">
        <f t="shared" si="26"/>
        <v>39741</v>
      </c>
      <c r="L234" s="1133" t="s">
        <v>124</v>
      </c>
      <c r="M234" s="1123">
        <v>39724</v>
      </c>
      <c r="N234" s="1124">
        <f t="shared" si="27"/>
        <v>24</v>
      </c>
      <c r="O234" s="1123">
        <v>39730</v>
      </c>
      <c r="P234" s="1132">
        <v>39765</v>
      </c>
      <c r="Q234" s="1123">
        <f>+P234+20</f>
        <v>39785</v>
      </c>
      <c r="R234" s="1124">
        <f t="shared" si="22"/>
        <v>97</v>
      </c>
      <c r="S234" s="1128" t="s">
        <v>6230</v>
      </c>
      <c r="T234" s="1140" t="s">
        <v>6231</v>
      </c>
      <c r="U234" s="1141" t="str">
        <f t="shared" si="23"/>
        <v>atrasado</v>
      </c>
      <c r="V234" s="1130" t="str">
        <f t="shared" si="24"/>
        <v>Octubre</v>
      </c>
      <c r="W234" s="1128">
        <f t="shared" si="25"/>
        <v>0</v>
      </c>
    </row>
    <row r="235" spans="1:23" s="1321" customFormat="1" ht="49.9" customHeight="1" thickBot="1" x14ac:dyDescent="0.2">
      <c r="A235" s="1117">
        <v>2008</v>
      </c>
      <c r="B235" s="1117">
        <v>2008</v>
      </c>
      <c r="C235" s="1118" t="s">
        <v>4832</v>
      </c>
      <c r="D235" s="1119" t="s">
        <v>4910</v>
      </c>
      <c r="E235" s="1120" t="s">
        <v>5009</v>
      </c>
      <c r="F235" s="1141"/>
      <c r="G235" s="1121" t="s">
        <v>5010</v>
      </c>
      <c r="H235" s="1122">
        <v>17362</v>
      </c>
      <c r="I235" s="1123">
        <v>39700</v>
      </c>
      <c r="J235" s="1124">
        <v>41</v>
      </c>
      <c r="K235" s="1125">
        <f t="shared" si="26"/>
        <v>39741</v>
      </c>
      <c r="L235" s="1133" t="s">
        <v>124</v>
      </c>
      <c r="M235" s="1123">
        <v>39724</v>
      </c>
      <c r="N235" s="1124">
        <f t="shared" si="27"/>
        <v>24</v>
      </c>
      <c r="O235" s="1123">
        <v>39730</v>
      </c>
      <c r="P235" s="1132">
        <v>39765</v>
      </c>
      <c r="Q235" s="1123">
        <f>+P235+20</f>
        <v>39785</v>
      </c>
      <c r="R235" s="1124">
        <f t="shared" si="22"/>
        <v>85</v>
      </c>
      <c r="S235" s="1128" t="s">
        <v>6232</v>
      </c>
      <c r="T235" s="1140" t="s">
        <v>6233</v>
      </c>
      <c r="U235" s="1141" t="str">
        <f t="shared" si="23"/>
        <v>atrasado</v>
      </c>
      <c r="V235" s="1130" t="str">
        <f t="shared" si="24"/>
        <v>Octubre</v>
      </c>
      <c r="W235" s="1128">
        <f t="shared" si="25"/>
        <v>0</v>
      </c>
    </row>
    <row r="236" spans="1:23" s="1321" customFormat="1" ht="49.9" customHeight="1" thickBot="1" x14ac:dyDescent="0.2">
      <c r="A236" s="1117">
        <v>2008</v>
      </c>
      <c r="B236" s="1117">
        <v>2008</v>
      </c>
      <c r="C236" s="1118" t="s">
        <v>120</v>
      </c>
      <c r="D236" s="1119" t="s">
        <v>121</v>
      </c>
      <c r="E236" s="1120" t="s">
        <v>5180</v>
      </c>
      <c r="F236" s="1141"/>
      <c r="G236" s="1121">
        <v>12194</v>
      </c>
      <c r="H236" s="1122">
        <v>33295.82</v>
      </c>
      <c r="I236" s="1123">
        <v>39399</v>
      </c>
      <c r="J236" s="1124">
        <v>80</v>
      </c>
      <c r="K236" s="1125">
        <f t="shared" si="26"/>
        <v>39479</v>
      </c>
      <c r="L236" s="1133" t="s">
        <v>124</v>
      </c>
      <c r="M236" s="1123">
        <v>39458</v>
      </c>
      <c r="N236" s="1124">
        <f t="shared" si="27"/>
        <v>-8</v>
      </c>
      <c r="O236" s="1123">
        <v>39463</v>
      </c>
      <c r="P236" s="1132">
        <v>39471</v>
      </c>
      <c r="Q236" s="1123">
        <f>+P236+40+10</f>
        <v>39521</v>
      </c>
      <c r="R236" s="1124">
        <f t="shared" si="22"/>
        <v>122</v>
      </c>
      <c r="S236" s="1128" t="s">
        <v>6193</v>
      </c>
      <c r="T236" s="1140"/>
      <c r="U236" s="1141" t="str">
        <f t="shared" si="23"/>
        <v>en término</v>
      </c>
      <c r="V236" s="1130" t="str">
        <f t="shared" si="24"/>
        <v>Enero</v>
      </c>
      <c r="W236" s="1128">
        <f t="shared" si="25"/>
        <v>1</v>
      </c>
    </row>
    <row r="237" spans="1:23" s="1321" customFormat="1" ht="49.9" customHeight="1" thickBot="1" x14ac:dyDescent="0.2">
      <c r="A237" s="1117">
        <v>2008</v>
      </c>
      <c r="B237" s="1117">
        <v>2008</v>
      </c>
      <c r="C237" s="1118" t="s">
        <v>120</v>
      </c>
      <c r="D237" s="1119" t="s">
        <v>121</v>
      </c>
      <c r="E237" s="1120" t="s">
        <v>5184</v>
      </c>
      <c r="F237" s="1141"/>
      <c r="G237" s="1121">
        <v>12443</v>
      </c>
      <c r="H237" s="1122">
        <v>5476.05</v>
      </c>
      <c r="I237" s="1123">
        <v>39416</v>
      </c>
      <c r="J237" s="1124">
        <v>92</v>
      </c>
      <c r="K237" s="1125">
        <f t="shared" si="26"/>
        <v>39508</v>
      </c>
      <c r="L237" s="1133" t="s">
        <v>124</v>
      </c>
      <c r="M237" s="1123">
        <v>39493</v>
      </c>
      <c r="N237" s="1124">
        <f t="shared" si="27"/>
        <v>-1</v>
      </c>
      <c r="O237" s="1123"/>
      <c r="P237" s="1132">
        <v>39507</v>
      </c>
      <c r="Q237" s="1123">
        <f>+P237+40+10</f>
        <v>39557</v>
      </c>
      <c r="R237" s="1124">
        <f t="shared" si="22"/>
        <v>141</v>
      </c>
      <c r="S237" s="1128" t="s">
        <v>6193</v>
      </c>
      <c r="T237" s="1140"/>
      <c r="U237" s="1141" t="str">
        <f t="shared" si="23"/>
        <v>en término</v>
      </c>
      <c r="V237" s="1130" t="str">
        <f t="shared" si="24"/>
        <v>Febrero</v>
      </c>
      <c r="W237" s="1128">
        <f t="shared" si="25"/>
        <v>1</v>
      </c>
    </row>
    <row r="238" spans="1:23" s="1321" customFormat="1" ht="49.9" customHeight="1" thickBot="1" x14ac:dyDescent="0.2">
      <c r="A238" s="1117">
        <v>2008</v>
      </c>
      <c r="B238" s="1117">
        <v>2008</v>
      </c>
      <c r="C238" s="1118" t="s">
        <v>120</v>
      </c>
      <c r="D238" s="1119" t="s">
        <v>121</v>
      </c>
      <c r="E238" s="1120" t="s">
        <v>5187</v>
      </c>
      <c r="F238" s="1141"/>
      <c r="G238" s="1121">
        <v>12894</v>
      </c>
      <c r="H238" s="1122">
        <v>2825.1</v>
      </c>
      <c r="I238" s="1123">
        <v>39451</v>
      </c>
      <c r="J238" s="1124">
        <v>57</v>
      </c>
      <c r="K238" s="1125">
        <f t="shared" si="26"/>
        <v>39508</v>
      </c>
      <c r="L238" s="1133" t="s">
        <v>124</v>
      </c>
      <c r="M238" s="1123">
        <v>39493</v>
      </c>
      <c r="N238" s="1124">
        <f t="shared" si="27"/>
        <v>-1</v>
      </c>
      <c r="O238" s="1123"/>
      <c r="P238" s="1132">
        <v>39507</v>
      </c>
      <c r="Q238" s="1123">
        <f>+P238+40+10</f>
        <v>39557</v>
      </c>
      <c r="R238" s="1124">
        <f t="shared" si="22"/>
        <v>106</v>
      </c>
      <c r="S238" s="1128" t="s">
        <v>6193</v>
      </c>
      <c r="T238" s="1140"/>
      <c r="U238" s="1141" t="str">
        <f t="shared" si="23"/>
        <v>en término</v>
      </c>
      <c r="V238" s="1130" t="str">
        <f t="shared" si="24"/>
        <v>Febrero</v>
      </c>
      <c r="W238" s="1128">
        <f t="shared" si="25"/>
        <v>1</v>
      </c>
    </row>
    <row r="239" spans="1:23" s="1321" customFormat="1" ht="49.9" customHeight="1" thickBot="1" x14ac:dyDescent="0.2">
      <c r="A239" s="1117">
        <v>2008</v>
      </c>
      <c r="B239" s="1117">
        <v>2008</v>
      </c>
      <c r="C239" s="1118" t="s">
        <v>120</v>
      </c>
      <c r="D239" s="1119" t="s">
        <v>121</v>
      </c>
      <c r="E239" s="1120" t="s">
        <v>5188</v>
      </c>
      <c r="F239" s="1141"/>
      <c r="G239" s="1121">
        <v>16776</v>
      </c>
      <c r="H239" s="1122">
        <v>15045.35</v>
      </c>
      <c r="I239" s="1123">
        <v>39689</v>
      </c>
      <c r="J239" s="1124">
        <v>62</v>
      </c>
      <c r="K239" s="1125">
        <f t="shared" si="26"/>
        <v>39751</v>
      </c>
      <c r="L239" s="1133" t="s">
        <v>124</v>
      </c>
      <c r="M239" s="1123">
        <v>39731</v>
      </c>
      <c r="N239" s="1124">
        <f>IF(M239="","",+M239-K239)</f>
        <v>-20</v>
      </c>
      <c r="O239" s="1123"/>
      <c r="P239" s="1132">
        <v>39756</v>
      </c>
      <c r="Q239" s="1123">
        <f>+P239+40+10</f>
        <v>39806</v>
      </c>
      <c r="R239" s="1124">
        <f t="shared" si="22"/>
        <v>117</v>
      </c>
      <c r="S239" s="1128" t="s">
        <v>6234</v>
      </c>
      <c r="T239" s="1140"/>
      <c r="U239" s="1141" t="str">
        <f t="shared" si="23"/>
        <v>en término</v>
      </c>
      <c r="V239" s="1130" t="str">
        <f t="shared" si="24"/>
        <v>Octubre</v>
      </c>
      <c r="W239" s="1128">
        <f t="shared" si="25"/>
        <v>1</v>
      </c>
    </row>
    <row r="240" spans="1:23" s="1321" customFormat="1" ht="49.9" customHeight="1" thickBot="1" x14ac:dyDescent="0.2">
      <c r="A240" s="1117">
        <v>2008</v>
      </c>
      <c r="B240" s="1117">
        <v>2008</v>
      </c>
      <c r="C240" s="1118" t="s">
        <v>5265</v>
      </c>
      <c r="D240" s="1119" t="s">
        <v>5280</v>
      </c>
      <c r="E240" s="1120" t="s">
        <v>5316</v>
      </c>
      <c r="F240" s="1141"/>
      <c r="G240" s="1121" t="s">
        <v>5317</v>
      </c>
      <c r="H240" s="1122">
        <v>5141.75</v>
      </c>
      <c r="I240" s="1123">
        <v>39729</v>
      </c>
      <c r="J240" s="1124">
        <v>30</v>
      </c>
      <c r="K240" s="1125">
        <f t="shared" si="26"/>
        <v>39759</v>
      </c>
      <c r="L240" s="1133" t="s">
        <v>124</v>
      </c>
      <c r="M240" s="1123">
        <v>39749</v>
      </c>
      <c r="N240" s="1124">
        <f>IF(M240="","",+M240-K240)</f>
        <v>-10</v>
      </c>
      <c r="O240" s="1123"/>
      <c r="P240" s="1132">
        <v>39763</v>
      </c>
      <c r="Q240" s="1123">
        <v>39794</v>
      </c>
      <c r="R240" s="1124">
        <f t="shared" si="22"/>
        <v>65</v>
      </c>
      <c r="S240" s="1128" t="s">
        <v>6235</v>
      </c>
      <c r="T240" s="1140"/>
      <c r="U240" s="1141" t="str">
        <f t="shared" si="23"/>
        <v>en término</v>
      </c>
      <c r="V240" s="1130" t="str">
        <f t="shared" si="24"/>
        <v>Octubre</v>
      </c>
      <c r="W240" s="1128">
        <f t="shared" si="25"/>
        <v>1</v>
      </c>
    </row>
    <row r="241" spans="1:23" s="1321" customFormat="1" ht="49.9" customHeight="1" thickBot="1" x14ac:dyDescent="0.2">
      <c r="A241" s="1117">
        <v>2008</v>
      </c>
      <c r="B241" s="1117">
        <v>2008</v>
      </c>
      <c r="C241" s="1118" t="s">
        <v>5831</v>
      </c>
      <c r="D241" s="1119" t="s">
        <v>5832</v>
      </c>
      <c r="E241" s="1120" t="s">
        <v>5893</v>
      </c>
      <c r="F241" s="1141"/>
      <c r="G241" s="1121" t="s">
        <v>5894</v>
      </c>
      <c r="H241" s="1122">
        <v>1560</v>
      </c>
      <c r="I241" s="1123">
        <v>39756</v>
      </c>
      <c r="J241" s="1124">
        <v>35</v>
      </c>
      <c r="K241" s="1125">
        <f t="shared" si="26"/>
        <v>39791</v>
      </c>
      <c r="L241" s="1133" t="s">
        <v>124</v>
      </c>
      <c r="M241" s="1123">
        <v>39784</v>
      </c>
      <c r="N241" s="1124">
        <f>IF(M241="","",+M241-K241)</f>
        <v>-7</v>
      </c>
      <c r="O241" s="1123">
        <v>39794</v>
      </c>
      <c r="P241" s="1132">
        <v>39794</v>
      </c>
      <c r="Q241" s="1123">
        <f>+P241+5</f>
        <v>39799</v>
      </c>
      <c r="R241" s="1124">
        <f t="shared" si="22"/>
        <v>43</v>
      </c>
      <c r="S241" s="1128" t="s">
        <v>6236</v>
      </c>
      <c r="T241" s="1140"/>
      <c r="U241" s="1141" t="str">
        <f t="shared" si="23"/>
        <v>en término</v>
      </c>
      <c r="V241" s="1130" t="str">
        <f t="shared" si="24"/>
        <v>Diciembre</v>
      </c>
      <c r="W241" s="1128">
        <f t="shared" si="25"/>
        <v>1</v>
      </c>
    </row>
    <row r="242" spans="1:23" s="1321" customFormat="1" ht="49.9" customHeight="1" thickBot="1" x14ac:dyDescent="0.2">
      <c r="A242" s="1117">
        <v>2008</v>
      </c>
      <c r="B242" s="1117">
        <v>2008</v>
      </c>
      <c r="C242" s="1118" t="s">
        <v>5366</v>
      </c>
      <c r="D242" s="1119" t="s">
        <v>5382</v>
      </c>
      <c r="E242" s="1120" t="s">
        <v>5397</v>
      </c>
      <c r="F242" s="1141"/>
      <c r="G242" s="1121" t="s">
        <v>5398</v>
      </c>
      <c r="H242" s="1122">
        <v>2370</v>
      </c>
      <c r="I242" s="1123">
        <v>39427</v>
      </c>
      <c r="J242" s="1124">
        <v>30</v>
      </c>
      <c r="K242" s="1125">
        <f t="shared" si="26"/>
        <v>39457</v>
      </c>
      <c r="L242" s="1133" t="s">
        <v>124</v>
      </c>
      <c r="M242" s="1123">
        <v>39451</v>
      </c>
      <c r="N242" s="1124">
        <f>IF(P242="","",+P242-K242)</f>
        <v>2</v>
      </c>
      <c r="O242" s="1123">
        <v>39455</v>
      </c>
      <c r="P242" s="1132">
        <v>39459</v>
      </c>
      <c r="Q242" s="1123">
        <f>+P242+41</f>
        <v>39500</v>
      </c>
      <c r="R242" s="1124">
        <f t="shared" si="22"/>
        <v>73</v>
      </c>
      <c r="S242" s="1128" t="s">
        <v>6237</v>
      </c>
      <c r="T242" s="1140" t="s">
        <v>5402</v>
      </c>
      <c r="U242" s="1141" t="str">
        <f t="shared" si="23"/>
        <v>atrasado</v>
      </c>
      <c r="V242" s="1130" t="str">
        <f t="shared" si="24"/>
        <v>Enero</v>
      </c>
      <c r="W242" s="1128">
        <f t="shared" si="25"/>
        <v>0</v>
      </c>
    </row>
    <row r="243" spans="1:23" s="1321" customFormat="1" ht="49.9" customHeight="1" thickBot="1" x14ac:dyDescent="0.2">
      <c r="A243" s="1117">
        <v>2008</v>
      </c>
      <c r="B243" s="1117">
        <v>2008</v>
      </c>
      <c r="C243" s="1118" t="s">
        <v>5366</v>
      </c>
      <c r="D243" s="1119" t="s">
        <v>5382</v>
      </c>
      <c r="E243" s="1120" t="s">
        <v>5403</v>
      </c>
      <c r="F243" s="1141"/>
      <c r="G243" s="1121" t="s">
        <v>5404</v>
      </c>
      <c r="H243" s="1122">
        <v>615.9</v>
      </c>
      <c r="I243" s="1123">
        <v>39605</v>
      </c>
      <c r="J243" s="1124">
        <v>21</v>
      </c>
      <c r="K243" s="1125">
        <f t="shared" si="26"/>
        <v>39626</v>
      </c>
      <c r="L243" s="1133" t="s">
        <v>124</v>
      </c>
      <c r="M243" s="1123">
        <v>39619</v>
      </c>
      <c r="N243" s="1124">
        <f>IF(P243="","",+P243-K243)</f>
        <v>6</v>
      </c>
      <c r="O243" s="1123"/>
      <c r="P243" s="1132">
        <v>39632</v>
      </c>
      <c r="Q243" s="1123">
        <f>+P243+20</f>
        <v>39652</v>
      </c>
      <c r="R243" s="1124">
        <f t="shared" si="22"/>
        <v>47</v>
      </c>
      <c r="S243" s="1128" t="s">
        <v>5405</v>
      </c>
      <c r="T243" s="1140"/>
      <c r="U243" s="1141" t="str">
        <f t="shared" si="23"/>
        <v>atrasado</v>
      </c>
      <c r="V243" s="1130" t="str">
        <f t="shared" si="24"/>
        <v>Junio</v>
      </c>
      <c r="W243" s="1128">
        <f t="shared" si="25"/>
        <v>0</v>
      </c>
    </row>
    <row r="244" spans="1:23" s="1321" customFormat="1" ht="49.9" customHeight="1" thickBot="1" x14ac:dyDescent="0.2">
      <c r="A244" s="1143">
        <v>2008</v>
      </c>
      <c r="B244" s="1143">
        <v>2008</v>
      </c>
      <c r="C244" s="1144" t="s">
        <v>5433</v>
      </c>
      <c r="D244" s="1145" t="s">
        <v>5434</v>
      </c>
      <c r="E244" s="1146" t="s">
        <v>5443</v>
      </c>
      <c r="F244" s="1156"/>
      <c r="G244" s="1147" t="s">
        <v>5444</v>
      </c>
      <c r="H244" s="1148">
        <v>5955</v>
      </c>
      <c r="I244" s="1149">
        <v>39602</v>
      </c>
      <c r="J244" s="1150">
        <v>27</v>
      </c>
      <c r="K244" s="1151">
        <f t="shared" si="26"/>
        <v>39629</v>
      </c>
      <c r="L244" s="1152" t="s">
        <v>5445</v>
      </c>
      <c r="M244" s="1149">
        <v>39629</v>
      </c>
      <c r="N244" s="1150">
        <v>0</v>
      </c>
      <c r="O244" s="1149">
        <v>39629</v>
      </c>
      <c r="P244" s="1153">
        <v>39645</v>
      </c>
      <c r="Q244" s="1149">
        <f>+P244+5</f>
        <v>39650</v>
      </c>
      <c r="R244" s="1150">
        <f t="shared" si="22"/>
        <v>48</v>
      </c>
      <c r="S244" s="1154" t="s">
        <v>5446</v>
      </c>
      <c r="T244" s="1155" t="s">
        <v>6238</v>
      </c>
      <c r="U244" s="1156" t="str">
        <f t="shared" si="23"/>
        <v>en término</v>
      </c>
      <c r="V244" s="1290" t="str">
        <f t="shared" si="24"/>
        <v>Junio</v>
      </c>
      <c r="W244" s="1323">
        <f t="shared" si="25"/>
        <v>1</v>
      </c>
    </row>
    <row r="245" spans="1:23" s="1325" customFormat="1" ht="54.95" customHeight="1" thickTop="1" thickBot="1" x14ac:dyDescent="0.25">
      <c r="A245" s="1157">
        <v>2009</v>
      </c>
      <c r="B245" s="1157">
        <v>2009</v>
      </c>
      <c r="C245" s="1174" t="s">
        <v>36</v>
      </c>
      <c r="D245" s="1175" t="s">
        <v>133</v>
      </c>
      <c r="E245" s="1176" t="s">
        <v>1958</v>
      </c>
      <c r="F245" s="1177" t="s">
        <v>1959</v>
      </c>
      <c r="G245" s="1178">
        <v>4502551591</v>
      </c>
      <c r="H245" s="1179">
        <v>6966.96</v>
      </c>
      <c r="I245" s="1180">
        <v>39780</v>
      </c>
      <c r="J245" s="1181">
        <v>97</v>
      </c>
      <c r="K245" s="1182">
        <f t="shared" si="26"/>
        <v>39877</v>
      </c>
      <c r="L245" s="1180" t="s">
        <v>41</v>
      </c>
      <c r="M245" s="1180">
        <v>39822</v>
      </c>
      <c r="N245" s="1181">
        <f t="shared" ref="N245:N276" si="28">IF(P245="","",+P245-K245)</f>
        <v>-41</v>
      </c>
      <c r="O245" s="1180">
        <v>39833</v>
      </c>
      <c r="P245" s="1183">
        <v>39836</v>
      </c>
      <c r="Q245" s="1184">
        <v>39853</v>
      </c>
      <c r="R245" s="1181">
        <f t="shared" si="22"/>
        <v>73</v>
      </c>
      <c r="S245" s="1177" t="s">
        <v>53</v>
      </c>
      <c r="T245" s="1185"/>
      <c r="U245" s="1186" t="str">
        <f t="shared" si="23"/>
        <v>en término</v>
      </c>
      <c r="V245" s="1130" t="str">
        <f t="shared" si="24"/>
        <v>Enero</v>
      </c>
      <c r="W245" s="1128">
        <f t="shared" si="25"/>
        <v>1</v>
      </c>
    </row>
    <row r="246" spans="1:23" s="1325" customFormat="1" ht="54.95" customHeight="1" thickBot="1" x14ac:dyDescent="0.25">
      <c r="A246" s="1117">
        <v>2009</v>
      </c>
      <c r="B246" s="1117">
        <v>2009</v>
      </c>
      <c r="C246" s="1144" t="s">
        <v>36</v>
      </c>
      <c r="D246" s="1145" t="s">
        <v>133</v>
      </c>
      <c r="E246" s="1146" t="s">
        <v>2032</v>
      </c>
      <c r="F246" s="1154" t="s">
        <v>2033</v>
      </c>
      <c r="G246" s="1147">
        <v>4502580769</v>
      </c>
      <c r="H246" s="1148">
        <v>79690.600000000006</v>
      </c>
      <c r="I246" s="1149">
        <v>39798</v>
      </c>
      <c r="J246" s="1150">
        <v>82</v>
      </c>
      <c r="K246" s="1151">
        <f t="shared" si="26"/>
        <v>39880</v>
      </c>
      <c r="L246" s="1149" t="s">
        <v>41</v>
      </c>
      <c r="M246" s="1149">
        <v>39822</v>
      </c>
      <c r="N246" s="1150">
        <f t="shared" si="28"/>
        <v>-44</v>
      </c>
      <c r="O246" s="1149">
        <v>39833</v>
      </c>
      <c r="P246" s="1153">
        <v>39836</v>
      </c>
      <c r="Q246" s="1172">
        <v>39853</v>
      </c>
      <c r="R246" s="1150">
        <f t="shared" si="22"/>
        <v>55</v>
      </c>
      <c r="S246" s="1154" t="s">
        <v>6239</v>
      </c>
      <c r="T246" s="1187"/>
      <c r="U246" s="1188" t="str">
        <f t="shared" si="23"/>
        <v>en término</v>
      </c>
      <c r="V246" s="1130" t="str">
        <f t="shared" si="24"/>
        <v>Enero</v>
      </c>
      <c r="W246" s="1128">
        <f t="shared" si="25"/>
        <v>1</v>
      </c>
    </row>
    <row r="247" spans="1:23" s="1325" customFormat="1" ht="54.95" customHeight="1" thickBot="1" x14ac:dyDescent="0.25">
      <c r="A247" s="1117">
        <v>2009</v>
      </c>
      <c r="B247" s="1117">
        <v>2009</v>
      </c>
      <c r="C247" s="1118" t="s">
        <v>36</v>
      </c>
      <c r="D247" s="1119" t="s">
        <v>37</v>
      </c>
      <c r="E247" s="1120" t="s">
        <v>1989</v>
      </c>
      <c r="F247" s="1141" t="s">
        <v>2035</v>
      </c>
      <c r="G247" s="1121">
        <v>8110005</v>
      </c>
      <c r="H247" s="1122">
        <f>21099+100</f>
        <v>21199</v>
      </c>
      <c r="I247" s="1123">
        <v>39758</v>
      </c>
      <c r="J247" s="1124">
        <v>75</v>
      </c>
      <c r="K247" s="1125">
        <f t="shared" si="26"/>
        <v>39833</v>
      </c>
      <c r="L247" s="1123" t="s">
        <v>41</v>
      </c>
      <c r="M247" s="1123">
        <v>39822</v>
      </c>
      <c r="N247" s="1124">
        <f t="shared" si="28"/>
        <v>3</v>
      </c>
      <c r="O247" s="1171">
        <v>39833</v>
      </c>
      <c r="P247" s="1172">
        <v>39836</v>
      </c>
      <c r="Q247" s="1172">
        <v>39853</v>
      </c>
      <c r="R247" s="1124">
        <f t="shared" si="22"/>
        <v>95</v>
      </c>
      <c r="S247" s="1128" t="s">
        <v>6215</v>
      </c>
      <c r="T247" s="1131"/>
      <c r="U247" s="1128" t="str">
        <f t="shared" si="23"/>
        <v>atrasado</v>
      </c>
      <c r="V247" s="1130" t="str">
        <f t="shared" si="24"/>
        <v>Enero</v>
      </c>
      <c r="W247" s="1128">
        <f t="shared" si="25"/>
        <v>0</v>
      </c>
    </row>
    <row r="248" spans="1:23" s="1325" customFormat="1" ht="54.95" customHeight="1" thickBot="1" x14ac:dyDescent="0.25">
      <c r="A248" s="1117">
        <v>2009</v>
      </c>
      <c r="B248" s="1117">
        <v>2009</v>
      </c>
      <c r="C248" s="1144" t="s">
        <v>36</v>
      </c>
      <c r="D248" s="1145" t="s">
        <v>37</v>
      </c>
      <c r="E248" s="1146" t="s">
        <v>1989</v>
      </c>
      <c r="F248" s="1156" t="s">
        <v>2038</v>
      </c>
      <c r="G248" s="1147">
        <v>8110004</v>
      </c>
      <c r="H248" s="1148">
        <v>9615</v>
      </c>
      <c r="I248" s="1149">
        <v>39758</v>
      </c>
      <c r="J248" s="1150">
        <v>88</v>
      </c>
      <c r="K248" s="1151">
        <f t="shared" si="26"/>
        <v>39846</v>
      </c>
      <c r="L248" s="1149" t="s">
        <v>41</v>
      </c>
      <c r="M248" s="1149">
        <v>39822</v>
      </c>
      <c r="N248" s="1150">
        <f t="shared" si="28"/>
        <v>-10</v>
      </c>
      <c r="O248" s="1171">
        <v>39833</v>
      </c>
      <c r="P248" s="1172">
        <v>39836</v>
      </c>
      <c r="Q248" s="1172">
        <v>39853</v>
      </c>
      <c r="R248" s="1124">
        <f t="shared" si="22"/>
        <v>95</v>
      </c>
      <c r="S248" s="1154" t="s">
        <v>6240</v>
      </c>
      <c r="T248" s="1173"/>
      <c r="U248" s="1154" t="str">
        <f t="shared" si="23"/>
        <v>en término</v>
      </c>
      <c r="V248" s="1130" t="str">
        <f t="shared" si="24"/>
        <v>Enero</v>
      </c>
      <c r="W248" s="1128">
        <f t="shared" si="25"/>
        <v>1</v>
      </c>
    </row>
    <row r="249" spans="1:23" s="1325" customFormat="1" ht="54.95" customHeight="1" thickBot="1" x14ac:dyDescent="0.25">
      <c r="A249" s="1117">
        <v>2009</v>
      </c>
      <c r="B249" s="1117">
        <v>2009</v>
      </c>
      <c r="C249" s="1144" t="s">
        <v>36</v>
      </c>
      <c r="D249" s="1145" t="s">
        <v>37</v>
      </c>
      <c r="E249" s="1146" t="s">
        <v>1989</v>
      </c>
      <c r="F249" s="1156" t="s">
        <v>2040</v>
      </c>
      <c r="G249" s="1147">
        <v>8110007</v>
      </c>
      <c r="H249" s="1148">
        <v>9615</v>
      </c>
      <c r="I249" s="1149">
        <v>39771</v>
      </c>
      <c r="J249" s="1150">
        <v>92</v>
      </c>
      <c r="K249" s="1151">
        <f t="shared" ref="K249:K280" si="29">+I249+J249</f>
        <v>39863</v>
      </c>
      <c r="L249" s="1149" t="s">
        <v>41</v>
      </c>
      <c r="M249" s="1149">
        <v>39822</v>
      </c>
      <c r="N249" s="1150">
        <f t="shared" si="28"/>
        <v>-27</v>
      </c>
      <c r="O249" s="1171">
        <v>39833</v>
      </c>
      <c r="P249" s="1172">
        <v>39836</v>
      </c>
      <c r="Q249" s="1172">
        <v>39853</v>
      </c>
      <c r="R249" s="1124">
        <f t="shared" si="22"/>
        <v>82</v>
      </c>
      <c r="S249" s="1154" t="s">
        <v>6240</v>
      </c>
      <c r="T249" s="1173"/>
      <c r="U249" s="1154" t="str">
        <f t="shared" si="23"/>
        <v>en término</v>
      </c>
      <c r="V249" s="1130" t="str">
        <f t="shared" si="24"/>
        <v>Enero</v>
      </c>
      <c r="W249" s="1128">
        <f t="shared" si="25"/>
        <v>1</v>
      </c>
    </row>
    <row r="250" spans="1:23" s="1325" customFormat="1" ht="54.95" customHeight="1" thickBot="1" x14ac:dyDescent="0.25">
      <c r="A250" s="1117">
        <v>2009</v>
      </c>
      <c r="B250" s="1117">
        <v>2009</v>
      </c>
      <c r="C250" s="1144" t="s">
        <v>36</v>
      </c>
      <c r="D250" s="1145" t="s">
        <v>37</v>
      </c>
      <c r="E250" s="1146" t="s">
        <v>1989</v>
      </c>
      <c r="F250" s="1156" t="s">
        <v>2045</v>
      </c>
      <c r="G250" s="1147">
        <v>8120001</v>
      </c>
      <c r="H250" s="1148">
        <v>21099</v>
      </c>
      <c r="I250" s="1149">
        <v>39783</v>
      </c>
      <c r="J250" s="1150">
        <v>89</v>
      </c>
      <c r="K250" s="1151">
        <f t="shared" si="29"/>
        <v>39872</v>
      </c>
      <c r="L250" s="1149" t="s">
        <v>41</v>
      </c>
      <c r="M250" s="1149">
        <v>39864</v>
      </c>
      <c r="N250" s="1150">
        <f t="shared" si="28"/>
        <v>0</v>
      </c>
      <c r="O250" s="1171">
        <v>39869</v>
      </c>
      <c r="P250" s="1172">
        <v>39872</v>
      </c>
      <c r="Q250" s="1172">
        <v>39874</v>
      </c>
      <c r="R250" s="1150">
        <f t="shared" si="22"/>
        <v>91</v>
      </c>
      <c r="S250" s="1154" t="s">
        <v>6215</v>
      </c>
      <c r="T250" s="1173"/>
      <c r="U250" s="1154" t="str">
        <f t="shared" si="23"/>
        <v>en término</v>
      </c>
      <c r="V250" s="1130" t="str">
        <f t="shared" si="24"/>
        <v>Febrero</v>
      </c>
      <c r="W250" s="1128">
        <f t="shared" si="25"/>
        <v>1</v>
      </c>
    </row>
    <row r="251" spans="1:23" s="1325" customFormat="1" ht="54.95" customHeight="1" thickBot="1" x14ac:dyDescent="0.25">
      <c r="A251" s="1117">
        <v>2009</v>
      </c>
      <c r="B251" s="1117">
        <v>2009</v>
      </c>
      <c r="C251" s="1118" t="s">
        <v>36</v>
      </c>
      <c r="D251" s="1119" t="s">
        <v>133</v>
      </c>
      <c r="E251" s="1120" t="s">
        <v>1958</v>
      </c>
      <c r="F251" s="1128" t="s">
        <v>1959</v>
      </c>
      <c r="G251" s="1121">
        <v>4502612785</v>
      </c>
      <c r="H251" s="1122">
        <v>9164.42</v>
      </c>
      <c r="I251" s="1123">
        <v>39822</v>
      </c>
      <c r="J251" s="1124">
        <v>97</v>
      </c>
      <c r="K251" s="1125">
        <f t="shared" si="29"/>
        <v>39919</v>
      </c>
      <c r="L251" s="1123" t="s">
        <v>41</v>
      </c>
      <c r="M251" s="1123">
        <v>39885</v>
      </c>
      <c r="N251" s="1124">
        <f t="shared" si="28"/>
        <v>-27</v>
      </c>
      <c r="O251" s="1123">
        <v>39890</v>
      </c>
      <c r="P251" s="1132">
        <v>39892</v>
      </c>
      <c r="Q251" s="1127">
        <v>39909</v>
      </c>
      <c r="R251" s="1124">
        <f t="shared" si="22"/>
        <v>87</v>
      </c>
      <c r="S251" s="1128" t="s">
        <v>53</v>
      </c>
      <c r="T251" s="1129"/>
      <c r="U251" s="1130" t="str">
        <f t="shared" si="23"/>
        <v>en término</v>
      </c>
      <c r="V251" s="1130" t="str">
        <f t="shared" si="24"/>
        <v>Marzo</v>
      </c>
      <c r="W251" s="1128">
        <f t="shared" si="25"/>
        <v>1</v>
      </c>
    </row>
    <row r="252" spans="1:23" s="1325" customFormat="1" ht="54.95" customHeight="1" thickBot="1" x14ac:dyDescent="0.25">
      <c r="A252" s="1117">
        <v>2009</v>
      </c>
      <c r="B252" s="1117">
        <v>2009</v>
      </c>
      <c r="C252" s="1144" t="s">
        <v>36</v>
      </c>
      <c r="D252" s="1145" t="s">
        <v>133</v>
      </c>
      <c r="E252" s="1146" t="s">
        <v>2032</v>
      </c>
      <c r="F252" s="1154" t="s">
        <v>2033</v>
      </c>
      <c r="G252" s="1147">
        <v>4502621321</v>
      </c>
      <c r="H252" s="1148">
        <v>25490</v>
      </c>
      <c r="I252" s="1149">
        <v>39828</v>
      </c>
      <c r="J252" s="1150">
        <v>81</v>
      </c>
      <c r="K252" s="1151">
        <f t="shared" si="29"/>
        <v>39909</v>
      </c>
      <c r="L252" s="1149" t="s">
        <v>41</v>
      </c>
      <c r="M252" s="1149">
        <v>39885</v>
      </c>
      <c r="N252" s="1150">
        <f t="shared" si="28"/>
        <v>-17</v>
      </c>
      <c r="O252" s="1123">
        <v>39890</v>
      </c>
      <c r="P252" s="1132">
        <v>39892</v>
      </c>
      <c r="Q252" s="1127">
        <v>39909</v>
      </c>
      <c r="R252" s="1150">
        <f t="shared" si="22"/>
        <v>81</v>
      </c>
      <c r="S252" s="1154" t="s">
        <v>6241</v>
      </c>
      <c r="T252" s="1187"/>
      <c r="U252" s="1188" t="str">
        <f t="shared" si="23"/>
        <v>en término</v>
      </c>
      <c r="V252" s="1130" t="str">
        <f t="shared" si="24"/>
        <v>Marzo</v>
      </c>
      <c r="W252" s="1128">
        <f t="shared" si="25"/>
        <v>1</v>
      </c>
    </row>
    <row r="253" spans="1:23" s="1325" customFormat="1" ht="54.95" customHeight="1" thickBot="1" x14ac:dyDescent="0.25">
      <c r="A253" s="1117">
        <v>2009</v>
      </c>
      <c r="B253" s="1117">
        <v>2009</v>
      </c>
      <c r="C253" s="1118" t="s">
        <v>36</v>
      </c>
      <c r="D253" s="1145" t="s">
        <v>37</v>
      </c>
      <c r="E253" s="1120" t="s">
        <v>2052</v>
      </c>
      <c r="F253" s="1128" t="s">
        <v>2053</v>
      </c>
      <c r="G253" s="1121">
        <v>8120002</v>
      </c>
      <c r="H253" s="1122">
        <v>96640</v>
      </c>
      <c r="I253" s="1123">
        <v>39791</v>
      </c>
      <c r="J253" s="1124">
        <v>122</v>
      </c>
      <c r="K253" s="1125">
        <f t="shared" si="29"/>
        <v>39913</v>
      </c>
      <c r="L253" s="1123" t="s">
        <v>41</v>
      </c>
      <c r="M253" s="1123">
        <v>39885</v>
      </c>
      <c r="N253" s="1124">
        <f t="shared" si="28"/>
        <v>-21</v>
      </c>
      <c r="O253" s="1123">
        <v>39890</v>
      </c>
      <c r="P253" s="1132">
        <v>39892</v>
      </c>
      <c r="Q253" s="1127">
        <v>39909</v>
      </c>
      <c r="R253" s="1124">
        <f t="shared" si="22"/>
        <v>118</v>
      </c>
      <c r="S253" s="1128" t="s">
        <v>2054</v>
      </c>
      <c r="T253" s="1129"/>
      <c r="U253" s="1130" t="str">
        <f t="shared" si="23"/>
        <v>en término</v>
      </c>
      <c r="V253" s="1130" t="str">
        <f t="shared" si="24"/>
        <v>Marzo</v>
      </c>
      <c r="W253" s="1128">
        <f t="shared" si="25"/>
        <v>1</v>
      </c>
    </row>
    <row r="254" spans="1:23" s="1325" customFormat="1" ht="54.95" customHeight="1" thickBot="1" x14ac:dyDescent="0.25">
      <c r="A254" s="1117">
        <v>2009</v>
      </c>
      <c r="B254" s="1117">
        <v>2009</v>
      </c>
      <c r="C254" s="1144" t="s">
        <v>36</v>
      </c>
      <c r="D254" s="1145" t="s">
        <v>37</v>
      </c>
      <c r="E254" s="1146" t="s">
        <v>1989</v>
      </c>
      <c r="F254" s="1156" t="s">
        <v>2056</v>
      </c>
      <c r="G254" s="1147">
        <v>9010001</v>
      </c>
      <c r="H254" s="1148">
        <v>7515.6</v>
      </c>
      <c r="I254" s="1149">
        <v>39811</v>
      </c>
      <c r="J254" s="1150">
        <v>89</v>
      </c>
      <c r="K254" s="1151">
        <f t="shared" si="29"/>
        <v>39900</v>
      </c>
      <c r="L254" s="1149" t="s">
        <v>41</v>
      </c>
      <c r="M254" s="1149">
        <v>39885</v>
      </c>
      <c r="N254" s="1150">
        <f t="shared" si="28"/>
        <v>-8</v>
      </c>
      <c r="O254" s="1123">
        <v>39890</v>
      </c>
      <c r="P254" s="1132">
        <v>39892</v>
      </c>
      <c r="Q254" s="1127">
        <v>39909</v>
      </c>
      <c r="R254" s="1150">
        <f t="shared" si="22"/>
        <v>98</v>
      </c>
      <c r="S254" s="1154" t="s">
        <v>6242</v>
      </c>
      <c r="T254" s="1173"/>
      <c r="U254" s="1154" t="str">
        <f t="shared" si="23"/>
        <v>en término</v>
      </c>
      <c r="V254" s="1130" t="str">
        <f t="shared" si="24"/>
        <v>Marzo</v>
      </c>
      <c r="W254" s="1128">
        <f t="shared" si="25"/>
        <v>1</v>
      </c>
    </row>
    <row r="255" spans="1:23" s="1325" customFormat="1" ht="54.95" customHeight="1" thickBot="1" x14ac:dyDescent="0.25">
      <c r="A255" s="1117">
        <v>2009</v>
      </c>
      <c r="B255" s="1117">
        <v>2009</v>
      </c>
      <c r="C255" s="1118" t="s">
        <v>36</v>
      </c>
      <c r="D255" s="1145" t="s">
        <v>37</v>
      </c>
      <c r="E255" s="1120" t="s">
        <v>2058</v>
      </c>
      <c r="F255" s="1128" t="s">
        <v>2059</v>
      </c>
      <c r="G255" s="1121">
        <v>9010004</v>
      </c>
      <c r="H255" s="1122">
        <v>34880</v>
      </c>
      <c r="I255" s="1123">
        <v>39798</v>
      </c>
      <c r="J255" s="1124">
        <v>117</v>
      </c>
      <c r="K255" s="1125">
        <f t="shared" si="29"/>
        <v>39915</v>
      </c>
      <c r="L255" s="1123" t="s">
        <v>41</v>
      </c>
      <c r="M255" s="1123">
        <v>39885</v>
      </c>
      <c r="N255" s="1124">
        <f t="shared" si="28"/>
        <v>-23</v>
      </c>
      <c r="O255" s="1123">
        <v>39890</v>
      </c>
      <c r="P255" s="1132">
        <v>39892</v>
      </c>
      <c r="Q255" s="1127">
        <v>39909</v>
      </c>
      <c r="R255" s="1124">
        <f t="shared" si="22"/>
        <v>111</v>
      </c>
      <c r="S255" s="1128" t="s">
        <v>879</v>
      </c>
      <c r="T255" s="1129"/>
      <c r="U255" s="1130" t="str">
        <f t="shared" si="23"/>
        <v>en término</v>
      </c>
      <c r="V255" s="1130" t="str">
        <f t="shared" si="24"/>
        <v>Marzo</v>
      </c>
      <c r="W255" s="1128">
        <f t="shared" si="25"/>
        <v>1</v>
      </c>
    </row>
    <row r="256" spans="1:23" s="1325" customFormat="1" ht="54.95" customHeight="1" thickBot="1" x14ac:dyDescent="0.25">
      <c r="A256" s="1117">
        <v>2009</v>
      </c>
      <c r="B256" s="1117">
        <v>2009</v>
      </c>
      <c r="C256" s="1118" t="s">
        <v>36</v>
      </c>
      <c r="D256" s="1119" t="s">
        <v>37</v>
      </c>
      <c r="E256" s="1120" t="s">
        <v>1989</v>
      </c>
      <c r="F256" s="1141" t="s">
        <v>2060</v>
      </c>
      <c r="G256" s="1121">
        <v>9010002</v>
      </c>
      <c r="H256" s="1122">
        <v>28100</v>
      </c>
      <c r="I256" s="1123">
        <v>39828</v>
      </c>
      <c r="J256" s="1124">
        <v>90</v>
      </c>
      <c r="K256" s="1125">
        <f t="shared" si="29"/>
        <v>39918</v>
      </c>
      <c r="L256" s="1123" t="s">
        <v>41</v>
      </c>
      <c r="M256" s="1123">
        <v>39885</v>
      </c>
      <c r="N256" s="1124">
        <f t="shared" si="28"/>
        <v>-26</v>
      </c>
      <c r="O256" s="1123">
        <v>39890</v>
      </c>
      <c r="P256" s="1132">
        <v>39892</v>
      </c>
      <c r="Q256" s="1127">
        <v>39909</v>
      </c>
      <c r="R256" s="1124">
        <f t="shared" si="22"/>
        <v>81</v>
      </c>
      <c r="S256" s="1128" t="s">
        <v>6243</v>
      </c>
      <c r="T256" s="1131"/>
      <c r="U256" s="1128" t="str">
        <f t="shared" si="23"/>
        <v>en término</v>
      </c>
      <c r="V256" s="1130" t="str">
        <f t="shared" si="24"/>
        <v>Marzo</v>
      </c>
      <c r="W256" s="1128">
        <f t="shared" si="25"/>
        <v>1</v>
      </c>
    </row>
    <row r="257" spans="1:23" s="1325" customFormat="1" ht="54.95" customHeight="1" thickBot="1" x14ac:dyDescent="0.25">
      <c r="A257" s="1117">
        <v>2009</v>
      </c>
      <c r="B257" s="1117">
        <v>2009</v>
      </c>
      <c r="C257" s="1118" t="s">
        <v>36</v>
      </c>
      <c r="D257" s="1119" t="s">
        <v>133</v>
      </c>
      <c r="E257" s="1120" t="s">
        <v>2041</v>
      </c>
      <c r="F257" s="1128" t="s">
        <v>2042</v>
      </c>
      <c r="G257" s="1121">
        <v>4502588769</v>
      </c>
      <c r="H257" s="1122">
        <v>138166.35999999999</v>
      </c>
      <c r="I257" s="1123">
        <v>39804</v>
      </c>
      <c r="J257" s="1124">
        <v>115</v>
      </c>
      <c r="K257" s="1125">
        <f t="shared" si="29"/>
        <v>39919</v>
      </c>
      <c r="L257" s="1123" t="s">
        <v>41</v>
      </c>
      <c r="M257" s="1123">
        <v>39926</v>
      </c>
      <c r="N257" s="1124">
        <f t="shared" si="28"/>
        <v>14</v>
      </c>
      <c r="O257" s="1123">
        <v>39901</v>
      </c>
      <c r="P257" s="1132">
        <v>39933</v>
      </c>
      <c r="Q257" s="1127">
        <v>39951</v>
      </c>
      <c r="R257" s="1124">
        <f t="shared" si="22"/>
        <v>147</v>
      </c>
      <c r="S257" s="1128" t="s">
        <v>786</v>
      </c>
      <c r="T257" s="1129"/>
      <c r="U257" s="1130" t="str">
        <f t="shared" si="23"/>
        <v>atrasado</v>
      </c>
      <c r="V257" s="1130" t="str">
        <f t="shared" si="24"/>
        <v>Abril</v>
      </c>
      <c r="W257" s="1128">
        <f t="shared" si="25"/>
        <v>0</v>
      </c>
    </row>
    <row r="258" spans="1:23" s="1325" customFormat="1" ht="54.95" customHeight="1" thickBot="1" x14ac:dyDescent="0.25">
      <c r="A258" s="1117">
        <v>2009</v>
      </c>
      <c r="B258" s="1117">
        <v>2009</v>
      </c>
      <c r="C258" s="1118" t="s">
        <v>36</v>
      </c>
      <c r="D258" s="1119" t="s">
        <v>133</v>
      </c>
      <c r="E258" s="1120" t="s">
        <v>2032</v>
      </c>
      <c r="F258" s="1128" t="s">
        <v>2033</v>
      </c>
      <c r="G258" s="1121">
        <v>4502669845</v>
      </c>
      <c r="H258" s="1122">
        <v>58731.360000000001</v>
      </c>
      <c r="I258" s="1123">
        <v>39861</v>
      </c>
      <c r="J258" s="1124">
        <v>78</v>
      </c>
      <c r="K258" s="1125">
        <f t="shared" si="29"/>
        <v>39939</v>
      </c>
      <c r="L258" s="1123" t="s">
        <v>41</v>
      </c>
      <c r="M258" s="1123">
        <v>39926</v>
      </c>
      <c r="N258" s="1124">
        <f t="shared" si="28"/>
        <v>-6</v>
      </c>
      <c r="O258" s="1123">
        <v>39901</v>
      </c>
      <c r="P258" s="1132">
        <v>39933</v>
      </c>
      <c r="Q258" s="1127">
        <v>39951</v>
      </c>
      <c r="R258" s="1124">
        <f t="shared" ref="R258:R321" si="30">IF(Q258="","",+Q258-I258)</f>
        <v>90</v>
      </c>
      <c r="S258" s="1128" t="s">
        <v>6244</v>
      </c>
      <c r="T258" s="1129"/>
      <c r="U258" s="1130" t="str">
        <f t="shared" ref="U258:U321" si="31">IF(N258="","",IF(N258&lt;=0,"en término","atrasado"))</f>
        <v>en término</v>
      </c>
      <c r="V258" s="1130" t="str">
        <f t="shared" ref="V258:V321" si="32">VLOOKUP(MONTH(M258),$Y$66:$Z$77,2,FALSE)</f>
        <v>Abril</v>
      </c>
      <c r="W258" s="1128">
        <f t="shared" ref="W258:W321" si="33">+IF(U258="atrasado",0)+IF(U258="en término",1)</f>
        <v>1</v>
      </c>
    </row>
    <row r="259" spans="1:23" s="1325" customFormat="1" ht="54.95" customHeight="1" thickBot="1" x14ac:dyDescent="0.25">
      <c r="A259" s="1117">
        <v>2009</v>
      </c>
      <c r="B259" s="1117">
        <v>2009</v>
      </c>
      <c r="C259" s="1118" t="s">
        <v>36</v>
      </c>
      <c r="D259" s="1119" t="s">
        <v>37</v>
      </c>
      <c r="E259" s="1120" t="s">
        <v>2068</v>
      </c>
      <c r="F259" s="1128" t="s">
        <v>2069</v>
      </c>
      <c r="G259" s="1121">
        <v>9010003</v>
      </c>
      <c r="H259" s="1122">
        <f>115900+27000</f>
        <v>142900</v>
      </c>
      <c r="I259" s="1123">
        <v>39832</v>
      </c>
      <c r="J259" s="1124">
        <v>112</v>
      </c>
      <c r="K259" s="1125">
        <f t="shared" si="29"/>
        <v>39944</v>
      </c>
      <c r="L259" s="1123" t="s">
        <v>41</v>
      </c>
      <c r="M259" s="1123">
        <v>39926</v>
      </c>
      <c r="N259" s="1124">
        <f t="shared" si="28"/>
        <v>-11</v>
      </c>
      <c r="O259" s="1123">
        <v>39901</v>
      </c>
      <c r="P259" s="1132">
        <v>39933</v>
      </c>
      <c r="Q259" s="1127">
        <v>39951</v>
      </c>
      <c r="R259" s="1124">
        <f t="shared" si="30"/>
        <v>119</v>
      </c>
      <c r="S259" s="1128" t="s">
        <v>2070</v>
      </c>
      <c r="T259" s="1129"/>
      <c r="U259" s="1130" t="str">
        <f t="shared" si="31"/>
        <v>en término</v>
      </c>
      <c r="V259" s="1130" t="str">
        <f t="shared" si="32"/>
        <v>Abril</v>
      </c>
      <c r="W259" s="1128">
        <f t="shared" si="33"/>
        <v>1</v>
      </c>
    </row>
    <row r="260" spans="1:23" s="1325" customFormat="1" ht="54.95" customHeight="1" thickBot="1" x14ac:dyDescent="0.25">
      <c r="A260" s="1117">
        <v>2009</v>
      </c>
      <c r="B260" s="1117">
        <v>2009</v>
      </c>
      <c r="C260" s="1118" t="s">
        <v>36</v>
      </c>
      <c r="D260" s="1119" t="s">
        <v>37</v>
      </c>
      <c r="E260" s="1120" t="s">
        <v>1989</v>
      </c>
      <c r="F260" s="1141" t="s">
        <v>2072</v>
      </c>
      <c r="G260" s="1121">
        <v>9020001</v>
      </c>
      <c r="H260" s="1122">
        <v>4226.6000000000004</v>
      </c>
      <c r="I260" s="1123">
        <v>39847</v>
      </c>
      <c r="J260" s="1124">
        <v>89</v>
      </c>
      <c r="K260" s="1125">
        <f t="shared" si="29"/>
        <v>39936</v>
      </c>
      <c r="L260" s="1123" t="s">
        <v>41</v>
      </c>
      <c r="M260" s="1123">
        <v>39926</v>
      </c>
      <c r="N260" s="1124">
        <f t="shared" si="28"/>
        <v>-3</v>
      </c>
      <c r="O260" s="1123">
        <v>39901</v>
      </c>
      <c r="P260" s="1132">
        <v>39933</v>
      </c>
      <c r="Q260" s="1127">
        <v>39951</v>
      </c>
      <c r="R260" s="1124">
        <f t="shared" si="30"/>
        <v>104</v>
      </c>
      <c r="S260" s="1128" t="s">
        <v>6245</v>
      </c>
      <c r="T260" s="1131"/>
      <c r="U260" s="1128" t="str">
        <f t="shared" si="31"/>
        <v>en término</v>
      </c>
      <c r="V260" s="1130" t="str">
        <f t="shared" si="32"/>
        <v>Abril</v>
      </c>
      <c r="W260" s="1128">
        <f t="shared" si="33"/>
        <v>1</v>
      </c>
    </row>
    <row r="261" spans="1:23" s="1325" customFormat="1" ht="54.95" customHeight="1" thickBot="1" x14ac:dyDescent="0.25">
      <c r="A261" s="1117">
        <v>2009</v>
      </c>
      <c r="B261" s="1117">
        <v>2009</v>
      </c>
      <c r="C261" s="1118" t="s">
        <v>36</v>
      </c>
      <c r="D261" s="1119" t="s">
        <v>37</v>
      </c>
      <c r="E261" s="1120" t="s">
        <v>2074</v>
      </c>
      <c r="F261" s="1141" t="s">
        <v>2075</v>
      </c>
      <c r="G261" s="1121">
        <v>9020003</v>
      </c>
      <c r="H261" s="1122">
        <v>440</v>
      </c>
      <c r="I261" s="1123">
        <v>39849</v>
      </c>
      <c r="J261" s="1124">
        <v>109</v>
      </c>
      <c r="K261" s="1125">
        <f t="shared" si="29"/>
        <v>39958</v>
      </c>
      <c r="L261" s="1123" t="s">
        <v>41</v>
      </c>
      <c r="M261" s="1123">
        <v>39926</v>
      </c>
      <c r="N261" s="1124">
        <f t="shared" si="28"/>
        <v>-25</v>
      </c>
      <c r="O261" s="1123">
        <v>39901</v>
      </c>
      <c r="P261" s="1132">
        <v>39933</v>
      </c>
      <c r="Q261" s="1127">
        <v>39951</v>
      </c>
      <c r="R261" s="1124">
        <f t="shared" si="30"/>
        <v>102</v>
      </c>
      <c r="S261" s="1128" t="s">
        <v>2077</v>
      </c>
      <c r="T261" s="1131"/>
      <c r="U261" s="1128" t="str">
        <f t="shared" si="31"/>
        <v>en término</v>
      </c>
      <c r="V261" s="1130" t="str">
        <f t="shared" si="32"/>
        <v>Abril</v>
      </c>
      <c r="W261" s="1128">
        <f t="shared" si="33"/>
        <v>1</v>
      </c>
    </row>
    <row r="262" spans="1:23" s="1325" customFormat="1" ht="54.95" customHeight="1" thickBot="1" x14ac:dyDescent="0.25">
      <c r="A262" s="1117">
        <v>2009</v>
      </c>
      <c r="B262" s="1117">
        <v>2009</v>
      </c>
      <c r="C262" s="1144" t="s">
        <v>36</v>
      </c>
      <c r="D262" s="1145" t="s">
        <v>37</v>
      </c>
      <c r="E262" s="1146" t="s">
        <v>2078</v>
      </c>
      <c r="F262" s="1156" t="s">
        <v>2079</v>
      </c>
      <c r="G262" s="1147">
        <v>9020002</v>
      </c>
      <c r="H262" s="1148">
        <v>10900</v>
      </c>
      <c r="I262" s="1149">
        <v>39849</v>
      </c>
      <c r="J262" s="1150">
        <v>96</v>
      </c>
      <c r="K262" s="1151">
        <f t="shared" si="29"/>
        <v>39945</v>
      </c>
      <c r="L262" s="1149" t="s">
        <v>41</v>
      </c>
      <c r="M262" s="1149">
        <v>39926</v>
      </c>
      <c r="N262" s="1150">
        <f t="shared" si="28"/>
        <v>-12</v>
      </c>
      <c r="O262" s="1123">
        <v>39901</v>
      </c>
      <c r="P262" s="1132">
        <v>39933</v>
      </c>
      <c r="Q262" s="1127">
        <v>39951</v>
      </c>
      <c r="R262" s="1150">
        <f t="shared" si="30"/>
        <v>102</v>
      </c>
      <c r="S262" s="1154" t="s">
        <v>53</v>
      </c>
      <c r="T262" s="1173"/>
      <c r="U262" s="1154" t="str">
        <f t="shared" si="31"/>
        <v>en término</v>
      </c>
      <c r="V262" s="1130" t="str">
        <f t="shared" si="32"/>
        <v>Abril</v>
      </c>
      <c r="W262" s="1128">
        <f t="shared" si="33"/>
        <v>1</v>
      </c>
    </row>
    <row r="263" spans="1:23" s="1325" customFormat="1" ht="54.95" customHeight="1" thickBot="1" x14ac:dyDescent="0.25">
      <c r="A263" s="1117">
        <v>2009</v>
      </c>
      <c r="B263" s="1117">
        <v>2009</v>
      </c>
      <c r="C263" s="1144" t="s">
        <v>36</v>
      </c>
      <c r="D263" s="1145" t="s">
        <v>37</v>
      </c>
      <c r="E263" s="1146" t="s">
        <v>2080</v>
      </c>
      <c r="F263" s="1156" t="s">
        <v>2081</v>
      </c>
      <c r="G263" s="1147">
        <v>9020004</v>
      </c>
      <c r="H263" s="1148">
        <v>21600</v>
      </c>
      <c r="I263" s="1149">
        <v>39861</v>
      </c>
      <c r="J263" s="1150">
        <v>80</v>
      </c>
      <c r="K263" s="1151">
        <f t="shared" si="29"/>
        <v>39941</v>
      </c>
      <c r="L263" s="1149" t="s">
        <v>41</v>
      </c>
      <c r="M263" s="1149">
        <v>39926</v>
      </c>
      <c r="N263" s="1150">
        <f t="shared" si="28"/>
        <v>-8</v>
      </c>
      <c r="O263" s="1123">
        <v>39901</v>
      </c>
      <c r="P263" s="1132">
        <v>39933</v>
      </c>
      <c r="Q263" s="1127">
        <v>39951</v>
      </c>
      <c r="R263" s="1150">
        <f t="shared" si="30"/>
        <v>90</v>
      </c>
      <c r="S263" s="1154" t="s">
        <v>6246</v>
      </c>
      <c r="T263" s="1173"/>
      <c r="U263" s="1154" t="str">
        <f t="shared" si="31"/>
        <v>en término</v>
      </c>
      <c r="V263" s="1130" t="str">
        <f t="shared" si="32"/>
        <v>Abril</v>
      </c>
      <c r="W263" s="1128">
        <f t="shared" si="33"/>
        <v>1</v>
      </c>
    </row>
    <row r="264" spans="1:23" s="1325" customFormat="1" ht="54.95" customHeight="1" thickBot="1" x14ac:dyDescent="0.25">
      <c r="A264" s="1117">
        <v>2009</v>
      </c>
      <c r="B264" s="1117">
        <v>2009</v>
      </c>
      <c r="C264" s="1144" t="s">
        <v>36</v>
      </c>
      <c r="D264" s="1145" t="s">
        <v>133</v>
      </c>
      <c r="E264" s="1146" t="s">
        <v>2041</v>
      </c>
      <c r="F264" s="1154" t="s">
        <v>2042</v>
      </c>
      <c r="G264" s="1147">
        <v>4502674268</v>
      </c>
      <c r="H264" s="1148">
        <v>154760.06</v>
      </c>
      <c r="I264" s="1149">
        <v>39863</v>
      </c>
      <c r="J264" s="1150">
        <v>95</v>
      </c>
      <c r="K264" s="1151">
        <f t="shared" si="29"/>
        <v>39958</v>
      </c>
      <c r="L264" s="1149" t="s">
        <v>41</v>
      </c>
      <c r="M264" s="1149">
        <v>39938</v>
      </c>
      <c r="N264" s="1150">
        <f t="shared" si="28"/>
        <v>-10</v>
      </c>
      <c r="O264" s="1149">
        <v>39946</v>
      </c>
      <c r="P264" s="1153">
        <v>39948</v>
      </c>
      <c r="Q264" s="1172">
        <v>39965</v>
      </c>
      <c r="R264" s="1150">
        <f t="shared" si="30"/>
        <v>102</v>
      </c>
      <c r="S264" s="1154" t="s">
        <v>1279</v>
      </c>
      <c r="T264" s="1187"/>
      <c r="U264" s="1188" t="str">
        <f t="shared" si="31"/>
        <v>en término</v>
      </c>
      <c r="V264" s="1130" t="str">
        <f t="shared" si="32"/>
        <v>Mayo</v>
      </c>
      <c r="W264" s="1128">
        <f t="shared" si="33"/>
        <v>1</v>
      </c>
    </row>
    <row r="265" spans="1:23" s="1325" customFormat="1" ht="54.95" customHeight="1" thickBot="1" x14ac:dyDescent="0.25">
      <c r="A265" s="1117">
        <v>2009</v>
      </c>
      <c r="B265" s="1117">
        <v>2009</v>
      </c>
      <c r="C265" s="1118" t="s">
        <v>36</v>
      </c>
      <c r="D265" s="1119" t="s">
        <v>37</v>
      </c>
      <c r="E265" s="1120" t="s">
        <v>2085</v>
      </c>
      <c r="F265" s="1141" t="s">
        <v>2086</v>
      </c>
      <c r="G265" s="1121">
        <v>9030001</v>
      </c>
      <c r="H265" s="1122">
        <v>1930</v>
      </c>
      <c r="I265" s="1123">
        <v>39890</v>
      </c>
      <c r="J265" s="1124">
        <v>81</v>
      </c>
      <c r="K265" s="1125">
        <f t="shared" si="29"/>
        <v>39971</v>
      </c>
      <c r="L265" s="1123" t="s">
        <v>41</v>
      </c>
      <c r="M265" s="1123">
        <v>39938</v>
      </c>
      <c r="N265" s="1124">
        <f t="shared" si="28"/>
        <v>-23</v>
      </c>
      <c r="O265" s="1149">
        <v>39946</v>
      </c>
      <c r="P265" s="1153">
        <v>39948</v>
      </c>
      <c r="Q265" s="1172">
        <v>39965</v>
      </c>
      <c r="R265" s="1124">
        <f t="shared" si="30"/>
        <v>75</v>
      </c>
      <c r="S265" s="1128" t="s">
        <v>2087</v>
      </c>
      <c r="T265" s="1131"/>
      <c r="U265" s="1128" t="str">
        <f t="shared" si="31"/>
        <v>en término</v>
      </c>
      <c r="V265" s="1130" t="str">
        <f t="shared" si="32"/>
        <v>Mayo</v>
      </c>
      <c r="W265" s="1128">
        <f t="shared" si="33"/>
        <v>1</v>
      </c>
    </row>
    <row r="266" spans="1:23" s="1325" customFormat="1" ht="54.95" customHeight="1" thickBot="1" x14ac:dyDescent="0.25">
      <c r="A266" s="1117">
        <v>2009</v>
      </c>
      <c r="B266" s="1117">
        <v>2009</v>
      </c>
      <c r="C266" s="1144" t="s">
        <v>36</v>
      </c>
      <c r="D266" s="1145" t="s">
        <v>37</v>
      </c>
      <c r="E266" s="1146" t="s">
        <v>2089</v>
      </c>
      <c r="F266" s="1156" t="s">
        <v>2090</v>
      </c>
      <c r="G266" s="1147">
        <v>9030002</v>
      </c>
      <c r="H266" s="1148">
        <v>2720</v>
      </c>
      <c r="I266" s="1149">
        <v>39890</v>
      </c>
      <c r="J266" s="1150">
        <v>83</v>
      </c>
      <c r="K266" s="1151">
        <f t="shared" si="29"/>
        <v>39973</v>
      </c>
      <c r="L266" s="1149" t="s">
        <v>41</v>
      </c>
      <c r="M266" s="1149">
        <v>39938</v>
      </c>
      <c r="N266" s="1150">
        <f t="shared" si="28"/>
        <v>-25</v>
      </c>
      <c r="O266" s="1149">
        <v>39946</v>
      </c>
      <c r="P266" s="1153">
        <v>39948</v>
      </c>
      <c r="Q266" s="1172">
        <v>39965</v>
      </c>
      <c r="R266" s="1150">
        <f t="shared" si="30"/>
        <v>75</v>
      </c>
      <c r="S266" s="1154" t="s">
        <v>6247</v>
      </c>
      <c r="T266" s="1173"/>
      <c r="U266" s="1154" t="str">
        <f t="shared" si="31"/>
        <v>en término</v>
      </c>
      <c r="V266" s="1130" t="str">
        <f t="shared" si="32"/>
        <v>Mayo</v>
      </c>
      <c r="W266" s="1128">
        <f t="shared" si="33"/>
        <v>1</v>
      </c>
    </row>
    <row r="267" spans="1:23" s="1325" customFormat="1" ht="54.95" customHeight="1" thickBot="1" x14ac:dyDescent="0.25">
      <c r="A267" s="1117">
        <v>2009</v>
      </c>
      <c r="B267" s="1117">
        <v>2009</v>
      </c>
      <c r="C267" s="1144" t="s">
        <v>36</v>
      </c>
      <c r="D267" s="1145" t="s">
        <v>37</v>
      </c>
      <c r="E267" s="1146" t="s">
        <v>2080</v>
      </c>
      <c r="F267" s="1156" t="s">
        <v>2092</v>
      </c>
      <c r="G267" s="1147">
        <v>9030003</v>
      </c>
      <c r="H267" s="1148">
        <v>6750</v>
      </c>
      <c r="I267" s="1149">
        <v>39888</v>
      </c>
      <c r="J267" s="1150">
        <v>90</v>
      </c>
      <c r="K267" s="1151">
        <f t="shared" si="29"/>
        <v>39978</v>
      </c>
      <c r="L267" s="1149" t="s">
        <v>41</v>
      </c>
      <c r="M267" s="1149">
        <v>39938</v>
      </c>
      <c r="N267" s="1150">
        <f t="shared" si="28"/>
        <v>-30</v>
      </c>
      <c r="O267" s="1149">
        <v>39946</v>
      </c>
      <c r="P267" s="1153">
        <v>39948</v>
      </c>
      <c r="Q267" s="1172">
        <v>39965</v>
      </c>
      <c r="R267" s="1150">
        <f t="shared" si="30"/>
        <v>77</v>
      </c>
      <c r="S267" s="1154" t="s">
        <v>6248</v>
      </c>
      <c r="T267" s="1173"/>
      <c r="U267" s="1154" t="str">
        <f t="shared" si="31"/>
        <v>en término</v>
      </c>
      <c r="V267" s="1130" t="str">
        <f t="shared" si="32"/>
        <v>Mayo</v>
      </c>
      <c r="W267" s="1128">
        <f t="shared" si="33"/>
        <v>1</v>
      </c>
    </row>
    <row r="268" spans="1:23" s="1325" customFormat="1" ht="54.95" customHeight="1" thickBot="1" x14ac:dyDescent="0.25">
      <c r="A268" s="1117">
        <v>2009</v>
      </c>
      <c r="B268" s="1117">
        <v>2009</v>
      </c>
      <c r="C268" s="1189" t="s">
        <v>36</v>
      </c>
      <c r="D268" s="1137" t="s">
        <v>133</v>
      </c>
      <c r="E268" s="1120" t="s">
        <v>2032</v>
      </c>
      <c r="F268" s="1128" t="s">
        <v>2033</v>
      </c>
      <c r="G268" s="1121">
        <v>4502785695</v>
      </c>
      <c r="H268" s="1122">
        <v>36071.980000000003</v>
      </c>
      <c r="I268" s="1123">
        <v>39941</v>
      </c>
      <c r="J268" s="1124">
        <v>80</v>
      </c>
      <c r="K268" s="1125">
        <f t="shared" si="29"/>
        <v>40021</v>
      </c>
      <c r="L268" s="1123" t="s">
        <v>41</v>
      </c>
      <c r="M268" s="1123">
        <v>40001</v>
      </c>
      <c r="N268" s="1124">
        <f t="shared" si="28"/>
        <v>-10</v>
      </c>
      <c r="O268" s="1123">
        <v>40009</v>
      </c>
      <c r="P268" s="1132">
        <v>40011</v>
      </c>
      <c r="Q268" s="1127">
        <v>40030</v>
      </c>
      <c r="R268" s="1124">
        <f t="shared" si="30"/>
        <v>89</v>
      </c>
      <c r="S268" s="1128" t="s">
        <v>6249</v>
      </c>
      <c r="T268" s="1129" t="s">
        <v>2103</v>
      </c>
      <c r="U268" s="1130" t="str">
        <f t="shared" si="31"/>
        <v>en término</v>
      </c>
      <c r="V268" s="1130" t="str">
        <f t="shared" si="32"/>
        <v>Julio</v>
      </c>
      <c r="W268" s="1128">
        <f t="shared" si="33"/>
        <v>1</v>
      </c>
    </row>
    <row r="269" spans="1:23" s="1325" customFormat="1" ht="54.95" customHeight="1" thickBot="1" x14ac:dyDescent="0.25">
      <c r="A269" s="1117">
        <v>2009</v>
      </c>
      <c r="B269" s="1117">
        <v>2009</v>
      </c>
      <c r="C269" s="1118" t="s">
        <v>36</v>
      </c>
      <c r="D269" s="1119" t="s">
        <v>133</v>
      </c>
      <c r="E269" s="1120" t="s">
        <v>1958</v>
      </c>
      <c r="F269" s="1128" t="s">
        <v>1959</v>
      </c>
      <c r="G269" s="1121">
        <v>4502786186</v>
      </c>
      <c r="H269" s="1122">
        <v>4042.05</v>
      </c>
      <c r="I269" s="1123">
        <v>39941</v>
      </c>
      <c r="J269" s="1124">
        <v>97</v>
      </c>
      <c r="K269" s="1125">
        <f t="shared" si="29"/>
        <v>40038</v>
      </c>
      <c r="L269" s="1123" t="s">
        <v>41</v>
      </c>
      <c r="M269" s="1123">
        <v>40001</v>
      </c>
      <c r="N269" s="1124">
        <f t="shared" si="28"/>
        <v>-27</v>
      </c>
      <c r="O269" s="1123">
        <v>40009</v>
      </c>
      <c r="P269" s="1132">
        <v>40011</v>
      </c>
      <c r="Q269" s="1127">
        <v>40030</v>
      </c>
      <c r="R269" s="1124">
        <f t="shared" si="30"/>
        <v>89</v>
      </c>
      <c r="S269" s="1128" t="s">
        <v>53</v>
      </c>
      <c r="T269" s="1129" t="s">
        <v>2103</v>
      </c>
      <c r="U269" s="1130" t="str">
        <f t="shared" si="31"/>
        <v>en término</v>
      </c>
      <c r="V269" s="1130" t="str">
        <f t="shared" si="32"/>
        <v>Julio</v>
      </c>
      <c r="W269" s="1128">
        <f t="shared" si="33"/>
        <v>1</v>
      </c>
    </row>
    <row r="270" spans="1:23" s="1325" customFormat="1" ht="54.95" customHeight="1" thickBot="1" x14ac:dyDescent="0.25">
      <c r="A270" s="1117">
        <v>2009</v>
      </c>
      <c r="B270" s="1117">
        <v>2009</v>
      </c>
      <c r="C270" s="1118" t="s">
        <v>36</v>
      </c>
      <c r="D270" s="1119" t="s">
        <v>133</v>
      </c>
      <c r="E270" s="1120" t="s">
        <v>1958</v>
      </c>
      <c r="F270" s="1128" t="s">
        <v>1959</v>
      </c>
      <c r="G270" s="1121">
        <v>4502719981</v>
      </c>
      <c r="H270" s="1122">
        <v>16724.34</v>
      </c>
      <c r="I270" s="1123">
        <v>39898</v>
      </c>
      <c r="J270" s="1124">
        <v>102</v>
      </c>
      <c r="K270" s="1125">
        <f t="shared" si="29"/>
        <v>40000</v>
      </c>
      <c r="L270" s="1123" t="s">
        <v>41</v>
      </c>
      <c r="M270" s="1123">
        <v>40001</v>
      </c>
      <c r="N270" s="1124">
        <f t="shared" si="28"/>
        <v>11</v>
      </c>
      <c r="O270" s="1123">
        <v>40009</v>
      </c>
      <c r="P270" s="1132">
        <v>40011</v>
      </c>
      <c r="Q270" s="1127">
        <v>40030</v>
      </c>
      <c r="R270" s="1124">
        <f t="shared" si="30"/>
        <v>132</v>
      </c>
      <c r="S270" s="1128" t="s">
        <v>53</v>
      </c>
      <c r="T270" s="1129" t="s">
        <v>2103</v>
      </c>
      <c r="U270" s="1130" t="str">
        <f t="shared" si="31"/>
        <v>atrasado</v>
      </c>
      <c r="V270" s="1130" t="str">
        <f t="shared" si="32"/>
        <v>Julio</v>
      </c>
      <c r="W270" s="1128">
        <f t="shared" si="33"/>
        <v>0</v>
      </c>
    </row>
    <row r="271" spans="1:23" s="1325" customFormat="1" ht="54.95" customHeight="1" thickBot="1" x14ac:dyDescent="0.25">
      <c r="A271" s="1117">
        <v>2009</v>
      </c>
      <c r="B271" s="1117">
        <v>2009</v>
      </c>
      <c r="C271" s="1144" t="s">
        <v>36</v>
      </c>
      <c r="D271" s="1145" t="s">
        <v>133</v>
      </c>
      <c r="E271" s="1146" t="s">
        <v>2041</v>
      </c>
      <c r="F271" s="1154" t="s">
        <v>2042</v>
      </c>
      <c r="G271" s="1147">
        <v>4502746887</v>
      </c>
      <c r="H271" s="1148">
        <v>70497.440000000002</v>
      </c>
      <c r="I271" s="1149">
        <v>39916</v>
      </c>
      <c r="J271" s="1150">
        <v>93</v>
      </c>
      <c r="K271" s="1151">
        <f t="shared" si="29"/>
        <v>40009</v>
      </c>
      <c r="L271" s="1149" t="s">
        <v>41</v>
      </c>
      <c r="M271" s="1123">
        <v>40001</v>
      </c>
      <c r="N271" s="1150">
        <f t="shared" si="28"/>
        <v>2</v>
      </c>
      <c r="O271" s="1123">
        <v>40009</v>
      </c>
      <c r="P271" s="1132">
        <v>40011</v>
      </c>
      <c r="Q271" s="1127">
        <v>40030</v>
      </c>
      <c r="R271" s="1150">
        <f t="shared" si="30"/>
        <v>114</v>
      </c>
      <c r="S271" s="1154" t="s">
        <v>955</v>
      </c>
      <c r="T271" s="1187" t="s">
        <v>2103</v>
      </c>
      <c r="U271" s="1188" t="str">
        <f t="shared" si="31"/>
        <v>atrasado</v>
      </c>
      <c r="V271" s="1130" t="str">
        <f t="shared" si="32"/>
        <v>Julio</v>
      </c>
      <c r="W271" s="1128">
        <f t="shared" si="33"/>
        <v>0</v>
      </c>
    </row>
    <row r="272" spans="1:23" s="1325" customFormat="1" ht="54.95" customHeight="1" thickBot="1" x14ac:dyDescent="0.25">
      <c r="A272" s="1117">
        <v>2009</v>
      </c>
      <c r="B272" s="1117">
        <v>2009</v>
      </c>
      <c r="C272" s="1118" t="s">
        <v>36</v>
      </c>
      <c r="D272" s="1119" t="s">
        <v>37</v>
      </c>
      <c r="E272" s="1120" t="s">
        <v>2080</v>
      </c>
      <c r="F272" s="1141" t="s">
        <v>2108</v>
      </c>
      <c r="G272" s="1121">
        <v>9040001</v>
      </c>
      <c r="H272" s="1122">
        <f>36925+400</f>
        <v>37325</v>
      </c>
      <c r="I272" s="1123">
        <v>39902</v>
      </c>
      <c r="J272" s="1124">
        <v>91</v>
      </c>
      <c r="K272" s="1125">
        <f t="shared" si="29"/>
        <v>39993</v>
      </c>
      <c r="L272" s="1123" t="s">
        <v>41</v>
      </c>
      <c r="M272" s="1123">
        <v>40001</v>
      </c>
      <c r="N272" s="1124">
        <f t="shared" si="28"/>
        <v>18</v>
      </c>
      <c r="O272" s="1123">
        <v>40009</v>
      </c>
      <c r="P272" s="1132">
        <v>40011</v>
      </c>
      <c r="Q272" s="1127">
        <v>40030</v>
      </c>
      <c r="R272" s="1124">
        <f t="shared" si="30"/>
        <v>128</v>
      </c>
      <c r="S272" s="1128" t="s">
        <v>6250</v>
      </c>
      <c r="T272" s="1131" t="s">
        <v>2103</v>
      </c>
      <c r="U272" s="1128" t="str">
        <f t="shared" si="31"/>
        <v>atrasado</v>
      </c>
      <c r="V272" s="1130" t="str">
        <f t="shared" si="32"/>
        <v>Julio</v>
      </c>
      <c r="W272" s="1128">
        <f t="shared" si="33"/>
        <v>0</v>
      </c>
    </row>
    <row r="273" spans="1:23" s="1325" customFormat="1" ht="54.95" customHeight="1" thickBot="1" x14ac:dyDescent="0.25">
      <c r="A273" s="1117">
        <v>2009</v>
      </c>
      <c r="B273" s="1117">
        <v>2009</v>
      </c>
      <c r="C273" s="1118" t="s">
        <v>36</v>
      </c>
      <c r="D273" s="1119" t="s">
        <v>37</v>
      </c>
      <c r="E273" s="1120" t="s">
        <v>2080</v>
      </c>
      <c r="F273" s="1141" t="s">
        <v>2111</v>
      </c>
      <c r="G273" s="1121">
        <v>9040002</v>
      </c>
      <c r="H273" s="1122">
        <v>6750</v>
      </c>
      <c r="I273" s="1123">
        <v>39924</v>
      </c>
      <c r="J273" s="1124">
        <v>88</v>
      </c>
      <c r="K273" s="1125">
        <f t="shared" si="29"/>
        <v>40012</v>
      </c>
      <c r="L273" s="1123" t="s">
        <v>41</v>
      </c>
      <c r="M273" s="1123">
        <v>40001</v>
      </c>
      <c r="N273" s="1124">
        <f t="shared" si="28"/>
        <v>-1</v>
      </c>
      <c r="O273" s="1123">
        <v>40009</v>
      </c>
      <c r="P273" s="1132">
        <v>40011</v>
      </c>
      <c r="Q273" s="1127">
        <v>40030</v>
      </c>
      <c r="R273" s="1124">
        <f t="shared" si="30"/>
        <v>106</v>
      </c>
      <c r="S273" s="1128" t="s">
        <v>6248</v>
      </c>
      <c r="T273" s="1131" t="s">
        <v>2103</v>
      </c>
      <c r="U273" s="1128" t="str">
        <f t="shared" si="31"/>
        <v>en término</v>
      </c>
      <c r="V273" s="1130" t="str">
        <f t="shared" si="32"/>
        <v>Julio</v>
      </c>
      <c r="W273" s="1128">
        <f t="shared" si="33"/>
        <v>1</v>
      </c>
    </row>
    <row r="274" spans="1:23" s="1325" customFormat="1" ht="54.95" customHeight="1" thickBot="1" x14ac:dyDescent="0.25">
      <c r="A274" s="1117">
        <v>2009</v>
      </c>
      <c r="B274" s="1117">
        <v>2009</v>
      </c>
      <c r="C274" s="1118" t="s">
        <v>36</v>
      </c>
      <c r="D274" s="1119" t="s">
        <v>37</v>
      </c>
      <c r="E274" s="1120" t="s">
        <v>2094</v>
      </c>
      <c r="F274" s="1141" t="s">
        <v>2095</v>
      </c>
      <c r="G274" s="1121">
        <v>9050002</v>
      </c>
      <c r="H274" s="1122">
        <v>1645</v>
      </c>
      <c r="I274" s="1123">
        <v>39932</v>
      </c>
      <c r="J274" s="1124">
        <v>121</v>
      </c>
      <c r="K274" s="1125">
        <f t="shared" si="29"/>
        <v>40053</v>
      </c>
      <c r="L274" s="1123" t="s">
        <v>41</v>
      </c>
      <c r="M274" s="1123">
        <v>40001</v>
      </c>
      <c r="N274" s="1124">
        <f t="shared" si="28"/>
        <v>-42</v>
      </c>
      <c r="O274" s="1123">
        <v>40009</v>
      </c>
      <c r="P274" s="1132">
        <v>40011</v>
      </c>
      <c r="Q274" s="1127">
        <v>40030</v>
      </c>
      <c r="R274" s="1124">
        <f t="shared" si="30"/>
        <v>98</v>
      </c>
      <c r="S274" s="1128" t="s">
        <v>2112</v>
      </c>
      <c r="T274" s="1131" t="s">
        <v>2103</v>
      </c>
      <c r="U274" s="1128" t="str">
        <f t="shared" si="31"/>
        <v>en término</v>
      </c>
      <c r="V274" s="1130" t="str">
        <f t="shared" si="32"/>
        <v>Julio</v>
      </c>
      <c r="W274" s="1128">
        <f t="shared" si="33"/>
        <v>1</v>
      </c>
    </row>
    <row r="275" spans="1:23" s="1325" customFormat="1" ht="54.95" customHeight="1" thickBot="1" x14ac:dyDescent="0.25">
      <c r="A275" s="1117">
        <v>2009</v>
      </c>
      <c r="B275" s="1117">
        <v>2009</v>
      </c>
      <c r="C275" s="1118" t="s">
        <v>36</v>
      </c>
      <c r="D275" s="1119" t="s">
        <v>37</v>
      </c>
      <c r="E275" s="1120" t="s">
        <v>2114</v>
      </c>
      <c r="F275" s="1141" t="s">
        <v>2115</v>
      </c>
      <c r="G275" s="1121">
        <v>9050004</v>
      </c>
      <c r="H275" s="1122">
        <v>51030</v>
      </c>
      <c r="I275" s="1123">
        <v>39960</v>
      </c>
      <c r="J275" s="1124">
        <v>93</v>
      </c>
      <c r="K275" s="1125">
        <f t="shared" si="29"/>
        <v>40053</v>
      </c>
      <c r="L275" s="1123" t="s">
        <v>41</v>
      </c>
      <c r="M275" s="1123">
        <v>40001</v>
      </c>
      <c r="N275" s="1124">
        <f t="shared" si="28"/>
        <v>-42</v>
      </c>
      <c r="O275" s="1123">
        <v>40009</v>
      </c>
      <c r="P275" s="1132">
        <v>40011</v>
      </c>
      <c r="Q275" s="1127">
        <v>40030</v>
      </c>
      <c r="R275" s="1124">
        <f t="shared" si="30"/>
        <v>70</v>
      </c>
      <c r="S275" s="1128" t="s">
        <v>2116</v>
      </c>
      <c r="T275" s="1131" t="s">
        <v>2103</v>
      </c>
      <c r="U275" s="1128" t="str">
        <f t="shared" si="31"/>
        <v>en término</v>
      </c>
      <c r="V275" s="1130" t="str">
        <f t="shared" si="32"/>
        <v>Julio</v>
      </c>
      <c r="W275" s="1128">
        <f t="shared" si="33"/>
        <v>1</v>
      </c>
    </row>
    <row r="276" spans="1:23" s="1325" customFormat="1" ht="54.95" customHeight="1" thickBot="1" x14ac:dyDescent="0.25">
      <c r="A276" s="1117">
        <v>2009</v>
      </c>
      <c r="B276" s="1117">
        <v>2009</v>
      </c>
      <c r="C276" s="1144" t="s">
        <v>36</v>
      </c>
      <c r="D276" s="1145" t="s">
        <v>37</v>
      </c>
      <c r="E276" s="1146" t="s">
        <v>2117</v>
      </c>
      <c r="F276" s="1156" t="s">
        <v>2118</v>
      </c>
      <c r="G276" s="1147">
        <v>9060001</v>
      </c>
      <c r="H276" s="1148">
        <v>3650</v>
      </c>
      <c r="I276" s="1149">
        <v>39954</v>
      </c>
      <c r="J276" s="1150">
        <v>77</v>
      </c>
      <c r="K276" s="1151">
        <f t="shared" si="29"/>
        <v>40031</v>
      </c>
      <c r="L276" s="1149" t="s">
        <v>41</v>
      </c>
      <c r="M276" s="1123">
        <v>40001</v>
      </c>
      <c r="N276" s="1190">
        <f t="shared" si="28"/>
        <v>-20</v>
      </c>
      <c r="O276" s="1123">
        <v>40009</v>
      </c>
      <c r="P276" s="1132">
        <v>40011</v>
      </c>
      <c r="Q276" s="1127">
        <v>40030</v>
      </c>
      <c r="R276" s="1191">
        <f t="shared" si="30"/>
        <v>76</v>
      </c>
      <c r="S276" s="1154" t="s">
        <v>535</v>
      </c>
      <c r="T276" s="1173" t="s">
        <v>2103</v>
      </c>
      <c r="U276" s="1154" t="str">
        <f t="shared" si="31"/>
        <v>en término</v>
      </c>
      <c r="V276" s="1130" t="str">
        <f t="shared" si="32"/>
        <v>Julio</v>
      </c>
      <c r="W276" s="1128">
        <f t="shared" si="33"/>
        <v>1</v>
      </c>
    </row>
    <row r="277" spans="1:23" s="1325" customFormat="1" ht="54.95" customHeight="1" thickBot="1" x14ac:dyDescent="0.25">
      <c r="A277" s="1117">
        <v>2009</v>
      </c>
      <c r="B277" s="1117">
        <v>2009</v>
      </c>
      <c r="C277" s="1144" t="s">
        <v>36</v>
      </c>
      <c r="D277" s="1145" t="s">
        <v>133</v>
      </c>
      <c r="E277" s="1146" t="s">
        <v>2041</v>
      </c>
      <c r="F277" s="1154" t="s">
        <v>2042</v>
      </c>
      <c r="G277" s="1147">
        <v>4502807517</v>
      </c>
      <c r="H277" s="1148">
        <v>46868.03</v>
      </c>
      <c r="I277" s="1149">
        <v>39958</v>
      </c>
      <c r="J277" s="1150">
        <v>93</v>
      </c>
      <c r="K277" s="1151">
        <f t="shared" si="29"/>
        <v>40051</v>
      </c>
      <c r="L277" s="1149" t="s">
        <v>41</v>
      </c>
      <c r="M277" s="1149">
        <v>40029</v>
      </c>
      <c r="N277" s="1150">
        <f t="shared" ref="N277:N300" si="34">IF(P277="","",+P277-K277)</f>
        <v>-2</v>
      </c>
      <c r="O277" s="1171"/>
      <c r="P277" s="1172">
        <v>40049</v>
      </c>
      <c r="Q277" s="1172">
        <v>40065</v>
      </c>
      <c r="R277" s="1150">
        <f t="shared" si="30"/>
        <v>107</v>
      </c>
      <c r="S277" s="1154" t="s">
        <v>892</v>
      </c>
      <c r="T277" s="1129" t="s">
        <v>6251</v>
      </c>
      <c r="U277" s="1130" t="str">
        <f t="shared" si="31"/>
        <v>en término</v>
      </c>
      <c r="V277" s="1130" t="str">
        <f t="shared" si="32"/>
        <v>Agosto</v>
      </c>
      <c r="W277" s="1128">
        <f t="shared" si="33"/>
        <v>1</v>
      </c>
    </row>
    <row r="278" spans="1:23" s="1325" customFormat="1" ht="54.95" customHeight="1" thickBot="1" x14ac:dyDescent="0.25">
      <c r="A278" s="1117">
        <v>2009</v>
      </c>
      <c r="B278" s="1117">
        <v>2009</v>
      </c>
      <c r="C278" s="1118" t="s">
        <v>36</v>
      </c>
      <c r="D278" s="1119" t="s">
        <v>133</v>
      </c>
      <c r="E278" s="1120" t="s">
        <v>2041</v>
      </c>
      <c r="F278" s="1128" t="s">
        <v>2042</v>
      </c>
      <c r="G278" s="1121">
        <v>4502799307</v>
      </c>
      <c r="H278" s="1122">
        <v>163245.97</v>
      </c>
      <c r="I278" s="1123">
        <v>39952</v>
      </c>
      <c r="J278" s="1124">
        <v>98</v>
      </c>
      <c r="K278" s="1125">
        <f t="shared" si="29"/>
        <v>40050</v>
      </c>
      <c r="L278" s="1123" t="s">
        <v>41</v>
      </c>
      <c r="M278" s="1123">
        <v>40029</v>
      </c>
      <c r="N278" s="1124">
        <f t="shared" si="34"/>
        <v>-1</v>
      </c>
      <c r="O278" s="1171"/>
      <c r="P278" s="1172">
        <v>40049</v>
      </c>
      <c r="Q278" s="1172">
        <v>40065</v>
      </c>
      <c r="R278" s="1124">
        <f t="shared" si="30"/>
        <v>113</v>
      </c>
      <c r="S278" s="1128" t="s">
        <v>1322</v>
      </c>
      <c r="T278" s="1129" t="s">
        <v>6251</v>
      </c>
      <c r="U278" s="1130" t="str">
        <f t="shared" si="31"/>
        <v>en término</v>
      </c>
      <c r="V278" s="1130" t="str">
        <f t="shared" si="32"/>
        <v>Agosto</v>
      </c>
      <c r="W278" s="1128">
        <f t="shared" si="33"/>
        <v>1</v>
      </c>
    </row>
    <row r="279" spans="1:23" s="1325" customFormat="1" ht="54.95" customHeight="1" thickBot="1" x14ac:dyDescent="0.25">
      <c r="A279" s="1117">
        <v>2009</v>
      </c>
      <c r="B279" s="1117">
        <v>2009</v>
      </c>
      <c r="C279" s="1118" t="s">
        <v>36</v>
      </c>
      <c r="D279" s="1137" t="s">
        <v>133</v>
      </c>
      <c r="E279" s="1120" t="s">
        <v>2032</v>
      </c>
      <c r="F279" s="1128" t="s">
        <v>2033</v>
      </c>
      <c r="G279" s="1121">
        <v>4502833270</v>
      </c>
      <c r="H279" s="1122">
        <v>29980.33</v>
      </c>
      <c r="I279" s="1123">
        <v>39972</v>
      </c>
      <c r="J279" s="1124">
        <v>79</v>
      </c>
      <c r="K279" s="1125">
        <f t="shared" si="29"/>
        <v>40051</v>
      </c>
      <c r="L279" s="1123" t="s">
        <v>41</v>
      </c>
      <c r="M279" s="1123">
        <v>40029</v>
      </c>
      <c r="N279" s="1124">
        <f t="shared" si="34"/>
        <v>-2</v>
      </c>
      <c r="O279" s="1171"/>
      <c r="P279" s="1172">
        <v>40049</v>
      </c>
      <c r="Q279" s="1172">
        <v>40065</v>
      </c>
      <c r="R279" s="1124">
        <f t="shared" si="30"/>
        <v>93</v>
      </c>
      <c r="S279" s="1128" t="s">
        <v>6252</v>
      </c>
      <c r="T279" s="1129" t="s">
        <v>6251</v>
      </c>
      <c r="U279" s="1130" t="str">
        <f t="shared" si="31"/>
        <v>en término</v>
      </c>
      <c r="V279" s="1130" t="str">
        <f t="shared" si="32"/>
        <v>Agosto</v>
      </c>
      <c r="W279" s="1128">
        <f t="shared" si="33"/>
        <v>1</v>
      </c>
    </row>
    <row r="280" spans="1:23" s="1325" customFormat="1" ht="54.95" customHeight="1" thickBot="1" x14ac:dyDescent="0.25">
      <c r="A280" s="1117">
        <v>2009</v>
      </c>
      <c r="B280" s="1117">
        <v>2009</v>
      </c>
      <c r="C280" s="1118" t="s">
        <v>36</v>
      </c>
      <c r="D280" s="1119" t="s">
        <v>37</v>
      </c>
      <c r="E280" s="1120" t="s">
        <v>2124</v>
      </c>
      <c r="F280" s="1141" t="s">
        <v>2125</v>
      </c>
      <c r="G280" s="1121">
        <v>9060002</v>
      </c>
      <c r="H280" s="1122">
        <v>1096</v>
      </c>
      <c r="I280" s="1123">
        <v>39982</v>
      </c>
      <c r="J280" s="1124">
        <v>70</v>
      </c>
      <c r="K280" s="1125">
        <f t="shared" si="29"/>
        <v>40052</v>
      </c>
      <c r="L280" s="1123" t="s">
        <v>41</v>
      </c>
      <c r="M280" s="1123">
        <v>40029</v>
      </c>
      <c r="N280" s="1192">
        <f t="shared" si="34"/>
        <v>-3</v>
      </c>
      <c r="O280" s="1171"/>
      <c r="P280" s="1172">
        <v>40049</v>
      </c>
      <c r="Q280" s="1172">
        <v>40065</v>
      </c>
      <c r="R280" s="1193">
        <f t="shared" si="30"/>
        <v>83</v>
      </c>
      <c r="S280" s="1128" t="s">
        <v>2126</v>
      </c>
      <c r="T280" s="1129" t="s">
        <v>6251</v>
      </c>
      <c r="U280" s="1130" t="str">
        <f t="shared" si="31"/>
        <v>en término</v>
      </c>
      <c r="V280" s="1130" t="str">
        <f t="shared" si="32"/>
        <v>Agosto</v>
      </c>
      <c r="W280" s="1128">
        <f t="shared" si="33"/>
        <v>1</v>
      </c>
    </row>
    <row r="281" spans="1:23" s="1325" customFormat="1" ht="54.95" customHeight="1" thickBot="1" x14ac:dyDescent="0.25">
      <c r="A281" s="1117">
        <v>2009</v>
      </c>
      <c r="B281" s="1117">
        <v>2009</v>
      </c>
      <c r="C281" s="1144" t="s">
        <v>36</v>
      </c>
      <c r="D281" s="1145" t="s">
        <v>37</v>
      </c>
      <c r="E281" s="1146" t="s">
        <v>2080</v>
      </c>
      <c r="F281" s="1156" t="s">
        <v>2128</v>
      </c>
      <c r="G281" s="1147">
        <v>9070001</v>
      </c>
      <c r="H281" s="1148">
        <v>6750</v>
      </c>
      <c r="I281" s="1149">
        <v>39988</v>
      </c>
      <c r="J281" s="1150">
        <v>91</v>
      </c>
      <c r="K281" s="1151">
        <f t="shared" ref="K281:K312" si="35">+I281+J281</f>
        <v>40079</v>
      </c>
      <c r="L281" s="1149" t="s">
        <v>41</v>
      </c>
      <c r="M281" s="1149">
        <v>40029</v>
      </c>
      <c r="N281" s="1150">
        <f t="shared" si="34"/>
        <v>-30</v>
      </c>
      <c r="O281" s="1171"/>
      <c r="P281" s="1172">
        <v>40049</v>
      </c>
      <c r="Q281" s="1172">
        <v>40065</v>
      </c>
      <c r="R281" s="1150">
        <f t="shared" si="30"/>
        <v>77</v>
      </c>
      <c r="S281" s="1154" t="s">
        <v>6248</v>
      </c>
      <c r="T281" s="1129" t="s">
        <v>6251</v>
      </c>
      <c r="U281" s="1130" t="str">
        <f t="shared" si="31"/>
        <v>en término</v>
      </c>
      <c r="V281" s="1130" t="str">
        <f t="shared" si="32"/>
        <v>Agosto</v>
      </c>
      <c r="W281" s="1128">
        <f t="shared" si="33"/>
        <v>1</v>
      </c>
    </row>
    <row r="282" spans="1:23" s="1325" customFormat="1" ht="54.95" customHeight="1" thickBot="1" x14ac:dyDescent="0.25">
      <c r="A282" s="1117">
        <v>2009</v>
      </c>
      <c r="B282" s="1117">
        <v>2009</v>
      </c>
      <c r="C282" s="1144" t="s">
        <v>36</v>
      </c>
      <c r="D282" s="1145" t="s">
        <v>37</v>
      </c>
      <c r="E282" s="1146" t="s">
        <v>2129</v>
      </c>
      <c r="F282" s="1146" t="s">
        <v>2130</v>
      </c>
      <c r="G282" s="1147">
        <v>9070002</v>
      </c>
      <c r="H282" s="1148">
        <v>16030</v>
      </c>
      <c r="I282" s="1149">
        <v>39994</v>
      </c>
      <c r="J282" s="1150">
        <v>60</v>
      </c>
      <c r="K282" s="1151">
        <f t="shared" si="35"/>
        <v>40054</v>
      </c>
      <c r="L282" s="1149" t="s">
        <v>41</v>
      </c>
      <c r="M282" s="1149">
        <v>40029</v>
      </c>
      <c r="N282" s="1150">
        <f t="shared" si="34"/>
        <v>-5</v>
      </c>
      <c r="O282" s="1171"/>
      <c r="P282" s="1172">
        <v>40049</v>
      </c>
      <c r="Q282" s="1172">
        <v>40065</v>
      </c>
      <c r="R282" s="1150">
        <f t="shared" si="30"/>
        <v>71</v>
      </c>
      <c r="S282" s="1154" t="s">
        <v>6253</v>
      </c>
      <c r="T282" s="1129" t="s">
        <v>6251</v>
      </c>
      <c r="U282" s="1130" t="str">
        <f t="shared" si="31"/>
        <v>en término</v>
      </c>
      <c r="V282" s="1130" t="str">
        <f t="shared" si="32"/>
        <v>Agosto</v>
      </c>
      <c r="W282" s="1128">
        <f t="shared" si="33"/>
        <v>1</v>
      </c>
    </row>
    <row r="283" spans="1:23" s="1325" customFormat="1" ht="54.95" customHeight="1" thickBot="1" x14ac:dyDescent="0.25">
      <c r="A283" s="1117">
        <v>2009</v>
      </c>
      <c r="B283" s="1117">
        <v>2009</v>
      </c>
      <c r="C283" s="1118" t="s">
        <v>36</v>
      </c>
      <c r="D283" s="1119" t="s">
        <v>133</v>
      </c>
      <c r="E283" s="1120" t="s">
        <v>2041</v>
      </c>
      <c r="F283" s="1128" t="s">
        <v>2042</v>
      </c>
      <c r="G283" s="1121">
        <v>4502847225</v>
      </c>
      <c r="H283" s="1122">
        <v>83117.36</v>
      </c>
      <c r="I283" s="1123">
        <v>39982</v>
      </c>
      <c r="J283" s="1124">
        <v>99</v>
      </c>
      <c r="K283" s="1125">
        <f t="shared" si="35"/>
        <v>40081</v>
      </c>
      <c r="L283" s="1123" t="s">
        <v>41</v>
      </c>
      <c r="M283" s="1123">
        <v>40060</v>
      </c>
      <c r="N283" s="1124">
        <f t="shared" si="34"/>
        <v>-5</v>
      </c>
      <c r="O283" s="1123"/>
      <c r="P283" s="1132">
        <v>40076</v>
      </c>
      <c r="Q283" s="1127">
        <v>40092</v>
      </c>
      <c r="R283" s="1124">
        <f t="shared" si="30"/>
        <v>110</v>
      </c>
      <c r="S283" s="1128" t="s">
        <v>1387</v>
      </c>
      <c r="T283" s="1129"/>
      <c r="U283" s="1130" t="str">
        <f t="shared" si="31"/>
        <v>en término</v>
      </c>
      <c r="V283" s="1130" t="str">
        <f t="shared" si="32"/>
        <v>Septiembre</v>
      </c>
      <c r="W283" s="1128">
        <f t="shared" si="33"/>
        <v>1</v>
      </c>
    </row>
    <row r="284" spans="1:23" s="1325" customFormat="1" ht="54.95" customHeight="1" thickBot="1" x14ac:dyDescent="0.25">
      <c r="A284" s="1117">
        <v>2009</v>
      </c>
      <c r="B284" s="1117">
        <v>2009</v>
      </c>
      <c r="C284" s="1144" t="s">
        <v>36</v>
      </c>
      <c r="D284" s="1194" t="s">
        <v>133</v>
      </c>
      <c r="E284" s="1146" t="s">
        <v>2032</v>
      </c>
      <c r="F284" s="1154" t="s">
        <v>2033</v>
      </c>
      <c r="G284" s="1147">
        <v>4502882699</v>
      </c>
      <c r="H284" s="1148">
        <v>45631.199999999997</v>
      </c>
      <c r="I284" s="1149">
        <v>40003</v>
      </c>
      <c r="J284" s="1150">
        <v>83</v>
      </c>
      <c r="K284" s="1151">
        <f t="shared" si="35"/>
        <v>40086</v>
      </c>
      <c r="L284" s="1149" t="s">
        <v>41</v>
      </c>
      <c r="M284" s="1149">
        <v>40060</v>
      </c>
      <c r="N284" s="1150">
        <f t="shared" si="34"/>
        <v>-10</v>
      </c>
      <c r="O284" s="1149"/>
      <c r="P284" s="1132">
        <v>40076</v>
      </c>
      <c r="Q284" s="1127">
        <v>40092</v>
      </c>
      <c r="R284" s="1150">
        <f t="shared" si="30"/>
        <v>89</v>
      </c>
      <c r="S284" s="1154" t="s">
        <v>6254</v>
      </c>
      <c r="T284" s="1187"/>
      <c r="U284" s="1188" t="str">
        <f t="shared" si="31"/>
        <v>en término</v>
      </c>
      <c r="V284" s="1130" t="str">
        <f t="shared" si="32"/>
        <v>Septiembre</v>
      </c>
      <c r="W284" s="1128">
        <f t="shared" si="33"/>
        <v>1</v>
      </c>
    </row>
    <row r="285" spans="1:23" s="1325" customFormat="1" ht="54.95" customHeight="1" thickBot="1" x14ac:dyDescent="0.25">
      <c r="A285" s="1117">
        <v>2009</v>
      </c>
      <c r="B285" s="1117">
        <v>2009</v>
      </c>
      <c r="C285" s="1118" t="s">
        <v>36</v>
      </c>
      <c r="D285" s="1137" t="s">
        <v>133</v>
      </c>
      <c r="E285" s="1120" t="s">
        <v>2032</v>
      </c>
      <c r="F285" s="1128" t="s">
        <v>2033</v>
      </c>
      <c r="G285" s="1121">
        <v>4502910324</v>
      </c>
      <c r="H285" s="1122">
        <v>18430.55</v>
      </c>
      <c r="I285" s="1123">
        <v>40023</v>
      </c>
      <c r="J285" s="1124">
        <v>80</v>
      </c>
      <c r="K285" s="1125">
        <f t="shared" si="35"/>
        <v>40103</v>
      </c>
      <c r="L285" s="1123" t="s">
        <v>41</v>
      </c>
      <c r="M285" s="1123">
        <v>40060</v>
      </c>
      <c r="N285" s="1124">
        <f t="shared" si="34"/>
        <v>-27</v>
      </c>
      <c r="O285" s="1123"/>
      <c r="P285" s="1132">
        <v>40076</v>
      </c>
      <c r="Q285" s="1127">
        <v>40092</v>
      </c>
      <c r="R285" s="1124">
        <f t="shared" si="30"/>
        <v>69</v>
      </c>
      <c r="S285" s="1128" t="s">
        <v>6255</v>
      </c>
      <c r="T285" s="1129" t="s">
        <v>2138</v>
      </c>
      <c r="U285" s="1130" t="str">
        <f t="shared" si="31"/>
        <v>en término</v>
      </c>
      <c r="V285" s="1130" t="str">
        <f t="shared" si="32"/>
        <v>Septiembre</v>
      </c>
      <c r="W285" s="1128">
        <f t="shared" si="33"/>
        <v>1</v>
      </c>
    </row>
    <row r="286" spans="1:23" s="1325" customFormat="1" ht="54.95" customHeight="1" thickBot="1" x14ac:dyDescent="0.25">
      <c r="A286" s="1117">
        <v>2009</v>
      </c>
      <c r="B286" s="1117">
        <v>2009</v>
      </c>
      <c r="C286" s="1144" t="s">
        <v>36</v>
      </c>
      <c r="D286" s="1145" t="s">
        <v>133</v>
      </c>
      <c r="E286" s="1146" t="s">
        <v>2041</v>
      </c>
      <c r="F286" s="1154" t="s">
        <v>2042</v>
      </c>
      <c r="G286" s="1147">
        <v>4502894363</v>
      </c>
      <c r="H286" s="1148">
        <v>74590.48</v>
      </c>
      <c r="I286" s="1149">
        <v>40014</v>
      </c>
      <c r="J286" s="1150">
        <v>93</v>
      </c>
      <c r="K286" s="1151">
        <f t="shared" si="35"/>
        <v>40107</v>
      </c>
      <c r="L286" s="1149" t="s">
        <v>41</v>
      </c>
      <c r="M286" s="1149">
        <v>40060</v>
      </c>
      <c r="N286" s="1150">
        <f t="shared" si="34"/>
        <v>-31</v>
      </c>
      <c r="O286" s="1149"/>
      <c r="P286" s="1132">
        <v>40076</v>
      </c>
      <c r="Q286" s="1127">
        <v>40092</v>
      </c>
      <c r="R286" s="1150">
        <f t="shared" si="30"/>
        <v>78</v>
      </c>
      <c r="S286" s="1154" t="s">
        <v>2139</v>
      </c>
      <c r="T286" s="1187"/>
      <c r="U286" s="1188" t="str">
        <f t="shared" si="31"/>
        <v>en término</v>
      </c>
      <c r="V286" s="1130" t="str">
        <f t="shared" si="32"/>
        <v>Septiembre</v>
      </c>
      <c r="W286" s="1128">
        <f t="shared" si="33"/>
        <v>1</v>
      </c>
    </row>
    <row r="287" spans="1:23" s="1325" customFormat="1" ht="54.95" customHeight="1" thickBot="1" x14ac:dyDescent="0.25">
      <c r="A287" s="1117">
        <v>2009</v>
      </c>
      <c r="B287" s="1117">
        <v>2009</v>
      </c>
      <c r="C287" s="1118" t="s">
        <v>36</v>
      </c>
      <c r="D287" s="1119" t="s">
        <v>37</v>
      </c>
      <c r="E287" s="1120" t="s">
        <v>2141</v>
      </c>
      <c r="F287" s="1141" t="s">
        <v>2142</v>
      </c>
      <c r="G287" s="1121">
        <v>9070003</v>
      </c>
      <c r="H287" s="1122">
        <v>20295</v>
      </c>
      <c r="I287" s="1123">
        <v>39995</v>
      </c>
      <c r="J287" s="1124">
        <v>114</v>
      </c>
      <c r="K287" s="1125">
        <f t="shared" si="35"/>
        <v>40109</v>
      </c>
      <c r="L287" s="1123" t="s">
        <v>41</v>
      </c>
      <c r="M287" s="1123">
        <v>40060</v>
      </c>
      <c r="N287" s="1192">
        <f t="shared" si="34"/>
        <v>-33</v>
      </c>
      <c r="O287" s="1123"/>
      <c r="P287" s="1132">
        <v>40076</v>
      </c>
      <c r="Q287" s="1127">
        <v>40092</v>
      </c>
      <c r="R287" s="1193">
        <f t="shared" si="30"/>
        <v>97</v>
      </c>
      <c r="S287" s="1128" t="s">
        <v>879</v>
      </c>
      <c r="T287" s="1131"/>
      <c r="U287" s="1128" t="str">
        <f t="shared" si="31"/>
        <v>en término</v>
      </c>
      <c r="V287" s="1130" t="str">
        <f t="shared" si="32"/>
        <v>Septiembre</v>
      </c>
      <c r="W287" s="1128">
        <f t="shared" si="33"/>
        <v>1</v>
      </c>
    </row>
    <row r="288" spans="1:23" s="1325" customFormat="1" ht="54.95" customHeight="1" thickBot="1" x14ac:dyDescent="0.25">
      <c r="A288" s="1117">
        <v>2009</v>
      </c>
      <c r="B288" s="1117">
        <v>2009</v>
      </c>
      <c r="C288" s="1118" t="s">
        <v>36</v>
      </c>
      <c r="D288" s="1119" t="s">
        <v>133</v>
      </c>
      <c r="E288" s="1120" t="s">
        <v>1958</v>
      </c>
      <c r="F288" s="1128" t="s">
        <v>1959</v>
      </c>
      <c r="G288" s="1121">
        <v>4502907841</v>
      </c>
      <c r="H288" s="1122">
        <v>22374.7</v>
      </c>
      <c r="I288" s="1123">
        <v>40022</v>
      </c>
      <c r="J288" s="1124">
        <v>97</v>
      </c>
      <c r="K288" s="1125">
        <f t="shared" si="35"/>
        <v>40119</v>
      </c>
      <c r="L288" s="1123" t="s">
        <v>41</v>
      </c>
      <c r="M288" s="1123">
        <v>40092</v>
      </c>
      <c r="N288" s="1124">
        <f t="shared" si="34"/>
        <v>-10</v>
      </c>
      <c r="O288" s="1123">
        <v>40095</v>
      </c>
      <c r="P288" s="1132">
        <v>40109</v>
      </c>
      <c r="Q288" s="1127">
        <v>40123</v>
      </c>
      <c r="R288" s="1124">
        <f t="shared" si="30"/>
        <v>101</v>
      </c>
      <c r="S288" s="1128" t="s">
        <v>53</v>
      </c>
      <c r="T288" s="1129"/>
      <c r="U288" s="1130" t="str">
        <f t="shared" si="31"/>
        <v>en término</v>
      </c>
      <c r="V288" s="1130" t="str">
        <f t="shared" si="32"/>
        <v>Octubre</v>
      </c>
      <c r="W288" s="1128">
        <f t="shared" si="33"/>
        <v>1</v>
      </c>
    </row>
    <row r="289" spans="1:23" s="1325" customFormat="1" ht="54.95" customHeight="1" thickBot="1" x14ac:dyDescent="0.25">
      <c r="A289" s="1117">
        <v>2009</v>
      </c>
      <c r="B289" s="1117">
        <v>2009</v>
      </c>
      <c r="C289" s="1144" t="s">
        <v>36</v>
      </c>
      <c r="D289" s="1145" t="s">
        <v>37</v>
      </c>
      <c r="E289" s="1146" t="s">
        <v>2080</v>
      </c>
      <c r="F289" s="1156" t="s">
        <v>2145</v>
      </c>
      <c r="G289" s="1147">
        <v>9080001</v>
      </c>
      <c r="H289" s="1148">
        <v>13200</v>
      </c>
      <c r="I289" s="1149">
        <v>40038</v>
      </c>
      <c r="J289" s="1150">
        <v>83</v>
      </c>
      <c r="K289" s="1151">
        <f t="shared" si="35"/>
        <v>40121</v>
      </c>
      <c r="L289" s="1149" t="s">
        <v>41</v>
      </c>
      <c r="M289" s="1149">
        <v>40092</v>
      </c>
      <c r="N289" s="1150">
        <f t="shared" si="34"/>
        <v>-12</v>
      </c>
      <c r="O289" s="1171">
        <v>40095</v>
      </c>
      <c r="P289" s="1132">
        <v>40109</v>
      </c>
      <c r="Q289" s="1127">
        <v>40123</v>
      </c>
      <c r="R289" s="1150">
        <f t="shared" si="30"/>
        <v>85</v>
      </c>
      <c r="S289" s="1154" t="s">
        <v>6246</v>
      </c>
      <c r="T289" s="1173"/>
      <c r="U289" s="1154" t="str">
        <f t="shared" si="31"/>
        <v>en término</v>
      </c>
      <c r="V289" s="1130" t="str">
        <f t="shared" si="32"/>
        <v>Octubre</v>
      </c>
      <c r="W289" s="1128">
        <f t="shared" si="33"/>
        <v>1</v>
      </c>
    </row>
    <row r="290" spans="1:23" s="1325" customFormat="1" ht="54.95" customHeight="1" thickBot="1" x14ac:dyDescent="0.25">
      <c r="A290" s="1117">
        <v>2009</v>
      </c>
      <c r="B290" s="1117">
        <v>2009</v>
      </c>
      <c r="C290" s="1118" t="s">
        <v>36</v>
      </c>
      <c r="D290" s="1119" t="s">
        <v>37</v>
      </c>
      <c r="E290" s="1120" t="s">
        <v>2080</v>
      </c>
      <c r="F290" s="1141" t="s">
        <v>2146</v>
      </c>
      <c r="G290" s="1121">
        <v>9090001</v>
      </c>
      <c r="H290" s="1122">
        <v>12960</v>
      </c>
      <c r="I290" s="1123">
        <v>40058</v>
      </c>
      <c r="J290" s="1124">
        <v>87</v>
      </c>
      <c r="K290" s="1125">
        <f t="shared" si="35"/>
        <v>40145</v>
      </c>
      <c r="L290" s="1123" t="s">
        <v>41</v>
      </c>
      <c r="M290" s="1123">
        <v>40092</v>
      </c>
      <c r="N290" s="1124">
        <f t="shared" si="34"/>
        <v>-36</v>
      </c>
      <c r="O290" s="1126">
        <v>40095</v>
      </c>
      <c r="P290" s="1132">
        <v>40109</v>
      </c>
      <c r="Q290" s="1127">
        <v>40123</v>
      </c>
      <c r="R290" s="1124">
        <f t="shared" si="30"/>
        <v>65</v>
      </c>
      <c r="S290" s="1128" t="s">
        <v>6256</v>
      </c>
      <c r="T290" s="1131"/>
      <c r="U290" s="1128" t="str">
        <f t="shared" si="31"/>
        <v>en término</v>
      </c>
      <c r="V290" s="1130" t="str">
        <f t="shared" si="32"/>
        <v>Octubre</v>
      </c>
      <c r="W290" s="1128">
        <f t="shared" si="33"/>
        <v>1</v>
      </c>
    </row>
    <row r="291" spans="1:23" s="1325" customFormat="1" ht="54.95" customHeight="1" thickBot="1" x14ac:dyDescent="0.25">
      <c r="A291" s="1117">
        <v>2009</v>
      </c>
      <c r="B291" s="1117">
        <v>2009</v>
      </c>
      <c r="C291" s="1144" t="s">
        <v>36</v>
      </c>
      <c r="D291" s="1145" t="s">
        <v>37</v>
      </c>
      <c r="E291" s="1146" t="s">
        <v>2148</v>
      </c>
      <c r="F291" s="1156" t="s">
        <v>2149</v>
      </c>
      <c r="G291" s="1147">
        <v>9090002</v>
      </c>
      <c r="H291" s="1148">
        <v>675</v>
      </c>
      <c r="I291" s="1149">
        <v>40058</v>
      </c>
      <c r="J291" s="1150">
        <v>58</v>
      </c>
      <c r="K291" s="1151">
        <f t="shared" si="35"/>
        <v>40116</v>
      </c>
      <c r="L291" s="1149" t="s">
        <v>41</v>
      </c>
      <c r="M291" s="1149">
        <v>40092</v>
      </c>
      <c r="N291" s="1150">
        <f t="shared" si="34"/>
        <v>-7</v>
      </c>
      <c r="O291" s="1171">
        <v>40095</v>
      </c>
      <c r="P291" s="1132">
        <v>40109</v>
      </c>
      <c r="Q291" s="1127">
        <v>40123</v>
      </c>
      <c r="R291" s="1150">
        <f t="shared" si="30"/>
        <v>65</v>
      </c>
      <c r="S291" s="1154" t="s">
        <v>2150</v>
      </c>
      <c r="T291" s="1173"/>
      <c r="U291" s="1154" t="str">
        <f t="shared" si="31"/>
        <v>en término</v>
      </c>
      <c r="V291" s="1130" t="str">
        <f t="shared" si="32"/>
        <v>Octubre</v>
      </c>
      <c r="W291" s="1128">
        <f t="shared" si="33"/>
        <v>1</v>
      </c>
    </row>
    <row r="292" spans="1:23" s="1325" customFormat="1" ht="54.95" customHeight="1" thickBot="1" x14ac:dyDescent="0.25">
      <c r="A292" s="1117">
        <v>2009</v>
      </c>
      <c r="B292" s="1117">
        <v>2009</v>
      </c>
      <c r="C292" s="1118" t="s">
        <v>36</v>
      </c>
      <c r="D292" s="1119" t="s">
        <v>37</v>
      </c>
      <c r="E292" s="1120" t="s">
        <v>2080</v>
      </c>
      <c r="F292" s="1141" t="s">
        <v>2151</v>
      </c>
      <c r="G292" s="1121">
        <v>9090003</v>
      </c>
      <c r="H292" s="1122">
        <v>47530</v>
      </c>
      <c r="I292" s="1123">
        <v>40063</v>
      </c>
      <c r="J292" s="1124">
        <v>82</v>
      </c>
      <c r="K292" s="1125">
        <f t="shared" si="35"/>
        <v>40145</v>
      </c>
      <c r="L292" s="1123" t="s">
        <v>41</v>
      </c>
      <c r="M292" s="1123">
        <v>40120</v>
      </c>
      <c r="N292" s="1124">
        <f t="shared" si="34"/>
        <v>-16</v>
      </c>
      <c r="O292" s="1149">
        <v>40128</v>
      </c>
      <c r="P292" s="1153">
        <v>40129</v>
      </c>
      <c r="Q292" s="1172">
        <v>40148</v>
      </c>
      <c r="R292" s="1124">
        <f t="shared" si="30"/>
        <v>85</v>
      </c>
      <c r="S292" s="1128" t="s">
        <v>6257</v>
      </c>
      <c r="T292" s="1131"/>
      <c r="U292" s="1128" t="str">
        <f t="shared" si="31"/>
        <v>en término</v>
      </c>
      <c r="V292" s="1130" t="str">
        <f t="shared" si="32"/>
        <v>Noviembre</v>
      </c>
      <c r="W292" s="1128">
        <f t="shared" si="33"/>
        <v>1</v>
      </c>
    </row>
    <row r="293" spans="1:23" s="1325" customFormat="1" ht="54.95" customHeight="1" thickBot="1" x14ac:dyDescent="0.25">
      <c r="A293" s="1117">
        <v>2009</v>
      </c>
      <c r="B293" s="1117">
        <v>2009</v>
      </c>
      <c r="C293" s="1118" t="s">
        <v>36</v>
      </c>
      <c r="D293" s="1119" t="s">
        <v>37</v>
      </c>
      <c r="E293" s="1120" t="s">
        <v>2080</v>
      </c>
      <c r="F293" s="1141" t="s">
        <v>2154</v>
      </c>
      <c r="G293" s="1121">
        <v>9090005</v>
      </c>
      <c r="H293" s="1122">
        <v>16175</v>
      </c>
      <c r="I293" s="1123">
        <v>40072</v>
      </c>
      <c r="J293" s="1124">
        <v>87</v>
      </c>
      <c r="K293" s="1125">
        <f t="shared" si="35"/>
        <v>40159</v>
      </c>
      <c r="L293" s="1123" t="s">
        <v>41</v>
      </c>
      <c r="M293" s="1123">
        <v>40120</v>
      </c>
      <c r="N293" s="1124">
        <f t="shared" si="34"/>
        <v>-30</v>
      </c>
      <c r="O293" s="1149">
        <v>40128</v>
      </c>
      <c r="P293" s="1153">
        <v>40129</v>
      </c>
      <c r="Q293" s="1172">
        <v>40148</v>
      </c>
      <c r="R293" s="1124">
        <f t="shared" si="30"/>
        <v>76</v>
      </c>
      <c r="S293" s="1128" t="s">
        <v>6258</v>
      </c>
      <c r="T293" s="1131"/>
      <c r="U293" s="1128" t="str">
        <f t="shared" si="31"/>
        <v>en término</v>
      </c>
      <c r="V293" s="1130" t="str">
        <f t="shared" si="32"/>
        <v>Noviembre</v>
      </c>
      <c r="W293" s="1128">
        <f t="shared" si="33"/>
        <v>1</v>
      </c>
    </row>
    <row r="294" spans="1:23" s="1325" customFormat="1" ht="54.95" customHeight="1" thickBot="1" x14ac:dyDescent="0.25">
      <c r="A294" s="1117">
        <v>2009</v>
      </c>
      <c r="B294" s="1117">
        <v>2009</v>
      </c>
      <c r="C294" s="1144" t="s">
        <v>36</v>
      </c>
      <c r="D294" s="1145" t="s">
        <v>37</v>
      </c>
      <c r="E294" s="1146" t="s">
        <v>2156</v>
      </c>
      <c r="F294" s="1156" t="s">
        <v>2157</v>
      </c>
      <c r="G294" s="1147">
        <v>9100003</v>
      </c>
      <c r="H294" s="1148">
        <v>2400</v>
      </c>
      <c r="I294" s="1149">
        <v>40102</v>
      </c>
      <c r="J294" s="1150">
        <v>62</v>
      </c>
      <c r="K294" s="1151">
        <f t="shared" si="35"/>
        <v>40164</v>
      </c>
      <c r="L294" s="1149" t="s">
        <v>41</v>
      </c>
      <c r="M294" s="1149">
        <v>40120</v>
      </c>
      <c r="N294" s="1190">
        <f t="shared" si="34"/>
        <v>-35</v>
      </c>
      <c r="O294" s="1149">
        <v>40128</v>
      </c>
      <c r="P294" s="1153">
        <v>40129</v>
      </c>
      <c r="Q294" s="1172">
        <v>40148</v>
      </c>
      <c r="R294" s="1191">
        <f t="shared" si="30"/>
        <v>46</v>
      </c>
      <c r="S294" s="1154" t="s">
        <v>2158</v>
      </c>
      <c r="T294" s="1173"/>
      <c r="U294" s="1154" t="str">
        <f t="shared" si="31"/>
        <v>en término</v>
      </c>
      <c r="V294" s="1130" t="str">
        <f t="shared" si="32"/>
        <v>Noviembre</v>
      </c>
      <c r="W294" s="1128">
        <f t="shared" si="33"/>
        <v>1</v>
      </c>
    </row>
    <row r="295" spans="1:23" s="1325" customFormat="1" ht="54.95" customHeight="1" thickBot="1" x14ac:dyDescent="0.25">
      <c r="A295" s="1117">
        <v>2009</v>
      </c>
      <c r="B295" s="1117">
        <v>2009</v>
      </c>
      <c r="C295" s="1144" t="s">
        <v>36</v>
      </c>
      <c r="D295" s="1145" t="s">
        <v>37</v>
      </c>
      <c r="E295" s="1146" t="s">
        <v>2159</v>
      </c>
      <c r="F295" s="1156" t="s">
        <v>2160</v>
      </c>
      <c r="G295" s="1147">
        <v>9110002</v>
      </c>
      <c r="H295" s="1148">
        <v>610</v>
      </c>
      <c r="I295" s="1149">
        <v>40123</v>
      </c>
      <c r="J295" s="1150">
        <v>5</v>
      </c>
      <c r="K295" s="1151">
        <f t="shared" si="35"/>
        <v>40128</v>
      </c>
      <c r="L295" s="1149" t="s">
        <v>41</v>
      </c>
      <c r="M295" s="1149">
        <v>40123</v>
      </c>
      <c r="N295" s="1190">
        <f t="shared" si="34"/>
        <v>-1</v>
      </c>
      <c r="O295" s="1149">
        <v>40126</v>
      </c>
      <c r="P295" s="1153">
        <v>40127</v>
      </c>
      <c r="Q295" s="1172">
        <f>+P295+1</f>
        <v>40128</v>
      </c>
      <c r="R295" s="1191">
        <f t="shared" si="30"/>
        <v>5</v>
      </c>
      <c r="S295" s="1154" t="s">
        <v>2162</v>
      </c>
      <c r="T295" s="1173"/>
      <c r="U295" s="1154" t="str">
        <f t="shared" si="31"/>
        <v>en término</v>
      </c>
      <c r="V295" s="1130" t="str">
        <f t="shared" si="32"/>
        <v>Noviembre</v>
      </c>
      <c r="W295" s="1128">
        <f t="shared" si="33"/>
        <v>1</v>
      </c>
    </row>
    <row r="296" spans="1:23" s="1325" customFormat="1" ht="54.95" customHeight="1" thickBot="1" x14ac:dyDescent="0.25">
      <c r="A296" s="1117">
        <v>2009</v>
      </c>
      <c r="B296" s="1117">
        <v>2009</v>
      </c>
      <c r="C296" s="1144" t="s">
        <v>36</v>
      </c>
      <c r="D296" s="1145" t="s">
        <v>133</v>
      </c>
      <c r="E296" s="1146" t="s">
        <v>2041</v>
      </c>
      <c r="F296" s="1154" t="s">
        <v>2042</v>
      </c>
      <c r="G296" s="1147">
        <v>4502938227</v>
      </c>
      <c r="H296" s="1148">
        <v>12322.32</v>
      </c>
      <c r="I296" s="1149">
        <v>40042</v>
      </c>
      <c r="J296" s="1150">
        <v>91</v>
      </c>
      <c r="K296" s="1151">
        <f t="shared" si="35"/>
        <v>40133</v>
      </c>
      <c r="L296" s="1149" t="s">
        <v>41</v>
      </c>
      <c r="M296" s="1149">
        <v>40120</v>
      </c>
      <c r="N296" s="1150">
        <f t="shared" si="34"/>
        <v>-4</v>
      </c>
      <c r="O296" s="1149">
        <v>40128</v>
      </c>
      <c r="P296" s="1153">
        <v>40129</v>
      </c>
      <c r="Q296" s="1172">
        <v>40148</v>
      </c>
      <c r="R296" s="1150">
        <f t="shared" si="30"/>
        <v>106</v>
      </c>
      <c r="S296" s="1154" t="s">
        <v>378</v>
      </c>
      <c r="T296" s="1187"/>
      <c r="U296" s="1188" t="str">
        <f t="shared" si="31"/>
        <v>en término</v>
      </c>
      <c r="V296" s="1130" t="str">
        <f t="shared" si="32"/>
        <v>Noviembre</v>
      </c>
      <c r="W296" s="1128">
        <f t="shared" si="33"/>
        <v>1</v>
      </c>
    </row>
    <row r="297" spans="1:23" s="1325" customFormat="1" ht="54.95" customHeight="1" thickBot="1" x14ac:dyDescent="0.25">
      <c r="A297" s="1117">
        <v>2009</v>
      </c>
      <c r="B297" s="1117">
        <v>2009</v>
      </c>
      <c r="C297" s="1144" t="s">
        <v>36</v>
      </c>
      <c r="D297" s="1145" t="s">
        <v>133</v>
      </c>
      <c r="E297" s="1146" t="s">
        <v>2041</v>
      </c>
      <c r="F297" s="1154" t="s">
        <v>2042</v>
      </c>
      <c r="G297" s="1147">
        <v>4502989908</v>
      </c>
      <c r="H297" s="1148">
        <v>53434.98</v>
      </c>
      <c r="I297" s="1149">
        <v>40074</v>
      </c>
      <c r="J297" s="1150">
        <v>101</v>
      </c>
      <c r="K297" s="1151">
        <f t="shared" si="35"/>
        <v>40175</v>
      </c>
      <c r="L297" s="1149" t="s">
        <v>41</v>
      </c>
      <c r="M297" s="1149">
        <v>40120</v>
      </c>
      <c r="N297" s="1150">
        <f t="shared" si="34"/>
        <v>-46</v>
      </c>
      <c r="O297" s="1149">
        <v>40128</v>
      </c>
      <c r="P297" s="1153">
        <v>40129</v>
      </c>
      <c r="Q297" s="1172">
        <v>40148</v>
      </c>
      <c r="R297" s="1150">
        <f t="shared" si="30"/>
        <v>74</v>
      </c>
      <c r="S297" s="1154" t="s">
        <v>1250</v>
      </c>
      <c r="T297" s="1187"/>
      <c r="U297" s="1188" t="str">
        <f t="shared" si="31"/>
        <v>en término</v>
      </c>
      <c r="V297" s="1130" t="str">
        <f t="shared" si="32"/>
        <v>Noviembre</v>
      </c>
      <c r="W297" s="1128">
        <f t="shared" si="33"/>
        <v>1</v>
      </c>
    </row>
    <row r="298" spans="1:23" s="1325" customFormat="1" ht="54.95" customHeight="1" thickBot="1" x14ac:dyDescent="0.25">
      <c r="A298" s="1117">
        <v>2009</v>
      </c>
      <c r="B298" s="1117">
        <v>2009</v>
      </c>
      <c r="C298" s="1144" t="s">
        <v>36</v>
      </c>
      <c r="D298" s="1137" t="s">
        <v>133</v>
      </c>
      <c r="E298" s="1120" t="s">
        <v>2032</v>
      </c>
      <c r="F298" s="1128" t="s">
        <v>2166</v>
      </c>
      <c r="G298" s="1121">
        <v>4503055538</v>
      </c>
      <c r="H298" s="1122">
        <v>26485.13</v>
      </c>
      <c r="I298" s="1123">
        <v>40115</v>
      </c>
      <c r="J298" s="1124">
        <v>83</v>
      </c>
      <c r="K298" s="1125">
        <f t="shared" si="35"/>
        <v>40198</v>
      </c>
      <c r="L298" s="1123" t="s">
        <v>41</v>
      </c>
      <c r="M298" s="1123">
        <v>40151</v>
      </c>
      <c r="N298" s="1124">
        <f t="shared" si="34"/>
        <v>-30</v>
      </c>
      <c r="O298" s="1149">
        <v>40164</v>
      </c>
      <c r="P298" s="1153">
        <v>40168</v>
      </c>
      <c r="Q298" s="1172">
        <v>40182</v>
      </c>
      <c r="R298" s="1124">
        <f t="shared" si="30"/>
        <v>67</v>
      </c>
      <c r="S298" s="1128" t="s">
        <v>6259</v>
      </c>
      <c r="T298" s="1187" t="s">
        <v>2170</v>
      </c>
      <c r="U298" s="1188" t="str">
        <f t="shared" si="31"/>
        <v>en término</v>
      </c>
      <c r="V298" s="1130" t="str">
        <f t="shared" si="32"/>
        <v>Diciembre</v>
      </c>
      <c r="W298" s="1128">
        <f t="shared" si="33"/>
        <v>1</v>
      </c>
    </row>
    <row r="299" spans="1:23" s="1325" customFormat="1" ht="54.95" customHeight="1" thickBot="1" x14ac:dyDescent="0.25">
      <c r="A299" s="1117">
        <v>2009</v>
      </c>
      <c r="B299" s="1117">
        <v>2009</v>
      </c>
      <c r="C299" s="1144" t="s">
        <v>36</v>
      </c>
      <c r="D299" s="1145" t="s">
        <v>133</v>
      </c>
      <c r="E299" s="1146" t="s">
        <v>1958</v>
      </c>
      <c r="F299" s="1154" t="s">
        <v>1959</v>
      </c>
      <c r="G299" s="1147">
        <v>4503026206</v>
      </c>
      <c r="H299" s="1148">
        <v>17050.150000000001</v>
      </c>
      <c r="I299" s="1149">
        <v>40098</v>
      </c>
      <c r="J299" s="1150">
        <v>94</v>
      </c>
      <c r="K299" s="1151">
        <f t="shared" si="35"/>
        <v>40192</v>
      </c>
      <c r="L299" s="1149" t="s">
        <v>41</v>
      </c>
      <c r="M299" s="1149">
        <v>40151</v>
      </c>
      <c r="N299" s="1150">
        <f t="shared" si="34"/>
        <v>-24</v>
      </c>
      <c r="O299" s="1149">
        <v>40164</v>
      </c>
      <c r="P299" s="1153">
        <v>40168</v>
      </c>
      <c r="Q299" s="1172">
        <v>40182</v>
      </c>
      <c r="R299" s="1150">
        <f t="shared" si="30"/>
        <v>84</v>
      </c>
      <c r="S299" s="1154" t="s">
        <v>53</v>
      </c>
      <c r="T299" s="1187" t="s">
        <v>2170</v>
      </c>
      <c r="U299" s="1188" t="str">
        <f t="shared" si="31"/>
        <v>en término</v>
      </c>
      <c r="V299" s="1130" t="str">
        <f t="shared" si="32"/>
        <v>Diciembre</v>
      </c>
      <c r="W299" s="1128">
        <f t="shared" si="33"/>
        <v>1</v>
      </c>
    </row>
    <row r="300" spans="1:23" s="1325" customFormat="1" ht="54.95" customHeight="1" thickBot="1" x14ac:dyDescent="0.25">
      <c r="A300" s="1117">
        <v>2009</v>
      </c>
      <c r="B300" s="1117">
        <v>2009</v>
      </c>
      <c r="C300" s="1144" t="s">
        <v>36</v>
      </c>
      <c r="D300" s="1194" t="s">
        <v>133</v>
      </c>
      <c r="E300" s="1146" t="s">
        <v>2032</v>
      </c>
      <c r="F300" s="1154" t="s">
        <v>2166</v>
      </c>
      <c r="G300" s="1147">
        <v>4503017267</v>
      </c>
      <c r="H300" s="1148">
        <v>65472.55</v>
      </c>
      <c r="I300" s="1149">
        <v>40091</v>
      </c>
      <c r="J300" s="1150">
        <v>78</v>
      </c>
      <c r="K300" s="1151">
        <f t="shared" si="35"/>
        <v>40169</v>
      </c>
      <c r="L300" s="1149" t="s">
        <v>41</v>
      </c>
      <c r="M300" s="1149">
        <v>40151</v>
      </c>
      <c r="N300" s="1150">
        <f t="shared" si="34"/>
        <v>-1</v>
      </c>
      <c r="O300" s="1149">
        <v>40164</v>
      </c>
      <c r="P300" s="1153">
        <v>40168</v>
      </c>
      <c r="Q300" s="1172">
        <v>40182</v>
      </c>
      <c r="R300" s="1150">
        <f t="shared" si="30"/>
        <v>91</v>
      </c>
      <c r="S300" s="1154" t="s">
        <v>6260</v>
      </c>
      <c r="T300" s="1187" t="s">
        <v>2170</v>
      </c>
      <c r="U300" s="1188" t="str">
        <f t="shared" si="31"/>
        <v>en término</v>
      </c>
      <c r="V300" s="1130" t="str">
        <f t="shared" si="32"/>
        <v>Diciembre</v>
      </c>
      <c r="W300" s="1128">
        <f t="shared" si="33"/>
        <v>1</v>
      </c>
    </row>
    <row r="301" spans="1:23" s="1325" customFormat="1" ht="54.95" customHeight="1" thickBot="1" x14ac:dyDescent="0.25">
      <c r="A301" s="1117">
        <v>2009</v>
      </c>
      <c r="B301" s="1117">
        <v>2009</v>
      </c>
      <c r="C301" s="1118" t="s">
        <v>78</v>
      </c>
      <c r="D301" s="1119" t="s">
        <v>3165</v>
      </c>
      <c r="E301" s="1120" t="s">
        <v>3684</v>
      </c>
      <c r="F301" s="1120"/>
      <c r="G301" s="1121">
        <v>555025</v>
      </c>
      <c r="H301" s="1122">
        <v>279264.09999999998</v>
      </c>
      <c r="I301" s="1123">
        <v>39794</v>
      </c>
      <c r="J301" s="1124">
        <v>90</v>
      </c>
      <c r="K301" s="1125">
        <f t="shared" si="35"/>
        <v>39884</v>
      </c>
      <c r="L301" s="1195" t="s">
        <v>124</v>
      </c>
      <c r="M301" s="1123">
        <v>39888</v>
      </c>
      <c r="N301" s="1124">
        <v>0</v>
      </c>
      <c r="O301" s="1123">
        <v>39897</v>
      </c>
      <c r="P301" s="1132">
        <v>39898</v>
      </c>
      <c r="Q301" s="1132">
        <v>39914</v>
      </c>
      <c r="R301" s="1124">
        <f t="shared" si="30"/>
        <v>120</v>
      </c>
      <c r="S301" s="1128" t="s">
        <v>6261</v>
      </c>
      <c r="T301" s="1129" t="s">
        <v>3688</v>
      </c>
      <c r="U301" s="1130" t="str">
        <f t="shared" si="31"/>
        <v>en término</v>
      </c>
      <c r="V301" s="1130" t="str">
        <f t="shared" si="32"/>
        <v>Marzo</v>
      </c>
      <c r="W301" s="1128">
        <f t="shared" si="33"/>
        <v>1</v>
      </c>
    </row>
    <row r="302" spans="1:23" s="1325" customFormat="1" ht="54.95" customHeight="1" thickBot="1" x14ac:dyDescent="0.25">
      <c r="A302" s="1117">
        <v>2009</v>
      </c>
      <c r="B302" s="1117">
        <v>2009</v>
      </c>
      <c r="C302" s="1144" t="s">
        <v>78</v>
      </c>
      <c r="D302" s="1145" t="s">
        <v>3165</v>
      </c>
      <c r="E302" s="1146" t="s">
        <v>3689</v>
      </c>
      <c r="F302" s="1146"/>
      <c r="G302" s="1147">
        <v>559237</v>
      </c>
      <c r="H302" s="1148">
        <v>214590.7</v>
      </c>
      <c r="I302" s="1149">
        <v>39961</v>
      </c>
      <c r="J302" s="1150">
        <v>60</v>
      </c>
      <c r="K302" s="1151">
        <f t="shared" si="35"/>
        <v>40021</v>
      </c>
      <c r="L302" s="1196" t="s">
        <v>124</v>
      </c>
      <c r="M302" s="1149">
        <v>40008</v>
      </c>
      <c r="N302" s="1150">
        <f>IF(P302="","",+P302-K302)</f>
        <v>0</v>
      </c>
      <c r="O302" s="1149">
        <v>40011</v>
      </c>
      <c r="P302" s="1153">
        <v>40021</v>
      </c>
      <c r="Q302" s="1153">
        <v>40040</v>
      </c>
      <c r="R302" s="1150">
        <f t="shared" si="30"/>
        <v>79</v>
      </c>
      <c r="S302" s="1154" t="s">
        <v>2183</v>
      </c>
      <c r="T302" s="1187" t="s">
        <v>3692</v>
      </c>
      <c r="U302" s="1188" t="str">
        <f t="shared" si="31"/>
        <v>en término</v>
      </c>
      <c r="V302" s="1130" t="str">
        <f t="shared" si="32"/>
        <v>Julio</v>
      </c>
      <c r="W302" s="1128">
        <f t="shared" si="33"/>
        <v>1</v>
      </c>
    </row>
    <row r="303" spans="1:23" s="1325" customFormat="1" ht="54.95" customHeight="1" thickBot="1" x14ac:dyDescent="0.25">
      <c r="A303" s="1117">
        <v>2009</v>
      </c>
      <c r="B303" s="1117">
        <v>2009</v>
      </c>
      <c r="C303" s="1144" t="s">
        <v>78</v>
      </c>
      <c r="D303" s="1145" t="s">
        <v>3165</v>
      </c>
      <c r="E303" s="1146" t="s">
        <v>3693</v>
      </c>
      <c r="F303" s="1146"/>
      <c r="G303" s="1147">
        <v>559529</v>
      </c>
      <c r="H303" s="1148">
        <v>213933.3</v>
      </c>
      <c r="I303" s="1149">
        <v>39974</v>
      </c>
      <c r="J303" s="1150">
        <v>55</v>
      </c>
      <c r="K303" s="1151">
        <f t="shared" si="35"/>
        <v>40029</v>
      </c>
      <c r="L303" s="1196" t="s">
        <v>124</v>
      </c>
      <c r="M303" s="1149">
        <v>40008</v>
      </c>
      <c r="N303" s="1150">
        <f>IF(P303="","",+P303-K303)</f>
        <v>-8</v>
      </c>
      <c r="O303" s="1149">
        <v>40011</v>
      </c>
      <c r="P303" s="1153">
        <v>40021</v>
      </c>
      <c r="Q303" s="1153">
        <f>+P303+20</f>
        <v>40041</v>
      </c>
      <c r="R303" s="1150">
        <f t="shared" si="30"/>
        <v>67</v>
      </c>
      <c r="S303" s="1154" t="s">
        <v>3694</v>
      </c>
      <c r="T303" s="1187" t="s">
        <v>3692</v>
      </c>
      <c r="U303" s="1188" t="str">
        <f t="shared" si="31"/>
        <v>en término</v>
      </c>
      <c r="V303" s="1130" t="str">
        <f t="shared" si="32"/>
        <v>Julio</v>
      </c>
      <c r="W303" s="1128">
        <f t="shared" si="33"/>
        <v>1</v>
      </c>
    </row>
    <row r="304" spans="1:23" s="1325" customFormat="1" ht="54.95" customHeight="1" thickBot="1" x14ac:dyDescent="0.25">
      <c r="A304" s="1117">
        <v>2009</v>
      </c>
      <c r="B304" s="1117">
        <v>2009</v>
      </c>
      <c r="C304" s="1118" t="s">
        <v>78</v>
      </c>
      <c r="D304" s="1119" t="s">
        <v>3165</v>
      </c>
      <c r="E304" s="1120" t="s">
        <v>3696</v>
      </c>
      <c r="F304" s="1120"/>
      <c r="G304" s="1121">
        <v>560104</v>
      </c>
      <c r="H304" s="1122">
        <v>90428.6</v>
      </c>
      <c r="I304" s="1123">
        <v>39995</v>
      </c>
      <c r="J304" s="1124">
        <v>63</v>
      </c>
      <c r="K304" s="1125">
        <f t="shared" si="35"/>
        <v>40058</v>
      </c>
      <c r="L304" s="1195" t="s">
        <v>124</v>
      </c>
      <c r="M304" s="1123">
        <v>40053</v>
      </c>
      <c r="N304" s="1124">
        <f>IF(P304="","",+P304-K304)</f>
        <v>-2</v>
      </c>
      <c r="O304" s="1123"/>
      <c r="P304" s="1132">
        <v>40056</v>
      </c>
      <c r="Q304" s="1132">
        <v>40086</v>
      </c>
      <c r="R304" s="1124">
        <f t="shared" si="30"/>
        <v>91</v>
      </c>
      <c r="S304" s="1128" t="s">
        <v>53</v>
      </c>
      <c r="T304" s="1129" t="s">
        <v>3698</v>
      </c>
      <c r="U304" s="1130" t="str">
        <f t="shared" si="31"/>
        <v>en término</v>
      </c>
      <c r="V304" s="1130" t="str">
        <f t="shared" si="32"/>
        <v>Agosto</v>
      </c>
      <c r="W304" s="1128">
        <f t="shared" si="33"/>
        <v>1</v>
      </c>
    </row>
    <row r="305" spans="1:23" s="1325" customFormat="1" ht="54.95" customHeight="1" thickBot="1" x14ac:dyDescent="0.25">
      <c r="A305" s="1117">
        <v>2009</v>
      </c>
      <c r="B305" s="1117">
        <v>2009</v>
      </c>
      <c r="C305" s="1118" t="s">
        <v>4005</v>
      </c>
      <c r="D305" s="1119" t="s">
        <v>4236</v>
      </c>
      <c r="E305" s="1120"/>
      <c r="F305" s="1120"/>
      <c r="G305" s="1121" t="s">
        <v>4598</v>
      </c>
      <c r="H305" s="1122">
        <v>13987.1</v>
      </c>
      <c r="I305" s="1123">
        <v>39771</v>
      </c>
      <c r="J305" s="1124">
        <v>90</v>
      </c>
      <c r="K305" s="1125">
        <f t="shared" si="35"/>
        <v>39861</v>
      </c>
      <c r="L305" s="1133" t="s">
        <v>4405</v>
      </c>
      <c r="M305" s="1123">
        <v>39826</v>
      </c>
      <c r="N305" s="1124">
        <v>0</v>
      </c>
      <c r="O305" s="1123"/>
      <c r="P305" s="1132">
        <v>39906</v>
      </c>
      <c r="Q305" s="1132">
        <v>39910</v>
      </c>
      <c r="R305" s="1124">
        <f t="shared" si="30"/>
        <v>139</v>
      </c>
      <c r="S305" s="1128" t="s">
        <v>4599</v>
      </c>
      <c r="T305" s="1129" t="s">
        <v>4604</v>
      </c>
      <c r="U305" s="1130" t="str">
        <f t="shared" si="31"/>
        <v>en término</v>
      </c>
      <c r="V305" s="1130" t="str">
        <f t="shared" si="32"/>
        <v>Enero</v>
      </c>
      <c r="W305" s="1128">
        <f t="shared" si="33"/>
        <v>1</v>
      </c>
    </row>
    <row r="306" spans="1:23" s="1325" customFormat="1" ht="54.95" customHeight="1" thickBot="1" x14ac:dyDescent="0.25">
      <c r="A306" s="1117">
        <v>2009</v>
      </c>
      <c r="B306" s="1117">
        <v>2009</v>
      </c>
      <c r="C306" s="1118" t="s">
        <v>4005</v>
      </c>
      <c r="D306" s="1119" t="s">
        <v>4236</v>
      </c>
      <c r="E306" s="1120"/>
      <c r="F306" s="1120"/>
      <c r="G306" s="1121" t="s">
        <v>4585</v>
      </c>
      <c r="H306" s="1122">
        <v>8146</v>
      </c>
      <c r="I306" s="1123">
        <v>39580</v>
      </c>
      <c r="J306" s="1124">
        <v>90</v>
      </c>
      <c r="K306" s="1125">
        <f t="shared" si="35"/>
        <v>39670</v>
      </c>
      <c r="L306" s="1133" t="s">
        <v>4405</v>
      </c>
      <c r="M306" s="1123">
        <v>39825</v>
      </c>
      <c r="N306" s="1124">
        <v>0</v>
      </c>
      <c r="O306" s="1123"/>
      <c r="P306" s="1132">
        <v>39936</v>
      </c>
      <c r="Q306" s="1132">
        <v>39944</v>
      </c>
      <c r="R306" s="1124">
        <f t="shared" si="30"/>
        <v>364</v>
      </c>
      <c r="S306" s="1128" t="s">
        <v>4606</v>
      </c>
      <c r="T306" s="1129" t="s">
        <v>4610</v>
      </c>
      <c r="U306" s="1130" t="str">
        <f t="shared" si="31"/>
        <v>en término</v>
      </c>
      <c r="V306" s="1130" t="str">
        <f t="shared" si="32"/>
        <v>Enero</v>
      </c>
      <c r="W306" s="1128">
        <f t="shared" si="33"/>
        <v>1</v>
      </c>
    </row>
    <row r="307" spans="1:23" s="1325" customFormat="1" ht="54.95" customHeight="1" thickBot="1" x14ac:dyDescent="0.25">
      <c r="A307" s="1117">
        <v>2009</v>
      </c>
      <c r="B307" s="1117">
        <v>2009</v>
      </c>
      <c r="C307" s="1118" t="s">
        <v>4005</v>
      </c>
      <c r="D307" s="1119" t="s">
        <v>4236</v>
      </c>
      <c r="E307" s="1120"/>
      <c r="F307" s="1120"/>
      <c r="G307" s="1121" t="s">
        <v>4611</v>
      </c>
      <c r="H307" s="1122">
        <v>59754.45</v>
      </c>
      <c r="I307" s="1123">
        <v>39896</v>
      </c>
      <c r="J307" s="1124">
        <v>90</v>
      </c>
      <c r="K307" s="1125">
        <f t="shared" si="35"/>
        <v>39986</v>
      </c>
      <c r="L307" s="1133" t="s">
        <v>4405</v>
      </c>
      <c r="M307" s="1123">
        <v>39941</v>
      </c>
      <c r="N307" s="1124">
        <f t="shared" ref="N307:N320" si="36">IF(P307="","",+P307-K307)</f>
        <v>-43</v>
      </c>
      <c r="O307" s="1123">
        <v>39952</v>
      </c>
      <c r="P307" s="1132">
        <v>39943</v>
      </c>
      <c r="Q307" s="1132">
        <f>+P307+30</f>
        <v>39973</v>
      </c>
      <c r="R307" s="1124">
        <f t="shared" si="30"/>
        <v>77</v>
      </c>
      <c r="S307" s="1128" t="s">
        <v>4613</v>
      </c>
      <c r="T307" s="1129" t="s">
        <v>4615</v>
      </c>
      <c r="U307" s="1130" t="str">
        <f t="shared" si="31"/>
        <v>en término</v>
      </c>
      <c r="V307" s="1130" t="str">
        <f t="shared" si="32"/>
        <v>Mayo</v>
      </c>
      <c r="W307" s="1128">
        <f t="shared" si="33"/>
        <v>1</v>
      </c>
    </row>
    <row r="308" spans="1:23" s="1325" customFormat="1" ht="54.95" customHeight="1" thickBot="1" x14ac:dyDescent="0.25">
      <c r="A308" s="1117">
        <v>2009</v>
      </c>
      <c r="B308" s="1117">
        <v>2009</v>
      </c>
      <c r="C308" s="1118" t="s">
        <v>4005</v>
      </c>
      <c r="D308" s="1119" t="s">
        <v>4236</v>
      </c>
      <c r="E308" s="1120" t="s">
        <v>4616</v>
      </c>
      <c r="F308" s="1120"/>
      <c r="G308" s="1121" t="s">
        <v>4617</v>
      </c>
      <c r="H308" s="1122">
        <v>1590</v>
      </c>
      <c r="I308" s="1123">
        <v>40058</v>
      </c>
      <c r="J308" s="1124">
        <v>15</v>
      </c>
      <c r="K308" s="1125">
        <f t="shared" si="35"/>
        <v>40073</v>
      </c>
      <c r="L308" s="1133" t="s">
        <v>4405</v>
      </c>
      <c r="M308" s="1123">
        <v>40067</v>
      </c>
      <c r="N308" s="1124">
        <f t="shared" si="36"/>
        <v>2</v>
      </c>
      <c r="O308" s="1123">
        <v>40073</v>
      </c>
      <c r="P308" s="1132">
        <v>40075</v>
      </c>
      <c r="Q308" s="1132">
        <f>+P308+7</f>
        <v>40082</v>
      </c>
      <c r="R308" s="1124">
        <f t="shared" si="30"/>
        <v>24</v>
      </c>
      <c r="S308" s="1128" t="s">
        <v>4618</v>
      </c>
      <c r="T308" s="1129"/>
      <c r="U308" s="1130" t="str">
        <f t="shared" si="31"/>
        <v>atrasado</v>
      </c>
      <c r="V308" s="1130" t="str">
        <f t="shared" si="32"/>
        <v>Septiembre</v>
      </c>
      <c r="W308" s="1128">
        <f t="shared" si="33"/>
        <v>0</v>
      </c>
    </row>
    <row r="309" spans="1:23" s="1325" customFormat="1" ht="57.6" customHeight="1" thickBot="1" x14ac:dyDescent="0.25">
      <c r="A309" s="1117">
        <v>2009</v>
      </c>
      <c r="B309" s="1117">
        <v>2009</v>
      </c>
      <c r="C309" s="1118" t="s">
        <v>114</v>
      </c>
      <c r="D309" s="1119" t="s">
        <v>115</v>
      </c>
      <c r="E309" s="1120" t="s">
        <v>4764</v>
      </c>
      <c r="F309" s="1120"/>
      <c r="G309" s="1138" t="s">
        <v>4765</v>
      </c>
      <c r="H309" s="1122">
        <v>2650</v>
      </c>
      <c r="I309" s="1123">
        <v>40032</v>
      </c>
      <c r="J309" s="1124">
        <v>7</v>
      </c>
      <c r="K309" s="1125">
        <f t="shared" si="35"/>
        <v>40039</v>
      </c>
      <c r="L309" s="1133" t="s">
        <v>124</v>
      </c>
      <c r="M309" s="1123">
        <v>40032</v>
      </c>
      <c r="N309" s="1124">
        <f t="shared" si="36"/>
        <v>4</v>
      </c>
      <c r="O309" s="1123">
        <v>40036</v>
      </c>
      <c r="P309" s="1132">
        <v>40043</v>
      </c>
      <c r="Q309" s="1132">
        <v>40061</v>
      </c>
      <c r="R309" s="1124">
        <f t="shared" si="30"/>
        <v>29</v>
      </c>
      <c r="S309" s="1128" t="s">
        <v>53</v>
      </c>
      <c r="T309" s="1129" t="s">
        <v>4767</v>
      </c>
      <c r="U309" s="1130" t="str">
        <f t="shared" si="31"/>
        <v>atrasado</v>
      </c>
      <c r="V309" s="1130" t="str">
        <f t="shared" si="32"/>
        <v>Agosto</v>
      </c>
      <c r="W309" s="1128">
        <f t="shared" si="33"/>
        <v>0</v>
      </c>
    </row>
    <row r="310" spans="1:23" s="1325" customFormat="1" ht="57.6" customHeight="1" thickBot="1" x14ac:dyDescent="0.25">
      <c r="A310" s="1117">
        <v>2009</v>
      </c>
      <c r="B310" s="1117">
        <v>2009</v>
      </c>
      <c r="C310" s="1118" t="s">
        <v>4832</v>
      </c>
      <c r="D310" s="1119" t="s">
        <v>5017</v>
      </c>
      <c r="E310" s="1120" t="s">
        <v>5018</v>
      </c>
      <c r="F310" s="1120"/>
      <c r="G310" s="1138" t="s">
        <v>5019</v>
      </c>
      <c r="H310" s="1122">
        <v>9750</v>
      </c>
      <c r="I310" s="1123">
        <v>39819</v>
      </c>
      <c r="J310" s="1124">
        <v>15</v>
      </c>
      <c r="K310" s="1125">
        <f t="shared" si="35"/>
        <v>39834</v>
      </c>
      <c r="L310" s="1133" t="s">
        <v>124</v>
      </c>
      <c r="M310" s="1123">
        <v>39829</v>
      </c>
      <c r="N310" s="1124">
        <f t="shared" si="36"/>
        <v>16</v>
      </c>
      <c r="O310" s="1123">
        <v>39849</v>
      </c>
      <c r="P310" s="1132">
        <v>39850</v>
      </c>
      <c r="Q310" s="1132">
        <v>39863</v>
      </c>
      <c r="R310" s="1124">
        <f t="shared" si="30"/>
        <v>44</v>
      </c>
      <c r="S310" s="1128" t="s">
        <v>5021</v>
      </c>
      <c r="T310" s="1129"/>
      <c r="U310" s="1130" t="str">
        <f t="shared" si="31"/>
        <v>atrasado</v>
      </c>
      <c r="V310" s="1130" t="str">
        <f t="shared" si="32"/>
        <v>Enero</v>
      </c>
      <c r="W310" s="1128">
        <f t="shared" si="33"/>
        <v>0</v>
      </c>
    </row>
    <row r="311" spans="1:23" s="1325" customFormat="1" ht="57.6" customHeight="1" thickBot="1" x14ac:dyDescent="0.25">
      <c r="A311" s="1117">
        <v>2009</v>
      </c>
      <c r="B311" s="1117">
        <v>2009</v>
      </c>
      <c r="C311" s="1118" t="s">
        <v>4832</v>
      </c>
      <c r="D311" s="1119" t="s">
        <v>5017</v>
      </c>
      <c r="E311" s="1120" t="s">
        <v>5025</v>
      </c>
      <c r="F311" s="1120"/>
      <c r="G311" s="1138" t="s">
        <v>5026</v>
      </c>
      <c r="H311" s="1122">
        <v>13880</v>
      </c>
      <c r="I311" s="1123">
        <v>39819</v>
      </c>
      <c r="J311" s="1124">
        <v>60</v>
      </c>
      <c r="K311" s="1125">
        <f t="shared" si="35"/>
        <v>39879</v>
      </c>
      <c r="L311" s="1133" t="s">
        <v>124</v>
      </c>
      <c r="M311" s="1123">
        <v>39875</v>
      </c>
      <c r="N311" s="1124">
        <f t="shared" si="36"/>
        <v>20</v>
      </c>
      <c r="O311" s="1123">
        <v>39889</v>
      </c>
      <c r="P311" s="1132">
        <v>39899</v>
      </c>
      <c r="Q311" s="1132">
        <f>+P311+15</f>
        <v>39914</v>
      </c>
      <c r="R311" s="1124">
        <f t="shared" si="30"/>
        <v>95</v>
      </c>
      <c r="S311" s="1128" t="s">
        <v>5027</v>
      </c>
      <c r="T311" s="1129" t="s">
        <v>5030</v>
      </c>
      <c r="U311" s="1130" t="str">
        <f t="shared" si="31"/>
        <v>atrasado</v>
      </c>
      <c r="V311" s="1130" t="str">
        <f t="shared" si="32"/>
        <v>Marzo</v>
      </c>
      <c r="W311" s="1128">
        <f t="shared" si="33"/>
        <v>0</v>
      </c>
    </row>
    <row r="312" spans="1:23" s="1325" customFormat="1" ht="57.6" customHeight="1" thickBot="1" x14ac:dyDescent="0.25">
      <c r="A312" s="1117">
        <v>2009</v>
      </c>
      <c r="B312" s="1117">
        <v>2009</v>
      </c>
      <c r="C312" s="1118" t="s">
        <v>4832</v>
      </c>
      <c r="D312" s="1119" t="s">
        <v>5017</v>
      </c>
      <c r="E312" s="1120" t="s">
        <v>5031</v>
      </c>
      <c r="F312" s="1120"/>
      <c r="G312" s="1138" t="s">
        <v>5032</v>
      </c>
      <c r="H312" s="1122">
        <v>5900</v>
      </c>
      <c r="I312" s="1123">
        <v>39932</v>
      </c>
      <c r="J312" s="1124">
        <v>30</v>
      </c>
      <c r="K312" s="1125">
        <f t="shared" si="35"/>
        <v>39962</v>
      </c>
      <c r="L312" s="1133" t="s">
        <v>124</v>
      </c>
      <c r="M312" s="1123">
        <v>39952</v>
      </c>
      <c r="N312" s="1124">
        <f t="shared" si="36"/>
        <v>4</v>
      </c>
      <c r="O312" s="1123">
        <v>39959</v>
      </c>
      <c r="P312" s="1132">
        <v>39966</v>
      </c>
      <c r="Q312" s="1132">
        <v>39980</v>
      </c>
      <c r="R312" s="1124">
        <f t="shared" si="30"/>
        <v>48</v>
      </c>
      <c r="S312" s="1128" t="s">
        <v>752</v>
      </c>
      <c r="T312" s="1129"/>
      <c r="U312" s="1130" t="str">
        <f t="shared" si="31"/>
        <v>atrasado</v>
      </c>
      <c r="V312" s="1130" t="str">
        <f t="shared" si="32"/>
        <v>Mayo</v>
      </c>
      <c r="W312" s="1128">
        <f t="shared" si="33"/>
        <v>0</v>
      </c>
    </row>
    <row r="313" spans="1:23" s="1325" customFormat="1" ht="57.6" customHeight="1" thickBot="1" x14ac:dyDescent="0.25">
      <c r="A313" s="1117">
        <v>2009</v>
      </c>
      <c r="B313" s="1117">
        <v>2009</v>
      </c>
      <c r="C313" s="1118" t="s">
        <v>120</v>
      </c>
      <c r="D313" s="1119" t="s">
        <v>121</v>
      </c>
      <c r="E313" s="1120" t="s">
        <v>5191</v>
      </c>
      <c r="F313" s="1120"/>
      <c r="G313" s="1138">
        <v>20697</v>
      </c>
      <c r="H313" s="1122">
        <v>340</v>
      </c>
      <c r="I313" s="1123">
        <v>39960</v>
      </c>
      <c r="J313" s="1124">
        <v>85</v>
      </c>
      <c r="K313" s="1125">
        <f t="shared" ref="K313:K344" si="37">+I313+J313</f>
        <v>40045</v>
      </c>
      <c r="L313" s="1133" t="s">
        <v>124</v>
      </c>
      <c r="M313" s="1123">
        <v>40008</v>
      </c>
      <c r="N313" s="1124">
        <f t="shared" si="36"/>
        <v>-34</v>
      </c>
      <c r="O313" s="1123"/>
      <c r="P313" s="1132">
        <v>40011</v>
      </c>
      <c r="Q313" s="1132">
        <v>40015</v>
      </c>
      <c r="R313" s="1124">
        <f t="shared" si="30"/>
        <v>55</v>
      </c>
      <c r="S313" s="1128" t="s">
        <v>2183</v>
      </c>
      <c r="T313" s="1129"/>
      <c r="U313" s="1130" t="str">
        <f t="shared" si="31"/>
        <v>en término</v>
      </c>
      <c r="V313" s="1130" t="str">
        <f t="shared" si="32"/>
        <v>Julio</v>
      </c>
      <c r="W313" s="1128">
        <f t="shared" si="33"/>
        <v>1</v>
      </c>
    </row>
    <row r="314" spans="1:23" s="1325" customFormat="1" ht="57.6" customHeight="1" thickBot="1" x14ac:dyDescent="0.25">
      <c r="A314" s="1117">
        <v>2009</v>
      </c>
      <c r="B314" s="1117">
        <v>2009</v>
      </c>
      <c r="C314" s="1118" t="s">
        <v>120</v>
      </c>
      <c r="D314" s="1119" t="s">
        <v>121</v>
      </c>
      <c r="E314" s="1120" t="s">
        <v>5195</v>
      </c>
      <c r="F314" s="1120"/>
      <c r="G314" s="1138">
        <v>21315</v>
      </c>
      <c r="H314" s="1122">
        <v>5486</v>
      </c>
      <c r="I314" s="1123">
        <v>40014</v>
      </c>
      <c r="J314" s="1124">
        <v>87</v>
      </c>
      <c r="K314" s="1125">
        <f t="shared" si="37"/>
        <v>40101</v>
      </c>
      <c r="L314" s="1133" t="s">
        <v>124</v>
      </c>
      <c r="M314" s="1123">
        <v>40057</v>
      </c>
      <c r="N314" s="1124">
        <f t="shared" si="36"/>
        <v>-23</v>
      </c>
      <c r="O314" s="1123">
        <v>40056</v>
      </c>
      <c r="P314" s="1132">
        <v>40078</v>
      </c>
      <c r="Q314" s="1132">
        <v>40096</v>
      </c>
      <c r="R314" s="1124">
        <f t="shared" si="30"/>
        <v>82</v>
      </c>
      <c r="S314" s="1128" t="s">
        <v>2183</v>
      </c>
      <c r="T314" s="1129"/>
      <c r="U314" s="1130" t="str">
        <f t="shared" si="31"/>
        <v>en término</v>
      </c>
      <c r="V314" s="1130" t="str">
        <f t="shared" si="32"/>
        <v>Septiembre</v>
      </c>
      <c r="W314" s="1128">
        <f t="shared" si="33"/>
        <v>1</v>
      </c>
    </row>
    <row r="315" spans="1:23" s="1325" customFormat="1" ht="57.6" customHeight="1" thickBot="1" x14ac:dyDescent="0.25">
      <c r="A315" s="1117">
        <v>2009</v>
      </c>
      <c r="B315" s="1117">
        <v>2009</v>
      </c>
      <c r="C315" s="1118" t="s">
        <v>120</v>
      </c>
      <c r="D315" s="1119" t="s">
        <v>121</v>
      </c>
      <c r="E315" s="1120" t="s">
        <v>5198</v>
      </c>
      <c r="F315" s="1120"/>
      <c r="G315" s="1138">
        <v>21582</v>
      </c>
      <c r="H315" s="1122">
        <v>1263</v>
      </c>
      <c r="I315" s="1123">
        <v>40042</v>
      </c>
      <c r="J315" s="1124">
        <v>59</v>
      </c>
      <c r="K315" s="1125">
        <f t="shared" si="37"/>
        <v>40101</v>
      </c>
      <c r="L315" s="1133" t="s">
        <v>124</v>
      </c>
      <c r="M315" s="1123">
        <v>40057</v>
      </c>
      <c r="N315" s="1124">
        <f t="shared" si="36"/>
        <v>-23</v>
      </c>
      <c r="O315" s="1123">
        <v>40056</v>
      </c>
      <c r="P315" s="1132">
        <v>40078</v>
      </c>
      <c r="Q315" s="1132">
        <v>40461</v>
      </c>
      <c r="R315" s="1124">
        <f t="shared" si="30"/>
        <v>419</v>
      </c>
      <c r="S315" s="1128" t="s">
        <v>2183</v>
      </c>
      <c r="T315" s="1129"/>
      <c r="U315" s="1130" t="str">
        <f t="shared" si="31"/>
        <v>en término</v>
      </c>
      <c r="V315" s="1130" t="str">
        <f t="shared" si="32"/>
        <v>Septiembre</v>
      </c>
      <c r="W315" s="1128">
        <f t="shared" si="33"/>
        <v>1</v>
      </c>
    </row>
    <row r="316" spans="1:23" s="1325" customFormat="1" ht="57.6" customHeight="1" thickBot="1" x14ac:dyDescent="0.25">
      <c r="A316" s="1117">
        <v>2009</v>
      </c>
      <c r="B316" s="1117">
        <v>2009</v>
      </c>
      <c r="C316" s="1118" t="s">
        <v>120</v>
      </c>
      <c r="D316" s="1119" t="s">
        <v>121</v>
      </c>
      <c r="E316" s="1120" t="s">
        <v>5199</v>
      </c>
      <c r="F316" s="1120"/>
      <c r="G316" s="1138">
        <v>21855</v>
      </c>
      <c r="H316" s="1122">
        <v>9392</v>
      </c>
      <c r="I316" s="1123">
        <v>40066</v>
      </c>
      <c r="J316" s="1124">
        <v>35</v>
      </c>
      <c r="K316" s="1125">
        <f t="shared" si="37"/>
        <v>40101</v>
      </c>
      <c r="L316" s="1133" t="s">
        <v>124</v>
      </c>
      <c r="M316" s="1123">
        <v>40091</v>
      </c>
      <c r="N316" s="1124">
        <f t="shared" si="36"/>
        <v>13</v>
      </c>
      <c r="O316" s="1123">
        <v>40108</v>
      </c>
      <c r="P316" s="1132">
        <v>40114</v>
      </c>
      <c r="Q316" s="1132">
        <f>+P316+20</f>
        <v>40134</v>
      </c>
      <c r="R316" s="1124">
        <f t="shared" si="30"/>
        <v>68</v>
      </c>
      <c r="S316" s="1128" t="s">
        <v>5201</v>
      </c>
      <c r="T316" s="1129" t="s">
        <v>5202</v>
      </c>
      <c r="U316" s="1130" t="str">
        <f t="shared" si="31"/>
        <v>atrasado</v>
      </c>
      <c r="V316" s="1130" t="str">
        <f t="shared" si="32"/>
        <v>Octubre</v>
      </c>
      <c r="W316" s="1128">
        <f t="shared" si="33"/>
        <v>0</v>
      </c>
    </row>
    <row r="317" spans="1:23" s="1325" customFormat="1" ht="57.6" customHeight="1" thickBot="1" x14ac:dyDescent="0.25">
      <c r="A317" s="1117">
        <v>2009</v>
      </c>
      <c r="B317" s="1117">
        <v>2009</v>
      </c>
      <c r="C317" s="1118" t="s">
        <v>120</v>
      </c>
      <c r="D317" s="1119" t="s">
        <v>121</v>
      </c>
      <c r="E317" s="1120" t="s">
        <v>5203</v>
      </c>
      <c r="F317" s="1120"/>
      <c r="G317" s="1138">
        <v>22317</v>
      </c>
      <c r="H317" s="1122">
        <v>6980</v>
      </c>
      <c r="I317" s="1123">
        <v>40106</v>
      </c>
      <c r="J317" s="1124">
        <v>46</v>
      </c>
      <c r="K317" s="1125">
        <f t="shared" si="37"/>
        <v>40152</v>
      </c>
      <c r="L317" s="1133" t="s">
        <v>124</v>
      </c>
      <c r="M317" s="1123">
        <v>40141</v>
      </c>
      <c r="N317" s="1124">
        <f t="shared" si="36"/>
        <v>3</v>
      </c>
      <c r="O317" s="1123"/>
      <c r="P317" s="1132">
        <v>40155</v>
      </c>
      <c r="Q317" s="1132">
        <f>+P317+20</f>
        <v>40175</v>
      </c>
      <c r="R317" s="1124">
        <f t="shared" si="30"/>
        <v>69</v>
      </c>
      <c r="S317" s="1128" t="s">
        <v>6262</v>
      </c>
      <c r="T317" s="1129"/>
      <c r="U317" s="1130" t="str">
        <f t="shared" si="31"/>
        <v>atrasado</v>
      </c>
      <c r="V317" s="1130" t="str">
        <f t="shared" si="32"/>
        <v>Noviembre</v>
      </c>
      <c r="W317" s="1128">
        <f t="shared" si="33"/>
        <v>0</v>
      </c>
    </row>
    <row r="318" spans="1:23" s="1325" customFormat="1" ht="57.6" customHeight="1" thickBot="1" x14ac:dyDescent="0.25">
      <c r="A318" s="1117">
        <v>2009</v>
      </c>
      <c r="B318" s="1117">
        <v>2009</v>
      </c>
      <c r="C318" s="1118" t="s">
        <v>120</v>
      </c>
      <c r="D318" s="1119" t="s">
        <v>121</v>
      </c>
      <c r="E318" s="1120" t="s">
        <v>5207</v>
      </c>
      <c r="F318" s="1120"/>
      <c r="G318" s="1138">
        <v>22092</v>
      </c>
      <c r="H318" s="1122">
        <v>3794</v>
      </c>
      <c r="I318" s="1123">
        <v>40088</v>
      </c>
      <c r="J318" s="1124">
        <v>39</v>
      </c>
      <c r="K318" s="1125">
        <f t="shared" si="37"/>
        <v>40127</v>
      </c>
      <c r="L318" s="1133" t="s">
        <v>124</v>
      </c>
      <c r="M318" s="1123">
        <v>40120</v>
      </c>
      <c r="N318" s="1124">
        <f t="shared" si="36"/>
        <v>28</v>
      </c>
      <c r="O318" s="1123"/>
      <c r="P318" s="1132">
        <v>40155</v>
      </c>
      <c r="Q318" s="1132">
        <f>+P318+20</f>
        <v>40175</v>
      </c>
      <c r="R318" s="1124">
        <f t="shared" si="30"/>
        <v>87</v>
      </c>
      <c r="S318" s="1128" t="s">
        <v>6263</v>
      </c>
      <c r="T318" s="1129"/>
      <c r="U318" s="1130" t="str">
        <f t="shared" si="31"/>
        <v>atrasado</v>
      </c>
      <c r="V318" s="1130" t="str">
        <f t="shared" si="32"/>
        <v>Noviembre</v>
      </c>
      <c r="W318" s="1128">
        <f t="shared" si="33"/>
        <v>0</v>
      </c>
    </row>
    <row r="319" spans="1:23" s="1325" customFormat="1" ht="57.6" customHeight="1" thickBot="1" x14ac:dyDescent="0.25">
      <c r="A319" s="1117">
        <v>2009</v>
      </c>
      <c r="B319" s="1117">
        <v>2009</v>
      </c>
      <c r="C319" s="1118" t="s">
        <v>5265</v>
      </c>
      <c r="D319" s="1119" t="s">
        <v>5266</v>
      </c>
      <c r="E319" s="1120" t="s">
        <v>5320</v>
      </c>
      <c r="F319" s="1120"/>
      <c r="G319" s="1138" t="s">
        <v>5325</v>
      </c>
      <c r="H319" s="1122">
        <v>5495</v>
      </c>
      <c r="I319" s="1123">
        <v>39870</v>
      </c>
      <c r="J319" s="1124">
        <v>45</v>
      </c>
      <c r="K319" s="1125">
        <f t="shared" si="37"/>
        <v>39915</v>
      </c>
      <c r="L319" s="1133" t="s">
        <v>5104</v>
      </c>
      <c r="M319" s="1123">
        <v>39892</v>
      </c>
      <c r="N319" s="1124">
        <f t="shared" si="36"/>
        <v>-5</v>
      </c>
      <c r="O319" s="1123">
        <v>39904</v>
      </c>
      <c r="P319" s="1132">
        <v>39910</v>
      </c>
      <c r="Q319" s="1132">
        <v>39942</v>
      </c>
      <c r="R319" s="1124">
        <f t="shared" si="30"/>
        <v>72</v>
      </c>
      <c r="S319" s="1128" t="s">
        <v>6264</v>
      </c>
      <c r="T319" s="1129"/>
      <c r="U319" s="1130" t="str">
        <f t="shared" si="31"/>
        <v>en término</v>
      </c>
      <c r="V319" s="1130" t="str">
        <f t="shared" si="32"/>
        <v>Marzo</v>
      </c>
      <c r="W319" s="1128">
        <f t="shared" si="33"/>
        <v>1</v>
      </c>
    </row>
    <row r="320" spans="1:23" s="1325" customFormat="1" ht="57.6" customHeight="1" thickBot="1" x14ac:dyDescent="0.25">
      <c r="A320" s="1117">
        <v>2009</v>
      </c>
      <c r="B320" s="1117">
        <v>2009</v>
      </c>
      <c r="C320" s="1118" t="s">
        <v>5265</v>
      </c>
      <c r="D320" s="1119" t="s">
        <v>5266</v>
      </c>
      <c r="E320" s="1120" t="s">
        <v>5329</v>
      </c>
      <c r="F320" s="1120"/>
      <c r="G320" s="1138" t="s">
        <v>5330</v>
      </c>
      <c r="H320" s="1122">
        <v>4279.6000000000004</v>
      </c>
      <c r="I320" s="1123">
        <v>39982</v>
      </c>
      <c r="J320" s="1124">
        <v>21</v>
      </c>
      <c r="K320" s="1125">
        <f t="shared" si="37"/>
        <v>40003</v>
      </c>
      <c r="L320" s="1133" t="s">
        <v>5104</v>
      </c>
      <c r="M320" s="1123">
        <v>40001</v>
      </c>
      <c r="N320" s="1124">
        <f t="shared" si="36"/>
        <v>5</v>
      </c>
      <c r="O320" s="1123"/>
      <c r="P320" s="1132">
        <v>40008</v>
      </c>
      <c r="Q320" s="1132">
        <f>+P320+2</f>
        <v>40010</v>
      </c>
      <c r="R320" s="1124">
        <f t="shared" si="30"/>
        <v>28</v>
      </c>
      <c r="S320" s="1128" t="s">
        <v>937</v>
      </c>
      <c r="T320" s="1129" t="s">
        <v>2103</v>
      </c>
      <c r="U320" s="1130" t="str">
        <f t="shared" si="31"/>
        <v>atrasado</v>
      </c>
      <c r="V320" s="1130" t="str">
        <f t="shared" si="32"/>
        <v>Julio</v>
      </c>
      <c r="W320" s="1128">
        <f t="shared" si="33"/>
        <v>0</v>
      </c>
    </row>
    <row r="321" spans="1:23" s="1325" customFormat="1" ht="57.6" customHeight="1" thickBot="1" x14ac:dyDescent="0.25">
      <c r="A321" s="1117">
        <v>2009</v>
      </c>
      <c r="B321" s="1117">
        <v>2009</v>
      </c>
      <c r="C321" s="1118" t="s">
        <v>5366</v>
      </c>
      <c r="D321" s="1145" t="s">
        <v>5382</v>
      </c>
      <c r="E321" s="1120" t="s">
        <v>5406</v>
      </c>
      <c r="F321" s="1120"/>
      <c r="G321" s="1138" t="s">
        <v>5407</v>
      </c>
      <c r="H321" s="1122">
        <v>6030</v>
      </c>
      <c r="I321" s="1123">
        <v>40016</v>
      </c>
      <c r="J321" s="1124">
        <v>45</v>
      </c>
      <c r="K321" s="1125">
        <f t="shared" si="37"/>
        <v>40061</v>
      </c>
      <c r="L321" s="1133" t="s">
        <v>124</v>
      </c>
      <c r="M321" s="1123">
        <v>40050</v>
      </c>
      <c r="N321" s="1124">
        <v>0</v>
      </c>
      <c r="O321" s="1123">
        <v>40057</v>
      </c>
      <c r="P321" s="1132">
        <v>40082</v>
      </c>
      <c r="Q321" s="1132">
        <v>40124</v>
      </c>
      <c r="R321" s="1124">
        <f t="shared" si="30"/>
        <v>108</v>
      </c>
      <c r="S321" s="1128" t="s">
        <v>5409</v>
      </c>
      <c r="T321" s="1129" t="s">
        <v>5411</v>
      </c>
      <c r="U321" s="1130" t="str">
        <f t="shared" si="31"/>
        <v>en término</v>
      </c>
      <c r="V321" s="1130" t="str">
        <f t="shared" si="32"/>
        <v>Agosto</v>
      </c>
      <c r="W321" s="1128">
        <f t="shared" si="33"/>
        <v>1</v>
      </c>
    </row>
    <row r="322" spans="1:23" s="1325" customFormat="1" ht="57.6" customHeight="1" thickBot="1" x14ac:dyDescent="0.25">
      <c r="A322" s="1117">
        <v>2009</v>
      </c>
      <c r="B322" s="1117">
        <v>2009</v>
      </c>
      <c r="C322" s="1118" t="s">
        <v>5433</v>
      </c>
      <c r="D322" s="1145" t="s">
        <v>5434</v>
      </c>
      <c r="E322" s="1120" t="s">
        <v>5450</v>
      </c>
      <c r="F322" s="1120"/>
      <c r="G322" s="1138" t="s">
        <v>5451</v>
      </c>
      <c r="H322" s="1122">
        <v>3980</v>
      </c>
      <c r="I322" s="1123">
        <v>39995</v>
      </c>
      <c r="J322" s="1124">
        <v>6</v>
      </c>
      <c r="K322" s="1125">
        <f t="shared" si="37"/>
        <v>40001</v>
      </c>
      <c r="L322" s="1133" t="s">
        <v>5445</v>
      </c>
      <c r="M322" s="1123">
        <v>40001</v>
      </c>
      <c r="N322" s="1124">
        <f>IF(P322="","",+P322-K322)</f>
        <v>10</v>
      </c>
      <c r="O322" s="1123">
        <v>40010</v>
      </c>
      <c r="P322" s="1132">
        <v>40011</v>
      </c>
      <c r="Q322" s="1132">
        <f>+P322+3</f>
        <v>40014</v>
      </c>
      <c r="R322" s="1124">
        <f t="shared" ref="R322:R325" si="38">IF(Q322="","",+Q322-I322)</f>
        <v>19</v>
      </c>
      <c r="S322" s="1128" t="s">
        <v>5452</v>
      </c>
      <c r="T322" s="1129" t="s">
        <v>5455</v>
      </c>
      <c r="U322" s="1130" t="str">
        <f t="shared" ref="U322:U385" si="39">IF(N322="","",IF(N322&lt;=0,"en término","atrasado"))</f>
        <v>atrasado</v>
      </c>
      <c r="V322" s="1130" t="str">
        <f t="shared" ref="V322:V385" si="40">VLOOKUP(MONTH(M322),$Y$66:$Z$77,2,FALSE)</f>
        <v>Julio</v>
      </c>
      <c r="W322" s="1128">
        <f t="shared" ref="W322:W385" si="41">+IF(U322="atrasado",0)+IF(U322="en término",1)</f>
        <v>0</v>
      </c>
    </row>
    <row r="323" spans="1:23" s="1325" customFormat="1" ht="57.6" customHeight="1" thickBot="1" x14ac:dyDescent="0.25">
      <c r="A323" s="1117">
        <v>2009</v>
      </c>
      <c r="B323" s="1117">
        <v>2009</v>
      </c>
      <c r="C323" s="1118" t="s">
        <v>5433</v>
      </c>
      <c r="D323" s="1119" t="s">
        <v>5456</v>
      </c>
      <c r="E323" s="1120" t="s">
        <v>5457</v>
      </c>
      <c r="F323" s="1120"/>
      <c r="G323" s="1138">
        <v>4500087655</v>
      </c>
      <c r="H323" s="1122">
        <v>10833</v>
      </c>
      <c r="I323" s="1123">
        <v>40022</v>
      </c>
      <c r="J323" s="1124">
        <v>30</v>
      </c>
      <c r="K323" s="1125">
        <f t="shared" si="37"/>
        <v>40052</v>
      </c>
      <c r="L323" s="1133" t="s">
        <v>5458</v>
      </c>
      <c r="M323" s="1123">
        <v>40045</v>
      </c>
      <c r="N323" s="1124">
        <v>0</v>
      </c>
      <c r="O323" s="1123"/>
      <c r="P323" s="1132">
        <v>40056</v>
      </c>
      <c r="Q323" s="1132">
        <v>40057</v>
      </c>
      <c r="R323" s="1124">
        <f t="shared" si="38"/>
        <v>35</v>
      </c>
      <c r="S323" s="1128" t="s">
        <v>6265</v>
      </c>
      <c r="T323" s="1129" t="s">
        <v>5463</v>
      </c>
      <c r="U323" s="1130" t="str">
        <f t="shared" si="39"/>
        <v>en término</v>
      </c>
      <c r="V323" s="1130" t="str">
        <f t="shared" si="40"/>
        <v>Agosto</v>
      </c>
      <c r="W323" s="1128">
        <f t="shared" si="41"/>
        <v>1</v>
      </c>
    </row>
    <row r="324" spans="1:23" s="1325" customFormat="1" ht="57.6" customHeight="1" thickBot="1" x14ac:dyDescent="0.25">
      <c r="A324" s="1117">
        <v>2009</v>
      </c>
      <c r="B324" s="1117">
        <v>2009</v>
      </c>
      <c r="C324" s="1118" t="s">
        <v>5433</v>
      </c>
      <c r="D324" s="1145" t="s">
        <v>5434</v>
      </c>
      <c r="E324" s="1120" t="s">
        <v>5464</v>
      </c>
      <c r="F324" s="1120"/>
      <c r="G324" s="1138" t="s">
        <v>5465</v>
      </c>
      <c r="H324" s="1122">
        <v>5090</v>
      </c>
      <c r="I324" s="1123">
        <v>40053</v>
      </c>
      <c r="J324" s="1124">
        <v>31</v>
      </c>
      <c r="K324" s="1125">
        <f t="shared" si="37"/>
        <v>40084</v>
      </c>
      <c r="L324" s="1133" t="s">
        <v>5445</v>
      </c>
      <c r="M324" s="1123">
        <v>40078</v>
      </c>
      <c r="N324" s="1124">
        <f>IF(P324="","",+P324-K324)</f>
        <v>-5</v>
      </c>
      <c r="O324" s="1123"/>
      <c r="P324" s="1132">
        <v>40079</v>
      </c>
      <c r="Q324" s="1132">
        <f>+P324+5</f>
        <v>40084</v>
      </c>
      <c r="R324" s="1124">
        <f t="shared" si="38"/>
        <v>31</v>
      </c>
      <c r="S324" s="1128" t="s">
        <v>5467</v>
      </c>
      <c r="T324" s="1129"/>
      <c r="U324" s="1130" t="str">
        <f t="shared" si="39"/>
        <v>en término</v>
      </c>
      <c r="V324" s="1130" t="str">
        <f t="shared" si="40"/>
        <v>Septiembre</v>
      </c>
      <c r="W324" s="1128">
        <f t="shared" si="41"/>
        <v>1</v>
      </c>
    </row>
    <row r="325" spans="1:23" s="1325" customFormat="1" ht="57.6" customHeight="1" thickBot="1" x14ac:dyDescent="0.25">
      <c r="A325" s="1117">
        <v>2009</v>
      </c>
      <c r="B325" s="1117">
        <v>2009</v>
      </c>
      <c r="C325" s="1118" t="s">
        <v>5433</v>
      </c>
      <c r="D325" s="1145" t="s">
        <v>5434</v>
      </c>
      <c r="E325" s="1120" t="s">
        <v>5468</v>
      </c>
      <c r="F325" s="1120"/>
      <c r="G325" s="1138" t="s">
        <v>5469</v>
      </c>
      <c r="H325" s="1122">
        <v>1030</v>
      </c>
      <c r="I325" s="1123">
        <v>40114</v>
      </c>
      <c r="J325" s="1124">
        <v>28</v>
      </c>
      <c r="K325" s="1125">
        <f t="shared" si="37"/>
        <v>40142</v>
      </c>
      <c r="L325" s="1133" t="s">
        <v>5445</v>
      </c>
      <c r="M325" s="1123">
        <v>40137</v>
      </c>
      <c r="N325" s="1124">
        <f>IF(P325="","",+P325-K325)</f>
        <v>-5</v>
      </c>
      <c r="O325" s="1123"/>
      <c r="P325" s="1132">
        <v>40137</v>
      </c>
      <c r="Q325" s="1132">
        <f>+P325+3</f>
        <v>40140</v>
      </c>
      <c r="R325" s="1124">
        <f t="shared" si="38"/>
        <v>26</v>
      </c>
      <c r="S325" s="1128" t="s">
        <v>53</v>
      </c>
      <c r="T325" s="1129"/>
      <c r="U325" s="1130" t="str">
        <f t="shared" si="39"/>
        <v>en término</v>
      </c>
      <c r="V325" s="1130" t="str">
        <f t="shared" si="40"/>
        <v>Noviembre</v>
      </c>
      <c r="W325" s="1128">
        <f t="shared" si="41"/>
        <v>1</v>
      </c>
    </row>
    <row r="326" spans="1:23" s="1325" customFormat="1" ht="57.6" customHeight="1" thickBot="1" x14ac:dyDescent="0.25">
      <c r="A326" s="1117">
        <v>2009</v>
      </c>
      <c r="B326" s="1117">
        <v>2009</v>
      </c>
      <c r="C326" s="1118" t="s">
        <v>5813</v>
      </c>
      <c r="D326" s="1119" t="s">
        <v>5824</v>
      </c>
      <c r="E326" s="1120" t="s">
        <v>5825</v>
      </c>
      <c r="F326" s="1120"/>
      <c r="G326" s="1138">
        <v>70905</v>
      </c>
      <c r="H326" s="1122">
        <v>1377</v>
      </c>
      <c r="I326" s="1123">
        <v>40009</v>
      </c>
      <c r="J326" s="1124">
        <v>7</v>
      </c>
      <c r="K326" s="1125">
        <f t="shared" si="37"/>
        <v>40016</v>
      </c>
      <c r="L326" s="1133" t="s">
        <v>124</v>
      </c>
      <c r="M326" s="1123">
        <v>40011</v>
      </c>
      <c r="N326" s="1124">
        <f>IF(P326="","",+P326-K326)</f>
        <v>0</v>
      </c>
      <c r="O326" s="1123">
        <v>40016</v>
      </c>
      <c r="P326" s="1132">
        <v>40016</v>
      </c>
      <c r="Q326" s="1132"/>
      <c r="R326" s="1124">
        <f>IF(O326="","",+O326-I326)</f>
        <v>7</v>
      </c>
      <c r="S326" s="1128" t="s">
        <v>6266</v>
      </c>
      <c r="T326" s="1129"/>
      <c r="U326" s="1130" t="str">
        <f t="shared" si="39"/>
        <v>en término</v>
      </c>
      <c r="V326" s="1130" t="str">
        <f t="shared" si="40"/>
        <v>Julio</v>
      </c>
      <c r="W326" s="1128">
        <f t="shared" si="41"/>
        <v>1</v>
      </c>
    </row>
    <row r="327" spans="1:23" s="1325" customFormat="1" ht="57.6" customHeight="1" thickBot="1" x14ac:dyDescent="0.25">
      <c r="A327" s="1117">
        <v>2009</v>
      </c>
      <c r="B327" s="1117">
        <v>2009</v>
      </c>
      <c r="C327" s="1118" t="s">
        <v>5697</v>
      </c>
      <c r="D327" s="1119" t="s">
        <v>5705</v>
      </c>
      <c r="E327" s="1120" t="s">
        <v>5699</v>
      </c>
      <c r="F327" s="1120"/>
      <c r="G327" s="1138" t="s">
        <v>5700</v>
      </c>
      <c r="H327" s="1122">
        <v>5860</v>
      </c>
      <c r="I327" s="1123">
        <v>40073</v>
      </c>
      <c r="J327" s="1124">
        <v>7</v>
      </c>
      <c r="K327" s="1125">
        <f t="shared" si="37"/>
        <v>40080</v>
      </c>
      <c r="L327" s="1133" t="s">
        <v>124</v>
      </c>
      <c r="M327" s="1123">
        <v>40078</v>
      </c>
      <c r="N327" s="1124">
        <f>IF(P327="","",+P327-K327)</f>
        <v>4</v>
      </c>
      <c r="O327" s="1123"/>
      <c r="P327" s="1132">
        <v>40084</v>
      </c>
      <c r="Q327" s="1132">
        <v>40090</v>
      </c>
      <c r="R327" s="1124">
        <f t="shared" ref="R327:R390" si="42">IF(Q327="","",+Q327-I327)</f>
        <v>17</v>
      </c>
      <c r="S327" s="1128" t="s">
        <v>6267</v>
      </c>
      <c r="T327" s="1129"/>
      <c r="U327" s="1130" t="str">
        <f t="shared" si="39"/>
        <v>atrasado</v>
      </c>
      <c r="V327" s="1130" t="str">
        <f t="shared" si="40"/>
        <v>Septiembre</v>
      </c>
      <c r="W327" s="1128">
        <f t="shared" si="41"/>
        <v>0</v>
      </c>
    </row>
    <row r="328" spans="1:23" s="1325" customFormat="1" ht="57.6" customHeight="1" thickBot="1" x14ac:dyDescent="0.25">
      <c r="A328" s="1117">
        <v>2009</v>
      </c>
      <c r="B328" s="1117">
        <v>2009</v>
      </c>
      <c r="C328" s="1118" t="s">
        <v>5697</v>
      </c>
      <c r="D328" s="1119" t="s">
        <v>5705</v>
      </c>
      <c r="E328" s="1120" t="s">
        <v>5706</v>
      </c>
      <c r="F328" s="1120"/>
      <c r="G328" s="1138" t="s">
        <v>5707</v>
      </c>
      <c r="H328" s="1122">
        <v>10266</v>
      </c>
      <c r="I328" s="1123">
        <v>40100</v>
      </c>
      <c r="J328" s="1124">
        <v>15</v>
      </c>
      <c r="K328" s="1125">
        <f t="shared" si="37"/>
        <v>40115</v>
      </c>
      <c r="L328" s="1133" t="s">
        <v>124</v>
      </c>
      <c r="M328" s="1123">
        <v>40109</v>
      </c>
      <c r="N328" s="1124">
        <v>0</v>
      </c>
      <c r="O328" s="1123"/>
      <c r="P328" s="1132">
        <v>40138</v>
      </c>
      <c r="Q328" s="1132">
        <v>40163</v>
      </c>
      <c r="R328" s="1124">
        <f t="shared" si="42"/>
        <v>63</v>
      </c>
      <c r="S328" s="1128" t="s">
        <v>752</v>
      </c>
      <c r="T328" s="1129" t="s">
        <v>6268</v>
      </c>
      <c r="U328" s="1130" t="str">
        <f t="shared" si="39"/>
        <v>en término</v>
      </c>
      <c r="V328" s="1130" t="str">
        <f t="shared" si="40"/>
        <v>Octubre</v>
      </c>
      <c r="W328" s="1128">
        <f t="shared" si="41"/>
        <v>1</v>
      </c>
    </row>
    <row r="329" spans="1:23" s="1325" customFormat="1" ht="57.6" customHeight="1" thickBot="1" x14ac:dyDescent="0.25">
      <c r="A329" s="1117">
        <v>2009</v>
      </c>
      <c r="B329" s="1117">
        <v>2009</v>
      </c>
      <c r="C329" s="1118" t="s">
        <v>5697</v>
      </c>
      <c r="D329" s="1119" t="s">
        <v>5705</v>
      </c>
      <c r="E329" s="1120" t="s">
        <v>5712</v>
      </c>
      <c r="F329" s="1120"/>
      <c r="G329" s="1138" t="s">
        <v>5713</v>
      </c>
      <c r="H329" s="1122">
        <v>280</v>
      </c>
      <c r="I329" s="1123">
        <v>40119</v>
      </c>
      <c r="J329" s="1124">
        <v>1</v>
      </c>
      <c r="K329" s="1125">
        <f t="shared" si="37"/>
        <v>40120</v>
      </c>
      <c r="L329" s="1133" t="s">
        <v>124</v>
      </c>
      <c r="M329" s="1123">
        <v>40119</v>
      </c>
      <c r="N329" s="1124">
        <v>0</v>
      </c>
      <c r="O329" s="1123"/>
      <c r="P329" s="1132">
        <v>40120</v>
      </c>
      <c r="Q329" s="1132">
        <f>+P329+3</f>
        <v>40123</v>
      </c>
      <c r="R329" s="1124">
        <f t="shared" si="42"/>
        <v>4</v>
      </c>
      <c r="S329" s="1128" t="s">
        <v>5714</v>
      </c>
      <c r="T329" s="1129" t="s">
        <v>5717</v>
      </c>
      <c r="U329" s="1130" t="str">
        <f t="shared" si="39"/>
        <v>en término</v>
      </c>
      <c r="V329" s="1130" t="str">
        <f t="shared" si="40"/>
        <v>Noviembre</v>
      </c>
      <c r="W329" s="1128">
        <f t="shared" si="41"/>
        <v>1</v>
      </c>
    </row>
    <row r="330" spans="1:23" s="1325" customFormat="1" ht="57.6" customHeight="1" thickBot="1" x14ac:dyDescent="0.25">
      <c r="A330" s="1117">
        <v>2009</v>
      </c>
      <c r="B330" s="1117">
        <v>2009</v>
      </c>
      <c r="C330" s="1118" t="s">
        <v>5697</v>
      </c>
      <c r="D330" s="1119" t="s">
        <v>5705</v>
      </c>
      <c r="E330" s="1120" t="s">
        <v>5718</v>
      </c>
      <c r="F330" s="1120"/>
      <c r="G330" s="1138" t="s">
        <v>5719</v>
      </c>
      <c r="H330" s="1122">
        <v>250</v>
      </c>
      <c r="I330" s="1123">
        <v>40129</v>
      </c>
      <c r="J330" s="1124">
        <v>1</v>
      </c>
      <c r="K330" s="1125">
        <f t="shared" si="37"/>
        <v>40130</v>
      </c>
      <c r="L330" s="1133" t="s">
        <v>124</v>
      </c>
      <c r="M330" s="1123">
        <v>40129</v>
      </c>
      <c r="N330" s="1124">
        <v>0</v>
      </c>
      <c r="O330" s="1123"/>
      <c r="P330" s="1132">
        <v>40130</v>
      </c>
      <c r="Q330" s="1132">
        <f>+P330+1</f>
        <v>40131</v>
      </c>
      <c r="R330" s="1124">
        <f t="shared" si="42"/>
        <v>2</v>
      </c>
      <c r="S330" s="1128" t="s">
        <v>5721</v>
      </c>
      <c r="T330" s="1129"/>
      <c r="U330" s="1130" t="str">
        <f t="shared" si="39"/>
        <v>en término</v>
      </c>
      <c r="V330" s="1130" t="str">
        <f t="shared" si="40"/>
        <v>Noviembre</v>
      </c>
      <c r="W330" s="1128">
        <f t="shared" si="41"/>
        <v>1</v>
      </c>
    </row>
    <row r="331" spans="1:23" s="1325" customFormat="1" ht="57.6" customHeight="1" thickBot="1" x14ac:dyDescent="0.25">
      <c r="A331" s="1197">
        <v>2009</v>
      </c>
      <c r="B331" s="1197">
        <v>2009</v>
      </c>
      <c r="C331" s="1198" t="s">
        <v>5697</v>
      </c>
      <c r="D331" s="1199" t="s">
        <v>5705</v>
      </c>
      <c r="E331" s="1200" t="s">
        <v>5723</v>
      </c>
      <c r="F331" s="1200"/>
      <c r="G331" s="1201" t="s">
        <v>5724</v>
      </c>
      <c r="H331" s="1202">
        <v>19384</v>
      </c>
      <c r="I331" s="1203">
        <v>40127</v>
      </c>
      <c r="J331" s="1204">
        <v>15</v>
      </c>
      <c r="K331" s="1205">
        <f t="shared" si="37"/>
        <v>40142</v>
      </c>
      <c r="L331" s="1206" t="s">
        <v>124</v>
      </c>
      <c r="M331" s="1203">
        <v>40130</v>
      </c>
      <c r="N331" s="1204">
        <v>0</v>
      </c>
      <c r="O331" s="1203"/>
      <c r="P331" s="1207">
        <v>40138</v>
      </c>
      <c r="Q331" s="1207">
        <v>40163</v>
      </c>
      <c r="R331" s="1204">
        <f t="shared" si="42"/>
        <v>36</v>
      </c>
      <c r="S331" s="1208" t="s">
        <v>1832</v>
      </c>
      <c r="T331" s="1209" t="s">
        <v>5726</v>
      </c>
      <c r="U331" s="1210" t="str">
        <f t="shared" si="39"/>
        <v>en término</v>
      </c>
      <c r="V331" s="1290" t="str">
        <f t="shared" si="40"/>
        <v>Noviembre</v>
      </c>
      <c r="W331" s="1323">
        <f t="shared" si="41"/>
        <v>1</v>
      </c>
    </row>
    <row r="332" spans="1:23" s="1325" customFormat="1" ht="54.95" customHeight="1" thickTop="1" thickBot="1" x14ac:dyDescent="0.25">
      <c r="A332" s="1157">
        <v>2010</v>
      </c>
      <c r="B332" s="1157">
        <v>2010</v>
      </c>
      <c r="C332" s="1326" t="s">
        <v>5697</v>
      </c>
      <c r="D332" s="1211" t="s">
        <v>5705</v>
      </c>
      <c r="E332" s="1327" t="s">
        <v>5727</v>
      </c>
      <c r="F332" s="1327"/>
      <c r="G332" s="1328" t="s">
        <v>5728</v>
      </c>
      <c r="H332" s="1329">
        <v>1830.92</v>
      </c>
      <c r="I332" s="1330">
        <v>40310</v>
      </c>
      <c r="J332" s="1331">
        <v>14</v>
      </c>
      <c r="K332" s="1332">
        <f t="shared" si="37"/>
        <v>40324</v>
      </c>
      <c r="L332" s="1333" t="s">
        <v>124</v>
      </c>
      <c r="M332" s="1330">
        <v>40326</v>
      </c>
      <c r="N332" s="1331">
        <f t="shared" ref="N332:N395" si="43">IF(P332="","",+P332-K332)</f>
        <v>6</v>
      </c>
      <c r="O332" s="1330">
        <v>40330</v>
      </c>
      <c r="P332" s="1334">
        <v>40330</v>
      </c>
      <c r="Q332" s="1334">
        <v>40337</v>
      </c>
      <c r="R332" s="1331">
        <f t="shared" si="42"/>
        <v>27</v>
      </c>
      <c r="S332" s="1335" t="s">
        <v>2183</v>
      </c>
      <c r="T332" s="1336" t="s">
        <v>5731</v>
      </c>
      <c r="U332" s="1337" t="str">
        <f t="shared" si="39"/>
        <v>atrasado</v>
      </c>
      <c r="V332" s="1130" t="str">
        <f t="shared" si="40"/>
        <v>Mayo</v>
      </c>
      <c r="W332" s="1324">
        <f t="shared" si="41"/>
        <v>0</v>
      </c>
    </row>
    <row r="333" spans="1:23" s="1325" customFormat="1" ht="54.95" customHeight="1" thickBot="1" x14ac:dyDescent="0.25">
      <c r="A333" s="1117">
        <v>2010</v>
      </c>
      <c r="B333" s="1117">
        <v>2010</v>
      </c>
      <c r="C333" s="1338" t="s">
        <v>5697</v>
      </c>
      <c r="D333" s="1119" t="s">
        <v>5705</v>
      </c>
      <c r="E333" s="1339" t="s">
        <v>5732</v>
      </c>
      <c r="F333" s="1339"/>
      <c r="G333" s="1340" t="s">
        <v>5733</v>
      </c>
      <c r="H333" s="1341">
        <v>147888.79999999999</v>
      </c>
      <c r="I333" s="1342">
        <v>40329</v>
      </c>
      <c r="J333" s="1343">
        <v>60</v>
      </c>
      <c r="K333" s="1344">
        <f t="shared" si="37"/>
        <v>40389</v>
      </c>
      <c r="L333" s="1345" t="s">
        <v>124</v>
      </c>
      <c r="M333" s="1342">
        <v>40403</v>
      </c>
      <c r="N333" s="1343">
        <f t="shared" si="43"/>
        <v>38</v>
      </c>
      <c r="O333" s="1342">
        <v>40415</v>
      </c>
      <c r="P333" s="1346">
        <v>40427</v>
      </c>
      <c r="Q333" s="1346">
        <f>+P333+30</f>
        <v>40457</v>
      </c>
      <c r="R333" s="1343">
        <f t="shared" si="42"/>
        <v>128</v>
      </c>
      <c r="S333" s="1347" t="s">
        <v>6269</v>
      </c>
      <c r="T333" s="1348" t="s">
        <v>5737</v>
      </c>
      <c r="U333" s="1349" t="str">
        <f t="shared" si="39"/>
        <v>atrasado</v>
      </c>
      <c r="V333" s="1130" t="str">
        <f t="shared" si="40"/>
        <v>Agosto</v>
      </c>
      <c r="W333" s="1128">
        <f t="shared" si="41"/>
        <v>0</v>
      </c>
    </row>
    <row r="334" spans="1:23" s="1325" customFormat="1" ht="54.95" customHeight="1" thickBot="1" x14ac:dyDescent="0.25">
      <c r="A334" s="1117">
        <v>2010</v>
      </c>
      <c r="B334" s="1117">
        <v>2010</v>
      </c>
      <c r="C334" s="1338" t="s">
        <v>5697</v>
      </c>
      <c r="D334" s="1119" t="s">
        <v>5705</v>
      </c>
      <c r="E334" s="1350" t="s">
        <v>5738</v>
      </c>
      <c r="F334" s="1350"/>
      <c r="G334" s="1351" t="s">
        <v>5739</v>
      </c>
      <c r="H334" s="1352">
        <v>95029.7</v>
      </c>
      <c r="I334" s="1353">
        <v>40431</v>
      </c>
      <c r="J334" s="1354">
        <v>60</v>
      </c>
      <c r="K334" s="1355">
        <f t="shared" si="37"/>
        <v>40491</v>
      </c>
      <c r="L334" s="1356" t="s">
        <v>124</v>
      </c>
      <c r="M334" s="1353">
        <v>40484</v>
      </c>
      <c r="N334" s="1354">
        <f t="shared" si="43"/>
        <v>3</v>
      </c>
      <c r="O334" s="1353">
        <v>40491</v>
      </c>
      <c r="P334" s="1357">
        <v>40494</v>
      </c>
      <c r="Q334" s="1357">
        <f>+P334+30</f>
        <v>40524</v>
      </c>
      <c r="R334" s="1354">
        <f t="shared" si="42"/>
        <v>93</v>
      </c>
      <c r="S334" s="1358" t="s">
        <v>6270</v>
      </c>
      <c r="T334" s="1359" t="s">
        <v>5742</v>
      </c>
      <c r="U334" s="1360" t="str">
        <f t="shared" si="39"/>
        <v>atrasado</v>
      </c>
      <c r="V334" s="1130" t="str">
        <f t="shared" si="40"/>
        <v>Noviembre</v>
      </c>
      <c r="W334" s="1128">
        <f t="shared" si="41"/>
        <v>0</v>
      </c>
    </row>
    <row r="335" spans="1:23" s="1321" customFormat="1" ht="57.6" customHeight="1" thickBot="1" x14ac:dyDescent="0.2">
      <c r="A335" s="1157">
        <v>2010</v>
      </c>
      <c r="B335" s="1157">
        <v>2010</v>
      </c>
      <c r="C335" s="1361" t="s">
        <v>5433</v>
      </c>
      <c r="D335" s="1212" t="s">
        <v>5434</v>
      </c>
      <c r="E335" s="1350" t="s">
        <v>5471</v>
      </c>
      <c r="F335" s="1350"/>
      <c r="G335" s="1351">
        <v>4500098530</v>
      </c>
      <c r="H335" s="1352">
        <v>18508</v>
      </c>
      <c r="I335" s="1353">
        <v>40232</v>
      </c>
      <c r="J335" s="1354">
        <v>69</v>
      </c>
      <c r="K335" s="1355">
        <f t="shared" si="37"/>
        <v>40301</v>
      </c>
      <c r="L335" s="1356" t="s">
        <v>5445</v>
      </c>
      <c r="M335" s="1353">
        <v>40273</v>
      </c>
      <c r="N335" s="1354">
        <f t="shared" si="43"/>
        <v>-24</v>
      </c>
      <c r="O335" s="1353"/>
      <c r="P335" s="1357">
        <v>40277</v>
      </c>
      <c r="Q335" s="1357">
        <f>+P335+2</f>
        <v>40279</v>
      </c>
      <c r="R335" s="1354">
        <f t="shared" si="42"/>
        <v>47</v>
      </c>
      <c r="S335" s="1358" t="s">
        <v>6271</v>
      </c>
      <c r="T335" s="1359" t="s">
        <v>5474</v>
      </c>
      <c r="U335" s="1360" t="str">
        <f t="shared" si="39"/>
        <v>en término</v>
      </c>
      <c r="V335" s="1130" t="str">
        <f t="shared" si="40"/>
        <v>Abril</v>
      </c>
      <c r="W335" s="1128">
        <f t="shared" si="41"/>
        <v>1</v>
      </c>
    </row>
    <row r="336" spans="1:23" s="1321" customFormat="1" ht="57.6" customHeight="1" thickBot="1" x14ac:dyDescent="0.2">
      <c r="A336" s="1117">
        <v>2010</v>
      </c>
      <c r="B336" s="1117">
        <v>2010</v>
      </c>
      <c r="C336" s="1338" t="s">
        <v>5433</v>
      </c>
      <c r="D336" s="1145" t="s">
        <v>5434</v>
      </c>
      <c r="E336" s="1339" t="s">
        <v>5475</v>
      </c>
      <c r="F336" s="1339"/>
      <c r="G336" s="1340" t="s">
        <v>5476</v>
      </c>
      <c r="H336" s="1341">
        <v>14088</v>
      </c>
      <c r="I336" s="1342">
        <v>40263</v>
      </c>
      <c r="J336" s="1343">
        <v>15</v>
      </c>
      <c r="K336" s="1344">
        <f t="shared" si="37"/>
        <v>40278</v>
      </c>
      <c r="L336" s="1345" t="s">
        <v>5445</v>
      </c>
      <c r="M336" s="1342">
        <v>40273</v>
      </c>
      <c r="N336" s="1343">
        <f t="shared" si="43"/>
        <v>-2</v>
      </c>
      <c r="O336" s="1342">
        <v>40275</v>
      </c>
      <c r="P336" s="1346">
        <v>40276</v>
      </c>
      <c r="Q336" s="1346">
        <v>40277</v>
      </c>
      <c r="R336" s="1343">
        <f t="shared" si="42"/>
        <v>14</v>
      </c>
      <c r="S336" s="1347" t="s">
        <v>5477</v>
      </c>
      <c r="T336" s="1348"/>
      <c r="U336" s="1349" t="str">
        <f t="shared" si="39"/>
        <v>en término</v>
      </c>
      <c r="V336" s="1130" t="str">
        <f t="shared" si="40"/>
        <v>Abril</v>
      </c>
      <c r="W336" s="1128">
        <f t="shared" si="41"/>
        <v>1</v>
      </c>
    </row>
    <row r="337" spans="1:23" s="1321" customFormat="1" ht="57.6" customHeight="1" thickBot="1" x14ac:dyDescent="0.2">
      <c r="A337" s="1117">
        <v>2010</v>
      </c>
      <c r="B337" s="1117">
        <v>2010</v>
      </c>
      <c r="C337" s="1338" t="s">
        <v>5433</v>
      </c>
      <c r="D337" s="1145" t="s">
        <v>5434</v>
      </c>
      <c r="E337" s="1339" t="s">
        <v>5480</v>
      </c>
      <c r="F337" s="1339"/>
      <c r="G337" s="1340" t="s">
        <v>5481</v>
      </c>
      <c r="H337" s="1341">
        <v>264</v>
      </c>
      <c r="I337" s="1342">
        <v>40287</v>
      </c>
      <c r="J337" s="1343">
        <v>3</v>
      </c>
      <c r="K337" s="1344">
        <f t="shared" si="37"/>
        <v>40290</v>
      </c>
      <c r="L337" s="1345" t="s">
        <v>5445</v>
      </c>
      <c r="M337" s="1342">
        <v>40290</v>
      </c>
      <c r="N337" s="1343">
        <f t="shared" si="43"/>
        <v>4</v>
      </c>
      <c r="O337" s="1342">
        <v>40292</v>
      </c>
      <c r="P337" s="1346">
        <v>40294</v>
      </c>
      <c r="Q337" s="1346">
        <v>40295</v>
      </c>
      <c r="R337" s="1343">
        <f t="shared" si="42"/>
        <v>8</v>
      </c>
      <c r="S337" s="1347" t="s">
        <v>5482</v>
      </c>
      <c r="T337" s="1348" t="s">
        <v>5483</v>
      </c>
      <c r="U337" s="1349" t="str">
        <f t="shared" si="39"/>
        <v>atrasado</v>
      </c>
      <c r="V337" s="1130" t="str">
        <f t="shared" si="40"/>
        <v>Abril</v>
      </c>
      <c r="W337" s="1128">
        <f t="shared" si="41"/>
        <v>0</v>
      </c>
    </row>
    <row r="338" spans="1:23" s="1321" customFormat="1" ht="57.6" customHeight="1" thickBot="1" x14ac:dyDescent="0.2">
      <c r="A338" s="1117">
        <v>2010</v>
      </c>
      <c r="B338" s="1117">
        <v>2010</v>
      </c>
      <c r="C338" s="1338" t="s">
        <v>5433</v>
      </c>
      <c r="D338" s="1145" t="s">
        <v>5434</v>
      </c>
      <c r="E338" s="1339" t="s">
        <v>5484</v>
      </c>
      <c r="F338" s="1339"/>
      <c r="G338" s="1340" t="s">
        <v>5485</v>
      </c>
      <c r="H338" s="1341">
        <v>530</v>
      </c>
      <c r="I338" s="1342">
        <v>40360</v>
      </c>
      <c r="J338" s="1343">
        <v>6</v>
      </c>
      <c r="K338" s="1344">
        <f t="shared" si="37"/>
        <v>40366</v>
      </c>
      <c r="L338" s="1345" t="s">
        <v>5445</v>
      </c>
      <c r="M338" s="1342">
        <v>40366</v>
      </c>
      <c r="N338" s="1343">
        <f t="shared" si="43"/>
        <v>19</v>
      </c>
      <c r="O338" s="1342">
        <v>40378</v>
      </c>
      <c r="P338" s="1346">
        <v>40385</v>
      </c>
      <c r="Q338" s="1346">
        <f>+P338+3</f>
        <v>40388</v>
      </c>
      <c r="R338" s="1343">
        <f t="shared" si="42"/>
        <v>28</v>
      </c>
      <c r="S338" s="1347" t="s">
        <v>2367</v>
      </c>
      <c r="T338" s="1348"/>
      <c r="U338" s="1349" t="str">
        <f t="shared" si="39"/>
        <v>atrasado</v>
      </c>
      <c r="V338" s="1130" t="str">
        <f t="shared" si="40"/>
        <v>Julio</v>
      </c>
      <c r="W338" s="1128">
        <f t="shared" si="41"/>
        <v>0</v>
      </c>
    </row>
    <row r="339" spans="1:23" s="1321" customFormat="1" ht="57.6" customHeight="1" thickBot="1" x14ac:dyDescent="0.2">
      <c r="A339" s="1117">
        <v>2010</v>
      </c>
      <c r="B339" s="1117">
        <v>2010</v>
      </c>
      <c r="C339" s="1338" t="s">
        <v>5433</v>
      </c>
      <c r="D339" s="1362" t="s">
        <v>5486</v>
      </c>
      <c r="E339" s="1339" t="s">
        <v>5487</v>
      </c>
      <c r="F339" s="1339"/>
      <c r="G339" s="1340" t="s">
        <v>5488</v>
      </c>
      <c r="H339" s="1341">
        <v>12259.41</v>
      </c>
      <c r="I339" s="1342">
        <v>40367</v>
      </c>
      <c r="J339" s="1343">
        <v>7</v>
      </c>
      <c r="K339" s="1344">
        <f t="shared" si="37"/>
        <v>40374</v>
      </c>
      <c r="L339" s="1345" t="s">
        <v>5445</v>
      </c>
      <c r="M339" s="1342">
        <v>40374</v>
      </c>
      <c r="N339" s="1343">
        <f t="shared" si="43"/>
        <v>7</v>
      </c>
      <c r="O339" s="1342">
        <v>40379</v>
      </c>
      <c r="P339" s="1346">
        <v>40381</v>
      </c>
      <c r="Q339" s="1346">
        <v>40383</v>
      </c>
      <c r="R339" s="1343">
        <f t="shared" si="42"/>
        <v>16</v>
      </c>
      <c r="S339" s="1347" t="s">
        <v>5489</v>
      </c>
      <c r="T339" s="1348" t="s">
        <v>5491</v>
      </c>
      <c r="U339" s="1349" t="str">
        <f t="shared" si="39"/>
        <v>atrasado</v>
      </c>
      <c r="V339" s="1130" t="str">
        <f t="shared" si="40"/>
        <v>Julio</v>
      </c>
      <c r="W339" s="1128">
        <f t="shared" si="41"/>
        <v>0</v>
      </c>
    </row>
    <row r="340" spans="1:23" s="1321" customFormat="1" ht="57.6" customHeight="1" thickBot="1" x14ac:dyDescent="0.2">
      <c r="A340" s="1117">
        <v>2010</v>
      </c>
      <c r="B340" s="1117">
        <v>2010</v>
      </c>
      <c r="C340" s="1361" t="s">
        <v>5433</v>
      </c>
      <c r="D340" s="1145" t="s">
        <v>5434</v>
      </c>
      <c r="E340" s="1350" t="s">
        <v>5492</v>
      </c>
      <c r="F340" s="1350"/>
      <c r="G340" s="1351" t="s">
        <v>5493</v>
      </c>
      <c r="H340" s="1352">
        <v>1280</v>
      </c>
      <c r="I340" s="1353">
        <v>40346</v>
      </c>
      <c r="J340" s="1354">
        <v>35</v>
      </c>
      <c r="K340" s="1355">
        <f t="shared" si="37"/>
        <v>40381</v>
      </c>
      <c r="L340" s="1356" t="s">
        <v>5445</v>
      </c>
      <c r="M340" s="1353">
        <v>40374</v>
      </c>
      <c r="N340" s="1354">
        <f t="shared" si="43"/>
        <v>4</v>
      </c>
      <c r="O340" s="1353">
        <v>40378</v>
      </c>
      <c r="P340" s="1357">
        <v>40385</v>
      </c>
      <c r="Q340" s="1357">
        <f>+P340+3</f>
        <v>40388</v>
      </c>
      <c r="R340" s="1354">
        <f t="shared" si="42"/>
        <v>42</v>
      </c>
      <c r="S340" s="1358" t="s">
        <v>5494</v>
      </c>
      <c r="T340" s="1359"/>
      <c r="U340" s="1360" t="str">
        <f t="shared" si="39"/>
        <v>atrasado</v>
      </c>
      <c r="V340" s="1130" t="str">
        <f t="shared" si="40"/>
        <v>Julio</v>
      </c>
      <c r="W340" s="1128">
        <f t="shared" si="41"/>
        <v>0</v>
      </c>
    </row>
    <row r="341" spans="1:23" s="1321" customFormat="1" ht="57.6" customHeight="1" thickBot="1" x14ac:dyDescent="0.2">
      <c r="A341" s="1117">
        <v>2010</v>
      </c>
      <c r="B341" s="1117">
        <v>2010</v>
      </c>
      <c r="C341" s="1361" t="s">
        <v>5433</v>
      </c>
      <c r="D341" s="1145" t="s">
        <v>5434</v>
      </c>
      <c r="E341" s="1350" t="s">
        <v>5495</v>
      </c>
      <c r="F341" s="1350"/>
      <c r="G341" s="1351" t="s">
        <v>5496</v>
      </c>
      <c r="H341" s="1352">
        <v>2600</v>
      </c>
      <c r="I341" s="1353">
        <v>40388</v>
      </c>
      <c r="J341" s="1354">
        <v>2</v>
      </c>
      <c r="K341" s="1355">
        <f t="shared" si="37"/>
        <v>40390</v>
      </c>
      <c r="L341" s="1356" t="s">
        <v>5458</v>
      </c>
      <c r="M341" s="1353">
        <v>40389</v>
      </c>
      <c r="N341" s="1354">
        <f t="shared" si="43"/>
        <v>-1</v>
      </c>
      <c r="O341" s="1353"/>
      <c r="P341" s="1357">
        <v>40389</v>
      </c>
      <c r="Q341" s="1357">
        <f>+P341+3</f>
        <v>40392</v>
      </c>
      <c r="R341" s="1354">
        <f t="shared" si="42"/>
        <v>4</v>
      </c>
      <c r="S341" s="1358" t="s">
        <v>1020</v>
      </c>
      <c r="T341" s="1359"/>
      <c r="U341" s="1360" t="str">
        <f t="shared" si="39"/>
        <v>en término</v>
      </c>
      <c r="V341" s="1130" t="str">
        <f t="shared" si="40"/>
        <v>Julio</v>
      </c>
      <c r="W341" s="1128">
        <f t="shared" si="41"/>
        <v>1</v>
      </c>
    </row>
    <row r="342" spans="1:23" s="1321" customFormat="1" ht="57.6" customHeight="1" thickBot="1" x14ac:dyDescent="0.2">
      <c r="A342" s="1117">
        <v>2010</v>
      </c>
      <c r="B342" s="1117">
        <v>2010</v>
      </c>
      <c r="C342" s="1338" t="s">
        <v>5433</v>
      </c>
      <c r="D342" s="1145" t="s">
        <v>5434</v>
      </c>
      <c r="E342" s="1339" t="s">
        <v>5497</v>
      </c>
      <c r="F342" s="1339"/>
      <c r="G342" s="1340" t="s">
        <v>5498</v>
      </c>
      <c r="H342" s="1341">
        <v>560.79999999999995</v>
      </c>
      <c r="I342" s="1342">
        <v>40393</v>
      </c>
      <c r="J342" s="1343">
        <v>30</v>
      </c>
      <c r="K342" s="1344">
        <f t="shared" si="37"/>
        <v>40423</v>
      </c>
      <c r="L342" s="1345" t="s">
        <v>5458</v>
      </c>
      <c r="M342" s="1342">
        <v>40400</v>
      </c>
      <c r="N342" s="1343">
        <f t="shared" si="43"/>
        <v>-23</v>
      </c>
      <c r="O342" s="1342"/>
      <c r="P342" s="1346">
        <v>40400</v>
      </c>
      <c r="Q342" s="1346">
        <f>+P342+3</f>
        <v>40403</v>
      </c>
      <c r="R342" s="1343">
        <f t="shared" si="42"/>
        <v>10</v>
      </c>
      <c r="S342" s="1347" t="s">
        <v>5499</v>
      </c>
      <c r="T342" s="1348"/>
      <c r="U342" s="1349" t="str">
        <f t="shared" si="39"/>
        <v>en término</v>
      </c>
      <c r="V342" s="1130" t="str">
        <f t="shared" si="40"/>
        <v>Agosto</v>
      </c>
      <c r="W342" s="1128">
        <f t="shared" si="41"/>
        <v>1</v>
      </c>
    </row>
    <row r="343" spans="1:23" s="1321" customFormat="1" ht="57.6" customHeight="1" thickBot="1" x14ac:dyDescent="0.2">
      <c r="A343" s="1117">
        <v>2010</v>
      </c>
      <c r="B343" s="1117">
        <v>2010</v>
      </c>
      <c r="C343" s="1361" t="s">
        <v>5433</v>
      </c>
      <c r="D343" s="1145" t="s">
        <v>5434</v>
      </c>
      <c r="E343" s="1350" t="s">
        <v>5500</v>
      </c>
      <c r="F343" s="1350"/>
      <c r="G343" s="1351" t="s">
        <v>5501</v>
      </c>
      <c r="H343" s="1352">
        <v>1350</v>
      </c>
      <c r="I343" s="1353">
        <v>40396</v>
      </c>
      <c r="J343" s="1354">
        <v>4</v>
      </c>
      <c r="K343" s="1355">
        <f t="shared" si="37"/>
        <v>40400</v>
      </c>
      <c r="L343" s="1356" t="s">
        <v>5458</v>
      </c>
      <c r="M343" s="1353">
        <v>40400</v>
      </c>
      <c r="N343" s="1354">
        <f t="shared" si="43"/>
        <v>0</v>
      </c>
      <c r="O343" s="1353"/>
      <c r="P343" s="1357">
        <v>40400</v>
      </c>
      <c r="Q343" s="1357">
        <f>+P343+3</f>
        <v>40403</v>
      </c>
      <c r="R343" s="1354">
        <f t="shared" si="42"/>
        <v>7</v>
      </c>
      <c r="S343" s="1358" t="s">
        <v>5502</v>
      </c>
      <c r="T343" s="1359"/>
      <c r="U343" s="1360" t="str">
        <f t="shared" si="39"/>
        <v>en término</v>
      </c>
      <c r="V343" s="1130" t="str">
        <f t="shared" si="40"/>
        <v>Agosto</v>
      </c>
      <c r="W343" s="1128">
        <f t="shared" si="41"/>
        <v>1</v>
      </c>
    </row>
    <row r="344" spans="1:23" s="1321" customFormat="1" ht="57.6" customHeight="1" thickBot="1" x14ac:dyDescent="0.2">
      <c r="A344" s="1117">
        <v>2010</v>
      </c>
      <c r="B344" s="1117">
        <v>2010</v>
      </c>
      <c r="C344" s="1338" t="s">
        <v>5433</v>
      </c>
      <c r="D344" s="1145" t="s">
        <v>5434</v>
      </c>
      <c r="E344" s="1339" t="s">
        <v>5503</v>
      </c>
      <c r="F344" s="1339"/>
      <c r="G344" s="1340" t="s">
        <v>5504</v>
      </c>
      <c r="H344" s="1341">
        <v>13350.8</v>
      </c>
      <c r="I344" s="1342">
        <v>40388</v>
      </c>
      <c r="J344" s="1343">
        <v>35</v>
      </c>
      <c r="K344" s="1344">
        <f t="shared" si="37"/>
        <v>40423</v>
      </c>
      <c r="L344" s="1345" t="s">
        <v>5458</v>
      </c>
      <c r="M344" s="1342">
        <v>40421</v>
      </c>
      <c r="N344" s="1343">
        <f t="shared" si="43"/>
        <v>-1</v>
      </c>
      <c r="O344" s="1342"/>
      <c r="P344" s="1346">
        <v>40422</v>
      </c>
      <c r="Q344" s="1346">
        <f>+P344+3</f>
        <v>40425</v>
      </c>
      <c r="R344" s="1343">
        <f t="shared" si="42"/>
        <v>37</v>
      </c>
      <c r="S344" s="1347" t="s">
        <v>1209</v>
      </c>
      <c r="T344" s="1348"/>
      <c r="U344" s="1349" t="str">
        <f t="shared" si="39"/>
        <v>en término</v>
      </c>
      <c r="V344" s="1130" t="str">
        <f t="shared" si="40"/>
        <v>Agosto</v>
      </c>
      <c r="W344" s="1128">
        <f t="shared" si="41"/>
        <v>1</v>
      </c>
    </row>
    <row r="345" spans="1:23" s="1321" customFormat="1" ht="57.6" customHeight="1" thickBot="1" x14ac:dyDescent="0.2">
      <c r="A345" s="1117">
        <v>2010</v>
      </c>
      <c r="B345" s="1117">
        <v>2010</v>
      </c>
      <c r="C345" s="1361" t="s">
        <v>5433</v>
      </c>
      <c r="D345" s="1363" t="s">
        <v>5456</v>
      </c>
      <c r="E345" s="1350" t="s">
        <v>5506</v>
      </c>
      <c r="F345" s="1350"/>
      <c r="G345" s="1351">
        <v>4500105386</v>
      </c>
      <c r="H345" s="1352">
        <v>19438</v>
      </c>
      <c r="I345" s="1353">
        <v>40374</v>
      </c>
      <c r="J345" s="1354">
        <v>74</v>
      </c>
      <c r="K345" s="1355">
        <f t="shared" ref="K345" si="44">+I345+J345</f>
        <v>40448</v>
      </c>
      <c r="L345" s="1356" t="s">
        <v>5445</v>
      </c>
      <c r="M345" s="1353">
        <v>40442</v>
      </c>
      <c r="N345" s="1354">
        <f t="shared" si="43"/>
        <v>3</v>
      </c>
      <c r="O345" s="1353">
        <v>40450</v>
      </c>
      <c r="P345" s="1357">
        <v>40451</v>
      </c>
      <c r="Q345" s="1357">
        <f>+P345+5</f>
        <v>40456</v>
      </c>
      <c r="R345" s="1354">
        <f t="shared" si="42"/>
        <v>82</v>
      </c>
      <c r="S345" s="1358" t="s">
        <v>5489</v>
      </c>
      <c r="T345" s="1359"/>
      <c r="U345" s="1360" t="str">
        <f t="shared" si="39"/>
        <v>atrasado</v>
      </c>
      <c r="V345" s="1130" t="str">
        <f t="shared" si="40"/>
        <v>Septiembre</v>
      </c>
      <c r="W345" s="1128">
        <f t="shared" si="41"/>
        <v>0</v>
      </c>
    </row>
    <row r="346" spans="1:23" s="1321" customFormat="1" ht="57.6" customHeight="1" thickBot="1" x14ac:dyDescent="0.2">
      <c r="A346" s="1117">
        <v>2010</v>
      </c>
      <c r="B346" s="1117">
        <v>2010</v>
      </c>
      <c r="C346" s="1338" t="s">
        <v>5433</v>
      </c>
      <c r="D346" s="1145" t="s">
        <v>5434</v>
      </c>
      <c r="E346" s="1339" t="s">
        <v>5508</v>
      </c>
      <c r="F346" s="1339"/>
      <c r="G346" s="1340" t="s">
        <v>5509</v>
      </c>
      <c r="H346" s="1341">
        <v>15164.7</v>
      </c>
      <c r="I346" s="1342">
        <v>40450</v>
      </c>
      <c r="J346" s="1343">
        <f>+K346-I346</f>
        <v>61</v>
      </c>
      <c r="K346" s="1344">
        <v>40511</v>
      </c>
      <c r="L346" s="1345" t="s">
        <v>5458</v>
      </c>
      <c r="M346" s="1342">
        <v>40500</v>
      </c>
      <c r="N346" s="1343">
        <f t="shared" si="43"/>
        <v>-11</v>
      </c>
      <c r="O346" s="1342"/>
      <c r="P346" s="1346">
        <v>40500</v>
      </c>
      <c r="Q346" s="1346">
        <f>+P346+7</f>
        <v>40507</v>
      </c>
      <c r="R346" s="1343">
        <f t="shared" si="42"/>
        <v>57</v>
      </c>
      <c r="S346" s="1347" t="s">
        <v>1209</v>
      </c>
      <c r="T346" s="1348"/>
      <c r="U346" s="1349" t="str">
        <f t="shared" si="39"/>
        <v>en término</v>
      </c>
      <c r="V346" s="1130" t="str">
        <f t="shared" si="40"/>
        <v>Noviembre</v>
      </c>
      <c r="W346" s="1128">
        <f t="shared" si="41"/>
        <v>1</v>
      </c>
    </row>
    <row r="347" spans="1:23" s="1321" customFormat="1" ht="57.6" customHeight="1" thickBot="1" x14ac:dyDescent="0.2">
      <c r="A347" s="1117">
        <v>2010</v>
      </c>
      <c r="B347" s="1117">
        <v>2010</v>
      </c>
      <c r="C347" s="1361" t="s">
        <v>5433</v>
      </c>
      <c r="D347" s="1145" t="s">
        <v>5434</v>
      </c>
      <c r="E347" s="1350" t="s">
        <v>5512</v>
      </c>
      <c r="F347" s="1350"/>
      <c r="G347" s="1351" t="s">
        <v>5513</v>
      </c>
      <c r="H347" s="1352">
        <v>2120</v>
      </c>
      <c r="I347" s="1353">
        <v>40463</v>
      </c>
      <c r="J347" s="1354">
        <f>+K347-I347</f>
        <v>30</v>
      </c>
      <c r="K347" s="1355">
        <v>40493</v>
      </c>
      <c r="L347" s="1356" t="s">
        <v>5445</v>
      </c>
      <c r="M347" s="1353">
        <v>40500</v>
      </c>
      <c r="N347" s="1354">
        <f t="shared" si="43"/>
        <v>7</v>
      </c>
      <c r="O347" s="1353"/>
      <c r="P347" s="1357">
        <v>40500</v>
      </c>
      <c r="Q347" s="1357">
        <f>+P347+7</f>
        <v>40507</v>
      </c>
      <c r="R347" s="1354">
        <f t="shared" si="42"/>
        <v>44</v>
      </c>
      <c r="S347" s="1358" t="s">
        <v>5514</v>
      </c>
      <c r="T347" s="1359" t="s">
        <v>5515</v>
      </c>
      <c r="U347" s="1360" t="str">
        <f t="shared" si="39"/>
        <v>atrasado</v>
      </c>
      <c r="V347" s="1130" t="str">
        <f t="shared" si="40"/>
        <v>Noviembre</v>
      </c>
      <c r="W347" s="1128">
        <f t="shared" si="41"/>
        <v>0</v>
      </c>
    </row>
    <row r="348" spans="1:23" s="1321" customFormat="1" ht="57.6" customHeight="1" thickBot="1" x14ac:dyDescent="0.2">
      <c r="A348" s="1117">
        <v>2010</v>
      </c>
      <c r="B348" s="1117">
        <v>2010</v>
      </c>
      <c r="C348" s="1361" t="s">
        <v>5265</v>
      </c>
      <c r="D348" s="1363" t="s">
        <v>5266</v>
      </c>
      <c r="E348" s="1350" t="s">
        <v>5334</v>
      </c>
      <c r="F348" s="1350"/>
      <c r="G348" s="1351" t="s">
        <v>5335</v>
      </c>
      <c r="H348" s="1352">
        <v>3073.4</v>
      </c>
      <c r="I348" s="1353">
        <v>40170</v>
      </c>
      <c r="J348" s="1354">
        <v>45</v>
      </c>
      <c r="K348" s="1355">
        <f>+I348+J348</f>
        <v>40215</v>
      </c>
      <c r="L348" s="1364" t="s">
        <v>124</v>
      </c>
      <c r="M348" s="1353">
        <v>40193</v>
      </c>
      <c r="N348" s="1354">
        <f t="shared" si="43"/>
        <v>-3</v>
      </c>
      <c r="O348" s="1353">
        <v>40205</v>
      </c>
      <c r="P348" s="1357">
        <v>40212</v>
      </c>
      <c r="Q348" s="1357">
        <v>40247</v>
      </c>
      <c r="R348" s="1354">
        <f t="shared" si="42"/>
        <v>77</v>
      </c>
      <c r="S348" s="1358" t="s">
        <v>6272</v>
      </c>
      <c r="T348" s="1359"/>
      <c r="U348" s="1360" t="str">
        <f t="shared" si="39"/>
        <v>en término</v>
      </c>
      <c r="V348" s="1130" t="str">
        <f t="shared" si="40"/>
        <v>Enero</v>
      </c>
      <c r="W348" s="1128">
        <f t="shared" si="41"/>
        <v>1</v>
      </c>
    </row>
    <row r="349" spans="1:23" s="1321" customFormat="1" ht="57.6" customHeight="1" thickBot="1" x14ac:dyDescent="0.2">
      <c r="A349" s="1117">
        <v>2010</v>
      </c>
      <c r="B349" s="1117">
        <v>2010</v>
      </c>
      <c r="C349" s="1361" t="s">
        <v>5265</v>
      </c>
      <c r="D349" s="1363" t="s">
        <v>5339</v>
      </c>
      <c r="E349" s="1350" t="s">
        <v>5340</v>
      </c>
      <c r="F349" s="1350"/>
      <c r="G349" s="1351" t="s">
        <v>5341</v>
      </c>
      <c r="H349" s="1352">
        <v>48322.11</v>
      </c>
      <c r="I349" s="1353">
        <v>40381</v>
      </c>
      <c r="J349" s="1354">
        <v>70</v>
      </c>
      <c r="K349" s="1355">
        <f>+I349+J349</f>
        <v>40451</v>
      </c>
      <c r="L349" s="1356" t="s">
        <v>124</v>
      </c>
      <c r="M349" s="1353">
        <v>40442</v>
      </c>
      <c r="N349" s="1354">
        <f t="shared" si="43"/>
        <v>21</v>
      </c>
      <c r="O349" s="1353">
        <v>40456</v>
      </c>
      <c r="P349" s="1357">
        <v>40472</v>
      </c>
      <c r="Q349" s="1365">
        <v>40502</v>
      </c>
      <c r="R349" s="1354">
        <f t="shared" si="42"/>
        <v>121</v>
      </c>
      <c r="S349" s="1358" t="s">
        <v>53</v>
      </c>
      <c r="T349" s="1359" t="s">
        <v>5344</v>
      </c>
      <c r="U349" s="1360" t="str">
        <f t="shared" si="39"/>
        <v>atrasado</v>
      </c>
      <c r="V349" s="1130" t="str">
        <f t="shared" si="40"/>
        <v>Septiembre</v>
      </c>
      <c r="W349" s="1128">
        <f t="shared" si="41"/>
        <v>0</v>
      </c>
    </row>
    <row r="350" spans="1:23" s="1321" customFormat="1" ht="57.6" customHeight="1" thickBot="1" x14ac:dyDescent="0.2">
      <c r="A350" s="1117">
        <v>2010</v>
      </c>
      <c r="B350" s="1117">
        <v>2010</v>
      </c>
      <c r="C350" s="1338" t="s">
        <v>120</v>
      </c>
      <c r="D350" s="1362" t="s">
        <v>121</v>
      </c>
      <c r="E350" s="1339" t="s">
        <v>5210</v>
      </c>
      <c r="F350" s="1339"/>
      <c r="G350" s="1340">
        <v>23806</v>
      </c>
      <c r="H350" s="1341">
        <v>1325</v>
      </c>
      <c r="I350" s="1342">
        <v>40240</v>
      </c>
      <c r="J350" s="1343">
        <v>88</v>
      </c>
      <c r="K350" s="1344">
        <f>+I350+J350</f>
        <v>40328</v>
      </c>
      <c r="L350" s="1366" t="s">
        <v>124</v>
      </c>
      <c r="M350" s="1342">
        <v>40302</v>
      </c>
      <c r="N350" s="1343">
        <f t="shared" si="43"/>
        <v>-2</v>
      </c>
      <c r="O350" s="1342"/>
      <c r="P350" s="1346">
        <v>40326</v>
      </c>
      <c r="Q350" s="1346">
        <v>40329</v>
      </c>
      <c r="R350" s="1343">
        <f t="shared" si="42"/>
        <v>89</v>
      </c>
      <c r="S350" s="1347" t="s">
        <v>6273</v>
      </c>
      <c r="T350" s="1348"/>
      <c r="U350" s="1349" t="str">
        <f t="shared" si="39"/>
        <v>en término</v>
      </c>
      <c r="V350" s="1130" t="str">
        <f t="shared" si="40"/>
        <v>Mayo</v>
      </c>
      <c r="W350" s="1128">
        <f t="shared" si="41"/>
        <v>1</v>
      </c>
    </row>
    <row r="351" spans="1:23" s="1321" customFormat="1" ht="57.6" customHeight="1" thickBot="1" x14ac:dyDescent="0.2">
      <c r="A351" s="1117">
        <v>2010</v>
      </c>
      <c r="B351" s="1117">
        <v>2010</v>
      </c>
      <c r="C351" s="1338" t="s">
        <v>120</v>
      </c>
      <c r="D351" s="1362" t="s">
        <v>121</v>
      </c>
      <c r="E351" s="1339" t="s">
        <v>5215</v>
      </c>
      <c r="F351" s="1339"/>
      <c r="G351" s="1340">
        <v>25331</v>
      </c>
      <c r="H351" s="1341">
        <v>13961.5</v>
      </c>
      <c r="I351" s="1342">
        <v>40351</v>
      </c>
      <c r="J351" s="1343">
        <v>45</v>
      </c>
      <c r="K351" s="1344">
        <f>+I351+J351</f>
        <v>40396</v>
      </c>
      <c r="L351" s="1366" t="s">
        <v>124</v>
      </c>
      <c r="M351" s="1342">
        <v>40393</v>
      </c>
      <c r="N351" s="1343">
        <f t="shared" si="43"/>
        <v>36</v>
      </c>
      <c r="O351" s="1342">
        <v>40421</v>
      </c>
      <c r="P351" s="1346">
        <v>40432</v>
      </c>
      <c r="Q351" s="1346">
        <f>+P351+45</f>
        <v>40477</v>
      </c>
      <c r="R351" s="1343">
        <f t="shared" si="42"/>
        <v>126</v>
      </c>
      <c r="S351" s="1347" t="s">
        <v>6273</v>
      </c>
      <c r="T351" s="1348"/>
      <c r="U351" s="1349" t="str">
        <f t="shared" si="39"/>
        <v>atrasado</v>
      </c>
      <c r="V351" s="1130" t="str">
        <f t="shared" si="40"/>
        <v>Agosto</v>
      </c>
      <c r="W351" s="1128">
        <f t="shared" si="41"/>
        <v>0</v>
      </c>
    </row>
    <row r="352" spans="1:23" s="1321" customFormat="1" ht="57.6" customHeight="1" thickBot="1" x14ac:dyDescent="0.2">
      <c r="A352" s="1117">
        <v>2010</v>
      </c>
      <c r="B352" s="1117">
        <v>2010</v>
      </c>
      <c r="C352" s="1338" t="s">
        <v>120</v>
      </c>
      <c r="D352" s="1362" t="s">
        <v>121</v>
      </c>
      <c r="E352" s="1339" t="s">
        <v>5218</v>
      </c>
      <c r="F352" s="1339"/>
      <c r="G352" s="1340">
        <v>26637</v>
      </c>
      <c r="H352" s="1341">
        <v>8053.2</v>
      </c>
      <c r="I352" s="1342">
        <v>40443</v>
      </c>
      <c r="J352" s="1343">
        <f>+K352-I352</f>
        <v>57</v>
      </c>
      <c r="K352" s="1344">
        <v>40500</v>
      </c>
      <c r="L352" s="1366" t="s">
        <v>124</v>
      </c>
      <c r="M352" s="1342">
        <v>40494</v>
      </c>
      <c r="N352" s="1343">
        <f t="shared" si="43"/>
        <v>33</v>
      </c>
      <c r="O352" s="1342">
        <v>40519</v>
      </c>
      <c r="P352" s="1346">
        <v>40533</v>
      </c>
      <c r="Q352" s="1344">
        <f>+P352+45</f>
        <v>40578</v>
      </c>
      <c r="R352" s="1343">
        <f t="shared" si="42"/>
        <v>135</v>
      </c>
      <c r="S352" s="1347" t="s">
        <v>6273</v>
      </c>
      <c r="T352" s="1348" t="s">
        <v>2390</v>
      </c>
      <c r="U352" s="1349" t="str">
        <f t="shared" si="39"/>
        <v>atrasado</v>
      </c>
      <c r="V352" s="1130" t="str">
        <f t="shared" si="40"/>
        <v>Noviembre</v>
      </c>
      <c r="W352" s="1128">
        <f t="shared" si="41"/>
        <v>0</v>
      </c>
    </row>
    <row r="353" spans="1:23" s="1321" customFormat="1" ht="57.6" customHeight="1" thickBot="1" x14ac:dyDescent="0.2">
      <c r="A353" s="1117">
        <v>2010</v>
      </c>
      <c r="B353" s="1117">
        <v>2010</v>
      </c>
      <c r="C353" s="1361" t="s">
        <v>120</v>
      </c>
      <c r="D353" s="1363" t="s">
        <v>121</v>
      </c>
      <c r="E353" s="1350" t="s">
        <v>5219</v>
      </c>
      <c r="F353" s="1350"/>
      <c r="G353" s="1351">
        <v>26664</v>
      </c>
      <c r="H353" s="1352">
        <v>7878.5</v>
      </c>
      <c r="I353" s="1353">
        <v>40448</v>
      </c>
      <c r="J353" s="1354">
        <f>+K353-I353</f>
        <v>49</v>
      </c>
      <c r="K353" s="1355">
        <v>40497</v>
      </c>
      <c r="L353" s="1364" t="s">
        <v>124</v>
      </c>
      <c r="M353" s="1353">
        <v>40494</v>
      </c>
      <c r="N353" s="1354">
        <f t="shared" si="43"/>
        <v>36</v>
      </c>
      <c r="O353" s="1353">
        <v>40519</v>
      </c>
      <c r="P353" s="1357">
        <v>40533</v>
      </c>
      <c r="Q353" s="1355">
        <f>+P353+45</f>
        <v>40578</v>
      </c>
      <c r="R353" s="1354">
        <f t="shared" si="42"/>
        <v>130</v>
      </c>
      <c r="S353" s="1358" t="s">
        <v>6273</v>
      </c>
      <c r="T353" s="1359" t="s">
        <v>2390</v>
      </c>
      <c r="U353" s="1360" t="str">
        <f t="shared" si="39"/>
        <v>atrasado</v>
      </c>
      <c r="V353" s="1130" t="str">
        <f t="shared" si="40"/>
        <v>Noviembre</v>
      </c>
      <c r="W353" s="1128">
        <f t="shared" si="41"/>
        <v>0</v>
      </c>
    </row>
    <row r="354" spans="1:23" s="1321" customFormat="1" ht="57.6" customHeight="1" thickBot="1" x14ac:dyDescent="0.2">
      <c r="A354" s="1117">
        <v>2010</v>
      </c>
      <c r="B354" s="1117">
        <v>2010</v>
      </c>
      <c r="C354" s="1361" t="s">
        <v>5049</v>
      </c>
      <c r="D354" s="1363" t="s">
        <v>4776</v>
      </c>
      <c r="E354" s="1350" t="s">
        <v>5050</v>
      </c>
      <c r="F354" s="1350"/>
      <c r="G354" s="1351" t="s">
        <v>5051</v>
      </c>
      <c r="H354" s="1352">
        <v>11400</v>
      </c>
      <c r="I354" s="1353">
        <v>40521</v>
      </c>
      <c r="J354" s="1354">
        <f>+K354-I354</f>
        <v>6</v>
      </c>
      <c r="K354" s="1355">
        <v>40527</v>
      </c>
      <c r="L354" s="1356" t="s">
        <v>124</v>
      </c>
      <c r="M354" s="1353">
        <v>40529</v>
      </c>
      <c r="N354" s="1354">
        <f t="shared" si="43"/>
        <v>20</v>
      </c>
      <c r="O354" s="1353"/>
      <c r="P354" s="1357">
        <v>40547</v>
      </c>
      <c r="Q354" s="1355">
        <f>+P354+2</f>
        <v>40549</v>
      </c>
      <c r="R354" s="1354">
        <f t="shared" si="42"/>
        <v>28</v>
      </c>
      <c r="S354" s="1358" t="s">
        <v>419</v>
      </c>
      <c r="T354" s="1359"/>
      <c r="U354" s="1360" t="str">
        <f t="shared" si="39"/>
        <v>atrasado</v>
      </c>
      <c r="V354" s="1130" t="str">
        <f t="shared" si="40"/>
        <v>Diciembre</v>
      </c>
      <c r="W354" s="1128">
        <f t="shared" si="41"/>
        <v>0</v>
      </c>
    </row>
    <row r="355" spans="1:23" s="1321" customFormat="1" ht="57.6" customHeight="1" thickBot="1" x14ac:dyDescent="0.2">
      <c r="A355" s="1117">
        <v>2010</v>
      </c>
      <c r="B355" s="1117">
        <v>2010</v>
      </c>
      <c r="C355" s="1361" t="s">
        <v>4832</v>
      </c>
      <c r="D355" s="1119" t="s">
        <v>5017</v>
      </c>
      <c r="E355" s="1350" t="s">
        <v>5036</v>
      </c>
      <c r="F355" s="1350"/>
      <c r="G355" s="1351" t="s">
        <v>5037</v>
      </c>
      <c r="H355" s="1352">
        <v>71175.3</v>
      </c>
      <c r="I355" s="1353">
        <v>40236</v>
      </c>
      <c r="J355" s="1354">
        <v>60</v>
      </c>
      <c r="K355" s="1355">
        <f t="shared" ref="K355:K369" si="45">+I355+J355</f>
        <v>40296</v>
      </c>
      <c r="L355" s="1356" t="s">
        <v>124</v>
      </c>
      <c r="M355" s="1353">
        <v>40291</v>
      </c>
      <c r="N355" s="1354">
        <f t="shared" si="43"/>
        <v>-1</v>
      </c>
      <c r="O355" s="1353">
        <v>40294</v>
      </c>
      <c r="P355" s="1357">
        <v>40295</v>
      </c>
      <c r="Q355" s="1357">
        <v>40304</v>
      </c>
      <c r="R355" s="1354">
        <f t="shared" si="42"/>
        <v>68</v>
      </c>
      <c r="S355" s="1358" t="s">
        <v>5039</v>
      </c>
      <c r="T355" s="1359" t="s">
        <v>5040</v>
      </c>
      <c r="U355" s="1360" t="str">
        <f t="shared" si="39"/>
        <v>en término</v>
      </c>
      <c r="V355" s="1130" t="str">
        <f t="shared" si="40"/>
        <v>Abril</v>
      </c>
      <c r="W355" s="1128">
        <f t="shared" si="41"/>
        <v>1</v>
      </c>
    </row>
    <row r="356" spans="1:23" s="1321" customFormat="1" ht="57.6" customHeight="1" thickBot="1" x14ac:dyDescent="0.2">
      <c r="A356" s="1117">
        <v>2010</v>
      </c>
      <c r="B356" s="1117">
        <v>2010</v>
      </c>
      <c r="C356" s="1338" t="s">
        <v>4832</v>
      </c>
      <c r="D356" s="1362" t="s">
        <v>4918</v>
      </c>
      <c r="E356" s="1339" t="s">
        <v>5041</v>
      </c>
      <c r="F356" s="1339"/>
      <c r="G356" s="1340" t="s">
        <v>5042</v>
      </c>
      <c r="H356" s="1341">
        <v>2290</v>
      </c>
      <c r="I356" s="1342">
        <v>40380</v>
      </c>
      <c r="J356" s="1343">
        <v>21</v>
      </c>
      <c r="K356" s="1344">
        <f t="shared" si="45"/>
        <v>40401</v>
      </c>
      <c r="L356" s="1345" t="s">
        <v>280</v>
      </c>
      <c r="M356" s="1342">
        <v>40420</v>
      </c>
      <c r="N356" s="1343">
        <f t="shared" si="43"/>
        <v>65</v>
      </c>
      <c r="O356" s="1342"/>
      <c r="P356" s="1346">
        <v>40466</v>
      </c>
      <c r="Q356" s="1346">
        <v>40471</v>
      </c>
      <c r="R356" s="1343">
        <f t="shared" si="42"/>
        <v>91</v>
      </c>
      <c r="S356" s="1347" t="s">
        <v>6274</v>
      </c>
      <c r="T356" s="1348"/>
      <c r="U356" s="1349" t="str">
        <f t="shared" si="39"/>
        <v>atrasado</v>
      </c>
      <c r="V356" s="1130" t="str">
        <f t="shared" si="40"/>
        <v>Agosto</v>
      </c>
      <c r="W356" s="1128">
        <f t="shared" si="41"/>
        <v>0</v>
      </c>
    </row>
    <row r="357" spans="1:23" s="1321" customFormat="1" ht="57.6" customHeight="1" thickBot="1" x14ac:dyDescent="0.2">
      <c r="A357" s="1117">
        <v>2010</v>
      </c>
      <c r="B357" s="1117">
        <v>2010</v>
      </c>
      <c r="C357" s="1361" t="s">
        <v>4832</v>
      </c>
      <c r="D357" s="1119" t="s">
        <v>5017</v>
      </c>
      <c r="E357" s="1350" t="s">
        <v>5046</v>
      </c>
      <c r="F357" s="1350"/>
      <c r="G357" s="1351" t="s">
        <v>5047</v>
      </c>
      <c r="H357" s="1352">
        <v>6050</v>
      </c>
      <c r="I357" s="1353">
        <v>40442</v>
      </c>
      <c r="J357" s="1354">
        <v>40</v>
      </c>
      <c r="K357" s="1355">
        <f t="shared" si="45"/>
        <v>40482</v>
      </c>
      <c r="L357" s="1356" t="s">
        <v>124</v>
      </c>
      <c r="M357" s="1353">
        <v>40477</v>
      </c>
      <c r="N357" s="1354">
        <f t="shared" si="43"/>
        <v>10</v>
      </c>
      <c r="O357" s="1353">
        <v>40490</v>
      </c>
      <c r="P357" s="1357">
        <v>40492</v>
      </c>
      <c r="Q357" s="1357">
        <f>+P357+9</f>
        <v>40501</v>
      </c>
      <c r="R357" s="1354">
        <f t="shared" si="42"/>
        <v>59</v>
      </c>
      <c r="S357" s="1358" t="s">
        <v>5048</v>
      </c>
      <c r="T357" s="1359"/>
      <c r="U357" s="1360" t="str">
        <f t="shared" si="39"/>
        <v>atrasado</v>
      </c>
      <c r="V357" s="1130" t="str">
        <f t="shared" si="40"/>
        <v>Octubre</v>
      </c>
      <c r="W357" s="1128">
        <f t="shared" si="41"/>
        <v>0</v>
      </c>
    </row>
    <row r="358" spans="1:23" s="1321" customFormat="1" ht="57.6" customHeight="1" thickBot="1" x14ac:dyDescent="0.2">
      <c r="A358" s="1117">
        <v>2010</v>
      </c>
      <c r="B358" s="1117">
        <v>2010</v>
      </c>
      <c r="C358" s="1361" t="s">
        <v>114</v>
      </c>
      <c r="D358" s="1363" t="s">
        <v>115</v>
      </c>
      <c r="E358" s="1350" t="s">
        <v>4772</v>
      </c>
      <c r="F358" s="1350"/>
      <c r="G358" s="1351" t="s">
        <v>4773</v>
      </c>
      <c r="H358" s="1352">
        <v>495</v>
      </c>
      <c r="I358" s="1353">
        <v>40248</v>
      </c>
      <c r="J358" s="1354">
        <v>20</v>
      </c>
      <c r="K358" s="1355">
        <f t="shared" si="45"/>
        <v>40268</v>
      </c>
      <c r="L358" s="1356" t="s">
        <v>124</v>
      </c>
      <c r="M358" s="1353">
        <v>40253</v>
      </c>
      <c r="N358" s="1354">
        <f t="shared" si="43"/>
        <v>-10</v>
      </c>
      <c r="O358" s="1353">
        <v>40255</v>
      </c>
      <c r="P358" s="1357">
        <v>40258</v>
      </c>
      <c r="Q358" s="1357">
        <f>+P358+5</f>
        <v>40263</v>
      </c>
      <c r="R358" s="1354">
        <f t="shared" si="42"/>
        <v>15</v>
      </c>
      <c r="S358" s="1358" t="s">
        <v>6275</v>
      </c>
      <c r="T358" s="1359"/>
      <c r="U358" s="1360" t="str">
        <f t="shared" si="39"/>
        <v>en término</v>
      </c>
      <c r="V358" s="1130" t="str">
        <f t="shared" si="40"/>
        <v>Marzo</v>
      </c>
      <c r="W358" s="1128">
        <f t="shared" si="41"/>
        <v>1</v>
      </c>
    </row>
    <row r="359" spans="1:23" s="1321" customFormat="1" ht="57.6" customHeight="1" thickBot="1" x14ac:dyDescent="0.2">
      <c r="A359" s="1117">
        <v>2010</v>
      </c>
      <c r="B359" s="1117">
        <v>2010</v>
      </c>
      <c r="C359" s="1361" t="s">
        <v>114</v>
      </c>
      <c r="D359" s="1363" t="s">
        <v>4776</v>
      </c>
      <c r="E359" s="1350" t="s">
        <v>4777</v>
      </c>
      <c r="F359" s="1350"/>
      <c r="G359" s="1351" t="s">
        <v>4778</v>
      </c>
      <c r="H359" s="1352">
        <v>2725</v>
      </c>
      <c r="I359" s="1353">
        <v>40428</v>
      </c>
      <c r="J359" s="1354">
        <v>30</v>
      </c>
      <c r="K359" s="1355">
        <f t="shared" si="45"/>
        <v>40458</v>
      </c>
      <c r="L359" s="1356" t="s">
        <v>124</v>
      </c>
      <c r="M359" s="1353">
        <v>40452</v>
      </c>
      <c r="N359" s="1354">
        <f t="shared" si="43"/>
        <v>22</v>
      </c>
      <c r="O359" s="1353">
        <v>40464</v>
      </c>
      <c r="P359" s="1357">
        <v>40480</v>
      </c>
      <c r="Q359" s="1357">
        <f>+P359+25</f>
        <v>40505</v>
      </c>
      <c r="R359" s="1354">
        <f t="shared" si="42"/>
        <v>77</v>
      </c>
      <c r="S359" s="1358" t="s">
        <v>4780</v>
      </c>
      <c r="T359" s="1359" t="s">
        <v>4782</v>
      </c>
      <c r="U359" s="1360" t="str">
        <f t="shared" si="39"/>
        <v>atrasado</v>
      </c>
      <c r="V359" s="1130" t="str">
        <f t="shared" si="40"/>
        <v>Octubre</v>
      </c>
      <c r="W359" s="1128">
        <f t="shared" si="41"/>
        <v>0</v>
      </c>
    </row>
    <row r="360" spans="1:23" s="1321" customFormat="1" ht="57.6" customHeight="1" thickBot="1" x14ac:dyDescent="0.2">
      <c r="A360" s="1117">
        <v>2010</v>
      </c>
      <c r="B360" s="1117">
        <v>2010</v>
      </c>
      <c r="C360" s="1213" t="s">
        <v>4005</v>
      </c>
      <c r="D360" s="1214" t="s">
        <v>4621</v>
      </c>
      <c r="E360" s="1215" t="s">
        <v>4622</v>
      </c>
      <c r="F360" s="1215"/>
      <c r="G360" s="1216">
        <v>5100079669</v>
      </c>
      <c r="H360" s="1217">
        <v>11993.6</v>
      </c>
      <c r="I360" s="1218">
        <v>40289</v>
      </c>
      <c r="J360" s="1219">
        <v>86</v>
      </c>
      <c r="K360" s="1220">
        <f t="shared" si="45"/>
        <v>40375</v>
      </c>
      <c r="L360" s="1221" t="s">
        <v>124</v>
      </c>
      <c r="M360" s="1218">
        <v>40367</v>
      </c>
      <c r="N360" s="1219">
        <f t="shared" si="43"/>
        <v>143</v>
      </c>
      <c r="O360" s="1218">
        <v>40505</v>
      </c>
      <c r="P360" s="1222">
        <v>40518</v>
      </c>
      <c r="Q360" s="1220">
        <f>+P360+50</f>
        <v>40568</v>
      </c>
      <c r="R360" s="1219">
        <f t="shared" si="42"/>
        <v>279</v>
      </c>
      <c r="S360" s="1223" t="s">
        <v>53</v>
      </c>
      <c r="T360" s="1224" t="s">
        <v>4624</v>
      </c>
      <c r="U360" s="1225" t="str">
        <f t="shared" si="39"/>
        <v>atrasado</v>
      </c>
      <c r="V360" s="1130" t="str">
        <f t="shared" si="40"/>
        <v>Julio</v>
      </c>
      <c r="W360" s="1128">
        <f t="shared" si="41"/>
        <v>0</v>
      </c>
    </row>
    <row r="361" spans="1:23" s="1321" customFormat="1" ht="57.6" customHeight="1" thickBot="1" x14ac:dyDescent="0.2">
      <c r="A361" s="1117">
        <v>2010</v>
      </c>
      <c r="B361" s="1117">
        <v>2010</v>
      </c>
      <c r="C361" s="1338" t="s">
        <v>78</v>
      </c>
      <c r="D361" s="1362" t="s">
        <v>79</v>
      </c>
      <c r="E361" s="1339" t="s">
        <v>3699</v>
      </c>
      <c r="F361" s="1339"/>
      <c r="G361" s="1340" t="s">
        <v>3700</v>
      </c>
      <c r="H361" s="1341">
        <v>4290</v>
      </c>
      <c r="I361" s="1342">
        <v>40217</v>
      </c>
      <c r="J361" s="1343">
        <v>30</v>
      </c>
      <c r="K361" s="1344">
        <f t="shared" si="45"/>
        <v>40247</v>
      </c>
      <c r="L361" s="1345" t="s">
        <v>124</v>
      </c>
      <c r="M361" s="1342">
        <v>40242</v>
      </c>
      <c r="N361" s="1343">
        <f t="shared" si="43"/>
        <v>-1</v>
      </c>
      <c r="O361" s="1342"/>
      <c r="P361" s="1346">
        <v>40246</v>
      </c>
      <c r="Q361" s="1346">
        <v>40249</v>
      </c>
      <c r="R361" s="1343">
        <f t="shared" si="42"/>
        <v>32</v>
      </c>
      <c r="S361" s="1347" t="s">
        <v>53</v>
      </c>
      <c r="T361" s="1348"/>
      <c r="U361" s="1349" t="str">
        <f t="shared" si="39"/>
        <v>en término</v>
      </c>
      <c r="V361" s="1130" t="str">
        <f t="shared" si="40"/>
        <v>Marzo</v>
      </c>
      <c r="W361" s="1128">
        <f t="shared" si="41"/>
        <v>1</v>
      </c>
    </row>
    <row r="362" spans="1:23" s="1321" customFormat="1" ht="57.6" customHeight="1" thickBot="1" x14ac:dyDescent="0.2">
      <c r="A362" s="1117">
        <v>2010</v>
      </c>
      <c r="B362" s="1117">
        <v>2010</v>
      </c>
      <c r="C362" s="1338" t="s">
        <v>78</v>
      </c>
      <c r="D362" s="1362" t="s">
        <v>3165</v>
      </c>
      <c r="E362" s="1339" t="s">
        <v>3702</v>
      </c>
      <c r="F362" s="1339"/>
      <c r="G362" s="1340">
        <v>566860</v>
      </c>
      <c r="H362" s="1341">
        <v>136086.20000000001</v>
      </c>
      <c r="I362" s="1342">
        <v>40220</v>
      </c>
      <c r="J362" s="1343">
        <v>60</v>
      </c>
      <c r="K362" s="1344">
        <f t="shared" si="45"/>
        <v>40280</v>
      </c>
      <c r="L362" s="1345" t="s">
        <v>124</v>
      </c>
      <c r="M362" s="1342">
        <v>40277</v>
      </c>
      <c r="N362" s="1343">
        <f t="shared" si="43"/>
        <v>0</v>
      </c>
      <c r="O362" s="1353">
        <v>40280</v>
      </c>
      <c r="P362" s="1357">
        <v>40280</v>
      </c>
      <c r="Q362" s="1346">
        <f>+P362+5</f>
        <v>40285</v>
      </c>
      <c r="R362" s="1343">
        <f t="shared" si="42"/>
        <v>65</v>
      </c>
      <c r="S362" s="1347" t="s">
        <v>6276</v>
      </c>
      <c r="T362" s="1348"/>
      <c r="U362" s="1349" t="str">
        <f t="shared" si="39"/>
        <v>en término</v>
      </c>
      <c r="V362" s="1130" t="str">
        <f t="shared" si="40"/>
        <v>Abril</v>
      </c>
      <c r="W362" s="1128">
        <f t="shared" si="41"/>
        <v>1</v>
      </c>
    </row>
    <row r="363" spans="1:23" s="1321" customFormat="1" ht="57.6" customHeight="1" thickBot="1" x14ac:dyDescent="0.2">
      <c r="A363" s="1117">
        <v>2010</v>
      </c>
      <c r="B363" s="1117">
        <v>2010</v>
      </c>
      <c r="C363" s="1361" t="s">
        <v>78</v>
      </c>
      <c r="D363" s="1363" t="s">
        <v>3165</v>
      </c>
      <c r="E363" s="1350" t="s">
        <v>3702</v>
      </c>
      <c r="F363" s="1350"/>
      <c r="G363" s="1351">
        <v>566859</v>
      </c>
      <c r="H363" s="1352">
        <v>222516.7</v>
      </c>
      <c r="I363" s="1353">
        <v>40220</v>
      </c>
      <c r="J363" s="1354">
        <v>60</v>
      </c>
      <c r="K363" s="1355">
        <f t="shared" si="45"/>
        <v>40280</v>
      </c>
      <c r="L363" s="1356" t="s">
        <v>124</v>
      </c>
      <c r="M363" s="1353">
        <v>40277</v>
      </c>
      <c r="N363" s="1354">
        <f t="shared" si="43"/>
        <v>0</v>
      </c>
      <c r="O363" s="1353">
        <v>40280</v>
      </c>
      <c r="P363" s="1357">
        <v>40280</v>
      </c>
      <c r="Q363" s="1357">
        <f>+P363+5</f>
        <v>40285</v>
      </c>
      <c r="R363" s="1354">
        <f t="shared" si="42"/>
        <v>65</v>
      </c>
      <c r="S363" s="1358" t="s">
        <v>6276</v>
      </c>
      <c r="T363" s="1359"/>
      <c r="U363" s="1360" t="str">
        <f t="shared" si="39"/>
        <v>en término</v>
      </c>
      <c r="V363" s="1130" t="str">
        <f t="shared" si="40"/>
        <v>Abril</v>
      </c>
      <c r="W363" s="1128">
        <f t="shared" si="41"/>
        <v>1</v>
      </c>
    </row>
    <row r="364" spans="1:23" s="1321" customFormat="1" ht="57.6" customHeight="1" thickBot="1" x14ac:dyDescent="0.2">
      <c r="A364" s="1117">
        <v>2010</v>
      </c>
      <c r="B364" s="1117">
        <v>2010</v>
      </c>
      <c r="C364" s="1361" t="s">
        <v>78</v>
      </c>
      <c r="D364" s="1363" t="s">
        <v>3165</v>
      </c>
      <c r="E364" s="1350" t="s">
        <v>3707</v>
      </c>
      <c r="F364" s="1350"/>
      <c r="G364" s="1351">
        <v>567402</v>
      </c>
      <c r="H364" s="1352">
        <v>9835</v>
      </c>
      <c r="I364" s="1353">
        <v>40241</v>
      </c>
      <c r="J364" s="1354">
        <v>43</v>
      </c>
      <c r="K364" s="1355">
        <f t="shared" si="45"/>
        <v>40284</v>
      </c>
      <c r="L364" s="1356" t="s">
        <v>124</v>
      </c>
      <c r="M364" s="1353">
        <v>40281</v>
      </c>
      <c r="N364" s="1354">
        <f t="shared" si="43"/>
        <v>3</v>
      </c>
      <c r="O364" s="1353">
        <v>40287</v>
      </c>
      <c r="P364" s="1357">
        <v>40287</v>
      </c>
      <c r="Q364" s="1357">
        <f>+P364+5</f>
        <v>40292</v>
      </c>
      <c r="R364" s="1354">
        <f t="shared" si="42"/>
        <v>51</v>
      </c>
      <c r="S364" s="1358" t="s">
        <v>6276</v>
      </c>
      <c r="T364" s="1359"/>
      <c r="U364" s="1360" t="str">
        <f t="shared" si="39"/>
        <v>atrasado</v>
      </c>
      <c r="V364" s="1130" t="str">
        <f t="shared" si="40"/>
        <v>Abril</v>
      </c>
      <c r="W364" s="1128">
        <f t="shared" si="41"/>
        <v>0</v>
      </c>
    </row>
    <row r="365" spans="1:23" s="1321" customFormat="1" ht="57.6" customHeight="1" thickBot="1" x14ac:dyDescent="0.2">
      <c r="A365" s="1117">
        <v>2010</v>
      </c>
      <c r="B365" s="1117">
        <v>2010</v>
      </c>
      <c r="C365" s="1361" t="s">
        <v>78</v>
      </c>
      <c r="D365" s="1363" t="s">
        <v>3165</v>
      </c>
      <c r="E365" s="1350" t="s">
        <v>3708</v>
      </c>
      <c r="F365" s="1350"/>
      <c r="G365" s="1351">
        <v>570305</v>
      </c>
      <c r="H365" s="1352">
        <v>232742.2</v>
      </c>
      <c r="I365" s="1353">
        <v>40350</v>
      </c>
      <c r="J365" s="1354">
        <v>20</v>
      </c>
      <c r="K365" s="1355">
        <f t="shared" si="45"/>
        <v>40370</v>
      </c>
      <c r="L365" s="1356" t="s">
        <v>124</v>
      </c>
      <c r="M365" s="1353">
        <v>40358</v>
      </c>
      <c r="N365" s="1354">
        <f t="shared" si="43"/>
        <v>-3</v>
      </c>
      <c r="O365" s="1353">
        <v>40366</v>
      </c>
      <c r="P365" s="1357">
        <v>40367</v>
      </c>
      <c r="Q365" s="1357">
        <f>+P365+20</f>
        <v>40387</v>
      </c>
      <c r="R365" s="1354">
        <f t="shared" si="42"/>
        <v>37</v>
      </c>
      <c r="S365" s="1358" t="s">
        <v>6277</v>
      </c>
      <c r="T365" s="1359" t="s">
        <v>3710</v>
      </c>
      <c r="U365" s="1360" t="str">
        <f t="shared" si="39"/>
        <v>en término</v>
      </c>
      <c r="V365" s="1130" t="str">
        <f t="shared" si="40"/>
        <v>Junio</v>
      </c>
      <c r="W365" s="1128">
        <f t="shared" si="41"/>
        <v>1</v>
      </c>
    </row>
    <row r="366" spans="1:23" s="1321" customFormat="1" ht="57.6" customHeight="1" thickBot="1" x14ac:dyDescent="0.2">
      <c r="A366" s="1117">
        <v>2010</v>
      </c>
      <c r="B366" s="1117">
        <v>2010</v>
      </c>
      <c r="C366" s="1361" t="s">
        <v>78</v>
      </c>
      <c r="D366" s="1363" t="s">
        <v>3165</v>
      </c>
      <c r="E366" s="1350" t="s">
        <v>3708</v>
      </c>
      <c r="F366" s="1350"/>
      <c r="G366" s="1351">
        <v>570305</v>
      </c>
      <c r="H366" s="1352">
        <v>232742.2</v>
      </c>
      <c r="I366" s="1353">
        <v>40350</v>
      </c>
      <c r="J366" s="1354">
        <v>70</v>
      </c>
      <c r="K366" s="1355">
        <f t="shared" si="45"/>
        <v>40420</v>
      </c>
      <c r="L366" s="1356" t="s">
        <v>124</v>
      </c>
      <c r="M366" s="1353">
        <v>40400</v>
      </c>
      <c r="N366" s="1354">
        <f t="shared" si="43"/>
        <v>-18</v>
      </c>
      <c r="O366" s="1353"/>
      <c r="P366" s="1357">
        <v>40402</v>
      </c>
      <c r="Q366" s="1357">
        <f>+P366+20</f>
        <v>40422</v>
      </c>
      <c r="R366" s="1354">
        <f t="shared" si="42"/>
        <v>72</v>
      </c>
      <c r="S366" s="1358" t="s">
        <v>6277</v>
      </c>
      <c r="T366" s="1359" t="s">
        <v>3713</v>
      </c>
      <c r="U366" s="1360" t="str">
        <f t="shared" si="39"/>
        <v>en término</v>
      </c>
      <c r="V366" s="1130" t="str">
        <f t="shared" si="40"/>
        <v>Agosto</v>
      </c>
      <c r="W366" s="1128">
        <f t="shared" si="41"/>
        <v>1</v>
      </c>
    </row>
    <row r="367" spans="1:23" s="1321" customFormat="1" ht="57.6" customHeight="1" thickBot="1" x14ac:dyDescent="0.2">
      <c r="A367" s="1117">
        <v>2010</v>
      </c>
      <c r="B367" s="1117">
        <v>2010</v>
      </c>
      <c r="C367" s="1338" t="s">
        <v>78</v>
      </c>
      <c r="D367" s="1362" t="s">
        <v>3165</v>
      </c>
      <c r="E367" s="1339" t="s">
        <v>3708</v>
      </c>
      <c r="F367" s="1339"/>
      <c r="G367" s="1340">
        <v>570305</v>
      </c>
      <c r="H367" s="1341">
        <v>232742.2</v>
      </c>
      <c r="I367" s="1342">
        <v>40350</v>
      </c>
      <c r="J367" s="1343">
        <v>100</v>
      </c>
      <c r="K367" s="1344">
        <f t="shared" si="45"/>
        <v>40450</v>
      </c>
      <c r="L367" s="1345" t="s">
        <v>124</v>
      </c>
      <c r="M367" s="1342">
        <v>40408</v>
      </c>
      <c r="N367" s="1343">
        <f t="shared" si="43"/>
        <v>-35</v>
      </c>
      <c r="O367" s="1342"/>
      <c r="P367" s="1346">
        <v>40415</v>
      </c>
      <c r="Q367" s="1346">
        <f>+P367+20</f>
        <v>40435</v>
      </c>
      <c r="R367" s="1343">
        <f t="shared" si="42"/>
        <v>85</v>
      </c>
      <c r="S367" s="1347" t="s">
        <v>6277</v>
      </c>
      <c r="T367" s="1348" t="s">
        <v>3715</v>
      </c>
      <c r="U367" s="1349" t="str">
        <f t="shared" si="39"/>
        <v>en término</v>
      </c>
      <c r="V367" s="1130" t="str">
        <f t="shared" si="40"/>
        <v>Agosto</v>
      </c>
      <c r="W367" s="1128">
        <f t="shared" si="41"/>
        <v>1</v>
      </c>
    </row>
    <row r="368" spans="1:23" s="1321" customFormat="1" ht="57.6" customHeight="1" thickBot="1" x14ac:dyDescent="0.2">
      <c r="A368" s="1117">
        <v>2010</v>
      </c>
      <c r="B368" s="1117">
        <v>2010</v>
      </c>
      <c r="C368" s="1338" t="s">
        <v>78</v>
      </c>
      <c r="D368" s="1362" t="s">
        <v>3165</v>
      </c>
      <c r="E368" s="1339" t="s">
        <v>3716</v>
      </c>
      <c r="F368" s="1339"/>
      <c r="G368" s="1340">
        <v>571190</v>
      </c>
      <c r="H368" s="1341">
        <v>14299.2</v>
      </c>
      <c r="I368" s="1342">
        <v>40380</v>
      </c>
      <c r="J368" s="1343">
        <v>61</v>
      </c>
      <c r="K368" s="1344">
        <f t="shared" si="45"/>
        <v>40441</v>
      </c>
      <c r="L368" s="1345" t="s">
        <v>124</v>
      </c>
      <c r="M368" s="1342">
        <v>40424</v>
      </c>
      <c r="N368" s="1343">
        <f t="shared" si="43"/>
        <v>-5</v>
      </c>
      <c r="O368" s="1342"/>
      <c r="P368" s="1346">
        <v>40436</v>
      </c>
      <c r="Q368" s="1346">
        <f>+P368+20</f>
        <v>40456</v>
      </c>
      <c r="R368" s="1343">
        <f t="shared" si="42"/>
        <v>76</v>
      </c>
      <c r="S368" s="1347" t="s">
        <v>6277</v>
      </c>
      <c r="T368" s="1348"/>
      <c r="U368" s="1349" t="str">
        <f t="shared" si="39"/>
        <v>en término</v>
      </c>
      <c r="V368" s="1130" t="str">
        <f t="shared" si="40"/>
        <v>Septiembre</v>
      </c>
      <c r="W368" s="1128">
        <f t="shared" si="41"/>
        <v>1</v>
      </c>
    </row>
    <row r="369" spans="1:23" s="1321" customFormat="1" ht="57.6" customHeight="1" thickBot="1" x14ac:dyDescent="0.2">
      <c r="A369" s="1117">
        <v>2010</v>
      </c>
      <c r="B369" s="1117">
        <v>2010</v>
      </c>
      <c r="C369" s="1361" t="s">
        <v>78</v>
      </c>
      <c r="D369" s="1363" t="s">
        <v>79</v>
      </c>
      <c r="E369" s="1350" t="s">
        <v>3719</v>
      </c>
      <c r="F369" s="1350"/>
      <c r="G369" s="1351" t="s">
        <v>3720</v>
      </c>
      <c r="H369" s="1352">
        <v>4080</v>
      </c>
      <c r="I369" s="1353">
        <v>40400</v>
      </c>
      <c r="J369" s="1354">
        <v>45</v>
      </c>
      <c r="K369" s="1355">
        <f t="shared" si="45"/>
        <v>40445</v>
      </c>
      <c r="L369" s="1356" t="s">
        <v>124</v>
      </c>
      <c r="M369" s="1353">
        <v>40435</v>
      </c>
      <c r="N369" s="1354">
        <f t="shared" si="43"/>
        <v>7</v>
      </c>
      <c r="O369" s="1353"/>
      <c r="P369" s="1357">
        <v>40452</v>
      </c>
      <c r="Q369" s="1357">
        <f>+P369+5</f>
        <v>40457</v>
      </c>
      <c r="R369" s="1354">
        <f t="shared" si="42"/>
        <v>57</v>
      </c>
      <c r="S369" s="1358" t="s">
        <v>2183</v>
      </c>
      <c r="T369" s="1359"/>
      <c r="U369" s="1360" t="str">
        <f t="shared" si="39"/>
        <v>atrasado</v>
      </c>
      <c r="V369" s="1130" t="str">
        <f t="shared" si="40"/>
        <v>Septiembre</v>
      </c>
      <c r="W369" s="1128">
        <f t="shared" si="41"/>
        <v>0</v>
      </c>
    </row>
    <row r="370" spans="1:23" s="1321" customFormat="1" ht="57.6" customHeight="1" thickBot="1" x14ac:dyDescent="0.2">
      <c r="A370" s="1117">
        <v>2010</v>
      </c>
      <c r="B370" s="1117">
        <v>2010</v>
      </c>
      <c r="C370" s="1361" t="s">
        <v>78</v>
      </c>
      <c r="D370" s="1363" t="s">
        <v>3165</v>
      </c>
      <c r="E370" s="1350" t="s">
        <v>3721</v>
      </c>
      <c r="F370" s="1350"/>
      <c r="G370" s="1351">
        <v>571875</v>
      </c>
      <c r="H370" s="1352">
        <v>163654.1</v>
      </c>
      <c r="I370" s="1353">
        <v>40400</v>
      </c>
      <c r="J370" s="1354">
        <v>60</v>
      </c>
      <c r="K370" s="1355">
        <v>40492</v>
      </c>
      <c r="L370" s="1356" t="s">
        <v>124</v>
      </c>
      <c r="M370" s="1353">
        <v>40459</v>
      </c>
      <c r="N370" s="1354">
        <f t="shared" si="43"/>
        <v>-15</v>
      </c>
      <c r="O370" s="1353">
        <v>40473</v>
      </c>
      <c r="P370" s="1357">
        <v>40477</v>
      </c>
      <c r="Q370" s="1357">
        <f>+P370+10</f>
        <v>40487</v>
      </c>
      <c r="R370" s="1354">
        <f t="shared" si="42"/>
        <v>87</v>
      </c>
      <c r="S370" s="1358" t="s">
        <v>6278</v>
      </c>
      <c r="T370" s="1359" t="s">
        <v>3724</v>
      </c>
      <c r="U370" s="1360" t="str">
        <f t="shared" si="39"/>
        <v>en término</v>
      </c>
      <c r="V370" s="1130" t="str">
        <f t="shared" si="40"/>
        <v>Octubre</v>
      </c>
      <c r="W370" s="1128">
        <f t="shared" si="41"/>
        <v>1</v>
      </c>
    </row>
    <row r="371" spans="1:23" s="1321" customFormat="1" ht="57.6" customHeight="1" thickBot="1" x14ac:dyDescent="0.2">
      <c r="A371" s="1117">
        <v>2010</v>
      </c>
      <c r="B371" s="1117">
        <v>2010</v>
      </c>
      <c r="C371" s="1361" t="s">
        <v>78</v>
      </c>
      <c r="D371" s="1363" t="s">
        <v>3165</v>
      </c>
      <c r="E371" s="1350" t="s">
        <v>3725</v>
      </c>
      <c r="F371" s="1350"/>
      <c r="G371" s="1351">
        <v>572204</v>
      </c>
      <c r="H371" s="1352">
        <v>97472.27</v>
      </c>
      <c r="I371" s="1353">
        <v>40413</v>
      </c>
      <c r="J371" s="1354">
        <v>60</v>
      </c>
      <c r="K371" s="1355">
        <v>40476</v>
      </c>
      <c r="L371" s="1356" t="s">
        <v>124</v>
      </c>
      <c r="M371" s="1353">
        <v>40473</v>
      </c>
      <c r="N371" s="1354">
        <f t="shared" si="43"/>
        <v>11</v>
      </c>
      <c r="O371" s="1353"/>
      <c r="P371" s="1357">
        <v>40487</v>
      </c>
      <c r="Q371" s="1357">
        <f>+P371+10</f>
        <v>40497</v>
      </c>
      <c r="R371" s="1354">
        <f t="shared" si="42"/>
        <v>84</v>
      </c>
      <c r="S371" s="1358" t="s">
        <v>6279</v>
      </c>
      <c r="T371" s="1359"/>
      <c r="U371" s="1360" t="str">
        <f t="shared" si="39"/>
        <v>atrasado</v>
      </c>
      <c r="V371" s="1130" t="str">
        <f t="shared" si="40"/>
        <v>Octubre</v>
      </c>
      <c r="W371" s="1128">
        <f t="shared" si="41"/>
        <v>0</v>
      </c>
    </row>
    <row r="372" spans="1:23" s="1321" customFormat="1" ht="57.6" customHeight="1" thickBot="1" x14ac:dyDescent="0.2">
      <c r="A372" s="1117">
        <v>2010</v>
      </c>
      <c r="B372" s="1117">
        <v>2010</v>
      </c>
      <c r="C372" s="1338" t="s">
        <v>78</v>
      </c>
      <c r="D372" s="1362" t="s">
        <v>3165</v>
      </c>
      <c r="E372" s="1339" t="s">
        <v>3730</v>
      </c>
      <c r="F372" s="1339"/>
      <c r="G372" s="1340">
        <v>572325</v>
      </c>
      <c r="H372" s="1341">
        <v>12755.3</v>
      </c>
      <c r="I372" s="1342">
        <v>40423</v>
      </c>
      <c r="J372" s="1343">
        <f>+K372-I372</f>
        <v>60</v>
      </c>
      <c r="K372" s="1344">
        <v>40483</v>
      </c>
      <c r="L372" s="1345" t="s">
        <v>124</v>
      </c>
      <c r="M372" s="1342">
        <v>40473</v>
      </c>
      <c r="N372" s="1343">
        <f t="shared" si="43"/>
        <v>16</v>
      </c>
      <c r="O372" s="1342">
        <v>40490</v>
      </c>
      <c r="P372" s="1346">
        <v>40499</v>
      </c>
      <c r="Q372" s="1346">
        <f>+P372+30</f>
        <v>40529</v>
      </c>
      <c r="R372" s="1343">
        <f t="shared" si="42"/>
        <v>106</v>
      </c>
      <c r="S372" s="1347" t="s">
        <v>6280</v>
      </c>
      <c r="T372" s="1348"/>
      <c r="U372" s="1349" t="str">
        <f t="shared" si="39"/>
        <v>atrasado</v>
      </c>
      <c r="V372" s="1130" t="str">
        <f t="shared" si="40"/>
        <v>Octubre</v>
      </c>
      <c r="W372" s="1128">
        <f t="shared" si="41"/>
        <v>0</v>
      </c>
    </row>
    <row r="373" spans="1:23" s="1321" customFormat="1" ht="57.6" customHeight="1" thickBot="1" x14ac:dyDescent="0.2">
      <c r="A373" s="1117">
        <v>2010</v>
      </c>
      <c r="B373" s="1117">
        <v>2010</v>
      </c>
      <c r="C373" s="1361" t="s">
        <v>78</v>
      </c>
      <c r="D373" s="1363" t="s">
        <v>3165</v>
      </c>
      <c r="E373" s="1350" t="s">
        <v>3735</v>
      </c>
      <c r="F373" s="1350"/>
      <c r="G373" s="1351">
        <v>572491</v>
      </c>
      <c r="H373" s="1352">
        <v>50980</v>
      </c>
      <c r="I373" s="1353">
        <v>40421</v>
      </c>
      <c r="J373" s="1354">
        <v>63</v>
      </c>
      <c r="K373" s="1355">
        <v>40491</v>
      </c>
      <c r="L373" s="1356" t="s">
        <v>124</v>
      </c>
      <c r="M373" s="1353">
        <v>40486</v>
      </c>
      <c r="N373" s="1354">
        <f t="shared" si="43"/>
        <v>8</v>
      </c>
      <c r="O373" s="1342">
        <v>40499</v>
      </c>
      <c r="P373" s="1346">
        <v>40499</v>
      </c>
      <c r="Q373" s="1357">
        <f>+P373+10</f>
        <v>40509</v>
      </c>
      <c r="R373" s="1354">
        <f t="shared" si="42"/>
        <v>88</v>
      </c>
      <c r="S373" s="1358" t="s">
        <v>6280</v>
      </c>
      <c r="T373" s="1359" t="s">
        <v>3736</v>
      </c>
      <c r="U373" s="1360" t="str">
        <f t="shared" si="39"/>
        <v>atrasado</v>
      </c>
      <c r="V373" s="1130" t="str">
        <f t="shared" si="40"/>
        <v>Noviembre</v>
      </c>
      <c r="W373" s="1128">
        <f t="shared" si="41"/>
        <v>0</v>
      </c>
    </row>
    <row r="374" spans="1:23" s="1321" customFormat="1" ht="57.6" customHeight="1" thickBot="1" x14ac:dyDescent="0.2">
      <c r="A374" s="1117">
        <v>2010</v>
      </c>
      <c r="B374" s="1117">
        <v>2010</v>
      </c>
      <c r="C374" s="1338" t="s">
        <v>78</v>
      </c>
      <c r="D374" s="1362" t="s">
        <v>3165</v>
      </c>
      <c r="E374" s="1339" t="s">
        <v>3721</v>
      </c>
      <c r="F374" s="1339"/>
      <c r="G374" s="1340">
        <v>571875</v>
      </c>
      <c r="H374" s="1341">
        <v>163654.1</v>
      </c>
      <c r="I374" s="1342">
        <v>40400</v>
      </c>
      <c r="J374" s="1343">
        <v>90</v>
      </c>
      <c r="K374" s="1344">
        <v>40493</v>
      </c>
      <c r="L374" s="1345" t="s">
        <v>124</v>
      </c>
      <c r="M374" s="1342">
        <v>40486</v>
      </c>
      <c r="N374" s="1343">
        <f t="shared" si="43"/>
        <v>6</v>
      </c>
      <c r="O374" s="1342">
        <v>40499</v>
      </c>
      <c r="P374" s="1346">
        <v>40499</v>
      </c>
      <c r="Q374" s="1346">
        <f>+P374+10</f>
        <v>40509</v>
      </c>
      <c r="R374" s="1343">
        <f t="shared" si="42"/>
        <v>109</v>
      </c>
      <c r="S374" s="1347" t="s">
        <v>6281</v>
      </c>
      <c r="T374" s="1348" t="s">
        <v>3738</v>
      </c>
      <c r="U374" s="1349" t="str">
        <f t="shared" si="39"/>
        <v>atrasado</v>
      </c>
      <c r="V374" s="1130" t="str">
        <f t="shared" si="40"/>
        <v>Noviembre</v>
      </c>
      <c r="W374" s="1128">
        <f t="shared" si="41"/>
        <v>0</v>
      </c>
    </row>
    <row r="375" spans="1:23" s="1321" customFormat="1" ht="57.6" customHeight="1" thickBot="1" x14ac:dyDescent="0.2">
      <c r="A375" s="1117">
        <v>2010</v>
      </c>
      <c r="B375" s="1117">
        <v>2010</v>
      </c>
      <c r="C375" s="1338" t="s">
        <v>78</v>
      </c>
      <c r="D375" s="1362" t="s">
        <v>3165</v>
      </c>
      <c r="E375" s="1339" t="s">
        <v>3725</v>
      </c>
      <c r="F375" s="1339"/>
      <c r="G375" s="1340">
        <v>572204</v>
      </c>
      <c r="H375" s="1341">
        <v>32871.1</v>
      </c>
      <c r="I375" s="1342">
        <v>40413</v>
      </c>
      <c r="J375" s="1343">
        <v>90</v>
      </c>
      <c r="K375" s="1344">
        <v>40504</v>
      </c>
      <c r="L375" s="1345" t="s">
        <v>124</v>
      </c>
      <c r="M375" s="1342">
        <v>40498</v>
      </c>
      <c r="N375" s="1343">
        <f t="shared" si="43"/>
        <v>25</v>
      </c>
      <c r="O375" s="1342"/>
      <c r="P375" s="1346">
        <v>40529</v>
      </c>
      <c r="Q375" s="1346">
        <f>+P375+30</f>
        <v>40559</v>
      </c>
      <c r="R375" s="1343">
        <f t="shared" si="42"/>
        <v>146</v>
      </c>
      <c r="S375" s="1347" t="s">
        <v>6282</v>
      </c>
      <c r="T375" s="1348" t="s">
        <v>2390</v>
      </c>
      <c r="U375" s="1349" t="str">
        <f t="shared" si="39"/>
        <v>atrasado</v>
      </c>
      <c r="V375" s="1130" t="str">
        <f t="shared" si="40"/>
        <v>Noviembre</v>
      </c>
      <c r="W375" s="1128">
        <f t="shared" si="41"/>
        <v>0</v>
      </c>
    </row>
    <row r="376" spans="1:23" s="1321" customFormat="1" ht="57.6" customHeight="1" thickBot="1" x14ac:dyDescent="0.2">
      <c r="A376" s="1117">
        <v>2010</v>
      </c>
      <c r="B376" s="1117">
        <v>2010</v>
      </c>
      <c r="C376" s="1361" t="s">
        <v>78</v>
      </c>
      <c r="D376" s="1363" t="s">
        <v>3165</v>
      </c>
      <c r="E376" s="1350" t="s">
        <v>3740</v>
      </c>
      <c r="F376" s="1350"/>
      <c r="G376" s="1351">
        <v>572751</v>
      </c>
      <c r="H376" s="1352">
        <v>128871.1</v>
      </c>
      <c r="I376" s="1353">
        <v>40427</v>
      </c>
      <c r="J376" s="1354">
        <f>+K376-I376</f>
        <v>63</v>
      </c>
      <c r="K376" s="1355">
        <v>40490</v>
      </c>
      <c r="L376" s="1356" t="s">
        <v>124</v>
      </c>
      <c r="M376" s="1353">
        <v>40498</v>
      </c>
      <c r="N376" s="1354">
        <f t="shared" si="43"/>
        <v>39</v>
      </c>
      <c r="O376" s="1353"/>
      <c r="P376" s="1357">
        <v>40529</v>
      </c>
      <c r="Q376" s="1357">
        <f>+P376+30</f>
        <v>40559</v>
      </c>
      <c r="R376" s="1354">
        <f t="shared" si="42"/>
        <v>132</v>
      </c>
      <c r="S376" s="1358" t="s">
        <v>6278</v>
      </c>
      <c r="T376" s="1359" t="s">
        <v>3741</v>
      </c>
      <c r="U376" s="1360" t="str">
        <f t="shared" si="39"/>
        <v>atrasado</v>
      </c>
      <c r="V376" s="1130" t="str">
        <f t="shared" si="40"/>
        <v>Noviembre</v>
      </c>
      <c r="W376" s="1128">
        <f t="shared" si="41"/>
        <v>0</v>
      </c>
    </row>
    <row r="377" spans="1:23" s="1321" customFormat="1" ht="57.6" customHeight="1" thickBot="1" x14ac:dyDescent="0.2">
      <c r="A377" s="1117">
        <v>2010</v>
      </c>
      <c r="B377" s="1117">
        <v>2010</v>
      </c>
      <c r="C377" s="1338" t="s">
        <v>78</v>
      </c>
      <c r="D377" s="1362" t="s">
        <v>3165</v>
      </c>
      <c r="E377" s="1339" t="s">
        <v>3740</v>
      </c>
      <c r="F377" s="1339"/>
      <c r="G377" s="1340">
        <v>572751</v>
      </c>
      <c r="H377" s="1341">
        <v>87749</v>
      </c>
      <c r="I377" s="1342">
        <v>40427</v>
      </c>
      <c r="J377" s="1343">
        <f>+K377-I377</f>
        <v>91</v>
      </c>
      <c r="K377" s="1344">
        <v>40518</v>
      </c>
      <c r="L377" s="1345" t="s">
        <v>124</v>
      </c>
      <c r="M377" s="1342">
        <v>40512</v>
      </c>
      <c r="N377" s="1343">
        <f t="shared" si="43"/>
        <v>11</v>
      </c>
      <c r="O377" s="1342"/>
      <c r="P377" s="1346">
        <v>40529</v>
      </c>
      <c r="Q377" s="1346">
        <f>+P377+30</f>
        <v>40559</v>
      </c>
      <c r="R377" s="1343">
        <f t="shared" si="42"/>
        <v>132</v>
      </c>
      <c r="S377" s="1347" t="s">
        <v>6283</v>
      </c>
      <c r="T377" s="1348" t="s">
        <v>3743</v>
      </c>
      <c r="U377" s="1349" t="str">
        <f t="shared" si="39"/>
        <v>atrasado</v>
      </c>
      <c r="V377" s="1130" t="str">
        <f t="shared" si="40"/>
        <v>Noviembre</v>
      </c>
      <c r="W377" s="1128">
        <f t="shared" si="41"/>
        <v>0</v>
      </c>
    </row>
    <row r="378" spans="1:23" s="1321" customFormat="1" ht="57.6" customHeight="1" thickBot="1" x14ac:dyDescent="0.2">
      <c r="A378" s="1117">
        <v>2010</v>
      </c>
      <c r="B378" s="1117">
        <v>2010</v>
      </c>
      <c r="C378" s="1338" t="s">
        <v>78</v>
      </c>
      <c r="D378" s="1362" t="s">
        <v>79</v>
      </c>
      <c r="E378" s="1339" t="s">
        <v>3744</v>
      </c>
      <c r="F378" s="1339"/>
      <c r="G378" s="1340" t="s">
        <v>3745</v>
      </c>
      <c r="H378" s="1341">
        <v>9840</v>
      </c>
      <c r="I378" s="1342">
        <v>40507</v>
      </c>
      <c r="J378" s="1343">
        <f>+K378-I378</f>
        <v>25</v>
      </c>
      <c r="K378" s="1344">
        <v>40532</v>
      </c>
      <c r="L378" s="1345" t="s">
        <v>124</v>
      </c>
      <c r="M378" s="1342">
        <v>40540</v>
      </c>
      <c r="N378" s="1343">
        <f t="shared" si="43"/>
        <v>17</v>
      </c>
      <c r="O378" s="1342"/>
      <c r="P378" s="1346">
        <v>40549</v>
      </c>
      <c r="Q378" s="1346">
        <f>+P378+2</f>
        <v>40551</v>
      </c>
      <c r="R378" s="1343">
        <f t="shared" si="42"/>
        <v>44</v>
      </c>
      <c r="S378" s="1347" t="s">
        <v>2183</v>
      </c>
      <c r="T378" s="1348"/>
      <c r="U378" s="1349" t="str">
        <f t="shared" si="39"/>
        <v>atrasado</v>
      </c>
      <c r="V378" s="1130" t="str">
        <f t="shared" si="40"/>
        <v>Diciembre</v>
      </c>
      <c r="W378" s="1128">
        <f t="shared" si="41"/>
        <v>0</v>
      </c>
    </row>
    <row r="379" spans="1:23" s="1321" customFormat="1" ht="57.6" customHeight="1" thickBot="1" x14ac:dyDescent="0.2">
      <c r="A379" s="1117">
        <v>2010</v>
      </c>
      <c r="B379" s="1117">
        <v>2010</v>
      </c>
      <c r="C379" s="1361" t="s">
        <v>36</v>
      </c>
      <c r="D379" s="1363" t="s">
        <v>2180</v>
      </c>
      <c r="E379" s="1350" t="s">
        <v>2181</v>
      </c>
      <c r="F379" s="1367"/>
      <c r="G379" s="1351">
        <v>901494</v>
      </c>
      <c r="H379" s="1352">
        <v>24696.7</v>
      </c>
      <c r="I379" s="1353">
        <v>40157</v>
      </c>
      <c r="J379" s="1354">
        <v>46</v>
      </c>
      <c r="K379" s="1355">
        <f t="shared" ref="K379:K410" si="46">+I379+J379</f>
        <v>40203</v>
      </c>
      <c r="L379" s="1353" t="s">
        <v>41</v>
      </c>
      <c r="M379" s="1353">
        <v>40193</v>
      </c>
      <c r="N379" s="1368">
        <f t="shared" si="43"/>
        <v>2</v>
      </c>
      <c r="O379" s="1353">
        <v>40199</v>
      </c>
      <c r="P379" s="1357">
        <v>40205</v>
      </c>
      <c r="Q379" s="1365">
        <v>40218</v>
      </c>
      <c r="R379" s="1369">
        <f t="shared" si="42"/>
        <v>61</v>
      </c>
      <c r="S379" s="1358" t="s">
        <v>2183</v>
      </c>
      <c r="T379" s="1370"/>
      <c r="U379" s="1358" t="str">
        <f t="shared" si="39"/>
        <v>atrasado</v>
      </c>
      <c r="V379" s="1130" t="str">
        <f t="shared" si="40"/>
        <v>Enero</v>
      </c>
      <c r="W379" s="1128">
        <f t="shared" si="41"/>
        <v>0</v>
      </c>
    </row>
    <row r="380" spans="1:23" s="1321" customFormat="1" ht="57.6" customHeight="1" thickBot="1" x14ac:dyDescent="0.2">
      <c r="A380" s="1117">
        <v>2010</v>
      </c>
      <c r="B380" s="1117">
        <v>2010</v>
      </c>
      <c r="C380" s="1361" t="s">
        <v>36</v>
      </c>
      <c r="D380" s="1371" t="s">
        <v>133</v>
      </c>
      <c r="E380" s="1350" t="s">
        <v>2032</v>
      </c>
      <c r="F380" s="1358" t="s">
        <v>2166</v>
      </c>
      <c r="G380" s="1351">
        <v>4503079889</v>
      </c>
      <c r="H380" s="1352">
        <v>6881.6</v>
      </c>
      <c r="I380" s="1353">
        <v>40133</v>
      </c>
      <c r="J380" s="1354">
        <v>107</v>
      </c>
      <c r="K380" s="1355">
        <f t="shared" si="46"/>
        <v>40240</v>
      </c>
      <c r="L380" s="1353" t="s">
        <v>41</v>
      </c>
      <c r="M380" s="1353">
        <v>40193</v>
      </c>
      <c r="N380" s="1354">
        <f t="shared" si="43"/>
        <v>-35</v>
      </c>
      <c r="O380" s="1353">
        <v>40199</v>
      </c>
      <c r="P380" s="1357">
        <v>40205</v>
      </c>
      <c r="Q380" s="1365">
        <v>40218</v>
      </c>
      <c r="R380" s="1354">
        <f t="shared" si="42"/>
        <v>85</v>
      </c>
      <c r="S380" s="1358" t="s">
        <v>6284</v>
      </c>
      <c r="T380" s="1359"/>
      <c r="U380" s="1360" t="str">
        <f t="shared" si="39"/>
        <v>en término</v>
      </c>
      <c r="V380" s="1130" t="str">
        <f t="shared" si="40"/>
        <v>Enero</v>
      </c>
      <c r="W380" s="1128">
        <f t="shared" si="41"/>
        <v>1</v>
      </c>
    </row>
    <row r="381" spans="1:23" s="1321" customFormat="1" ht="57.6" customHeight="1" thickBot="1" x14ac:dyDescent="0.2">
      <c r="A381" s="1117">
        <v>2010</v>
      </c>
      <c r="B381" s="1117">
        <v>2010</v>
      </c>
      <c r="C381" s="1361" t="s">
        <v>36</v>
      </c>
      <c r="D381" s="1363" t="s">
        <v>37</v>
      </c>
      <c r="E381" s="1350" t="s">
        <v>2080</v>
      </c>
      <c r="F381" s="1367" t="s">
        <v>2189</v>
      </c>
      <c r="G381" s="1351">
        <v>9110004</v>
      </c>
      <c r="H381" s="1352">
        <v>11930</v>
      </c>
      <c r="I381" s="1353">
        <v>40126</v>
      </c>
      <c r="J381" s="1354">
        <v>92</v>
      </c>
      <c r="K381" s="1355">
        <f t="shared" si="46"/>
        <v>40218</v>
      </c>
      <c r="L381" s="1353" t="s">
        <v>41</v>
      </c>
      <c r="M381" s="1353">
        <v>40193</v>
      </c>
      <c r="N381" s="1354">
        <f t="shared" si="43"/>
        <v>-13</v>
      </c>
      <c r="O381" s="1353">
        <v>40199</v>
      </c>
      <c r="P381" s="1357">
        <v>40205</v>
      </c>
      <c r="Q381" s="1365">
        <v>40218</v>
      </c>
      <c r="R381" s="1354">
        <f t="shared" si="42"/>
        <v>92</v>
      </c>
      <c r="S381" s="1358" t="s">
        <v>6285</v>
      </c>
      <c r="T381" s="1370"/>
      <c r="U381" s="1358" t="str">
        <f t="shared" si="39"/>
        <v>en término</v>
      </c>
      <c r="V381" s="1130" t="str">
        <f t="shared" si="40"/>
        <v>Enero</v>
      </c>
      <c r="W381" s="1128">
        <f t="shared" si="41"/>
        <v>1</v>
      </c>
    </row>
    <row r="382" spans="1:23" s="1321" customFormat="1" ht="57.6" customHeight="1" thickBot="1" x14ac:dyDescent="0.2">
      <c r="A382" s="1117">
        <v>2010</v>
      </c>
      <c r="B382" s="1117">
        <v>2010</v>
      </c>
      <c r="C382" s="1361" t="s">
        <v>36</v>
      </c>
      <c r="D382" s="1363" t="s">
        <v>37</v>
      </c>
      <c r="E382" s="1350" t="s">
        <v>2080</v>
      </c>
      <c r="F382" s="1367" t="s">
        <v>2192</v>
      </c>
      <c r="G382" s="1351">
        <v>9110005</v>
      </c>
      <c r="H382" s="1352">
        <v>23780</v>
      </c>
      <c r="I382" s="1353">
        <v>40127</v>
      </c>
      <c r="J382" s="1354">
        <v>92</v>
      </c>
      <c r="K382" s="1355">
        <f t="shared" si="46"/>
        <v>40219</v>
      </c>
      <c r="L382" s="1353" t="s">
        <v>41</v>
      </c>
      <c r="M382" s="1353">
        <v>40193</v>
      </c>
      <c r="N382" s="1354">
        <f t="shared" si="43"/>
        <v>-14</v>
      </c>
      <c r="O382" s="1353">
        <v>40199</v>
      </c>
      <c r="P382" s="1357">
        <v>40205</v>
      </c>
      <c r="Q382" s="1365">
        <v>40218</v>
      </c>
      <c r="R382" s="1354">
        <f t="shared" si="42"/>
        <v>91</v>
      </c>
      <c r="S382" s="1358" t="s">
        <v>6258</v>
      </c>
      <c r="T382" s="1370"/>
      <c r="U382" s="1358" t="str">
        <f t="shared" si="39"/>
        <v>en término</v>
      </c>
      <c r="V382" s="1130" t="str">
        <f t="shared" si="40"/>
        <v>Enero</v>
      </c>
      <c r="W382" s="1128">
        <f t="shared" si="41"/>
        <v>1</v>
      </c>
    </row>
    <row r="383" spans="1:23" s="1321" customFormat="1" ht="57.6" customHeight="1" thickBot="1" x14ac:dyDescent="0.2">
      <c r="A383" s="1117">
        <v>2010</v>
      </c>
      <c r="B383" s="1117">
        <v>2010</v>
      </c>
      <c r="C383" s="1361" t="s">
        <v>36</v>
      </c>
      <c r="D383" s="1363" t="s">
        <v>37</v>
      </c>
      <c r="E383" s="1350" t="s">
        <v>2193</v>
      </c>
      <c r="F383" s="1367" t="s">
        <v>2194</v>
      </c>
      <c r="G383" s="1351">
        <v>9120004</v>
      </c>
      <c r="H383" s="1352">
        <v>4135</v>
      </c>
      <c r="I383" s="1353">
        <v>40162</v>
      </c>
      <c r="J383" s="1354">
        <v>38</v>
      </c>
      <c r="K383" s="1355">
        <f t="shared" si="46"/>
        <v>40200</v>
      </c>
      <c r="L383" s="1353" t="s">
        <v>41</v>
      </c>
      <c r="M383" s="1353">
        <v>40193</v>
      </c>
      <c r="N383" s="1368">
        <f t="shared" si="43"/>
        <v>5</v>
      </c>
      <c r="O383" s="1353">
        <v>40199</v>
      </c>
      <c r="P383" s="1357">
        <v>40205</v>
      </c>
      <c r="Q383" s="1365">
        <v>40218</v>
      </c>
      <c r="R383" s="1369">
        <f t="shared" si="42"/>
        <v>56</v>
      </c>
      <c r="S383" s="1358" t="s">
        <v>2183</v>
      </c>
      <c r="T383" s="1370"/>
      <c r="U383" s="1358" t="str">
        <f t="shared" si="39"/>
        <v>atrasado</v>
      </c>
      <c r="V383" s="1130" t="str">
        <f t="shared" si="40"/>
        <v>Enero</v>
      </c>
      <c r="W383" s="1128">
        <f t="shared" si="41"/>
        <v>0</v>
      </c>
    </row>
    <row r="384" spans="1:23" s="1321" customFormat="1" ht="57.6" customHeight="1" thickBot="1" x14ac:dyDescent="0.2">
      <c r="A384" s="1117">
        <v>2010</v>
      </c>
      <c r="B384" s="1117">
        <v>2010</v>
      </c>
      <c r="C384" s="1361" t="s">
        <v>36</v>
      </c>
      <c r="D384" s="1363" t="s">
        <v>37</v>
      </c>
      <c r="E384" s="1350" t="s">
        <v>2195</v>
      </c>
      <c r="F384" s="1367" t="s">
        <v>2196</v>
      </c>
      <c r="G384" s="1351">
        <v>9120003</v>
      </c>
      <c r="H384" s="1352">
        <v>5000</v>
      </c>
      <c r="I384" s="1353">
        <v>40162</v>
      </c>
      <c r="J384" s="1354">
        <v>82</v>
      </c>
      <c r="K384" s="1355">
        <f t="shared" si="46"/>
        <v>40244</v>
      </c>
      <c r="L384" s="1353" t="s">
        <v>41</v>
      </c>
      <c r="M384" s="1353">
        <v>40228</v>
      </c>
      <c r="N384" s="1368">
        <f t="shared" si="43"/>
        <v>-10</v>
      </c>
      <c r="O384" s="1353">
        <v>40234</v>
      </c>
      <c r="P384" s="1357">
        <v>40234</v>
      </c>
      <c r="Q384" s="1365">
        <v>40252</v>
      </c>
      <c r="R384" s="1369">
        <f t="shared" si="42"/>
        <v>90</v>
      </c>
      <c r="S384" s="1358" t="s">
        <v>2198</v>
      </c>
      <c r="T384" s="1370"/>
      <c r="U384" s="1358" t="str">
        <f t="shared" si="39"/>
        <v>en término</v>
      </c>
      <c r="V384" s="1130" t="str">
        <f t="shared" si="40"/>
        <v>Febrero</v>
      </c>
      <c r="W384" s="1128">
        <f t="shared" si="41"/>
        <v>1</v>
      </c>
    </row>
    <row r="385" spans="1:23" s="1321" customFormat="1" ht="57.6" customHeight="1" thickBot="1" x14ac:dyDescent="0.2">
      <c r="A385" s="1117">
        <v>2010</v>
      </c>
      <c r="B385" s="1117">
        <v>2010</v>
      </c>
      <c r="C385" s="1338" t="s">
        <v>36</v>
      </c>
      <c r="D385" s="1362" t="s">
        <v>37</v>
      </c>
      <c r="E385" s="1339" t="s">
        <v>2200</v>
      </c>
      <c r="F385" s="1372" t="s">
        <v>2201</v>
      </c>
      <c r="G385" s="1340">
        <v>9120005</v>
      </c>
      <c r="H385" s="1341">
        <v>2650</v>
      </c>
      <c r="I385" s="1342">
        <v>40170</v>
      </c>
      <c r="J385" s="1343">
        <v>69</v>
      </c>
      <c r="K385" s="1344">
        <f t="shared" si="46"/>
        <v>40239</v>
      </c>
      <c r="L385" s="1342" t="s">
        <v>41</v>
      </c>
      <c r="M385" s="1342">
        <v>40228</v>
      </c>
      <c r="N385" s="1373">
        <f t="shared" si="43"/>
        <v>-5</v>
      </c>
      <c r="O385" s="1342">
        <v>40234</v>
      </c>
      <c r="P385" s="1346">
        <v>40234</v>
      </c>
      <c r="Q385" s="1374">
        <v>40252</v>
      </c>
      <c r="R385" s="1375">
        <f t="shared" si="42"/>
        <v>82</v>
      </c>
      <c r="S385" s="1347" t="s">
        <v>53</v>
      </c>
      <c r="T385" s="1376"/>
      <c r="U385" s="1347" t="str">
        <f t="shared" si="39"/>
        <v>en término</v>
      </c>
      <c r="V385" s="1130" t="str">
        <f t="shared" si="40"/>
        <v>Febrero</v>
      </c>
      <c r="W385" s="1128">
        <f t="shared" si="41"/>
        <v>1</v>
      </c>
    </row>
    <row r="386" spans="1:23" s="1321" customFormat="1" ht="57.6" customHeight="1" thickBot="1" x14ac:dyDescent="0.2">
      <c r="A386" s="1117">
        <v>2010</v>
      </c>
      <c r="B386" s="1117">
        <v>2010</v>
      </c>
      <c r="C386" s="1338" t="s">
        <v>36</v>
      </c>
      <c r="D386" s="1377" t="s">
        <v>133</v>
      </c>
      <c r="E386" s="1339" t="s">
        <v>2032</v>
      </c>
      <c r="F386" s="1347" t="s">
        <v>2166</v>
      </c>
      <c r="G386" s="1340">
        <v>4503132079</v>
      </c>
      <c r="H386" s="1341">
        <v>37326.5</v>
      </c>
      <c r="I386" s="1342">
        <v>40164</v>
      </c>
      <c r="J386" s="1343">
        <v>81</v>
      </c>
      <c r="K386" s="1344">
        <f t="shared" si="46"/>
        <v>40245</v>
      </c>
      <c r="L386" s="1342" t="s">
        <v>41</v>
      </c>
      <c r="M386" s="1342">
        <v>40228</v>
      </c>
      <c r="N386" s="1354">
        <f t="shared" si="43"/>
        <v>-11</v>
      </c>
      <c r="O386" s="1342">
        <v>40234</v>
      </c>
      <c r="P386" s="1346">
        <v>40234</v>
      </c>
      <c r="Q386" s="1374">
        <v>40252</v>
      </c>
      <c r="R386" s="1343">
        <f t="shared" si="42"/>
        <v>88</v>
      </c>
      <c r="S386" s="1347" t="s">
        <v>6286</v>
      </c>
      <c r="T386" s="1348"/>
      <c r="U386" s="1349" t="str">
        <f t="shared" ref="U386:U449" si="47">IF(N386="","",IF(N386&lt;=0,"en término","atrasado"))</f>
        <v>en término</v>
      </c>
      <c r="V386" s="1130" t="str">
        <f t="shared" ref="V386:V449" si="48">VLOOKUP(MONTH(M386),$Y$66:$Z$77,2,FALSE)</f>
        <v>Febrero</v>
      </c>
      <c r="W386" s="1128">
        <f t="shared" ref="W386:W449" si="49">+IF(U386="atrasado",0)+IF(U386="en término",1)</f>
        <v>1</v>
      </c>
    </row>
    <row r="387" spans="1:23" s="1321" customFormat="1" ht="57.6" customHeight="1" thickBot="1" x14ac:dyDescent="0.2">
      <c r="A387" s="1117">
        <v>2010</v>
      </c>
      <c r="B387" s="1117">
        <v>2010</v>
      </c>
      <c r="C387" s="1361" t="s">
        <v>36</v>
      </c>
      <c r="D387" s="1363" t="s">
        <v>133</v>
      </c>
      <c r="E387" s="1350" t="s">
        <v>2205</v>
      </c>
      <c r="F387" s="1358" t="s">
        <v>2206</v>
      </c>
      <c r="G387" s="1351">
        <v>4503167935</v>
      </c>
      <c r="H387" s="1352">
        <v>17132.8</v>
      </c>
      <c r="I387" s="1353">
        <v>40191</v>
      </c>
      <c r="J387" s="1354">
        <v>72</v>
      </c>
      <c r="K387" s="1355">
        <f t="shared" si="46"/>
        <v>40263</v>
      </c>
      <c r="L387" s="1353" t="s">
        <v>41</v>
      </c>
      <c r="M387" s="1353">
        <v>40249</v>
      </c>
      <c r="N387" s="1354">
        <f t="shared" si="43"/>
        <v>-7</v>
      </c>
      <c r="O387" s="1353">
        <v>40256</v>
      </c>
      <c r="P387" s="1357">
        <v>40256</v>
      </c>
      <c r="Q387" s="1365">
        <v>40274</v>
      </c>
      <c r="R387" s="1354">
        <f t="shared" si="42"/>
        <v>83</v>
      </c>
      <c r="S387" s="1358" t="s">
        <v>965</v>
      </c>
      <c r="T387" s="1359"/>
      <c r="U387" s="1360" t="str">
        <f t="shared" si="47"/>
        <v>en término</v>
      </c>
      <c r="V387" s="1130" t="str">
        <f t="shared" si="48"/>
        <v>Marzo</v>
      </c>
      <c r="W387" s="1128">
        <f t="shared" si="49"/>
        <v>1</v>
      </c>
    </row>
    <row r="388" spans="1:23" s="1321" customFormat="1" ht="57.6" customHeight="1" thickBot="1" x14ac:dyDescent="0.2">
      <c r="A388" s="1117">
        <v>2010</v>
      </c>
      <c r="B388" s="1117">
        <v>2010</v>
      </c>
      <c r="C388" s="1361" t="s">
        <v>36</v>
      </c>
      <c r="D388" s="1371" t="s">
        <v>133</v>
      </c>
      <c r="E388" s="1350" t="s">
        <v>2032</v>
      </c>
      <c r="F388" s="1358" t="s">
        <v>2166</v>
      </c>
      <c r="G388" s="1351">
        <v>4503217893</v>
      </c>
      <c r="H388" s="1352">
        <v>1251.2</v>
      </c>
      <c r="I388" s="1353">
        <v>40228</v>
      </c>
      <c r="J388" s="1354">
        <v>75</v>
      </c>
      <c r="K388" s="1355">
        <f t="shared" si="46"/>
        <v>40303</v>
      </c>
      <c r="L388" s="1353" t="s">
        <v>41</v>
      </c>
      <c r="M388" s="1353">
        <v>40249</v>
      </c>
      <c r="N388" s="1354">
        <f t="shared" si="43"/>
        <v>-47</v>
      </c>
      <c r="O388" s="1353">
        <v>40256</v>
      </c>
      <c r="P388" s="1357">
        <v>40256</v>
      </c>
      <c r="Q388" s="1365">
        <v>40274</v>
      </c>
      <c r="R388" s="1354">
        <f t="shared" si="42"/>
        <v>46</v>
      </c>
      <c r="S388" s="1358" t="s">
        <v>6287</v>
      </c>
      <c r="T388" s="1359" t="s">
        <v>2214</v>
      </c>
      <c r="U388" s="1360" t="str">
        <f t="shared" si="47"/>
        <v>en término</v>
      </c>
      <c r="V388" s="1130" t="str">
        <f t="shared" si="48"/>
        <v>Marzo</v>
      </c>
      <c r="W388" s="1128">
        <f t="shared" si="49"/>
        <v>1</v>
      </c>
    </row>
    <row r="389" spans="1:23" s="1321" customFormat="1" ht="57.6" customHeight="1" thickBot="1" x14ac:dyDescent="0.2">
      <c r="A389" s="1117">
        <v>2010</v>
      </c>
      <c r="B389" s="1117">
        <v>2010</v>
      </c>
      <c r="C389" s="1361" t="s">
        <v>36</v>
      </c>
      <c r="D389" s="1363" t="s">
        <v>133</v>
      </c>
      <c r="E389" s="1350" t="s">
        <v>2205</v>
      </c>
      <c r="F389" s="1351" t="s">
        <v>2206</v>
      </c>
      <c r="G389" s="1351">
        <v>4503157055</v>
      </c>
      <c r="H389" s="1352">
        <v>52266.64</v>
      </c>
      <c r="I389" s="1353">
        <v>40183</v>
      </c>
      <c r="J389" s="1354">
        <v>79</v>
      </c>
      <c r="K389" s="1355">
        <f t="shared" si="46"/>
        <v>40262</v>
      </c>
      <c r="L389" s="1353" t="s">
        <v>41</v>
      </c>
      <c r="M389" s="1353">
        <v>40249</v>
      </c>
      <c r="N389" s="1354">
        <f t="shared" si="43"/>
        <v>-6</v>
      </c>
      <c r="O389" s="1353">
        <v>40256</v>
      </c>
      <c r="P389" s="1357">
        <v>40256</v>
      </c>
      <c r="Q389" s="1365">
        <v>40274</v>
      </c>
      <c r="R389" s="1354">
        <f t="shared" si="42"/>
        <v>91</v>
      </c>
      <c r="S389" s="1358" t="s">
        <v>955</v>
      </c>
      <c r="T389" s="1359"/>
      <c r="U389" s="1360" t="str">
        <f t="shared" si="47"/>
        <v>en término</v>
      </c>
      <c r="V389" s="1130" t="str">
        <f t="shared" si="48"/>
        <v>Marzo</v>
      </c>
      <c r="W389" s="1128">
        <f t="shared" si="49"/>
        <v>1</v>
      </c>
    </row>
    <row r="390" spans="1:23" s="1321" customFormat="1" ht="57.6" customHeight="1" thickBot="1" x14ac:dyDescent="0.2">
      <c r="A390" s="1117">
        <v>2010</v>
      </c>
      <c r="B390" s="1117">
        <v>2010</v>
      </c>
      <c r="C390" s="1361" t="s">
        <v>36</v>
      </c>
      <c r="D390" s="1371" t="s">
        <v>133</v>
      </c>
      <c r="E390" s="1350" t="s">
        <v>2032</v>
      </c>
      <c r="F390" s="1358" t="s">
        <v>2166</v>
      </c>
      <c r="G390" s="1351">
        <v>4503163525</v>
      </c>
      <c r="H390" s="1352">
        <v>13921.39</v>
      </c>
      <c r="I390" s="1353">
        <v>40189</v>
      </c>
      <c r="J390" s="1354">
        <v>84</v>
      </c>
      <c r="K390" s="1355">
        <f t="shared" si="46"/>
        <v>40273</v>
      </c>
      <c r="L390" s="1353" t="s">
        <v>41</v>
      </c>
      <c r="M390" s="1353">
        <v>40249</v>
      </c>
      <c r="N390" s="1354">
        <f t="shared" si="43"/>
        <v>-17</v>
      </c>
      <c r="O390" s="1353">
        <v>40256</v>
      </c>
      <c r="P390" s="1357">
        <v>40256</v>
      </c>
      <c r="Q390" s="1365">
        <v>40274</v>
      </c>
      <c r="R390" s="1354">
        <f t="shared" si="42"/>
        <v>85</v>
      </c>
      <c r="S390" s="1358" t="s">
        <v>6288</v>
      </c>
      <c r="T390" s="1359"/>
      <c r="U390" s="1360" t="str">
        <f t="shared" si="47"/>
        <v>en término</v>
      </c>
      <c r="V390" s="1130" t="str">
        <f t="shared" si="48"/>
        <v>Marzo</v>
      </c>
      <c r="W390" s="1128">
        <f t="shared" si="49"/>
        <v>1</v>
      </c>
    </row>
    <row r="391" spans="1:23" s="1321" customFormat="1" ht="57.6" customHeight="1" thickBot="1" x14ac:dyDescent="0.2">
      <c r="A391" s="1117">
        <v>2010</v>
      </c>
      <c r="B391" s="1117">
        <v>2010</v>
      </c>
      <c r="C391" s="1361" t="s">
        <v>36</v>
      </c>
      <c r="D391" s="1363" t="s">
        <v>133</v>
      </c>
      <c r="E391" s="1350" t="s">
        <v>2205</v>
      </c>
      <c r="F391" s="1358" t="s">
        <v>2206</v>
      </c>
      <c r="G391" s="1351">
        <v>4503163903</v>
      </c>
      <c r="H391" s="1352">
        <v>176346.72</v>
      </c>
      <c r="I391" s="1353">
        <v>40189</v>
      </c>
      <c r="J391" s="1354">
        <v>81</v>
      </c>
      <c r="K391" s="1355">
        <f t="shared" si="46"/>
        <v>40270</v>
      </c>
      <c r="L391" s="1353" t="s">
        <v>41</v>
      </c>
      <c r="M391" s="1353">
        <v>40249</v>
      </c>
      <c r="N391" s="1354">
        <f t="shared" si="43"/>
        <v>-14</v>
      </c>
      <c r="O391" s="1353">
        <v>40256</v>
      </c>
      <c r="P391" s="1357">
        <v>40256</v>
      </c>
      <c r="Q391" s="1365">
        <v>40274</v>
      </c>
      <c r="R391" s="1354">
        <f t="shared" ref="R391:R454" si="50">IF(Q391="","",+Q391-I391)</f>
        <v>85</v>
      </c>
      <c r="S391" s="1358" t="s">
        <v>2218</v>
      </c>
      <c r="T391" s="1359"/>
      <c r="U391" s="1360" t="str">
        <f t="shared" si="47"/>
        <v>en término</v>
      </c>
      <c r="V391" s="1130" t="str">
        <f t="shared" si="48"/>
        <v>Marzo</v>
      </c>
      <c r="W391" s="1128">
        <f t="shared" si="49"/>
        <v>1</v>
      </c>
    </row>
    <row r="392" spans="1:23" s="1321" customFormat="1" ht="57.6" customHeight="1" thickBot="1" x14ac:dyDescent="0.2">
      <c r="A392" s="1117">
        <v>2010</v>
      </c>
      <c r="B392" s="1117">
        <v>2010</v>
      </c>
      <c r="C392" s="1361" t="s">
        <v>36</v>
      </c>
      <c r="D392" s="1363" t="s">
        <v>37</v>
      </c>
      <c r="E392" s="1350" t="s">
        <v>2220</v>
      </c>
      <c r="F392" s="1350" t="s">
        <v>2221</v>
      </c>
      <c r="G392" s="1351">
        <v>10010001</v>
      </c>
      <c r="H392" s="1352">
        <v>36625</v>
      </c>
      <c r="I392" s="1353">
        <v>40204</v>
      </c>
      <c r="J392" s="1354">
        <v>46</v>
      </c>
      <c r="K392" s="1355">
        <f t="shared" si="46"/>
        <v>40250</v>
      </c>
      <c r="L392" s="1353" t="s">
        <v>41</v>
      </c>
      <c r="M392" s="1353">
        <v>40249</v>
      </c>
      <c r="N392" s="1368">
        <f t="shared" si="43"/>
        <v>6</v>
      </c>
      <c r="O392" s="1353">
        <v>40256</v>
      </c>
      <c r="P392" s="1357">
        <v>40256</v>
      </c>
      <c r="Q392" s="1365">
        <v>40274</v>
      </c>
      <c r="R392" s="1369">
        <f t="shared" si="50"/>
        <v>70</v>
      </c>
      <c r="S392" s="1358" t="s">
        <v>6289</v>
      </c>
      <c r="T392" s="1370" t="s">
        <v>2225</v>
      </c>
      <c r="U392" s="1358" t="str">
        <f t="shared" si="47"/>
        <v>atrasado</v>
      </c>
      <c r="V392" s="1130" t="str">
        <f t="shared" si="48"/>
        <v>Marzo</v>
      </c>
      <c r="W392" s="1128">
        <f t="shared" si="49"/>
        <v>0</v>
      </c>
    </row>
    <row r="393" spans="1:23" s="1321" customFormat="1" ht="57.6" customHeight="1" thickBot="1" x14ac:dyDescent="0.2">
      <c r="A393" s="1117">
        <v>2010</v>
      </c>
      <c r="B393" s="1117">
        <v>2010</v>
      </c>
      <c r="C393" s="1361" t="s">
        <v>36</v>
      </c>
      <c r="D393" s="1363" t="s">
        <v>133</v>
      </c>
      <c r="E393" s="1350" t="s">
        <v>1958</v>
      </c>
      <c r="F393" s="1358" t="s">
        <v>1959</v>
      </c>
      <c r="G393" s="1351">
        <v>4503170525</v>
      </c>
      <c r="H393" s="1352">
        <v>9366.43</v>
      </c>
      <c r="I393" s="1353">
        <v>40193</v>
      </c>
      <c r="J393" s="1354">
        <v>100</v>
      </c>
      <c r="K393" s="1355">
        <f t="shared" si="46"/>
        <v>40293</v>
      </c>
      <c r="L393" s="1353" t="s">
        <v>41</v>
      </c>
      <c r="M393" s="1353">
        <v>40291</v>
      </c>
      <c r="N393" s="1354">
        <f t="shared" si="43"/>
        <v>5</v>
      </c>
      <c r="O393" s="1353">
        <v>40296</v>
      </c>
      <c r="P393" s="1357">
        <v>40298</v>
      </c>
      <c r="Q393" s="1365">
        <v>40316</v>
      </c>
      <c r="R393" s="1354">
        <f t="shared" si="50"/>
        <v>123</v>
      </c>
      <c r="S393" s="1358" t="s">
        <v>53</v>
      </c>
      <c r="T393" s="1359" t="s">
        <v>2230</v>
      </c>
      <c r="U393" s="1360" t="str">
        <f t="shared" si="47"/>
        <v>atrasado</v>
      </c>
      <c r="V393" s="1130" t="str">
        <f t="shared" si="48"/>
        <v>Abril</v>
      </c>
      <c r="W393" s="1128">
        <f t="shared" si="49"/>
        <v>0</v>
      </c>
    </row>
    <row r="394" spans="1:23" s="1321" customFormat="1" ht="57.6" customHeight="1" thickBot="1" x14ac:dyDescent="0.2">
      <c r="A394" s="1117">
        <v>2010</v>
      </c>
      <c r="B394" s="1117">
        <v>2010</v>
      </c>
      <c r="C394" s="1361" t="s">
        <v>36</v>
      </c>
      <c r="D394" s="1363" t="s">
        <v>133</v>
      </c>
      <c r="E394" s="1350" t="s">
        <v>2205</v>
      </c>
      <c r="F394" s="1358" t="s">
        <v>2206</v>
      </c>
      <c r="G394" s="1351">
        <v>4503225560</v>
      </c>
      <c r="H394" s="1352">
        <v>84594.37</v>
      </c>
      <c r="I394" s="1353">
        <v>40234</v>
      </c>
      <c r="J394" s="1354">
        <v>60</v>
      </c>
      <c r="K394" s="1355">
        <f t="shared" si="46"/>
        <v>40294</v>
      </c>
      <c r="L394" s="1353" t="s">
        <v>41</v>
      </c>
      <c r="M394" s="1353">
        <v>40291</v>
      </c>
      <c r="N394" s="1354">
        <f t="shared" si="43"/>
        <v>4</v>
      </c>
      <c r="O394" s="1353">
        <v>40296</v>
      </c>
      <c r="P394" s="1357">
        <v>40298</v>
      </c>
      <c r="Q394" s="1365">
        <v>40316</v>
      </c>
      <c r="R394" s="1354">
        <f t="shared" si="50"/>
        <v>82</v>
      </c>
      <c r="S394" s="1358" t="s">
        <v>2231</v>
      </c>
      <c r="T394" s="1359" t="s">
        <v>2230</v>
      </c>
      <c r="U394" s="1360" t="str">
        <f t="shared" si="47"/>
        <v>atrasado</v>
      </c>
      <c r="V394" s="1130" t="str">
        <f t="shared" si="48"/>
        <v>Abril</v>
      </c>
      <c r="W394" s="1128">
        <f t="shared" si="49"/>
        <v>0</v>
      </c>
    </row>
    <row r="395" spans="1:23" s="1321" customFormat="1" ht="57.6" customHeight="1" thickBot="1" x14ac:dyDescent="0.2">
      <c r="A395" s="1117">
        <v>2010</v>
      </c>
      <c r="B395" s="1117">
        <v>2010</v>
      </c>
      <c r="C395" s="1361" t="s">
        <v>36</v>
      </c>
      <c r="D395" s="1363" t="s">
        <v>133</v>
      </c>
      <c r="E395" s="1350" t="s">
        <v>2205</v>
      </c>
      <c r="F395" s="1358" t="s">
        <v>2206</v>
      </c>
      <c r="G395" s="1351">
        <v>4503218391</v>
      </c>
      <c r="H395" s="1352">
        <v>28855.63</v>
      </c>
      <c r="I395" s="1353">
        <v>40228</v>
      </c>
      <c r="J395" s="1354">
        <v>66</v>
      </c>
      <c r="K395" s="1355">
        <f t="shared" si="46"/>
        <v>40294</v>
      </c>
      <c r="L395" s="1353" t="s">
        <v>41</v>
      </c>
      <c r="M395" s="1353">
        <v>40291</v>
      </c>
      <c r="N395" s="1354">
        <f t="shared" si="43"/>
        <v>4</v>
      </c>
      <c r="O395" s="1353">
        <v>40296</v>
      </c>
      <c r="P395" s="1357">
        <v>40298</v>
      </c>
      <c r="Q395" s="1365">
        <v>40316</v>
      </c>
      <c r="R395" s="1354">
        <f t="shared" si="50"/>
        <v>88</v>
      </c>
      <c r="S395" s="1358" t="s">
        <v>925</v>
      </c>
      <c r="T395" s="1359" t="s">
        <v>2230</v>
      </c>
      <c r="U395" s="1360" t="str">
        <f t="shared" si="47"/>
        <v>atrasado</v>
      </c>
      <c r="V395" s="1130" t="str">
        <f t="shared" si="48"/>
        <v>Abril</v>
      </c>
      <c r="W395" s="1128">
        <f t="shared" si="49"/>
        <v>0</v>
      </c>
    </row>
    <row r="396" spans="1:23" s="1321" customFormat="1" ht="57.6" customHeight="1" thickBot="1" x14ac:dyDescent="0.2">
      <c r="A396" s="1117">
        <v>2010</v>
      </c>
      <c r="B396" s="1117">
        <v>2010</v>
      </c>
      <c r="C396" s="1361" t="s">
        <v>36</v>
      </c>
      <c r="D396" s="1363" t="s">
        <v>133</v>
      </c>
      <c r="E396" s="1350" t="s">
        <v>1958</v>
      </c>
      <c r="F396" s="1358" t="s">
        <v>1959</v>
      </c>
      <c r="G396" s="1351">
        <v>4503175847</v>
      </c>
      <c r="H396" s="1352">
        <v>6375.32</v>
      </c>
      <c r="I396" s="1353">
        <v>40198</v>
      </c>
      <c r="J396" s="1354">
        <v>90</v>
      </c>
      <c r="K396" s="1355">
        <f t="shared" si="46"/>
        <v>40288</v>
      </c>
      <c r="L396" s="1353" t="s">
        <v>41</v>
      </c>
      <c r="M396" s="1353">
        <v>40291</v>
      </c>
      <c r="N396" s="1354">
        <f t="shared" ref="N396:N459" si="51">IF(P396="","",+P396-K396)</f>
        <v>10</v>
      </c>
      <c r="O396" s="1353">
        <v>40296</v>
      </c>
      <c r="P396" s="1357">
        <v>40298</v>
      </c>
      <c r="Q396" s="1365">
        <v>40316</v>
      </c>
      <c r="R396" s="1354">
        <f t="shared" si="50"/>
        <v>118</v>
      </c>
      <c r="S396" s="1358" t="s">
        <v>53</v>
      </c>
      <c r="T396" s="1359" t="s">
        <v>2230</v>
      </c>
      <c r="U396" s="1360" t="str">
        <f t="shared" si="47"/>
        <v>atrasado</v>
      </c>
      <c r="V396" s="1130" t="str">
        <f t="shared" si="48"/>
        <v>Abril</v>
      </c>
      <c r="W396" s="1128">
        <f t="shared" si="49"/>
        <v>0</v>
      </c>
    </row>
    <row r="397" spans="1:23" s="1321" customFormat="1" ht="57.6" customHeight="1" thickBot="1" x14ac:dyDescent="0.2">
      <c r="A397" s="1117">
        <v>2010</v>
      </c>
      <c r="B397" s="1117">
        <v>2010</v>
      </c>
      <c r="C397" s="1338" t="s">
        <v>36</v>
      </c>
      <c r="D397" s="1362" t="s">
        <v>133</v>
      </c>
      <c r="E397" s="1339" t="s">
        <v>2205</v>
      </c>
      <c r="F397" s="1347" t="s">
        <v>2206</v>
      </c>
      <c r="G397" s="1340">
        <v>4503185608</v>
      </c>
      <c r="H397" s="1341">
        <v>36870.339999999997</v>
      </c>
      <c r="I397" s="1342">
        <v>40205</v>
      </c>
      <c r="J397" s="1343">
        <v>90</v>
      </c>
      <c r="K397" s="1344">
        <f t="shared" si="46"/>
        <v>40295</v>
      </c>
      <c r="L397" s="1342" t="s">
        <v>41</v>
      </c>
      <c r="M397" s="1353">
        <v>40291</v>
      </c>
      <c r="N397" s="1343">
        <f t="shared" si="51"/>
        <v>3</v>
      </c>
      <c r="O397" s="1353">
        <v>40296</v>
      </c>
      <c r="P397" s="1357">
        <v>40298</v>
      </c>
      <c r="Q397" s="1365">
        <v>40316</v>
      </c>
      <c r="R397" s="1343">
        <f t="shared" si="50"/>
        <v>111</v>
      </c>
      <c r="S397" s="1347" t="s">
        <v>2239</v>
      </c>
      <c r="T397" s="1348" t="s">
        <v>2230</v>
      </c>
      <c r="U397" s="1349" t="str">
        <f t="shared" si="47"/>
        <v>atrasado</v>
      </c>
      <c r="V397" s="1130" t="str">
        <f t="shared" si="48"/>
        <v>Abril</v>
      </c>
      <c r="W397" s="1128">
        <f t="shared" si="49"/>
        <v>0</v>
      </c>
    </row>
    <row r="398" spans="1:23" s="1321" customFormat="1" ht="57.6" customHeight="1" thickBot="1" x14ac:dyDescent="0.2">
      <c r="A398" s="1117">
        <v>2010</v>
      </c>
      <c r="B398" s="1117">
        <v>2010</v>
      </c>
      <c r="C398" s="1361" t="s">
        <v>36</v>
      </c>
      <c r="D398" s="1363" t="s">
        <v>37</v>
      </c>
      <c r="E398" s="1350" t="s">
        <v>2220</v>
      </c>
      <c r="F398" s="1350" t="s">
        <v>2221</v>
      </c>
      <c r="G398" s="1351">
        <v>10010001</v>
      </c>
      <c r="H398" s="1352">
        <v>110995</v>
      </c>
      <c r="I398" s="1353">
        <v>40204</v>
      </c>
      <c r="J398" s="1354">
        <v>116</v>
      </c>
      <c r="K398" s="1355">
        <f t="shared" si="46"/>
        <v>40320</v>
      </c>
      <c r="L398" s="1353" t="s">
        <v>41</v>
      </c>
      <c r="M398" s="1353">
        <v>40291</v>
      </c>
      <c r="N398" s="1368">
        <f t="shared" si="51"/>
        <v>-22</v>
      </c>
      <c r="O398" s="1353">
        <v>40296</v>
      </c>
      <c r="P398" s="1357">
        <v>40298</v>
      </c>
      <c r="Q398" s="1365">
        <v>40316</v>
      </c>
      <c r="R398" s="1369">
        <f t="shared" si="50"/>
        <v>112</v>
      </c>
      <c r="S398" s="1358" t="s">
        <v>6290</v>
      </c>
      <c r="T398" s="1370" t="s">
        <v>2242</v>
      </c>
      <c r="U398" s="1358" t="str">
        <f t="shared" si="47"/>
        <v>en término</v>
      </c>
      <c r="V398" s="1130" t="str">
        <f t="shared" si="48"/>
        <v>Abril</v>
      </c>
      <c r="W398" s="1128">
        <f t="shared" si="49"/>
        <v>1</v>
      </c>
    </row>
    <row r="399" spans="1:23" s="1321" customFormat="1" ht="57.6" customHeight="1" thickBot="1" x14ac:dyDescent="0.2">
      <c r="A399" s="1117">
        <v>2010</v>
      </c>
      <c r="B399" s="1117">
        <v>2010</v>
      </c>
      <c r="C399" s="1338" t="s">
        <v>36</v>
      </c>
      <c r="D399" s="1362" t="s">
        <v>37</v>
      </c>
      <c r="E399" s="1339" t="s">
        <v>2243</v>
      </c>
      <c r="F399" s="1372" t="s">
        <v>2244</v>
      </c>
      <c r="G399" s="1340">
        <v>10030006</v>
      </c>
      <c r="H399" s="1341">
        <v>1120</v>
      </c>
      <c r="I399" s="1342">
        <v>40232</v>
      </c>
      <c r="J399" s="1343">
        <v>63</v>
      </c>
      <c r="K399" s="1344">
        <f t="shared" si="46"/>
        <v>40295</v>
      </c>
      <c r="L399" s="1342" t="s">
        <v>41</v>
      </c>
      <c r="M399" s="1353">
        <v>40291</v>
      </c>
      <c r="N399" s="1373">
        <f t="shared" si="51"/>
        <v>3</v>
      </c>
      <c r="O399" s="1353">
        <v>40296</v>
      </c>
      <c r="P399" s="1357">
        <v>40298</v>
      </c>
      <c r="Q399" s="1365">
        <v>40316</v>
      </c>
      <c r="R399" s="1375">
        <f t="shared" si="50"/>
        <v>84</v>
      </c>
      <c r="S399" s="1347" t="s">
        <v>53</v>
      </c>
      <c r="T399" s="1376" t="s">
        <v>2230</v>
      </c>
      <c r="U399" s="1347" t="str">
        <f t="shared" si="47"/>
        <v>atrasado</v>
      </c>
      <c r="V399" s="1130" t="str">
        <f t="shared" si="48"/>
        <v>Abril</v>
      </c>
      <c r="W399" s="1128">
        <f t="shared" si="49"/>
        <v>0</v>
      </c>
    </row>
    <row r="400" spans="1:23" s="1321" customFormat="1" ht="57.6" customHeight="1" thickBot="1" x14ac:dyDescent="0.2">
      <c r="A400" s="1117">
        <v>2010</v>
      </c>
      <c r="B400" s="1117">
        <v>2010</v>
      </c>
      <c r="C400" s="1338" t="s">
        <v>36</v>
      </c>
      <c r="D400" s="1362" t="s">
        <v>133</v>
      </c>
      <c r="E400" s="1339" t="s">
        <v>2205</v>
      </c>
      <c r="F400" s="1351" t="s">
        <v>2206</v>
      </c>
      <c r="G400" s="1351">
        <v>4503157055</v>
      </c>
      <c r="H400" s="1352">
        <v>97178.81</v>
      </c>
      <c r="I400" s="1342">
        <v>40183</v>
      </c>
      <c r="J400" s="1343">
        <v>110</v>
      </c>
      <c r="K400" s="1344">
        <f t="shared" si="46"/>
        <v>40293</v>
      </c>
      <c r="L400" s="1342" t="s">
        <v>41</v>
      </c>
      <c r="M400" s="1353">
        <v>40291</v>
      </c>
      <c r="N400" s="1343">
        <f t="shared" si="51"/>
        <v>5</v>
      </c>
      <c r="O400" s="1353">
        <v>40296</v>
      </c>
      <c r="P400" s="1357">
        <v>40298</v>
      </c>
      <c r="Q400" s="1365">
        <v>40316</v>
      </c>
      <c r="R400" s="1343">
        <f t="shared" si="50"/>
        <v>133</v>
      </c>
      <c r="S400" s="1347" t="s">
        <v>2246</v>
      </c>
      <c r="T400" s="1348" t="s">
        <v>2230</v>
      </c>
      <c r="U400" s="1349" t="str">
        <f t="shared" si="47"/>
        <v>atrasado</v>
      </c>
      <c r="V400" s="1130" t="str">
        <f t="shared" si="48"/>
        <v>Abril</v>
      </c>
      <c r="W400" s="1128">
        <f t="shared" si="49"/>
        <v>0</v>
      </c>
    </row>
    <row r="401" spans="1:23" s="1321" customFormat="1" ht="57.6" customHeight="1" thickBot="1" x14ac:dyDescent="0.2">
      <c r="A401" s="1117">
        <v>2010</v>
      </c>
      <c r="B401" s="1117">
        <v>2010</v>
      </c>
      <c r="C401" s="1361" t="s">
        <v>36</v>
      </c>
      <c r="D401" s="1363" t="s">
        <v>133</v>
      </c>
      <c r="E401" s="1350" t="s">
        <v>2205</v>
      </c>
      <c r="F401" s="1358" t="s">
        <v>2206</v>
      </c>
      <c r="G401" s="1351">
        <v>4503212658</v>
      </c>
      <c r="H401" s="1352">
        <v>162910</v>
      </c>
      <c r="I401" s="1353">
        <v>40220</v>
      </c>
      <c r="J401" s="1354">
        <v>78</v>
      </c>
      <c r="K401" s="1355">
        <f t="shared" si="46"/>
        <v>40298</v>
      </c>
      <c r="L401" s="1353" t="s">
        <v>41</v>
      </c>
      <c r="M401" s="1353">
        <v>40298</v>
      </c>
      <c r="N401" s="1354">
        <f t="shared" si="51"/>
        <v>7</v>
      </c>
      <c r="O401" s="1353">
        <v>40304</v>
      </c>
      <c r="P401" s="1357">
        <v>40305</v>
      </c>
      <c r="Q401" s="1365">
        <v>40322</v>
      </c>
      <c r="R401" s="1354">
        <f t="shared" si="50"/>
        <v>102</v>
      </c>
      <c r="S401" s="1358" t="s">
        <v>2250</v>
      </c>
      <c r="T401" s="1359" t="s">
        <v>2230</v>
      </c>
      <c r="U401" s="1360" t="str">
        <f t="shared" si="47"/>
        <v>atrasado</v>
      </c>
      <c r="V401" s="1130" t="str">
        <f t="shared" si="48"/>
        <v>Abril</v>
      </c>
      <c r="W401" s="1128">
        <f t="shared" si="49"/>
        <v>0</v>
      </c>
    </row>
    <row r="402" spans="1:23" s="1321" customFormat="1" ht="57.6" customHeight="1" thickBot="1" x14ac:dyDescent="0.2">
      <c r="A402" s="1117">
        <v>2010</v>
      </c>
      <c r="B402" s="1117">
        <v>2010</v>
      </c>
      <c r="C402" s="1361" t="s">
        <v>36</v>
      </c>
      <c r="D402" s="1371" t="s">
        <v>133</v>
      </c>
      <c r="E402" s="1350" t="s">
        <v>2032</v>
      </c>
      <c r="F402" s="1358" t="s">
        <v>2166</v>
      </c>
      <c r="G402" s="1351">
        <v>4503211781</v>
      </c>
      <c r="H402" s="1352">
        <v>26481.82</v>
      </c>
      <c r="I402" s="1353">
        <v>40220</v>
      </c>
      <c r="J402" s="1354">
        <v>93</v>
      </c>
      <c r="K402" s="1355">
        <f t="shared" si="46"/>
        <v>40313</v>
      </c>
      <c r="L402" s="1353" t="s">
        <v>41</v>
      </c>
      <c r="M402" s="1353">
        <v>40312</v>
      </c>
      <c r="N402" s="1354">
        <f t="shared" si="51"/>
        <v>6</v>
      </c>
      <c r="O402" s="1342">
        <v>40317</v>
      </c>
      <c r="P402" s="1346">
        <v>40319</v>
      </c>
      <c r="Q402" s="1374">
        <v>40336</v>
      </c>
      <c r="R402" s="1354">
        <f t="shared" si="50"/>
        <v>116</v>
      </c>
      <c r="S402" s="1358" t="s">
        <v>6291</v>
      </c>
      <c r="T402" s="1359"/>
      <c r="U402" s="1360" t="str">
        <f t="shared" si="47"/>
        <v>atrasado</v>
      </c>
      <c r="V402" s="1130" t="str">
        <f t="shared" si="48"/>
        <v>Mayo</v>
      </c>
      <c r="W402" s="1128">
        <f t="shared" si="49"/>
        <v>0</v>
      </c>
    </row>
    <row r="403" spans="1:23" s="1321" customFormat="1" ht="57.6" customHeight="1" thickBot="1" x14ac:dyDescent="0.2">
      <c r="A403" s="1117">
        <v>2010</v>
      </c>
      <c r="B403" s="1117">
        <v>2010</v>
      </c>
      <c r="C403" s="1338" t="s">
        <v>36</v>
      </c>
      <c r="D403" s="1377" t="s">
        <v>133</v>
      </c>
      <c r="E403" s="1339" t="s">
        <v>2032</v>
      </c>
      <c r="F403" s="1347" t="s">
        <v>2166</v>
      </c>
      <c r="G403" s="1340">
        <v>4503242139</v>
      </c>
      <c r="H403" s="1341">
        <v>29485.15</v>
      </c>
      <c r="I403" s="1342">
        <v>40241</v>
      </c>
      <c r="J403" s="1343">
        <v>83</v>
      </c>
      <c r="K403" s="1344">
        <f t="shared" si="46"/>
        <v>40324</v>
      </c>
      <c r="L403" s="1342" t="s">
        <v>41</v>
      </c>
      <c r="M403" s="1342">
        <v>40312</v>
      </c>
      <c r="N403" s="1343">
        <f t="shared" si="51"/>
        <v>-5</v>
      </c>
      <c r="O403" s="1342">
        <v>40317</v>
      </c>
      <c r="P403" s="1346">
        <v>40319</v>
      </c>
      <c r="Q403" s="1374">
        <v>40336</v>
      </c>
      <c r="R403" s="1343">
        <f t="shared" si="50"/>
        <v>95</v>
      </c>
      <c r="S403" s="1347" t="s">
        <v>6292</v>
      </c>
      <c r="T403" s="1348"/>
      <c r="U403" s="1349" t="str">
        <f t="shared" si="47"/>
        <v>en término</v>
      </c>
      <c r="V403" s="1130" t="str">
        <f t="shared" si="48"/>
        <v>Mayo</v>
      </c>
      <c r="W403" s="1128">
        <f t="shared" si="49"/>
        <v>1</v>
      </c>
    </row>
    <row r="404" spans="1:23" s="1321" customFormat="1" ht="57.6" customHeight="1" thickBot="1" x14ac:dyDescent="0.2">
      <c r="A404" s="1117">
        <v>2010</v>
      </c>
      <c r="B404" s="1117">
        <v>2010</v>
      </c>
      <c r="C404" s="1361" t="s">
        <v>36</v>
      </c>
      <c r="D404" s="1363" t="s">
        <v>133</v>
      </c>
      <c r="E404" s="1350" t="s">
        <v>2205</v>
      </c>
      <c r="F404" s="1358" t="s">
        <v>2206</v>
      </c>
      <c r="G404" s="1351">
        <v>4503262521</v>
      </c>
      <c r="H404" s="1352">
        <v>1547.18</v>
      </c>
      <c r="I404" s="1353">
        <v>40256</v>
      </c>
      <c r="J404" s="1354">
        <v>63</v>
      </c>
      <c r="K404" s="1355">
        <f t="shared" si="46"/>
        <v>40319</v>
      </c>
      <c r="L404" s="1353" t="s">
        <v>41</v>
      </c>
      <c r="M404" s="1353">
        <v>40312</v>
      </c>
      <c r="N404" s="1354">
        <f t="shared" si="51"/>
        <v>0</v>
      </c>
      <c r="O404" s="1342">
        <v>40317</v>
      </c>
      <c r="P404" s="1346">
        <v>40319</v>
      </c>
      <c r="Q404" s="1374">
        <v>40336</v>
      </c>
      <c r="R404" s="1354">
        <f t="shared" si="50"/>
        <v>80</v>
      </c>
      <c r="S404" s="1358" t="s">
        <v>2262</v>
      </c>
      <c r="T404" s="1359"/>
      <c r="U404" s="1360" t="str">
        <f t="shared" si="47"/>
        <v>en término</v>
      </c>
      <c r="V404" s="1130" t="str">
        <f t="shared" si="48"/>
        <v>Mayo</v>
      </c>
      <c r="W404" s="1128">
        <f t="shared" si="49"/>
        <v>1</v>
      </c>
    </row>
    <row r="405" spans="1:23" s="1321" customFormat="1" ht="57.6" customHeight="1" thickBot="1" x14ac:dyDescent="0.2">
      <c r="A405" s="1117">
        <v>2010</v>
      </c>
      <c r="B405" s="1117">
        <v>2010</v>
      </c>
      <c r="C405" s="1361" t="s">
        <v>36</v>
      </c>
      <c r="D405" s="1363" t="s">
        <v>133</v>
      </c>
      <c r="E405" s="1350" t="s">
        <v>2205</v>
      </c>
      <c r="F405" s="1358" t="s">
        <v>2206</v>
      </c>
      <c r="G405" s="1351">
        <v>4503264751</v>
      </c>
      <c r="H405" s="1352">
        <v>22014.44</v>
      </c>
      <c r="I405" s="1353">
        <v>40259</v>
      </c>
      <c r="J405" s="1354">
        <v>60</v>
      </c>
      <c r="K405" s="1355">
        <f t="shared" si="46"/>
        <v>40319</v>
      </c>
      <c r="L405" s="1353" t="s">
        <v>41</v>
      </c>
      <c r="M405" s="1353">
        <v>40312</v>
      </c>
      <c r="N405" s="1354">
        <f t="shared" si="51"/>
        <v>0</v>
      </c>
      <c r="O405" s="1342">
        <v>40317</v>
      </c>
      <c r="P405" s="1346">
        <v>40319</v>
      </c>
      <c r="Q405" s="1374">
        <v>40336</v>
      </c>
      <c r="R405" s="1354">
        <f t="shared" si="50"/>
        <v>77</v>
      </c>
      <c r="S405" s="1358" t="s">
        <v>925</v>
      </c>
      <c r="T405" s="1359"/>
      <c r="U405" s="1360" t="str">
        <f t="shared" si="47"/>
        <v>en término</v>
      </c>
      <c r="V405" s="1130" t="str">
        <f t="shared" si="48"/>
        <v>Mayo</v>
      </c>
      <c r="W405" s="1128">
        <f t="shared" si="49"/>
        <v>1</v>
      </c>
    </row>
    <row r="406" spans="1:23" s="1321" customFormat="1" ht="57.6" customHeight="1" thickBot="1" x14ac:dyDescent="0.2">
      <c r="A406" s="1117">
        <v>2010</v>
      </c>
      <c r="B406" s="1117">
        <v>2010</v>
      </c>
      <c r="C406" s="1361" t="s">
        <v>36</v>
      </c>
      <c r="D406" s="1363" t="s">
        <v>133</v>
      </c>
      <c r="E406" s="1350" t="s">
        <v>2205</v>
      </c>
      <c r="F406" s="1358" t="s">
        <v>2206</v>
      </c>
      <c r="G406" s="1351">
        <v>4503247955</v>
      </c>
      <c r="H406" s="1352">
        <v>13275.28</v>
      </c>
      <c r="I406" s="1353">
        <v>40246</v>
      </c>
      <c r="J406" s="1354">
        <v>70</v>
      </c>
      <c r="K406" s="1355">
        <f t="shared" si="46"/>
        <v>40316</v>
      </c>
      <c r="L406" s="1353" t="s">
        <v>41</v>
      </c>
      <c r="M406" s="1353">
        <v>40312</v>
      </c>
      <c r="N406" s="1354">
        <f t="shared" si="51"/>
        <v>3</v>
      </c>
      <c r="O406" s="1342">
        <v>40317</v>
      </c>
      <c r="P406" s="1346">
        <v>40319</v>
      </c>
      <c r="Q406" s="1374">
        <v>40336</v>
      </c>
      <c r="R406" s="1354">
        <f t="shared" si="50"/>
        <v>90</v>
      </c>
      <c r="S406" s="1358" t="s">
        <v>53</v>
      </c>
      <c r="T406" s="1359"/>
      <c r="U406" s="1360" t="str">
        <f t="shared" si="47"/>
        <v>atrasado</v>
      </c>
      <c r="V406" s="1130" t="str">
        <f t="shared" si="48"/>
        <v>Mayo</v>
      </c>
      <c r="W406" s="1128">
        <f t="shared" si="49"/>
        <v>0</v>
      </c>
    </row>
    <row r="407" spans="1:23" s="1321" customFormat="1" ht="57.6" customHeight="1" thickBot="1" x14ac:dyDescent="0.2">
      <c r="A407" s="1117">
        <v>2010</v>
      </c>
      <c r="B407" s="1117">
        <v>2010</v>
      </c>
      <c r="C407" s="1361" t="s">
        <v>36</v>
      </c>
      <c r="D407" s="1363" t="s">
        <v>37</v>
      </c>
      <c r="E407" s="1350" t="s">
        <v>2080</v>
      </c>
      <c r="F407" s="1367" t="s">
        <v>2269</v>
      </c>
      <c r="G407" s="1351">
        <v>10030002</v>
      </c>
      <c r="H407" s="1352">
        <v>23781</v>
      </c>
      <c r="I407" s="1353">
        <v>40240</v>
      </c>
      <c r="J407" s="1354">
        <v>90</v>
      </c>
      <c r="K407" s="1355">
        <f t="shared" si="46"/>
        <v>40330</v>
      </c>
      <c r="L407" s="1353" t="s">
        <v>41</v>
      </c>
      <c r="M407" s="1353">
        <v>40312</v>
      </c>
      <c r="N407" s="1354">
        <f t="shared" si="51"/>
        <v>-11</v>
      </c>
      <c r="O407" s="1342">
        <v>40317</v>
      </c>
      <c r="P407" s="1346">
        <v>40319</v>
      </c>
      <c r="Q407" s="1374">
        <v>40336</v>
      </c>
      <c r="R407" s="1354">
        <f t="shared" si="50"/>
        <v>96</v>
      </c>
      <c r="S407" s="1358" t="s">
        <v>6215</v>
      </c>
      <c r="T407" s="1378" t="s">
        <v>6293</v>
      </c>
      <c r="U407" s="1358" t="str">
        <f t="shared" si="47"/>
        <v>en término</v>
      </c>
      <c r="V407" s="1130" t="str">
        <f t="shared" si="48"/>
        <v>Mayo</v>
      </c>
      <c r="W407" s="1128">
        <f t="shared" si="49"/>
        <v>1</v>
      </c>
    </row>
    <row r="408" spans="1:23" s="1321" customFormat="1" ht="57.6" customHeight="1" thickBot="1" x14ac:dyDescent="0.2">
      <c r="A408" s="1117">
        <v>2010</v>
      </c>
      <c r="B408" s="1117">
        <v>2010</v>
      </c>
      <c r="C408" s="1361" t="s">
        <v>36</v>
      </c>
      <c r="D408" s="1363" t="s">
        <v>133</v>
      </c>
      <c r="E408" s="1350" t="s">
        <v>2205</v>
      </c>
      <c r="F408" s="1358" t="s">
        <v>2206</v>
      </c>
      <c r="G408" s="1351">
        <v>4503241771</v>
      </c>
      <c r="H408" s="1352">
        <v>163145</v>
      </c>
      <c r="I408" s="1353">
        <v>40241</v>
      </c>
      <c r="J408" s="1354">
        <v>68</v>
      </c>
      <c r="K408" s="1355">
        <f t="shared" si="46"/>
        <v>40309</v>
      </c>
      <c r="L408" s="1353" t="s">
        <v>41</v>
      </c>
      <c r="M408" s="1353">
        <v>40326</v>
      </c>
      <c r="N408" s="1354">
        <f t="shared" si="51"/>
        <v>25</v>
      </c>
      <c r="O408" s="1353">
        <v>40331</v>
      </c>
      <c r="P408" s="1357">
        <v>40334</v>
      </c>
      <c r="Q408" s="1365">
        <v>40350</v>
      </c>
      <c r="R408" s="1354">
        <f t="shared" si="50"/>
        <v>109</v>
      </c>
      <c r="S408" s="1358" t="s">
        <v>2274</v>
      </c>
      <c r="T408" s="1359"/>
      <c r="U408" s="1360" t="str">
        <f t="shared" si="47"/>
        <v>atrasado</v>
      </c>
      <c r="V408" s="1130" t="str">
        <f t="shared" si="48"/>
        <v>Mayo</v>
      </c>
      <c r="W408" s="1128">
        <f t="shared" si="49"/>
        <v>0</v>
      </c>
    </row>
    <row r="409" spans="1:23" s="1321" customFormat="1" ht="57.6" customHeight="1" thickBot="1" x14ac:dyDescent="0.2">
      <c r="A409" s="1117">
        <v>2010</v>
      </c>
      <c r="B409" s="1117">
        <v>2010</v>
      </c>
      <c r="C409" s="1338" t="s">
        <v>36</v>
      </c>
      <c r="D409" s="1362" t="s">
        <v>133</v>
      </c>
      <c r="E409" s="1339" t="s">
        <v>2205</v>
      </c>
      <c r="F409" s="1347" t="s">
        <v>2206</v>
      </c>
      <c r="G409" s="1340">
        <v>4503242729</v>
      </c>
      <c r="H409" s="1341">
        <v>169351</v>
      </c>
      <c r="I409" s="1342">
        <v>40241</v>
      </c>
      <c r="J409" s="1343">
        <v>103</v>
      </c>
      <c r="K409" s="1344">
        <f t="shared" si="46"/>
        <v>40344</v>
      </c>
      <c r="L409" s="1342" t="s">
        <v>41</v>
      </c>
      <c r="M409" s="1342">
        <v>40333</v>
      </c>
      <c r="N409" s="1343">
        <f t="shared" si="51"/>
        <v>-3</v>
      </c>
      <c r="O409" s="1342">
        <v>40338</v>
      </c>
      <c r="P409" s="1346">
        <v>40341</v>
      </c>
      <c r="Q409" s="1374">
        <v>40358</v>
      </c>
      <c r="R409" s="1343">
        <f t="shared" si="50"/>
        <v>117</v>
      </c>
      <c r="S409" s="1347" t="s">
        <v>2281</v>
      </c>
      <c r="T409" s="1348"/>
      <c r="U409" s="1349" t="str">
        <f t="shared" si="47"/>
        <v>en término</v>
      </c>
      <c r="V409" s="1130" t="str">
        <f t="shared" si="48"/>
        <v>Junio</v>
      </c>
      <c r="W409" s="1128">
        <f t="shared" si="49"/>
        <v>1</v>
      </c>
    </row>
    <row r="410" spans="1:23" s="1321" customFormat="1" ht="57.6" customHeight="1" thickBot="1" x14ac:dyDescent="0.2">
      <c r="A410" s="1117">
        <v>2010</v>
      </c>
      <c r="B410" s="1117">
        <v>2010</v>
      </c>
      <c r="C410" s="1361" t="s">
        <v>36</v>
      </c>
      <c r="D410" s="1371" t="s">
        <v>133</v>
      </c>
      <c r="E410" s="1350" t="s">
        <v>2032</v>
      </c>
      <c r="F410" s="1358" t="s">
        <v>2166</v>
      </c>
      <c r="G410" s="1351">
        <v>4503298114</v>
      </c>
      <c r="H410" s="1352">
        <v>5630.4</v>
      </c>
      <c r="I410" s="1353">
        <v>40277</v>
      </c>
      <c r="J410" s="1354">
        <v>94</v>
      </c>
      <c r="K410" s="1355">
        <f t="shared" si="46"/>
        <v>40371</v>
      </c>
      <c r="L410" s="1353" t="s">
        <v>41</v>
      </c>
      <c r="M410" s="1353">
        <v>40353</v>
      </c>
      <c r="N410" s="1354">
        <f t="shared" si="51"/>
        <v>-10</v>
      </c>
      <c r="O410" s="1342">
        <v>40359</v>
      </c>
      <c r="P410" s="1346">
        <v>40361</v>
      </c>
      <c r="Q410" s="1374">
        <v>40371</v>
      </c>
      <c r="R410" s="1354">
        <f t="shared" si="50"/>
        <v>94</v>
      </c>
      <c r="S410" s="1358" t="s">
        <v>6294</v>
      </c>
      <c r="T410" s="1359"/>
      <c r="U410" s="1360" t="str">
        <f t="shared" si="47"/>
        <v>en término</v>
      </c>
      <c r="V410" s="1130" t="str">
        <f t="shared" si="48"/>
        <v>Junio</v>
      </c>
      <c r="W410" s="1128">
        <f t="shared" si="49"/>
        <v>1</v>
      </c>
    </row>
    <row r="411" spans="1:23" s="1321" customFormat="1" ht="57.6" customHeight="1" thickBot="1" x14ac:dyDescent="0.2">
      <c r="A411" s="1117">
        <v>2010</v>
      </c>
      <c r="B411" s="1117">
        <v>2010</v>
      </c>
      <c r="C411" s="1361" t="s">
        <v>36</v>
      </c>
      <c r="D411" s="1363" t="s">
        <v>133</v>
      </c>
      <c r="E411" s="1350" t="s">
        <v>2205</v>
      </c>
      <c r="F411" s="1358" t="s">
        <v>2206</v>
      </c>
      <c r="G411" s="1351">
        <v>4503356683</v>
      </c>
      <c r="H411" s="1352">
        <v>360.73</v>
      </c>
      <c r="I411" s="1353">
        <v>40315</v>
      </c>
      <c r="J411" s="1354">
        <v>64</v>
      </c>
      <c r="K411" s="1355">
        <f t="shared" ref="K411:K435" si="52">+I411+J411</f>
        <v>40379</v>
      </c>
      <c r="L411" s="1353" t="s">
        <v>41</v>
      </c>
      <c r="M411" s="1353">
        <v>40353</v>
      </c>
      <c r="N411" s="1354">
        <f t="shared" si="51"/>
        <v>-18</v>
      </c>
      <c r="O411" s="1342">
        <v>40359</v>
      </c>
      <c r="P411" s="1346">
        <v>40361</v>
      </c>
      <c r="Q411" s="1374">
        <v>40371</v>
      </c>
      <c r="R411" s="1354">
        <f t="shared" si="50"/>
        <v>56</v>
      </c>
      <c r="S411" s="1358" t="s">
        <v>2288</v>
      </c>
      <c r="T411" s="1359"/>
      <c r="U411" s="1360" t="str">
        <f t="shared" si="47"/>
        <v>en término</v>
      </c>
      <c r="V411" s="1130" t="str">
        <f t="shared" si="48"/>
        <v>Junio</v>
      </c>
      <c r="W411" s="1128">
        <f t="shared" si="49"/>
        <v>1</v>
      </c>
    </row>
    <row r="412" spans="1:23" s="1321" customFormat="1" ht="57.6" customHeight="1" thickBot="1" x14ac:dyDescent="0.2">
      <c r="A412" s="1117">
        <v>2010</v>
      </c>
      <c r="B412" s="1117">
        <v>2010</v>
      </c>
      <c r="C412" s="1361" t="s">
        <v>36</v>
      </c>
      <c r="D412" s="1371" t="s">
        <v>133</v>
      </c>
      <c r="E412" s="1350" t="s">
        <v>2032</v>
      </c>
      <c r="F412" s="1358" t="s">
        <v>2166</v>
      </c>
      <c r="G412" s="1351">
        <v>4503303628</v>
      </c>
      <c r="H412" s="1352">
        <v>8563.6</v>
      </c>
      <c r="I412" s="1353">
        <v>40282</v>
      </c>
      <c r="J412" s="1354">
        <v>84</v>
      </c>
      <c r="K412" s="1355">
        <f t="shared" si="52"/>
        <v>40366</v>
      </c>
      <c r="L412" s="1353" t="s">
        <v>41</v>
      </c>
      <c r="M412" s="1353">
        <v>40353</v>
      </c>
      <c r="N412" s="1354">
        <f t="shared" si="51"/>
        <v>-5</v>
      </c>
      <c r="O412" s="1342">
        <v>40359</v>
      </c>
      <c r="P412" s="1346">
        <v>40361</v>
      </c>
      <c r="Q412" s="1374">
        <v>40371</v>
      </c>
      <c r="R412" s="1354">
        <f t="shared" si="50"/>
        <v>89</v>
      </c>
      <c r="S412" s="1358" t="s">
        <v>6295</v>
      </c>
      <c r="T412" s="1359"/>
      <c r="U412" s="1360" t="str">
        <f t="shared" si="47"/>
        <v>en término</v>
      </c>
      <c r="V412" s="1130" t="str">
        <f t="shared" si="48"/>
        <v>Junio</v>
      </c>
      <c r="W412" s="1128">
        <f t="shared" si="49"/>
        <v>1</v>
      </c>
    </row>
    <row r="413" spans="1:23" s="1321" customFormat="1" ht="57.6" customHeight="1" thickBot="1" x14ac:dyDescent="0.2">
      <c r="A413" s="1117">
        <v>2010</v>
      </c>
      <c r="B413" s="1117">
        <v>2010</v>
      </c>
      <c r="C413" s="1338" t="s">
        <v>36</v>
      </c>
      <c r="D413" s="1362" t="s">
        <v>133</v>
      </c>
      <c r="E413" s="1339" t="s">
        <v>2205</v>
      </c>
      <c r="F413" s="1347" t="s">
        <v>2206</v>
      </c>
      <c r="G413" s="1340">
        <v>4503297747</v>
      </c>
      <c r="H413" s="1341">
        <v>22593.93</v>
      </c>
      <c r="I413" s="1342">
        <v>40277</v>
      </c>
      <c r="J413" s="1343">
        <v>93</v>
      </c>
      <c r="K413" s="1344">
        <f t="shared" si="52"/>
        <v>40370</v>
      </c>
      <c r="L413" s="1342" t="s">
        <v>41</v>
      </c>
      <c r="M413" s="1342">
        <v>40353</v>
      </c>
      <c r="N413" s="1343">
        <f t="shared" si="51"/>
        <v>-9</v>
      </c>
      <c r="O413" s="1342">
        <v>40359</v>
      </c>
      <c r="P413" s="1346">
        <v>40361</v>
      </c>
      <c r="Q413" s="1374">
        <v>40371</v>
      </c>
      <c r="R413" s="1343">
        <f t="shared" si="50"/>
        <v>94</v>
      </c>
      <c r="S413" s="1347" t="s">
        <v>70</v>
      </c>
      <c r="T413" s="1348"/>
      <c r="U413" s="1349" t="str">
        <f t="shared" si="47"/>
        <v>en término</v>
      </c>
      <c r="V413" s="1130" t="str">
        <f t="shared" si="48"/>
        <v>Junio</v>
      </c>
      <c r="W413" s="1128">
        <f t="shared" si="49"/>
        <v>1</v>
      </c>
    </row>
    <row r="414" spans="1:23" s="1321" customFormat="1" ht="57.6" customHeight="1" thickBot="1" x14ac:dyDescent="0.2">
      <c r="A414" s="1117">
        <v>2010</v>
      </c>
      <c r="B414" s="1117">
        <v>2010</v>
      </c>
      <c r="C414" s="1361" t="s">
        <v>36</v>
      </c>
      <c r="D414" s="1363" t="s">
        <v>133</v>
      </c>
      <c r="E414" s="1350" t="s">
        <v>2205</v>
      </c>
      <c r="F414" s="1358" t="s">
        <v>2206</v>
      </c>
      <c r="G414" s="1351">
        <v>4503303970</v>
      </c>
      <c r="H414" s="1352">
        <v>181977.22</v>
      </c>
      <c r="I414" s="1353">
        <v>40282</v>
      </c>
      <c r="J414" s="1354">
        <v>76</v>
      </c>
      <c r="K414" s="1355">
        <f t="shared" si="52"/>
        <v>40358</v>
      </c>
      <c r="L414" s="1353" t="s">
        <v>41</v>
      </c>
      <c r="M414" s="1353">
        <v>40353</v>
      </c>
      <c r="N414" s="1354">
        <f t="shared" si="51"/>
        <v>3</v>
      </c>
      <c r="O414" s="1342">
        <v>40359</v>
      </c>
      <c r="P414" s="1346">
        <v>40361</v>
      </c>
      <c r="Q414" s="1374">
        <v>40371</v>
      </c>
      <c r="R414" s="1354">
        <f t="shared" si="50"/>
        <v>89</v>
      </c>
      <c r="S414" s="1358" t="s">
        <v>2250</v>
      </c>
      <c r="T414" s="1359"/>
      <c r="U414" s="1360" t="str">
        <f t="shared" si="47"/>
        <v>atrasado</v>
      </c>
      <c r="V414" s="1130" t="str">
        <f t="shared" si="48"/>
        <v>Junio</v>
      </c>
      <c r="W414" s="1128">
        <f t="shared" si="49"/>
        <v>0</v>
      </c>
    </row>
    <row r="415" spans="1:23" s="1321" customFormat="1" ht="57.6" customHeight="1" thickBot="1" x14ac:dyDescent="0.2">
      <c r="A415" s="1117">
        <v>2010</v>
      </c>
      <c r="B415" s="1117">
        <v>2010</v>
      </c>
      <c r="C415" s="1338" t="s">
        <v>36</v>
      </c>
      <c r="D415" s="1362" t="s">
        <v>133</v>
      </c>
      <c r="E415" s="1339" t="s">
        <v>1958</v>
      </c>
      <c r="F415" s="1347" t="s">
        <v>1959</v>
      </c>
      <c r="G415" s="1340">
        <v>4503263108</v>
      </c>
      <c r="H415" s="1341">
        <v>63195.05</v>
      </c>
      <c r="I415" s="1342">
        <v>40256</v>
      </c>
      <c r="J415" s="1343">
        <v>103</v>
      </c>
      <c r="K415" s="1344">
        <f t="shared" si="52"/>
        <v>40359</v>
      </c>
      <c r="L415" s="1342" t="s">
        <v>41</v>
      </c>
      <c r="M415" s="1342">
        <v>40358</v>
      </c>
      <c r="N415" s="1343">
        <f t="shared" si="51"/>
        <v>9</v>
      </c>
      <c r="O415" s="1342">
        <v>40366</v>
      </c>
      <c r="P415" s="1346">
        <v>40368</v>
      </c>
      <c r="Q415" s="1374">
        <v>40387</v>
      </c>
      <c r="R415" s="1343">
        <f t="shared" si="50"/>
        <v>131</v>
      </c>
      <c r="S415" s="1347" t="s">
        <v>53</v>
      </c>
      <c r="T415" s="1348" t="s">
        <v>2300</v>
      </c>
      <c r="U415" s="1349" t="str">
        <f t="shared" si="47"/>
        <v>atrasado</v>
      </c>
      <c r="V415" s="1130" t="str">
        <f t="shared" si="48"/>
        <v>Junio</v>
      </c>
      <c r="W415" s="1128">
        <f t="shared" si="49"/>
        <v>0</v>
      </c>
    </row>
    <row r="416" spans="1:23" s="1321" customFormat="1" ht="57.6" customHeight="1" thickBot="1" x14ac:dyDescent="0.2">
      <c r="A416" s="1117">
        <v>2010</v>
      </c>
      <c r="B416" s="1117">
        <v>2010</v>
      </c>
      <c r="C416" s="1338" t="s">
        <v>36</v>
      </c>
      <c r="D416" s="1362" t="s">
        <v>133</v>
      </c>
      <c r="E416" s="1339" t="s">
        <v>2205</v>
      </c>
      <c r="F416" s="1347" t="s">
        <v>2206</v>
      </c>
      <c r="G416" s="1340">
        <v>4503295465</v>
      </c>
      <c r="H416" s="1341">
        <v>104030.79</v>
      </c>
      <c r="I416" s="1342">
        <v>40276</v>
      </c>
      <c r="J416" s="1343">
        <v>105</v>
      </c>
      <c r="K416" s="1344">
        <f t="shared" si="52"/>
        <v>40381</v>
      </c>
      <c r="L416" s="1342" t="s">
        <v>41</v>
      </c>
      <c r="M416" s="1342">
        <v>40367</v>
      </c>
      <c r="N416" s="1343">
        <f t="shared" si="51"/>
        <v>-4</v>
      </c>
      <c r="O416" s="1342">
        <v>40373</v>
      </c>
      <c r="P416" s="1346">
        <v>40377</v>
      </c>
      <c r="Q416" s="1374">
        <v>40385</v>
      </c>
      <c r="R416" s="1343">
        <f t="shared" si="50"/>
        <v>109</v>
      </c>
      <c r="S416" s="1347" t="s">
        <v>1332</v>
      </c>
      <c r="T416" s="1348"/>
      <c r="U416" s="1349" t="str">
        <f t="shared" si="47"/>
        <v>en término</v>
      </c>
      <c r="V416" s="1130" t="str">
        <f t="shared" si="48"/>
        <v>Julio</v>
      </c>
      <c r="W416" s="1128">
        <f t="shared" si="49"/>
        <v>1</v>
      </c>
    </row>
    <row r="417" spans="1:23" s="1321" customFormat="1" ht="57.6" customHeight="1" thickBot="1" x14ac:dyDescent="0.2">
      <c r="A417" s="1117">
        <v>2010</v>
      </c>
      <c r="B417" s="1117">
        <v>2010</v>
      </c>
      <c r="C417" s="1361" t="s">
        <v>36</v>
      </c>
      <c r="D417" s="1363" t="s">
        <v>133</v>
      </c>
      <c r="E417" s="1350" t="s">
        <v>2205</v>
      </c>
      <c r="F417" s="1358" t="s">
        <v>2206</v>
      </c>
      <c r="G417" s="1351">
        <v>4503364502</v>
      </c>
      <c r="H417" s="1352">
        <v>3010.83</v>
      </c>
      <c r="I417" s="1353">
        <v>40339</v>
      </c>
      <c r="J417" s="1354">
        <v>60</v>
      </c>
      <c r="K417" s="1355">
        <f t="shared" si="52"/>
        <v>40399</v>
      </c>
      <c r="L417" s="1353" t="s">
        <v>41</v>
      </c>
      <c r="M417" s="1353">
        <v>40367</v>
      </c>
      <c r="N417" s="1354">
        <f t="shared" si="51"/>
        <v>-22</v>
      </c>
      <c r="O417" s="1353">
        <v>40373</v>
      </c>
      <c r="P417" s="1357">
        <v>40377</v>
      </c>
      <c r="Q417" s="1365">
        <v>40385</v>
      </c>
      <c r="R417" s="1354">
        <f t="shared" si="50"/>
        <v>46</v>
      </c>
      <c r="S417" s="1358" t="s">
        <v>53</v>
      </c>
      <c r="T417" s="1359"/>
      <c r="U417" s="1360" t="str">
        <f t="shared" si="47"/>
        <v>en término</v>
      </c>
      <c r="V417" s="1130" t="str">
        <f t="shared" si="48"/>
        <v>Julio</v>
      </c>
      <c r="W417" s="1128">
        <f t="shared" si="49"/>
        <v>1</v>
      </c>
    </row>
    <row r="418" spans="1:23" s="1321" customFormat="1" ht="57.6" customHeight="1" thickBot="1" x14ac:dyDescent="0.2">
      <c r="A418" s="1117">
        <v>2010</v>
      </c>
      <c r="B418" s="1117">
        <v>2010</v>
      </c>
      <c r="C418" s="1361" t="s">
        <v>36</v>
      </c>
      <c r="D418" s="1363" t="s">
        <v>133</v>
      </c>
      <c r="E418" s="1350" t="s">
        <v>2205</v>
      </c>
      <c r="F418" s="1358" t="s">
        <v>2206</v>
      </c>
      <c r="G418" s="1351">
        <v>4503355959</v>
      </c>
      <c r="H418" s="1352">
        <v>3405.25</v>
      </c>
      <c r="I418" s="1353">
        <v>40315</v>
      </c>
      <c r="J418" s="1354">
        <v>93</v>
      </c>
      <c r="K418" s="1355">
        <f t="shared" si="52"/>
        <v>40408</v>
      </c>
      <c r="L418" s="1353" t="s">
        <v>41</v>
      </c>
      <c r="M418" s="1353">
        <v>40367</v>
      </c>
      <c r="N418" s="1354">
        <f t="shared" si="51"/>
        <v>-31</v>
      </c>
      <c r="O418" s="1342">
        <v>40373</v>
      </c>
      <c r="P418" s="1346">
        <v>40377</v>
      </c>
      <c r="Q418" s="1374">
        <v>40385</v>
      </c>
      <c r="R418" s="1354">
        <f t="shared" si="50"/>
        <v>70</v>
      </c>
      <c r="S418" s="1358" t="s">
        <v>2307</v>
      </c>
      <c r="T418" s="1359"/>
      <c r="U418" s="1360" t="str">
        <f t="shared" si="47"/>
        <v>en término</v>
      </c>
      <c r="V418" s="1130" t="str">
        <f t="shared" si="48"/>
        <v>Julio</v>
      </c>
      <c r="W418" s="1128">
        <f t="shared" si="49"/>
        <v>1</v>
      </c>
    </row>
    <row r="419" spans="1:23" s="1321" customFormat="1" ht="57.6" customHeight="1" thickBot="1" x14ac:dyDescent="0.2">
      <c r="A419" s="1117">
        <v>2010</v>
      </c>
      <c r="B419" s="1117">
        <v>2010</v>
      </c>
      <c r="C419" s="1361" t="s">
        <v>36</v>
      </c>
      <c r="D419" s="1363" t="s">
        <v>37</v>
      </c>
      <c r="E419" s="1350" t="s">
        <v>2309</v>
      </c>
      <c r="F419" s="1367" t="s">
        <v>2310</v>
      </c>
      <c r="G419" s="1351">
        <v>10060003</v>
      </c>
      <c r="H419" s="1352">
        <v>4040</v>
      </c>
      <c r="I419" s="1353">
        <v>40337</v>
      </c>
      <c r="J419" s="1354">
        <v>46</v>
      </c>
      <c r="K419" s="1355">
        <f t="shared" si="52"/>
        <v>40383</v>
      </c>
      <c r="L419" s="1353" t="s">
        <v>41</v>
      </c>
      <c r="M419" s="1353">
        <v>40367</v>
      </c>
      <c r="N419" s="1368">
        <f t="shared" si="51"/>
        <v>-6</v>
      </c>
      <c r="O419" s="1353">
        <v>40373</v>
      </c>
      <c r="P419" s="1357">
        <v>40377</v>
      </c>
      <c r="Q419" s="1365">
        <v>40385</v>
      </c>
      <c r="R419" s="1369">
        <f t="shared" si="50"/>
        <v>48</v>
      </c>
      <c r="S419" s="1358" t="s">
        <v>535</v>
      </c>
      <c r="T419" s="1370"/>
      <c r="U419" s="1358" t="str">
        <f t="shared" si="47"/>
        <v>en término</v>
      </c>
      <c r="V419" s="1130" t="str">
        <f t="shared" si="48"/>
        <v>Julio</v>
      </c>
      <c r="W419" s="1128">
        <f t="shared" si="49"/>
        <v>1</v>
      </c>
    </row>
    <row r="420" spans="1:23" s="1325" customFormat="1" ht="57.6" customHeight="1" thickBot="1" x14ac:dyDescent="0.25">
      <c r="A420" s="1117">
        <v>2010</v>
      </c>
      <c r="B420" s="1117">
        <v>2010</v>
      </c>
      <c r="C420" s="1361" t="s">
        <v>36</v>
      </c>
      <c r="D420" s="1363" t="s">
        <v>133</v>
      </c>
      <c r="E420" s="1350" t="s">
        <v>2205</v>
      </c>
      <c r="F420" s="1358" t="s">
        <v>2206</v>
      </c>
      <c r="G420" s="1351">
        <v>4503355054</v>
      </c>
      <c r="H420" s="1352">
        <v>192877.48</v>
      </c>
      <c r="I420" s="1353">
        <v>40313</v>
      </c>
      <c r="J420" s="1354">
        <v>69</v>
      </c>
      <c r="K420" s="1355">
        <f t="shared" si="52"/>
        <v>40382</v>
      </c>
      <c r="L420" s="1353" t="s">
        <v>41</v>
      </c>
      <c r="M420" s="1353">
        <v>40388</v>
      </c>
      <c r="N420" s="1354">
        <f t="shared" si="51"/>
        <v>16</v>
      </c>
      <c r="O420" s="1353">
        <v>40395</v>
      </c>
      <c r="P420" s="1357">
        <v>40398</v>
      </c>
      <c r="Q420" s="1365">
        <v>40414</v>
      </c>
      <c r="R420" s="1354">
        <f t="shared" si="50"/>
        <v>101</v>
      </c>
      <c r="S420" s="1358" t="s">
        <v>2313</v>
      </c>
      <c r="T420" s="1359"/>
      <c r="U420" s="1360" t="str">
        <f t="shared" si="47"/>
        <v>atrasado</v>
      </c>
      <c r="V420" s="1130" t="str">
        <f t="shared" si="48"/>
        <v>Julio</v>
      </c>
      <c r="W420" s="1128">
        <f t="shared" si="49"/>
        <v>0</v>
      </c>
    </row>
    <row r="421" spans="1:23" s="1321" customFormat="1" ht="57.6" customHeight="1" thickBot="1" x14ac:dyDescent="0.2">
      <c r="A421" s="1117">
        <v>2010</v>
      </c>
      <c r="B421" s="1117">
        <v>2010</v>
      </c>
      <c r="C421" s="1361" t="s">
        <v>36</v>
      </c>
      <c r="D421" s="1363" t="s">
        <v>133</v>
      </c>
      <c r="E421" s="1350" t="s">
        <v>2205</v>
      </c>
      <c r="F421" s="1358" t="s">
        <v>2206</v>
      </c>
      <c r="G421" s="1351">
        <v>4503392098</v>
      </c>
      <c r="H421" s="1352">
        <v>6749.04</v>
      </c>
      <c r="I421" s="1353">
        <v>40333</v>
      </c>
      <c r="J421" s="1354">
        <v>67</v>
      </c>
      <c r="K421" s="1355">
        <f t="shared" si="52"/>
        <v>40400</v>
      </c>
      <c r="L421" s="1353" t="s">
        <v>41</v>
      </c>
      <c r="M421" s="1353">
        <v>40388</v>
      </c>
      <c r="N421" s="1354">
        <f t="shared" si="51"/>
        <v>-2</v>
      </c>
      <c r="O421" s="1353">
        <v>40395</v>
      </c>
      <c r="P421" s="1357">
        <v>40398</v>
      </c>
      <c r="Q421" s="1365">
        <v>40414</v>
      </c>
      <c r="R421" s="1354">
        <f t="shared" si="50"/>
        <v>81</v>
      </c>
      <c r="S421" s="1358" t="s">
        <v>53</v>
      </c>
      <c r="T421" s="1359"/>
      <c r="U421" s="1360" t="str">
        <f t="shared" si="47"/>
        <v>en término</v>
      </c>
      <c r="V421" s="1130" t="str">
        <f t="shared" si="48"/>
        <v>Julio</v>
      </c>
      <c r="W421" s="1128">
        <f t="shared" si="49"/>
        <v>1</v>
      </c>
    </row>
    <row r="422" spans="1:23" s="1321" customFormat="1" ht="57.6" customHeight="1" thickBot="1" x14ac:dyDescent="0.2">
      <c r="A422" s="1117">
        <v>2010</v>
      </c>
      <c r="B422" s="1117">
        <v>2010</v>
      </c>
      <c r="C422" s="1338" t="s">
        <v>36</v>
      </c>
      <c r="D422" s="1362" t="s">
        <v>37</v>
      </c>
      <c r="E422" s="1339" t="s">
        <v>2318</v>
      </c>
      <c r="F422" s="1372" t="s">
        <v>2319</v>
      </c>
      <c r="G422" s="1340">
        <v>10060002</v>
      </c>
      <c r="H422" s="1341">
        <v>81946.3</v>
      </c>
      <c r="I422" s="1342">
        <v>40294</v>
      </c>
      <c r="J422" s="1343">
        <v>95</v>
      </c>
      <c r="K422" s="1344">
        <f t="shared" si="52"/>
        <v>40389</v>
      </c>
      <c r="L422" s="1342" t="s">
        <v>41</v>
      </c>
      <c r="M422" s="1342">
        <v>40388</v>
      </c>
      <c r="N422" s="1373">
        <f t="shared" si="51"/>
        <v>9</v>
      </c>
      <c r="O422" s="1353">
        <v>40395</v>
      </c>
      <c r="P422" s="1357">
        <v>40398</v>
      </c>
      <c r="Q422" s="1365">
        <v>40414</v>
      </c>
      <c r="R422" s="1375">
        <f t="shared" si="50"/>
        <v>120</v>
      </c>
      <c r="S422" s="1347" t="s">
        <v>53</v>
      </c>
      <c r="T422" s="1376"/>
      <c r="U422" s="1347" t="str">
        <f t="shared" si="47"/>
        <v>atrasado</v>
      </c>
      <c r="V422" s="1130" t="str">
        <f t="shared" si="48"/>
        <v>Julio</v>
      </c>
      <c r="W422" s="1128">
        <f t="shared" si="49"/>
        <v>0</v>
      </c>
    </row>
    <row r="423" spans="1:23" s="1321" customFormat="1" ht="57.6" customHeight="1" thickBot="1" x14ac:dyDescent="0.2">
      <c r="A423" s="1117">
        <v>2010</v>
      </c>
      <c r="B423" s="1117">
        <v>2010</v>
      </c>
      <c r="C423" s="1361" t="s">
        <v>36</v>
      </c>
      <c r="D423" s="1363" t="s">
        <v>133</v>
      </c>
      <c r="E423" s="1350" t="s">
        <v>2205</v>
      </c>
      <c r="F423" s="1358" t="s">
        <v>2206</v>
      </c>
      <c r="G423" s="1351">
        <v>4503348906</v>
      </c>
      <c r="H423" s="1352">
        <v>38009.300000000003</v>
      </c>
      <c r="I423" s="1353">
        <v>40309</v>
      </c>
      <c r="J423" s="1354">
        <v>126</v>
      </c>
      <c r="K423" s="1355">
        <f t="shared" si="52"/>
        <v>40435</v>
      </c>
      <c r="L423" s="1353" t="s">
        <v>41</v>
      </c>
      <c r="M423" s="1353">
        <v>40402</v>
      </c>
      <c r="N423" s="1354">
        <f t="shared" si="51"/>
        <v>-20</v>
      </c>
      <c r="O423" s="1353">
        <v>40409</v>
      </c>
      <c r="P423" s="1357">
        <v>40415</v>
      </c>
      <c r="Q423" s="1365">
        <v>40428</v>
      </c>
      <c r="R423" s="1354">
        <f t="shared" si="50"/>
        <v>119</v>
      </c>
      <c r="S423" s="1358" t="s">
        <v>1269</v>
      </c>
      <c r="T423" s="1359"/>
      <c r="U423" s="1360" t="str">
        <f t="shared" si="47"/>
        <v>en término</v>
      </c>
      <c r="V423" s="1130" t="str">
        <f t="shared" si="48"/>
        <v>Agosto</v>
      </c>
      <c r="W423" s="1128">
        <f t="shared" si="49"/>
        <v>1</v>
      </c>
    </row>
    <row r="424" spans="1:23" s="1321" customFormat="1" ht="57.6" customHeight="1" thickBot="1" x14ac:dyDescent="0.2">
      <c r="A424" s="1117">
        <v>2010</v>
      </c>
      <c r="B424" s="1117">
        <v>2010</v>
      </c>
      <c r="C424" s="1361" t="s">
        <v>36</v>
      </c>
      <c r="D424" s="1363" t="s">
        <v>133</v>
      </c>
      <c r="E424" s="1350" t="s">
        <v>2205</v>
      </c>
      <c r="F424" s="1358" t="s">
        <v>2206</v>
      </c>
      <c r="G424" s="1351">
        <v>4503396159</v>
      </c>
      <c r="H424" s="1352">
        <v>53041.24</v>
      </c>
      <c r="I424" s="1353">
        <v>40337</v>
      </c>
      <c r="J424" s="1354">
        <v>63</v>
      </c>
      <c r="K424" s="1355">
        <f t="shared" si="52"/>
        <v>40400</v>
      </c>
      <c r="L424" s="1353" t="s">
        <v>41</v>
      </c>
      <c r="M424" s="1353">
        <v>40402</v>
      </c>
      <c r="N424" s="1354">
        <f t="shared" si="51"/>
        <v>15</v>
      </c>
      <c r="O424" s="1353">
        <v>40409</v>
      </c>
      <c r="P424" s="1357">
        <v>40415</v>
      </c>
      <c r="Q424" s="1365">
        <v>40428</v>
      </c>
      <c r="R424" s="1354">
        <f t="shared" si="50"/>
        <v>91</v>
      </c>
      <c r="S424" s="1358" t="s">
        <v>2324</v>
      </c>
      <c r="T424" s="1359"/>
      <c r="U424" s="1360" t="str">
        <f t="shared" si="47"/>
        <v>atrasado</v>
      </c>
      <c r="V424" s="1130" t="str">
        <f t="shared" si="48"/>
        <v>Agosto</v>
      </c>
      <c r="W424" s="1128">
        <f t="shared" si="49"/>
        <v>0</v>
      </c>
    </row>
    <row r="425" spans="1:23" s="1321" customFormat="1" ht="57.6" customHeight="1" thickBot="1" x14ac:dyDescent="0.2">
      <c r="A425" s="1117">
        <v>2010</v>
      </c>
      <c r="B425" s="1117">
        <v>2010</v>
      </c>
      <c r="C425" s="1361" t="s">
        <v>36</v>
      </c>
      <c r="D425" s="1363" t="s">
        <v>133</v>
      </c>
      <c r="E425" s="1350" t="s">
        <v>2205</v>
      </c>
      <c r="F425" s="1358" t="s">
        <v>2206</v>
      </c>
      <c r="G425" s="1351">
        <v>4503347758</v>
      </c>
      <c r="H425" s="1352">
        <v>88790</v>
      </c>
      <c r="I425" s="1353">
        <v>40309</v>
      </c>
      <c r="J425" s="1354">
        <v>126</v>
      </c>
      <c r="K425" s="1355">
        <f t="shared" si="52"/>
        <v>40435</v>
      </c>
      <c r="L425" s="1353" t="s">
        <v>41</v>
      </c>
      <c r="M425" s="1353">
        <v>40402</v>
      </c>
      <c r="N425" s="1354">
        <f t="shared" si="51"/>
        <v>-20</v>
      </c>
      <c r="O425" s="1353">
        <v>40409</v>
      </c>
      <c r="P425" s="1357">
        <v>40415</v>
      </c>
      <c r="Q425" s="1365">
        <v>40428</v>
      </c>
      <c r="R425" s="1354">
        <f t="shared" si="50"/>
        <v>119</v>
      </c>
      <c r="S425" s="1358" t="s">
        <v>2231</v>
      </c>
      <c r="T425" s="1359"/>
      <c r="U425" s="1360" t="str">
        <f t="shared" si="47"/>
        <v>en término</v>
      </c>
      <c r="V425" s="1130" t="str">
        <f t="shared" si="48"/>
        <v>Agosto</v>
      </c>
      <c r="W425" s="1128">
        <f t="shared" si="49"/>
        <v>1</v>
      </c>
    </row>
    <row r="426" spans="1:23" s="1321" customFormat="1" ht="57.6" customHeight="1" thickBot="1" x14ac:dyDescent="0.2">
      <c r="A426" s="1117">
        <v>2010</v>
      </c>
      <c r="B426" s="1117">
        <v>2010</v>
      </c>
      <c r="C426" s="1361" t="s">
        <v>36</v>
      </c>
      <c r="D426" s="1363" t="s">
        <v>37</v>
      </c>
      <c r="E426" s="1350" t="s">
        <v>2080</v>
      </c>
      <c r="F426" s="1367" t="s">
        <v>2329</v>
      </c>
      <c r="G426" s="1351">
        <v>10060001</v>
      </c>
      <c r="H426" s="1352">
        <v>27105</v>
      </c>
      <c r="I426" s="1353">
        <v>40326</v>
      </c>
      <c r="J426" s="1354">
        <v>91</v>
      </c>
      <c r="K426" s="1355">
        <f t="shared" si="52"/>
        <v>40417</v>
      </c>
      <c r="L426" s="1353" t="s">
        <v>41</v>
      </c>
      <c r="M426" s="1353">
        <v>40402</v>
      </c>
      <c r="N426" s="1354">
        <f t="shared" si="51"/>
        <v>-2</v>
      </c>
      <c r="O426" s="1353">
        <v>40409</v>
      </c>
      <c r="P426" s="1357">
        <v>40415</v>
      </c>
      <c r="Q426" s="1365">
        <v>40428</v>
      </c>
      <c r="R426" s="1354">
        <f t="shared" si="50"/>
        <v>102</v>
      </c>
      <c r="S426" s="1358" t="s">
        <v>6296</v>
      </c>
      <c r="T426" s="1370"/>
      <c r="U426" s="1358" t="str">
        <f t="shared" si="47"/>
        <v>en término</v>
      </c>
      <c r="V426" s="1130" t="str">
        <f t="shared" si="48"/>
        <v>Agosto</v>
      </c>
      <c r="W426" s="1128">
        <f t="shared" si="49"/>
        <v>1</v>
      </c>
    </row>
    <row r="427" spans="1:23" s="1321" customFormat="1" ht="57.6" customHeight="1" thickBot="1" x14ac:dyDescent="0.2">
      <c r="A427" s="1117">
        <v>2010</v>
      </c>
      <c r="B427" s="1117">
        <v>2010</v>
      </c>
      <c r="C427" s="1361" t="s">
        <v>36</v>
      </c>
      <c r="D427" s="1363" t="s">
        <v>133</v>
      </c>
      <c r="E427" s="1350" t="s">
        <v>2041</v>
      </c>
      <c r="F427" s="1367" t="s">
        <v>2042</v>
      </c>
      <c r="G427" s="1351">
        <v>4503472448</v>
      </c>
      <c r="H427" s="1352">
        <v>17160.97</v>
      </c>
      <c r="I427" s="1353">
        <v>40385</v>
      </c>
      <c r="J427" s="1354">
        <v>93</v>
      </c>
      <c r="K427" s="1355">
        <f t="shared" si="52"/>
        <v>40478</v>
      </c>
      <c r="L427" s="1353" t="s">
        <v>41</v>
      </c>
      <c r="M427" s="1353">
        <v>40445</v>
      </c>
      <c r="N427" s="1354">
        <f t="shared" si="51"/>
        <v>-23</v>
      </c>
      <c r="O427" s="1353">
        <v>40451</v>
      </c>
      <c r="P427" s="1357">
        <v>40455</v>
      </c>
      <c r="Q427" s="1365">
        <v>40475</v>
      </c>
      <c r="R427" s="1354">
        <f t="shared" si="50"/>
        <v>90</v>
      </c>
      <c r="S427" s="1358" t="s">
        <v>879</v>
      </c>
      <c r="T427" s="1378"/>
      <c r="U427" s="1358" t="str">
        <f t="shared" si="47"/>
        <v>en término</v>
      </c>
      <c r="V427" s="1130" t="str">
        <f t="shared" si="48"/>
        <v>Septiembre</v>
      </c>
      <c r="W427" s="1128">
        <f t="shared" si="49"/>
        <v>1</v>
      </c>
    </row>
    <row r="428" spans="1:23" s="1321" customFormat="1" ht="57.6" customHeight="1" thickBot="1" x14ac:dyDescent="0.2">
      <c r="A428" s="1117">
        <v>2010</v>
      </c>
      <c r="B428" s="1117">
        <v>2010</v>
      </c>
      <c r="C428" s="1379" t="s">
        <v>36</v>
      </c>
      <c r="D428" s="1380" t="s">
        <v>37</v>
      </c>
      <c r="E428" s="1381" t="s">
        <v>2335</v>
      </c>
      <c r="F428" s="1382" t="s">
        <v>2336</v>
      </c>
      <c r="G428" s="1383">
        <v>10070003</v>
      </c>
      <c r="H428" s="1384">
        <v>7745</v>
      </c>
      <c r="I428" s="1385">
        <v>40388</v>
      </c>
      <c r="J428" s="1386">
        <v>48</v>
      </c>
      <c r="K428" s="1385">
        <f t="shared" si="52"/>
        <v>40436</v>
      </c>
      <c r="L428" s="1385" t="s">
        <v>41</v>
      </c>
      <c r="M428" s="1385">
        <v>40445</v>
      </c>
      <c r="N428" s="1386">
        <f t="shared" si="51"/>
        <v>19</v>
      </c>
      <c r="O428" s="1353">
        <v>40451</v>
      </c>
      <c r="P428" s="1357">
        <v>40455</v>
      </c>
      <c r="Q428" s="1387">
        <f>+P428+20</f>
        <v>40475</v>
      </c>
      <c r="R428" s="1386">
        <f t="shared" si="50"/>
        <v>87</v>
      </c>
      <c r="S428" s="1388" t="s">
        <v>6297</v>
      </c>
      <c r="T428" s="1389"/>
      <c r="U428" s="1388" t="str">
        <f t="shared" si="47"/>
        <v>atrasado</v>
      </c>
      <c r="V428" s="1130" t="str">
        <f t="shared" si="48"/>
        <v>Septiembre</v>
      </c>
      <c r="W428" s="1128">
        <f t="shared" si="49"/>
        <v>0</v>
      </c>
    </row>
    <row r="429" spans="1:23" s="1321" customFormat="1" ht="57.6" customHeight="1" thickBot="1" x14ac:dyDescent="0.2">
      <c r="A429" s="1117">
        <v>2010</v>
      </c>
      <c r="B429" s="1117">
        <v>2010</v>
      </c>
      <c r="C429" s="1361" t="s">
        <v>36</v>
      </c>
      <c r="D429" s="1363" t="s">
        <v>37</v>
      </c>
      <c r="E429" s="1350" t="s">
        <v>2339</v>
      </c>
      <c r="F429" s="1367" t="s">
        <v>2340</v>
      </c>
      <c r="G429" s="1351">
        <v>10080003</v>
      </c>
      <c r="H429" s="1352">
        <v>2665</v>
      </c>
      <c r="I429" s="1353">
        <v>40392</v>
      </c>
      <c r="J429" s="1354">
        <v>82</v>
      </c>
      <c r="K429" s="1353">
        <f t="shared" si="52"/>
        <v>40474</v>
      </c>
      <c r="L429" s="1353" t="s">
        <v>41</v>
      </c>
      <c r="M429" s="1353">
        <v>40445</v>
      </c>
      <c r="N429" s="1354">
        <f t="shared" si="51"/>
        <v>-19</v>
      </c>
      <c r="O429" s="1353">
        <v>40451</v>
      </c>
      <c r="P429" s="1357">
        <v>40455</v>
      </c>
      <c r="Q429" s="1365">
        <f>+P429+20</f>
        <v>40475</v>
      </c>
      <c r="R429" s="1354">
        <f t="shared" si="50"/>
        <v>83</v>
      </c>
      <c r="S429" s="1358" t="s">
        <v>53</v>
      </c>
      <c r="T429" s="1378"/>
      <c r="U429" s="1358" t="str">
        <f t="shared" si="47"/>
        <v>en término</v>
      </c>
      <c r="V429" s="1130" t="str">
        <f t="shared" si="48"/>
        <v>Septiembre</v>
      </c>
      <c r="W429" s="1128">
        <f t="shared" si="49"/>
        <v>1</v>
      </c>
    </row>
    <row r="430" spans="1:23" s="1321" customFormat="1" ht="57.6" customHeight="1" thickBot="1" x14ac:dyDescent="0.2">
      <c r="A430" s="1117">
        <v>2010</v>
      </c>
      <c r="B430" s="1117">
        <v>2010</v>
      </c>
      <c r="C430" s="1361" t="s">
        <v>36</v>
      </c>
      <c r="D430" s="1363" t="s">
        <v>37</v>
      </c>
      <c r="E430" s="1350" t="s">
        <v>2080</v>
      </c>
      <c r="F430" s="1367" t="s">
        <v>2341</v>
      </c>
      <c r="G430" s="1351">
        <v>10080005</v>
      </c>
      <c r="H430" s="1352">
        <v>34569</v>
      </c>
      <c r="I430" s="1353">
        <v>40403</v>
      </c>
      <c r="J430" s="1354">
        <v>82</v>
      </c>
      <c r="K430" s="1353">
        <f t="shared" si="52"/>
        <v>40485</v>
      </c>
      <c r="L430" s="1353" t="s">
        <v>41</v>
      </c>
      <c r="M430" s="1353">
        <v>40445</v>
      </c>
      <c r="N430" s="1354">
        <f t="shared" si="51"/>
        <v>-30</v>
      </c>
      <c r="O430" s="1353">
        <v>40451</v>
      </c>
      <c r="P430" s="1357">
        <v>40455</v>
      </c>
      <c r="Q430" s="1365">
        <f>+P430+20</f>
        <v>40475</v>
      </c>
      <c r="R430" s="1354">
        <f t="shared" si="50"/>
        <v>72</v>
      </c>
      <c r="S430" s="1358" t="s">
        <v>6298</v>
      </c>
      <c r="T430" s="1378"/>
      <c r="U430" s="1358" t="str">
        <f t="shared" si="47"/>
        <v>en término</v>
      </c>
      <c r="V430" s="1130" t="str">
        <f t="shared" si="48"/>
        <v>Septiembre</v>
      </c>
      <c r="W430" s="1128">
        <f t="shared" si="49"/>
        <v>1</v>
      </c>
    </row>
    <row r="431" spans="1:23" s="1321" customFormat="1" ht="57.6" customHeight="1" thickBot="1" x14ac:dyDescent="0.2">
      <c r="A431" s="1117">
        <v>2010</v>
      </c>
      <c r="B431" s="1117">
        <v>2010</v>
      </c>
      <c r="C431" s="1361" t="s">
        <v>36</v>
      </c>
      <c r="D431" s="1363" t="s">
        <v>37</v>
      </c>
      <c r="E431" s="1350" t="s">
        <v>2343</v>
      </c>
      <c r="F431" s="1367" t="s">
        <v>2344</v>
      </c>
      <c r="G431" s="1351">
        <v>10080007</v>
      </c>
      <c r="H431" s="1352">
        <v>8830</v>
      </c>
      <c r="I431" s="1353">
        <v>40403</v>
      </c>
      <c r="J431" s="1354">
        <v>58</v>
      </c>
      <c r="K431" s="1353">
        <f t="shared" si="52"/>
        <v>40461</v>
      </c>
      <c r="L431" s="1353" t="s">
        <v>41</v>
      </c>
      <c r="M431" s="1353">
        <v>40445</v>
      </c>
      <c r="N431" s="1354">
        <f t="shared" si="51"/>
        <v>-6</v>
      </c>
      <c r="O431" s="1353">
        <v>40451</v>
      </c>
      <c r="P431" s="1357">
        <v>40455</v>
      </c>
      <c r="Q431" s="1365">
        <f>+P431+20</f>
        <v>40475</v>
      </c>
      <c r="R431" s="1354">
        <f t="shared" si="50"/>
        <v>72</v>
      </c>
      <c r="S431" s="1358" t="s">
        <v>6299</v>
      </c>
      <c r="T431" s="1378"/>
      <c r="U431" s="1358" t="str">
        <f t="shared" si="47"/>
        <v>en término</v>
      </c>
      <c r="V431" s="1130" t="str">
        <f t="shared" si="48"/>
        <v>Septiembre</v>
      </c>
      <c r="W431" s="1128">
        <f t="shared" si="49"/>
        <v>1</v>
      </c>
    </row>
    <row r="432" spans="1:23" s="1321" customFormat="1" ht="57.6" customHeight="1" thickBot="1" x14ac:dyDescent="0.2">
      <c r="A432" s="1117">
        <v>2010</v>
      </c>
      <c r="B432" s="1117">
        <v>2010</v>
      </c>
      <c r="C432" s="1361" t="s">
        <v>36</v>
      </c>
      <c r="D432" s="1363" t="s">
        <v>37</v>
      </c>
      <c r="E432" s="1350" t="s">
        <v>2346</v>
      </c>
      <c r="F432" s="1367" t="s">
        <v>2347</v>
      </c>
      <c r="G432" s="1351">
        <v>10080008</v>
      </c>
      <c r="H432" s="1352">
        <v>28210.52</v>
      </c>
      <c r="I432" s="1353">
        <v>40403</v>
      </c>
      <c r="J432" s="1354">
        <v>46</v>
      </c>
      <c r="K432" s="1353">
        <f t="shared" si="52"/>
        <v>40449</v>
      </c>
      <c r="L432" s="1353" t="s">
        <v>41</v>
      </c>
      <c r="M432" s="1353">
        <v>40445</v>
      </c>
      <c r="N432" s="1354">
        <f t="shared" si="51"/>
        <v>6</v>
      </c>
      <c r="O432" s="1353">
        <v>40451</v>
      </c>
      <c r="P432" s="1357">
        <v>40455</v>
      </c>
      <c r="Q432" s="1365">
        <f>+P432+20</f>
        <v>40475</v>
      </c>
      <c r="R432" s="1354">
        <f t="shared" si="50"/>
        <v>72</v>
      </c>
      <c r="S432" s="1358" t="s">
        <v>6300</v>
      </c>
      <c r="T432" s="1378"/>
      <c r="U432" s="1358" t="str">
        <f t="shared" si="47"/>
        <v>atrasado</v>
      </c>
      <c r="V432" s="1130" t="str">
        <f t="shared" si="48"/>
        <v>Septiembre</v>
      </c>
      <c r="W432" s="1128">
        <f t="shared" si="49"/>
        <v>0</v>
      </c>
    </row>
    <row r="433" spans="1:23" s="1321" customFormat="1" ht="57.6" customHeight="1" thickBot="1" x14ac:dyDescent="0.2">
      <c r="A433" s="1117">
        <v>2010</v>
      </c>
      <c r="B433" s="1117">
        <v>2010</v>
      </c>
      <c r="C433" s="1338" t="s">
        <v>36</v>
      </c>
      <c r="D433" s="1362" t="s">
        <v>133</v>
      </c>
      <c r="E433" s="1339" t="s">
        <v>2349</v>
      </c>
      <c r="F433" s="1372" t="s">
        <v>2350</v>
      </c>
      <c r="G433" s="1340">
        <v>4503467159</v>
      </c>
      <c r="H433" s="1341">
        <v>1905.19</v>
      </c>
      <c r="I433" s="1342">
        <v>40381</v>
      </c>
      <c r="J433" s="1343">
        <v>102</v>
      </c>
      <c r="K433" s="1344">
        <f t="shared" si="52"/>
        <v>40483</v>
      </c>
      <c r="L433" s="1342" t="s">
        <v>41</v>
      </c>
      <c r="M433" s="1342">
        <v>40455</v>
      </c>
      <c r="N433" s="1343">
        <f t="shared" si="51"/>
        <v>-12</v>
      </c>
      <c r="O433" s="1353">
        <v>40465</v>
      </c>
      <c r="P433" s="1357">
        <v>40471</v>
      </c>
      <c r="Q433" s="1365">
        <v>40483</v>
      </c>
      <c r="R433" s="1343">
        <f t="shared" si="50"/>
        <v>102</v>
      </c>
      <c r="S433" s="1347" t="s">
        <v>53</v>
      </c>
      <c r="T433" s="1390"/>
      <c r="U433" s="1347" t="str">
        <f t="shared" si="47"/>
        <v>en término</v>
      </c>
      <c r="V433" s="1130" t="str">
        <f t="shared" si="48"/>
        <v>Octubre</v>
      </c>
      <c r="W433" s="1128">
        <f t="shared" si="49"/>
        <v>1</v>
      </c>
    </row>
    <row r="434" spans="1:23" s="1321" customFormat="1" ht="57.6" customHeight="1" thickBot="1" x14ac:dyDescent="0.2">
      <c r="A434" s="1117">
        <v>2010</v>
      </c>
      <c r="B434" s="1117">
        <v>2010</v>
      </c>
      <c r="C434" s="1361" t="s">
        <v>36</v>
      </c>
      <c r="D434" s="1363" t="s">
        <v>37</v>
      </c>
      <c r="E434" s="1350" t="s">
        <v>2080</v>
      </c>
      <c r="F434" s="1367" t="s">
        <v>2353</v>
      </c>
      <c r="G434" s="1351">
        <v>10080001</v>
      </c>
      <c r="H434" s="1352">
        <v>17129.599999999999</v>
      </c>
      <c r="I434" s="1353">
        <v>40387</v>
      </c>
      <c r="J434" s="1354">
        <v>90</v>
      </c>
      <c r="K434" s="1355">
        <f t="shared" si="52"/>
        <v>40477</v>
      </c>
      <c r="L434" s="1353" t="s">
        <v>41</v>
      </c>
      <c r="M434" s="1353">
        <v>40455</v>
      </c>
      <c r="N434" s="1354">
        <f t="shared" si="51"/>
        <v>-6</v>
      </c>
      <c r="O434" s="1353">
        <v>40465</v>
      </c>
      <c r="P434" s="1357">
        <v>40471</v>
      </c>
      <c r="Q434" s="1365">
        <v>40483</v>
      </c>
      <c r="R434" s="1354">
        <f t="shared" si="50"/>
        <v>96</v>
      </c>
      <c r="S434" s="1358" t="s">
        <v>6301</v>
      </c>
      <c r="T434" s="1378"/>
      <c r="U434" s="1358" t="str">
        <f t="shared" si="47"/>
        <v>en término</v>
      </c>
      <c r="V434" s="1130" t="str">
        <f t="shared" si="48"/>
        <v>Octubre</v>
      </c>
      <c r="W434" s="1128">
        <f t="shared" si="49"/>
        <v>1</v>
      </c>
    </row>
    <row r="435" spans="1:23" s="1321" customFormat="1" ht="57.6" customHeight="1" thickBot="1" x14ac:dyDescent="0.2">
      <c r="A435" s="1117">
        <v>2010</v>
      </c>
      <c r="B435" s="1117">
        <v>2010</v>
      </c>
      <c r="C435" s="1361" t="s">
        <v>36</v>
      </c>
      <c r="D435" s="1363" t="s">
        <v>37</v>
      </c>
      <c r="E435" s="1350" t="s">
        <v>2357</v>
      </c>
      <c r="F435" s="1367" t="s">
        <v>2358</v>
      </c>
      <c r="G435" s="1351">
        <v>10080002</v>
      </c>
      <c r="H435" s="1352">
        <f>101142-4505.65</f>
        <v>96636.35</v>
      </c>
      <c r="I435" s="1353">
        <v>40392</v>
      </c>
      <c r="J435" s="1354">
        <v>89</v>
      </c>
      <c r="K435" s="1355">
        <f t="shared" si="52"/>
        <v>40481</v>
      </c>
      <c r="L435" s="1353" t="s">
        <v>41</v>
      </c>
      <c r="M435" s="1353">
        <v>40455</v>
      </c>
      <c r="N435" s="1354">
        <f t="shared" si="51"/>
        <v>-10</v>
      </c>
      <c r="O435" s="1353">
        <v>40465</v>
      </c>
      <c r="P435" s="1357">
        <v>40471</v>
      </c>
      <c r="Q435" s="1365">
        <v>40483</v>
      </c>
      <c r="R435" s="1354">
        <f t="shared" si="50"/>
        <v>91</v>
      </c>
      <c r="S435" s="1358" t="s">
        <v>2359</v>
      </c>
      <c r="T435" s="1378" t="s">
        <v>2361</v>
      </c>
      <c r="U435" s="1358" t="str">
        <f t="shared" si="47"/>
        <v>en término</v>
      </c>
      <c r="V435" s="1130" t="str">
        <f t="shared" si="48"/>
        <v>Octubre</v>
      </c>
      <c r="W435" s="1128">
        <f t="shared" si="49"/>
        <v>1</v>
      </c>
    </row>
    <row r="436" spans="1:23" s="1321" customFormat="1" ht="57.6" customHeight="1" thickBot="1" x14ac:dyDescent="0.2">
      <c r="A436" s="1117">
        <v>2010</v>
      </c>
      <c r="B436" s="1117">
        <v>2010</v>
      </c>
      <c r="C436" s="1338" t="s">
        <v>36</v>
      </c>
      <c r="D436" s="1362" t="s">
        <v>37</v>
      </c>
      <c r="E436" s="1339" t="s">
        <v>2362</v>
      </c>
      <c r="F436" s="1372" t="s">
        <v>2363</v>
      </c>
      <c r="G436" s="1340">
        <v>10080006</v>
      </c>
      <c r="H436" s="1341">
        <v>236485</v>
      </c>
      <c r="I436" s="1342">
        <v>40403</v>
      </c>
      <c r="J436" s="1343">
        <f>+K436-I436</f>
        <v>89</v>
      </c>
      <c r="K436" s="1344">
        <v>40492</v>
      </c>
      <c r="L436" s="1342" t="s">
        <v>41</v>
      </c>
      <c r="M436" s="1342">
        <v>40455</v>
      </c>
      <c r="N436" s="1343">
        <f t="shared" si="51"/>
        <v>-21</v>
      </c>
      <c r="O436" s="1353">
        <v>40465</v>
      </c>
      <c r="P436" s="1357">
        <v>40471</v>
      </c>
      <c r="Q436" s="1365">
        <v>40483</v>
      </c>
      <c r="R436" s="1343">
        <f t="shared" si="50"/>
        <v>80</v>
      </c>
      <c r="S436" s="1347" t="s">
        <v>2364</v>
      </c>
      <c r="T436" s="1390"/>
      <c r="U436" s="1347" t="str">
        <f t="shared" si="47"/>
        <v>en término</v>
      </c>
      <c r="V436" s="1130" t="str">
        <f t="shared" si="48"/>
        <v>Octubre</v>
      </c>
      <c r="W436" s="1128">
        <f t="shared" si="49"/>
        <v>1</v>
      </c>
    </row>
    <row r="437" spans="1:23" s="1321" customFormat="1" ht="57.6" customHeight="1" thickBot="1" x14ac:dyDescent="0.2">
      <c r="A437" s="1117">
        <v>2010</v>
      </c>
      <c r="B437" s="1117">
        <v>2010</v>
      </c>
      <c r="C437" s="1338" t="s">
        <v>36</v>
      </c>
      <c r="D437" s="1362" t="s">
        <v>37</v>
      </c>
      <c r="E437" s="1339" t="s">
        <v>2365</v>
      </c>
      <c r="F437" s="1372" t="s">
        <v>2366</v>
      </c>
      <c r="G437" s="1340">
        <v>10090004</v>
      </c>
      <c r="H437" s="1341">
        <v>320</v>
      </c>
      <c r="I437" s="1342">
        <v>40437</v>
      </c>
      <c r="J437" s="1343">
        <v>30</v>
      </c>
      <c r="K437" s="1344">
        <v>40460</v>
      </c>
      <c r="L437" s="1342" t="s">
        <v>41</v>
      </c>
      <c r="M437" s="1342">
        <v>40455</v>
      </c>
      <c r="N437" s="1343">
        <f t="shared" si="51"/>
        <v>11</v>
      </c>
      <c r="O437" s="1342">
        <v>40465</v>
      </c>
      <c r="P437" s="1346">
        <v>40471</v>
      </c>
      <c r="Q437" s="1374">
        <v>40483</v>
      </c>
      <c r="R437" s="1343">
        <f t="shared" si="50"/>
        <v>46</v>
      </c>
      <c r="S437" s="1347" t="s">
        <v>2367</v>
      </c>
      <c r="T437" s="1390"/>
      <c r="U437" s="1347" t="str">
        <f t="shared" si="47"/>
        <v>atrasado</v>
      </c>
      <c r="V437" s="1130" t="str">
        <f t="shared" si="48"/>
        <v>Octubre</v>
      </c>
      <c r="W437" s="1128">
        <f t="shared" si="49"/>
        <v>0</v>
      </c>
    </row>
    <row r="438" spans="1:23" s="1321" customFormat="1" ht="57.6" customHeight="1" thickBot="1" x14ac:dyDescent="0.2">
      <c r="A438" s="1117">
        <v>2010</v>
      </c>
      <c r="B438" s="1117">
        <v>2010</v>
      </c>
      <c r="C438" s="1361" t="s">
        <v>36</v>
      </c>
      <c r="D438" s="1363" t="s">
        <v>133</v>
      </c>
      <c r="E438" s="1350" t="s">
        <v>2205</v>
      </c>
      <c r="F438" s="1358" t="s">
        <v>2206</v>
      </c>
      <c r="G438" s="1351">
        <v>4503395755</v>
      </c>
      <c r="H438" s="1352">
        <v>34375.01</v>
      </c>
      <c r="I438" s="1353">
        <v>40337</v>
      </c>
      <c r="J438" s="1354">
        <v>167</v>
      </c>
      <c r="K438" s="1355">
        <f>+I438+J438</f>
        <v>40504</v>
      </c>
      <c r="L438" s="1353" t="s">
        <v>41</v>
      </c>
      <c r="M438" s="1353">
        <v>40455</v>
      </c>
      <c r="N438" s="1354">
        <f t="shared" si="51"/>
        <v>-33</v>
      </c>
      <c r="O438" s="1353">
        <v>40465</v>
      </c>
      <c r="P438" s="1357">
        <v>40471</v>
      </c>
      <c r="Q438" s="1365">
        <v>40483</v>
      </c>
      <c r="R438" s="1354">
        <f t="shared" si="50"/>
        <v>146</v>
      </c>
      <c r="S438" s="1358" t="s">
        <v>1193</v>
      </c>
      <c r="T438" s="1359"/>
      <c r="U438" s="1360" t="str">
        <f t="shared" si="47"/>
        <v>en término</v>
      </c>
      <c r="V438" s="1130" t="str">
        <f t="shared" si="48"/>
        <v>Octubre</v>
      </c>
      <c r="W438" s="1128">
        <f t="shared" si="49"/>
        <v>1</v>
      </c>
    </row>
    <row r="439" spans="1:23" s="1321" customFormat="1" ht="57.6" customHeight="1" thickBot="1" x14ac:dyDescent="0.2">
      <c r="A439" s="1117">
        <v>2010</v>
      </c>
      <c r="B439" s="1117">
        <v>2010</v>
      </c>
      <c r="C439" s="1361" t="s">
        <v>36</v>
      </c>
      <c r="D439" s="1363" t="s">
        <v>133</v>
      </c>
      <c r="E439" s="1350" t="s">
        <v>2349</v>
      </c>
      <c r="F439" s="1358" t="s">
        <v>2350</v>
      </c>
      <c r="G439" s="1351">
        <v>4503509077</v>
      </c>
      <c r="H439" s="1352">
        <v>193230</v>
      </c>
      <c r="I439" s="1353">
        <v>40403</v>
      </c>
      <c r="J439" s="1354">
        <v>96</v>
      </c>
      <c r="K439" s="1355">
        <f>+I439+J439</f>
        <v>40499</v>
      </c>
      <c r="L439" s="1353" t="s">
        <v>41</v>
      </c>
      <c r="M439" s="1353">
        <v>40479</v>
      </c>
      <c r="N439" s="1354">
        <f t="shared" si="51"/>
        <v>-11</v>
      </c>
      <c r="O439" s="1353">
        <v>40486</v>
      </c>
      <c r="P439" s="1357">
        <v>40488</v>
      </c>
      <c r="Q439" s="1365">
        <v>40504</v>
      </c>
      <c r="R439" s="1354">
        <f t="shared" si="50"/>
        <v>101</v>
      </c>
      <c r="S439" s="1358" t="s">
        <v>873</v>
      </c>
      <c r="T439" s="1391" t="s">
        <v>2373</v>
      </c>
      <c r="U439" s="1360" t="str">
        <f t="shared" si="47"/>
        <v>en término</v>
      </c>
      <c r="V439" s="1130" t="str">
        <f t="shared" si="48"/>
        <v>Octubre</v>
      </c>
      <c r="W439" s="1128">
        <f t="shared" si="49"/>
        <v>1</v>
      </c>
    </row>
    <row r="440" spans="1:23" s="1321" customFormat="1" ht="57.6" customHeight="1" thickBot="1" x14ac:dyDescent="0.2">
      <c r="A440" s="1117">
        <v>2010</v>
      </c>
      <c r="B440" s="1117">
        <v>2010</v>
      </c>
      <c r="C440" s="1361" t="s">
        <v>36</v>
      </c>
      <c r="D440" s="1363" t="s">
        <v>133</v>
      </c>
      <c r="E440" s="1350" t="s">
        <v>2349</v>
      </c>
      <c r="F440" s="1358" t="s">
        <v>2350</v>
      </c>
      <c r="G440" s="1351">
        <v>4503526313</v>
      </c>
      <c r="H440" s="1352">
        <v>3344.5</v>
      </c>
      <c r="I440" s="1353">
        <v>40415</v>
      </c>
      <c r="J440" s="1354">
        <f>+K440-I440</f>
        <v>94</v>
      </c>
      <c r="K440" s="1355">
        <v>40509</v>
      </c>
      <c r="L440" s="1353" t="s">
        <v>41</v>
      </c>
      <c r="M440" s="1353">
        <v>40479</v>
      </c>
      <c r="N440" s="1354">
        <f t="shared" si="51"/>
        <v>-21</v>
      </c>
      <c r="O440" s="1353">
        <v>40486</v>
      </c>
      <c r="P440" s="1357">
        <v>40488</v>
      </c>
      <c r="Q440" s="1365">
        <v>40504</v>
      </c>
      <c r="R440" s="1354">
        <f t="shared" si="50"/>
        <v>89</v>
      </c>
      <c r="S440" s="1358" t="s">
        <v>73</v>
      </c>
      <c r="T440" s="1359"/>
      <c r="U440" s="1360" t="str">
        <f t="shared" si="47"/>
        <v>en término</v>
      </c>
      <c r="V440" s="1130" t="str">
        <f t="shared" si="48"/>
        <v>Octubre</v>
      </c>
      <c r="W440" s="1128">
        <f t="shared" si="49"/>
        <v>1</v>
      </c>
    </row>
    <row r="441" spans="1:23" s="1321" customFormat="1" ht="57.6" customHeight="1" thickBot="1" x14ac:dyDescent="0.2">
      <c r="A441" s="1117">
        <v>2010</v>
      </c>
      <c r="B441" s="1117">
        <v>2010</v>
      </c>
      <c r="C441" s="1361" t="s">
        <v>36</v>
      </c>
      <c r="D441" s="1363" t="s">
        <v>37</v>
      </c>
      <c r="E441" s="1350" t="s">
        <v>2080</v>
      </c>
      <c r="F441" s="1367" t="s">
        <v>2375</v>
      </c>
      <c r="G441" s="1351">
        <v>10080009</v>
      </c>
      <c r="H441" s="1352">
        <v>24608.5</v>
      </c>
      <c r="I441" s="1353">
        <v>40420</v>
      </c>
      <c r="J441" s="1354">
        <f>+K441-I441</f>
        <v>75</v>
      </c>
      <c r="K441" s="1353">
        <v>40495</v>
      </c>
      <c r="L441" s="1353" t="s">
        <v>41</v>
      </c>
      <c r="M441" s="1353">
        <v>40479</v>
      </c>
      <c r="N441" s="1354">
        <f t="shared" si="51"/>
        <v>-7</v>
      </c>
      <c r="O441" s="1353">
        <v>40486</v>
      </c>
      <c r="P441" s="1357">
        <v>40488</v>
      </c>
      <c r="Q441" s="1365">
        <v>40504</v>
      </c>
      <c r="R441" s="1354">
        <f t="shared" si="50"/>
        <v>84</v>
      </c>
      <c r="S441" s="1358" t="s">
        <v>6302</v>
      </c>
      <c r="T441" s="1378"/>
      <c r="U441" s="1358" t="str">
        <f t="shared" si="47"/>
        <v>en término</v>
      </c>
      <c r="V441" s="1130" t="str">
        <f t="shared" si="48"/>
        <v>Octubre</v>
      </c>
      <c r="W441" s="1128">
        <f t="shared" si="49"/>
        <v>1</v>
      </c>
    </row>
    <row r="442" spans="1:23" s="1321" customFormat="1" ht="57.6" customHeight="1" thickBot="1" x14ac:dyDescent="0.2">
      <c r="A442" s="1117">
        <v>2010</v>
      </c>
      <c r="B442" s="1117">
        <v>2010</v>
      </c>
      <c r="C442" s="1361" t="s">
        <v>36</v>
      </c>
      <c r="D442" s="1363" t="s">
        <v>37</v>
      </c>
      <c r="E442" s="1350" t="s">
        <v>2378</v>
      </c>
      <c r="F442" s="1367" t="s">
        <v>2379</v>
      </c>
      <c r="G442" s="1351">
        <v>10090001</v>
      </c>
      <c r="H442" s="1352">
        <v>13948.5</v>
      </c>
      <c r="I442" s="1353">
        <v>40429</v>
      </c>
      <c r="J442" s="1354">
        <f>+K442-I442</f>
        <v>54</v>
      </c>
      <c r="K442" s="1353">
        <v>40483</v>
      </c>
      <c r="L442" s="1353" t="s">
        <v>41</v>
      </c>
      <c r="M442" s="1353">
        <v>40479</v>
      </c>
      <c r="N442" s="1354">
        <f t="shared" si="51"/>
        <v>5</v>
      </c>
      <c r="O442" s="1353">
        <v>40486</v>
      </c>
      <c r="P442" s="1357">
        <v>40488</v>
      </c>
      <c r="Q442" s="1365">
        <v>40504</v>
      </c>
      <c r="R442" s="1354">
        <f t="shared" si="50"/>
        <v>75</v>
      </c>
      <c r="S442" s="1358" t="s">
        <v>6300</v>
      </c>
      <c r="T442" s="1378"/>
      <c r="U442" s="1358" t="str">
        <f t="shared" si="47"/>
        <v>atrasado</v>
      </c>
      <c r="V442" s="1130" t="str">
        <f t="shared" si="48"/>
        <v>Octubre</v>
      </c>
      <c r="W442" s="1128">
        <f t="shared" si="49"/>
        <v>0</v>
      </c>
    </row>
    <row r="443" spans="1:23" s="1321" customFormat="1" ht="57.6" customHeight="1" thickBot="1" x14ac:dyDescent="0.2">
      <c r="A443" s="1117">
        <v>2010</v>
      </c>
      <c r="B443" s="1117">
        <v>2010</v>
      </c>
      <c r="C443" s="1338" t="s">
        <v>36</v>
      </c>
      <c r="D443" s="1362" t="s">
        <v>37</v>
      </c>
      <c r="E443" s="1339" t="s">
        <v>2380</v>
      </c>
      <c r="F443" s="1372" t="s">
        <v>2381</v>
      </c>
      <c r="G443" s="1340">
        <v>10090003</v>
      </c>
      <c r="H443" s="1341">
        <v>3300</v>
      </c>
      <c r="I443" s="1342">
        <v>40429</v>
      </c>
      <c r="J443" s="1343">
        <v>68</v>
      </c>
      <c r="K443" s="1342">
        <v>40487</v>
      </c>
      <c r="L443" s="1342" t="s">
        <v>41</v>
      </c>
      <c r="M443" s="1342">
        <v>40479</v>
      </c>
      <c r="N443" s="1343">
        <f t="shared" si="51"/>
        <v>1</v>
      </c>
      <c r="O443" s="1353">
        <v>40486</v>
      </c>
      <c r="P443" s="1357">
        <v>40488</v>
      </c>
      <c r="Q443" s="1365">
        <v>40504</v>
      </c>
      <c r="R443" s="1343">
        <f t="shared" si="50"/>
        <v>75</v>
      </c>
      <c r="S443" s="1347" t="s">
        <v>937</v>
      </c>
      <c r="T443" s="1390"/>
      <c r="U443" s="1347" t="str">
        <f t="shared" si="47"/>
        <v>atrasado</v>
      </c>
      <c r="V443" s="1130" t="str">
        <f t="shared" si="48"/>
        <v>Octubre</v>
      </c>
      <c r="W443" s="1128">
        <f t="shared" si="49"/>
        <v>0</v>
      </c>
    </row>
    <row r="444" spans="1:23" s="1321" customFormat="1" ht="57.6" customHeight="1" thickBot="1" x14ac:dyDescent="0.2">
      <c r="A444" s="1117">
        <v>2010</v>
      </c>
      <c r="B444" s="1117">
        <v>2010</v>
      </c>
      <c r="C444" s="1338" t="s">
        <v>36</v>
      </c>
      <c r="D444" s="1362" t="s">
        <v>37</v>
      </c>
      <c r="E444" s="1339" t="s">
        <v>2382</v>
      </c>
      <c r="F444" s="1372" t="s">
        <v>2383</v>
      </c>
      <c r="G444" s="1340">
        <v>10100001</v>
      </c>
      <c r="H444" s="1341">
        <v>3450</v>
      </c>
      <c r="I444" s="1342">
        <v>40455</v>
      </c>
      <c r="J444" s="1343">
        <f t="shared" ref="J444:J453" si="53">+K444-I444</f>
        <v>16</v>
      </c>
      <c r="K444" s="1342">
        <v>40471</v>
      </c>
      <c r="L444" s="1342" t="s">
        <v>41</v>
      </c>
      <c r="M444" s="1342">
        <v>40466</v>
      </c>
      <c r="N444" s="1343">
        <f t="shared" si="51"/>
        <v>5</v>
      </c>
      <c r="O444" s="1342"/>
      <c r="P444" s="1346">
        <v>40476</v>
      </c>
      <c r="Q444" s="1374">
        <f>+P444+5</f>
        <v>40481</v>
      </c>
      <c r="R444" s="1343">
        <f t="shared" si="50"/>
        <v>26</v>
      </c>
      <c r="S444" s="1347" t="s">
        <v>2385</v>
      </c>
      <c r="T444" s="1390"/>
      <c r="U444" s="1347" t="str">
        <f t="shared" si="47"/>
        <v>atrasado</v>
      </c>
      <c r="V444" s="1130" t="str">
        <f t="shared" si="48"/>
        <v>Octubre</v>
      </c>
      <c r="W444" s="1128">
        <f t="shared" si="49"/>
        <v>0</v>
      </c>
    </row>
    <row r="445" spans="1:23" s="1321" customFormat="1" ht="57.6" customHeight="1" thickBot="1" x14ac:dyDescent="0.2">
      <c r="A445" s="1117">
        <v>2010</v>
      </c>
      <c r="B445" s="1117">
        <v>2010</v>
      </c>
      <c r="C445" s="1338" t="s">
        <v>36</v>
      </c>
      <c r="D445" s="1362" t="s">
        <v>133</v>
      </c>
      <c r="E445" s="1339" t="s">
        <v>2349</v>
      </c>
      <c r="F445" s="1372" t="s">
        <v>2350</v>
      </c>
      <c r="G445" s="1340">
        <v>4503515666</v>
      </c>
      <c r="H445" s="1341">
        <v>6713.07</v>
      </c>
      <c r="I445" s="1342">
        <v>40408</v>
      </c>
      <c r="J445" s="1343">
        <f t="shared" si="53"/>
        <v>96</v>
      </c>
      <c r="K445" s="1344">
        <v>40504</v>
      </c>
      <c r="L445" s="1342" t="s">
        <v>41</v>
      </c>
      <c r="M445" s="1342">
        <v>40500</v>
      </c>
      <c r="N445" s="1343">
        <f t="shared" si="51"/>
        <v>4</v>
      </c>
      <c r="O445" s="1342">
        <v>40507</v>
      </c>
      <c r="P445" s="1346">
        <v>40508</v>
      </c>
      <c r="Q445" s="1392">
        <v>40525</v>
      </c>
      <c r="R445" s="1343">
        <f t="shared" si="50"/>
        <v>117</v>
      </c>
      <c r="S445" s="1347" t="s">
        <v>53</v>
      </c>
      <c r="T445" s="1390" t="s">
        <v>2390</v>
      </c>
      <c r="U445" s="1347" t="str">
        <f t="shared" si="47"/>
        <v>atrasado</v>
      </c>
      <c r="V445" s="1130" t="str">
        <f t="shared" si="48"/>
        <v>Noviembre</v>
      </c>
      <c r="W445" s="1128">
        <f t="shared" si="49"/>
        <v>0</v>
      </c>
    </row>
    <row r="446" spans="1:23" s="1321" customFormat="1" ht="57.6" customHeight="1" thickBot="1" x14ac:dyDescent="0.2">
      <c r="A446" s="1117">
        <v>2010</v>
      </c>
      <c r="B446" s="1117">
        <v>2010</v>
      </c>
      <c r="C446" s="1361" t="s">
        <v>36</v>
      </c>
      <c r="D446" s="1363" t="s">
        <v>133</v>
      </c>
      <c r="E446" s="1350" t="s">
        <v>2349</v>
      </c>
      <c r="F446" s="1358" t="s">
        <v>2350</v>
      </c>
      <c r="G446" s="1351">
        <v>4503530149</v>
      </c>
      <c r="H446" s="1352">
        <v>40700.28</v>
      </c>
      <c r="I446" s="1353">
        <v>40416</v>
      </c>
      <c r="J446" s="1354">
        <f t="shared" si="53"/>
        <v>98</v>
      </c>
      <c r="K446" s="1355">
        <v>40514</v>
      </c>
      <c r="L446" s="1353" t="s">
        <v>41</v>
      </c>
      <c r="M446" s="1353">
        <v>40500</v>
      </c>
      <c r="N446" s="1354">
        <f t="shared" si="51"/>
        <v>-6</v>
      </c>
      <c r="O446" s="1353">
        <v>40507</v>
      </c>
      <c r="P446" s="1357">
        <v>40508</v>
      </c>
      <c r="Q446" s="1365">
        <v>40525</v>
      </c>
      <c r="R446" s="1354">
        <f t="shared" si="50"/>
        <v>109</v>
      </c>
      <c r="S446" s="1358" t="s">
        <v>892</v>
      </c>
      <c r="T446" s="1391" t="s">
        <v>2390</v>
      </c>
      <c r="U446" s="1360" t="str">
        <f t="shared" si="47"/>
        <v>en término</v>
      </c>
      <c r="V446" s="1130" t="str">
        <f t="shared" si="48"/>
        <v>Noviembre</v>
      </c>
      <c r="W446" s="1128">
        <f t="shared" si="49"/>
        <v>1</v>
      </c>
    </row>
    <row r="447" spans="1:23" s="1321" customFormat="1" ht="57.6" customHeight="1" thickBot="1" x14ac:dyDescent="0.2">
      <c r="A447" s="1117">
        <v>2010</v>
      </c>
      <c r="B447" s="1117">
        <v>2010</v>
      </c>
      <c r="C447" s="1338" t="s">
        <v>36</v>
      </c>
      <c r="D447" s="1362" t="s">
        <v>133</v>
      </c>
      <c r="E447" s="1339" t="s">
        <v>2349</v>
      </c>
      <c r="F447" s="1372" t="s">
        <v>2350</v>
      </c>
      <c r="G447" s="1340">
        <v>4503554481</v>
      </c>
      <c r="H447" s="1341">
        <v>10309.83</v>
      </c>
      <c r="I447" s="1342">
        <v>40430</v>
      </c>
      <c r="J447" s="1343">
        <f t="shared" si="53"/>
        <v>97</v>
      </c>
      <c r="K447" s="1344">
        <v>40527</v>
      </c>
      <c r="L447" s="1342" t="s">
        <v>41</v>
      </c>
      <c r="M447" s="1342">
        <v>40500</v>
      </c>
      <c r="N447" s="1343">
        <f t="shared" si="51"/>
        <v>-19</v>
      </c>
      <c r="O447" s="1353">
        <v>40507</v>
      </c>
      <c r="P447" s="1357">
        <v>40508</v>
      </c>
      <c r="Q447" s="1365">
        <v>40525</v>
      </c>
      <c r="R447" s="1343">
        <f t="shared" si="50"/>
        <v>95</v>
      </c>
      <c r="S447" s="1347" t="s">
        <v>2391</v>
      </c>
      <c r="T447" s="1390" t="s">
        <v>2390</v>
      </c>
      <c r="U447" s="1347" t="str">
        <f t="shared" si="47"/>
        <v>en término</v>
      </c>
      <c r="V447" s="1130" t="str">
        <f t="shared" si="48"/>
        <v>Noviembre</v>
      </c>
      <c r="W447" s="1128">
        <f t="shared" si="49"/>
        <v>1</v>
      </c>
    </row>
    <row r="448" spans="1:23" s="1321" customFormat="1" ht="57.6" customHeight="1" thickBot="1" x14ac:dyDescent="0.2">
      <c r="A448" s="1117">
        <v>2010</v>
      </c>
      <c r="B448" s="1117">
        <v>2010</v>
      </c>
      <c r="C448" s="1338" t="s">
        <v>36</v>
      </c>
      <c r="D448" s="1362" t="s">
        <v>133</v>
      </c>
      <c r="E448" s="1339" t="s">
        <v>2349</v>
      </c>
      <c r="F448" s="1372" t="s">
        <v>2350</v>
      </c>
      <c r="G448" s="1340">
        <v>4503637826</v>
      </c>
      <c r="H448" s="1341">
        <v>1304.76</v>
      </c>
      <c r="I448" s="1342">
        <v>40409</v>
      </c>
      <c r="J448" s="1343">
        <f t="shared" si="53"/>
        <v>97</v>
      </c>
      <c r="K448" s="1344">
        <v>40506</v>
      </c>
      <c r="L448" s="1342" t="s">
        <v>41</v>
      </c>
      <c r="M448" s="1342">
        <v>40500</v>
      </c>
      <c r="N448" s="1343">
        <f t="shared" si="51"/>
        <v>2</v>
      </c>
      <c r="O448" s="1353">
        <v>40507</v>
      </c>
      <c r="P448" s="1357">
        <v>40508</v>
      </c>
      <c r="Q448" s="1365">
        <v>40525</v>
      </c>
      <c r="R448" s="1343">
        <f t="shared" si="50"/>
        <v>116</v>
      </c>
      <c r="S448" s="1347" t="s">
        <v>53</v>
      </c>
      <c r="T448" s="1390" t="s">
        <v>2393</v>
      </c>
      <c r="U448" s="1347" t="str">
        <f t="shared" si="47"/>
        <v>atrasado</v>
      </c>
      <c r="V448" s="1130" t="str">
        <f t="shared" si="48"/>
        <v>Noviembre</v>
      </c>
      <c r="W448" s="1128">
        <f t="shared" si="49"/>
        <v>0</v>
      </c>
    </row>
    <row r="449" spans="1:23" s="1321" customFormat="1" ht="57.6" customHeight="1" thickBot="1" x14ac:dyDescent="0.2">
      <c r="A449" s="1117">
        <v>2010</v>
      </c>
      <c r="B449" s="1117">
        <v>2010</v>
      </c>
      <c r="C449" s="1361" t="s">
        <v>36</v>
      </c>
      <c r="D449" s="1363" t="s">
        <v>133</v>
      </c>
      <c r="E449" s="1350" t="s">
        <v>2349</v>
      </c>
      <c r="F449" s="1358" t="s">
        <v>2350</v>
      </c>
      <c r="G449" s="1351">
        <v>4503486424</v>
      </c>
      <c r="H449" s="1352">
        <v>69829.64</v>
      </c>
      <c r="I449" s="1353">
        <v>40389</v>
      </c>
      <c r="J449" s="1354">
        <f t="shared" si="53"/>
        <v>122</v>
      </c>
      <c r="K449" s="1355">
        <v>40511</v>
      </c>
      <c r="L449" s="1353" t="s">
        <v>41</v>
      </c>
      <c r="M449" s="1353">
        <v>40500</v>
      </c>
      <c r="N449" s="1354">
        <f t="shared" si="51"/>
        <v>-3</v>
      </c>
      <c r="O449" s="1353">
        <v>40507</v>
      </c>
      <c r="P449" s="1357">
        <v>40508</v>
      </c>
      <c r="Q449" s="1365">
        <v>40525</v>
      </c>
      <c r="R449" s="1354">
        <f t="shared" si="50"/>
        <v>136</v>
      </c>
      <c r="S449" s="1358" t="s">
        <v>1090</v>
      </c>
      <c r="T449" s="1391" t="s">
        <v>2390</v>
      </c>
      <c r="U449" s="1360" t="str">
        <f t="shared" si="47"/>
        <v>en término</v>
      </c>
      <c r="V449" s="1130" t="str">
        <f t="shared" si="48"/>
        <v>Noviembre</v>
      </c>
      <c r="W449" s="1128">
        <f t="shared" si="49"/>
        <v>1</v>
      </c>
    </row>
    <row r="450" spans="1:23" s="1321" customFormat="1" ht="57.6" customHeight="1" thickBot="1" x14ac:dyDescent="0.2">
      <c r="A450" s="1117">
        <v>2010</v>
      </c>
      <c r="B450" s="1117">
        <v>2010</v>
      </c>
      <c r="C450" s="1361" t="s">
        <v>36</v>
      </c>
      <c r="D450" s="1363" t="s">
        <v>37</v>
      </c>
      <c r="E450" s="1350" t="s">
        <v>2395</v>
      </c>
      <c r="F450" s="1367" t="s">
        <v>2396</v>
      </c>
      <c r="G450" s="1351">
        <v>10100002</v>
      </c>
      <c r="H450" s="1352">
        <v>440</v>
      </c>
      <c r="I450" s="1353">
        <v>40455</v>
      </c>
      <c r="J450" s="1354">
        <f t="shared" si="53"/>
        <v>60</v>
      </c>
      <c r="K450" s="1353">
        <v>40515</v>
      </c>
      <c r="L450" s="1353" t="s">
        <v>41</v>
      </c>
      <c r="M450" s="1353">
        <v>40500</v>
      </c>
      <c r="N450" s="1354">
        <f t="shared" si="51"/>
        <v>-7</v>
      </c>
      <c r="O450" s="1353">
        <v>40507</v>
      </c>
      <c r="P450" s="1357">
        <v>40508</v>
      </c>
      <c r="Q450" s="1365">
        <v>40525</v>
      </c>
      <c r="R450" s="1354">
        <f t="shared" si="50"/>
        <v>70</v>
      </c>
      <c r="S450" s="1358" t="s">
        <v>53</v>
      </c>
      <c r="T450" s="1378" t="s">
        <v>2390</v>
      </c>
      <c r="U450" s="1358" t="str">
        <f t="shared" ref="U450:U473" si="54">IF(N450="","",IF(N450&lt;=0,"en término","atrasado"))</f>
        <v>en término</v>
      </c>
      <c r="V450" s="1130" t="str">
        <f t="shared" ref="V450:V513" si="55">VLOOKUP(MONTH(M450),$Y$66:$Z$77,2,FALSE)</f>
        <v>Noviembre</v>
      </c>
      <c r="W450" s="1128">
        <f t="shared" ref="W450:W513" si="56">+IF(U450="atrasado",0)+IF(U450="en término",1)</f>
        <v>1</v>
      </c>
    </row>
    <row r="451" spans="1:23" s="1321" customFormat="1" ht="57.6" customHeight="1" thickBot="1" x14ac:dyDescent="0.2">
      <c r="A451" s="1117">
        <v>2010</v>
      </c>
      <c r="B451" s="1117">
        <v>2010</v>
      </c>
      <c r="C451" s="1361" t="s">
        <v>36</v>
      </c>
      <c r="D451" s="1363" t="s">
        <v>37</v>
      </c>
      <c r="E451" s="1350" t="s">
        <v>2397</v>
      </c>
      <c r="F451" s="1367" t="s">
        <v>2398</v>
      </c>
      <c r="G451" s="1351">
        <v>10100003</v>
      </c>
      <c r="H451" s="1352">
        <v>3979</v>
      </c>
      <c r="I451" s="1353">
        <v>40466</v>
      </c>
      <c r="J451" s="1354">
        <f t="shared" si="53"/>
        <v>74</v>
      </c>
      <c r="K451" s="1353">
        <v>40540</v>
      </c>
      <c r="L451" s="1353" t="s">
        <v>41</v>
      </c>
      <c r="M451" s="1353">
        <v>40500</v>
      </c>
      <c r="N451" s="1354">
        <f t="shared" si="51"/>
        <v>-32</v>
      </c>
      <c r="O451" s="1353">
        <v>40507</v>
      </c>
      <c r="P451" s="1357">
        <v>40508</v>
      </c>
      <c r="Q451" s="1365">
        <v>40525</v>
      </c>
      <c r="R451" s="1354">
        <f t="shared" si="50"/>
        <v>59</v>
      </c>
      <c r="S451" s="1358" t="s">
        <v>53</v>
      </c>
      <c r="T451" s="1378" t="s">
        <v>2390</v>
      </c>
      <c r="U451" s="1358" t="str">
        <f t="shared" si="54"/>
        <v>en término</v>
      </c>
      <c r="V451" s="1130" t="str">
        <f t="shared" si="55"/>
        <v>Noviembre</v>
      </c>
      <c r="W451" s="1128">
        <f t="shared" si="56"/>
        <v>1</v>
      </c>
    </row>
    <row r="452" spans="1:23" s="1321" customFormat="1" ht="57.6" customHeight="1" thickBot="1" x14ac:dyDescent="0.2">
      <c r="A452" s="1117">
        <v>2010</v>
      </c>
      <c r="B452" s="1117">
        <v>2010</v>
      </c>
      <c r="C452" s="1361" t="s">
        <v>36</v>
      </c>
      <c r="D452" s="1363" t="s">
        <v>133</v>
      </c>
      <c r="E452" s="1350" t="s">
        <v>2349</v>
      </c>
      <c r="F452" s="1367" t="s">
        <v>2350</v>
      </c>
      <c r="G452" s="1351">
        <v>4503569658</v>
      </c>
      <c r="H452" s="1352">
        <v>2990.13</v>
      </c>
      <c r="I452" s="1353">
        <v>40441</v>
      </c>
      <c r="J452" s="1354">
        <f t="shared" si="53"/>
        <v>93</v>
      </c>
      <c r="K452" s="1355">
        <v>40534</v>
      </c>
      <c r="L452" s="1353" t="s">
        <v>41</v>
      </c>
      <c r="M452" s="1353">
        <v>40533</v>
      </c>
      <c r="N452" s="1354">
        <f t="shared" si="51"/>
        <v>13</v>
      </c>
      <c r="O452" s="1353">
        <v>40544</v>
      </c>
      <c r="P452" s="1357">
        <v>40547</v>
      </c>
      <c r="Q452" s="1365">
        <v>40562</v>
      </c>
      <c r="R452" s="1354">
        <f t="shared" si="50"/>
        <v>121</v>
      </c>
      <c r="S452" s="1358" t="s">
        <v>73</v>
      </c>
      <c r="T452" s="1378"/>
      <c r="U452" s="1358" t="str">
        <f t="shared" si="54"/>
        <v>atrasado</v>
      </c>
      <c r="V452" s="1130" t="str">
        <f t="shared" si="55"/>
        <v>Diciembre</v>
      </c>
      <c r="W452" s="1128">
        <f t="shared" si="56"/>
        <v>0</v>
      </c>
    </row>
    <row r="453" spans="1:23" s="1321" customFormat="1" ht="57.6" customHeight="1" thickBot="1" x14ac:dyDescent="0.2">
      <c r="A453" s="1117">
        <v>2010</v>
      </c>
      <c r="B453" s="1117">
        <v>2010</v>
      </c>
      <c r="C453" s="1338" t="s">
        <v>36</v>
      </c>
      <c r="D453" s="1362" t="s">
        <v>133</v>
      </c>
      <c r="E453" s="1339" t="s">
        <v>2349</v>
      </c>
      <c r="F453" s="1372" t="s">
        <v>2350</v>
      </c>
      <c r="G453" s="1340">
        <v>4503573607</v>
      </c>
      <c r="H453" s="1341">
        <v>9410.4500000000007</v>
      </c>
      <c r="I453" s="1342">
        <v>40442</v>
      </c>
      <c r="J453" s="1343">
        <f t="shared" si="53"/>
        <v>98</v>
      </c>
      <c r="K453" s="1344">
        <v>40540</v>
      </c>
      <c r="L453" s="1342" t="s">
        <v>41</v>
      </c>
      <c r="M453" s="1342">
        <v>40533</v>
      </c>
      <c r="N453" s="1343">
        <f t="shared" si="51"/>
        <v>7</v>
      </c>
      <c r="O453" s="1353">
        <v>40542</v>
      </c>
      <c r="P453" s="1357">
        <v>40547</v>
      </c>
      <c r="Q453" s="1365">
        <v>40562</v>
      </c>
      <c r="R453" s="1343">
        <f t="shared" si="50"/>
        <v>120</v>
      </c>
      <c r="S453" s="1347" t="s">
        <v>53</v>
      </c>
      <c r="T453" s="1390"/>
      <c r="U453" s="1347" t="str">
        <f t="shared" si="54"/>
        <v>atrasado</v>
      </c>
      <c r="V453" s="1130" t="str">
        <f t="shared" si="55"/>
        <v>Diciembre</v>
      </c>
      <c r="W453" s="1128">
        <f t="shared" si="56"/>
        <v>0</v>
      </c>
    </row>
    <row r="454" spans="1:23" s="1321" customFormat="1" ht="57.6" customHeight="1" thickBot="1" x14ac:dyDescent="0.2">
      <c r="A454" s="1117">
        <v>2010</v>
      </c>
      <c r="B454" s="1117">
        <v>2010</v>
      </c>
      <c r="C454" s="1361" t="s">
        <v>36</v>
      </c>
      <c r="D454" s="1363" t="s">
        <v>133</v>
      </c>
      <c r="E454" s="1350" t="s">
        <v>2041</v>
      </c>
      <c r="F454" s="1367" t="s">
        <v>2042</v>
      </c>
      <c r="G454" s="1351">
        <v>4503574018</v>
      </c>
      <c r="H454" s="1352">
        <v>92917.19</v>
      </c>
      <c r="I454" s="1353">
        <v>40443</v>
      </c>
      <c r="J454" s="1354">
        <v>105</v>
      </c>
      <c r="K454" s="1355">
        <f>+I454+J454</f>
        <v>40548</v>
      </c>
      <c r="L454" s="1353" t="s">
        <v>41</v>
      </c>
      <c r="M454" s="1353">
        <v>40533</v>
      </c>
      <c r="N454" s="1354">
        <f t="shared" si="51"/>
        <v>-1</v>
      </c>
      <c r="O454" s="1353">
        <v>40542</v>
      </c>
      <c r="P454" s="1357">
        <v>40547</v>
      </c>
      <c r="Q454" s="1365">
        <v>40560</v>
      </c>
      <c r="R454" s="1354">
        <f t="shared" si="50"/>
        <v>117</v>
      </c>
      <c r="S454" s="1358" t="s">
        <v>786</v>
      </c>
      <c r="T454" s="1378"/>
      <c r="U454" s="1358" t="str">
        <f t="shared" si="54"/>
        <v>en término</v>
      </c>
      <c r="V454" s="1130" t="str">
        <f t="shared" si="55"/>
        <v>Diciembre</v>
      </c>
      <c r="W454" s="1128">
        <f t="shared" si="56"/>
        <v>1</v>
      </c>
    </row>
    <row r="455" spans="1:23" s="1321" customFormat="1" ht="57.6" customHeight="1" thickBot="1" x14ac:dyDescent="0.2">
      <c r="A455" s="1117">
        <v>2010</v>
      </c>
      <c r="B455" s="1117">
        <v>2010</v>
      </c>
      <c r="C455" s="1361" t="s">
        <v>36</v>
      </c>
      <c r="D455" s="1363" t="s">
        <v>133</v>
      </c>
      <c r="E455" s="1350" t="s">
        <v>2349</v>
      </c>
      <c r="F455" s="1367" t="s">
        <v>2350</v>
      </c>
      <c r="G455" s="1351">
        <v>4503593969</v>
      </c>
      <c r="H455" s="1352">
        <v>29920.98</v>
      </c>
      <c r="I455" s="1353">
        <v>40451</v>
      </c>
      <c r="J455" s="1354">
        <f>+K455-I455</f>
        <v>96</v>
      </c>
      <c r="K455" s="1355">
        <v>40547</v>
      </c>
      <c r="L455" s="1353" t="s">
        <v>41</v>
      </c>
      <c r="M455" s="1353">
        <v>40533</v>
      </c>
      <c r="N455" s="1354">
        <f t="shared" si="51"/>
        <v>0</v>
      </c>
      <c r="O455" s="1353">
        <v>40542</v>
      </c>
      <c r="P455" s="1357">
        <v>40547</v>
      </c>
      <c r="Q455" s="1365">
        <v>40562</v>
      </c>
      <c r="R455" s="1354">
        <f t="shared" ref="R455:R518" si="57">IF(Q455="","",+Q455-I455)</f>
        <v>111</v>
      </c>
      <c r="S455" s="1358" t="s">
        <v>2405</v>
      </c>
      <c r="T455" s="1378"/>
      <c r="U455" s="1358" t="str">
        <f t="shared" si="54"/>
        <v>en término</v>
      </c>
      <c r="V455" s="1130" t="str">
        <f t="shared" si="55"/>
        <v>Diciembre</v>
      </c>
      <c r="W455" s="1128">
        <f t="shared" si="56"/>
        <v>1</v>
      </c>
    </row>
    <row r="456" spans="1:23" s="1321" customFormat="1" ht="57.6" customHeight="1" thickBot="1" x14ac:dyDescent="0.2">
      <c r="A456" s="1117">
        <v>2010</v>
      </c>
      <c r="B456" s="1117">
        <v>2010</v>
      </c>
      <c r="C456" s="1361" t="s">
        <v>36</v>
      </c>
      <c r="D456" s="1363" t="s">
        <v>133</v>
      </c>
      <c r="E456" s="1350" t="s">
        <v>2349</v>
      </c>
      <c r="F456" s="1367" t="s">
        <v>2350</v>
      </c>
      <c r="G456" s="1351">
        <v>4503574015</v>
      </c>
      <c r="H456" s="1352">
        <v>32531.47</v>
      </c>
      <c r="I456" s="1353">
        <v>40443</v>
      </c>
      <c r="J456" s="1354">
        <f>+K456-I456</f>
        <v>105</v>
      </c>
      <c r="K456" s="1355">
        <v>40548</v>
      </c>
      <c r="L456" s="1353" t="s">
        <v>41</v>
      </c>
      <c r="M456" s="1353">
        <v>40533</v>
      </c>
      <c r="N456" s="1354">
        <f t="shared" si="51"/>
        <v>-1</v>
      </c>
      <c r="O456" s="1353">
        <v>40542</v>
      </c>
      <c r="P456" s="1357">
        <v>40547</v>
      </c>
      <c r="Q456" s="1365">
        <v>40562</v>
      </c>
      <c r="R456" s="1354">
        <f t="shared" si="57"/>
        <v>119</v>
      </c>
      <c r="S456" s="1358" t="s">
        <v>2407</v>
      </c>
      <c r="T456" s="1378"/>
      <c r="U456" s="1358" t="str">
        <f t="shared" si="54"/>
        <v>en término</v>
      </c>
      <c r="V456" s="1130" t="str">
        <f t="shared" si="55"/>
        <v>Diciembre</v>
      </c>
      <c r="W456" s="1128">
        <f t="shared" si="56"/>
        <v>1</v>
      </c>
    </row>
    <row r="457" spans="1:23" s="1321" customFormat="1" ht="57.6" customHeight="1" thickBot="1" x14ac:dyDescent="0.2">
      <c r="A457" s="1117">
        <v>2010</v>
      </c>
      <c r="B457" s="1117">
        <v>2010</v>
      </c>
      <c r="C457" s="1361" t="s">
        <v>36</v>
      </c>
      <c r="D457" s="1363" t="s">
        <v>133</v>
      </c>
      <c r="E457" s="1350" t="s">
        <v>2408</v>
      </c>
      <c r="F457" s="1358" t="s">
        <v>2409</v>
      </c>
      <c r="G457" s="1351">
        <v>4503628384</v>
      </c>
      <c r="H457" s="1352">
        <v>17482.88</v>
      </c>
      <c r="I457" s="1353">
        <v>40473</v>
      </c>
      <c r="J457" s="1354">
        <f>+K457-I457</f>
        <v>79</v>
      </c>
      <c r="K457" s="1355">
        <v>40552</v>
      </c>
      <c r="L457" s="1353" t="s">
        <v>41</v>
      </c>
      <c r="M457" s="1353">
        <v>40533</v>
      </c>
      <c r="N457" s="1354">
        <f t="shared" si="51"/>
        <v>-5</v>
      </c>
      <c r="O457" s="1353">
        <v>40542</v>
      </c>
      <c r="P457" s="1357">
        <v>40547</v>
      </c>
      <c r="Q457" s="1365">
        <v>40560</v>
      </c>
      <c r="R457" s="1354">
        <f t="shared" si="57"/>
        <v>87</v>
      </c>
      <c r="S457" s="1358" t="s">
        <v>2410</v>
      </c>
      <c r="T457" s="1359"/>
      <c r="U457" s="1360" t="str">
        <f t="shared" si="54"/>
        <v>en término</v>
      </c>
      <c r="V457" s="1130" t="str">
        <f t="shared" si="55"/>
        <v>Diciembre</v>
      </c>
      <c r="W457" s="1128">
        <f t="shared" si="56"/>
        <v>1</v>
      </c>
    </row>
    <row r="458" spans="1:23" s="1321" customFormat="1" ht="57.6" customHeight="1" thickBot="1" x14ac:dyDescent="0.2">
      <c r="A458" s="1117">
        <v>2010</v>
      </c>
      <c r="B458" s="1117">
        <v>2010</v>
      </c>
      <c r="C458" s="1361" t="s">
        <v>36</v>
      </c>
      <c r="D458" s="1363" t="s">
        <v>133</v>
      </c>
      <c r="E458" s="1350" t="s">
        <v>2349</v>
      </c>
      <c r="F458" s="1367" t="s">
        <v>2350</v>
      </c>
      <c r="G458" s="1351">
        <v>4503565941</v>
      </c>
      <c r="H458" s="1352">
        <v>70836.66</v>
      </c>
      <c r="I458" s="1353">
        <v>40437</v>
      </c>
      <c r="J458" s="1354">
        <f>+K458-I458</f>
        <v>98</v>
      </c>
      <c r="K458" s="1355">
        <v>40535</v>
      </c>
      <c r="L458" s="1353" t="s">
        <v>41</v>
      </c>
      <c r="M458" s="1353">
        <v>40541</v>
      </c>
      <c r="N458" s="1354">
        <f t="shared" si="51"/>
        <v>18</v>
      </c>
      <c r="O458" s="1353">
        <v>40549</v>
      </c>
      <c r="P458" s="1357">
        <v>40553</v>
      </c>
      <c r="Q458" s="1365">
        <v>40567</v>
      </c>
      <c r="R458" s="1354">
        <f t="shared" si="57"/>
        <v>130</v>
      </c>
      <c r="S458" s="1358" t="s">
        <v>2139</v>
      </c>
      <c r="T458" s="1378"/>
      <c r="U458" s="1358" t="str">
        <f t="shared" si="54"/>
        <v>atrasado</v>
      </c>
      <c r="V458" s="1130" t="str">
        <f t="shared" si="55"/>
        <v>Diciembre</v>
      </c>
      <c r="W458" s="1128">
        <f t="shared" si="56"/>
        <v>0</v>
      </c>
    </row>
    <row r="459" spans="1:23" s="1321" customFormat="1" ht="57.6" customHeight="1" thickBot="1" x14ac:dyDescent="0.2">
      <c r="A459" s="1143">
        <v>2010</v>
      </c>
      <c r="B459" s="1143">
        <v>2010</v>
      </c>
      <c r="C459" s="1338" t="s">
        <v>36</v>
      </c>
      <c r="D459" s="1393" t="s">
        <v>133</v>
      </c>
      <c r="E459" s="1339" t="s">
        <v>2349</v>
      </c>
      <c r="F459" s="1372" t="s">
        <v>2350</v>
      </c>
      <c r="G459" s="1340">
        <v>4503562781</v>
      </c>
      <c r="H459" s="1341">
        <v>259733.34</v>
      </c>
      <c r="I459" s="1342">
        <v>40436</v>
      </c>
      <c r="J459" s="1343">
        <f>+K459-I459</f>
        <v>95</v>
      </c>
      <c r="K459" s="1344">
        <v>40531</v>
      </c>
      <c r="L459" s="1342" t="s">
        <v>41</v>
      </c>
      <c r="M459" s="1342">
        <v>40541</v>
      </c>
      <c r="N459" s="1343">
        <f t="shared" si="51"/>
        <v>22</v>
      </c>
      <c r="O459" s="1342">
        <v>40549</v>
      </c>
      <c r="P459" s="1346">
        <v>40553</v>
      </c>
      <c r="Q459" s="1374">
        <v>40567</v>
      </c>
      <c r="R459" s="1343">
        <f t="shared" si="57"/>
        <v>131</v>
      </c>
      <c r="S459" s="1347" t="s">
        <v>2412</v>
      </c>
      <c r="T459" s="1390"/>
      <c r="U459" s="1347" t="str">
        <f t="shared" si="54"/>
        <v>atrasado</v>
      </c>
      <c r="V459" s="1290" t="str">
        <f t="shared" si="55"/>
        <v>Diciembre</v>
      </c>
      <c r="W459" s="1323">
        <f t="shared" si="56"/>
        <v>0</v>
      </c>
    </row>
    <row r="460" spans="1:23" s="1321" customFormat="1" ht="57.6" customHeight="1" thickTop="1" thickBot="1" x14ac:dyDescent="0.2">
      <c r="A460" s="1157">
        <v>2011</v>
      </c>
      <c r="B460" s="1157">
        <v>2011</v>
      </c>
      <c r="C460" s="1394" t="s">
        <v>5697</v>
      </c>
      <c r="D460" s="1159" t="s">
        <v>5705</v>
      </c>
      <c r="E460" s="1395" t="s">
        <v>5743</v>
      </c>
      <c r="F460" s="1395"/>
      <c r="G460" s="1396" t="s">
        <v>5744</v>
      </c>
      <c r="H460" s="1397">
        <v>27921.49</v>
      </c>
      <c r="I460" s="1398">
        <v>40682</v>
      </c>
      <c r="J460" s="1399">
        <v>75</v>
      </c>
      <c r="K460" s="1400">
        <v>40759</v>
      </c>
      <c r="L460" s="1401" t="s">
        <v>124</v>
      </c>
      <c r="M460" s="1398">
        <v>40759</v>
      </c>
      <c r="N460" s="1399">
        <f t="shared" ref="N460:N523" si="58">IF(P460="","",+P460-K460)</f>
        <v>25</v>
      </c>
      <c r="O460" s="1402"/>
      <c r="P460" s="1400">
        <v>40784</v>
      </c>
      <c r="Q460" s="1400">
        <f>+P460+45</f>
        <v>40829</v>
      </c>
      <c r="R460" s="1399">
        <f t="shared" si="57"/>
        <v>147</v>
      </c>
      <c r="S460" s="1402"/>
      <c r="T460" s="1403" t="s">
        <v>5746</v>
      </c>
      <c r="U460" s="1404" t="str">
        <f t="shared" si="54"/>
        <v>atrasado</v>
      </c>
      <c r="V460" s="1130" t="str">
        <f t="shared" si="55"/>
        <v>Agosto</v>
      </c>
      <c r="W460" s="1324">
        <f t="shared" si="56"/>
        <v>0</v>
      </c>
    </row>
    <row r="461" spans="1:23" s="1321" customFormat="1" ht="57.6" customHeight="1" thickBot="1" x14ac:dyDescent="0.2">
      <c r="A461" s="1117">
        <v>2011</v>
      </c>
      <c r="B461" s="1117">
        <v>2011</v>
      </c>
      <c r="C461" s="1361" t="s">
        <v>5697</v>
      </c>
      <c r="D461" s="1119" t="s">
        <v>5705</v>
      </c>
      <c r="E461" s="1350" t="s">
        <v>5747</v>
      </c>
      <c r="F461" s="1350"/>
      <c r="G461" s="1351" t="s">
        <v>5748</v>
      </c>
      <c r="H461" s="1352">
        <v>3115</v>
      </c>
      <c r="I461" s="1353">
        <v>40745</v>
      </c>
      <c r="J461" s="1354"/>
      <c r="K461" s="1355">
        <v>40776</v>
      </c>
      <c r="L461" s="1356" t="s">
        <v>124</v>
      </c>
      <c r="M461" s="1353">
        <v>40757</v>
      </c>
      <c r="N461" s="1354">
        <f t="shared" si="58"/>
        <v>-11</v>
      </c>
      <c r="O461" s="1358"/>
      <c r="P461" s="1355">
        <v>40765</v>
      </c>
      <c r="Q461" s="1355">
        <v>40768</v>
      </c>
      <c r="R461" s="1354">
        <f t="shared" si="57"/>
        <v>23</v>
      </c>
      <c r="S461" s="1358" t="s">
        <v>5749</v>
      </c>
      <c r="T461" s="1359" t="s">
        <v>5746</v>
      </c>
      <c r="U461" s="1360" t="str">
        <f t="shared" si="54"/>
        <v>en término</v>
      </c>
      <c r="V461" s="1130" t="str">
        <f t="shared" si="55"/>
        <v>Agosto</v>
      </c>
      <c r="W461" s="1128">
        <f t="shared" si="56"/>
        <v>1</v>
      </c>
    </row>
    <row r="462" spans="1:23" s="1321" customFormat="1" ht="57.6" customHeight="1" thickBot="1" x14ac:dyDescent="0.2">
      <c r="A462" s="1117">
        <v>2011</v>
      </c>
      <c r="B462" s="1117">
        <v>2011</v>
      </c>
      <c r="C462" s="1361" t="s">
        <v>5697</v>
      </c>
      <c r="D462" s="1119" t="s">
        <v>5705</v>
      </c>
      <c r="E462" s="1350" t="s">
        <v>5754</v>
      </c>
      <c r="F462" s="1350"/>
      <c r="G462" s="1351" t="s">
        <v>5755</v>
      </c>
      <c r="H462" s="1352">
        <v>519</v>
      </c>
      <c r="I462" s="1353">
        <v>40793</v>
      </c>
      <c r="J462" s="1354"/>
      <c r="K462" s="1355">
        <v>40800</v>
      </c>
      <c r="L462" s="1356" t="s">
        <v>124</v>
      </c>
      <c r="M462" s="1353">
        <v>40795</v>
      </c>
      <c r="N462" s="1354">
        <f t="shared" si="58"/>
        <v>-2</v>
      </c>
      <c r="O462" s="1358"/>
      <c r="P462" s="1355">
        <v>40798</v>
      </c>
      <c r="Q462" s="1355">
        <f>+P462+3</f>
        <v>40801</v>
      </c>
      <c r="R462" s="1354">
        <f t="shared" si="57"/>
        <v>8</v>
      </c>
      <c r="S462" s="1358" t="s">
        <v>5756</v>
      </c>
      <c r="T462" s="1405"/>
      <c r="U462" s="1360" t="str">
        <f t="shared" si="54"/>
        <v>en término</v>
      </c>
      <c r="V462" s="1130" t="str">
        <f t="shared" si="55"/>
        <v>Septiembre</v>
      </c>
      <c r="W462" s="1128">
        <f t="shared" si="56"/>
        <v>1</v>
      </c>
    </row>
    <row r="463" spans="1:23" s="1321" customFormat="1" ht="57.6" customHeight="1" thickBot="1" x14ac:dyDescent="0.2">
      <c r="A463" s="1117">
        <v>2011</v>
      </c>
      <c r="B463" s="1117">
        <v>2011</v>
      </c>
      <c r="C463" s="1118" t="s">
        <v>5697</v>
      </c>
      <c r="D463" s="1119" t="s">
        <v>5705</v>
      </c>
      <c r="E463" s="1120" t="s">
        <v>6303</v>
      </c>
      <c r="F463" s="1120"/>
      <c r="G463" s="1121" t="s">
        <v>5752</v>
      </c>
      <c r="H463" s="1122">
        <v>5822.51</v>
      </c>
      <c r="I463" s="1123">
        <v>40765</v>
      </c>
      <c r="J463" s="1219">
        <v>84</v>
      </c>
      <c r="K463" s="1125">
        <v>40780</v>
      </c>
      <c r="L463" s="1221" t="s">
        <v>124</v>
      </c>
      <c r="M463" s="1123">
        <v>40778</v>
      </c>
      <c r="N463" s="1219">
        <f t="shared" si="58"/>
        <v>175</v>
      </c>
      <c r="O463" s="1123"/>
      <c r="P463" s="1125">
        <v>40955</v>
      </c>
      <c r="Q463" s="1125">
        <f>+P463+45</f>
        <v>41000</v>
      </c>
      <c r="R463" s="1219">
        <f t="shared" si="57"/>
        <v>235</v>
      </c>
      <c r="S463" s="1128" t="s">
        <v>73</v>
      </c>
      <c r="T463" s="1129" t="s">
        <v>5753</v>
      </c>
      <c r="U463" s="1130" t="str">
        <f t="shared" si="54"/>
        <v>atrasado</v>
      </c>
      <c r="V463" s="1130" t="str">
        <f t="shared" si="55"/>
        <v>Agosto</v>
      </c>
      <c r="W463" s="1128">
        <f t="shared" si="56"/>
        <v>0</v>
      </c>
    </row>
    <row r="464" spans="1:23" s="1321" customFormat="1" ht="57.6" customHeight="1" thickBot="1" x14ac:dyDescent="0.2">
      <c r="A464" s="1117">
        <v>2011</v>
      </c>
      <c r="B464" s="1117">
        <v>2011</v>
      </c>
      <c r="C464" s="1118" t="s">
        <v>5697</v>
      </c>
      <c r="D464" s="1119" t="s">
        <v>5705</v>
      </c>
      <c r="E464" s="1120" t="s">
        <v>5762</v>
      </c>
      <c r="F464" s="1120"/>
      <c r="G464" s="1121" t="s">
        <v>5763</v>
      </c>
      <c r="H464" s="1122">
        <v>84200</v>
      </c>
      <c r="I464" s="1123">
        <v>40773</v>
      </c>
      <c r="J464" s="1219">
        <v>84</v>
      </c>
      <c r="K464" s="1125">
        <v>40844</v>
      </c>
      <c r="L464" s="1221" t="s">
        <v>124</v>
      </c>
      <c r="M464" s="1123">
        <v>40844</v>
      </c>
      <c r="N464" s="1219">
        <f t="shared" si="58"/>
        <v>111</v>
      </c>
      <c r="O464" s="1123"/>
      <c r="P464" s="1125">
        <v>40955</v>
      </c>
      <c r="Q464" s="1125">
        <f>+P464+45</f>
        <v>41000</v>
      </c>
      <c r="R464" s="1219">
        <f t="shared" si="57"/>
        <v>227</v>
      </c>
      <c r="S464" s="1128" t="s">
        <v>955</v>
      </c>
      <c r="T464" s="1226"/>
      <c r="U464" s="1130" t="str">
        <f t="shared" si="54"/>
        <v>atrasado</v>
      </c>
      <c r="V464" s="1130" t="str">
        <f t="shared" si="55"/>
        <v>Octubre</v>
      </c>
      <c r="W464" s="1128">
        <f t="shared" si="56"/>
        <v>0</v>
      </c>
    </row>
    <row r="465" spans="1:23" s="1321" customFormat="1" ht="57.6" customHeight="1" thickBot="1" x14ac:dyDescent="0.2">
      <c r="A465" s="1117">
        <v>2011</v>
      </c>
      <c r="B465" s="1117">
        <v>2011</v>
      </c>
      <c r="C465" s="1118" t="s">
        <v>5697</v>
      </c>
      <c r="D465" s="1119" t="s">
        <v>5705</v>
      </c>
      <c r="E465" s="1120" t="s">
        <v>5757</v>
      </c>
      <c r="F465" s="1120"/>
      <c r="G465" s="1121" t="s">
        <v>5758</v>
      </c>
      <c r="H465" s="1122">
        <v>548</v>
      </c>
      <c r="I465" s="1123">
        <v>40798</v>
      </c>
      <c r="J465" s="1219">
        <v>84</v>
      </c>
      <c r="K465" s="1125">
        <v>40834</v>
      </c>
      <c r="L465" s="1221" t="s">
        <v>124</v>
      </c>
      <c r="M465" s="1123">
        <v>40834</v>
      </c>
      <c r="N465" s="1219">
        <f t="shared" si="58"/>
        <v>0</v>
      </c>
      <c r="O465" s="1123"/>
      <c r="P465" s="1132">
        <v>40834</v>
      </c>
      <c r="Q465" s="1132">
        <f>+P465+3</f>
        <v>40837</v>
      </c>
      <c r="R465" s="1219">
        <f t="shared" si="57"/>
        <v>39</v>
      </c>
      <c r="S465" s="1128" t="s">
        <v>5761</v>
      </c>
      <c r="T465" s="1226"/>
      <c r="U465" s="1130" t="str">
        <f t="shared" si="54"/>
        <v>en término</v>
      </c>
      <c r="V465" s="1130" t="str">
        <f t="shared" si="55"/>
        <v>Octubre</v>
      </c>
      <c r="W465" s="1128">
        <f t="shared" si="56"/>
        <v>1</v>
      </c>
    </row>
    <row r="466" spans="1:23" s="1321" customFormat="1" ht="57.6" customHeight="1" thickBot="1" x14ac:dyDescent="0.2">
      <c r="A466" s="1117">
        <v>2011</v>
      </c>
      <c r="B466" s="1117">
        <v>2011</v>
      </c>
      <c r="C466" s="1338" t="s">
        <v>5433</v>
      </c>
      <c r="D466" s="1145" t="s">
        <v>5434</v>
      </c>
      <c r="E466" s="1339" t="s">
        <v>5517</v>
      </c>
      <c r="F466" s="1339"/>
      <c r="G466" s="1340" t="s">
        <v>5518</v>
      </c>
      <c r="H466" s="1341">
        <v>322</v>
      </c>
      <c r="I466" s="1342">
        <v>40571</v>
      </c>
      <c r="J466" s="1343">
        <f t="shared" ref="J466:J473" si="59">+K466-I466</f>
        <v>4</v>
      </c>
      <c r="K466" s="1344">
        <v>40575</v>
      </c>
      <c r="L466" s="1345" t="s">
        <v>5445</v>
      </c>
      <c r="M466" s="1342">
        <v>40591</v>
      </c>
      <c r="N466" s="1343">
        <f t="shared" si="58"/>
        <v>22</v>
      </c>
      <c r="O466" s="1342"/>
      <c r="P466" s="1346">
        <v>40597</v>
      </c>
      <c r="Q466" s="1346">
        <f>+P466+5</f>
        <v>40602</v>
      </c>
      <c r="R466" s="1343">
        <f t="shared" si="57"/>
        <v>31</v>
      </c>
      <c r="S466" s="1347" t="s">
        <v>5519</v>
      </c>
      <c r="T466" s="1348"/>
      <c r="U466" s="1349" t="str">
        <f t="shared" si="54"/>
        <v>atrasado</v>
      </c>
      <c r="V466" s="1130" t="str">
        <f t="shared" si="55"/>
        <v>Febrero</v>
      </c>
      <c r="W466" s="1128">
        <f t="shared" si="56"/>
        <v>0</v>
      </c>
    </row>
    <row r="467" spans="1:23" s="1321" customFormat="1" ht="57.6" customHeight="1" thickBot="1" x14ac:dyDescent="0.2">
      <c r="A467" s="1117">
        <v>2011</v>
      </c>
      <c r="B467" s="1117">
        <v>2011</v>
      </c>
      <c r="C467" s="1338" t="s">
        <v>5433</v>
      </c>
      <c r="D467" s="1145" t="s">
        <v>5434</v>
      </c>
      <c r="E467" s="1339" t="s">
        <v>5521</v>
      </c>
      <c r="F467" s="1339"/>
      <c r="G467" s="1340" t="s">
        <v>5522</v>
      </c>
      <c r="H467" s="1341">
        <v>2500</v>
      </c>
      <c r="I467" s="1342">
        <v>40595</v>
      </c>
      <c r="J467" s="1343">
        <f t="shared" si="59"/>
        <v>8</v>
      </c>
      <c r="K467" s="1344">
        <v>40603</v>
      </c>
      <c r="L467" s="1345" t="s">
        <v>5445</v>
      </c>
      <c r="M467" s="1342">
        <v>40597</v>
      </c>
      <c r="N467" s="1343">
        <f t="shared" si="58"/>
        <v>3</v>
      </c>
      <c r="O467" s="1342"/>
      <c r="P467" s="1346">
        <v>40606</v>
      </c>
      <c r="Q467" s="1346">
        <f>+P467+5</f>
        <v>40611</v>
      </c>
      <c r="R467" s="1343">
        <f t="shared" si="57"/>
        <v>16</v>
      </c>
      <c r="S467" s="1347" t="s">
        <v>5523</v>
      </c>
      <c r="T467" s="1348"/>
      <c r="U467" s="1349" t="str">
        <f t="shared" si="54"/>
        <v>atrasado</v>
      </c>
      <c r="V467" s="1130" t="str">
        <f t="shared" si="55"/>
        <v>Febrero</v>
      </c>
      <c r="W467" s="1128">
        <f t="shared" si="56"/>
        <v>0</v>
      </c>
    </row>
    <row r="468" spans="1:23" s="1321" customFormat="1" ht="57.6" customHeight="1" thickBot="1" x14ac:dyDescent="0.2">
      <c r="A468" s="1117">
        <v>2011</v>
      </c>
      <c r="B468" s="1117">
        <v>2011</v>
      </c>
      <c r="C468" s="1338" t="s">
        <v>5433</v>
      </c>
      <c r="D468" s="1362" t="s">
        <v>5456</v>
      </c>
      <c r="E468" s="1339" t="s">
        <v>5524</v>
      </c>
      <c r="F468" s="1339"/>
      <c r="G468" s="1340">
        <v>4500115710</v>
      </c>
      <c r="H468" s="1341">
        <v>29180</v>
      </c>
      <c r="I468" s="1342">
        <v>40603</v>
      </c>
      <c r="J468" s="1343">
        <f t="shared" si="59"/>
        <v>69</v>
      </c>
      <c r="K468" s="1344">
        <v>40672</v>
      </c>
      <c r="L468" s="1345" t="s">
        <v>5525</v>
      </c>
      <c r="M468" s="1342">
        <v>40662</v>
      </c>
      <c r="N468" s="1343">
        <f t="shared" si="58"/>
        <v>-3</v>
      </c>
      <c r="O468" s="1342">
        <v>40667</v>
      </c>
      <c r="P468" s="1346">
        <v>40669</v>
      </c>
      <c r="Q468" s="1346">
        <f>+P468+10</f>
        <v>40679</v>
      </c>
      <c r="R468" s="1343">
        <f t="shared" si="57"/>
        <v>76</v>
      </c>
      <c r="S468" s="1347" t="s">
        <v>6304</v>
      </c>
      <c r="T468" s="1348"/>
      <c r="U468" s="1349" t="str">
        <f t="shared" si="54"/>
        <v>en término</v>
      </c>
      <c r="V468" s="1130" t="str">
        <f t="shared" si="55"/>
        <v>Abril</v>
      </c>
      <c r="W468" s="1128">
        <f t="shared" si="56"/>
        <v>1</v>
      </c>
    </row>
    <row r="469" spans="1:23" s="1321" customFormat="1" ht="57.6" customHeight="1" thickBot="1" x14ac:dyDescent="0.2">
      <c r="A469" s="1117">
        <v>2011</v>
      </c>
      <c r="B469" s="1117">
        <v>2011</v>
      </c>
      <c r="C469" s="1361" t="s">
        <v>5433</v>
      </c>
      <c r="D469" s="1145" t="s">
        <v>5434</v>
      </c>
      <c r="E469" s="1350" t="s">
        <v>5528</v>
      </c>
      <c r="F469" s="1350"/>
      <c r="G469" s="1351" t="s">
        <v>5529</v>
      </c>
      <c r="H469" s="1352">
        <v>6280</v>
      </c>
      <c r="I469" s="1353">
        <v>40651</v>
      </c>
      <c r="J469" s="1354">
        <f t="shared" si="59"/>
        <v>7</v>
      </c>
      <c r="K469" s="1355">
        <v>40658</v>
      </c>
      <c r="L469" s="1356" t="s">
        <v>5445</v>
      </c>
      <c r="M469" s="1353">
        <v>40652</v>
      </c>
      <c r="N469" s="1354">
        <f t="shared" si="58"/>
        <v>2</v>
      </c>
      <c r="O469" s="1353"/>
      <c r="P469" s="1357">
        <v>40660</v>
      </c>
      <c r="Q469" s="1357">
        <f>+P469+5</f>
        <v>40665</v>
      </c>
      <c r="R469" s="1354">
        <f t="shared" si="57"/>
        <v>14</v>
      </c>
      <c r="S469" s="1358" t="s">
        <v>73</v>
      </c>
      <c r="T469" s="1359"/>
      <c r="U469" s="1360" t="str">
        <f t="shared" si="54"/>
        <v>atrasado</v>
      </c>
      <c r="V469" s="1130" t="str">
        <f t="shared" si="55"/>
        <v>Abril</v>
      </c>
      <c r="W469" s="1128">
        <f t="shared" si="56"/>
        <v>0</v>
      </c>
    </row>
    <row r="470" spans="1:23" s="1321" customFormat="1" ht="57.6" customHeight="1" thickBot="1" x14ac:dyDescent="0.2">
      <c r="A470" s="1117">
        <v>2011</v>
      </c>
      <c r="B470" s="1117">
        <v>2011</v>
      </c>
      <c r="C470" s="1361" t="s">
        <v>5433</v>
      </c>
      <c r="D470" s="1145" t="s">
        <v>5434</v>
      </c>
      <c r="E470" s="1350" t="s">
        <v>5530</v>
      </c>
      <c r="F470" s="1350"/>
      <c r="G470" s="1351" t="s">
        <v>5531</v>
      </c>
      <c r="H470" s="1352">
        <v>18570</v>
      </c>
      <c r="I470" s="1353">
        <v>40645</v>
      </c>
      <c r="J470" s="1354">
        <f t="shared" si="59"/>
        <v>89</v>
      </c>
      <c r="K470" s="1355">
        <v>40734</v>
      </c>
      <c r="L470" s="1356" t="s">
        <v>5458</v>
      </c>
      <c r="M470" s="1353">
        <v>40729</v>
      </c>
      <c r="N470" s="1354">
        <f t="shared" si="58"/>
        <v>-4</v>
      </c>
      <c r="O470" s="1353">
        <v>40730</v>
      </c>
      <c r="P470" s="1357">
        <v>40730</v>
      </c>
      <c r="Q470" s="1357">
        <v>40730</v>
      </c>
      <c r="R470" s="1354">
        <f t="shared" si="57"/>
        <v>85</v>
      </c>
      <c r="S470" s="1358" t="s">
        <v>5532</v>
      </c>
      <c r="T470" s="1359"/>
      <c r="U470" s="1360" t="str">
        <f t="shared" si="54"/>
        <v>en término</v>
      </c>
      <c r="V470" s="1130" t="str">
        <f t="shared" si="55"/>
        <v>Julio</v>
      </c>
      <c r="W470" s="1128">
        <f t="shared" si="56"/>
        <v>1</v>
      </c>
    </row>
    <row r="471" spans="1:23" s="1321" customFormat="1" ht="57.6" customHeight="1" thickBot="1" x14ac:dyDescent="0.2">
      <c r="A471" s="1117">
        <v>2011</v>
      </c>
      <c r="B471" s="1117">
        <v>2011</v>
      </c>
      <c r="C471" s="1213" t="s">
        <v>5433</v>
      </c>
      <c r="D471" s="1214" t="s">
        <v>5456</v>
      </c>
      <c r="E471" s="1215" t="s">
        <v>6305</v>
      </c>
      <c r="F471" s="1215"/>
      <c r="G471" s="1216">
        <v>4500125351</v>
      </c>
      <c r="H471" s="1217">
        <v>28465</v>
      </c>
      <c r="I471" s="1218">
        <v>40787</v>
      </c>
      <c r="J471" s="1219">
        <f t="shared" si="59"/>
        <v>66</v>
      </c>
      <c r="K471" s="1220">
        <v>40853</v>
      </c>
      <c r="L471" s="1221" t="s">
        <v>5458</v>
      </c>
      <c r="M471" s="1218">
        <v>40844</v>
      </c>
      <c r="N471" s="1219">
        <f t="shared" si="58"/>
        <v>9</v>
      </c>
      <c r="O471" s="1218"/>
      <c r="P471" s="1222">
        <v>40862</v>
      </c>
      <c r="Q471" s="1222">
        <v>40867</v>
      </c>
      <c r="R471" s="1219">
        <f t="shared" si="57"/>
        <v>80</v>
      </c>
      <c r="S471" s="1223" t="s">
        <v>53</v>
      </c>
      <c r="T471" s="1224"/>
      <c r="U471" s="1225" t="str">
        <f t="shared" si="54"/>
        <v>atrasado</v>
      </c>
      <c r="V471" s="1130" t="str">
        <f t="shared" si="55"/>
        <v>Octubre</v>
      </c>
      <c r="W471" s="1128">
        <f t="shared" si="56"/>
        <v>0</v>
      </c>
    </row>
    <row r="472" spans="1:23" s="1321" customFormat="1" ht="57.6" customHeight="1" thickBot="1" x14ac:dyDescent="0.2">
      <c r="A472" s="1117">
        <v>2011</v>
      </c>
      <c r="B472" s="1117">
        <v>2011</v>
      </c>
      <c r="C472" s="1213" t="s">
        <v>5433</v>
      </c>
      <c r="D472" s="1145" t="s">
        <v>5434</v>
      </c>
      <c r="E472" s="1215" t="s">
        <v>5535</v>
      </c>
      <c r="F472" s="1215"/>
      <c r="G472" s="1216" t="s">
        <v>6306</v>
      </c>
      <c r="H472" s="1217">
        <v>1860</v>
      </c>
      <c r="I472" s="1218">
        <v>40798</v>
      </c>
      <c r="J472" s="1219">
        <f t="shared" si="59"/>
        <v>10</v>
      </c>
      <c r="K472" s="1220">
        <v>40808</v>
      </c>
      <c r="L472" s="1221" t="s">
        <v>5458</v>
      </c>
      <c r="M472" s="1218">
        <v>40806</v>
      </c>
      <c r="N472" s="1219">
        <f t="shared" si="58"/>
        <v>5</v>
      </c>
      <c r="O472" s="1218">
        <v>40813</v>
      </c>
      <c r="P472" s="1222">
        <v>40813</v>
      </c>
      <c r="Q472" s="1222">
        <v>40814</v>
      </c>
      <c r="R472" s="1219">
        <f t="shared" si="57"/>
        <v>16</v>
      </c>
      <c r="S472" s="1223" t="s">
        <v>5538</v>
      </c>
      <c r="T472" s="1224"/>
      <c r="U472" s="1225" t="str">
        <f t="shared" si="54"/>
        <v>atrasado</v>
      </c>
      <c r="V472" s="1130" t="str">
        <f t="shared" si="55"/>
        <v>Septiembre</v>
      </c>
      <c r="W472" s="1128">
        <f t="shared" si="56"/>
        <v>0</v>
      </c>
    </row>
    <row r="473" spans="1:23" s="1321" customFormat="1" ht="57.6" customHeight="1" thickBot="1" x14ac:dyDescent="0.2">
      <c r="A473" s="1117">
        <v>2011</v>
      </c>
      <c r="B473" s="1117">
        <v>2011</v>
      </c>
      <c r="C473" s="1213" t="s">
        <v>5433</v>
      </c>
      <c r="D473" s="1145" t="s">
        <v>5434</v>
      </c>
      <c r="E473" s="1215" t="s">
        <v>5539</v>
      </c>
      <c r="F473" s="1215"/>
      <c r="G473" s="1216" t="s">
        <v>5540</v>
      </c>
      <c r="H473" s="1217">
        <v>11400</v>
      </c>
      <c r="I473" s="1218">
        <v>40840</v>
      </c>
      <c r="J473" s="1219">
        <f t="shared" si="59"/>
        <v>65</v>
      </c>
      <c r="K473" s="1220">
        <v>40905</v>
      </c>
      <c r="L473" s="1221" t="s">
        <v>5458</v>
      </c>
      <c r="M473" s="1218">
        <v>40899</v>
      </c>
      <c r="N473" s="1219">
        <f t="shared" si="58"/>
        <v>-1</v>
      </c>
      <c r="O473" s="1218"/>
      <c r="P473" s="1220">
        <v>40904</v>
      </c>
      <c r="Q473" s="1220">
        <f>+P473+4</f>
        <v>40908</v>
      </c>
      <c r="R473" s="1219">
        <f t="shared" si="57"/>
        <v>68</v>
      </c>
      <c r="S473" s="1223" t="s">
        <v>53</v>
      </c>
      <c r="T473" s="1224"/>
      <c r="U473" s="1225" t="str">
        <f t="shared" si="54"/>
        <v>en término</v>
      </c>
      <c r="V473" s="1130" t="str">
        <f t="shared" si="55"/>
        <v>Diciembre</v>
      </c>
      <c r="W473" s="1128">
        <f t="shared" si="56"/>
        <v>1</v>
      </c>
    </row>
    <row r="474" spans="1:23" s="1321" customFormat="1" ht="57.6" customHeight="1" thickBot="1" x14ac:dyDescent="0.2">
      <c r="A474" s="1117">
        <v>2011</v>
      </c>
      <c r="B474" s="1117">
        <v>2011</v>
      </c>
      <c r="C474" s="1227" t="s">
        <v>5366</v>
      </c>
      <c r="D474" s="1228" t="s">
        <v>5382</v>
      </c>
      <c r="E474" s="1229" t="s">
        <v>5415</v>
      </c>
      <c r="F474" s="1229"/>
      <c r="G474" s="1230" t="s">
        <v>5416</v>
      </c>
      <c r="H474" s="1231">
        <v>9415</v>
      </c>
      <c r="I474" s="1232">
        <v>40508</v>
      </c>
      <c r="J474" s="1233">
        <v>60</v>
      </c>
      <c r="K474" s="1234">
        <f>+I474+J474</f>
        <v>40568</v>
      </c>
      <c r="L474" s="1221" t="s">
        <v>124</v>
      </c>
      <c r="M474" s="1232">
        <v>40547</v>
      </c>
      <c r="N474" s="1233">
        <f t="shared" si="58"/>
        <v>16</v>
      </c>
      <c r="O474" s="1232">
        <v>40582</v>
      </c>
      <c r="P474" s="1235">
        <v>40584</v>
      </c>
      <c r="Q474" s="1236">
        <f>+P474+40</f>
        <v>40624</v>
      </c>
      <c r="R474" s="1233">
        <f t="shared" si="57"/>
        <v>116</v>
      </c>
      <c r="S474" s="1237" t="s">
        <v>6307</v>
      </c>
      <c r="T474" s="1238"/>
      <c r="U474" s="1239" t="str">
        <f>IF(M474="","",IF(M474&lt;=0,"en término","atrasado"))</f>
        <v>atrasado</v>
      </c>
      <c r="V474" s="1130" t="str">
        <f t="shared" si="55"/>
        <v>Enero</v>
      </c>
      <c r="W474" s="1128">
        <f t="shared" si="56"/>
        <v>0</v>
      </c>
    </row>
    <row r="475" spans="1:23" s="1321" customFormat="1" ht="57.6" customHeight="1" thickBot="1" x14ac:dyDescent="0.2">
      <c r="A475" s="1117">
        <v>2011</v>
      </c>
      <c r="B475" s="1117">
        <v>2011</v>
      </c>
      <c r="C475" s="1227" t="s">
        <v>5366</v>
      </c>
      <c r="D475" s="1228" t="s">
        <v>5382</v>
      </c>
      <c r="E475" s="1229" t="s">
        <v>5422</v>
      </c>
      <c r="F475" s="1229"/>
      <c r="G475" s="1230" t="s">
        <v>5423</v>
      </c>
      <c r="H475" s="1231">
        <v>7130</v>
      </c>
      <c r="I475" s="1232">
        <v>40666</v>
      </c>
      <c r="J475" s="1219">
        <f>+K475-I475</f>
        <v>90</v>
      </c>
      <c r="K475" s="1234">
        <v>40756</v>
      </c>
      <c r="L475" s="1240" t="s">
        <v>124</v>
      </c>
      <c r="M475" s="1232">
        <v>40739</v>
      </c>
      <c r="N475" s="1233">
        <f t="shared" si="58"/>
        <v>18</v>
      </c>
      <c r="O475" s="1232">
        <v>40739</v>
      </c>
      <c r="P475" s="1235">
        <v>40774</v>
      </c>
      <c r="Q475" s="1236">
        <v>40805</v>
      </c>
      <c r="R475" s="1237">
        <f t="shared" si="57"/>
        <v>139</v>
      </c>
      <c r="S475" s="1237" t="s">
        <v>5425</v>
      </c>
      <c r="T475" s="1238"/>
      <c r="U475" s="1239" t="str">
        <f>IF(N475="","",IF(N475&lt;=0,"en término","atrasado"))</f>
        <v>atrasado</v>
      </c>
      <c r="V475" s="1130" t="str">
        <f t="shared" si="55"/>
        <v>Julio</v>
      </c>
      <c r="W475" s="1128">
        <f t="shared" si="56"/>
        <v>0</v>
      </c>
    </row>
    <row r="476" spans="1:23" s="1321" customFormat="1" ht="57.6" customHeight="1" thickBot="1" x14ac:dyDescent="0.2">
      <c r="A476" s="1117">
        <v>2011</v>
      </c>
      <c r="B476" s="1117">
        <v>2011</v>
      </c>
      <c r="C476" s="1213" t="s">
        <v>5265</v>
      </c>
      <c r="D476" s="1214" t="s">
        <v>5345</v>
      </c>
      <c r="E476" s="1215" t="s">
        <v>5346</v>
      </c>
      <c r="F476" s="1215"/>
      <c r="G476" s="1216" t="s">
        <v>5347</v>
      </c>
      <c r="H476" s="1217">
        <v>37810</v>
      </c>
      <c r="I476" s="1218">
        <v>40687</v>
      </c>
      <c r="J476" s="1219">
        <v>84</v>
      </c>
      <c r="K476" s="1220">
        <v>40783</v>
      </c>
      <c r="L476" s="1221" t="s">
        <v>124</v>
      </c>
      <c r="M476" s="1218">
        <v>40771</v>
      </c>
      <c r="N476" s="1219">
        <f t="shared" si="58"/>
        <v>28</v>
      </c>
      <c r="O476" s="1218">
        <v>40780</v>
      </c>
      <c r="P476" s="1222">
        <v>40811</v>
      </c>
      <c r="Q476" s="1125">
        <f>+P476+30</f>
        <v>40841</v>
      </c>
      <c r="R476" s="1219">
        <f t="shared" si="57"/>
        <v>154</v>
      </c>
      <c r="S476" s="1223" t="s">
        <v>73</v>
      </c>
      <c r="T476" s="1241"/>
      <c r="U476" s="1225" t="str">
        <f>IF(N476="","",IF(N476&lt;=0,"en término","atrasado"))</f>
        <v>atrasado</v>
      </c>
      <c r="V476" s="1130" t="str">
        <f t="shared" si="55"/>
        <v>Agosto</v>
      </c>
      <c r="W476" s="1128">
        <f t="shared" si="56"/>
        <v>0</v>
      </c>
    </row>
    <row r="477" spans="1:23" s="1321" customFormat="1" ht="57.6" customHeight="1" thickBot="1" x14ac:dyDescent="0.2">
      <c r="A477" s="1117">
        <v>2011</v>
      </c>
      <c r="B477" s="1117">
        <v>2011</v>
      </c>
      <c r="C477" s="1338" t="s">
        <v>120</v>
      </c>
      <c r="D477" s="1362" t="s">
        <v>121</v>
      </c>
      <c r="E477" s="1339" t="s">
        <v>5220</v>
      </c>
      <c r="F477" s="1339"/>
      <c r="G477" s="1340">
        <v>28439</v>
      </c>
      <c r="H477" s="1341">
        <v>30411</v>
      </c>
      <c r="I477" s="1342">
        <v>40564</v>
      </c>
      <c r="J477" s="1343">
        <f t="shared" ref="J477:J482" si="60">+K477-I477</f>
        <v>79</v>
      </c>
      <c r="K477" s="1344">
        <v>40643</v>
      </c>
      <c r="L477" s="1345" t="s">
        <v>124</v>
      </c>
      <c r="M477" s="1342">
        <v>40631</v>
      </c>
      <c r="N477" s="1343">
        <f t="shared" si="58"/>
        <v>32</v>
      </c>
      <c r="O477" s="1342">
        <v>40660</v>
      </c>
      <c r="P477" s="1346">
        <v>40675</v>
      </c>
      <c r="Q477" s="1344">
        <f>+P477+45</f>
        <v>40720</v>
      </c>
      <c r="R477" s="1343">
        <f t="shared" si="57"/>
        <v>156</v>
      </c>
      <c r="S477" s="1347" t="s">
        <v>2183</v>
      </c>
      <c r="T477" s="1348" t="s">
        <v>5222</v>
      </c>
      <c r="U477" s="1349" t="str">
        <f>IF(M477="","",IF(M477&lt;=0,"en término","atrasado"))</f>
        <v>atrasado</v>
      </c>
      <c r="V477" s="1130" t="str">
        <f t="shared" si="55"/>
        <v>Marzo</v>
      </c>
      <c r="W477" s="1128">
        <f t="shared" si="56"/>
        <v>0</v>
      </c>
    </row>
    <row r="478" spans="1:23" s="1321" customFormat="1" ht="57.6" customHeight="1" thickBot="1" x14ac:dyDescent="0.2">
      <c r="A478" s="1117">
        <v>2011</v>
      </c>
      <c r="B478" s="1117">
        <v>2011</v>
      </c>
      <c r="C478" s="1213" t="s">
        <v>120</v>
      </c>
      <c r="D478" s="1214" t="s">
        <v>121</v>
      </c>
      <c r="E478" s="1215" t="s">
        <v>5223</v>
      </c>
      <c r="F478" s="1215"/>
      <c r="G478" s="1216">
        <v>29659</v>
      </c>
      <c r="H478" s="1217">
        <v>4762.8</v>
      </c>
      <c r="I478" s="1218">
        <v>40644</v>
      </c>
      <c r="J478" s="1219">
        <f t="shared" si="60"/>
        <v>95</v>
      </c>
      <c r="K478" s="1220">
        <v>40739</v>
      </c>
      <c r="L478" s="1221" t="s">
        <v>124</v>
      </c>
      <c r="M478" s="1218">
        <v>40729</v>
      </c>
      <c r="N478" s="1242">
        <f t="shared" si="58"/>
        <v>21</v>
      </c>
      <c r="O478" s="1218"/>
      <c r="P478" s="1218">
        <v>40760</v>
      </c>
      <c r="Q478" s="1222">
        <v>40791</v>
      </c>
      <c r="R478" s="1219">
        <f t="shared" si="57"/>
        <v>147</v>
      </c>
      <c r="S478" s="1223" t="s">
        <v>2183</v>
      </c>
      <c r="T478" s="1241"/>
      <c r="U478" s="1225" t="str">
        <f>IF(M478="","",IF(M478&lt;=0,"en término","atrasado"))</f>
        <v>atrasado</v>
      </c>
      <c r="V478" s="1130" t="str">
        <f t="shared" si="55"/>
        <v>Julio</v>
      </c>
      <c r="W478" s="1128">
        <f t="shared" si="56"/>
        <v>0</v>
      </c>
    </row>
    <row r="479" spans="1:23" s="1321" customFormat="1" ht="57.6" customHeight="1" thickBot="1" x14ac:dyDescent="0.2">
      <c r="A479" s="1117">
        <v>2011</v>
      </c>
      <c r="B479" s="1117">
        <v>2011</v>
      </c>
      <c r="C479" s="1213" t="s">
        <v>120</v>
      </c>
      <c r="D479" s="1214" t="s">
        <v>121</v>
      </c>
      <c r="E479" s="1215" t="s">
        <v>5225</v>
      </c>
      <c r="F479" s="1215"/>
      <c r="G479" s="1216">
        <v>30522</v>
      </c>
      <c r="H479" s="1217">
        <v>3213.5</v>
      </c>
      <c r="I479" s="1218">
        <v>40792</v>
      </c>
      <c r="J479" s="1219">
        <f t="shared" si="60"/>
        <v>-7</v>
      </c>
      <c r="K479" s="1220">
        <v>40785</v>
      </c>
      <c r="L479" s="1221" t="s">
        <v>124</v>
      </c>
      <c r="M479" s="1218">
        <v>40774</v>
      </c>
      <c r="N479" s="1219">
        <f t="shared" si="58"/>
        <v>40</v>
      </c>
      <c r="O479" s="1218"/>
      <c r="P479" s="1222">
        <v>40825</v>
      </c>
      <c r="Q479" s="1222">
        <f>+P479+45</f>
        <v>40870</v>
      </c>
      <c r="R479" s="1219">
        <f t="shared" si="57"/>
        <v>78</v>
      </c>
      <c r="S479" s="1223" t="s">
        <v>2183</v>
      </c>
      <c r="T479" s="1241"/>
      <c r="U479" s="1225" t="str">
        <f t="shared" ref="U479:U501" si="61">IF(N479="","",IF(N479&lt;=0,"en término","atrasado"))</f>
        <v>atrasado</v>
      </c>
      <c r="V479" s="1130" t="str">
        <f t="shared" si="55"/>
        <v>Agosto</v>
      </c>
      <c r="W479" s="1128">
        <f t="shared" si="56"/>
        <v>0</v>
      </c>
    </row>
    <row r="480" spans="1:23" s="1321" customFormat="1" ht="57.6" customHeight="1" thickBot="1" x14ac:dyDescent="0.2">
      <c r="A480" s="1117">
        <v>2011</v>
      </c>
      <c r="B480" s="1117">
        <v>2011</v>
      </c>
      <c r="C480" s="1213" t="s">
        <v>120</v>
      </c>
      <c r="D480" s="1214" t="s">
        <v>121</v>
      </c>
      <c r="E480" s="1215" t="s">
        <v>6308</v>
      </c>
      <c r="F480" s="1215"/>
      <c r="G480" s="1216">
        <v>31033</v>
      </c>
      <c r="H480" s="1217">
        <v>14820.9</v>
      </c>
      <c r="I480" s="1218">
        <v>40737</v>
      </c>
      <c r="J480" s="1219">
        <f t="shared" si="60"/>
        <v>69</v>
      </c>
      <c r="K480" s="1220">
        <v>40806</v>
      </c>
      <c r="L480" s="1221" t="s">
        <v>124</v>
      </c>
      <c r="M480" s="1218">
        <v>40795</v>
      </c>
      <c r="N480" s="1219">
        <f t="shared" si="58"/>
        <v>19</v>
      </c>
      <c r="O480" s="1218"/>
      <c r="P480" s="1222">
        <v>40825</v>
      </c>
      <c r="Q480" s="1222">
        <f>+P480+45</f>
        <v>40870</v>
      </c>
      <c r="R480" s="1219">
        <f t="shared" si="57"/>
        <v>133</v>
      </c>
      <c r="S480" s="1223" t="s">
        <v>2183</v>
      </c>
      <c r="T480" s="1241"/>
      <c r="U480" s="1225" t="str">
        <f t="shared" si="61"/>
        <v>atrasado</v>
      </c>
      <c r="V480" s="1130" t="str">
        <f t="shared" si="55"/>
        <v>Septiembre</v>
      </c>
      <c r="W480" s="1128">
        <f t="shared" si="56"/>
        <v>0</v>
      </c>
    </row>
    <row r="481" spans="1:23" s="1321" customFormat="1" ht="57.6" customHeight="1" thickBot="1" x14ac:dyDescent="0.2">
      <c r="A481" s="1117">
        <v>2011</v>
      </c>
      <c r="B481" s="1117">
        <v>2011</v>
      </c>
      <c r="C481" s="1213" t="s">
        <v>120</v>
      </c>
      <c r="D481" s="1214" t="s">
        <v>121</v>
      </c>
      <c r="E481" s="1215" t="s">
        <v>6309</v>
      </c>
      <c r="F481" s="1215"/>
      <c r="G481" s="1216">
        <v>31810</v>
      </c>
      <c r="H481" s="1217">
        <v>6170.6</v>
      </c>
      <c r="I481" s="1218">
        <v>40793</v>
      </c>
      <c r="J481" s="1219">
        <f t="shared" si="60"/>
        <v>64</v>
      </c>
      <c r="K481" s="1220">
        <v>40857</v>
      </c>
      <c r="L481" s="1221" t="s">
        <v>124</v>
      </c>
      <c r="M481" s="1218">
        <v>40844</v>
      </c>
      <c r="N481" s="1219">
        <f t="shared" si="58"/>
        <v>22</v>
      </c>
      <c r="O481" s="1218"/>
      <c r="P481" s="1220">
        <v>40879</v>
      </c>
      <c r="Q481" s="1220">
        <f>+P481+45</f>
        <v>40924</v>
      </c>
      <c r="R481" s="1219">
        <f t="shared" si="57"/>
        <v>131</v>
      </c>
      <c r="S481" s="1223" t="s">
        <v>597</v>
      </c>
      <c r="T481" s="1241"/>
      <c r="U481" s="1225" t="str">
        <f t="shared" si="61"/>
        <v>atrasado</v>
      </c>
      <c r="V481" s="1130" t="str">
        <f t="shared" si="55"/>
        <v>Octubre</v>
      </c>
      <c r="W481" s="1128">
        <f t="shared" si="56"/>
        <v>0</v>
      </c>
    </row>
    <row r="482" spans="1:23" s="1321" customFormat="1" ht="57.6" customHeight="1" thickBot="1" x14ac:dyDescent="0.2">
      <c r="A482" s="1117">
        <v>2011</v>
      </c>
      <c r="B482" s="1117">
        <v>2011</v>
      </c>
      <c r="C482" s="1213" t="s">
        <v>120</v>
      </c>
      <c r="D482" s="1214" t="s">
        <v>121</v>
      </c>
      <c r="E482" s="1215" t="s">
        <v>6310</v>
      </c>
      <c r="F482" s="1215"/>
      <c r="G482" s="1216">
        <v>31914</v>
      </c>
      <c r="H482" s="1217">
        <v>3424</v>
      </c>
      <c r="I482" s="1218">
        <v>40798</v>
      </c>
      <c r="J482" s="1219">
        <f t="shared" si="60"/>
        <v>59</v>
      </c>
      <c r="K482" s="1220">
        <v>40857</v>
      </c>
      <c r="L482" s="1221" t="s">
        <v>124</v>
      </c>
      <c r="M482" s="1218">
        <v>40844</v>
      </c>
      <c r="N482" s="1219">
        <f t="shared" si="58"/>
        <v>22</v>
      </c>
      <c r="O482" s="1218"/>
      <c r="P482" s="1220">
        <v>40879</v>
      </c>
      <c r="Q482" s="1220">
        <f>+P482+45</f>
        <v>40924</v>
      </c>
      <c r="R482" s="1219">
        <f t="shared" si="57"/>
        <v>126</v>
      </c>
      <c r="S482" s="1223" t="s">
        <v>597</v>
      </c>
      <c r="T482" s="1241"/>
      <c r="U482" s="1225" t="str">
        <f t="shared" si="61"/>
        <v>atrasado</v>
      </c>
      <c r="V482" s="1130" t="str">
        <f t="shared" si="55"/>
        <v>Octubre</v>
      </c>
      <c r="W482" s="1128">
        <f t="shared" si="56"/>
        <v>0</v>
      </c>
    </row>
    <row r="483" spans="1:23" s="1321" customFormat="1" ht="57.6" customHeight="1" thickBot="1" x14ac:dyDescent="0.2">
      <c r="A483" s="1117">
        <v>2011</v>
      </c>
      <c r="B483" s="1117">
        <v>2011</v>
      </c>
      <c r="C483" s="1361" t="s">
        <v>5049</v>
      </c>
      <c r="D483" s="1363" t="s">
        <v>5053</v>
      </c>
      <c r="E483" s="1350" t="s">
        <v>5054</v>
      </c>
      <c r="F483" s="1350"/>
      <c r="G483" s="1406" t="s">
        <v>5055</v>
      </c>
      <c r="H483" s="1352">
        <v>5990</v>
      </c>
      <c r="I483" s="1353">
        <v>40603</v>
      </c>
      <c r="J483" s="1354">
        <v>30</v>
      </c>
      <c r="K483" s="1355">
        <f>+I483+J483</f>
        <v>40633</v>
      </c>
      <c r="L483" s="1356" t="s">
        <v>124</v>
      </c>
      <c r="M483" s="1353">
        <v>40631</v>
      </c>
      <c r="N483" s="1354">
        <f t="shared" si="58"/>
        <v>29</v>
      </c>
      <c r="O483" s="1353"/>
      <c r="P483" s="1357">
        <v>40662</v>
      </c>
      <c r="Q483" s="1355">
        <f>+P483+5</f>
        <v>40667</v>
      </c>
      <c r="R483" s="1354">
        <f t="shared" si="57"/>
        <v>64</v>
      </c>
      <c r="S483" s="1358" t="s">
        <v>6311</v>
      </c>
      <c r="T483" s="1359" t="s">
        <v>5060</v>
      </c>
      <c r="U483" s="1360" t="str">
        <f t="shared" si="61"/>
        <v>atrasado</v>
      </c>
      <c r="V483" s="1130" t="str">
        <f t="shared" si="55"/>
        <v>Marzo</v>
      </c>
      <c r="W483" s="1128">
        <f t="shared" si="56"/>
        <v>0</v>
      </c>
    </row>
    <row r="484" spans="1:23" s="1321" customFormat="1" ht="57.6" customHeight="1" thickBot="1" x14ac:dyDescent="0.2">
      <c r="A484" s="1117">
        <v>2011</v>
      </c>
      <c r="B484" s="1117">
        <v>2011</v>
      </c>
      <c r="C484" s="1361" t="s">
        <v>4005</v>
      </c>
      <c r="D484" s="1363" t="s">
        <v>4236</v>
      </c>
      <c r="E484" s="1350" t="s">
        <v>4625</v>
      </c>
      <c r="F484" s="1350"/>
      <c r="G484" s="1351" t="s">
        <v>4626</v>
      </c>
      <c r="H484" s="1352">
        <v>551</v>
      </c>
      <c r="I484" s="1353">
        <v>40620</v>
      </c>
      <c r="J484" s="1354">
        <v>5</v>
      </c>
      <c r="K484" s="1355">
        <f>+I484+J484</f>
        <v>40625</v>
      </c>
      <c r="L484" s="1356" t="s">
        <v>124</v>
      </c>
      <c r="M484" s="1353">
        <v>40624</v>
      </c>
      <c r="N484" s="1354">
        <f t="shared" si="58"/>
        <v>0</v>
      </c>
      <c r="O484" s="1353"/>
      <c r="P484" s="1357">
        <v>40625</v>
      </c>
      <c r="Q484" s="1355">
        <f>+P484+7</f>
        <v>40632</v>
      </c>
      <c r="R484" s="1354">
        <f t="shared" si="57"/>
        <v>12</v>
      </c>
      <c r="S484" s="1358" t="s">
        <v>4628</v>
      </c>
      <c r="T484" s="1359"/>
      <c r="U484" s="1360" t="str">
        <f t="shared" si="61"/>
        <v>en término</v>
      </c>
      <c r="V484" s="1130" t="str">
        <f t="shared" si="55"/>
        <v>Marzo</v>
      </c>
      <c r="W484" s="1128">
        <f t="shared" si="56"/>
        <v>1</v>
      </c>
    </row>
    <row r="485" spans="1:23" s="1321" customFormat="1" ht="57.6" customHeight="1" thickBot="1" x14ac:dyDescent="0.2">
      <c r="A485" s="1117">
        <v>2011</v>
      </c>
      <c r="B485" s="1117">
        <v>2011</v>
      </c>
      <c r="C485" s="1407" t="s">
        <v>78</v>
      </c>
      <c r="D485" s="1408" t="s">
        <v>3165</v>
      </c>
      <c r="E485" s="1409" t="s">
        <v>3747</v>
      </c>
      <c r="F485" s="1409"/>
      <c r="G485" s="1410">
        <v>576464</v>
      </c>
      <c r="H485" s="1411">
        <v>31724.37</v>
      </c>
      <c r="I485" s="1412">
        <v>40547</v>
      </c>
      <c r="J485" s="1413">
        <f t="shared" ref="J485:J501" si="62">+K485-I485</f>
        <v>150</v>
      </c>
      <c r="K485" s="1414">
        <v>40697</v>
      </c>
      <c r="L485" s="1415" t="s">
        <v>124</v>
      </c>
      <c r="M485" s="1412">
        <v>40690</v>
      </c>
      <c r="N485" s="1343">
        <f t="shared" si="58"/>
        <v>-27</v>
      </c>
      <c r="O485" s="1353">
        <v>40668</v>
      </c>
      <c r="P485" s="1357">
        <v>40670</v>
      </c>
      <c r="Q485" s="1416">
        <v>40686</v>
      </c>
      <c r="R485" s="1413">
        <f t="shared" si="57"/>
        <v>139</v>
      </c>
      <c r="S485" s="1417" t="s">
        <v>6312</v>
      </c>
      <c r="T485" s="1418" t="s">
        <v>6313</v>
      </c>
      <c r="U485" s="1419" t="str">
        <f t="shared" si="61"/>
        <v>en término</v>
      </c>
      <c r="V485" s="1130" t="str">
        <f t="shared" si="55"/>
        <v>Mayo</v>
      </c>
      <c r="W485" s="1128">
        <f t="shared" si="56"/>
        <v>1</v>
      </c>
    </row>
    <row r="486" spans="1:23" s="1321" customFormat="1" ht="57.6" customHeight="1" thickBot="1" x14ac:dyDescent="0.2">
      <c r="A486" s="1117">
        <v>2011</v>
      </c>
      <c r="B486" s="1117">
        <v>2011</v>
      </c>
      <c r="C486" s="1338" t="s">
        <v>78</v>
      </c>
      <c r="D486" s="1362" t="s">
        <v>3165</v>
      </c>
      <c r="E486" s="1339" t="s">
        <v>3747</v>
      </c>
      <c r="F486" s="1339"/>
      <c r="G486" s="1340">
        <v>576524</v>
      </c>
      <c r="H486" s="1341">
        <v>63030.2</v>
      </c>
      <c r="I486" s="1342">
        <v>40547</v>
      </c>
      <c r="J486" s="1343">
        <f t="shared" si="62"/>
        <v>150</v>
      </c>
      <c r="K486" s="1344">
        <v>40697</v>
      </c>
      <c r="L486" s="1345" t="s">
        <v>124</v>
      </c>
      <c r="M486" s="1342">
        <v>40690</v>
      </c>
      <c r="N486" s="1343">
        <f t="shared" si="58"/>
        <v>-27</v>
      </c>
      <c r="O486" s="1353">
        <v>40668</v>
      </c>
      <c r="P486" s="1357">
        <v>40670</v>
      </c>
      <c r="Q486" s="1416">
        <v>40686</v>
      </c>
      <c r="R486" s="1343">
        <f t="shared" si="57"/>
        <v>139</v>
      </c>
      <c r="S486" s="1347" t="s">
        <v>6314</v>
      </c>
      <c r="T486" s="1348" t="s">
        <v>6313</v>
      </c>
      <c r="U486" s="1349" t="str">
        <f t="shared" si="61"/>
        <v>en término</v>
      </c>
      <c r="V486" s="1130" t="str">
        <f t="shared" si="55"/>
        <v>Mayo</v>
      </c>
      <c r="W486" s="1128">
        <f t="shared" si="56"/>
        <v>1</v>
      </c>
    </row>
    <row r="487" spans="1:23" s="1321" customFormat="1" ht="57.6" customHeight="1" thickBot="1" x14ac:dyDescent="0.2">
      <c r="A487" s="1117">
        <v>2011</v>
      </c>
      <c r="B487" s="1117">
        <v>2011</v>
      </c>
      <c r="C487" s="1338" t="s">
        <v>78</v>
      </c>
      <c r="D487" s="1362" t="s">
        <v>3165</v>
      </c>
      <c r="E487" s="1339" t="s">
        <v>3747</v>
      </c>
      <c r="F487" s="1339"/>
      <c r="G487" s="1340">
        <v>576524</v>
      </c>
      <c r="H487" s="1341">
        <v>227657.9</v>
      </c>
      <c r="I487" s="1342">
        <v>40547</v>
      </c>
      <c r="J487" s="1343">
        <f t="shared" si="62"/>
        <v>150</v>
      </c>
      <c r="K487" s="1344">
        <v>40697</v>
      </c>
      <c r="L487" s="1345" t="s">
        <v>124</v>
      </c>
      <c r="M487" s="1342">
        <v>40690</v>
      </c>
      <c r="N487" s="1343">
        <f t="shared" si="58"/>
        <v>-89</v>
      </c>
      <c r="O487" s="1342">
        <v>40697</v>
      </c>
      <c r="P487" s="1346">
        <v>40608</v>
      </c>
      <c r="Q487" s="1344">
        <v>40712</v>
      </c>
      <c r="R487" s="1343">
        <f t="shared" si="57"/>
        <v>165</v>
      </c>
      <c r="S487" s="1347" t="s">
        <v>6314</v>
      </c>
      <c r="T487" s="1348" t="s">
        <v>6313</v>
      </c>
      <c r="U487" s="1349" t="str">
        <f t="shared" si="61"/>
        <v>en término</v>
      </c>
      <c r="V487" s="1130" t="str">
        <f t="shared" si="55"/>
        <v>Mayo</v>
      </c>
      <c r="W487" s="1128">
        <f t="shared" si="56"/>
        <v>1</v>
      </c>
    </row>
    <row r="488" spans="1:23" s="1321" customFormat="1" ht="57.6" customHeight="1" thickBot="1" x14ac:dyDescent="0.2">
      <c r="A488" s="1117">
        <v>2011</v>
      </c>
      <c r="B488" s="1117">
        <v>2011</v>
      </c>
      <c r="C488" s="1361" t="s">
        <v>78</v>
      </c>
      <c r="D488" s="1363" t="s">
        <v>3165</v>
      </c>
      <c r="E488" s="1350" t="s">
        <v>3747</v>
      </c>
      <c r="F488" s="1350"/>
      <c r="G488" s="1351">
        <v>576464</v>
      </c>
      <c r="H488" s="1352">
        <v>166272.63</v>
      </c>
      <c r="I488" s="1353">
        <v>40547</v>
      </c>
      <c r="J488" s="1354">
        <f t="shared" si="62"/>
        <v>150</v>
      </c>
      <c r="K488" s="1355">
        <v>40697</v>
      </c>
      <c r="L488" s="1356" t="s">
        <v>124</v>
      </c>
      <c r="M488" s="1353">
        <v>40690</v>
      </c>
      <c r="N488" s="1354">
        <f t="shared" si="58"/>
        <v>0</v>
      </c>
      <c r="O488" s="1353">
        <v>40694</v>
      </c>
      <c r="P488" s="1357">
        <v>40697</v>
      </c>
      <c r="Q488" s="1355">
        <v>40712</v>
      </c>
      <c r="R488" s="1354">
        <f t="shared" si="57"/>
        <v>165</v>
      </c>
      <c r="S488" s="1358" t="s">
        <v>6312</v>
      </c>
      <c r="T488" s="1359" t="s">
        <v>6313</v>
      </c>
      <c r="U488" s="1360" t="str">
        <f t="shared" si="61"/>
        <v>en término</v>
      </c>
      <c r="V488" s="1130" t="str">
        <f t="shared" si="55"/>
        <v>Mayo</v>
      </c>
      <c r="W488" s="1128">
        <f t="shared" si="56"/>
        <v>1</v>
      </c>
    </row>
    <row r="489" spans="1:23" s="1321" customFormat="1" ht="57.6" customHeight="1" thickBot="1" x14ac:dyDescent="0.2">
      <c r="A489" s="1117">
        <v>2011</v>
      </c>
      <c r="B489" s="1117">
        <v>2011</v>
      </c>
      <c r="C489" s="1361" t="s">
        <v>78</v>
      </c>
      <c r="D489" s="1363" t="s">
        <v>3165</v>
      </c>
      <c r="E489" s="1350" t="s">
        <v>3752</v>
      </c>
      <c r="F489" s="1350"/>
      <c r="G489" s="1351">
        <v>577329</v>
      </c>
      <c r="H489" s="1352">
        <v>15629.91</v>
      </c>
      <c r="I489" s="1353">
        <v>40581</v>
      </c>
      <c r="J489" s="1354">
        <f t="shared" si="62"/>
        <v>182</v>
      </c>
      <c r="K489" s="1355">
        <v>40763</v>
      </c>
      <c r="L489" s="1356" t="s">
        <v>124</v>
      </c>
      <c r="M489" s="1353">
        <v>40701</v>
      </c>
      <c r="N489" s="1354">
        <f t="shared" si="58"/>
        <v>-93</v>
      </c>
      <c r="O489" s="1353">
        <v>40668</v>
      </c>
      <c r="P489" s="1357">
        <v>40670</v>
      </c>
      <c r="Q489" s="1416">
        <v>40686</v>
      </c>
      <c r="R489" s="1354">
        <f t="shared" si="57"/>
        <v>105</v>
      </c>
      <c r="S489" s="1358" t="s">
        <v>6315</v>
      </c>
      <c r="T489" s="1359" t="s">
        <v>6316</v>
      </c>
      <c r="U489" s="1360" t="str">
        <f t="shared" si="61"/>
        <v>en término</v>
      </c>
      <c r="V489" s="1130" t="str">
        <f t="shared" si="55"/>
        <v>Junio</v>
      </c>
      <c r="W489" s="1128">
        <f t="shared" si="56"/>
        <v>1</v>
      </c>
    </row>
    <row r="490" spans="1:23" s="1321" customFormat="1" ht="57.6" customHeight="1" thickBot="1" x14ac:dyDescent="0.2">
      <c r="A490" s="1117">
        <v>2011</v>
      </c>
      <c r="B490" s="1117">
        <v>2011</v>
      </c>
      <c r="C490" s="1361" t="s">
        <v>78</v>
      </c>
      <c r="D490" s="1363" t="s">
        <v>3165</v>
      </c>
      <c r="E490" s="1350" t="s">
        <v>3752</v>
      </c>
      <c r="F490" s="1350"/>
      <c r="G490" s="1351">
        <v>577308</v>
      </c>
      <c r="H490" s="1352">
        <v>13522.79</v>
      </c>
      <c r="I490" s="1353">
        <v>40581</v>
      </c>
      <c r="J490" s="1354">
        <f t="shared" si="62"/>
        <v>182</v>
      </c>
      <c r="K490" s="1355">
        <v>40763</v>
      </c>
      <c r="L490" s="1356" t="s">
        <v>124</v>
      </c>
      <c r="M490" s="1353">
        <v>40701</v>
      </c>
      <c r="N490" s="1354">
        <f t="shared" si="58"/>
        <v>-93</v>
      </c>
      <c r="O490" s="1353">
        <v>40668</v>
      </c>
      <c r="P490" s="1357">
        <v>40670</v>
      </c>
      <c r="Q490" s="1416">
        <v>40686</v>
      </c>
      <c r="R490" s="1354">
        <f t="shared" si="57"/>
        <v>105</v>
      </c>
      <c r="S490" s="1358" t="s">
        <v>6317</v>
      </c>
      <c r="T490" s="1359" t="s">
        <v>6316</v>
      </c>
      <c r="U490" s="1360" t="str">
        <f t="shared" si="61"/>
        <v>en término</v>
      </c>
      <c r="V490" s="1130" t="str">
        <f t="shared" si="55"/>
        <v>Junio</v>
      </c>
      <c r="W490" s="1128">
        <f t="shared" si="56"/>
        <v>1</v>
      </c>
    </row>
    <row r="491" spans="1:23" s="1321" customFormat="1" ht="57.6" customHeight="1" thickBot="1" x14ac:dyDescent="0.2">
      <c r="A491" s="1117">
        <v>2011</v>
      </c>
      <c r="B491" s="1117">
        <v>2011</v>
      </c>
      <c r="C491" s="1361" t="s">
        <v>78</v>
      </c>
      <c r="D491" s="1363" t="s">
        <v>3165</v>
      </c>
      <c r="E491" s="1350" t="s">
        <v>3752</v>
      </c>
      <c r="F491" s="1350"/>
      <c r="G491" s="1351">
        <v>577308</v>
      </c>
      <c r="H491" s="1352">
        <v>358074</v>
      </c>
      <c r="I491" s="1353">
        <v>40581</v>
      </c>
      <c r="J491" s="1354">
        <f t="shared" si="62"/>
        <v>182</v>
      </c>
      <c r="K491" s="1355">
        <v>40763</v>
      </c>
      <c r="L491" s="1356" t="s">
        <v>124</v>
      </c>
      <c r="M491" s="1353">
        <v>40701</v>
      </c>
      <c r="N491" s="1354">
        <f t="shared" si="58"/>
        <v>-40</v>
      </c>
      <c r="O491" s="1353">
        <v>40717</v>
      </c>
      <c r="P491" s="1357">
        <v>40723</v>
      </c>
      <c r="Q491" s="1355">
        <v>40753</v>
      </c>
      <c r="R491" s="1354">
        <f t="shared" si="57"/>
        <v>172</v>
      </c>
      <c r="S491" s="1358" t="s">
        <v>6317</v>
      </c>
      <c r="T491" s="1359" t="s">
        <v>6316</v>
      </c>
      <c r="U491" s="1360" t="str">
        <f t="shared" si="61"/>
        <v>en término</v>
      </c>
      <c r="V491" s="1130" t="str">
        <f t="shared" si="55"/>
        <v>Junio</v>
      </c>
      <c r="W491" s="1128">
        <f t="shared" si="56"/>
        <v>1</v>
      </c>
    </row>
    <row r="492" spans="1:23" s="1321" customFormat="1" ht="57.6" customHeight="1" thickBot="1" x14ac:dyDescent="0.2">
      <c r="A492" s="1117">
        <v>2011</v>
      </c>
      <c r="B492" s="1117">
        <v>2011</v>
      </c>
      <c r="C492" s="1361" t="s">
        <v>78</v>
      </c>
      <c r="D492" s="1363" t="s">
        <v>3165</v>
      </c>
      <c r="E492" s="1350" t="s">
        <v>3752</v>
      </c>
      <c r="F492" s="1350"/>
      <c r="G492" s="1351">
        <v>577329</v>
      </c>
      <c r="H492" s="1352">
        <v>342043</v>
      </c>
      <c r="I492" s="1353">
        <v>40581</v>
      </c>
      <c r="J492" s="1354">
        <f t="shared" si="62"/>
        <v>182</v>
      </c>
      <c r="K492" s="1355">
        <v>40763</v>
      </c>
      <c r="L492" s="1356" t="s">
        <v>124</v>
      </c>
      <c r="M492" s="1353">
        <v>40701</v>
      </c>
      <c r="N492" s="1354">
        <f t="shared" si="58"/>
        <v>-40</v>
      </c>
      <c r="O492" s="1353">
        <v>40717</v>
      </c>
      <c r="P492" s="1357">
        <v>40723</v>
      </c>
      <c r="Q492" s="1355">
        <v>40753</v>
      </c>
      <c r="R492" s="1354">
        <f t="shared" si="57"/>
        <v>172</v>
      </c>
      <c r="S492" s="1358" t="s">
        <v>6315</v>
      </c>
      <c r="T492" s="1359" t="s">
        <v>6316</v>
      </c>
      <c r="U492" s="1360" t="str">
        <f t="shared" si="61"/>
        <v>en término</v>
      </c>
      <c r="V492" s="1130" t="str">
        <f t="shared" si="55"/>
        <v>Junio</v>
      </c>
      <c r="W492" s="1128">
        <f t="shared" si="56"/>
        <v>1</v>
      </c>
    </row>
    <row r="493" spans="1:23" s="1321" customFormat="1" ht="57.6" customHeight="1" thickBot="1" x14ac:dyDescent="0.2">
      <c r="A493" s="1117">
        <v>2011</v>
      </c>
      <c r="B493" s="1117">
        <v>2011</v>
      </c>
      <c r="C493" s="1361" t="s">
        <v>78</v>
      </c>
      <c r="D493" s="1363" t="s">
        <v>3165</v>
      </c>
      <c r="E493" s="1350" t="s">
        <v>3752</v>
      </c>
      <c r="F493" s="1350"/>
      <c r="G493" s="1351">
        <v>577329</v>
      </c>
      <c r="H493" s="1352">
        <v>60778.78</v>
      </c>
      <c r="I493" s="1353">
        <v>40581</v>
      </c>
      <c r="J493" s="1354">
        <f t="shared" si="62"/>
        <v>182</v>
      </c>
      <c r="K493" s="1355">
        <v>40763</v>
      </c>
      <c r="L493" s="1356" t="s">
        <v>124</v>
      </c>
      <c r="M493" s="1353">
        <v>40729</v>
      </c>
      <c r="N493" s="1354">
        <f t="shared" si="58"/>
        <v>-26</v>
      </c>
      <c r="O493" s="1353">
        <v>40729</v>
      </c>
      <c r="P493" s="1357">
        <v>40737</v>
      </c>
      <c r="Q493" s="1355">
        <v>40780</v>
      </c>
      <c r="R493" s="1354">
        <f t="shared" si="57"/>
        <v>199</v>
      </c>
      <c r="S493" s="1358" t="s">
        <v>6318</v>
      </c>
      <c r="T493" s="1359" t="s">
        <v>6316</v>
      </c>
      <c r="U493" s="1360" t="str">
        <f t="shared" si="61"/>
        <v>en término</v>
      </c>
      <c r="V493" s="1130" t="str">
        <f t="shared" si="55"/>
        <v>Julio</v>
      </c>
      <c r="W493" s="1128">
        <f t="shared" si="56"/>
        <v>1</v>
      </c>
    </row>
    <row r="494" spans="1:23" s="1321" customFormat="1" ht="57.6" customHeight="1" thickBot="1" x14ac:dyDescent="0.2">
      <c r="A494" s="1117">
        <v>2011</v>
      </c>
      <c r="B494" s="1117">
        <v>2011</v>
      </c>
      <c r="C494" s="1361" t="s">
        <v>78</v>
      </c>
      <c r="D494" s="1363" t="s">
        <v>3165</v>
      </c>
      <c r="E494" s="1350" t="s">
        <v>3752</v>
      </c>
      <c r="F494" s="1350"/>
      <c r="G494" s="1351">
        <v>577308</v>
      </c>
      <c r="H494" s="1352">
        <v>82616.17</v>
      </c>
      <c r="I494" s="1353">
        <v>40581</v>
      </c>
      <c r="J494" s="1354">
        <f t="shared" si="62"/>
        <v>182</v>
      </c>
      <c r="K494" s="1355">
        <v>40763</v>
      </c>
      <c r="L494" s="1356" t="s">
        <v>124</v>
      </c>
      <c r="M494" s="1353">
        <v>40729</v>
      </c>
      <c r="N494" s="1354">
        <f t="shared" si="58"/>
        <v>-26</v>
      </c>
      <c r="O494" s="1353">
        <v>40729</v>
      </c>
      <c r="P494" s="1357">
        <v>40737</v>
      </c>
      <c r="Q494" s="1355">
        <v>40780</v>
      </c>
      <c r="R494" s="1354">
        <f t="shared" si="57"/>
        <v>199</v>
      </c>
      <c r="S494" s="1358" t="s">
        <v>6319</v>
      </c>
      <c r="T494" s="1359" t="s">
        <v>6316</v>
      </c>
      <c r="U494" s="1360" t="str">
        <f t="shared" si="61"/>
        <v>en término</v>
      </c>
      <c r="V494" s="1130" t="str">
        <f t="shared" si="55"/>
        <v>Julio</v>
      </c>
      <c r="W494" s="1128">
        <f t="shared" si="56"/>
        <v>1</v>
      </c>
    </row>
    <row r="495" spans="1:23" s="1321" customFormat="1" ht="57.6" customHeight="1" thickBot="1" x14ac:dyDescent="0.2">
      <c r="A495" s="1117">
        <v>2011</v>
      </c>
      <c r="B495" s="1117">
        <v>2011</v>
      </c>
      <c r="C495" s="1338" t="s">
        <v>78</v>
      </c>
      <c r="D495" s="1362" t="s">
        <v>3165</v>
      </c>
      <c r="E495" s="1339" t="s">
        <v>3752</v>
      </c>
      <c r="F495" s="1339" t="s">
        <v>77</v>
      </c>
      <c r="G495" s="1340">
        <v>577308</v>
      </c>
      <c r="H495" s="1341">
        <v>65753.67</v>
      </c>
      <c r="I495" s="1342">
        <v>40581</v>
      </c>
      <c r="J495" s="1343">
        <f t="shared" si="62"/>
        <v>182</v>
      </c>
      <c r="K495" s="1344">
        <v>40763</v>
      </c>
      <c r="L495" s="1345" t="s">
        <v>124</v>
      </c>
      <c r="M495" s="1342">
        <v>40757</v>
      </c>
      <c r="N495" s="1343">
        <f t="shared" si="58"/>
        <v>-25</v>
      </c>
      <c r="O495" s="1353">
        <v>40738</v>
      </c>
      <c r="P495" s="1346">
        <v>40738</v>
      </c>
      <c r="Q495" s="1344">
        <f>+P495+30</f>
        <v>40768</v>
      </c>
      <c r="R495" s="1343">
        <f t="shared" si="57"/>
        <v>187</v>
      </c>
      <c r="S495" s="1347" t="s">
        <v>6320</v>
      </c>
      <c r="T495" s="1348" t="s">
        <v>6316</v>
      </c>
      <c r="U495" s="1349" t="str">
        <f t="shared" si="61"/>
        <v>en término</v>
      </c>
      <c r="V495" s="1130" t="str">
        <f t="shared" si="55"/>
        <v>Agosto</v>
      </c>
      <c r="W495" s="1128">
        <f t="shared" si="56"/>
        <v>1</v>
      </c>
    </row>
    <row r="496" spans="1:23" s="1321" customFormat="1" ht="57.6" customHeight="1" thickBot="1" x14ac:dyDescent="0.2">
      <c r="A496" s="1117">
        <v>2011</v>
      </c>
      <c r="B496" s="1117">
        <v>2011</v>
      </c>
      <c r="C496" s="1361" t="s">
        <v>78</v>
      </c>
      <c r="D496" s="1363" t="s">
        <v>3165</v>
      </c>
      <c r="E496" s="1350" t="s">
        <v>3752</v>
      </c>
      <c r="F496" s="1350"/>
      <c r="G496" s="1351">
        <v>577329</v>
      </c>
      <c r="H496" s="1352">
        <v>34470.68</v>
      </c>
      <c r="I496" s="1353">
        <v>40581</v>
      </c>
      <c r="J496" s="1354">
        <f t="shared" si="62"/>
        <v>182</v>
      </c>
      <c r="K496" s="1355">
        <v>40763</v>
      </c>
      <c r="L496" s="1356" t="s">
        <v>124</v>
      </c>
      <c r="M496" s="1353">
        <v>40757</v>
      </c>
      <c r="N496" s="1354">
        <f t="shared" si="58"/>
        <v>-25</v>
      </c>
      <c r="O496" s="1353">
        <v>40738</v>
      </c>
      <c r="P496" s="1357">
        <v>40738</v>
      </c>
      <c r="Q496" s="1355">
        <f>+P496+30</f>
        <v>40768</v>
      </c>
      <c r="R496" s="1354">
        <f t="shared" si="57"/>
        <v>187</v>
      </c>
      <c r="S496" s="1358" t="s">
        <v>6321</v>
      </c>
      <c r="T496" s="1359" t="s">
        <v>6316</v>
      </c>
      <c r="U496" s="1360" t="str">
        <f t="shared" si="61"/>
        <v>en término</v>
      </c>
      <c r="V496" s="1130" t="str">
        <f t="shared" si="55"/>
        <v>Agosto</v>
      </c>
      <c r="W496" s="1128">
        <f t="shared" si="56"/>
        <v>1</v>
      </c>
    </row>
    <row r="497" spans="1:23" s="1321" customFormat="1" ht="57.6" customHeight="1" thickBot="1" x14ac:dyDescent="0.2">
      <c r="A497" s="1117">
        <v>2011</v>
      </c>
      <c r="B497" s="1117">
        <v>2011</v>
      </c>
      <c r="C497" s="1361" t="s">
        <v>78</v>
      </c>
      <c r="D497" s="1363" t="s">
        <v>3165</v>
      </c>
      <c r="E497" s="1350" t="s">
        <v>3766</v>
      </c>
      <c r="F497" s="1350"/>
      <c r="G497" s="1351">
        <v>580809</v>
      </c>
      <c r="H497" s="1352">
        <v>340625</v>
      </c>
      <c r="I497" s="1353">
        <v>40697</v>
      </c>
      <c r="J497" s="1354">
        <f t="shared" si="62"/>
        <v>89</v>
      </c>
      <c r="K497" s="1355">
        <v>40786</v>
      </c>
      <c r="L497" s="1356" t="s">
        <v>124</v>
      </c>
      <c r="M497" s="1353">
        <v>40779</v>
      </c>
      <c r="N497" s="1354">
        <f t="shared" si="58"/>
        <v>-1</v>
      </c>
      <c r="O497" s="1353">
        <v>40784</v>
      </c>
      <c r="P497" s="1357">
        <v>40785</v>
      </c>
      <c r="Q497" s="1355">
        <v>40810</v>
      </c>
      <c r="R497" s="1354">
        <f t="shared" si="57"/>
        <v>113</v>
      </c>
      <c r="S497" s="1358" t="s">
        <v>6322</v>
      </c>
      <c r="T497" s="1359" t="s">
        <v>6323</v>
      </c>
      <c r="U497" s="1360" t="str">
        <f t="shared" si="61"/>
        <v>en término</v>
      </c>
      <c r="V497" s="1130" t="str">
        <f t="shared" si="55"/>
        <v>Agosto</v>
      </c>
      <c r="W497" s="1128">
        <f t="shared" si="56"/>
        <v>1</v>
      </c>
    </row>
    <row r="498" spans="1:23" s="1321" customFormat="1" ht="57.6" customHeight="1" thickBot="1" x14ac:dyDescent="0.2">
      <c r="A498" s="1117">
        <v>2011</v>
      </c>
      <c r="B498" s="1117">
        <v>2011</v>
      </c>
      <c r="C498" s="1243" t="s">
        <v>78</v>
      </c>
      <c r="D498" s="1244" t="s">
        <v>3165</v>
      </c>
      <c r="E498" s="1215" t="s">
        <v>3762</v>
      </c>
      <c r="F498" s="1215"/>
      <c r="G498" s="1216">
        <v>580254</v>
      </c>
      <c r="H498" s="1217">
        <v>26510</v>
      </c>
      <c r="I498" s="1218">
        <v>40679</v>
      </c>
      <c r="J498" s="1219">
        <f t="shared" si="62"/>
        <v>92</v>
      </c>
      <c r="K498" s="1220">
        <v>40771</v>
      </c>
      <c r="L498" s="1221" t="s">
        <v>124</v>
      </c>
      <c r="M498" s="1218">
        <v>40757</v>
      </c>
      <c r="N498" s="1219">
        <f t="shared" si="58"/>
        <v>-14</v>
      </c>
      <c r="O498" s="1218">
        <v>40757</v>
      </c>
      <c r="P498" s="1222">
        <v>40757</v>
      </c>
      <c r="Q498" s="1222">
        <v>40816</v>
      </c>
      <c r="R498" s="1219">
        <f t="shared" si="57"/>
        <v>137</v>
      </c>
      <c r="S498" s="1223" t="s">
        <v>944</v>
      </c>
      <c r="T498" s="1224"/>
      <c r="U498" s="1225" t="str">
        <f t="shared" si="61"/>
        <v>en término</v>
      </c>
      <c r="V498" s="1130" t="str">
        <f t="shared" si="55"/>
        <v>Agosto</v>
      </c>
      <c r="W498" s="1128">
        <f t="shared" si="56"/>
        <v>1</v>
      </c>
    </row>
    <row r="499" spans="1:23" s="1321" customFormat="1" ht="57.6" customHeight="1" thickBot="1" x14ac:dyDescent="0.2">
      <c r="A499" s="1117">
        <v>2011</v>
      </c>
      <c r="B499" s="1117">
        <v>2011</v>
      </c>
      <c r="C499" s="1243" t="s">
        <v>78</v>
      </c>
      <c r="D499" s="1214" t="s">
        <v>79</v>
      </c>
      <c r="E499" s="1215" t="s">
        <v>3774</v>
      </c>
      <c r="F499" s="1215"/>
      <c r="G499" s="1216" t="s">
        <v>3775</v>
      </c>
      <c r="H499" s="1217">
        <v>7130</v>
      </c>
      <c r="I499" s="1218">
        <v>40786</v>
      </c>
      <c r="J499" s="1219">
        <f t="shared" si="62"/>
        <v>40</v>
      </c>
      <c r="K499" s="1220">
        <v>40826</v>
      </c>
      <c r="L499" s="1221" t="s">
        <v>124</v>
      </c>
      <c r="M499" s="1218">
        <v>40869</v>
      </c>
      <c r="N499" s="1219">
        <f t="shared" si="58"/>
        <v>57</v>
      </c>
      <c r="O499" s="1218"/>
      <c r="P499" s="1222">
        <v>40883</v>
      </c>
      <c r="Q499" s="1220">
        <f>+P499+30</f>
        <v>40913</v>
      </c>
      <c r="R499" s="1219">
        <f t="shared" si="57"/>
        <v>127</v>
      </c>
      <c r="S499" s="1223" t="s">
        <v>73</v>
      </c>
      <c r="T499" s="1224"/>
      <c r="U499" s="1225" t="str">
        <f t="shared" si="61"/>
        <v>atrasado</v>
      </c>
      <c r="V499" s="1130" t="str">
        <f t="shared" si="55"/>
        <v>Noviembre</v>
      </c>
      <c r="W499" s="1128">
        <f t="shared" si="56"/>
        <v>0</v>
      </c>
    </row>
    <row r="500" spans="1:23" s="1321" customFormat="1" ht="57.6" customHeight="1" thickBot="1" x14ac:dyDescent="0.2">
      <c r="A500" s="1117">
        <v>2011</v>
      </c>
      <c r="B500" s="1117">
        <v>2011</v>
      </c>
      <c r="C500" s="1213" t="s">
        <v>78</v>
      </c>
      <c r="D500" s="1214" t="s">
        <v>79</v>
      </c>
      <c r="E500" s="1215" t="s">
        <v>3776</v>
      </c>
      <c r="F500" s="1215"/>
      <c r="G500" s="1216" t="s">
        <v>3777</v>
      </c>
      <c r="H500" s="1217">
        <v>5540.9</v>
      </c>
      <c r="I500" s="1218">
        <v>40798</v>
      </c>
      <c r="J500" s="1219">
        <f t="shared" si="62"/>
        <v>77</v>
      </c>
      <c r="K500" s="1220">
        <v>40875</v>
      </c>
      <c r="L500" s="1221" t="s">
        <v>124</v>
      </c>
      <c r="M500" s="1218">
        <v>40869</v>
      </c>
      <c r="N500" s="1219">
        <f t="shared" si="58"/>
        <v>8</v>
      </c>
      <c r="O500" s="1218"/>
      <c r="P500" s="1222">
        <v>40883</v>
      </c>
      <c r="Q500" s="1220">
        <f>+P500+30</f>
        <v>40913</v>
      </c>
      <c r="R500" s="1219">
        <f t="shared" si="57"/>
        <v>115</v>
      </c>
      <c r="S500" s="1223" t="s">
        <v>53</v>
      </c>
      <c r="T500" s="1224"/>
      <c r="U500" s="1225" t="str">
        <f t="shared" si="61"/>
        <v>atrasado</v>
      </c>
      <c r="V500" s="1130" t="str">
        <f t="shared" si="55"/>
        <v>Noviembre</v>
      </c>
      <c r="W500" s="1128">
        <f t="shared" si="56"/>
        <v>0</v>
      </c>
    </row>
    <row r="501" spans="1:23" s="1321" customFormat="1" ht="57.6" customHeight="1" thickBot="1" x14ac:dyDescent="0.2">
      <c r="A501" s="1117">
        <v>2011</v>
      </c>
      <c r="B501" s="1117">
        <v>2011</v>
      </c>
      <c r="C501" s="1213" t="s">
        <v>78</v>
      </c>
      <c r="D501" s="1214" t="s">
        <v>3165</v>
      </c>
      <c r="E501" s="1215" t="s">
        <v>6324</v>
      </c>
      <c r="F501" s="1215"/>
      <c r="G501" s="1216">
        <v>583156</v>
      </c>
      <c r="H501" s="1217">
        <v>12210</v>
      </c>
      <c r="I501" s="1218">
        <v>40840</v>
      </c>
      <c r="J501" s="1219">
        <f t="shared" si="62"/>
        <v>28</v>
      </c>
      <c r="K501" s="1220">
        <v>40868</v>
      </c>
      <c r="L501" s="1221" t="s">
        <v>124</v>
      </c>
      <c r="M501" s="1218">
        <v>40858</v>
      </c>
      <c r="N501" s="1219">
        <f t="shared" si="58"/>
        <v>19</v>
      </c>
      <c r="O501" s="1218">
        <v>40884</v>
      </c>
      <c r="P501" s="1222">
        <v>40887</v>
      </c>
      <c r="Q501" s="1220">
        <v>40915</v>
      </c>
      <c r="R501" s="1219">
        <f t="shared" si="57"/>
        <v>75</v>
      </c>
      <c r="S501" s="1223" t="s">
        <v>3772</v>
      </c>
      <c r="T501" s="1224"/>
      <c r="U501" s="1225" t="str">
        <f t="shared" si="61"/>
        <v>atrasado</v>
      </c>
      <c r="V501" s="1130" t="str">
        <f t="shared" si="55"/>
        <v>Noviembre</v>
      </c>
      <c r="W501" s="1128">
        <f t="shared" si="56"/>
        <v>0</v>
      </c>
    </row>
    <row r="502" spans="1:23" s="1321" customFormat="1" ht="57.6" customHeight="1" thickBot="1" x14ac:dyDescent="0.2">
      <c r="A502" s="1117">
        <v>2011</v>
      </c>
      <c r="B502" s="1117">
        <v>2011</v>
      </c>
      <c r="C502" s="1213" t="s">
        <v>6325</v>
      </c>
      <c r="D502" s="1214" t="s">
        <v>5800</v>
      </c>
      <c r="E502" s="1215" t="s">
        <v>5801</v>
      </c>
      <c r="F502" s="1215"/>
      <c r="G502" s="1216" t="s">
        <v>5802</v>
      </c>
      <c r="H502" s="1217">
        <v>10384</v>
      </c>
      <c r="I502" s="1218">
        <v>40536</v>
      </c>
      <c r="J502" s="1219">
        <v>90</v>
      </c>
      <c r="K502" s="1220">
        <f>+I502+J502</f>
        <v>40626</v>
      </c>
      <c r="L502" s="1221" t="s">
        <v>124</v>
      </c>
      <c r="M502" s="1218">
        <v>40620</v>
      </c>
      <c r="N502" s="1219">
        <f t="shared" si="58"/>
        <v>32</v>
      </c>
      <c r="O502" s="1218">
        <v>40648</v>
      </c>
      <c r="P502" s="1222">
        <v>40658</v>
      </c>
      <c r="Q502" s="1220">
        <f>+P502+40</f>
        <v>40698</v>
      </c>
      <c r="R502" s="1219">
        <f t="shared" si="57"/>
        <v>162</v>
      </c>
      <c r="S502" s="1223" t="s">
        <v>6326</v>
      </c>
      <c r="T502" s="1241" t="s">
        <v>5807</v>
      </c>
      <c r="U502" s="1225" t="str">
        <f>IF(M502="","",IF(M502&lt;=0,"en término","atrasado"))</f>
        <v>atrasado</v>
      </c>
      <c r="V502" s="1130" t="str">
        <f t="shared" si="55"/>
        <v>Marzo</v>
      </c>
      <c r="W502" s="1128">
        <f t="shared" si="56"/>
        <v>0</v>
      </c>
    </row>
    <row r="503" spans="1:23" s="1321" customFormat="1" ht="57.6" customHeight="1" thickBot="1" x14ac:dyDescent="0.2">
      <c r="A503" s="1117">
        <v>2011</v>
      </c>
      <c r="B503" s="1117">
        <v>2011</v>
      </c>
      <c r="C503" s="1361" t="s">
        <v>36</v>
      </c>
      <c r="D503" s="1363" t="s">
        <v>133</v>
      </c>
      <c r="E503" s="1350" t="s">
        <v>2349</v>
      </c>
      <c r="F503" s="1367" t="s">
        <v>2350</v>
      </c>
      <c r="G503" s="1351">
        <v>4503638766</v>
      </c>
      <c r="H503" s="1352">
        <v>365.91</v>
      </c>
      <c r="I503" s="1353">
        <v>40479</v>
      </c>
      <c r="J503" s="1354">
        <f t="shared" ref="J503:J534" si="63">+K503-I503</f>
        <v>96</v>
      </c>
      <c r="K503" s="1355">
        <v>40575</v>
      </c>
      <c r="L503" s="1353" t="s">
        <v>41</v>
      </c>
      <c r="M503" s="1342">
        <v>40551</v>
      </c>
      <c r="N503" s="1354">
        <f t="shared" si="58"/>
        <v>-17</v>
      </c>
      <c r="O503" s="1342">
        <v>40555</v>
      </c>
      <c r="P503" s="1346">
        <v>40558</v>
      </c>
      <c r="Q503" s="1374">
        <v>40572</v>
      </c>
      <c r="R503" s="1354">
        <f t="shared" si="57"/>
        <v>93</v>
      </c>
      <c r="S503" s="1358" t="s">
        <v>53</v>
      </c>
      <c r="T503" s="1378"/>
      <c r="U503" s="1358" t="str">
        <f t="shared" ref="U503:U534" si="64">IF(N503="","",IF(N503&lt;=0,"en término","atrasado"))</f>
        <v>en término</v>
      </c>
      <c r="V503" s="1130" t="str">
        <f t="shared" si="55"/>
        <v>Enero</v>
      </c>
      <c r="W503" s="1128">
        <f t="shared" si="56"/>
        <v>1</v>
      </c>
    </row>
    <row r="504" spans="1:23" s="1321" customFormat="1" ht="57.6" customHeight="1" thickBot="1" x14ac:dyDescent="0.2">
      <c r="A504" s="1117">
        <v>2011</v>
      </c>
      <c r="B504" s="1117">
        <v>2011</v>
      </c>
      <c r="C504" s="1361" t="s">
        <v>36</v>
      </c>
      <c r="D504" s="1363" t="s">
        <v>133</v>
      </c>
      <c r="E504" s="1350" t="s">
        <v>2408</v>
      </c>
      <c r="F504" s="1358" t="s">
        <v>2409</v>
      </c>
      <c r="G504" s="1351">
        <v>4503654317</v>
      </c>
      <c r="H504" s="1352">
        <v>19895</v>
      </c>
      <c r="I504" s="1353">
        <v>40486</v>
      </c>
      <c r="J504" s="1354">
        <f t="shared" si="63"/>
        <v>86</v>
      </c>
      <c r="K504" s="1355">
        <v>40572</v>
      </c>
      <c r="L504" s="1353" t="s">
        <v>41</v>
      </c>
      <c r="M504" s="1342">
        <v>40551</v>
      </c>
      <c r="N504" s="1354">
        <f t="shared" si="58"/>
        <v>-14</v>
      </c>
      <c r="O504" s="1342">
        <v>40555</v>
      </c>
      <c r="P504" s="1346">
        <v>40558</v>
      </c>
      <c r="Q504" s="1374">
        <v>40572</v>
      </c>
      <c r="R504" s="1354">
        <f t="shared" si="57"/>
        <v>86</v>
      </c>
      <c r="S504" s="1358" t="s">
        <v>2417</v>
      </c>
      <c r="T504" s="1359"/>
      <c r="U504" s="1360" t="str">
        <f t="shared" si="64"/>
        <v>en término</v>
      </c>
      <c r="V504" s="1130" t="str">
        <f t="shared" si="55"/>
        <v>Enero</v>
      </c>
      <c r="W504" s="1128">
        <f t="shared" si="56"/>
        <v>1</v>
      </c>
    </row>
    <row r="505" spans="1:23" s="1321" customFormat="1" ht="57.6" customHeight="1" thickBot="1" x14ac:dyDescent="0.2">
      <c r="A505" s="1117">
        <v>2011</v>
      </c>
      <c r="B505" s="1117">
        <v>2011</v>
      </c>
      <c r="C505" s="1338" t="s">
        <v>36</v>
      </c>
      <c r="D505" s="1362" t="s">
        <v>133</v>
      </c>
      <c r="E505" s="1339" t="s">
        <v>2349</v>
      </c>
      <c r="F505" s="1372" t="s">
        <v>2350</v>
      </c>
      <c r="G505" s="1340">
        <v>4503611607</v>
      </c>
      <c r="H505" s="1341">
        <v>202540</v>
      </c>
      <c r="I505" s="1342">
        <v>40463</v>
      </c>
      <c r="J505" s="1343">
        <f t="shared" si="63"/>
        <v>96</v>
      </c>
      <c r="K505" s="1344">
        <v>40559</v>
      </c>
      <c r="L505" s="1342" t="s">
        <v>41</v>
      </c>
      <c r="M505" s="1342">
        <v>40551</v>
      </c>
      <c r="N505" s="1343">
        <f t="shared" si="58"/>
        <v>-1</v>
      </c>
      <c r="O505" s="1342">
        <v>40555</v>
      </c>
      <c r="P505" s="1346">
        <v>40558</v>
      </c>
      <c r="Q505" s="1374">
        <v>40572</v>
      </c>
      <c r="R505" s="1343">
        <f t="shared" si="57"/>
        <v>109</v>
      </c>
      <c r="S505" s="1347" t="s">
        <v>2250</v>
      </c>
      <c r="T505" s="1390"/>
      <c r="U505" s="1347" t="str">
        <f t="shared" si="64"/>
        <v>en término</v>
      </c>
      <c r="V505" s="1130" t="str">
        <f t="shared" si="55"/>
        <v>Enero</v>
      </c>
      <c r="W505" s="1128">
        <f t="shared" si="56"/>
        <v>1</v>
      </c>
    </row>
    <row r="506" spans="1:23" s="1321" customFormat="1" ht="57.6" customHeight="1" thickBot="1" x14ac:dyDescent="0.2">
      <c r="A506" s="1117">
        <v>2011</v>
      </c>
      <c r="B506" s="1117">
        <v>2011</v>
      </c>
      <c r="C506" s="1361" t="s">
        <v>36</v>
      </c>
      <c r="D506" s="1363" t="s">
        <v>133</v>
      </c>
      <c r="E506" s="1350" t="s">
        <v>2349</v>
      </c>
      <c r="F506" s="1367" t="s">
        <v>2350</v>
      </c>
      <c r="G506" s="1351">
        <v>4503617897</v>
      </c>
      <c r="H506" s="1352">
        <v>12056.24</v>
      </c>
      <c r="I506" s="1353">
        <v>40467</v>
      </c>
      <c r="J506" s="1354">
        <f t="shared" si="63"/>
        <v>93</v>
      </c>
      <c r="K506" s="1355">
        <v>40560</v>
      </c>
      <c r="L506" s="1353" t="s">
        <v>41</v>
      </c>
      <c r="M506" s="1342">
        <v>40551</v>
      </c>
      <c r="N506" s="1354">
        <f t="shared" si="58"/>
        <v>-2</v>
      </c>
      <c r="O506" s="1342">
        <v>40555</v>
      </c>
      <c r="P506" s="1346">
        <v>40558</v>
      </c>
      <c r="Q506" s="1374">
        <v>40572</v>
      </c>
      <c r="R506" s="1354">
        <f t="shared" si="57"/>
        <v>105</v>
      </c>
      <c r="S506" s="1358" t="s">
        <v>53</v>
      </c>
      <c r="T506" s="1378"/>
      <c r="U506" s="1358" t="str">
        <f t="shared" si="64"/>
        <v>en término</v>
      </c>
      <c r="V506" s="1130" t="str">
        <f t="shared" si="55"/>
        <v>Enero</v>
      </c>
      <c r="W506" s="1128">
        <f t="shared" si="56"/>
        <v>1</v>
      </c>
    </row>
    <row r="507" spans="1:23" s="1321" customFormat="1" ht="57.6" customHeight="1" thickBot="1" x14ac:dyDescent="0.2">
      <c r="A507" s="1117">
        <v>2011</v>
      </c>
      <c r="B507" s="1117">
        <v>2011</v>
      </c>
      <c r="C507" s="1361" t="s">
        <v>36</v>
      </c>
      <c r="D507" s="1363" t="s">
        <v>133</v>
      </c>
      <c r="E507" s="1339" t="s">
        <v>2349</v>
      </c>
      <c r="F507" s="1367" t="s">
        <v>2350</v>
      </c>
      <c r="G507" s="1351">
        <v>4503662928</v>
      </c>
      <c r="H507" s="1352">
        <v>120682.75</v>
      </c>
      <c r="I507" s="1353">
        <v>40493</v>
      </c>
      <c r="J507" s="1354">
        <f t="shared" si="63"/>
        <v>101</v>
      </c>
      <c r="K507" s="1355">
        <v>40594</v>
      </c>
      <c r="L507" s="1353" t="s">
        <v>41</v>
      </c>
      <c r="M507" s="1342">
        <v>40551</v>
      </c>
      <c r="N507" s="1354">
        <f t="shared" si="58"/>
        <v>-36</v>
      </c>
      <c r="O507" s="1342">
        <v>40555</v>
      </c>
      <c r="P507" s="1346">
        <v>40558</v>
      </c>
      <c r="Q507" s="1374">
        <v>40572</v>
      </c>
      <c r="R507" s="1354">
        <f t="shared" si="57"/>
        <v>79</v>
      </c>
      <c r="S507" s="1358" t="s">
        <v>2420</v>
      </c>
      <c r="T507" s="1378"/>
      <c r="U507" s="1358" t="str">
        <f t="shared" si="64"/>
        <v>en término</v>
      </c>
      <c r="V507" s="1130" t="str">
        <f t="shared" si="55"/>
        <v>Enero</v>
      </c>
      <c r="W507" s="1128">
        <f t="shared" si="56"/>
        <v>1</v>
      </c>
    </row>
    <row r="508" spans="1:23" s="1321" customFormat="1" ht="57.6" customHeight="1" thickBot="1" x14ac:dyDescent="0.2">
      <c r="A508" s="1117">
        <v>2011</v>
      </c>
      <c r="B508" s="1117">
        <v>2011</v>
      </c>
      <c r="C508" s="1338" t="s">
        <v>36</v>
      </c>
      <c r="D508" s="1362" t="s">
        <v>133</v>
      </c>
      <c r="E508" s="1339" t="s">
        <v>2349</v>
      </c>
      <c r="F508" s="1372" t="s">
        <v>2350</v>
      </c>
      <c r="G508" s="1340">
        <v>4503664715</v>
      </c>
      <c r="H508" s="1341">
        <v>9225.51</v>
      </c>
      <c r="I508" s="1342">
        <v>40493</v>
      </c>
      <c r="J508" s="1343">
        <f t="shared" si="63"/>
        <v>98</v>
      </c>
      <c r="K508" s="1344">
        <v>40591</v>
      </c>
      <c r="L508" s="1342" t="s">
        <v>41</v>
      </c>
      <c r="M508" s="1342">
        <v>40570</v>
      </c>
      <c r="N508" s="1343">
        <f t="shared" si="58"/>
        <v>-9</v>
      </c>
      <c r="O508" s="1353">
        <v>40577</v>
      </c>
      <c r="P508" s="1357">
        <v>40582</v>
      </c>
      <c r="Q508" s="1365">
        <v>40595</v>
      </c>
      <c r="R508" s="1343">
        <f t="shared" si="57"/>
        <v>102</v>
      </c>
      <c r="S508" s="1347" t="s">
        <v>53</v>
      </c>
      <c r="T508" s="1390"/>
      <c r="U508" s="1347" t="str">
        <f t="shared" si="64"/>
        <v>en término</v>
      </c>
      <c r="V508" s="1130" t="str">
        <f t="shared" si="55"/>
        <v>Enero</v>
      </c>
      <c r="W508" s="1128">
        <f t="shared" si="56"/>
        <v>1</v>
      </c>
    </row>
    <row r="509" spans="1:23" s="1321" customFormat="1" ht="57.6" customHeight="1" thickBot="1" x14ac:dyDescent="0.2">
      <c r="A509" s="1117">
        <v>2011</v>
      </c>
      <c r="B509" s="1117">
        <v>2011</v>
      </c>
      <c r="C509" s="1361" t="s">
        <v>36</v>
      </c>
      <c r="D509" s="1363" t="s">
        <v>133</v>
      </c>
      <c r="E509" s="1350" t="s">
        <v>2349</v>
      </c>
      <c r="F509" s="1367" t="s">
        <v>2350</v>
      </c>
      <c r="G509" s="1351">
        <v>4503654780</v>
      </c>
      <c r="H509" s="1352">
        <v>169575.03</v>
      </c>
      <c r="I509" s="1353">
        <v>40487</v>
      </c>
      <c r="J509" s="1354">
        <f t="shared" si="63"/>
        <v>97</v>
      </c>
      <c r="K509" s="1355">
        <v>40584</v>
      </c>
      <c r="L509" s="1353" t="s">
        <v>41</v>
      </c>
      <c r="M509" s="1353">
        <v>40570</v>
      </c>
      <c r="N509" s="1354">
        <f t="shared" si="58"/>
        <v>-2</v>
      </c>
      <c r="O509" s="1353">
        <v>40577</v>
      </c>
      <c r="P509" s="1357">
        <v>40582</v>
      </c>
      <c r="Q509" s="1365">
        <v>40595</v>
      </c>
      <c r="R509" s="1354">
        <f t="shared" si="57"/>
        <v>108</v>
      </c>
      <c r="S509" s="1358" t="s">
        <v>1542</v>
      </c>
      <c r="T509" s="1378"/>
      <c r="U509" s="1358" t="str">
        <f t="shared" si="64"/>
        <v>en término</v>
      </c>
      <c r="V509" s="1130" t="str">
        <f t="shared" si="55"/>
        <v>Enero</v>
      </c>
      <c r="W509" s="1128">
        <f t="shared" si="56"/>
        <v>1</v>
      </c>
    </row>
    <row r="510" spans="1:23" s="1321" customFormat="1" ht="57.6" customHeight="1" thickBot="1" x14ac:dyDescent="0.2">
      <c r="A510" s="1117">
        <v>2011</v>
      </c>
      <c r="B510" s="1117">
        <v>2011</v>
      </c>
      <c r="C510" s="1338" t="s">
        <v>36</v>
      </c>
      <c r="D510" s="1362" t="s">
        <v>133</v>
      </c>
      <c r="E510" s="1339" t="s">
        <v>2349</v>
      </c>
      <c r="F510" s="1372" t="s">
        <v>2350</v>
      </c>
      <c r="G510" s="1340">
        <v>4503677277</v>
      </c>
      <c r="H510" s="1341">
        <v>2658.29</v>
      </c>
      <c r="I510" s="1342">
        <v>40504</v>
      </c>
      <c r="J510" s="1343">
        <f t="shared" si="63"/>
        <v>92</v>
      </c>
      <c r="K510" s="1344">
        <v>40596</v>
      </c>
      <c r="L510" s="1342" t="s">
        <v>41</v>
      </c>
      <c r="M510" s="1353">
        <v>40570</v>
      </c>
      <c r="N510" s="1354">
        <f t="shared" si="58"/>
        <v>-14</v>
      </c>
      <c r="O510" s="1353">
        <v>40577</v>
      </c>
      <c r="P510" s="1357">
        <v>40582</v>
      </c>
      <c r="Q510" s="1365">
        <v>40595</v>
      </c>
      <c r="R510" s="1343">
        <f t="shared" si="57"/>
        <v>91</v>
      </c>
      <c r="S510" s="1347" t="s">
        <v>53</v>
      </c>
      <c r="T510" s="1390"/>
      <c r="U510" s="1347" t="str">
        <f t="shared" si="64"/>
        <v>en término</v>
      </c>
      <c r="V510" s="1130" t="str">
        <f t="shared" si="55"/>
        <v>Enero</v>
      </c>
      <c r="W510" s="1128">
        <f t="shared" si="56"/>
        <v>1</v>
      </c>
    </row>
    <row r="511" spans="1:23" s="1321" customFormat="1" ht="57.6" customHeight="1" thickBot="1" x14ac:dyDescent="0.2">
      <c r="A511" s="1117">
        <v>2011</v>
      </c>
      <c r="B511" s="1117">
        <v>2011</v>
      </c>
      <c r="C511" s="1338" t="s">
        <v>36</v>
      </c>
      <c r="D511" s="1362" t="s">
        <v>37</v>
      </c>
      <c r="E511" s="1339" t="s">
        <v>2430</v>
      </c>
      <c r="F511" s="1372" t="s">
        <v>2431</v>
      </c>
      <c r="G511" s="1340">
        <v>10120006</v>
      </c>
      <c r="H511" s="1341">
        <v>19374.5</v>
      </c>
      <c r="I511" s="1342">
        <v>40527</v>
      </c>
      <c r="J511" s="1343">
        <f t="shared" si="63"/>
        <v>54</v>
      </c>
      <c r="K511" s="1342">
        <v>40581</v>
      </c>
      <c r="L511" s="1342" t="s">
        <v>41</v>
      </c>
      <c r="M511" s="1342">
        <v>40570</v>
      </c>
      <c r="N511" s="1343">
        <f t="shared" si="58"/>
        <v>1</v>
      </c>
      <c r="O511" s="1353">
        <v>40577</v>
      </c>
      <c r="P511" s="1357">
        <v>40582</v>
      </c>
      <c r="Q511" s="1365">
        <v>40595</v>
      </c>
      <c r="R511" s="1343">
        <f t="shared" si="57"/>
        <v>68</v>
      </c>
      <c r="S511" s="1347" t="s">
        <v>6327</v>
      </c>
      <c r="T511" s="1390"/>
      <c r="U511" s="1347" t="str">
        <f t="shared" si="64"/>
        <v>atrasado</v>
      </c>
      <c r="V511" s="1130" t="str">
        <f t="shared" si="55"/>
        <v>Enero</v>
      </c>
      <c r="W511" s="1128">
        <f t="shared" si="56"/>
        <v>0</v>
      </c>
    </row>
    <row r="512" spans="1:23" s="1321" customFormat="1" ht="57.6" customHeight="1" thickBot="1" x14ac:dyDescent="0.2">
      <c r="A512" s="1117">
        <v>2011</v>
      </c>
      <c r="B512" s="1117">
        <v>2011</v>
      </c>
      <c r="C512" s="1361" t="s">
        <v>36</v>
      </c>
      <c r="D512" s="1363" t="s">
        <v>133</v>
      </c>
      <c r="E512" s="1339" t="s">
        <v>2349</v>
      </c>
      <c r="F512" s="1367" t="s">
        <v>2350</v>
      </c>
      <c r="G512" s="1351">
        <v>4503676701</v>
      </c>
      <c r="H512" s="1352">
        <v>22363.41</v>
      </c>
      <c r="I512" s="1353">
        <v>40504</v>
      </c>
      <c r="J512" s="1354">
        <f t="shared" si="63"/>
        <v>94</v>
      </c>
      <c r="K512" s="1355">
        <v>40598</v>
      </c>
      <c r="L512" s="1353" t="s">
        <v>41</v>
      </c>
      <c r="M512" s="1353">
        <v>40603</v>
      </c>
      <c r="N512" s="1354">
        <f t="shared" si="58"/>
        <v>21</v>
      </c>
      <c r="O512" s="1353">
        <v>40612</v>
      </c>
      <c r="P512" s="1357">
        <v>40619</v>
      </c>
      <c r="Q512" s="1365">
        <v>40630</v>
      </c>
      <c r="R512" s="1354">
        <f t="shared" si="57"/>
        <v>126</v>
      </c>
      <c r="S512" s="1358" t="s">
        <v>1193</v>
      </c>
      <c r="T512" s="1245"/>
      <c r="U512" s="1223" t="str">
        <f t="shared" si="64"/>
        <v>atrasado</v>
      </c>
      <c r="V512" s="1130" t="str">
        <f t="shared" si="55"/>
        <v>Marzo</v>
      </c>
      <c r="W512" s="1128">
        <f t="shared" si="56"/>
        <v>0</v>
      </c>
    </row>
    <row r="513" spans="1:23" s="1321" customFormat="1" ht="57.6" customHeight="1" thickBot="1" x14ac:dyDescent="0.2">
      <c r="A513" s="1117">
        <v>2011</v>
      </c>
      <c r="B513" s="1117">
        <v>2011</v>
      </c>
      <c r="C513" s="1338" t="s">
        <v>36</v>
      </c>
      <c r="D513" s="1362" t="s">
        <v>133</v>
      </c>
      <c r="E513" s="1339" t="s">
        <v>2349</v>
      </c>
      <c r="F513" s="1372" t="s">
        <v>2350</v>
      </c>
      <c r="G513" s="1340">
        <v>4503674111</v>
      </c>
      <c r="H513" s="1341">
        <v>122326.59</v>
      </c>
      <c r="I513" s="1342">
        <v>40501</v>
      </c>
      <c r="J513" s="1343">
        <f t="shared" si="63"/>
        <v>97</v>
      </c>
      <c r="K513" s="1344">
        <v>40598</v>
      </c>
      <c r="L513" s="1342" t="s">
        <v>41</v>
      </c>
      <c r="M513" s="1353">
        <v>40603</v>
      </c>
      <c r="N513" s="1354">
        <f t="shared" si="58"/>
        <v>21</v>
      </c>
      <c r="O513" s="1353">
        <v>40612</v>
      </c>
      <c r="P513" s="1357">
        <v>40619</v>
      </c>
      <c r="Q513" s="1365">
        <v>40630</v>
      </c>
      <c r="R513" s="1343">
        <f t="shared" si="57"/>
        <v>129</v>
      </c>
      <c r="S513" s="1347" t="s">
        <v>1127</v>
      </c>
      <c r="T513" s="1246"/>
      <c r="U513" s="1247" t="str">
        <f t="shared" si="64"/>
        <v>atrasado</v>
      </c>
      <c r="V513" s="1130" t="str">
        <f t="shared" si="55"/>
        <v>Marzo</v>
      </c>
      <c r="W513" s="1128">
        <f t="shared" si="56"/>
        <v>0</v>
      </c>
    </row>
    <row r="514" spans="1:23" s="1321" customFormat="1" ht="57.6" customHeight="1" thickBot="1" x14ac:dyDescent="0.2">
      <c r="A514" s="1117">
        <v>2011</v>
      </c>
      <c r="B514" s="1117">
        <v>2011</v>
      </c>
      <c r="C514" s="1361" t="s">
        <v>36</v>
      </c>
      <c r="D514" s="1363" t="s">
        <v>133</v>
      </c>
      <c r="E514" s="1350" t="s">
        <v>2408</v>
      </c>
      <c r="F514" s="1358" t="s">
        <v>2409</v>
      </c>
      <c r="G514" s="1351">
        <v>4503733767</v>
      </c>
      <c r="H514" s="1352">
        <v>17215</v>
      </c>
      <c r="I514" s="1353">
        <v>40534</v>
      </c>
      <c r="J514" s="1354">
        <f t="shared" si="63"/>
        <v>75</v>
      </c>
      <c r="K514" s="1355">
        <v>40609</v>
      </c>
      <c r="L514" s="1353" t="s">
        <v>41</v>
      </c>
      <c r="M514" s="1353">
        <v>40603</v>
      </c>
      <c r="N514" s="1354">
        <f t="shared" si="58"/>
        <v>10</v>
      </c>
      <c r="O514" s="1353">
        <v>40612</v>
      </c>
      <c r="P514" s="1357">
        <v>40619</v>
      </c>
      <c r="Q514" s="1365">
        <v>40630</v>
      </c>
      <c r="R514" s="1354">
        <f t="shared" si="57"/>
        <v>96</v>
      </c>
      <c r="S514" s="1358" t="s">
        <v>2410</v>
      </c>
      <c r="T514" s="1246"/>
      <c r="U514" s="1247" t="str">
        <f t="shared" si="64"/>
        <v>atrasado</v>
      </c>
      <c r="V514" s="1130" t="str">
        <f t="shared" ref="V514:V577" si="65">VLOOKUP(MONTH(M514),$Y$66:$Z$77,2,FALSE)</f>
        <v>Marzo</v>
      </c>
      <c r="W514" s="1128">
        <f t="shared" ref="W514:W577" si="66">+IF(U514="atrasado",0)+IF(U514="en término",1)</f>
        <v>0</v>
      </c>
    </row>
    <row r="515" spans="1:23" s="1321" customFormat="1" ht="57.6" customHeight="1" thickBot="1" x14ac:dyDescent="0.2">
      <c r="A515" s="1117">
        <v>2011</v>
      </c>
      <c r="B515" s="1117">
        <v>2011</v>
      </c>
      <c r="C515" s="1361" t="s">
        <v>36</v>
      </c>
      <c r="D515" s="1363" t="s">
        <v>133</v>
      </c>
      <c r="E515" s="1350" t="s">
        <v>2349</v>
      </c>
      <c r="F515" s="1367" t="s">
        <v>2350</v>
      </c>
      <c r="G515" s="1351">
        <v>4503754192</v>
      </c>
      <c r="H515" s="1352">
        <v>63748.4</v>
      </c>
      <c r="I515" s="1353">
        <v>40546</v>
      </c>
      <c r="J515" s="1354">
        <f t="shared" si="63"/>
        <v>93</v>
      </c>
      <c r="K515" s="1355">
        <v>40639</v>
      </c>
      <c r="L515" s="1353" t="s">
        <v>41</v>
      </c>
      <c r="M515" s="1353">
        <v>40619</v>
      </c>
      <c r="N515" s="1354">
        <f t="shared" si="58"/>
        <v>-16</v>
      </c>
      <c r="O515" s="1353">
        <v>40626</v>
      </c>
      <c r="P515" s="1357">
        <v>40623</v>
      </c>
      <c r="Q515" s="1365">
        <v>40644</v>
      </c>
      <c r="R515" s="1354">
        <f t="shared" si="57"/>
        <v>98</v>
      </c>
      <c r="S515" s="1358" t="s">
        <v>1223</v>
      </c>
      <c r="T515" s="1245"/>
      <c r="U515" s="1223" t="str">
        <f t="shared" si="64"/>
        <v>en término</v>
      </c>
      <c r="V515" s="1130" t="str">
        <f t="shared" si="65"/>
        <v>Marzo</v>
      </c>
      <c r="W515" s="1128">
        <f t="shared" si="66"/>
        <v>1</v>
      </c>
    </row>
    <row r="516" spans="1:23" s="1321" customFormat="1" ht="57.6" customHeight="1" thickBot="1" x14ac:dyDescent="0.2">
      <c r="A516" s="1117">
        <v>2011</v>
      </c>
      <c r="B516" s="1117">
        <v>2011</v>
      </c>
      <c r="C516" s="1361" t="s">
        <v>36</v>
      </c>
      <c r="D516" s="1363" t="s">
        <v>133</v>
      </c>
      <c r="E516" s="1350" t="s">
        <v>2349</v>
      </c>
      <c r="F516" s="1367" t="s">
        <v>2350</v>
      </c>
      <c r="G516" s="1351">
        <v>4503743280</v>
      </c>
      <c r="H516" s="1352">
        <v>5864.75</v>
      </c>
      <c r="I516" s="1353">
        <v>40540</v>
      </c>
      <c r="J516" s="1354">
        <f t="shared" si="63"/>
        <v>91</v>
      </c>
      <c r="K516" s="1355">
        <v>40631</v>
      </c>
      <c r="L516" s="1353" t="s">
        <v>41</v>
      </c>
      <c r="M516" s="1353">
        <v>40619</v>
      </c>
      <c r="N516" s="1354">
        <f t="shared" si="58"/>
        <v>-8</v>
      </c>
      <c r="O516" s="1353">
        <v>40626</v>
      </c>
      <c r="P516" s="1357">
        <v>40623</v>
      </c>
      <c r="Q516" s="1365">
        <v>40644</v>
      </c>
      <c r="R516" s="1354">
        <f t="shared" si="57"/>
        <v>104</v>
      </c>
      <c r="S516" s="1358" t="s">
        <v>53</v>
      </c>
      <c r="T516" s="1378"/>
      <c r="U516" s="1358" t="str">
        <f t="shared" si="64"/>
        <v>en término</v>
      </c>
      <c r="V516" s="1130" t="str">
        <f t="shared" si="65"/>
        <v>Marzo</v>
      </c>
      <c r="W516" s="1128">
        <f t="shared" si="66"/>
        <v>1</v>
      </c>
    </row>
    <row r="517" spans="1:23" s="1321" customFormat="1" ht="57.6" customHeight="1" thickBot="1" x14ac:dyDescent="0.2">
      <c r="A517" s="1117">
        <v>2011</v>
      </c>
      <c r="B517" s="1117">
        <v>2011</v>
      </c>
      <c r="C517" s="1361" t="s">
        <v>36</v>
      </c>
      <c r="D517" s="1363" t="s">
        <v>133</v>
      </c>
      <c r="E517" s="1350" t="s">
        <v>2349</v>
      </c>
      <c r="F517" s="1367" t="s">
        <v>2350</v>
      </c>
      <c r="G517" s="1351">
        <v>4503730005</v>
      </c>
      <c r="H517" s="1352">
        <v>206465</v>
      </c>
      <c r="I517" s="1353">
        <v>40532</v>
      </c>
      <c r="J517" s="1354">
        <f t="shared" si="63"/>
        <v>95</v>
      </c>
      <c r="K517" s="1355">
        <v>40627</v>
      </c>
      <c r="L517" s="1353" t="s">
        <v>41</v>
      </c>
      <c r="M517" s="1353">
        <v>40619</v>
      </c>
      <c r="N517" s="1354">
        <f t="shared" si="58"/>
        <v>-4</v>
      </c>
      <c r="O517" s="1353">
        <v>40626</v>
      </c>
      <c r="P517" s="1357">
        <v>40623</v>
      </c>
      <c r="Q517" s="1365">
        <v>40644</v>
      </c>
      <c r="R517" s="1354">
        <f t="shared" si="57"/>
        <v>112</v>
      </c>
      <c r="S517" s="1358" t="s">
        <v>1252</v>
      </c>
      <c r="T517" s="1378"/>
      <c r="U517" s="1358" t="str">
        <f t="shared" si="64"/>
        <v>en término</v>
      </c>
      <c r="V517" s="1130" t="str">
        <f t="shared" si="65"/>
        <v>Marzo</v>
      </c>
      <c r="W517" s="1128">
        <f t="shared" si="66"/>
        <v>1</v>
      </c>
    </row>
    <row r="518" spans="1:23" s="1321" customFormat="1" ht="57.6" customHeight="1" thickBot="1" x14ac:dyDescent="0.2">
      <c r="A518" s="1117">
        <v>2011</v>
      </c>
      <c r="B518" s="1117">
        <v>2011</v>
      </c>
      <c r="C518" s="1361" t="s">
        <v>36</v>
      </c>
      <c r="D518" s="1363" t="s">
        <v>133</v>
      </c>
      <c r="E518" s="1350" t="s">
        <v>2349</v>
      </c>
      <c r="F518" s="1367" t="s">
        <v>2350</v>
      </c>
      <c r="G518" s="1351">
        <v>4503753542</v>
      </c>
      <c r="H518" s="1352">
        <v>6191.45</v>
      </c>
      <c r="I518" s="1353">
        <v>40546</v>
      </c>
      <c r="J518" s="1354">
        <f t="shared" si="63"/>
        <v>93</v>
      </c>
      <c r="K518" s="1355">
        <v>40639</v>
      </c>
      <c r="L518" s="1353" t="s">
        <v>41</v>
      </c>
      <c r="M518" s="1353">
        <v>40619</v>
      </c>
      <c r="N518" s="1354">
        <f t="shared" si="58"/>
        <v>-16</v>
      </c>
      <c r="O518" s="1353">
        <v>40626</v>
      </c>
      <c r="P518" s="1357">
        <v>40623</v>
      </c>
      <c r="Q518" s="1365">
        <v>40644</v>
      </c>
      <c r="R518" s="1354">
        <f t="shared" si="57"/>
        <v>98</v>
      </c>
      <c r="S518" s="1358" t="s">
        <v>752</v>
      </c>
      <c r="T518" s="1378"/>
      <c r="U518" s="1358" t="str">
        <f t="shared" si="64"/>
        <v>en término</v>
      </c>
      <c r="V518" s="1130" t="str">
        <f t="shared" si="65"/>
        <v>Marzo</v>
      </c>
      <c r="W518" s="1128">
        <f t="shared" si="66"/>
        <v>1</v>
      </c>
    </row>
    <row r="519" spans="1:23" s="1321" customFormat="1" ht="57.6" customHeight="1" thickBot="1" x14ac:dyDescent="0.2">
      <c r="A519" s="1117">
        <v>2011</v>
      </c>
      <c r="B519" s="1117">
        <v>2011</v>
      </c>
      <c r="C519" s="1361" t="s">
        <v>36</v>
      </c>
      <c r="D519" s="1363" t="s">
        <v>133</v>
      </c>
      <c r="E519" s="1350" t="s">
        <v>2408</v>
      </c>
      <c r="F519" s="1358" t="s">
        <v>2409</v>
      </c>
      <c r="G519" s="1351">
        <v>4503761058</v>
      </c>
      <c r="H519" s="1352">
        <v>15055</v>
      </c>
      <c r="I519" s="1353">
        <v>40549</v>
      </c>
      <c r="J519" s="1354">
        <f t="shared" si="63"/>
        <v>78</v>
      </c>
      <c r="K519" s="1355">
        <v>40627</v>
      </c>
      <c r="L519" s="1353" t="s">
        <v>41</v>
      </c>
      <c r="M519" s="1353">
        <v>40619</v>
      </c>
      <c r="N519" s="1354">
        <f t="shared" si="58"/>
        <v>-4</v>
      </c>
      <c r="O519" s="1353">
        <v>40626</v>
      </c>
      <c r="P519" s="1357">
        <v>40623</v>
      </c>
      <c r="Q519" s="1365">
        <v>40644</v>
      </c>
      <c r="R519" s="1354">
        <f t="shared" ref="R519:R582" si="67">IF(Q519="","",+Q519-I519)</f>
        <v>95</v>
      </c>
      <c r="S519" s="1358" t="s">
        <v>2440</v>
      </c>
      <c r="T519" s="1359"/>
      <c r="U519" s="1360" t="str">
        <f t="shared" si="64"/>
        <v>en término</v>
      </c>
      <c r="V519" s="1130" t="str">
        <f t="shared" si="65"/>
        <v>Marzo</v>
      </c>
      <c r="W519" s="1128">
        <f t="shared" si="66"/>
        <v>1</v>
      </c>
    </row>
    <row r="520" spans="1:23" s="1321" customFormat="1" ht="57.6" customHeight="1" thickBot="1" x14ac:dyDescent="0.2">
      <c r="A520" s="1117">
        <v>2011</v>
      </c>
      <c r="B520" s="1117">
        <v>2011</v>
      </c>
      <c r="C520" s="1361" t="s">
        <v>36</v>
      </c>
      <c r="D520" s="1363" t="s">
        <v>133</v>
      </c>
      <c r="E520" s="1350" t="s">
        <v>2041</v>
      </c>
      <c r="F520" s="1367" t="s">
        <v>2042</v>
      </c>
      <c r="G520" s="1351">
        <v>4503652090</v>
      </c>
      <c r="H520" s="1352">
        <v>86446.39</v>
      </c>
      <c r="I520" s="1353">
        <v>40485</v>
      </c>
      <c r="J520" s="1354">
        <f t="shared" si="63"/>
        <v>114</v>
      </c>
      <c r="K520" s="1355">
        <v>40599</v>
      </c>
      <c r="L520" s="1353" t="s">
        <v>41</v>
      </c>
      <c r="M520" s="1353">
        <v>40603</v>
      </c>
      <c r="N520" s="1354">
        <f t="shared" si="58"/>
        <v>20</v>
      </c>
      <c r="O520" s="1353">
        <v>40612</v>
      </c>
      <c r="P520" s="1357">
        <v>40619</v>
      </c>
      <c r="Q520" s="1365">
        <v>40630</v>
      </c>
      <c r="R520" s="1354">
        <f t="shared" si="67"/>
        <v>145</v>
      </c>
      <c r="S520" s="1358" t="s">
        <v>2442</v>
      </c>
      <c r="T520" s="1378"/>
      <c r="U520" s="1358" t="str">
        <f t="shared" si="64"/>
        <v>atrasado</v>
      </c>
      <c r="V520" s="1130" t="str">
        <f t="shared" si="65"/>
        <v>Marzo</v>
      </c>
      <c r="W520" s="1128">
        <f t="shared" si="66"/>
        <v>0</v>
      </c>
    </row>
    <row r="521" spans="1:23" s="1321" customFormat="1" ht="57.6" customHeight="1" thickBot="1" x14ac:dyDescent="0.2">
      <c r="A521" s="1117">
        <v>2011</v>
      </c>
      <c r="B521" s="1117">
        <v>2011</v>
      </c>
      <c r="C521" s="1361" t="s">
        <v>36</v>
      </c>
      <c r="D521" s="1363" t="s">
        <v>133</v>
      </c>
      <c r="E521" s="1350" t="s">
        <v>2349</v>
      </c>
      <c r="F521" s="1367" t="s">
        <v>2350</v>
      </c>
      <c r="G521" s="1351">
        <v>4503651848</v>
      </c>
      <c r="H521" s="1352">
        <v>105119.54</v>
      </c>
      <c r="I521" s="1353">
        <v>40485</v>
      </c>
      <c r="J521" s="1354">
        <f t="shared" si="63"/>
        <v>114</v>
      </c>
      <c r="K521" s="1355">
        <v>40599</v>
      </c>
      <c r="L521" s="1353" t="s">
        <v>41</v>
      </c>
      <c r="M521" s="1353">
        <v>40603</v>
      </c>
      <c r="N521" s="1354">
        <f t="shared" si="58"/>
        <v>20</v>
      </c>
      <c r="O521" s="1353">
        <v>40612</v>
      </c>
      <c r="P521" s="1357">
        <v>40619</v>
      </c>
      <c r="Q521" s="1365">
        <v>40630</v>
      </c>
      <c r="R521" s="1354">
        <f t="shared" si="67"/>
        <v>145</v>
      </c>
      <c r="S521" s="1358" t="s">
        <v>2444</v>
      </c>
      <c r="T521" s="1378"/>
      <c r="U521" s="1358" t="str">
        <f t="shared" si="64"/>
        <v>atrasado</v>
      </c>
      <c r="V521" s="1130" t="str">
        <f t="shared" si="65"/>
        <v>Marzo</v>
      </c>
      <c r="W521" s="1128">
        <f t="shared" si="66"/>
        <v>0</v>
      </c>
    </row>
    <row r="522" spans="1:23" s="1321" customFormat="1" ht="57.6" customHeight="1" thickBot="1" x14ac:dyDescent="0.2">
      <c r="A522" s="1117">
        <v>2011</v>
      </c>
      <c r="B522" s="1117">
        <v>2011</v>
      </c>
      <c r="C522" s="1338" t="s">
        <v>36</v>
      </c>
      <c r="D522" s="1362" t="s">
        <v>133</v>
      </c>
      <c r="E522" s="1339" t="s">
        <v>2041</v>
      </c>
      <c r="F522" s="1372" t="s">
        <v>2042</v>
      </c>
      <c r="G522" s="1340">
        <v>4503672511</v>
      </c>
      <c r="H522" s="1341">
        <v>87770.17</v>
      </c>
      <c r="I522" s="1342">
        <v>40500</v>
      </c>
      <c r="J522" s="1343">
        <f t="shared" si="63"/>
        <v>99</v>
      </c>
      <c r="K522" s="1344">
        <v>40599</v>
      </c>
      <c r="L522" s="1342" t="s">
        <v>41</v>
      </c>
      <c r="M522" s="1353">
        <v>40603</v>
      </c>
      <c r="N522" s="1354">
        <f t="shared" si="58"/>
        <v>20</v>
      </c>
      <c r="O522" s="1353">
        <v>40612</v>
      </c>
      <c r="P522" s="1357">
        <v>40619</v>
      </c>
      <c r="Q522" s="1365">
        <v>40630</v>
      </c>
      <c r="R522" s="1343">
        <f t="shared" si="67"/>
        <v>130</v>
      </c>
      <c r="S522" s="1347" t="s">
        <v>2446</v>
      </c>
      <c r="T522" s="1390"/>
      <c r="U522" s="1347" t="str">
        <f t="shared" si="64"/>
        <v>atrasado</v>
      </c>
      <c r="V522" s="1130" t="str">
        <f t="shared" si="65"/>
        <v>Marzo</v>
      </c>
      <c r="W522" s="1128">
        <f t="shared" si="66"/>
        <v>0</v>
      </c>
    </row>
    <row r="523" spans="1:23" s="1321" customFormat="1" ht="57.6" customHeight="1" thickBot="1" x14ac:dyDescent="0.2">
      <c r="A523" s="1117">
        <v>2011</v>
      </c>
      <c r="B523" s="1117">
        <v>2011</v>
      </c>
      <c r="C523" s="1338" t="s">
        <v>36</v>
      </c>
      <c r="D523" s="1362" t="s">
        <v>37</v>
      </c>
      <c r="E523" s="1339" t="s">
        <v>2430</v>
      </c>
      <c r="F523" s="1372" t="s">
        <v>2431</v>
      </c>
      <c r="G523" s="1340">
        <v>10120006</v>
      </c>
      <c r="H523" s="1341">
        <v>66626.45</v>
      </c>
      <c r="I523" s="1342">
        <v>40527</v>
      </c>
      <c r="J523" s="1343">
        <f t="shared" si="63"/>
        <v>75</v>
      </c>
      <c r="K523" s="1342">
        <v>40602</v>
      </c>
      <c r="L523" s="1342" t="s">
        <v>41</v>
      </c>
      <c r="M523" s="1353">
        <v>40603</v>
      </c>
      <c r="N523" s="1354">
        <f t="shared" si="58"/>
        <v>17</v>
      </c>
      <c r="O523" s="1353">
        <v>40612</v>
      </c>
      <c r="P523" s="1357">
        <v>40619</v>
      </c>
      <c r="Q523" s="1365">
        <v>40630</v>
      </c>
      <c r="R523" s="1343">
        <f t="shared" si="67"/>
        <v>103</v>
      </c>
      <c r="S523" s="1347" t="s">
        <v>6328</v>
      </c>
      <c r="T523" s="1390"/>
      <c r="U523" s="1347" t="str">
        <f t="shared" si="64"/>
        <v>atrasado</v>
      </c>
      <c r="V523" s="1130" t="str">
        <f t="shared" si="65"/>
        <v>Marzo</v>
      </c>
      <c r="W523" s="1128">
        <f t="shared" si="66"/>
        <v>0</v>
      </c>
    </row>
    <row r="524" spans="1:23" s="1321" customFormat="1" ht="57.6" customHeight="1" thickBot="1" x14ac:dyDescent="0.2">
      <c r="A524" s="1117">
        <v>2011</v>
      </c>
      <c r="B524" s="1117">
        <v>2011</v>
      </c>
      <c r="C524" s="1361" t="s">
        <v>36</v>
      </c>
      <c r="D524" s="1363" t="s">
        <v>37</v>
      </c>
      <c r="E524" s="1350" t="s">
        <v>2450</v>
      </c>
      <c r="F524" s="1367" t="s">
        <v>2451</v>
      </c>
      <c r="G524" s="1351">
        <v>10110003</v>
      </c>
      <c r="H524" s="1352">
        <v>8910</v>
      </c>
      <c r="I524" s="1353">
        <v>40491</v>
      </c>
      <c r="J524" s="1354">
        <f t="shared" si="63"/>
        <v>151</v>
      </c>
      <c r="K524" s="1353">
        <v>40642</v>
      </c>
      <c r="L524" s="1353" t="s">
        <v>41</v>
      </c>
      <c r="M524" s="1353">
        <v>40619</v>
      </c>
      <c r="N524" s="1354">
        <f t="shared" ref="N524:N587" si="68">IF(P524="","",+P524-K524)</f>
        <v>-19</v>
      </c>
      <c r="O524" s="1353">
        <v>40626</v>
      </c>
      <c r="P524" s="1357">
        <v>40623</v>
      </c>
      <c r="Q524" s="1365">
        <v>40644</v>
      </c>
      <c r="R524" s="1354">
        <f t="shared" si="67"/>
        <v>153</v>
      </c>
      <c r="S524" s="1358" t="s">
        <v>73</v>
      </c>
      <c r="T524" s="1378"/>
      <c r="U524" s="1358" t="str">
        <f t="shared" si="64"/>
        <v>en término</v>
      </c>
      <c r="V524" s="1130" t="str">
        <f t="shared" si="65"/>
        <v>Marzo</v>
      </c>
      <c r="W524" s="1128">
        <f t="shared" si="66"/>
        <v>1</v>
      </c>
    </row>
    <row r="525" spans="1:23" s="1321" customFormat="1" ht="57.6" customHeight="1" thickBot="1" x14ac:dyDescent="0.2">
      <c r="A525" s="1117">
        <v>2011</v>
      </c>
      <c r="B525" s="1117">
        <v>2011</v>
      </c>
      <c r="C525" s="1361" t="s">
        <v>36</v>
      </c>
      <c r="D525" s="1363" t="s">
        <v>37</v>
      </c>
      <c r="E525" s="1350" t="s">
        <v>2080</v>
      </c>
      <c r="F525" s="1367" t="s">
        <v>2452</v>
      </c>
      <c r="G525" s="1351">
        <v>11010004</v>
      </c>
      <c r="H525" s="1352">
        <v>14598</v>
      </c>
      <c r="I525" s="1353">
        <v>40542</v>
      </c>
      <c r="J525" s="1354">
        <f t="shared" si="63"/>
        <v>89</v>
      </c>
      <c r="K525" s="1353">
        <v>40631</v>
      </c>
      <c r="L525" s="1353" t="s">
        <v>41</v>
      </c>
      <c r="M525" s="1353">
        <v>40619</v>
      </c>
      <c r="N525" s="1354">
        <f t="shared" si="68"/>
        <v>-8</v>
      </c>
      <c r="O525" s="1353">
        <v>40626</v>
      </c>
      <c r="P525" s="1357">
        <v>40623</v>
      </c>
      <c r="Q525" s="1365">
        <v>40644</v>
      </c>
      <c r="R525" s="1354">
        <f t="shared" si="67"/>
        <v>102</v>
      </c>
      <c r="S525" s="1358" t="s">
        <v>6329</v>
      </c>
      <c r="T525" s="1378"/>
      <c r="U525" s="1358" t="str">
        <f t="shared" si="64"/>
        <v>en término</v>
      </c>
      <c r="V525" s="1130" t="str">
        <f t="shared" si="65"/>
        <v>Marzo</v>
      </c>
      <c r="W525" s="1128">
        <f t="shared" si="66"/>
        <v>1</v>
      </c>
    </row>
    <row r="526" spans="1:23" s="1321" customFormat="1" ht="57.6" customHeight="1" thickBot="1" x14ac:dyDescent="0.2">
      <c r="A526" s="1117">
        <v>2011</v>
      </c>
      <c r="B526" s="1117">
        <v>2011</v>
      </c>
      <c r="C526" s="1338" t="s">
        <v>36</v>
      </c>
      <c r="D526" s="1362" t="s">
        <v>37</v>
      </c>
      <c r="E526" s="1339" t="s">
        <v>2454</v>
      </c>
      <c r="F526" s="1372" t="s">
        <v>2455</v>
      </c>
      <c r="G526" s="1340">
        <v>11010003</v>
      </c>
      <c r="H526" s="1341">
        <v>420</v>
      </c>
      <c r="I526" s="1342">
        <v>40540</v>
      </c>
      <c r="J526" s="1343">
        <f t="shared" si="63"/>
        <v>87</v>
      </c>
      <c r="K526" s="1342">
        <v>40627</v>
      </c>
      <c r="L526" s="1342" t="s">
        <v>41</v>
      </c>
      <c r="M526" s="1342">
        <v>40619</v>
      </c>
      <c r="N526" s="1343">
        <f t="shared" si="68"/>
        <v>-4</v>
      </c>
      <c r="O526" s="1353">
        <v>40626</v>
      </c>
      <c r="P526" s="1357">
        <v>40623</v>
      </c>
      <c r="Q526" s="1365">
        <v>40644</v>
      </c>
      <c r="R526" s="1343">
        <f t="shared" si="67"/>
        <v>104</v>
      </c>
      <c r="S526" s="1347" t="s">
        <v>2456</v>
      </c>
      <c r="T526" s="1390"/>
      <c r="U526" s="1347" t="str">
        <f t="shared" si="64"/>
        <v>en término</v>
      </c>
      <c r="V526" s="1130" t="str">
        <f t="shared" si="65"/>
        <v>Marzo</v>
      </c>
      <c r="W526" s="1128">
        <f t="shared" si="66"/>
        <v>1</v>
      </c>
    </row>
    <row r="527" spans="1:23" s="1321" customFormat="1" ht="57.6" customHeight="1" thickBot="1" x14ac:dyDescent="0.2">
      <c r="A527" s="1117">
        <v>2011</v>
      </c>
      <c r="B527" s="1117">
        <v>2011</v>
      </c>
      <c r="C527" s="1361" t="s">
        <v>36</v>
      </c>
      <c r="D527" s="1363" t="s">
        <v>133</v>
      </c>
      <c r="E527" s="1350" t="s">
        <v>2349</v>
      </c>
      <c r="F527" s="1367" t="s">
        <v>2350</v>
      </c>
      <c r="G527" s="1351">
        <v>4503762812</v>
      </c>
      <c r="H527" s="1352">
        <v>35026.76</v>
      </c>
      <c r="I527" s="1353">
        <v>40550</v>
      </c>
      <c r="J527" s="1354">
        <f t="shared" si="63"/>
        <v>94</v>
      </c>
      <c r="K527" s="1355">
        <v>40644</v>
      </c>
      <c r="L527" s="1353" t="s">
        <v>41</v>
      </c>
      <c r="M527" s="1353">
        <v>40634</v>
      </c>
      <c r="N527" s="1354">
        <f t="shared" si="68"/>
        <v>-1</v>
      </c>
      <c r="O527" s="1353">
        <v>40640</v>
      </c>
      <c r="P527" s="1357">
        <v>40643</v>
      </c>
      <c r="Q527" s="1416">
        <v>40658</v>
      </c>
      <c r="R527" s="1354">
        <f t="shared" si="67"/>
        <v>108</v>
      </c>
      <c r="S527" s="1358" t="s">
        <v>1269</v>
      </c>
      <c r="T527" s="1378"/>
      <c r="U527" s="1358" t="str">
        <f t="shared" si="64"/>
        <v>en término</v>
      </c>
      <c r="V527" s="1130" t="str">
        <f t="shared" si="65"/>
        <v>Abril</v>
      </c>
      <c r="W527" s="1128">
        <f t="shared" si="66"/>
        <v>1</v>
      </c>
    </row>
    <row r="528" spans="1:23" s="1321" customFormat="1" ht="57.6" customHeight="1" thickBot="1" x14ac:dyDescent="0.2">
      <c r="A528" s="1117">
        <v>2011</v>
      </c>
      <c r="B528" s="1117">
        <v>2011</v>
      </c>
      <c r="C528" s="1361" t="s">
        <v>36</v>
      </c>
      <c r="D528" s="1363" t="s">
        <v>133</v>
      </c>
      <c r="E528" s="1350" t="s">
        <v>2349</v>
      </c>
      <c r="F528" s="1372" t="s">
        <v>2350</v>
      </c>
      <c r="G528" s="1343">
        <v>4503745529</v>
      </c>
      <c r="H528" s="1420">
        <v>119577.24</v>
      </c>
      <c r="I528" s="1353">
        <v>40541</v>
      </c>
      <c r="J528" s="1354">
        <f t="shared" si="63"/>
        <v>91</v>
      </c>
      <c r="K528" s="1353">
        <v>40632</v>
      </c>
      <c r="L528" s="1353" t="s">
        <v>41</v>
      </c>
      <c r="M528" s="1353">
        <v>40634</v>
      </c>
      <c r="N528" s="1354">
        <f t="shared" si="68"/>
        <v>11</v>
      </c>
      <c r="O528" s="1353">
        <v>40640</v>
      </c>
      <c r="P528" s="1357">
        <v>40643</v>
      </c>
      <c r="Q528" s="1416">
        <v>40658</v>
      </c>
      <c r="R528" s="1354">
        <f t="shared" si="67"/>
        <v>117</v>
      </c>
      <c r="S528" s="1358" t="s">
        <v>2460</v>
      </c>
      <c r="T528" s="1378" t="s">
        <v>2461</v>
      </c>
      <c r="U528" s="1358" t="str">
        <f t="shared" si="64"/>
        <v>atrasado</v>
      </c>
      <c r="V528" s="1130" t="str">
        <f t="shared" si="65"/>
        <v>Abril</v>
      </c>
      <c r="W528" s="1128">
        <f t="shared" si="66"/>
        <v>0</v>
      </c>
    </row>
    <row r="529" spans="1:23" s="1321" customFormat="1" ht="57.6" customHeight="1" thickBot="1" x14ac:dyDescent="0.2">
      <c r="A529" s="1117">
        <v>2011</v>
      </c>
      <c r="B529" s="1117">
        <v>2011</v>
      </c>
      <c r="C529" s="1361" t="s">
        <v>36</v>
      </c>
      <c r="D529" s="1363" t="s">
        <v>133</v>
      </c>
      <c r="E529" s="1350" t="s">
        <v>2349</v>
      </c>
      <c r="F529" s="1367" t="s">
        <v>2350</v>
      </c>
      <c r="G529" s="1351">
        <v>4503760256</v>
      </c>
      <c r="H529" s="1352">
        <v>249290</v>
      </c>
      <c r="I529" s="1353">
        <v>40549</v>
      </c>
      <c r="J529" s="1354">
        <f t="shared" si="63"/>
        <v>107</v>
      </c>
      <c r="K529" s="1353">
        <v>40656</v>
      </c>
      <c r="L529" s="1353" t="s">
        <v>41</v>
      </c>
      <c r="M529" s="1353">
        <v>40647</v>
      </c>
      <c r="N529" s="1354">
        <f t="shared" si="68"/>
        <v>-3</v>
      </c>
      <c r="O529" s="1353">
        <v>40654</v>
      </c>
      <c r="P529" s="1357">
        <v>40653</v>
      </c>
      <c r="Q529" s="1416">
        <v>40666</v>
      </c>
      <c r="R529" s="1354">
        <f t="shared" si="67"/>
        <v>117</v>
      </c>
      <c r="S529" s="1358" t="s">
        <v>2463</v>
      </c>
      <c r="T529" s="1378" t="s">
        <v>6330</v>
      </c>
      <c r="U529" s="1358" t="str">
        <f t="shared" si="64"/>
        <v>en término</v>
      </c>
      <c r="V529" s="1130" t="str">
        <f t="shared" si="65"/>
        <v>Abril</v>
      </c>
      <c r="W529" s="1128">
        <f t="shared" si="66"/>
        <v>1</v>
      </c>
    </row>
    <row r="530" spans="1:23" s="1321" customFormat="1" ht="57.6" customHeight="1" thickBot="1" x14ac:dyDescent="0.2">
      <c r="A530" s="1117">
        <v>2011</v>
      </c>
      <c r="B530" s="1117">
        <v>2011</v>
      </c>
      <c r="C530" s="1361" t="s">
        <v>36</v>
      </c>
      <c r="D530" s="1363" t="s">
        <v>133</v>
      </c>
      <c r="E530" s="1350" t="s">
        <v>2349</v>
      </c>
      <c r="F530" s="1367" t="s">
        <v>2350</v>
      </c>
      <c r="G530" s="1351">
        <v>4503772263</v>
      </c>
      <c r="H530" s="1352">
        <v>13748</v>
      </c>
      <c r="I530" s="1353">
        <v>40557</v>
      </c>
      <c r="J530" s="1354">
        <f t="shared" si="63"/>
        <v>97</v>
      </c>
      <c r="K530" s="1353">
        <v>40654</v>
      </c>
      <c r="L530" s="1353" t="s">
        <v>41</v>
      </c>
      <c r="M530" s="1353">
        <v>40661</v>
      </c>
      <c r="N530" s="1354">
        <f t="shared" si="68"/>
        <v>16</v>
      </c>
      <c r="O530" s="1353">
        <v>40668</v>
      </c>
      <c r="P530" s="1357">
        <v>40670</v>
      </c>
      <c r="Q530" s="1416">
        <v>40686</v>
      </c>
      <c r="R530" s="1354">
        <f t="shared" si="67"/>
        <v>129</v>
      </c>
      <c r="S530" s="1358" t="s">
        <v>53</v>
      </c>
      <c r="T530" s="1378" t="s">
        <v>2466</v>
      </c>
      <c r="U530" s="1358" t="str">
        <f t="shared" si="64"/>
        <v>atrasado</v>
      </c>
      <c r="V530" s="1130" t="str">
        <f t="shared" si="65"/>
        <v>Abril</v>
      </c>
      <c r="W530" s="1128">
        <f t="shared" si="66"/>
        <v>0</v>
      </c>
    </row>
    <row r="531" spans="1:23" s="1321" customFormat="1" ht="57.6" customHeight="1" thickBot="1" x14ac:dyDescent="0.2">
      <c r="A531" s="1117">
        <v>2011</v>
      </c>
      <c r="B531" s="1117">
        <v>2011</v>
      </c>
      <c r="C531" s="1361" t="s">
        <v>36</v>
      </c>
      <c r="D531" s="1363" t="s">
        <v>133</v>
      </c>
      <c r="E531" s="1350" t="s">
        <v>2349</v>
      </c>
      <c r="F531" s="1367" t="s">
        <v>2350</v>
      </c>
      <c r="G531" s="1351">
        <v>4503775523</v>
      </c>
      <c r="H531" s="1352">
        <v>184390.9</v>
      </c>
      <c r="I531" s="1353">
        <v>40561</v>
      </c>
      <c r="J531" s="1354">
        <f t="shared" si="63"/>
        <v>97</v>
      </c>
      <c r="K531" s="1353">
        <v>40658</v>
      </c>
      <c r="L531" s="1353" t="s">
        <v>41</v>
      </c>
      <c r="M531" s="1353">
        <v>40661</v>
      </c>
      <c r="N531" s="1354">
        <f t="shared" si="68"/>
        <v>12</v>
      </c>
      <c r="O531" s="1353">
        <v>40668</v>
      </c>
      <c r="P531" s="1357">
        <v>40670</v>
      </c>
      <c r="Q531" s="1416">
        <v>40686</v>
      </c>
      <c r="R531" s="1354">
        <f t="shared" si="67"/>
        <v>125</v>
      </c>
      <c r="S531" s="1358" t="s">
        <v>2467</v>
      </c>
      <c r="T531" s="1378" t="s">
        <v>2466</v>
      </c>
      <c r="U531" s="1358" t="str">
        <f t="shared" si="64"/>
        <v>atrasado</v>
      </c>
      <c r="V531" s="1130" t="str">
        <f t="shared" si="65"/>
        <v>Abril</v>
      </c>
      <c r="W531" s="1128">
        <f t="shared" si="66"/>
        <v>0</v>
      </c>
    </row>
    <row r="532" spans="1:23" s="1321" customFormat="1" ht="57.6" customHeight="1" thickBot="1" x14ac:dyDescent="0.2">
      <c r="A532" s="1117">
        <v>2011</v>
      </c>
      <c r="B532" s="1117">
        <v>2011</v>
      </c>
      <c r="C532" s="1361" t="s">
        <v>36</v>
      </c>
      <c r="D532" s="1363" t="s">
        <v>133</v>
      </c>
      <c r="E532" s="1350" t="s">
        <v>2349</v>
      </c>
      <c r="F532" s="1367" t="s">
        <v>2350</v>
      </c>
      <c r="G532" s="1351">
        <v>4503792730</v>
      </c>
      <c r="H532" s="1352">
        <v>2319</v>
      </c>
      <c r="I532" s="1353">
        <v>40574</v>
      </c>
      <c r="J532" s="1354">
        <f t="shared" si="63"/>
        <v>91</v>
      </c>
      <c r="K532" s="1353">
        <v>40665</v>
      </c>
      <c r="L532" s="1353" t="s">
        <v>41</v>
      </c>
      <c r="M532" s="1353">
        <v>40661</v>
      </c>
      <c r="N532" s="1354">
        <f t="shared" si="68"/>
        <v>5</v>
      </c>
      <c r="O532" s="1353">
        <v>40668</v>
      </c>
      <c r="P532" s="1357">
        <v>40670</v>
      </c>
      <c r="Q532" s="1416">
        <v>40686</v>
      </c>
      <c r="R532" s="1354">
        <f t="shared" si="67"/>
        <v>112</v>
      </c>
      <c r="S532" s="1358" t="s">
        <v>2469</v>
      </c>
      <c r="T532" s="1378" t="s">
        <v>2466</v>
      </c>
      <c r="U532" s="1358" t="str">
        <f t="shared" si="64"/>
        <v>atrasado</v>
      </c>
      <c r="V532" s="1130" t="str">
        <f t="shared" si="65"/>
        <v>Abril</v>
      </c>
      <c r="W532" s="1128">
        <f t="shared" si="66"/>
        <v>0</v>
      </c>
    </row>
    <row r="533" spans="1:23" s="1321" customFormat="1" ht="57.6" customHeight="1" thickBot="1" x14ac:dyDescent="0.2">
      <c r="A533" s="1117">
        <v>2011</v>
      </c>
      <c r="B533" s="1117">
        <v>2011</v>
      </c>
      <c r="C533" s="1361" t="s">
        <v>36</v>
      </c>
      <c r="D533" s="1363" t="s">
        <v>133</v>
      </c>
      <c r="E533" s="1350" t="s">
        <v>2349</v>
      </c>
      <c r="F533" s="1367" t="s">
        <v>2350</v>
      </c>
      <c r="G533" s="1351">
        <v>4503873625</v>
      </c>
      <c r="H533" s="1352">
        <v>189405.6</v>
      </c>
      <c r="I533" s="1353">
        <v>40623</v>
      </c>
      <c r="J533" s="1354">
        <f t="shared" si="63"/>
        <v>64</v>
      </c>
      <c r="K533" s="1353">
        <v>40687</v>
      </c>
      <c r="L533" s="1353" t="s">
        <v>41</v>
      </c>
      <c r="M533" s="1353">
        <v>40689</v>
      </c>
      <c r="N533" s="1354">
        <f t="shared" si="68"/>
        <v>11</v>
      </c>
      <c r="O533" s="1353">
        <v>40690</v>
      </c>
      <c r="P533" s="1346">
        <v>40698</v>
      </c>
      <c r="Q533" s="1392">
        <v>40714</v>
      </c>
      <c r="R533" s="1354">
        <f t="shared" si="67"/>
        <v>91</v>
      </c>
      <c r="S533" s="1358" t="s">
        <v>2218</v>
      </c>
      <c r="T533" s="1378"/>
      <c r="U533" s="1358" t="str">
        <f t="shared" si="64"/>
        <v>atrasado</v>
      </c>
      <c r="V533" s="1130" t="str">
        <f t="shared" si="65"/>
        <v>Mayo</v>
      </c>
      <c r="W533" s="1128">
        <f t="shared" si="66"/>
        <v>0</v>
      </c>
    </row>
    <row r="534" spans="1:23" s="1321" customFormat="1" ht="57.6" customHeight="1" thickBot="1" x14ac:dyDescent="0.2">
      <c r="A534" s="1117">
        <v>2011</v>
      </c>
      <c r="B534" s="1117">
        <v>2011</v>
      </c>
      <c r="C534" s="1361" t="s">
        <v>36</v>
      </c>
      <c r="D534" s="1363" t="s">
        <v>133</v>
      </c>
      <c r="E534" s="1350" t="s">
        <v>2349</v>
      </c>
      <c r="F534" s="1367" t="s">
        <v>2350</v>
      </c>
      <c r="G534" s="1351">
        <v>4503838605</v>
      </c>
      <c r="H534" s="1352">
        <v>269007.2</v>
      </c>
      <c r="I534" s="1353">
        <v>40598</v>
      </c>
      <c r="J534" s="1354">
        <f t="shared" si="63"/>
        <v>81</v>
      </c>
      <c r="K534" s="1353">
        <v>40679</v>
      </c>
      <c r="L534" s="1353" t="s">
        <v>41</v>
      </c>
      <c r="M534" s="1353">
        <v>40675</v>
      </c>
      <c r="N534" s="1354">
        <f t="shared" si="68"/>
        <v>5</v>
      </c>
      <c r="O534" s="1353">
        <v>40672</v>
      </c>
      <c r="P534" s="1357">
        <v>40684</v>
      </c>
      <c r="Q534" s="1416">
        <v>40708</v>
      </c>
      <c r="R534" s="1354">
        <f t="shared" si="67"/>
        <v>110</v>
      </c>
      <c r="S534" s="1358" t="s">
        <v>2412</v>
      </c>
      <c r="T534" s="1378"/>
      <c r="U534" s="1358" t="str">
        <f t="shared" si="64"/>
        <v>atrasado</v>
      </c>
      <c r="V534" s="1130" t="str">
        <f t="shared" si="65"/>
        <v>Mayo</v>
      </c>
      <c r="W534" s="1128">
        <f t="shared" si="66"/>
        <v>0</v>
      </c>
    </row>
    <row r="535" spans="1:23" s="1321" customFormat="1" ht="57.6" customHeight="1" thickBot="1" x14ac:dyDescent="0.2">
      <c r="A535" s="1117">
        <v>2011</v>
      </c>
      <c r="B535" s="1117">
        <v>2011</v>
      </c>
      <c r="C535" s="1361" t="s">
        <v>36</v>
      </c>
      <c r="D535" s="1363" t="s">
        <v>133</v>
      </c>
      <c r="E535" s="1350" t="s">
        <v>2349</v>
      </c>
      <c r="F535" s="1367" t="s">
        <v>2350</v>
      </c>
      <c r="G535" s="1351">
        <v>4503810971</v>
      </c>
      <c r="H535" s="1352">
        <v>875.6</v>
      </c>
      <c r="I535" s="1353">
        <v>40581</v>
      </c>
      <c r="J535" s="1354">
        <f t="shared" ref="J535:J561" si="69">+K535-I535</f>
        <v>104</v>
      </c>
      <c r="K535" s="1353">
        <v>40685</v>
      </c>
      <c r="L535" s="1353" t="s">
        <v>41</v>
      </c>
      <c r="M535" s="1353">
        <v>40675</v>
      </c>
      <c r="N535" s="1354">
        <f t="shared" si="68"/>
        <v>-1</v>
      </c>
      <c r="O535" s="1353">
        <v>40672</v>
      </c>
      <c r="P535" s="1357">
        <v>40684</v>
      </c>
      <c r="Q535" s="1416">
        <v>40700</v>
      </c>
      <c r="R535" s="1354">
        <f t="shared" si="67"/>
        <v>119</v>
      </c>
      <c r="S535" s="1358" t="s">
        <v>53</v>
      </c>
      <c r="T535" s="1378"/>
      <c r="U535" s="1358" t="str">
        <f t="shared" ref="U535:U566" si="70">IF(N535="","",IF(N535&lt;=0,"en término","atrasado"))</f>
        <v>en término</v>
      </c>
      <c r="V535" s="1130" t="str">
        <f t="shared" si="65"/>
        <v>Mayo</v>
      </c>
      <c r="W535" s="1128">
        <f t="shared" si="66"/>
        <v>1</v>
      </c>
    </row>
    <row r="536" spans="1:23" s="1321" customFormat="1" ht="57.6" customHeight="1" thickBot="1" x14ac:dyDescent="0.2">
      <c r="A536" s="1117">
        <v>2011</v>
      </c>
      <c r="B536" s="1117">
        <v>2011</v>
      </c>
      <c r="C536" s="1361" t="s">
        <v>36</v>
      </c>
      <c r="D536" s="1363" t="s">
        <v>133</v>
      </c>
      <c r="E536" s="1350" t="s">
        <v>2349</v>
      </c>
      <c r="F536" s="1367" t="s">
        <v>2350</v>
      </c>
      <c r="G536" s="1351">
        <v>4503874503</v>
      </c>
      <c r="H536" s="1352">
        <v>4210.5</v>
      </c>
      <c r="I536" s="1353">
        <v>40623</v>
      </c>
      <c r="J536" s="1354">
        <f t="shared" si="69"/>
        <v>64</v>
      </c>
      <c r="K536" s="1353">
        <v>40687</v>
      </c>
      <c r="L536" s="1353" t="s">
        <v>41</v>
      </c>
      <c r="M536" s="1353">
        <v>40675</v>
      </c>
      <c r="N536" s="1354">
        <f t="shared" si="68"/>
        <v>-3</v>
      </c>
      <c r="O536" s="1353">
        <v>40672</v>
      </c>
      <c r="P536" s="1357">
        <v>40684</v>
      </c>
      <c r="Q536" s="1416">
        <v>40700</v>
      </c>
      <c r="R536" s="1354">
        <f t="shared" si="67"/>
        <v>77</v>
      </c>
      <c r="S536" s="1358" t="s">
        <v>53</v>
      </c>
      <c r="T536" s="1378"/>
      <c r="U536" s="1358" t="str">
        <f t="shared" si="70"/>
        <v>en término</v>
      </c>
      <c r="V536" s="1130" t="str">
        <f t="shared" si="65"/>
        <v>Mayo</v>
      </c>
      <c r="W536" s="1128">
        <f t="shared" si="66"/>
        <v>1</v>
      </c>
    </row>
    <row r="537" spans="1:23" s="1321" customFormat="1" ht="57.6" customHeight="1" thickBot="1" x14ac:dyDescent="0.2">
      <c r="A537" s="1117">
        <v>2011</v>
      </c>
      <c r="B537" s="1117">
        <v>2011</v>
      </c>
      <c r="C537" s="1361" t="s">
        <v>36</v>
      </c>
      <c r="D537" s="1363" t="s">
        <v>133</v>
      </c>
      <c r="E537" s="1350" t="s">
        <v>2349</v>
      </c>
      <c r="F537" s="1367" t="s">
        <v>2350</v>
      </c>
      <c r="G537" s="1351">
        <v>4503839892</v>
      </c>
      <c r="H537" s="1352">
        <v>32850.9</v>
      </c>
      <c r="I537" s="1353">
        <v>40599</v>
      </c>
      <c r="J537" s="1354">
        <f t="shared" si="69"/>
        <v>94</v>
      </c>
      <c r="K537" s="1353">
        <v>40693</v>
      </c>
      <c r="L537" s="1353" t="s">
        <v>41</v>
      </c>
      <c r="M537" s="1353">
        <v>40675</v>
      </c>
      <c r="N537" s="1354">
        <f t="shared" si="68"/>
        <v>-9</v>
      </c>
      <c r="O537" s="1353">
        <v>40672</v>
      </c>
      <c r="P537" s="1357">
        <v>40684</v>
      </c>
      <c r="Q537" s="1416">
        <v>40700</v>
      </c>
      <c r="R537" s="1354">
        <f t="shared" si="67"/>
        <v>101</v>
      </c>
      <c r="S537" s="1358" t="s">
        <v>940</v>
      </c>
      <c r="T537" s="1378"/>
      <c r="U537" s="1358" t="str">
        <f t="shared" si="70"/>
        <v>en término</v>
      </c>
      <c r="V537" s="1130" t="str">
        <f t="shared" si="65"/>
        <v>Mayo</v>
      </c>
      <c r="W537" s="1128">
        <f t="shared" si="66"/>
        <v>1</v>
      </c>
    </row>
    <row r="538" spans="1:23" s="1321" customFormat="1" ht="57.6" customHeight="1" thickBot="1" x14ac:dyDescent="0.2">
      <c r="A538" s="1117">
        <v>2011</v>
      </c>
      <c r="B538" s="1117">
        <v>2011</v>
      </c>
      <c r="C538" s="1338" t="s">
        <v>36</v>
      </c>
      <c r="D538" s="1362" t="s">
        <v>133</v>
      </c>
      <c r="E538" s="1339" t="s">
        <v>2349</v>
      </c>
      <c r="F538" s="1372" t="s">
        <v>2350</v>
      </c>
      <c r="G538" s="1340">
        <v>4503847224</v>
      </c>
      <c r="H538" s="1341">
        <v>415410.4</v>
      </c>
      <c r="I538" s="1342">
        <v>40603</v>
      </c>
      <c r="J538" s="1343">
        <f t="shared" si="69"/>
        <v>91</v>
      </c>
      <c r="K538" s="1342">
        <v>40694</v>
      </c>
      <c r="L538" s="1342" t="s">
        <v>41</v>
      </c>
      <c r="M538" s="1342">
        <v>40689</v>
      </c>
      <c r="N538" s="1354">
        <f t="shared" si="68"/>
        <v>5</v>
      </c>
      <c r="O538" s="1342">
        <v>40690</v>
      </c>
      <c r="P538" s="1346">
        <v>40699</v>
      </c>
      <c r="Q538" s="1392">
        <v>40714</v>
      </c>
      <c r="R538" s="1343">
        <f t="shared" si="67"/>
        <v>111</v>
      </c>
      <c r="S538" s="1347" t="s">
        <v>2485</v>
      </c>
      <c r="T538" s="1390"/>
      <c r="U538" s="1347" t="str">
        <f t="shared" si="70"/>
        <v>atrasado</v>
      </c>
      <c r="V538" s="1130" t="str">
        <f t="shared" si="65"/>
        <v>Mayo</v>
      </c>
      <c r="W538" s="1128">
        <f t="shared" si="66"/>
        <v>0</v>
      </c>
    </row>
    <row r="539" spans="1:23" s="1321" customFormat="1" ht="57.6" customHeight="1" thickBot="1" x14ac:dyDescent="0.2">
      <c r="A539" s="1117">
        <v>2011</v>
      </c>
      <c r="B539" s="1117">
        <v>2011</v>
      </c>
      <c r="C539" s="1361" t="s">
        <v>36</v>
      </c>
      <c r="D539" s="1363" t="s">
        <v>133</v>
      </c>
      <c r="E539" s="1350" t="s">
        <v>2349</v>
      </c>
      <c r="F539" s="1367" t="s">
        <v>2350</v>
      </c>
      <c r="G539" s="1351">
        <v>4503914909</v>
      </c>
      <c r="H539" s="1352">
        <v>29526.7</v>
      </c>
      <c r="I539" s="1353">
        <v>40645</v>
      </c>
      <c r="J539" s="1354">
        <f t="shared" si="69"/>
        <v>91</v>
      </c>
      <c r="K539" s="1353">
        <v>40736</v>
      </c>
      <c r="L539" s="1353" t="s">
        <v>41</v>
      </c>
      <c r="M539" s="1353">
        <v>40701</v>
      </c>
      <c r="N539" s="1354">
        <f t="shared" si="68"/>
        <v>-10</v>
      </c>
      <c r="O539" s="1353">
        <v>40703</v>
      </c>
      <c r="P539" s="1357">
        <v>40726</v>
      </c>
      <c r="Q539" s="1416">
        <v>40742</v>
      </c>
      <c r="R539" s="1354">
        <f t="shared" si="67"/>
        <v>97</v>
      </c>
      <c r="S539" s="1358" t="s">
        <v>53</v>
      </c>
      <c r="T539" s="1378"/>
      <c r="U539" s="1358" t="str">
        <f t="shared" si="70"/>
        <v>en término</v>
      </c>
      <c r="V539" s="1130" t="str">
        <f t="shared" si="65"/>
        <v>Junio</v>
      </c>
      <c r="W539" s="1128">
        <f t="shared" si="66"/>
        <v>1</v>
      </c>
    </row>
    <row r="540" spans="1:23" s="1321" customFormat="1" ht="57.6" customHeight="1" thickBot="1" x14ac:dyDescent="0.2">
      <c r="A540" s="1117">
        <v>2011</v>
      </c>
      <c r="B540" s="1117">
        <v>2011</v>
      </c>
      <c r="C540" s="1379" t="s">
        <v>36</v>
      </c>
      <c r="D540" s="1380" t="s">
        <v>133</v>
      </c>
      <c r="E540" s="1381" t="s">
        <v>2349</v>
      </c>
      <c r="F540" s="1382" t="s">
        <v>2350</v>
      </c>
      <c r="G540" s="1383">
        <v>4503917573</v>
      </c>
      <c r="H540" s="1384">
        <v>8015</v>
      </c>
      <c r="I540" s="1385">
        <v>40646</v>
      </c>
      <c r="J540" s="1386">
        <f t="shared" si="69"/>
        <v>62</v>
      </c>
      <c r="K540" s="1385">
        <v>40708</v>
      </c>
      <c r="L540" s="1385" t="s">
        <v>41</v>
      </c>
      <c r="M540" s="1385">
        <v>40701</v>
      </c>
      <c r="N540" s="1413">
        <f t="shared" si="68"/>
        <v>4</v>
      </c>
      <c r="O540" s="1385">
        <v>40703</v>
      </c>
      <c r="P540" s="1421">
        <v>40712</v>
      </c>
      <c r="Q540" s="1422">
        <v>40728</v>
      </c>
      <c r="R540" s="1386">
        <f t="shared" si="67"/>
        <v>82</v>
      </c>
      <c r="S540" s="1388" t="s">
        <v>53</v>
      </c>
      <c r="T540" s="1389"/>
      <c r="U540" s="1388" t="str">
        <f t="shared" si="70"/>
        <v>atrasado</v>
      </c>
      <c r="V540" s="1130" t="str">
        <f t="shared" si="65"/>
        <v>Junio</v>
      </c>
      <c r="W540" s="1128">
        <f t="shared" si="66"/>
        <v>0</v>
      </c>
    </row>
    <row r="541" spans="1:23" s="1321" customFormat="1" ht="57.6" customHeight="1" thickBot="1" x14ac:dyDescent="0.2">
      <c r="A541" s="1117">
        <v>2011</v>
      </c>
      <c r="B541" s="1117">
        <v>2011</v>
      </c>
      <c r="C541" s="1361" t="s">
        <v>36</v>
      </c>
      <c r="D541" s="1363" t="s">
        <v>133</v>
      </c>
      <c r="E541" s="1350" t="s">
        <v>2349</v>
      </c>
      <c r="F541" s="1367" t="s">
        <v>2350</v>
      </c>
      <c r="G541" s="1354">
        <v>4503745529</v>
      </c>
      <c r="H541" s="1217">
        <v>119577.24</v>
      </c>
      <c r="I541" s="1353">
        <v>40541</v>
      </c>
      <c r="J541" s="1354">
        <f t="shared" si="69"/>
        <v>198</v>
      </c>
      <c r="K541" s="1353">
        <v>40739</v>
      </c>
      <c r="L541" s="1353" t="s">
        <v>41</v>
      </c>
      <c r="M541" s="1353">
        <v>40701</v>
      </c>
      <c r="N541" s="1354">
        <f t="shared" si="68"/>
        <v>-13</v>
      </c>
      <c r="O541" s="1353">
        <v>40703</v>
      </c>
      <c r="P541" s="1357">
        <v>40726</v>
      </c>
      <c r="Q541" s="1416">
        <v>40742</v>
      </c>
      <c r="R541" s="1354">
        <f t="shared" si="67"/>
        <v>201</v>
      </c>
      <c r="S541" s="1358" t="s">
        <v>955</v>
      </c>
      <c r="T541" s="1378" t="s">
        <v>2493</v>
      </c>
      <c r="U541" s="1358" t="str">
        <f t="shared" si="70"/>
        <v>en término</v>
      </c>
      <c r="V541" s="1130" t="str">
        <f t="shared" si="65"/>
        <v>Junio</v>
      </c>
      <c r="W541" s="1128">
        <f t="shared" si="66"/>
        <v>1</v>
      </c>
    </row>
    <row r="542" spans="1:23" s="1321" customFormat="1" ht="57.6" customHeight="1" thickBot="1" x14ac:dyDescent="0.2">
      <c r="A542" s="1117">
        <v>2011</v>
      </c>
      <c r="B542" s="1117">
        <v>2011</v>
      </c>
      <c r="C542" s="1361" t="s">
        <v>36</v>
      </c>
      <c r="D542" s="1363" t="s">
        <v>133</v>
      </c>
      <c r="E542" s="1350" t="s">
        <v>2349</v>
      </c>
      <c r="F542" s="1367" t="s">
        <v>2350</v>
      </c>
      <c r="G542" s="1351">
        <v>4503888605</v>
      </c>
      <c r="H542" s="1352">
        <v>68984.600000000006</v>
      </c>
      <c r="I542" s="1353">
        <v>40631</v>
      </c>
      <c r="J542" s="1354">
        <f t="shared" si="69"/>
        <v>98</v>
      </c>
      <c r="K542" s="1353">
        <v>40729</v>
      </c>
      <c r="L542" s="1353" t="s">
        <v>41</v>
      </c>
      <c r="M542" s="1353">
        <v>40701</v>
      </c>
      <c r="N542" s="1354">
        <f t="shared" si="68"/>
        <v>-3</v>
      </c>
      <c r="O542" s="1353">
        <v>40703</v>
      </c>
      <c r="P542" s="1357">
        <v>40726</v>
      </c>
      <c r="Q542" s="1416">
        <v>40742</v>
      </c>
      <c r="R542" s="1354">
        <f t="shared" si="67"/>
        <v>111</v>
      </c>
      <c r="S542" s="1358" t="s">
        <v>2494</v>
      </c>
      <c r="T542" s="1378"/>
      <c r="U542" s="1358" t="str">
        <f t="shared" si="70"/>
        <v>en término</v>
      </c>
      <c r="V542" s="1130" t="str">
        <f t="shared" si="65"/>
        <v>Junio</v>
      </c>
      <c r="W542" s="1128">
        <f t="shared" si="66"/>
        <v>1</v>
      </c>
    </row>
    <row r="543" spans="1:23" s="1321" customFormat="1" ht="57.6" customHeight="1" thickBot="1" x14ac:dyDescent="0.2">
      <c r="A543" s="1117">
        <v>2011</v>
      </c>
      <c r="B543" s="1117">
        <v>2011</v>
      </c>
      <c r="C543" s="1361" t="s">
        <v>36</v>
      </c>
      <c r="D543" s="1363" t="s">
        <v>133</v>
      </c>
      <c r="E543" s="1350" t="s">
        <v>2349</v>
      </c>
      <c r="F543" s="1367" t="s">
        <v>2350</v>
      </c>
      <c r="G543" s="1351">
        <v>4503913679</v>
      </c>
      <c r="H543" s="1352">
        <v>194957.5</v>
      </c>
      <c r="I543" s="1353">
        <v>40644</v>
      </c>
      <c r="J543" s="1354">
        <f t="shared" si="69"/>
        <v>64</v>
      </c>
      <c r="K543" s="1353">
        <v>40708</v>
      </c>
      <c r="L543" s="1353" t="s">
        <v>41</v>
      </c>
      <c r="M543" s="1353">
        <v>40701</v>
      </c>
      <c r="N543" s="1354">
        <f t="shared" si="68"/>
        <v>4</v>
      </c>
      <c r="O543" s="1342">
        <v>40703</v>
      </c>
      <c r="P543" s="1357">
        <v>40712</v>
      </c>
      <c r="Q543" s="1416">
        <v>40728</v>
      </c>
      <c r="R543" s="1354">
        <f t="shared" si="67"/>
        <v>84</v>
      </c>
      <c r="S543" s="1358" t="s">
        <v>2495</v>
      </c>
      <c r="T543" s="1378"/>
      <c r="U543" s="1358" t="str">
        <f t="shared" si="70"/>
        <v>atrasado</v>
      </c>
      <c r="V543" s="1130" t="str">
        <f t="shared" si="65"/>
        <v>Junio</v>
      </c>
      <c r="W543" s="1128">
        <f t="shared" si="66"/>
        <v>0</v>
      </c>
    </row>
    <row r="544" spans="1:23" s="1321" customFormat="1" ht="57.6" customHeight="1" thickBot="1" x14ac:dyDescent="0.2">
      <c r="A544" s="1117">
        <v>2011</v>
      </c>
      <c r="B544" s="1117">
        <v>2011</v>
      </c>
      <c r="C544" s="1361" t="s">
        <v>36</v>
      </c>
      <c r="D544" s="1363" t="s">
        <v>133</v>
      </c>
      <c r="E544" s="1350" t="s">
        <v>2349</v>
      </c>
      <c r="F544" s="1367" t="s">
        <v>2350</v>
      </c>
      <c r="G544" s="1351">
        <v>4503876705</v>
      </c>
      <c r="H544" s="1352">
        <v>41078.5</v>
      </c>
      <c r="I544" s="1353">
        <v>40624</v>
      </c>
      <c r="J544" s="1354">
        <f t="shared" si="69"/>
        <v>90</v>
      </c>
      <c r="K544" s="1353">
        <v>40714</v>
      </c>
      <c r="L544" s="1353" t="s">
        <v>41</v>
      </c>
      <c r="M544" s="1353">
        <v>40701</v>
      </c>
      <c r="N544" s="1354">
        <f t="shared" si="68"/>
        <v>-2</v>
      </c>
      <c r="O544" s="1353">
        <v>40703</v>
      </c>
      <c r="P544" s="1357">
        <v>40712</v>
      </c>
      <c r="Q544" s="1416">
        <v>40728</v>
      </c>
      <c r="R544" s="1354">
        <f t="shared" si="67"/>
        <v>104</v>
      </c>
      <c r="S544" s="1358" t="s">
        <v>2497</v>
      </c>
      <c r="T544" s="1378"/>
      <c r="U544" s="1358" t="str">
        <f t="shared" si="70"/>
        <v>en término</v>
      </c>
      <c r="V544" s="1130" t="str">
        <f t="shared" si="65"/>
        <v>Junio</v>
      </c>
      <c r="W544" s="1128">
        <f t="shared" si="66"/>
        <v>1</v>
      </c>
    </row>
    <row r="545" spans="1:23" s="1321" customFormat="1" ht="57.6" customHeight="1" thickBot="1" x14ac:dyDescent="0.2">
      <c r="A545" s="1117">
        <v>2011</v>
      </c>
      <c r="B545" s="1117">
        <v>2011</v>
      </c>
      <c r="C545" s="1361" t="s">
        <v>36</v>
      </c>
      <c r="D545" s="1363" t="s">
        <v>133</v>
      </c>
      <c r="E545" s="1350" t="s">
        <v>2499</v>
      </c>
      <c r="F545" s="1367" t="s">
        <v>2350</v>
      </c>
      <c r="G545" s="1351">
        <v>4503957463</v>
      </c>
      <c r="H545" s="1352">
        <v>1596.6</v>
      </c>
      <c r="I545" s="1412">
        <v>40668</v>
      </c>
      <c r="J545" s="1354">
        <f t="shared" si="69"/>
        <v>94</v>
      </c>
      <c r="K545" s="1412">
        <v>40762</v>
      </c>
      <c r="L545" s="1353" t="s">
        <v>41</v>
      </c>
      <c r="M545" s="1353">
        <v>40731</v>
      </c>
      <c r="N545" s="1423">
        <f t="shared" si="68"/>
        <v>-22</v>
      </c>
      <c r="O545" s="1424" t="s">
        <v>2501</v>
      </c>
      <c r="P545" s="1357">
        <v>40740</v>
      </c>
      <c r="Q545" s="1416">
        <v>40756</v>
      </c>
      <c r="R545" s="1354">
        <f t="shared" si="67"/>
        <v>88</v>
      </c>
      <c r="S545" s="1413" t="s">
        <v>53</v>
      </c>
      <c r="T545" s="1425"/>
      <c r="U545" s="1417" t="str">
        <f t="shared" si="70"/>
        <v>en término</v>
      </c>
      <c r="V545" s="1130" t="str">
        <f t="shared" si="65"/>
        <v>Julio</v>
      </c>
      <c r="W545" s="1128">
        <f t="shared" si="66"/>
        <v>1</v>
      </c>
    </row>
    <row r="546" spans="1:23" s="1321" customFormat="1" ht="57.6" customHeight="1" thickBot="1" x14ac:dyDescent="0.2">
      <c r="A546" s="1117">
        <v>2011</v>
      </c>
      <c r="B546" s="1117">
        <v>2011</v>
      </c>
      <c r="C546" s="1361" t="s">
        <v>36</v>
      </c>
      <c r="D546" s="1363" t="s">
        <v>133</v>
      </c>
      <c r="E546" s="1350" t="s">
        <v>2349</v>
      </c>
      <c r="F546" s="1367" t="s">
        <v>2350</v>
      </c>
      <c r="G546" s="1351">
        <v>4503933482</v>
      </c>
      <c r="H546" s="1352">
        <v>13530</v>
      </c>
      <c r="I546" s="1353">
        <v>40659</v>
      </c>
      <c r="J546" s="1354">
        <f t="shared" si="69"/>
        <v>93</v>
      </c>
      <c r="K546" s="1353">
        <v>40752</v>
      </c>
      <c r="L546" s="1353" t="s">
        <v>41</v>
      </c>
      <c r="M546" s="1353">
        <v>40731</v>
      </c>
      <c r="N546" s="1354">
        <f t="shared" si="68"/>
        <v>-12</v>
      </c>
      <c r="O546" s="1353" t="s">
        <v>2501</v>
      </c>
      <c r="P546" s="1357">
        <v>40740</v>
      </c>
      <c r="Q546" s="1355">
        <v>40756</v>
      </c>
      <c r="R546" s="1354">
        <f t="shared" si="67"/>
        <v>97</v>
      </c>
      <c r="S546" s="1358" t="s">
        <v>965</v>
      </c>
      <c r="T546" s="1378"/>
      <c r="U546" s="1358" t="str">
        <f t="shared" si="70"/>
        <v>en término</v>
      </c>
      <c r="V546" s="1130" t="str">
        <f t="shared" si="65"/>
        <v>Julio</v>
      </c>
      <c r="W546" s="1128">
        <f t="shared" si="66"/>
        <v>1</v>
      </c>
    </row>
    <row r="547" spans="1:23" s="1321" customFormat="1" ht="57.6" customHeight="1" thickBot="1" x14ac:dyDescent="0.2">
      <c r="A547" s="1117">
        <v>2011</v>
      </c>
      <c r="B547" s="1117">
        <v>2011</v>
      </c>
      <c r="C547" s="1361" t="s">
        <v>36</v>
      </c>
      <c r="D547" s="1363" t="s">
        <v>133</v>
      </c>
      <c r="E547" s="1350" t="s">
        <v>2502</v>
      </c>
      <c r="F547" s="1367" t="s">
        <v>2350</v>
      </c>
      <c r="G547" s="1351">
        <v>4503957801</v>
      </c>
      <c r="H547" s="1352">
        <v>242748.9</v>
      </c>
      <c r="I547" s="1412">
        <v>40668</v>
      </c>
      <c r="J547" s="1354">
        <f t="shared" si="69"/>
        <v>67</v>
      </c>
      <c r="K547" s="1412">
        <v>40735</v>
      </c>
      <c r="L547" s="1353" t="s">
        <v>41</v>
      </c>
      <c r="M547" s="1353">
        <v>40730</v>
      </c>
      <c r="N547" s="1423">
        <f t="shared" si="68"/>
        <v>5</v>
      </c>
      <c r="O547" s="1424" t="s">
        <v>2501</v>
      </c>
      <c r="P547" s="1357">
        <v>40740</v>
      </c>
      <c r="Q547" s="1416">
        <v>40756</v>
      </c>
      <c r="R547" s="1354">
        <f t="shared" si="67"/>
        <v>88</v>
      </c>
      <c r="S547" s="1413" t="s">
        <v>2503</v>
      </c>
      <c r="T547" s="1425"/>
      <c r="U547" s="1417" t="str">
        <f t="shared" si="70"/>
        <v>atrasado</v>
      </c>
      <c r="V547" s="1130" t="str">
        <f t="shared" si="65"/>
        <v>Julio</v>
      </c>
      <c r="W547" s="1128">
        <f t="shared" si="66"/>
        <v>0</v>
      </c>
    </row>
    <row r="548" spans="1:23" s="1321" customFormat="1" ht="57.6" customHeight="1" thickBot="1" x14ac:dyDescent="0.2">
      <c r="A548" s="1117">
        <v>2011</v>
      </c>
      <c r="B548" s="1117">
        <v>2011</v>
      </c>
      <c r="C548" s="1361" t="s">
        <v>36</v>
      </c>
      <c r="D548" s="1363" t="s">
        <v>133</v>
      </c>
      <c r="E548" s="1350" t="s">
        <v>2349</v>
      </c>
      <c r="F548" s="1367" t="s">
        <v>2350</v>
      </c>
      <c r="G548" s="1351">
        <v>4503950764</v>
      </c>
      <c r="H548" s="1352">
        <v>16836</v>
      </c>
      <c r="I548" s="1353">
        <v>40665</v>
      </c>
      <c r="J548" s="1354">
        <f t="shared" si="69"/>
        <v>70</v>
      </c>
      <c r="K548" s="1353">
        <v>40735</v>
      </c>
      <c r="L548" s="1353" t="s">
        <v>41</v>
      </c>
      <c r="M548" s="1353">
        <v>40725</v>
      </c>
      <c r="N548" s="1423">
        <f t="shared" si="68"/>
        <v>5</v>
      </c>
      <c r="O548" s="1424" t="s">
        <v>2501</v>
      </c>
      <c r="P548" s="1357">
        <v>40740</v>
      </c>
      <c r="Q548" s="1416">
        <v>40756</v>
      </c>
      <c r="R548" s="1354">
        <f t="shared" si="67"/>
        <v>91</v>
      </c>
      <c r="S548" s="1413" t="s">
        <v>53</v>
      </c>
      <c r="T548" s="1378"/>
      <c r="U548" s="1358" t="str">
        <f t="shared" si="70"/>
        <v>atrasado</v>
      </c>
      <c r="V548" s="1130" t="str">
        <f t="shared" si="65"/>
        <v>Julio</v>
      </c>
      <c r="W548" s="1128">
        <f t="shared" si="66"/>
        <v>0</v>
      </c>
    </row>
    <row r="549" spans="1:23" s="1321" customFormat="1" ht="57.6" customHeight="1" thickBot="1" x14ac:dyDescent="0.2">
      <c r="A549" s="1117">
        <v>2011</v>
      </c>
      <c r="B549" s="1117">
        <v>2011</v>
      </c>
      <c r="C549" s="1361" t="s">
        <v>36</v>
      </c>
      <c r="D549" s="1362" t="s">
        <v>133</v>
      </c>
      <c r="E549" s="1339" t="s">
        <v>2499</v>
      </c>
      <c r="F549" s="1372" t="s">
        <v>2350</v>
      </c>
      <c r="G549" s="1340">
        <v>4504009199</v>
      </c>
      <c r="H549" s="1341">
        <v>298721.5</v>
      </c>
      <c r="I549" s="1342">
        <v>40696</v>
      </c>
      <c r="J549" s="1343">
        <f t="shared" si="69"/>
        <v>68</v>
      </c>
      <c r="K549" s="1342">
        <v>40764</v>
      </c>
      <c r="L549" s="1342" t="s">
        <v>41</v>
      </c>
      <c r="M549" s="1342">
        <v>40753</v>
      </c>
      <c r="N549" s="1343">
        <f t="shared" si="68"/>
        <v>-3</v>
      </c>
      <c r="O549" s="1426">
        <v>40752</v>
      </c>
      <c r="P549" s="1342">
        <v>40761</v>
      </c>
      <c r="Q549" s="1346">
        <v>40777</v>
      </c>
      <c r="R549" s="1354">
        <f t="shared" si="67"/>
        <v>81</v>
      </c>
      <c r="S549" s="1343" t="s">
        <v>2523</v>
      </c>
      <c r="T549" s="1390"/>
      <c r="U549" s="1347" t="str">
        <f t="shared" si="70"/>
        <v>en término</v>
      </c>
      <c r="V549" s="1130" t="str">
        <f t="shared" si="65"/>
        <v>Julio</v>
      </c>
      <c r="W549" s="1128">
        <f t="shared" si="66"/>
        <v>1</v>
      </c>
    </row>
    <row r="550" spans="1:23" s="1321" customFormat="1" ht="57.6" customHeight="1" thickBot="1" x14ac:dyDescent="0.2">
      <c r="A550" s="1117">
        <v>2011</v>
      </c>
      <c r="B550" s="1117">
        <v>2011</v>
      </c>
      <c r="C550" s="1361" t="s">
        <v>36</v>
      </c>
      <c r="D550" s="1363" t="s">
        <v>133</v>
      </c>
      <c r="E550" s="1350" t="s">
        <v>2499</v>
      </c>
      <c r="F550" s="1367" t="s">
        <v>2350</v>
      </c>
      <c r="G550" s="1351">
        <v>4504012323</v>
      </c>
      <c r="H550" s="1352">
        <v>18137</v>
      </c>
      <c r="I550" s="1353">
        <v>40700</v>
      </c>
      <c r="J550" s="1354">
        <f t="shared" si="69"/>
        <v>64</v>
      </c>
      <c r="K550" s="1353">
        <v>40764</v>
      </c>
      <c r="L550" s="1353" t="s">
        <v>41</v>
      </c>
      <c r="M550" s="1353">
        <v>40753</v>
      </c>
      <c r="N550" s="1354">
        <f t="shared" si="68"/>
        <v>-3</v>
      </c>
      <c r="O550" s="1427">
        <v>40752</v>
      </c>
      <c r="P550" s="1342">
        <v>40761</v>
      </c>
      <c r="Q550" s="1346">
        <v>40777</v>
      </c>
      <c r="R550" s="1354">
        <f t="shared" si="67"/>
        <v>77</v>
      </c>
      <c r="S550" s="1354" t="s">
        <v>53</v>
      </c>
      <c r="T550" s="1378"/>
      <c r="U550" s="1358" t="str">
        <f t="shared" si="70"/>
        <v>en término</v>
      </c>
      <c r="V550" s="1130" t="str">
        <f t="shared" si="65"/>
        <v>Julio</v>
      </c>
      <c r="W550" s="1128">
        <f t="shared" si="66"/>
        <v>1</v>
      </c>
    </row>
    <row r="551" spans="1:23" s="1321" customFormat="1" ht="57.6" customHeight="1" thickBot="1" x14ac:dyDescent="0.2">
      <c r="A551" s="1117">
        <v>2011</v>
      </c>
      <c r="B551" s="1117">
        <v>2011</v>
      </c>
      <c r="C551" s="1361" t="s">
        <v>36</v>
      </c>
      <c r="D551" s="1362" t="s">
        <v>133</v>
      </c>
      <c r="E551" s="1339" t="s">
        <v>2499</v>
      </c>
      <c r="F551" s="1372" t="s">
        <v>2350</v>
      </c>
      <c r="G551" s="1351">
        <v>4504000218</v>
      </c>
      <c r="H551" s="1352">
        <v>45411.1</v>
      </c>
      <c r="I551" s="1353">
        <v>40694</v>
      </c>
      <c r="J551" s="1354">
        <f t="shared" si="69"/>
        <v>93</v>
      </c>
      <c r="K551" s="1353">
        <v>40787</v>
      </c>
      <c r="L551" s="1342" t="s">
        <v>41</v>
      </c>
      <c r="M551" s="1353">
        <v>40780</v>
      </c>
      <c r="N551" s="1343">
        <f t="shared" si="68"/>
        <v>2</v>
      </c>
      <c r="O551" s="1427">
        <v>40780</v>
      </c>
      <c r="P551" s="1353">
        <v>40789</v>
      </c>
      <c r="Q551" s="1357">
        <v>40805</v>
      </c>
      <c r="R551" s="1354">
        <f t="shared" si="67"/>
        <v>111</v>
      </c>
      <c r="S551" s="1354" t="s">
        <v>1038</v>
      </c>
      <c r="T551" s="1378"/>
      <c r="U551" s="1358" t="str">
        <f t="shared" si="70"/>
        <v>atrasado</v>
      </c>
      <c r="V551" s="1130" t="str">
        <f t="shared" si="65"/>
        <v>Agosto</v>
      </c>
      <c r="W551" s="1128">
        <f t="shared" si="66"/>
        <v>0</v>
      </c>
    </row>
    <row r="552" spans="1:23" s="1321" customFormat="1" ht="57.6" customHeight="1" thickBot="1" x14ac:dyDescent="0.2">
      <c r="A552" s="1117">
        <v>2011</v>
      </c>
      <c r="B552" s="1117">
        <v>2011</v>
      </c>
      <c r="C552" s="1361" t="s">
        <v>36</v>
      </c>
      <c r="D552" s="1363" t="s">
        <v>133</v>
      </c>
      <c r="E552" s="1350" t="s">
        <v>2499</v>
      </c>
      <c r="F552" s="1367" t="s">
        <v>2350</v>
      </c>
      <c r="G552" s="1351">
        <v>4504013128</v>
      </c>
      <c r="H552" s="1352">
        <v>26952.799999999999</v>
      </c>
      <c r="I552" s="1353">
        <v>40700</v>
      </c>
      <c r="J552" s="1354">
        <f t="shared" si="69"/>
        <v>91</v>
      </c>
      <c r="K552" s="1353">
        <v>40791</v>
      </c>
      <c r="L552" s="1353" t="s">
        <v>41</v>
      </c>
      <c r="M552" s="1353">
        <v>40760</v>
      </c>
      <c r="N552" s="1354">
        <f t="shared" si="68"/>
        <v>-23</v>
      </c>
      <c r="O552" s="1427" t="s">
        <v>2527</v>
      </c>
      <c r="P552" s="1353">
        <v>40768</v>
      </c>
      <c r="Q552" s="1357">
        <v>40784</v>
      </c>
      <c r="R552" s="1354">
        <f t="shared" si="67"/>
        <v>84</v>
      </c>
      <c r="S552" s="1354" t="s">
        <v>2528</v>
      </c>
      <c r="T552" s="1378"/>
      <c r="U552" s="1358" t="str">
        <f t="shared" si="70"/>
        <v>en término</v>
      </c>
      <c r="V552" s="1130" t="str">
        <f t="shared" si="65"/>
        <v>Agosto</v>
      </c>
      <c r="W552" s="1128">
        <f t="shared" si="66"/>
        <v>1</v>
      </c>
    </row>
    <row r="553" spans="1:23" s="1321" customFormat="1" ht="57.6" customHeight="1" thickBot="1" x14ac:dyDescent="0.2">
      <c r="A553" s="1117">
        <v>2011</v>
      </c>
      <c r="B553" s="1117">
        <v>2011</v>
      </c>
      <c r="C553" s="1361" t="s">
        <v>36</v>
      </c>
      <c r="D553" s="1363" t="s">
        <v>133</v>
      </c>
      <c r="E553" s="1350" t="s">
        <v>2499</v>
      </c>
      <c r="F553" s="1367" t="s">
        <v>2350</v>
      </c>
      <c r="G553" s="1351">
        <v>4504059481</v>
      </c>
      <c r="H553" s="1352">
        <v>60321.4</v>
      </c>
      <c r="I553" s="1353">
        <v>40731</v>
      </c>
      <c r="J553" s="1354">
        <f t="shared" si="69"/>
        <v>93</v>
      </c>
      <c r="K553" s="1353">
        <v>40824</v>
      </c>
      <c r="L553" s="1353" t="s">
        <v>41</v>
      </c>
      <c r="M553" s="1353">
        <v>40780</v>
      </c>
      <c r="N553" s="1354">
        <f t="shared" si="68"/>
        <v>-35</v>
      </c>
      <c r="O553" s="1427">
        <v>40780</v>
      </c>
      <c r="P553" s="1353">
        <v>40789</v>
      </c>
      <c r="Q553" s="1357">
        <v>40805</v>
      </c>
      <c r="R553" s="1354">
        <f t="shared" si="67"/>
        <v>74</v>
      </c>
      <c r="S553" s="1354" t="s">
        <v>1661</v>
      </c>
      <c r="T553" s="1378"/>
      <c r="U553" s="1358" t="str">
        <f t="shared" si="70"/>
        <v>en término</v>
      </c>
      <c r="V553" s="1130" t="str">
        <f t="shared" si="65"/>
        <v>Agosto</v>
      </c>
      <c r="W553" s="1128">
        <f t="shared" si="66"/>
        <v>1</v>
      </c>
    </row>
    <row r="554" spans="1:23" s="1321" customFormat="1" ht="57.6" customHeight="1" thickBot="1" x14ac:dyDescent="0.2">
      <c r="A554" s="1117">
        <v>2011</v>
      </c>
      <c r="B554" s="1117">
        <v>2011</v>
      </c>
      <c r="C554" s="1361" t="s">
        <v>36</v>
      </c>
      <c r="D554" s="1363" t="s">
        <v>133</v>
      </c>
      <c r="E554" s="1350" t="s">
        <v>2499</v>
      </c>
      <c r="F554" s="1367" t="s">
        <v>2350</v>
      </c>
      <c r="G554" s="1351">
        <v>4504059534</v>
      </c>
      <c r="H554" s="1352">
        <v>50803.4</v>
      </c>
      <c r="I554" s="1353">
        <v>40725</v>
      </c>
      <c r="J554" s="1354">
        <f t="shared" si="69"/>
        <v>91</v>
      </c>
      <c r="K554" s="1353">
        <v>40816</v>
      </c>
      <c r="L554" s="1353" t="s">
        <v>41</v>
      </c>
      <c r="M554" s="1353">
        <v>40800</v>
      </c>
      <c r="N554" s="1354">
        <f t="shared" si="68"/>
        <v>-6</v>
      </c>
      <c r="O554" s="1427">
        <v>40801</v>
      </c>
      <c r="P554" s="1428">
        <v>40810</v>
      </c>
      <c r="Q554" s="1357">
        <v>40826</v>
      </c>
      <c r="R554" s="1354">
        <f t="shared" si="67"/>
        <v>101</v>
      </c>
      <c r="S554" s="1354" t="s">
        <v>2545</v>
      </c>
      <c r="T554" s="1378"/>
      <c r="U554" s="1358" t="str">
        <f t="shared" si="70"/>
        <v>en término</v>
      </c>
      <c r="V554" s="1130" t="str">
        <f t="shared" si="65"/>
        <v>Septiembre</v>
      </c>
      <c r="W554" s="1128">
        <f t="shared" si="66"/>
        <v>1</v>
      </c>
    </row>
    <row r="555" spans="1:23" s="1321" customFormat="1" ht="57.6" customHeight="1" thickBot="1" x14ac:dyDescent="0.2">
      <c r="A555" s="1117">
        <v>2011</v>
      </c>
      <c r="B555" s="1117">
        <v>2011</v>
      </c>
      <c r="C555" s="1361" t="s">
        <v>36</v>
      </c>
      <c r="D555" s="1363" t="s">
        <v>37</v>
      </c>
      <c r="E555" s="1350" t="s">
        <v>2080</v>
      </c>
      <c r="F555" s="1248" t="s">
        <v>2421</v>
      </c>
      <c r="G555" s="1249">
        <v>10110001</v>
      </c>
      <c r="H555" s="1250">
        <v>25257.96</v>
      </c>
      <c r="I555" s="1251">
        <v>40485</v>
      </c>
      <c r="J555" s="1242">
        <f t="shared" si="69"/>
        <v>76</v>
      </c>
      <c r="K555" s="1251">
        <v>40561</v>
      </c>
      <c r="L555" s="1251" t="s">
        <v>41</v>
      </c>
      <c r="M555" s="1149">
        <v>40551</v>
      </c>
      <c r="N555" s="1150">
        <f t="shared" si="68"/>
        <v>-3</v>
      </c>
      <c r="O555" s="1251">
        <v>40555</v>
      </c>
      <c r="P555" s="1252">
        <v>40558</v>
      </c>
      <c r="Q555" s="1253">
        <v>40572</v>
      </c>
      <c r="R555" s="1242">
        <f t="shared" si="67"/>
        <v>87</v>
      </c>
      <c r="S555" s="1247" t="s">
        <v>6331</v>
      </c>
      <c r="T555" s="1246"/>
      <c r="U555" s="1247" t="str">
        <f t="shared" si="70"/>
        <v>en término</v>
      </c>
      <c r="V555" s="1130" t="str">
        <f t="shared" si="65"/>
        <v>Enero</v>
      </c>
      <c r="W555" s="1128">
        <f t="shared" si="66"/>
        <v>1</v>
      </c>
    </row>
    <row r="556" spans="1:23" s="1321" customFormat="1" ht="57.6" customHeight="1" thickBot="1" x14ac:dyDescent="0.2">
      <c r="A556" s="1117">
        <v>2011</v>
      </c>
      <c r="B556" s="1117">
        <v>2011</v>
      </c>
      <c r="C556" s="1361" t="s">
        <v>36</v>
      </c>
      <c r="D556" s="1363" t="s">
        <v>37</v>
      </c>
      <c r="E556" s="1350" t="s">
        <v>2424</v>
      </c>
      <c r="F556" s="1248" t="s">
        <v>2425</v>
      </c>
      <c r="G556" s="1249">
        <v>10110002</v>
      </c>
      <c r="H556" s="1250">
        <v>200700</v>
      </c>
      <c r="I556" s="1251">
        <v>40485</v>
      </c>
      <c r="J556" s="1242">
        <f t="shared" si="69"/>
        <v>86</v>
      </c>
      <c r="K556" s="1251">
        <v>40571</v>
      </c>
      <c r="L556" s="1251" t="s">
        <v>41</v>
      </c>
      <c r="M556" s="1149">
        <v>40551</v>
      </c>
      <c r="N556" s="1150">
        <f t="shared" si="68"/>
        <v>-13</v>
      </c>
      <c r="O556" s="1251">
        <v>40555</v>
      </c>
      <c r="P556" s="1252">
        <v>40558</v>
      </c>
      <c r="Q556" s="1253">
        <v>40572</v>
      </c>
      <c r="R556" s="1242">
        <f t="shared" si="67"/>
        <v>87</v>
      </c>
      <c r="S556" s="1247" t="s">
        <v>2412</v>
      </c>
      <c r="T556" s="1246"/>
      <c r="U556" s="1247" t="str">
        <f t="shared" si="70"/>
        <v>en término</v>
      </c>
      <c r="V556" s="1130" t="str">
        <f t="shared" si="65"/>
        <v>Enero</v>
      </c>
      <c r="W556" s="1128">
        <f t="shared" si="66"/>
        <v>1</v>
      </c>
    </row>
    <row r="557" spans="1:23" s="1321" customFormat="1" ht="57.6" customHeight="1" thickBot="1" x14ac:dyDescent="0.2">
      <c r="A557" s="1117">
        <v>2011</v>
      </c>
      <c r="B557" s="1117">
        <v>2011</v>
      </c>
      <c r="C557" s="1361" t="s">
        <v>36</v>
      </c>
      <c r="D557" s="1363" t="s">
        <v>37</v>
      </c>
      <c r="E557" s="1350" t="s">
        <v>2427</v>
      </c>
      <c r="F557" s="1254" t="s">
        <v>2428</v>
      </c>
      <c r="G557" s="1216">
        <v>10120002</v>
      </c>
      <c r="H557" s="1217">
        <v>8750</v>
      </c>
      <c r="I557" s="1218">
        <v>40518</v>
      </c>
      <c r="J557" s="1219">
        <f t="shared" si="69"/>
        <v>42</v>
      </c>
      <c r="K557" s="1218">
        <v>40560</v>
      </c>
      <c r="L557" s="1218" t="s">
        <v>41</v>
      </c>
      <c r="M557" s="1149">
        <v>40551</v>
      </c>
      <c r="N557" s="1124">
        <f t="shared" si="68"/>
        <v>-2</v>
      </c>
      <c r="O557" s="1251">
        <v>40555</v>
      </c>
      <c r="P557" s="1252">
        <v>40558</v>
      </c>
      <c r="Q557" s="1253">
        <v>40572</v>
      </c>
      <c r="R557" s="1219">
        <f t="shared" si="67"/>
        <v>54</v>
      </c>
      <c r="S557" s="1223" t="s">
        <v>1994</v>
      </c>
      <c r="T557" s="1245"/>
      <c r="U557" s="1223" t="str">
        <f t="shared" si="70"/>
        <v>en término</v>
      </c>
      <c r="V557" s="1130" t="str">
        <f t="shared" si="65"/>
        <v>Enero</v>
      </c>
      <c r="W557" s="1128">
        <f t="shared" si="66"/>
        <v>1</v>
      </c>
    </row>
    <row r="558" spans="1:23" s="1321" customFormat="1" ht="57.6" customHeight="1" thickBot="1" x14ac:dyDescent="0.2">
      <c r="A558" s="1117">
        <v>2011</v>
      </c>
      <c r="B558" s="1117">
        <v>2011</v>
      </c>
      <c r="C558" s="1361" t="s">
        <v>36</v>
      </c>
      <c r="D558" s="1363" t="s">
        <v>37</v>
      </c>
      <c r="E558" s="1350" t="s">
        <v>2473</v>
      </c>
      <c r="F558" s="1254" t="s">
        <v>2474</v>
      </c>
      <c r="G558" s="1216">
        <v>11010005</v>
      </c>
      <c r="H558" s="1217">
        <v>369988</v>
      </c>
      <c r="I558" s="1218">
        <v>40535</v>
      </c>
      <c r="J558" s="1219">
        <f t="shared" si="69"/>
        <v>112</v>
      </c>
      <c r="K558" s="1218">
        <v>40647</v>
      </c>
      <c r="L558" s="1218" t="s">
        <v>41</v>
      </c>
      <c r="M558" s="1123">
        <v>40661</v>
      </c>
      <c r="N558" s="1124">
        <f t="shared" si="68"/>
        <v>23</v>
      </c>
      <c r="O558" s="1218">
        <v>40668</v>
      </c>
      <c r="P558" s="1222">
        <v>40670</v>
      </c>
      <c r="Q558" s="1255">
        <v>40686</v>
      </c>
      <c r="R558" s="1219">
        <f t="shared" si="67"/>
        <v>151</v>
      </c>
      <c r="S558" s="1223" t="s">
        <v>2475</v>
      </c>
      <c r="T558" s="1245" t="s">
        <v>2466</v>
      </c>
      <c r="U558" s="1223" t="str">
        <f t="shared" si="70"/>
        <v>atrasado</v>
      </c>
      <c r="V558" s="1130" t="str">
        <f t="shared" si="65"/>
        <v>Abril</v>
      </c>
      <c r="W558" s="1128">
        <f t="shared" si="66"/>
        <v>0</v>
      </c>
    </row>
    <row r="559" spans="1:23" s="1321" customFormat="1" ht="57.6" customHeight="1" thickBot="1" x14ac:dyDescent="0.2">
      <c r="A559" s="1117">
        <v>2011</v>
      </c>
      <c r="B559" s="1117">
        <v>2011</v>
      </c>
      <c r="C559" s="1361" t="s">
        <v>36</v>
      </c>
      <c r="D559" s="1363" t="s">
        <v>37</v>
      </c>
      <c r="E559" s="1350" t="s">
        <v>2080</v>
      </c>
      <c r="F559" s="1248" t="s">
        <v>2476</v>
      </c>
      <c r="G559" s="1249">
        <v>11020001</v>
      </c>
      <c r="H559" s="1250">
        <v>19992</v>
      </c>
      <c r="I559" s="1251">
        <v>40578</v>
      </c>
      <c r="J559" s="1242">
        <f t="shared" si="69"/>
        <v>75</v>
      </c>
      <c r="K559" s="1251">
        <v>40653</v>
      </c>
      <c r="L559" s="1251" t="s">
        <v>41</v>
      </c>
      <c r="M559" s="1149">
        <v>40661</v>
      </c>
      <c r="N559" s="1150">
        <f t="shared" si="68"/>
        <v>17</v>
      </c>
      <c r="O559" s="1218">
        <v>40668</v>
      </c>
      <c r="P559" s="1222">
        <v>40670</v>
      </c>
      <c r="Q559" s="1255">
        <v>40686</v>
      </c>
      <c r="R559" s="1242">
        <f t="shared" si="67"/>
        <v>108</v>
      </c>
      <c r="S559" s="1247" t="s">
        <v>6332</v>
      </c>
      <c r="T559" s="1245" t="s">
        <v>2466</v>
      </c>
      <c r="U559" s="1223" t="str">
        <f t="shared" si="70"/>
        <v>atrasado</v>
      </c>
      <c r="V559" s="1130" t="str">
        <f t="shared" si="65"/>
        <v>Abril</v>
      </c>
      <c r="W559" s="1128">
        <f t="shared" si="66"/>
        <v>0</v>
      </c>
    </row>
    <row r="560" spans="1:23" s="1321" customFormat="1" ht="57.6" customHeight="1" thickBot="1" x14ac:dyDescent="0.2">
      <c r="A560" s="1117">
        <v>2011</v>
      </c>
      <c r="B560" s="1117">
        <v>2011</v>
      </c>
      <c r="C560" s="1361" t="s">
        <v>36</v>
      </c>
      <c r="D560" s="1363" t="s">
        <v>37</v>
      </c>
      <c r="E560" s="1350" t="s">
        <v>2080</v>
      </c>
      <c r="F560" s="1248" t="s">
        <v>2470</v>
      </c>
      <c r="G560" s="1249">
        <v>11030001</v>
      </c>
      <c r="H560" s="1250">
        <v>24332</v>
      </c>
      <c r="I560" s="1251">
        <v>40618</v>
      </c>
      <c r="J560" s="1242">
        <f t="shared" si="69"/>
        <v>72</v>
      </c>
      <c r="K560" s="1251">
        <v>40690</v>
      </c>
      <c r="L560" s="1251" t="s">
        <v>41</v>
      </c>
      <c r="M560" s="1149">
        <v>40661</v>
      </c>
      <c r="N560" s="1150">
        <f t="shared" si="68"/>
        <v>-20</v>
      </c>
      <c r="O560" s="1218">
        <v>40668</v>
      </c>
      <c r="P560" s="1222">
        <v>40670</v>
      </c>
      <c r="Q560" s="1255">
        <v>40686</v>
      </c>
      <c r="R560" s="1242">
        <f t="shared" si="67"/>
        <v>68</v>
      </c>
      <c r="S560" s="1247" t="s">
        <v>6333</v>
      </c>
      <c r="T560" s="1246"/>
      <c r="U560" s="1247" t="str">
        <f t="shared" si="70"/>
        <v>en término</v>
      </c>
      <c r="V560" s="1130" t="str">
        <f t="shared" si="65"/>
        <v>Abril</v>
      </c>
      <c r="W560" s="1128">
        <f t="shared" si="66"/>
        <v>1</v>
      </c>
    </row>
    <row r="561" spans="1:23" s="1321" customFormat="1" ht="57.6" customHeight="1" thickBot="1" x14ac:dyDescent="0.2">
      <c r="A561" s="1117">
        <v>2011</v>
      </c>
      <c r="B561" s="1117">
        <v>2011</v>
      </c>
      <c r="C561" s="1361" t="s">
        <v>36</v>
      </c>
      <c r="D561" s="1363" t="s">
        <v>133</v>
      </c>
      <c r="E561" s="1350" t="s">
        <v>2349</v>
      </c>
      <c r="F561" s="1254" t="s">
        <v>2350</v>
      </c>
      <c r="G561" s="1216">
        <v>4503839892</v>
      </c>
      <c r="H561" s="1217">
        <v>32850.9</v>
      </c>
      <c r="I561" s="1218">
        <v>40599</v>
      </c>
      <c r="J561" s="1219">
        <f t="shared" si="69"/>
        <v>94</v>
      </c>
      <c r="K561" s="1218">
        <v>40693</v>
      </c>
      <c r="L561" s="1218" t="s">
        <v>41</v>
      </c>
      <c r="M561" s="1123">
        <v>40675</v>
      </c>
      <c r="N561" s="1124">
        <f t="shared" si="68"/>
        <v>-9</v>
      </c>
      <c r="O561" s="1218">
        <v>40672</v>
      </c>
      <c r="P561" s="1222">
        <v>40684</v>
      </c>
      <c r="Q561" s="1255">
        <v>40700</v>
      </c>
      <c r="R561" s="1219">
        <f t="shared" si="67"/>
        <v>101</v>
      </c>
      <c r="S561" s="1223" t="s">
        <v>940</v>
      </c>
      <c r="T561" s="1245"/>
      <c r="U561" s="1223" t="str">
        <f t="shared" si="70"/>
        <v>en término</v>
      </c>
      <c r="V561" s="1130" t="str">
        <f t="shared" si="65"/>
        <v>Mayo</v>
      </c>
      <c r="W561" s="1128">
        <f t="shared" si="66"/>
        <v>1</v>
      </c>
    </row>
    <row r="562" spans="1:23" s="1321" customFormat="1" ht="57.6" customHeight="1" thickBot="1" x14ac:dyDescent="0.2">
      <c r="A562" s="1117">
        <v>2011</v>
      </c>
      <c r="B562" s="1117">
        <v>2011</v>
      </c>
      <c r="C562" s="1361" t="s">
        <v>36</v>
      </c>
      <c r="D562" s="1363" t="s">
        <v>37</v>
      </c>
      <c r="E562" s="1350" t="s">
        <v>2488</v>
      </c>
      <c r="F562" s="1256" t="s">
        <v>2489</v>
      </c>
      <c r="G562" s="1257">
        <v>11050003</v>
      </c>
      <c r="H562" s="1258">
        <v>1852</v>
      </c>
      <c r="I562" s="1259">
        <v>40646</v>
      </c>
      <c r="J562" s="1260">
        <v>45</v>
      </c>
      <c r="K562" s="1259">
        <f>+I562+J562</f>
        <v>40691</v>
      </c>
      <c r="L562" s="1259" t="s">
        <v>41</v>
      </c>
      <c r="M562" s="1203">
        <v>40690</v>
      </c>
      <c r="N562" s="1204">
        <f t="shared" si="68"/>
        <v>7</v>
      </c>
      <c r="O562" s="1261">
        <v>40690</v>
      </c>
      <c r="P562" s="1262">
        <v>40698</v>
      </c>
      <c r="Q562" s="1263">
        <v>40714</v>
      </c>
      <c r="R562" s="1260">
        <f t="shared" si="67"/>
        <v>68</v>
      </c>
      <c r="S562" s="1264" t="s">
        <v>2077</v>
      </c>
      <c r="T562" s="1265"/>
      <c r="U562" s="1264" t="str">
        <f t="shared" si="70"/>
        <v>atrasado</v>
      </c>
      <c r="V562" s="1130" t="str">
        <f t="shared" si="65"/>
        <v>Mayo</v>
      </c>
      <c r="W562" s="1128">
        <f t="shared" si="66"/>
        <v>0</v>
      </c>
    </row>
    <row r="563" spans="1:23" s="1321" customFormat="1" ht="57.6" customHeight="1" thickBot="1" x14ac:dyDescent="0.2">
      <c r="A563" s="1117">
        <v>2011</v>
      </c>
      <c r="B563" s="1117">
        <v>2011</v>
      </c>
      <c r="C563" s="1361" t="s">
        <v>36</v>
      </c>
      <c r="D563" s="1363" t="s">
        <v>133</v>
      </c>
      <c r="E563" s="1350" t="s">
        <v>2349</v>
      </c>
      <c r="F563" s="1248" t="s">
        <v>2350</v>
      </c>
      <c r="G563" s="1249">
        <v>4503928185</v>
      </c>
      <c r="H563" s="1250">
        <v>8845.7999999999993</v>
      </c>
      <c r="I563" s="1251">
        <v>40652</v>
      </c>
      <c r="J563" s="1242">
        <f t="shared" ref="J563:J588" si="71">+K563-I563</f>
        <v>91</v>
      </c>
      <c r="K563" s="1251">
        <v>40743</v>
      </c>
      <c r="L563" s="1251" t="s">
        <v>41</v>
      </c>
      <c r="M563" s="1149">
        <v>40731</v>
      </c>
      <c r="N563" s="1150">
        <f t="shared" si="68"/>
        <v>-3</v>
      </c>
      <c r="O563" s="1218" t="s">
        <v>2501</v>
      </c>
      <c r="P563" s="1222">
        <v>40740</v>
      </c>
      <c r="Q563" s="1222">
        <v>40756</v>
      </c>
      <c r="R563" s="1242">
        <f t="shared" si="67"/>
        <v>104</v>
      </c>
      <c r="S563" s="1247" t="s">
        <v>2525</v>
      </c>
      <c r="T563" s="1246"/>
      <c r="U563" s="1247" t="str">
        <f t="shared" si="70"/>
        <v>en término</v>
      </c>
      <c r="V563" s="1130" t="str">
        <f t="shared" si="65"/>
        <v>Julio</v>
      </c>
      <c r="W563" s="1128">
        <f t="shared" si="66"/>
        <v>1</v>
      </c>
    </row>
    <row r="564" spans="1:23" s="1321" customFormat="1" ht="57.6" customHeight="1" thickBot="1" x14ac:dyDescent="0.2">
      <c r="A564" s="1117">
        <v>2011</v>
      </c>
      <c r="B564" s="1117">
        <v>2011</v>
      </c>
      <c r="C564" s="1361" t="s">
        <v>36</v>
      </c>
      <c r="D564" s="1363" t="s">
        <v>37</v>
      </c>
      <c r="E564" s="1350" t="s">
        <v>2481</v>
      </c>
      <c r="F564" s="1254" t="s">
        <v>2482</v>
      </c>
      <c r="G564" s="1216">
        <v>11050001</v>
      </c>
      <c r="H564" s="1217">
        <v>1350</v>
      </c>
      <c r="I564" s="1218">
        <v>40661</v>
      </c>
      <c r="J564" s="1219">
        <f t="shared" si="71"/>
        <v>21</v>
      </c>
      <c r="K564" s="1218">
        <v>40682</v>
      </c>
      <c r="L564" s="1218" t="s">
        <v>41</v>
      </c>
      <c r="M564" s="1123">
        <v>40675</v>
      </c>
      <c r="N564" s="1124">
        <f t="shared" si="68"/>
        <v>7</v>
      </c>
      <c r="O564" s="1266"/>
      <c r="P564" s="1222">
        <v>40689</v>
      </c>
      <c r="Q564" s="1255">
        <v>40708</v>
      </c>
      <c r="R564" s="1219">
        <f t="shared" si="67"/>
        <v>47</v>
      </c>
      <c r="S564" s="1223" t="s">
        <v>53</v>
      </c>
      <c r="T564" s="1245"/>
      <c r="U564" s="1223" t="str">
        <f t="shared" si="70"/>
        <v>atrasado</v>
      </c>
      <c r="V564" s="1130" t="str">
        <f t="shared" si="65"/>
        <v>Mayo</v>
      </c>
      <c r="W564" s="1128">
        <f t="shared" si="66"/>
        <v>0</v>
      </c>
    </row>
    <row r="565" spans="1:23" s="1321" customFormat="1" ht="57.6" customHeight="1" thickBot="1" x14ac:dyDescent="0.2">
      <c r="A565" s="1117">
        <v>2011</v>
      </c>
      <c r="B565" s="1117">
        <v>2011</v>
      </c>
      <c r="C565" s="1361" t="s">
        <v>36</v>
      </c>
      <c r="D565" s="1363" t="s">
        <v>37</v>
      </c>
      <c r="E565" s="1350" t="s">
        <v>2505</v>
      </c>
      <c r="F565" s="1256" t="s">
        <v>2506</v>
      </c>
      <c r="G565" s="1257">
        <v>1105002</v>
      </c>
      <c r="H565" s="1258">
        <v>11465</v>
      </c>
      <c r="I565" s="1218">
        <v>40666</v>
      </c>
      <c r="J565" s="1219">
        <f t="shared" si="71"/>
        <v>100</v>
      </c>
      <c r="K565" s="1218">
        <v>40766</v>
      </c>
      <c r="L565" s="1259" t="s">
        <v>41</v>
      </c>
      <c r="M565" s="1203">
        <v>40746</v>
      </c>
      <c r="N565" s="1204">
        <f t="shared" si="68"/>
        <v>-11</v>
      </c>
      <c r="O565" s="1266">
        <v>40752</v>
      </c>
      <c r="P565" s="1267">
        <v>40755</v>
      </c>
      <c r="Q565" s="1263">
        <v>40770</v>
      </c>
      <c r="R565" s="1219">
        <f t="shared" si="67"/>
        <v>104</v>
      </c>
      <c r="S565" s="1264" t="s">
        <v>378</v>
      </c>
      <c r="T565" s="1245"/>
      <c r="U565" s="1223" t="str">
        <f t="shared" si="70"/>
        <v>en término</v>
      </c>
      <c r="V565" s="1130" t="str">
        <f t="shared" si="65"/>
        <v>Julio</v>
      </c>
      <c r="W565" s="1128">
        <f t="shared" si="66"/>
        <v>1</v>
      </c>
    </row>
    <row r="566" spans="1:23" s="1321" customFormat="1" ht="57.6" customHeight="1" thickBot="1" x14ac:dyDescent="0.2">
      <c r="A566" s="1117">
        <v>2011</v>
      </c>
      <c r="B566" s="1117">
        <v>2011</v>
      </c>
      <c r="C566" s="1361" t="s">
        <v>36</v>
      </c>
      <c r="D566" s="1363" t="s">
        <v>37</v>
      </c>
      <c r="E566" s="1350" t="s">
        <v>2486</v>
      </c>
      <c r="F566" s="1248" t="s">
        <v>2487</v>
      </c>
      <c r="G566" s="1249">
        <v>11050004</v>
      </c>
      <c r="H566" s="1250">
        <v>637.1</v>
      </c>
      <c r="I566" s="1429">
        <v>40672</v>
      </c>
      <c r="J566" s="1242">
        <f t="shared" si="71"/>
        <v>83</v>
      </c>
      <c r="K566" s="1251">
        <v>40755</v>
      </c>
      <c r="L566" s="1251" t="s">
        <v>41</v>
      </c>
      <c r="M566" s="1149">
        <v>40689</v>
      </c>
      <c r="N566" s="1268">
        <f t="shared" si="68"/>
        <v>-57</v>
      </c>
      <c r="O566" s="1269"/>
      <c r="P566" s="1252">
        <v>40698</v>
      </c>
      <c r="Q566" s="1252">
        <v>40714</v>
      </c>
      <c r="R566" s="1242">
        <f t="shared" si="67"/>
        <v>42</v>
      </c>
      <c r="S566" s="1242" t="s">
        <v>53</v>
      </c>
      <c r="T566" s="1246"/>
      <c r="U566" s="1247" t="str">
        <f t="shared" si="70"/>
        <v>en término</v>
      </c>
      <c r="V566" s="1130" t="str">
        <f t="shared" si="65"/>
        <v>Mayo</v>
      </c>
      <c r="W566" s="1128">
        <f t="shared" si="66"/>
        <v>1</v>
      </c>
    </row>
    <row r="567" spans="1:23" s="1321" customFormat="1" ht="57.6" customHeight="1" thickBot="1" x14ac:dyDescent="0.2">
      <c r="A567" s="1117">
        <v>2011</v>
      </c>
      <c r="B567" s="1117">
        <v>2011</v>
      </c>
      <c r="C567" s="1361" t="s">
        <v>36</v>
      </c>
      <c r="D567" s="1363" t="s">
        <v>133</v>
      </c>
      <c r="E567" s="1350" t="s">
        <v>2349</v>
      </c>
      <c r="F567" s="1254" t="s">
        <v>2350</v>
      </c>
      <c r="G567" s="1216">
        <v>4503966260</v>
      </c>
      <c r="H567" s="1217">
        <v>10020.299999999999</v>
      </c>
      <c r="I567" s="1218">
        <v>40675</v>
      </c>
      <c r="J567" s="1219">
        <f t="shared" si="71"/>
        <v>94</v>
      </c>
      <c r="K567" s="1218">
        <v>40769</v>
      </c>
      <c r="L567" s="1218" t="s">
        <v>41</v>
      </c>
      <c r="M567" s="1123">
        <v>40746</v>
      </c>
      <c r="N567" s="1192">
        <f t="shared" si="68"/>
        <v>-14</v>
      </c>
      <c r="O567" s="1266">
        <v>40752</v>
      </c>
      <c r="P567" s="1222">
        <v>40755</v>
      </c>
      <c r="Q567" s="1255">
        <v>40770</v>
      </c>
      <c r="R567" s="1219">
        <f t="shared" si="67"/>
        <v>95</v>
      </c>
      <c r="S567" s="1219" t="s">
        <v>53</v>
      </c>
      <c r="T567" s="1245"/>
      <c r="U567" s="1223" t="str">
        <f t="shared" ref="U567:U598" si="72">IF(N567="","",IF(N567&lt;=0,"en término","atrasado"))</f>
        <v>en término</v>
      </c>
      <c r="V567" s="1130" t="str">
        <f t="shared" si="65"/>
        <v>Julio</v>
      </c>
      <c r="W567" s="1128">
        <f t="shared" si="66"/>
        <v>1</v>
      </c>
    </row>
    <row r="568" spans="1:23" ht="57.6" customHeight="1" thickBot="1" x14ac:dyDescent="0.25">
      <c r="A568" s="1117">
        <v>2011</v>
      </c>
      <c r="B568" s="1117">
        <v>2011</v>
      </c>
      <c r="C568" s="1361" t="s">
        <v>36</v>
      </c>
      <c r="D568" s="1363" t="s">
        <v>37</v>
      </c>
      <c r="E568" s="1350" t="s">
        <v>2507</v>
      </c>
      <c r="F568" s="1254" t="s">
        <v>2508</v>
      </c>
      <c r="G568" s="1216">
        <v>11060002</v>
      </c>
      <c r="H568" s="1217">
        <v>5926.5</v>
      </c>
      <c r="I568" s="1218">
        <v>40693</v>
      </c>
      <c r="J568" s="1219">
        <f t="shared" si="71"/>
        <v>123</v>
      </c>
      <c r="K568" s="1218">
        <v>40816</v>
      </c>
      <c r="L568" s="1218" t="s">
        <v>41</v>
      </c>
      <c r="M568" s="1123">
        <v>40746</v>
      </c>
      <c r="N568" s="1192">
        <f t="shared" si="68"/>
        <v>-61</v>
      </c>
      <c r="O568" s="1266">
        <v>40752</v>
      </c>
      <c r="P568" s="1222">
        <v>40755</v>
      </c>
      <c r="Q568" s="1255">
        <v>40770</v>
      </c>
      <c r="R568" s="1219">
        <f t="shared" si="67"/>
        <v>77</v>
      </c>
      <c r="S568" s="1219" t="s">
        <v>53</v>
      </c>
      <c r="T568" s="1245"/>
      <c r="U568" s="1223" t="str">
        <f t="shared" si="72"/>
        <v>en término</v>
      </c>
      <c r="V568" s="1130" t="str">
        <f t="shared" si="65"/>
        <v>Julio</v>
      </c>
      <c r="W568" s="1128">
        <f t="shared" si="66"/>
        <v>1</v>
      </c>
    </row>
    <row r="569" spans="1:23" ht="57.6" customHeight="1" thickBot="1" x14ac:dyDescent="0.25">
      <c r="A569" s="1117">
        <v>2011</v>
      </c>
      <c r="B569" s="1117">
        <v>2011</v>
      </c>
      <c r="C569" s="1361" t="s">
        <v>36</v>
      </c>
      <c r="D569" s="1363" t="s">
        <v>37</v>
      </c>
      <c r="E569" s="1350" t="s">
        <v>2514</v>
      </c>
      <c r="F569" s="1270" t="s">
        <v>2515</v>
      </c>
      <c r="G569" s="1271">
        <v>11060002</v>
      </c>
      <c r="H569" s="1272">
        <v>6053.1</v>
      </c>
      <c r="I569" s="1261">
        <v>40693</v>
      </c>
      <c r="J569" s="1273">
        <f t="shared" si="71"/>
        <v>123</v>
      </c>
      <c r="K569" s="1261">
        <v>40816</v>
      </c>
      <c r="L569" s="1261" t="s">
        <v>41</v>
      </c>
      <c r="M569" s="1274">
        <v>40746</v>
      </c>
      <c r="N569" s="1275">
        <f t="shared" si="68"/>
        <v>-61</v>
      </c>
      <c r="O569" s="1276">
        <v>40752</v>
      </c>
      <c r="P569" s="1262">
        <v>40755</v>
      </c>
      <c r="Q569" s="1277">
        <v>40770</v>
      </c>
      <c r="R569" s="1273">
        <f t="shared" si="67"/>
        <v>77</v>
      </c>
      <c r="S569" s="1273" t="s">
        <v>53</v>
      </c>
      <c r="T569" s="1278"/>
      <c r="U569" s="1279" t="str">
        <f t="shared" si="72"/>
        <v>en término</v>
      </c>
      <c r="V569" s="1130" t="str">
        <f t="shared" si="65"/>
        <v>Julio</v>
      </c>
      <c r="W569" s="1128">
        <f t="shared" si="66"/>
        <v>1</v>
      </c>
    </row>
    <row r="570" spans="1:23" ht="57.6" customHeight="1" thickBot="1" x14ac:dyDescent="0.25">
      <c r="A570" s="1117">
        <v>2011</v>
      </c>
      <c r="B570" s="1117">
        <v>2011</v>
      </c>
      <c r="C570" s="1361" t="s">
        <v>36</v>
      </c>
      <c r="D570" s="1363" t="s">
        <v>37</v>
      </c>
      <c r="E570" s="1350" t="s">
        <v>2530</v>
      </c>
      <c r="F570" s="1254" t="s">
        <v>2531</v>
      </c>
      <c r="G570" s="1216">
        <v>11060001</v>
      </c>
      <c r="H570" s="1217">
        <v>35000</v>
      </c>
      <c r="I570" s="1218">
        <v>40694</v>
      </c>
      <c r="J570" s="1219">
        <f t="shared" si="71"/>
        <v>153</v>
      </c>
      <c r="K570" s="1218">
        <v>40847</v>
      </c>
      <c r="L570" s="1218" t="s">
        <v>41</v>
      </c>
      <c r="M570" s="1123">
        <v>40760</v>
      </c>
      <c r="N570" s="1192">
        <f t="shared" si="68"/>
        <v>-79</v>
      </c>
      <c r="O570" s="1280" t="s">
        <v>2527</v>
      </c>
      <c r="P570" s="1222">
        <v>40768</v>
      </c>
      <c r="Q570" s="1222">
        <v>40784</v>
      </c>
      <c r="R570" s="1219">
        <f t="shared" si="67"/>
        <v>90</v>
      </c>
      <c r="S570" s="1219" t="s">
        <v>2532</v>
      </c>
      <c r="T570" s="1245"/>
      <c r="U570" s="1223" t="str">
        <f t="shared" si="72"/>
        <v>en término</v>
      </c>
      <c r="V570" s="1130" t="str">
        <f t="shared" si="65"/>
        <v>Agosto</v>
      </c>
      <c r="W570" s="1128">
        <f t="shared" si="66"/>
        <v>1</v>
      </c>
    </row>
    <row r="571" spans="1:23" ht="57.6" customHeight="1" thickBot="1" x14ac:dyDescent="0.25">
      <c r="A571" s="1117">
        <v>2011</v>
      </c>
      <c r="B571" s="1117">
        <v>2011</v>
      </c>
      <c r="C571" s="1361" t="s">
        <v>36</v>
      </c>
      <c r="D571" s="1363" t="s">
        <v>37</v>
      </c>
      <c r="E571" s="1350" t="s">
        <v>2516</v>
      </c>
      <c r="F571" s="1254" t="s">
        <v>2517</v>
      </c>
      <c r="G571" s="1216">
        <v>11060002</v>
      </c>
      <c r="H571" s="1217">
        <v>1077.2</v>
      </c>
      <c r="I571" s="1218">
        <v>40659</v>
      </c>
      <c r="J571" s="1219">
        <f t="shared" si="71"/>
        <v>157</v>
      </c>
      <c r="K571" s="1218">
        <v>40816</v>
      </c>
      <c r="L571" s="1218" t="s">
        <v>41</v>
      </c>
      <c r="M571" s="1123">
        <v>40746</v>
      </c>
      <c r="N571" s="1124">
        <f t="shared" si="68"/>
        <v>-61</v>
      </c>
      <c r="O571" s="1266">
        <v>40752</v>
      </c>
      <c r="P571" s="1222">
        <v>40755</v>
      </c>
      <c r="Q571" s="1255">
        <v>40770</v>
      </c>
      <c r="R571" s="1219">
        <f t="shared" si="67"/>
        <v>111</v>
      </c>
      <c r="S571" s="1219" t="s">
        <v>53</v>
      </c>
      <c r="T571" s="1245"/>
      <c r="U571" s="1223" t="str">
        <f t="shared" si="72"/>
        <v>en término</v>
      </c>
      <c r="V571" s="1130" t="str">
        <f t="shared" si="65"/>
        <v>Julio</v>
      </c>
      <c r="W571" s="1128">
        <f t="shared" si="66"/>
        <v>1</v>
      </c>
    </row>
    <row r="572" spans="1:23" ht="57.6" customHeight="1" thickBot="1" x14ac:dyDescent="0.25">
      <c r="A572" s="1117">
        <v>2011</v>
      </c>
      <c r="B572" s="1117">
        <v>2011</v>
      </c>
      <c r="C572" s="1361" t="s">
        <v>36</v>
      </c>
      <c r="D572" s="1363" t="s">
        <v>37</v>
      </c>
      <c r="E572" s="1350" t="s">
        <v>2510</v>
      </c>
      <c r="F572" s="1254" t="s">
        <v>2511</v>
      </c>
      <c r="G572" s="1216">
        <v>11060002</v>
      </c>
      <c r="H572" s="1217">
        <v>5385.2</v>
      </c>
      <c r="I572" s="1218">
        <v>40666</v>
      </c>
      <c r="J572" s="1219">
        <f t="shared" si="71"/>
        <v>150</v>
      </c>
      <c r="K572" s="1218">
        <v>40816</v>
      </c>
      <c r="L572" s="1218" t="s">
        <v>41</v>
      </c>
      <c r="M572" s="1123">
        <v>40746</v>
      </c>
      <c r="N572" s="1124">
        <f t="shared" si="68"/>
        <v>-61</v>
      </c>
      <c r="O572" s="1266">
        <v>40752</v>
      </c>
      <c r="P572" s="1222">
        <v>40755</v>
      </c>
      <c r="Q572" s="1255">
        <v>40770</v>
      </c>
      <c r="R572" s="1219">
        <f t="shared" si="67"/>
        <v>104</v>
      </c>
      <c r="S572" s="1219" t="s">
        <v>53</v>
      </c>
      <c r="T572" s="1245"/>
      <c r="U572" s="1223" t="str">
        <f t="shared" si="72"/>
        <v>en término</v>
      </c>
      <c r="V572" s="1130" t="str">
        <f t="shared" si="65"/>
        <v>Julio</v>
      </c>
      <c r="W572" s="1128">
        <f t="shared" si="66"/>
        <v>1</v>
      </c>
    </row>
    <row r="573" spans="1:23" ht="57.6" customHeight="1" thickBot="1" x14ac:dyDescent="0.25">
      <c r="A573" s="1117">
        <v>2011</v>
      </c>
      <c r="B573" s="1117">
        <v>2011</v>
      </c>
      <c r="C573" s="1361" t="s">
        <v>36</v>
      </c>
      <c r="D573" s="1363" t="s">
        <v>37</v>
      </c>
      <c r="E573" s="1350" t="s">
        <v>2518</v>
      </c>
      <c r="F573" s="1254" t="s">
        <v>2519</v>
      </c>
      <c r="G573" s="1216">
        <v>11060002</v>
      </c>
      <c r="H573" s="1217">
        <v>15720.91</v>
      </c>
      <c r="I573" s="1218">
        <v>40659</v>
      </c>
      <c r="J573" s="1219">
        <f t="shared" si="71"/>
        <v>157</v>
      </c>
      <c r="K573" s="1218">
        <v>40816</v>
      </c>
      <c r="L573" s="1218" t="s">
        <v>41</v>
      </c>
      <c r="M573" s="1123">
        <v>40746</v>
      </c>
      <c r="N573" s="1124">
        <f t="shared" si="68"/>
        <v>-61</v>
      </c>
      <c r="O573" s="1266">
        <v>40752</v>
      </c>
      <c r="P573" s="1222">
        <v>40755</v>
      </c>
      <c r="Q573" s="1255">
        <v>40770</v>
      </c>
      <c r="R573" s="1219">
        <f t="shared" si="67"/>
        <v>111</v>
      </c>
      <c r="S573" s="1219" t="s">
        <v>53</v>
      </c>
      <c r="T573" s="1245"/>
      <c r="U573" s="1223" t="str">
        <f t="shared" si="72"/>
        <v>en término</v>
      </c>
      <c r="V573" s="1130" t="str">
        <f t="shared" si="65"/>
        <v>Julio</v>
      </c>
      <c r="W573" s="1128">
        <f t="shared" si="66"/>
        <v>1</v>
      </c>
    </row>
    <row r="574" spans="1:23" ht="57.6" customHeight="1" thickBot="1" x14ac:dyDescent="0.25">
      <c r="A574" s="1117">
        <v>2011</v>
      </c>
      <c r="B574" s="1117">
        <v>2011</v>
      </c>
      <c r="C574" s="1361" t="s">
        <v>36</v>
      </c>
      <c r="D574" s="1363" t="s">
        <v>37</v>
      </c>
      <c r="E574" s="1350" t="s">
        <v>2512</v>
      </c>
      <c r="F574" s="1254" t="s">
        <v>2513</v>
      </c>
      <c r="G574" s="1216">
        <v>11060004</v>
      </c>
      <c r="H574" s="1217">
        <v>82000</v>
      </c>
      <c r="I574" s="1218">
        <v>40696</v>
      </c>
      <c r="J574" s="1219">
        <f t="shared" si="71"/>
        <v>121</v>
      </c>
      <c r="K574" s="1218">
        <v>40817</v>
      </c>
      <c r="L574" s="1218" t="s">
        <v>41</v>
      </c>
      <c r="M574" s="1123">
        <v>40746</v>
      </c>
      <c r="N574" s="1124">
        <f t="shared" si="68"/>
        <v>-62</v>
      </c>
      <c r="O574" s="1266">
        <v>40752</v>
      </c>
      <c r="P574" s="1222">
        <v>40755</v>
      </c>
      <c r="Q574" s="1255">
        <v>40770</v>
      </c>
      <c r="R574" s="1219">
        <f t="shared" si="67"/>
        <v>74</v>
      </c>
      <c r="S574" s="1219" t="s">
        <v>53</v>
      </c>
      <c r="T574" s="1245"/>
      <c r="U574" s="1223" t="str">
        <f t="shared" si="72"/>
        <v>en término</v>
      </c>
      <c r="V574" s="1130" t="str">
        <f t="shared" si="65"/>
        <v>Julio</v>
      </c>
      <c r="W574" s="1128">
        <f t="shared" si="66"/>
        <v>1</v>
      </c>
    </row>
    <row r="575" spans="1:23" ht="57.6" customHeight="1" thickBot="1" x14ac:dyDescent="0.25">
      <c r="A575" s="1117">
        <v>2011</v>
      </c>
      <c r="B575" s="1117">
        <v>2011</v>
      </c>
      <c r="C575" s="1361" t="s">
        <v>36</v>
      </c>
      <c r="D575" s="1363" t="s">
        <v>37</v>
      </c>
      <c r="E575" s="1350" t="s">
        <v>2540</v>
      </c>
      <c r="F575" s="1256" t="s">
        <v>2541</v>
      </c>
      <c r="G575" s="1257">
        <v>11060006</v>
      </c>
      <c r="H575" s="1258">
        <v>97642</v>
      </c>
      <c r="I575" s="1259">
        <v>40702</v>
      </c>
      <c r="J575" s="1260">
        <f t="shared" si="71"/>
        <v>138</v>
      </c>
      <c r="K575" s="1259">
        <v>40840</v>
      </c>
      <c r="L575" s="1259" t="s">
        <v>41</v>
      </c>
      <c r="M575" s="1203">
        <v>40785</v>
      </c>
      <c r="N575" s="1204">
        <f t="shared" si="68"/>
        <v>-44</v>
      </c>
      <c r="O575" s="1281">
        <v>40787</v>
      </c>
      <c r="P575" s="1267">
        <v>40796</v>
      </c>
      <c r="Q575" s="1267">
        <v>40812</v>
      </c>
      <c r="R575" s="1273">
        <f t="shared" si="67"/>
        <v>110</v>
      </c>
      <c r="S575" s="1260" t="s">
        <v>2543</v>
      </c>
      <c r="T575" s="1245"/>
      <c r="U575" s="1223" t="str">
        <f t="shared" si="72"/>
        <v>en término</v>
      </c>
      <c r="V575" s="1130" t="str">
        <f t="shared" si="65"/>
        <v>Agosto</v>
      </c>
      <c r="W575" s="1128">
        <f t="shared" si="66"/>
        <v>1</v>
      </c>
    </row>
    <row r="576" spans="1:23" ht="57.6" customHeight="1" thickBot="1" x14ac:dyDescent="0.25">
      <c r="A576" s="1117">
        <v>2011</v>
      </c>
      <c r="B576" s="1117">
        <v>2011</v>
      </c>
      <c r="C576" s="1361" t="s">
        <v>36</v>
      </c>
      <c r="D576" s="1363" t="s">
        <v>133</v>
      </c>
      <c r="E576" s="1350" t="s">
        <v>2349</v>
      </c>
      <c r="F576" s="1254" t="s">
        <v>2350</v>
      </c>
      <c r="G576" s="1216">
        <v>4503874833</v>
      </c>
      <c r="H576" s="1217">
        <v>6120</v>
      </c>
      <c r="I576" s="1218">
        <v>40624</v>
      </c>
      <c r="J576" s="1219">
        <f t="shared" si="71"/>
        <v>153</v>
      </c>
      <c r="K576" s="1218">
        <v>40777</v>
      </c>
      <c r="L576" s="1218" t="s">
        <v>41</v>
      </c>
      <c r="M576" s="1123">
        <v>40746</v>
      </c>
      <c r="N576" s="1124">
        <f t="shared" si="68"/>
        <v>-22</v>
      </c>
      <c r="O576" s="1266">
        <v>40752</v>
      </c>
      <c r="P576" s="1222">
        <v>40755</v>
      </c>
      <c r="Q576" s="1255">
        <v>40770</v>
      </c>
      <c r="R576" s="1219">
        <f t="shared" si="67"/>
        <v>146</v>
      </c>
      <c r="S576" s="1219" t="s">
        <v>53</v>
      </c>
      <c r="T576" s="1278"/>
      <c r="U576" s="1279" t="str">
        <f t="shared" si="72"/>
        <v>en término</v>
      </c>
      <c r="V576" s="1130" t="str">
        <f t="shared" si="65"/>
        <v>Julio</v>
      </c>
      <c r="W576" s="1128">
        <f t="shared" si="66"/>
        <v>1</v>
      </c>
    </row>
    <row r="577" spans="1:23" ht="57.6" customHeight="1" thickBot="1" x14ac:dyDescent="0.25">
      <c r="A577" s="1117">
        <v>2011</v>
      </c>
      <c r="B577" s="1117">
        <v>2011</v>
      </c>
      <c r="C577" s="1361" t="s">
        <v>36</v>
      </c>
      <c r="D577" s="1363" t="s">
        <v>37</v>
      </c>
      <c r="E577" s="1350" t="s">
        <v>2520</v>
      </c>
      <c r="F577" s="1254" t="s">
        <v>2521</v>
      </c>
      <c r="G577" s="1216">
        <v>11070001</v>
      </c>
      <c r="H577" s="1217">
        <v>1025</v>
      </c>
      <c r="I577" s="1218">
        <v>40710</v>
      </c>
      <c r="J577" s="1219">
        <f t="shared" si="71"/>
        <v>96</v>
      </c>
      <c r="K577" s="1218">
        <v>40806</v>
      </c>
      <c r="L577" s="1218" t="s">
        <v>41</v>
      </c>
      <c r="M577" s="1123">
        <v>40746</v>
      </c>
      <c r="N577" s="1124">
        <f t="shared" si="68"/>
        <v>-51</v>
      </c>
      <c r="O577" s="1266">
        <v>40752</v>
      </c>
      <c r="P577" s="1267">
        <v>40755</v>
      </c>
      <c r="Q577" s="1263">
        <v>40770</v>
      </c>
      <c r="R577" s="1219">
        <f t="shared" si="67"/>
        <v>60</v>
      </c>
      <c r="S577" s="1219" t="s">
        <v>53</v>
      </c>
      <c r="T577" s="1245"/>
      <c r="U577" s="1223" t="str">
        <f t="shared" si="72"/>
        <v>en término</v>
      </c>
      <c r="V577" s="1130" t="str">
        <f t="shared" si="65"/>
        <v>Julio</v>
      </c>
      <c r="W577" s="1128">
        <f t="shared" si="66"/>
        <v>1</v>
      </c>
    </row>
    <row r="578" spans="1:23" ht="57.6" customHeight="1" thickBot="1" x14ac:dyDescent="0.25">
      <c r="A578" s="1117">
        <v>2011</v>
      </c>
      <c r="B578" s="1117">
        <v>2011</v>
      </c>
      <c r="C578" s="1361" t="s">
        <v>36</v>
      </c>
      <c r="D578" s="1363" t="s">
        <v>133</v>
      </c>
      <c r="E578" s="1350" t="s">
        <v>2349</v>
      </c>
      <c r="F578" s="1254" t="s">
        <v>2350</v>
      </c>
      <c r="G578" s="1216">
        <v>4504056478</v>
      </c>
      <c r="H578" s="1217">
        <v>48756</v>
      </c>
      <c r="I578" s="1218">
        <v>40724</v>
      </c>
      <c r="J578" s="1219">
        <f t="shared" si="71"/>
        <v>90</v>
      </c>
      <c r="K578" s="1218">
        <v>40814</v>
      </c>
      <c r="L578" s="1218" t="s">
        <v>41</v>
      </c>
      <c r="M578" s="1123">
        <v>40800</v>
      </c>
      <c r="N578" s="1124">
        <f t="shared" si="68"/>
        <v>-4</v>
      </c>
      <c r="O578" s="1280">
        <v>40801</v>
      </c>
      <c r="P578" s="1222">
        <v>40810</v>
      </c>
      <c r="Q578" s="1222">
        <v>40826</v>
      </c>
      <c r="R578" s="1219">
        <f t="shared" si="67"/>
        <v>102</v>
      </c>
      <c r="S578" s="1219" t="s">
        <v>2547</v>
      </c>
      <c r="T578" s="1245"/>
      <c r="U578" s="1223" t="str">
        <f t="shared" si="72"/>
        <v>en término</v>
      </c>
      <c r="V578" s="1130" t="str">
        <f t="shared" ref="V578:V641" si="73">VLOOKUP(MONTH(M578),$Y$66:$Z$77,2,FALSE)</f>
        <v>Septiembre</v>
      </c>
      <c r="W578" s="1128">
        <f t="shared" ref="W578:W641" si="74">+IF(U578="atrasado",0)+IF(U578="en término",1)</f>
        <v>1</v>
      </c>
    </row>
    <row r="579" spans="1:23" ht="57.6" customHeight="1" thickBot="1" x14ac:dyDescent="0.25">
      <c r="A579" s="1117">
        <v>2011</v>
      </c>
      <c r="B579" s="1117">
        <v>2011</v>
      </c>
      <c r="C579" s="1361" t="s">
        <v>36</v>
      </c>
      <c r="D579" s="1363" t="s">
        <v>133</v>
      </c>
      <c r="E579" s="1350" t="s">
        <v>2349</v>
      </c>
      <c r="F579" s="1254" t="s">
        <v>2350</v>
      </c>
      <c r="G579" s="1216">
        <v>4504063809</v>
      </c>
      <c r="H579" s="1217">
        <v>398973.7</v>
      </c>
      <c r="I579" s="1218">
        <v>40728</v>
      </c>
      <c r="J579" s="1219">
        <f t="shared" si="71"/>
        <v>67</v>
      </c>
      <c r="K579" s="1218">
        <v>40795</v>
      </c>
      <c r="L579" s="1218" t="s">
        <v>41</v>
      </c>
      <c r="M579" s="1123">
        <v>40780</v>
      </c>
      <c r="N579" s="1282">
        <f t="shared" si="68"/>
        <v>-6</v>
      </c>
      <c r="O579" s="1280">
        <v>40780</v>
      </c>
      <c r="P579" s="1222">
        <v>40789</v>
      </c>
      <c r="Q579" s="1222">
        <v>40805</v>
      </c>
      <c r="R579" s="1219">
        <f t="shared" si="67"/>
        <v>77</v>
      </c>
      <c r="S579" s="1219" t="s">
        <v>2538</v>
      </c>
      <c r="T579" s="1245"/>
      <c r="U579" s="1223" t="str">
        <f t="shared" si="72"/>
        <v>en término</v>
      </c>
      <c r="V579" s="1130" t="str">
        <f t="shared" si="73"/>
        <v>Agosto</v>
      </c>
      <c r="W579" s="1128">
        <f t="shared" si="74"/>
        <v>1</v>
      </c>
    </row>
    <row r="580" spans="1:23" ht="57.6" customHeight="1" thickBot="1" x14ac:dyDescent="0.25">
      <c r="A580" s="1117">
        <v>2011</v>
      </c>
      <c r="B580" s="1117">
        <v>2011</v>
      </c>
      <c r="C580" s="1361" t="s">
        <v>36</v>
      </c>
      <c r="D580" s="1363" t="s">
        <v>133</v>
      </c>
      <c r="E580" s="1350" t="s">
        <v>2349</v>
      </c>
      <c r="F580" s="1254" t="s">
        <v>2350</v>
      </c>
      <c r="G580" s="1216">
        <v>4504063788</v>
      </c>
      <c r="H580" s="1217">
        <v>13112.5</v>
      </c>
      <c r="I580" s="1218">
        <v>40728</v>
      </c>
      <c r="J580" s="1219">
        <f t="shared" si="71"/>
        <v>67</v>
      </c>
      <c r="K580" s="1218">
        <v>40795</v>
      </c>
      <c r="L580" s="1218" t="s">
        <v>41</v>
      </c>
      <c r="M580" s="1123">
        <v>40780</v>
      </c>
      <c r="N580" s="1124">
        <f t="shared" si="68"/>
        <v>-6</v>
      </c>
      <c r="O580" s="1280">
        <v>40780</v>
      </c>
      <c r="P580" s="1222">
        <v>40789</v>
      </c>
      <c r="Q580" s="1222">
        <v>40805</v>
      </c>
      <c r="R580" s="1219">
        <f t="shared" si="67"/>
        <v>77</v>
      </c>
      <c r="S580" s="1219" t="s">
        <v>597</v>
      </c>
      <c r="T580" s="1245"/>
      <c r="U580" s="1223" t="str">
        <f t="shared" si="72"/>
        <v>en término</v>
      </c>
      <c r="V580" s="1130" t="str">
        <f t="shared" si="73"/>
        <v>Agosto</v>
      </c>
      <c r="W580" s="1128">
        <f t="shared" si="74"/>
        <v>1</v>
      </c>
    </row>
    <row r="581" spans="1:23" ht="57.6" customHeight="1" thickBot="1" x14ac:dyDescent="0.25">
      <c r="A581" s="1117">
        <v>2011</v>
      </c>
      <c r="B581" s="1117">
        <v>2011</v>
      </c>
      <c r="C581" s="1361" t="s">
        <v>36</v>
      </c>
      <c r="D581" s="1363" t="s">
        <v>133</v>
      </c>
      <c r="E581" s="1350" t="s">
        <v>2349</v>
      </c>
      <c r="F581" s="1254" t="s">
        <v>2350</v>
      </c>
      <c r="G581" s="1216">
        <v>4504069852</v>
      </c>
      <c r="H581" s="1217">
        <v>128587.9</v>
      </c>
      <c r="I581" s="1218">
        <v>40732</v>
      </c>
      <c r="J581" s="1219">
        <f t="shared" si="71"/>
        <v>96</v>
      </c>
      <c r="K581" s="1218">
        <v>40828</v>
      </c>
      <c r="L581" s="1218" t="s">
        <v>41</v>
      </c>
      <c r="M581" s="1123">
        <v>40815</v>
      </c>
      <c r="N581" s="1124">
        <f t="shared" si="68"/>
        <v>-4</v>
      </c>
      <c r="O581" s="1280">
        <v>40816</v>
      </c>
      <c r="P581" s="1222">
        <v>40824</v>
      </c>
      <c r="Q581" s="1222">
        <v>40840</v>
      </c>
      <c r="R581" s="1219">
        <f t="shared" si="67"/>
        <v>108</v>
      </c>
      <c r="S581" s="1219" t="s">
        <v>1279</v>
      </c>
      <c r="T581" s="1245"/>
      <c r="U581" s="1223" t="str">
        <f t="shared" si="72"/>
        <v>en término</v>
      </c>
      <c r="V581" s="1130" t="str">
        <f t="shared" si="73"/>
        <v>Septiembre</v>
      </c>
      <c r="W581" s="1128">
        <f t="shared" si="74"/>
        <v>1</v>
      </c>
    </row>
    <row r="582" spans="1:23" ht="57.6" customHeight="1" thickBot="1" x14ac:dyDescent="0.25">
      <c r="A582" s="1143">
        <v>2011</v>
      </c>
      <c r="B582" s="1143">
        <v>2011</v>
      </c>
      <c r="C582" s="1338" t="s">
        <v>36</v>
      </c>
      <c r="D582" s="1362" t="s">
        <v>37</v>
      </c>
      <c r="E582" s="1339" t="s">
        <v>2548</v>
      </c>
      <c r="F582" s="1248" t="s">
        <v>2549</v>
      </c>
      <c r="G582" s="1249">
        <v>11090003</v>
      </c>
      <c r="H582" s="1250">
        <v>3100</v>
      </c>
      <c r="I582" s="1251">
        <v>40752</v>
      </c>
      <c r="J582" s="1242">
        <f t="shared" si="71"/>
        <v>99</v>
      </c>
      <c r="K582" s="1251">
        <v>40851</v>
      </c>
      <c r="L582" s="1251" t="s">
        <v>41</v>
      </c>
      <c r="M582" s="1149">
        <v>40801</v>
      </c>
      <c r="N582" s="1150">
        <f t="shared" si="68"/>
        <v>-41</v>
      </c>
      <c r="O582" s="1269">
        <v>40801</v>
      </c>
      <c r="P582" s="1430">
        <v>40810</v>
      </c>
      <c r="Q582" s="1252">
        <v>40826</v>
      </c>
      <c r="R582" s="1242">
        <f t="shared" si="67"/>
        <v>74</v>
      </c>
      <c r="S582" s="1242" t="s">
        <v>2550</v>
      </c>
      <c r="T582" s="1246"/>
      <c r="U582" s="1247" t="str">
        <f t="shared" si="72"/>
        <v>en término</v>
      </c>
      <c r="V582" s="1290" t="str">
        <f t="shared" si="73"/>
        <v>Septiembre</v>
      </c>
      <c r="W582" s="1323">
        <f t="shared" si="74"/>
        <v>1</v>
      </c>
    </row>
    <row r="583" spans="1:23" ht="57.6" customHeight="1" thickTop="1" thickBot="1" x14ac:dyDescent="0.25">
      <c r="A583" s="1157">
        <v>2012</v>
      </c>
      <c r="B583" s="1157">
        <v>2012</v>
      </c>
      <c r="C583" s="1394" t="s">
        <v>5433</v>
      </c>
      <c r="D583" s="1431" t="s">
        <v>5456</v>
      </c>
      <c r="E583" s="1395" t="s">
        <v>5542</v>
      </c>
      <c r="F583" s="1395"/>
      <c r="G583" s="1396">
        <v>4500130752</v>
      </c>
      <c r="H583" s="1397">
        <v>32529</v>
      </c>
      <c r="I583" s="1398">
        <v>40891</v>
      </c>
      <c r="J583" s="1399">
        <f t="shared" si="71"/>
        <v>76</v>
      </c>
      <c r="K583" s="1400">
        <v>40967</v>
      </c>
      <c r="L583" s="1401" t="s">
        <v>5458</v>
      </c>
      <c r="M583" s="1398">
        <v>40969</v>
      </c>
      <c r="N583" s="1399">
        <f t="shared" si="68"/>
        <v>21</v>
      </c>
      <c r="O583" s="1398"/>
      <c r="P583" s="1432">
        <v>40988</v>
      </c>
      <c r="Q583" s="1400">
        <f>+P583+20</f>
        <v>41008</v>
      </c>
      <c r="R583" s="1399">
        <f t="shared" ref="R583:R646" si="75">IF(Q583="","",+Q583-I583)</f>
        <v>117</v>
      </c>
      <c r="S583" s="1402" t="s">
        <v>5543</v>
      </c>
      <c r="T583" s="1403"/>
      <c r="U583" s="1404" t="str">
        <f t="shared" si="72"/>
        <v>atrasado</v>
      </c>
      <c r="V583" s="1130" t="str">
        <f t="shared" si="73"/>
        <v>Marzo</v>
      </c>
      <c r="W583" s="1128">
        <f t="shared" si="74"/>
        <v>0</v>
      </c>
    </row>
    <row r="584" spans="1:23" ht="57.6" customHeight="1" thickBot="1" x14ac:dyDescent="0.25">
      <c r="A584" s="1117">
        <v>2012</v>
      </c>
      <c r="B584" s="1117">
        <v>2012</v>
      </c>
      <c r="C584" s="1361" t="s">
        <v>5433</v>
      </c>
      <c r="D584" s="1363" t="s">
        <v>5545</v>
      </c>
      <c r="E584" s="1350" t="s">
        <v>5546</v>
      </c>
      <c r="F584" s="1350"/>
      <c r="G584" s="1351">
        <v>4100000132</v>
      </c>
      <c r="H584" s="1352">
        <v>11100</v>
      </c>
      <c r="I584" s="1353">
        <v>40953</v>
      </c>
      <c r="J584" s="1354">
        <f t="shared" si="71"/>
        <v>62</v>
      </c>
      <c r="K584" s="1355">
        <v>41015</v>
      </c>
      <c r="L584" s="1356" t="s">
        <v>124</v>
      </c>
      <c r="M584" s="1353">
        <v>40981</v>
      </c>
      <c r="N584" s="1354">
        <f t="shared" si="68"/>
        <v>-34</v>
      </c>
      <c r="O584" s="1353"/>
      <c r="P584" s="1357">
        <v>40981</v>
      </c>
      <c r="Q584" s="1355">
        <f>+P584+10</f>
        <v>40991</v>
      </c>
      <c r="R584" s="1354">
        <f t="shared" si="75"/>
        <v>38</v>
      </c>
      <c r="S584" s="1358" t="s">
        <v>6334</v>
      </c>
      <c r="T584" s="1359" t="s">
        <v>5549</v>
      </c>
      <c r="U584" s="1360" t="str">
        <f t="shared" si="72"/>
        <v>en término</v>
      </c>
      <c r="V584" s="1130" t="str">
        <f t="shared" si="73"/>
        <v>Marzo</v>
      </c>
      <c r="W584" s="1128">
        <f t="shared" si="74"/>
        <v>1</v>
      </c>
    </row>
    <row r="585" spans="1:23" ht="57.6" customHeight="1" thickBot="1" x14ac:dyDescent="0.25">
      <c r="A585" s="1117">
        <v>2012</v>
      </c>
      <c r="B585" s="1117">
        <v>2012</v>
      </c>
      <c r="C585" s="1361" t="s">
        <v>5433</v>
      </c>
      <c r="D585" s="1145" t="s">
        <v>5434</v>
      </c>
      <c r="E585" s="1350" t="s">
        <v>5550</v>
      </c>
      <c r="F585" s="1350"/>
      <c r="G585" s="1351" t="s">
        <v>5551</v>
      </c>
      <c r="H585" s="1352">
        <v>30720</v>
      </c>
      <c r="I585" s="1353">
        <v>40840</v>
      </c>
      <c r="J585" s="1354">
        <f t="shared" si="71"/>
        <v>154</v>
      </c>
      <c r="K585" s="1355">
        <v>40994</v>
      </c>
      <c r="L585" s="1356" t="s">
        <v>5458</v>
      </c>
      <c r="M585" s="1353">
        <v>40995</v>
      </c>
      <c r="N585" s="1354">
        <f t="shared" si="68"/>
        <v>3</v>
      </c>
      <c r="O585" s="1353"/>
      <c r="P585" s="1357">
        <v>40997</v>
      </c>
      <c r="Q585" s="1355">
        <f>+P585+3</f>
        <v>41000</v>
      </c>
      <c r="R585" s="1354">
        <f t="shared" si="75"/>
        <v>160</v>
      </c>
      <c r="S585" s="1358" t="s">
        <v>5553</v>
      </c>
      <c r="T585" s="1359" t="s">
        <v>5554</v>
      </c>
      <c r="U585" s="1360" t="str">
        <f t="shared" si="72"/>
        <v>atrasado</v>
      </c>
      <c r="V585" s="1130" t="str">
        <f t="shared" si="73"/>
        <v>Marzo</v>
      </c>
      <c r="W585" s="1128">
        <f t="shared" si="74"/>
        <v>0</v>
      </c>
    </row>
    <row r="586" spans="1:23" ht="57.6" customHeight="1" thickBot="1" x14ac:dyDescent="0.25">
      <c r="A586" s="1117">
        <v>2012</v>
      </c>
      <c r="B586" s="1117">
        <v>2012</v>
      </c>
      <c r="C586" s="1361" t="s">
        <v>5433</v>
      </c>
      <c r="D586" s="1145" t="s">
        <v>5434</v>
      </c>
      <c r="E586" s="1350" t="s">
        <v>5555</v>
      </c>
      <c r="F586" s="1350"/>
      <c r="G586" s="1351" t="s">
        <v>5556</v>
      </c>
      <c r="H586" s="1352">
        <v>2150</v>
      </c>
      <c r="I586" s="1353">
        <v>40934</v>
      </c>
      <c r="J586" s="1354">
        <f t="shared" si="71"/>
        <v>60</v>
      </c>
      <c r="K586" s="1355">
        <v>40994</v>
      </c>
      <c r="L586" s="1356" t="s">
        <v>5458</v>
      </c>
      <c r="M586" s="1353">
        <v>40988</v>
      </c>
      <c r="N586" s="1354">
        <f t="shared" si="68"/>
        <v>0</v>
      </c>
      <c r="O586" s="1353"/>
      <c r="P586" s="1357">
        <v>40994</v>
      </c>
      <c r="Q586" s="1355">
        <f>+P586+3</f>
        <v>40997</v>
      </c>
      <c r="R586" s="1354">
        <f t="shared" si="75"/>
        <v>63</v>
      </c>
      <c r="S586" s="1358" t="s">
        <v>6335</v>
      </c>
      <c r="T586" s="1359"/>
      <c r="U586" s="1360" t="str">
        <f t="shared" si="72"/>
        <v>en término</v>
      </c>
      <c r="V586" s="1130" t="str">
        <f t="shared" si="73"/>
        <v>Marzo</v>
      </c>
      <c r="W586" s="1128">
        <f t="shared" si="74"/>
        <v>1</v>
      </c>
    </row>
    <row r="587" spans="1:23" ht="57.6" customHeight="1" thickBot="1" x14ac:dyDescent="0.25">
      <c r="A587" s="1117">
        <v>2012</v>
      </c>
      <c r="B587" s="1117">
        <v>2012</v>
      </c>
      <c r="C587" s="1361" t="s">
        <v>5433</v>
      </c>
      <c r="D587" s="1363" t="s">
        <v>5456</v>
      </c>
      <c r="E587" s="1350" t="s">
        <v>5542</v>
      </c>
      <c r="F587" s="1350"/>
      <c r="G587" s="1351">
        <v>4500130752</v>
      </c>
      <c r="H587" s="1352">
        <v>58723</v>
      </c>
      <c r="I587" s="1353">
        <v>40891</v>
      </c>
      <c r="J587" s="1354">
        <f t="shared" si="71"/>
        <v>136</v>
      </c>
      <c r="K587" s="1355">
        <v>41027</v>
      </c>
      <c r="L587" s="1356" t="s">
        <v>124</v>
      </c>
      <c r="M587" s="1353">
        <v>41026</v>
      </c>
      <c r="N587" s="1354">
        <f t="shared" si="68"/>
        <v>23</v>
      </c>
      <c r="O587" s="1353"/>
      <c r="P587" s="1357">
        <v>41050</v>
      </c>
      <c r="Q587" s="1355">
        <f>+P587+10</f>
        <v>41060</v>
      </c>
      <c r="R587" s="1354">
        <f t="shared" si="75"/>
        <v>169</v>
      </c>
      <c r="S587" s="1358" t="s">
        <v>6336</v>
      </c>
      <c r="T587" s="1359"/>
      <c r="U587" s="1360" t="str">
        <f t="shared" si="72"/>
        <v>atrasado</v>
      </c>
      <c r="V587" s="1130" t="str">
        <f t="shared" si="73"/>
        <v>Abril</v>
      </c>
      <c r="W587" s="1128">
        <f t="shared" si="74"/>
        <v>0</v>
      </c>
    </row>
    <row r="588" spans="1:23" ht="57.6" customHeight="1" thickBot="1" x14ac:dyDescent="0.25">
      <c r="A588" s="1117">
        <v>2012</v>
      </c>
      <c r="B588" s="1117">
        <v>2012</v>
      </c>
      <c r="C588" s="1361" t="s">
        <v>5433</v>
      </c>
      <c r="D588" s="1145" t="s">
        <v>5434</v>
      </c>
      <c r="E588" s="1350" t="s">
        <v>5559</v>
      </c>
      <c r="F588" s="1350"/>
      <c r="G588" s="1351" t="s">
        <v>5560</v>
      </c>
      <c r="H588" s="1352">
        <v>1990</v>
      </c>
      <c r="I588" s="1353">
        <v>41038</v>
      </c>
      <c r="J588" s="1354">
        <f t="shared" si="71"/>
        <v>1</v>
      </c>
      <c r="K588" s="1355">
        <v>41039</v>
      </c>
      <c r="L588" s="1356" t="s">
        <v>5445</v>
      </c>
      <c r="M588" s="1353">
        <v>41046</v>
      </c>
      <c r="N588" s="1354">
        <f t="shared" ref="N588:N613" si="76">IF(P588="","",+P588-K588)</f>
        <v>14</v>
      </c>
      <c r="O588" s="1353"/>
      <c r="P588" s="1357">
        <v>41053</v>
      </c>
      <c r="Q588" s="1355">
        <f>+P588+5</f>
        <v>41058</v>
      </c>
      <c r="R588" s="1354">
        <f t="shared" si="75"/>
        <v>20</v>
      </c>
      <c r="S588" s="1358" t="s">
        <v>6337</v>
      </c>
      <c r="T588" s="1359"/>
      <c r="U588" s="1360" t="str">
        <f t="shared" si="72"/>
        <v>atrasado</v>
      </c>
      <c r="V588" s="1130" t="str">
        <f t="shared" si="73"/>
        <v>Mayo</v>
      </c>
      <c r="W588" s="1128">
        <f t="shared" si="74"/>
        <v>0</v>
      </c>
    </row>
    <row r="589" spans="1:23" ht="57.6" customHeight="1" thickBot="1" x14ac:dyDescent="0.25">
      <c r="A589" s="1117">
        <v>2012</v>
      </c>
      <c r="B589" s="1117">
        <v>2012</v>
      </c>
      <c r="C589" s="1361" t="s">
        <v>5433</v>
      </c>
      <c r="D589" s="1145" t="s">
        <v>5434</v>
      </c>
      <c r="E589" s="1350" t="s">
        <v>5559</v>
      </c>
      <c r="F589" s="1350"/>
      <c r="G589" s="1351" t="s">
        <v>5562</v>
      </c>
      <c r="H589" s="1352">
        <v>5880</v>
      </c>
      <c r="I589" s="1353">
        <v>41038</v>
      </c>
      <c r="J589" s="1354">
        <v>30</v>
      </c>
      <c r="K589" s="1355">
        <f t="shared" ref="K589:K599" si="77">+I589+J589</f>
        <v>41068</v>
      </c>
      <c r="L589" s="1356" t="s">
        <v>5458</v>
      </c>
      <c r="M589" s="1353">
        <v>41068</v>
      </c>
      <c r="N589" s="1354">
        <f t="shared" si="76"/>
        <v>0</v>
      </c>
      <c r="O589" s="1353"/>
      <c r="P589" s="1357">
        <v>41068</v>
      </c>
      <c r="Q589" s="1355">
        <f>+P589+5</f>
        <v>41073</v>
      </c>
      <c r="R589" s="1354">
        <f t="shared" si="75"/>
        <v>35</v>
      </c>
      <c r="S589" s="1358" t="s">
        <v>5563</v>
      </c>
      <c r="T589" s="1359" t="s">
        <v>5564</v>
      </c>
      <c r="U589" s="1360" t="str">
        <f t="shared" si="72"/>
        <v>en término</v>
      </c>
      <c r="V589" s="1130" t="str">
        <f t="shared" si="73"/>
        <v>Junio</v>
      </c>
      <c r="W589" s="1128">
        <f t="shared" si="74"/>
        <v>1</v>
      </c>
    </row>
    <row r="590" spans="1:23" ht="57.6" customHeight="1" thickBot="1" x14ac:dyDescent="0.25">
      <c r="A590" s="1117">
        <v>2012</v>
      </c>
      <c r="B590" s="1117">
        <v>2012</v>
      </c>
      <c r="C590" s="1361" t="s">
        <v>5433</v>
      </c>
      <c r="D590" s="1145" t="s">
        <v>5434</v>
      </c>
      <c r="E590" s="1350" t="s">
        <v>5565</v>
      </c>
      <c r="F590" s="1350"/>
      <c r="G590" s="1351" t="s">
        <v>5566</v>
      </c>
      <c r="H590" s="1352">
        <v>38305.800000000003</v>
      </c>
      <c r="I590" s="1353">
        <v>41057</v>
      </c>
      <c r="J590" s="1354">
        <v>75</v>
      </c>
      <c r="K590" s="1355">
        <f t="shared" si="77"/>
        <v>41132</v>
      </c>
      <c r="L590" s="1356" t="s">
        <v>5458</v>
      </c>
      <c r="M590" s="1353">
        <v>41128</v>
      </c>
      <c r="N590" s="1354">
        <f t="shared" si="76"/>
        <v>-4</v>
      </c>
      <c r="O590" s="1353"/>
      <c r="P590" s="1357">
        <v>41128</v>
      </c>
      <c r="Q590" s="1355">
        <f>+P590+10</f>
        <v>41138</v>
      </c>
      <c r="R590" s="1354">
        <f t="shared" si="75"/>
        <v>81</v>
      </c>
      <c r="S590" s="1358" t="s">
        <v>6338</v>
      </c>
      <c r="T590" s="1359"/>
      <c r="U590" s="1360" t="str">
        <f t="shared" si="72"/>
        <v>en término</v>
      </c>
      <c r="V590" s="1130" t="str">
        <f t="shared" si="73"/>
        <v>Agosto</v>
      </c>
      <c r="W590" s="1128">
        <f t="shared" si="74"/>
        <v>1</v>
      </c>
    </row>
    <row r="591" spans="1:23" ht="57.6" customHeight="1" thickBot="1" x14ac:dyDescent="0.25">
      <c r="A591" s="1117">
        <v>2012</v>
      </c>
      <c r="B591" s="1117">
        <v>2012</v>
      </c>
      <c r="C591" s="1361" t="s">
        <v>5433</v>
      </c>
      <c r="D591" s="1145" t="s">
        <v>5434</v>
      </c>
      <c r="E591" s="1350" t="s">
        <v>5569</v>
      </c>
      <c r="F591" s="1350"/>
      <c r="G591" s="1351" t="s">
        <v>5570</v>
      </c>
      <c r="H591" s="1352">
        <v>3950</v>
      </c>
      <c r="I591" s="1353">
        <v>41072</v>
      </c>
      <c r="J591" s="1354">
        <v>60</v>
      </c>
      <c r="K591" s="1355">
        <f t="shared" si="77"/>
        <v>41132</v>
      </c>
      <c r="L591" s="1356" t="s">
        <v>5458</v>
      </c>
      <c r="M591" s="1353">
        <v>41128</v>
      </c>
      <c r="N591" s="1354">
        <f t="shared" si="76"/>
        <v>-4</v>
      </c>
      <c r="O591" s="1353"/>
      <c r="P591" s="1357">
        <v>41128</v>
      </c>
      <c r="Q591" s="1355">
        <f>+P591+10</f>
        <v>41138</v>
      </c>
      <c r="R591" s="1354">
        <f t="shared" si="75"/>
        <v>66</v>
      </c>
      <c r="S591" s="1358" t="s">
        <v>6339</v>
      </c>
      <c r="T591" s="1359" t="s">
        <v>5572</v>
      </c>
      <c r="U591" s="1360" t="str">
        <f t="shared" si="72"/>
        <v>en término</v>
      </c>
      <c r="V591" s="1130" t="str">
        <f t="shared" si="73"/>
        <v>Agosto</v>
      </c>
      <c r="W591" s="1128">
        <f t="shared" si="74"/>
        <v>1</v>
      </c>
    </row>
    <row r="592" spans="1:23" ht="57.6" customHeight="1" thickBot="1" x14ac:dyDescent="0.25">
      <c r="A592" s="1117">
        <v>2012</v>
      </c>
      <c r="B592" s="1117">
        <v>2012</v>
      </c>
      <c r="C592" s="1361" t="s">
        <v>5433</v>
      </c>
      <c r="D592" s="1145" t="s">
        <v>5434</v>
      </c>
      <c r="E592" s="1350" t="s">
        <v>5573</v>
      </c>
      <c r="F592" s="1350"/>
      <c r="G592" s="1351" t="s">
        <v>5574</v>
      </c>
      <c r="H592" s="1352">
        <v>840</v>
      </c>
      <c r="I592" s="1353">
        <v>41152</v>
      </c>
      <c r="J592" s="1354">
        <v>21</v>
      </c>
      <c r="K592" s="1355">
        <f t="shared" si="77"/>
        <v>41173</v>
      </c>
      <c r="L592" s="1356" t="s">
        <v>5445</v>
      </c>
      <c r="M592" s="1353">
        <v>41169</v>
      </c>
      <c r="N592" s="1354">
        <f t="shared" si="76"/>
        <v>-3</v>
      </c>
      <c r="O592" s="1353"/>
      <c r="P592" s="1357">
        <v>41170</v>
      </c>
      <c r="Q592" s="1355">
        <f>+P592+5</f>
        <v>41175</v>
      </c>
      <c r="R592" s="1354">
        <f t="shared" si="75"/>
        <v>23</v>
      </c>
      <c r="S592" s="1358" t="s">
        <v>6340</v>
      </c>
      <c r="T592" s="1359" t="s">
        <v>5576</v>
      </c>
      <c r="U592" s="1360" t="str">
        <f t="shared" si="72"/>
        <v>en término</v>
      </c>
      <c r="V592" s="1130" t="str">
        <f t="shared" si="73"/>
        <v>Septiembre</v>
      </c>
      <c r="W592" s="1128">
        <f t="shared" si="74"/>
        <v>1</v>
      </c>
    </row>
    <row r="593" spans="1:23" ht="57.6" customHeight="1" thickBot="1" x14ac:dyDescent="0.25">
      <c r="A593" s="1117">
        <v>2012</v>
      </c>
      <c r="B593" s="1117">
        <v>2012</v>
      </c>
      <c r="C593" s="1361" t="s">
        <v>5433</v>
      </c>
      <c r="D593" s="1145" t="s">
        <v>5434</v>
      </c>
      <c r="E593" s="1350" t="s">
        <v>5577</v>
      </c>
      <c r="F593" s="1350"/>
      <c r="G593" s="1351" t="s">
        <v>5578</v>
      </c>
      <c r="H593" s="1352">
        <v>5110</v>
      </c>
      <c r="I593" s="1353">
        <v>41201</v>
      </c>
      <c r="J593" s="1354">
        <v>45</v>
      </c>
      <c r="K593" s="1355">
        <f t="shared" si="77"/>
        <v>41246</v>
      </c>
      <c r="L593" s="1356" t="s">
        <v>5458</v>
      </c>
      <c r="M593" s="1353">
        <v>41261</v>
      </c>
      <c r="N593" s="1354">
        <f t="shared" si="76"/>
        <v>17</v>
      </c>
      <c r="O593" s="1353"/>
      <c r="P593" s="1357">
        <v>41263</v>
      </c>
      <c r="Q593" s="1355">
        <f>+P593+5</f>
        <v>41268</v>
      </c>
      <c r="R593" s="1354">
        <f t="shared" si="75"/>
        <v>67</v>
      </c>
      <c r="S593" s="1358" t="s">
        <v>5579</v>
      </c>
      <c r="T593" s="1359"/>
      <c r="U593" s="1360" t="str">
        <f t="shared" si="72"/>
        <v>atrasado</v>
      </c>
      <c r="V593" s="1130" t="str">
        <f t="shared" si="73"/>
        <v>Diciembre</v>
      </c>
      <c r="W593" s="1128">
        <f t="shared" si="74"/>
        <v>0</v>
      </c>
    </row>
    <row r="594" spans="1:23" ht="57.6" customHeight="1" thickBot="1" x14ac:dyDescent="0.25">
      <c r="A594" s="1117">
        <v>2012</v>
      </c>
      <c r="B594" s="1117">
        <v>2012</v>
      </c>
      <c r="C594" s="1361" t="s">
        <v>5433</v>
      </c>
      <c r="D594" s="1145" t="s">
        <v>5434</v>
      </c>
      <c r="E594" s="1350" t="s">
        <v>5581</v>
      </c>
      <c r="F594" s="1350"/>
      <c r="G594" s="1351" t="s">
        <v>5582</v>
      </c>
      <c r="H594" s="1352">
        <v>30566.9</v>
      </c>
      <c r="I594" s="1353">
        <v>41222</v>
      </c>
      <c r="J594" s="1354">
        <v>60</v>
      </c>
      <c r="K594" s="1355">
        <f t="shared" si="77"/>
        <v>41282</v>
      </c>
      <c r="L594" s="1356" t="s">
        <v>5458</v>
      </c>
      <c r="M594" s="1353">
        <v>41296</v>
      </c>
      <c r="N594" s="1354">
        <f t="shared" si="76"/>
        <v>38</v>
      </c>
      <c r="O594" s="1353"/>
      <c r="P594" s="1357">
        <v>41320</v>
      </c>
      <c r="Q594" s="1355">
        <f>+P594+10</f>
        <v>41330</v>
      </c>
      <c r="R594" s="1354">
        <f t="shared" si="75"/>
        <v>108</v>
      </c>
      <c r="S594" s="1358" t="s">
        <v>950</v>
      </c>
      <c r="T594" s="1359"/>
      <c r="U594" s="1360" t="str">
        <f t="shared" si="72"/>
        <v>atrasado</v>
      </c>
      <c r="V594" s="1130" t="str">
        <f t="shared" si="73"/>
        <v>Enero</v>
      </c>
      <c r="W594" s="1128">
        <f t="shared" si="74"/>
        <v>0</v>
      </c>
    </row>
    <row r="595" spans="1:23" ht="57.6" customHeight="1" thickBot="1" x14ac:dyDescent="0.25">
      <c r="A595" s="1117">
        <v>2012</v>
      </c>
      <c r="B595" s="1117">
        <v>2012</v>
      </c>
      <c r="C595" s="1361" t="s">
        <v>114</v>
      </c>
      <c r="D595" s="1363" t="s">
        <v>115</v>
      </c>
      <c r="E595" s="1350" t="s">
        <v>4783</v>
      </c>
      <c r="F595" s="1350"/>
      <c r="G595" s="1351" t="s">
        <v>4784</v>
      </c>
      <c r="H595" s="1352">
        <v>10370</v>
      </c>
      <c r="I595" s="1353">
        <v>40899</v>
      </c>
      <c r="J595" s="1354">
        <v>120</v>
      </c>
      <c r="K595" s="1355">
        <f t="shared" si="77"/>
        <v>41019</v>
      </c>
      <c r="L595" s="1356" t="s">
        <v>124</v>
      </c>
      <c r="M595" s="1353">
        <v>40991</v>
      </c>
      <c r="N595" s="1354">
        <f t="shared" si="76"/>
        <v>-19</v>
      </c>
      <c r="O595" s="1353">
        <v>40994</v>
      </c>
      <c r="P595" s="1357">
        <v>41000</v>
      </c>
      <c r="Q595" s="1357">
        <f>+P595+5</f>
        <v>41005</v>
      </c>
      <c r="R595" s="1354">
        <f t="shared" si="75"/>
        <v>106</v>
      </c>
      <c r="S595" s="1358" t="s">
        <v>6341</v>
      </c>
      <c r="T595" s="1359"/>
      <c r="U595" s="1360" t="str">
        <f t="shared" si="72"/>
        <v>en término</v>
      </c>
      <c r="V595" s="1130" t="str">
        <f t="shared" si="73"/>
        <v>Marzo</v>
      </c>
      <c r="W595" s="1128">
        <f t="shared" si="74"/>
        <v>1</v>
      </c>
    </row>
    <row r="596" spans="1:23" ht="57.6" customHeight="1" thickBot="1" x14ac:dyDescent="0.25">
      <c r="A596" s="1117">
        <v>2012</v>
      </c>
      <c r="B596" s="1117">
        <v>2012</v>
      </c>
      <c r="C596" s="1361" t="s">
        <v>114</v>
      </c>
      <c r="D596" s="1363" t="s">
        <v>115</v>
      </c>
      <c r="E596" s="1350" t="s">
        <v>4783</v>
      </c>
      <c r="F596" s="1350"/>
      <c r="G596" s="1351" t="s">
        <v>4786</v>
      </c>
      <c r="H596" s="1352">
        <v>38840</v>
      </c>
      <c r="I596" s="1353">
        <v>40899</v>
      </c>
      <c r="J596" s="1354">
        <v>120</v>
      </c>
      <c r="K596" s="1355">
        <f t="shared" si="77"/>
        <v>41019</v>
      </c>
      <c r="L596" s="1356" t="s">
        <v>124</v>
      </c>
      <c r="M596" s="1353">
        <v>41012</v>
      </c>
      <c r="N596" s="1354">
        <f t="shared" si="76"/>
        <v>17</v>
      </c>
      <c r="O596" s="1353">
        <v>41022</v>
      </c>
      <c r="P596" s="1357">
        <v>41036</v>
      </c>
      <c r="Q596" s="1355">
        <f>+P596+15</f>
        <v>41051</v>
      </c>
      <c r="R596" s="1354">
        <f t="shared" si="75"/>
        <v>152</v>
      </c>
      <c r="S596" s="1358" t="s">
        <v>6342</v>
      </c>
      <c r="T596" s="1359"/>
      <c r="U596" s="1360" t="str">
        <f t="shared" si="72"/>
        <v>atrasado</v>
      </c>
      <c r="V596" s="1130" t="str">
        <f t="shared" si="73"/>
        <v>Abril</v>
      </c>
      <c r="W596" s="1128">
        <f t="shared" si="74"/>
        <v>0</v>
      </c>
    </row>
    <row r="597" spans="1:23" ht="57.6" customHeight="1" thickBot="1" x14ac:dyDescent="0.25">
      <c r="A597" s="1117">
        <v>2012</v>
      </c>
      <c r="B597" s="1117">
        <v>2012</v>
      </c>
      <c r="C597" s="1361" t="s">
        <v>114</v>
      </c>
      <c r="D597" s="1363" t="s">
        <v>115</v>
      </c>
      <c r="E597" s="1350" t="s">
        <v>4790</v>
      </c>
      <c r="F597" s="1350"/>
      <c r="G597" s="1351" t="s">
        <v>4791</v>
      </c>
      <c r="H597" s="1352">
        <v>5930</v>
      </c>
      <c r="I597" s="1353">
        <v>40899</v>
      </c>
      <c r="J597" s="1354">
        <v>120</v>
      </c>
      <c r="K597" s="1355">
        <f t="shared" si="77"/>
        <v>41019</v>
      </c>
      <c r="L597" s="1356" t="s">
        <v>124</v>
      </c>
      <c r="M597" s="1353">
        <v>41012</v>
      </c>
      <c r="N597" s="1354">
        <f t="shared" si="76"/>
        <v>17</v>
      </c>
      <c r="O597" s="1353">
        <v>41022</v>
      </c>
      <c r="P597" s="1357">
        <v>41036</v>
      </c>
      <c r="Q597" s="1355">
        <f>+P597+15</f>
        <v>41051</v>
      </c>
      <c r="R597" s="1354">
        <f t="shared" si="75"/>
        <v>152</v>
      </c>
      <c r="S597" s="1358" t="s">
        <v>73</v>
      </c>
      <c r="T597" s="1359"/>
      <c r="U597" s="1360" t="str">
        <f t="shared" si="72"/>
        <v>atrasado</v>
      </c>
      <c r="V597" s="1130" t="str">
        <f t="shared" si="73"/>
        <v>Abril</v>
      </c>
      <c r="W597" s="1128">
        <f t="shared" si="74"/>
        <v>0</v>
      </c>
    </row>
    <row r="598" spans="1:23" ht="57.6" customHeight="1" thickBot="1" x14ac:dyDescent="0.25">
      <c r="A598" s="1117">
        <v>2012</v>
      </c>
      <c r="B598" s="1117">
        <v>2012</v>
      </c>
      <c r="C598" s="1361" t="s">
        <v>114</v>
      </c>
      <c r="D598" s="1363" t="s">
        <v>115</v>
      </c>
      <c r="E598" s="1350" t="s">
        <v>4790</v>
      </c>
      <c r="F598" s="1350"/>
      <c r="G598" s="1351" t="s">
        <v>4792</v>
      </c>
      <c r="H598" s="1352">
        <v>9180</v>
      </c>
      <c r="I598" s="1353">
        <v>40899</v>
      </c>
      <c r="J598" s="1354">
        <v>120</v>
      </c>
      <c r="K598" s="1355">
        <f t="shared" si="77"/>
        <v>41019</v>
      </c>
      <c r="L598" s="1356" t="s">
        <v>124</v>
      </c>
      <c r="M598" s="1353">
        <v>41012</v>
      </c>
      <c r="N598" s="1354">
        <f t="shared" si="76"/>
        <v>17</v>
      </c>
      <c r="O598" s="1353">
        <v>41022</v>
      </c>
      <c r="P598" s="1357">
        <v>41036</v>
      </c>
      <c r="Q598" s="1355">
        <f>+P598+15</f>
        <v>41051</v>
      </c>
      <c r="R598" s="1354">
        <f t="shared" si="75"/>
        <v>152</v>
      </c>
      <c r="S598" s="1358" t="s">
        <v>1988</v>
      </c>
      <c r="T598" s="1359"/>
      <c r="U598" s="1360" t="str">
        <f t="shared" si="72"/>
        <v>atrasado</v>
      </c>
      <c r="V598" s="1130" t="str">
        <f t="shared" si="73"/>
        <v>Abril</v>
      </c>
      <c r="W598" s="1128">
        <f t="shared" si="74"/>
        <v>0</v>
      </c>
    </row>
    <row r="599" spans="1:23" ht="57.6" customHeight="1" thickBot="1" x14ac:dyDescent="0.25">
      <c r="A599" s="1117">
        <v>2012</v>
      </c>
      <c r="B599" s="1117">
        <v>2012</v>
      </c>
      <c r="C599" s="1361" t="s">
        <v>4629</v>
      </c>
      <c r="D599" s="1351" t="s">
        <v>4630</v>
      </c>
      <c r="E599" s="1350" t="s">
        <v>4631</v>
      </c>
      <c r="F599" s="1350"/>
      <c r="G599" s="1351" t="s">
        <v>4632</v>
      </c>
      <c r="H599" s="1352">
        <v>869767.57</v>
      </c>
      <c r="I599" s="1353">
        <v>40808</v>
      </c>
      <c r="J599" s="1354">
        <v>126</v>
      </c>
      <c r="K599" s="1355">
        <f t="shared" si="77"/>
        <v>40934</v>
      </c>
      <c r="L599" s="1356" t="s">
        <v>124</v>
      </c>
      <c r="M599" s="1353">
        <v>40997</v>
      </c>
      <c r="N599" s="1354">
        <f t="shared" si="76"/>
        <v>151</v>
      </c>
      <c r="O599" s="1353">
        <v>41081</v>
      </c>
      <c r="P599" s="1357">
        <v>41085</v>
      </c>
      <c r="Q599" s="1355">
        <f>+P599+25</f>
        <v>41110</v>
      </c>
      <c r="R599" s="1354">
        <f t="shared" si="75"/>
        <v>302</v>
      </c>
      <c r="S599" s="1358" t="s">
        <v>4636</v>
      </c>
      <c r="T599" s="1405" t="s">
        <v>6343</v>
      </c>
      <c r="U599" s="1360" t="str">
        <f t="shared" ref="U599:U630" si="78">IF(N599="","",IF(N599&lt;=0,"en término","atrasado"))</f>
        <v>atrasado</v>
      </c>
      <c r="V599" s="1130" t="str">
        <f t="shared" si="73"/>
        <v>Marzo</v>
      </c>
      <c r="W599" s="1128">
        <f t="shared" si="74"/>
        <v>0</v>
      </c>
    </row>
    <row r="600" spans="1:23" ht="57.6" customHeight="1" thickBot="1" x14ac:dyDescent="0.25">
      <c r="A600" s="1117">
        <v>2012</v>
      </c>
      <c r="B600" s="1117">
        <v>2012</v>
      </c>
      <c r="C600" s="1361" t="s">
        <v>4005</v>
      </c>
      <c r="D600" s="1433" t="s">
        <v>4639</v>
      </c>
      <c r="E600" s="1350" t="s">
        <v>4640</v>
      </c>
      <c r="F600" s="1350"/>
      <c r="G600" s="1351">
        <v>652</v>
      </c>
      <c r="H600" s="1352" t="s">
        <v>4641</v>
      </c>
      <c r="I600" s="1353">
        <v>41057</v>
      </c>
      <c r="J600" s="1354">
        <v>130</v>
      </c>
      <c r="K600" s="1355">
        <v>41208</v>
      </c>
      <c r="L600" s="1356" t="s">
        <v>124</v>
      </c>
      <c r="M600" s="1353">
        <v>41180</v>
      </c>
      <c r="N600" s="1354">
        <f t="shared" si="76"/>
        <v>7</v>
      </c>
      <c r="O600" s="1353">
        <v>41207</v>
      </c>
      <c r="P600" s="1357">
        <v>41215</v>
      </c>
      <c r="Q600" s="1355">
        <f>+P600+35</f>
        <v>41250</v>
      </c>
      <c r="R600" s="1354">
        <f t="shared" si="75"/>
        <v>193</v>
      </c>
      <c r="S600" s="1358" t="s">
        <v>6344</v>
      </c>
      <c r="T600" s="1359" t="s">
        <v>4645</v>
      </c>
      <c r="U600" s="1360" t="str">
        <f t="shared" si="78"/>
        <v>atrasado</v>
      </c>
      <c r="V600" s="1130" t="str">
        <f t="shared" si="73"/>
        <v>Septiembre</v>
      </c>
      <c r="W600" s="1128">
        <f t="shared" si="74"/>
        <v>0</v>
      </c>
    </row>
    <row r="601" spans="1:23" s="1321" customFormat="1" ht="57.6" customHeight="1" thickBot="1" x14ac:dyDescent="0.2">
      <c r="A601" s="1117">
        <v>2012</v>
      </c>
      <c r="B601" s="1117">
        <v>2012</v>
      </c>
      <c r="C601" s="1361" t="s">
        <v>4005</v>
      </c>
      <c r="D601" s="1433" t="s">
        <v>4646</v>
      </c>
      <c r="E601" s="1350" t="s">
        <v>4647</v>
      </c>
      <c r="F601" s="1350"/>
      <c r="G601" s="1351" t="s">
        <v>4648</v>
      </c>
      <c r="H601" s="1352">
        <v>339350</v>
      </c>
      <c r="I601" s="1353">
        <v>41108</v>
      </c>
      <c r="J601" s="1354">
        <v>150</v>
      </c>
      <c r="K601" s="1355">
        <f>+I601+J601</f>
        <v>41258</v>
      </c>
      <c r="L601" s="1356" t="s">
        <v>124</v>
      </c>
      <c r="M601" s="1353">
        <v>41250</v>
      </c>
      <c r="N601" s="1354">
        <f t="shared" si="76"/>
        <v>89</v>
      </c>
      <c r="O601" s="1355">
        <v>41345</v>
      </c>
      <c r="P601" s="1357">
        <v>41347</v>
      </c>
      <c r="Q601" s="1355">
        <v>41385</v>
      </c>
      <c r="R601" s="1354">
        <f t="shared" si="75"/>
        <v>277</v>
      </c>
      <c r="S601" s="1358" t="s">
        <v>4649</v>
      </c>
      <c r="T601" s="1359" t="s">
        <v>6345</v>
      </c>
      <c r="U601" s="1360" t="str">
        <f t="shared" si="78"/>
        <v>atrasado</v>
      </c>
      <c r="V601" s="1130" t="str">
        <f t="shared" si="73"/>
        <v>Diciembre</v>
      </c>
      <c r="W601" s="1128">
        <f t="shared" si="74"/>
        <v>0</v>
      </c>
    </row>
    <row r="602" spans="1:23" s="1321" customFormat="1" ht="57.6" customHeight="1" thickBot="1" x14ac:dyDescent="0.2">
      <c r="A602" s="1117">
        <v>2012</v>
      </c>
      <c r="B602" s="1117">
        <v>2012</v>
      </c>
      <c r="C602" s="1361" t="s">
        <v>78</v>
      </c>
      <c r="D602" s="1363" t="s">
        <v>79</v>
      </c>
      <c r="E602" s="1350" t="s">
        <v>3778</v>
      </c>
      <c r="F602" s="1350"/>
      <c r="G602" s="1351" t="s">
        <v>3779</v>
      </c>
      <c r="H602" s="1352">
        <v>3153.2</v>
      </c>
      <c r="I602" s="1353">
        <v>40954</v>
      </c>
      <c r="J602" s="1354">
        <v>60</v>
      </c>
      <c r="K602" s="1355">
        <f>+I602+J602</f>
        <v>41014</v>
      </c>
      <c r="L602" s="1356" t="s">
        <v>124</v>
      </c>
      <c r="M602" s="1353">
        <v>41003</v>
      </c>
      <c r="N602" s="1354">
        <f t="shared" si="76"/>
        <v>4</v>
      </c>
      <c r="O602" s="1353"/>
      <c r="P602" s="1357">
        <v>41018</v>
      </c>
      <c r="Q602" s="1355">
        <v>41022</v>
      </c>
      <c r="R602" s="1354">
        <f t="shared" si="75"/>
        <v>68</v>
      </c>
      <c r="S602" s="1358" t="s">
        <v>53</v>
      </c>
      <c r="T602" s="1359"/>
      <c r="U602" s="1360" t="str">
        <f t="shared" si="78"/>
        <v>atrasado</v>
      </c>
      <c r="V602" s="1130" t="str">
        <f t="shared" si="73"/>
        <v>Abril</v>
      </c>
      <c r="W602" s="1128">
        <f t="shared" si="74"/>
        <v>0</v>
      </c>
    </row>
    <row r="603" spans="1:23" s="1321" customFormat="1" ht="57.6" customHeight="1" thickBot="1" x14ac:dyDescent="0.2">
      <c r="A603" s="1117">
        <v>2012</v>
      </c>
      <c r="B603" s="1117">
        <v>2012</v>
      </c>
      <c r="C603" s="1361" t="s">
        <v>78</v>
      </c>
      <c r="D603" s="1363" t="s">
        <v>3165</v>
      </c>
      <c r="E603" s="1350" t="s">
        <v>3781</v>
      </c>
      <c r="F603" s="1350"/>
      <c r="G603" s="1340">
        <v>585503</v>
      </c>
      <c r="H603" s="1352">
        <v>288658.3</v>
      </c>
      <c r="I603" s="1353">
        <v>40919</v>
      </c>
      <c r="J603" s="1354">
        <f t="shared" ref="J603:J608" si="79">+K603-I603</f>
        <v>69</v>
      </c>
      <c r="K603" s="1355">
        <v>40988</v>
      </c>
      <c r="L603" s="1356" t="s">
        <v>124</v>
      </c>
      <c r="M603" s="1353">
        <v>41022</v>
      </c>
      <c r="N603" s="1354">
        <f t="shared" si="76"/>
        <v>56</v>
      </c>
      <c r="O603" s="1353"/>
      <c r="P603" s="1357">
        <v>41044</v>
      </c>
      <c r="Q603" s="1355">
        <f t="shared" ref="Q603:Q608" si="80">+P603+20</f>
        <v>41064</v>
      </c>
      <c r="R603" s="1354">
        <f t="shared" si="75"/>
        <v>145</v>
      </c>
      <c r="S603" s="1358" t="s">
        <v>6346</v>
      </c>
      <c r="T603" s="1359" t="s">
        <v>3785</v>
      </c>
      <c r="U603" s="1360" t="str">
        <f t="shared" si="78"/>
        <v>atrasado</v>
      </c>
      <c r="V603" s="1130" t="str">
        <f t="shared" si="73"/>
        <v>Abril</v>
      </c>
      <c r="W603" s="1128">
        <f t="shared" si="74"/>
        <v>0</v>
      </c>
    </row>
    <row r="604" spans="1:23" s="1321" customFormat="1" ht="57.6" customHeight="1" thickBot="1" x14ac:dyDescent="0.2">
      <c r="A604" s="1117">
        <v>2012</v>
      </c>
      <c r="B604" s="1117">
        <v>2012</v>
      </c>
      <c r="C604" s="1361" t="s">
        <v>78</v>
      </c>
      <c r="D604" s="1363" t="s">
        <v>3165</v>
      </c>
      <c r="E604" s="1350" t="s">
        <v>3786</v>
      </c>
      <c r="F604" s="1350"/>
      <c r="G604" s="1340">
        <v>587841</v>
      </c>
      <c r="H604" s="1352">
        <v>896090</v>
      </c>
      <c r="I604" s="1353">
        <v>40990</v>
      </c>
      <c r="J604" s="1354">
        <f t="shared" si="79"/>
        <v>8</v>
      </c>
      <c r="K604" s="1355">
        <v>40998</v>
      </c>
      <c r="L604" s="1356" t="s">
        <v>124</v>
      </c>
      <c r="M604" s="1353">
        <v>41022</v>
      </c>
      <c r="N604" s="1354">
        <f t="shared" si="76"/>
        <v>46</v>
      </c>
      <c r="O604" s="1353"/>
      <c r="P604" s="1357">
        <v>41044</v>
      </c>
      <c r="Q604" s="1355">
        <f t="shared" si="80"/>
        <v>41064</v>
      </c>
      <c r="R604" s="1354">
        <f t="shared" si="75"/>
        <v>74</v>
      </c>
      <c r="S604" s="1358" t="s">
        <v>6346</v>
      </c>
      <c r="T604" s="1359" t="s">
        <v>3785</v>
      </c>
      <c r="U604" s="1360" t="str">
        <f t="shared" si="78"/>
        <v>atrasado</v>
      </c>
      <c r="V604" s="1130" t="str">
        <f t="shared" si="73"/>
        <v>Abril</v>
      </c>
      <c r="W604" s="1128">
        <f t="shared" si="74"/>
        <v>0</v>
      </c>
    </row>
    <row r="605" spans="1:23" s="1321" customFormat="1" ht="57.6" customHeight="1" thickBot="1" x14ac:dyDescent="0.2">
      <c r="A605" s="1117">
        <v>2012</v>
      </c>
      <c r="B605" s="1117">
        <v>2012</v>
      </c>
      <c r="C605" s="1361" t="s">
        <v>78</v>
      </c>
      <c r="D605" s="1363" t="s">
        <v>3165</v>
      </c>
      <c r="E605" s="1350" t="s">
        <v>3781</v>
      </c>
      <c r="F605" s="1350"/>
      <c r="G605" s="1351">
        <v>585503</v>
      </c>
      <c r="H605" s="1352">
        <v>147405.4</v>
      </c>
      <c r="I605" s="1353">
        <v>40919</v>
      </c>
      <c r="J605" s="1354">
        <f t="shared" si="79"/>
        <v>100</v>
      </c>
      <c r="K605" s="1355">
        <v>41019</v>
      </c>
      <c r="L605" s="1356" t="s">
        <v>124</v>
      </c>
      <c r="M605" s="1353">
        <v>41033</v>
      </c>
      <c r="N605" s="1354">
        <f t="shared" si="76"/>
        <v>32</v>
      </c>
      <c r="O605" s="1353">
        <v>41045</v>
      </c>
      <c r="P605" s="1357">
        <v>41051</v>
      </c>
      <c r="Q605" s="1355">
        <f t="shared" si="80"/>
        <v>41071</v>
      </c>
      <c r="R605" s="1354">
        <f t="shared" si="75"/>
        <v>152</v>
      </c>
      <c r="S605" s="1358" t="s">
        <v>6347</v>
      </c>
      <c r="T605" s="1359" t="s">
        <v>3790</v>
      </c>
      <c r="U605" s="1360" t="str">
        <f t="shared" si="78"/>
        <v>atrasado</v>
      </c>
      <c r="V605" s="1130" t="str">
        <f t="shared" si="73"/>
        <v>Mayo</v>
      </c>
      <c r="W605" s="1128">
        <f t="shared" si="74"/>
        <v>0</v>
      </c>
    </row>
    <row r="606" spans="1:23" s="1321" customFormat="1" ht="57.6" customHeight="1" thickBot="1" x14ac:dyDescent="0.2">
      <c r="A606" s="1117">
        <v>2012</v>
      </c>
      <c r="B606" s="1117">
        <v>2012</v>
      </c>
      <c r="C606" s="1361" t="s">
        <v>78</v>
      </c>
      <c r="D606" s="1363" t="s">
        <v>3165</v>
      </c>
      <c r="E606" s="1350" t="s">
        <v>3786</v>
      </c>
      <c r="F606" s="1350"/>
      <c r="G606" s="1347">
        <v>587841</v>
      </c>
      <c r="H606" s="1352">
        <v>549054.9</v>
      </c>
      <c r="I606" s="1353">
        <v>40990</v>
      </c>
      <c r="J606" s="1354">
        <f t="shared" si="79"/>
        <v>39</v>
      </c>
      <c r="K606" s="1355">
        <v>41029</v>
      </c>
      <c r="L606" s="1356" t="s">
        <v>124</v>
      </c>
      <c r="M606" s="1353">
        <v>41033</v>
      </c>
      <c r="N606" s="1354">
        <f t="shared" si="76"/>
        <v>35</v>
      </c>
      <c r="O606" s="1353"/>
      <c r="P606" s="1357">
        <v>41064</v>
      </c>
      <c r="Q606" s="1355">
        <f t="shared" si="80"/>
        <v>41084</v>
      </c>
      <c r="R606" s="1354">
        <f t="shared" si="75"/>
        <v>94</v>
      </c>
      <c r="S606" s="1358" t="s">
        <v>6347</v>
      </c>
      <c r="T606" s="1359" t="s">
        <v>3792</v>
      </c>
      <c r="U606" s="1360" t="str">
        <f t="shared" si="78"/>
        <v>atrasado</v>
      </c>
      <c r="V606" s="1130" t="str">
        <f t="shared" si="73"/>
        <v>Mayo</v>
      </c>
      <c r="W606" s="1128">
        <f t="shared" si="74"/>
        <v>0</v>
      </c>
    </row>
    <row r="607" spans="1:23" s="1321" customFormat="1" ht="57.6" customHeight="1" thickBot="1" x14ac:dyDescent="0.2">
      <c r="A607" s="1117">
        <v>2012</v>
      </c>
      <c r="B607" s="1117">
        <v>2012</v>
      </c>
      <c r="C607" s="1361" t="s">
        <v>78</v>
      </c>
      <c r="D607" s="1363" t="s">
        <v>3165</v>
      </c>
      <c r="E607" s="1350" t="s">
        <v>3781</v>
      </c>
      <c r="F607" s="1350"/>
      <c r="G607" s="1340">
        <v>585503</v>
      </c>
      <c r="H607" s="1352">
        <v>33824.5</v>
      </c>
      <c r="I607" s="1353">
        <v>40919</v>
      </c>
      <c r="J607" s="1354">
        <f t="shared" si="79"/>
        <v>132</v>
      </c>
      <c r="K607" s="1355">
        <v>41051</v>
      </c>
      <c r="L607" s="1356" t="s">
        <v>124</v>
      </c>
      <c r="M607" s="1353">
        <v>41053</v>
      </c>
      <c r="N607" s="1354">
        <f t="shared" si="76"/>
        <v>26</v>
      </c>
      <c r="O607" s="1353">
        <v>41072</v>
      </c>
      <c r="P607" s="1357">
        <v>41077</v>
      </c>
      <c r="Q607" s="1355">
        <f t="shared" si="80"/>
        <v>41097</v>
      </c>
      <c r="R607" s="1354">
        <f t="shared" si="75"/>
        <v>178</v>
      </c>
      <c r="S607" s="1358" t="s">
        <v>6348</v>
      </c>
      <c r="T607" s="1359" t="s">
        <v>3795</v>
      </c>
      <c r="U607" s="1360" t="str">
        <f t="shared" si="78"/>
        <v>atrasado</v>
      </c>
      <c r="V607" s="1130" t="str">
        <f t="shared" si="73"/>
        <v>Mayo</v>
      </c>
      <c r="W607" s="1128">
        <f t="shared" si="74"/>
        <v>0</v>
      </c>
    </row>
    <row r="608" spans="1:23" s="1321" customFormat="1" ht="57.6" customHeight="1" thickBot="1" x14ac:dyDescent="0.2">
      <c r="A608" s="1117">
        <v>2012</v>
      </c>
      <c r="B608" s="1117">
        <v>2012</v>
      </c>
      <c r="C608" s="1361" t="s">
        <v>78</v>
      </c>
      <c r="D608" s="1363" t="s">
        <v>3165</v>
      </c>
      <c r="E608" s="1350" t="s">
        <v>3786</v>
      </c>
      <c r="F608" s="1350"/>
      <c r="G608" s="1351">
        <v>587841</v>
      </c>
      <c r="H608" s="1352">
        <v>330371.3</v>
      </c>
      <c r="I608" s="1353">
        <v>40990</v>
      </c>
      <c r="J608" s="1354">
        <f t="shared" si="79"/>
        <v>46</v>
      </c>
      <c r="K608" s="1355">
        <v>41036</v>
      </c>
      <c r="L608" s="1356" t="s">
        <v>124</v>
      </c>
      <c r="M608" s="1353">
        <v>41053</v>
      </c>
      <c r="N608" s="1354">
        <f t="shared" si="76"/>
        <v>41</v>
      </c>
      <c r="O608" s="1353">
        <v>41072</v>
      </c>
      <c r="P608" s="1357">
        <v>41077</v>
      </c>
      <c r="Q608" s="1355">
        <f t="shared" si="80"/>
        <v>41097</v>
      </c>
      <c r="R608" s="1354">
        <f t="shared" si="75"/>
        <v>107</v>
      </c>
      <c r="S608" s="1358" t="s">
        <v>6348</v>
      </c>
      <c r="T608" s="1359" t="s">
        <v>3796</v>
      </c>
      <c r="U608" s="1360" t="str">
        <f t="shared" si="78"/>
        <v>atrasado</v>
      </c>
      <c r="V608" s="1130" t="str">
        <f t="shared" si="73"/>
        <v>Mayo</v>
      </c>
      <c r="W608" s="1128">
        <f t="shared" si="74"/>
        <v>0</v>
      </c>
    </row>
    <row r="609" spans="1:23" s="1321" customFormat="1" ht="57.6" customHeight="1" thickBot="1" x14ac:dyDescent="0.2">
      <c r="A609" s="1117">
        <v>2012</v>
      </c>
      <c r="B609" s="1117">
        <v>2012</v>
      </c>
      <c r="C609" s="1361" t="s">
        <v>78</v>
      </c>
      <c r="D609" s="1363" t="s">
        <v>79</v>
      </c>
      <c r="E609" s="1350" t="s">
        <v>3797</v>
      </c>
      <c r="F609" s="1350"/>
      <c r="G609" s="1351" t="s">
        <v>3798</v>
      </c>
      <c r="H609" s="1352">
        <v>11061</v>
      </c>
      <c r="I609" s="1353">
        <v>40982</v>
      </c>
      <c r="J609" s="1354">
        <v>90</v>
      </c>
      <c r="K609" s="1355">
        <f>+I609+J609</f>
        <v>41072</v>
      </c>
      <c r="L609" s="1356" t="s">
        <v>124</v>
      </c>
      <c r="M609" s="1353">
        <v>41068</v>
      </c>
      <c r="N609" s="1354">
        <f t="shared" si="76"/>
        <v>13</v>
      </c>
      <c r="O609" s="1353">
        <v>41082</v>
      </c>
      <c r="P609" s="1357">
        <v>41085</v>
      </c>
      <c r="Q609" s="1355">
        <f>+P609+5</f>
        <v>41090</v>
      </c>
      <c r="R609" s="1354">
        <f t="shared" si="75"/>
        <v>108</v>
      </c>
      <c r="S609" s="1358" t="s">
        <v>53</v>
      </c>
      <c r="T609" s="1359"/>
      <c r="U609" s="1360" t="str">
        <f t="shared" si="78"/>
        <v>atrasado</v>
      </c>
      <c r="V609" s="1130" t="str">
        <f t="shared" si="73"/>
        <v>Junio</v>
      </c>
      <c r="W609" s="1128">
        <f t="shared" si="74"/>
        <v>0</v>
      </c>
    </row>
    <row r="610" spans="1:23" s="1321" customFormat="1" ht="57.6" customHeight="1" thickBot="1" x14ac:dyDescent="0.2">
      <c r="A610" s="1117">
        <v>2012</v>
      </c>
      <c r="B610" s="1117">
        <v>2012</v>
      </c>
      <c r="C610" s="1361" t="s">
        <v>78</v>
      </c>
      <c r="D610" s="1363" t="s">
        <v>3165</v>
      </c>
      <c r="E610" s="1350" t="s">
        <v>3786</v>
      </c>
      <c r="F610" s="1350"/>
      <c r="G610" s="1351">
        <v>587841</v>
      </c>
      <c r="H610" s="1352">
        <v>333527.7</v>
      </c>
      <c r="I610" s="1353">
        <v>40990</v>
      </c>
      <c r="J610" s="1354">
        <f t="shared" ref="J610:J640" si="81">+K610-I610</f>
        <v>46</v>
      </c>
      <c r="K610" s="1355">
        <v>41036</v>
      </c>
      <c r="L610" s="1356" t="s">
        <v>124</v>
      </c>
      <c r="M610" s="1353">
        <v>41079</v>
      </c>
      <c r="N610" s="1354">
        <f t="shared" si="76"/>
        <v>55</v>
      </c>
      <c r="O610" s="1353">
        <v>41086</v>
      </c>
      <c r="P610" s="1357">
        <v>41091</v>
      </c>
      <c r="Q610" s="1355">
        <f>+P610+20</f>
        <v>41111</v>
      </c>
      <c r="R610" s="1354">
        <f t="shared" si="75"/>
        <v>121</v>
      </c>
      <c r="S610" s="1358" t="s">
        <v>6349</v>
      </c>
      <c r="T610" s="1359" t="s">
        <v>3792</v>
      </c>
      <c r="U610" s="1360" t="str">
        <f t="shared" si="78"/>
        <v>atrasado</v>
      </c>
      <c r="V610" s="1130" t="str">
        <f t="shared" si="73"/>
        <v>Junio</v>
      </c>
      <c r="W610" s="1128">
        <f t="shared" si="74"/>
        <v>0</v>
      </c>
    </row>
    <row r="611" spans="1:23" s="1321" customFormat="1" ht="57.6" customHeight="1" thickBot="1" x14ac:dyDescent="0.2">
      <c r="A611" s="1117">
        <v>2012</v>
      </c>
      <c r="B611" s="1117">
        <v>2012</v>
      </c>
      <c r="C611" s="1361" t="s">
        <v>78</v>
      </c>
      <c r="D611" s="1363" t="s">
        <v>3165</v>
      </c>
      <c r="E611" s="1350" t="s">
        <v>3801</v>
      </c>
      <c r="F611" s="1350"/>
      <c r="G611" s="1434">
        <v>589425</v>
      </c>
      <c r="H611" s="1352">
        <v>186533.3</v>
      </c>
      <c r="I611" s="1353">
        <v>41059</v>
      </c>
      <c r="J611" s="1354">
        <f t="shared" si="81"/>
        <v>90</v>
      </c>
      <c r="K611" s="1355">
        <v>41149</v>
      </c>
      <c r="L611" s="1356" t="s">
        <v>124</v>
      </c>
      <c r="M611" s="1353">
        <v>41138</v>
      </c>
      <c r="N611" s="1354">
        <f t="shared" si="76"/>
        <v>17</v>
      </c>
      <c r="O611" s="1353">
        <v>41157</v>
      </c>
      <c r="P611" s="1357">
        <v>41166</v>
      </c>
      <c r="Q611" s="1355">
        <f>+P611+30</f>
        <v>41196</v>
      </c>
      <c r="R611" s="1354">
        <f t="shared" si="75"/>
        <v>137</v>
      </c>
      <c r="S611" s="1358" t="s">
        <v>6350</v>
      </c>
      <c r="T611" s="1359" t="s">
        <v>3804</v>
      </c>
      <c r="U611" s="1360" t="str">
        <f t="shared" si="78"/>
        <v>atrasado</v>
      </c>
      <c r="V611" s="1130" t="str">
        <f t="shared" si="73"/>
        <v>Agosto</v>
      </c>
      <c r="W611" s="1128">
        <f t="shared" si="74"/>
        <v>0</v>
      </c>
    </row>
    <row r="612" spans="1:23" s="1321" customFormat="1" ht="57.6" customHeight="1" thickBot="1" x14ac:dyDescent="0.2">
      <c r="A612" s="1117">
        <v>2012</v>
      </c>
      <c r="B612" s="1117">
        <v>2012</v>
      </c>
      <c r="C612" s="1361" t="s">
        <v>78</v>
      </c>
      <c r="D612" s="1363" t="s">
        <v>3165</v>
      </c>
      <c r="E612" s="1350" t="s">
        <v>3805</v>
      </c>
      <c r="F612" s="1350"/>
      <c r="G612" s="1435">
        <v>590201</v>
      </c>
      <c r="H612" s="1352">
        <v>43730</v>
      </c>
      <c r="I612" s="1353">
        <v>41075</v>
      </c>
      <c r="J612" s="1354">
        <f t="shared" si="81"/>
        <v>75</v>
      </c>
      <c r="K612" s="1355">
        <v>41150</v>
      </c>
      <c r="L612" s="1356" t="s">
        <v>124</v>
      </c>
      <c r="M612" s="1353">
        <v>41142</v>
      </c>
      <c r="N612" s="1354">
        <f t="shared" si="76"/>
        <v>23</v>
      </c>
      <c r="O612" s="1353">
        <v>41166</v>
      </c>
      <c r="P612" s="1357">
        <v>41173</v>
      </c>
      <c r="Q612" s="1355">
        <f>+P612+30</f>
        <v>41203</v>
      </c>
      <c r="R612" s="1354">
        <f t="shared" si="75"/>
        <v>128</v>
      </c>
      <c r="S612" s="1358" t="s">
        <v>6351</v>
      </c>
      <c r="T612" s="1359" t="s">
        <v>3792</v>
      </c>
      <c r="U612" s="1360" t="str">
        <f t="shared" si="78"/>
        <v>atrasado</v>
      </c>
      <c r="V612" s="1130" t="str">
        <f t="shared" si="73"/>
        <v>Agosto</v>
      </c>
      <c r="W612" s="1128">
        <f t="shared" si="74"/>
        <v>0</v>
      </c>
    </row>
    <row r="613" spans="1:23" s="1321" customFormat="1" ht="57.6" customHeight="1" thickBot="1" x14ac:dyDescent="0.2">
      <c r="A613" s="1117">
        <v>2012</v>
      </c>
      <c r="B613" s="1117">
        <v>2012</v>
      </c>
      <c r="C613" s="1361" t="s">
        <v>78</v>
      </c>
      <c r="D613" s="1363" t="s">
        <v>3165</v>
      </c>
      <c r="E613" s="1350" t="s">
        <v>3808</v>
      </c>
      <c r="F613" s="1350"/>
      <c r="G613" s="1435">
        <v>590467</v>
      </c>
      <c r="H613" s="1352">
        <v>24500</v>
      </c>
      <c r="I613" s="1353">
        <v>41086</v>
      </c>
      <c r="J613" s="1354">
        <f t="shared" si="81"/>
        <v>75</v>
      </c>
      <c r="K613" s="1355">
        <v>41161</v>
      </c>
      <c r="L613" s="1356" t="s">
        <v>124</v>
      </c>
      <c r="M613" s="1353">
        <v>41156</v>
      </c>
      <c r="N613" s="1354">
        <f t="shared" si="76"/>
        <v>5</v>
      </c>
      <c r="O613" s="1353"/>
      <c r="P613" s="1357">
        <v>41166</v>
      </c>
      <c r="Q613" s="1355">
        <f>+P613+20</f>
        <v>41186</v>
      </c>
      <c r="R613" s="1354">
        <f t="shared" si="75"/>
        <v>100</v>
      </c>
      <c r="S613" s="1358" t="s">
        <v>6351</v>
      </c>
      <c r="T613" s="1359" t="s">
        <v>3792</v>
      </c>
      <c r="U613" s="1360" t="str">
        <f t="shared" si="78"/>
        <v>atrasado</v>
      </c>
      <c r="V613" s="1130" t="str">
        <f t="shared" si="73"/>
        <v>Septiembre</v>
      </c>
      <c r="W613" s="1128">
        <f t="shared" si="74"/>
        <v>0</v>
      </c>
    </row>
    <row r="614" spans="1:23" s="1321" customFormat="1" ht="57.6" customHeight="1" thickBot="1" x14ac:dyDescent="0.2">
      <c r="A614" s="1117">
        <v>2012</v>
      </c>
      <c r="B614" s="1117">
        <v>2012</v>
      </c>
      <c r="C614" s="1361" t="s">
        <v>78</v>
      </c>
      <c r="D614" s="1363" t="s">
        <v>3165</v>
      </c>
      <c r="E614" s="1350" t="s">
        <v>3801</v>
      </c>
      <c r="F614" s="1350"/>
      <c r="G614" s="1417">
        <v>589425</v>
      </c>
      <c r="H614" s="1341">
        <v>257963</v>
      </c>
      <c r="I614" s="1353">
        <v>41059</v>
      </c>
      <c r="J614" s="1354">
        <f t="shared" si="81"/>
        <v>121</v>
      </c>
      <c r="K614" s="1355">
        <v>41180</v>
      </c>
      <c r="L614" s="1356" t="s">
        <v>124</v>
      </c>
      <c r="M614" s="1353">
        <v>41173</v>
      </c>
      <c r="N614" s="1354">
        <f>IF(O614="","",+O614-K614)</f>
        <v>4</v>
      </c>
      <c r="O614" s="1353">
        <v>41184</v>
      </c>
      <c r="P614" s="1357">
        <v>41197</v>
      </c>
      <c r="Q614" s="1355">
        <f>+P614+20</f>
        <v>41217</v>
      </c>
      <c r="R614" s="1354">
        <f t="shared" si="75"/>
        <v>158</v>
      </c>
      <c r="S614" s="1358" t="s">
        <v>6352</v>
      </c>
      <c r="T614" s="1359" t="s">
        <v>3792</v>
      </c>
      <c r="U614" s="1360" t="str">
        <f t="shared" si="78"/>
        <v>atrasado</v>
      </c>
      <c r="V614" s="1130" t="str">
        <f t="shared" si="73"/>
        <v>Septiembre</v>
      </c>
      <c r="W614" s="1128">
        <f t="shared" si="74"/>
        <v>0</v>
      </c>
    </row>
    <row r="615" spans="1:23" s="1321" customFormat="1" ht="57.6" customHeight="1" thickBot="1" x14ac:dyDescent="0.2">
      <c r="A615" s="1117">
        <v>2012</v>
      </c>
      <c r="B615" s="1117">
        <v>2012</v>
      </c>
      <c r="C615" s="1361" t="s">
        <v>78</v>
      </c>
      <c r="D615" s="1363" t="s">
        <v>3165</v>
      </c>
      <c r="E615" s="1350" t="s">
        <v>3811</v>
      </c>
      <c r="F615" s="1350"/>
      <c r="G615" s="1435">
        <v>594956</v>
      </c>
      <c r="H615" s="1352">
        <v>3850</v>
      </c>
      <c r="I615" s="1353">
        <v>41214</v>
      </c>
      <c r="J615" s="1354">
        <f t="shared" si="81"/>
        <v>33</v>
      </c>
      <c r="K615" s="1355">
        <v>41247</v>
      </c>
      <c r="L615" s="1356" t="s">
        <v>124</v>
      </c>
      <c r="M615" s="1353">
        <v>41246</v>
      </c>
      <c r="N615" s="1354">
        <f t="shared" ref="N615:N646" si="82">IF(P615="","",+P615-K615)</f>
        <v>14</v>
      </c>
      <c r="O615" s="1353">
        <v>41249</v>
      </c>
      <c r="P615" s="1357">
        <v>41261</v>
      </c>
      <c r="Q615" s="1355">
        <f>+P615+20</f>
        <v>41281</v>
      </c>
      <c r="R615" s="1354">
        <f t="shared" si="75"/>
        <v>67</v>
      </c>
      <c r="S615" s="1358" t="s">
        <v>6353</v>
      </c>
      <c r="T615" s="1359" t="s">
        <v>3792</v>
      </c>
      <c r="U615" s="1360" t="str">
        <f t="shared" si="78"/>
        <v>atrasado</v>
      </c>
      <c r="V615" s="1130" t="str">
        <f t="shared" si="73"/>
        <v>Diciembre</v>
      </c>
      <c r="W615" s="1128">
        <f t="shared" si="74"/>
        <v>0</v>
      </c>
    </row>
    <row r="616" spans="1:23" s="1321" customFormat="1" ht="57.6" customHeight="1" thickBot="1" x14ac:dyDescent="0.2">
      <c r="A616" s="1117">
        <v>2012</v>
      </c>
      <c r="B616" s="1117">
        <v>2012</v>
      </c>
      <c r="C616" s="1361" t="s">
        <v>78</v>
      </c>
      <c r="D616" s="1363" t="s">
        <v>3649</v>
      </c>
      <c r="E616" s="1350" t="s">
        <v>3813</v>
      </c>
      <c r="F616" s="1350"/>
      <c r="G616" s="1435" t="s">
        <v>3814</v>
      </c>
      <c r="H616" s="1352">
        <v>700</v>
      </c>
      <c r="I616" s="1353">
        <v>41257</v>
      </c>
      <c r="J616" s="1354">
        <f t="shared" si="81"/>
        <v>20</v>
      </c>
      <c r="K616" s="1355">
        <v>41277</v>
      </c>
      <c r="L616" s="1356" t="s">
        <v>124</v>
      </c>
      <c r="M616" s="1353">
        <v>41271</v>
      </c>
      <c r="N616" s="1354">
        <f t="shared" si="82"/>
        <v>0</v>
      </c>
      <c r="O616" s="1353"/>
      <c r="P616" s="1357">
        <v>41277</v>
      </c>
      <c r="Q616" s="1355">
        <f>+P616+10</f>
        <v>41287</v>
      </c>
      <c r="R616" s="1354">
        <f t="shared" si="75"/>
        <v>30</v>
      </c>
      <c r="S616" s="1358" t="s">
        <v>53</v>
      </c>
      <c r="T616" s="1359"/>
      <c r="U616" s="1360" t="str">
        <f t="shared" si="78"/>
        <v>en término</v>
      </c>
      <c r="V616" s="1130" t="str">
        <f t="shared" si="73"/>
        <v>Diciembre</v>
      </c>
      <c r="W616" s="1128">
        <f t="shared" si="74"/>
        <v>1</v>
      </c>
    </row>
    <row r="617" spans="1:23" s="1321" customFormat="1" ht="57.6" customHeight="1" thickBot="1" x14ac:dyDescent="0.2">
      <c r="A617" s="1117">
        <v>2012</v>
      </c>
      <c r="B617" s="1117">
        <v>2012</v>
      </c>
      <c r="C617" s="1436" t="s">
        <v>36</v>
      </c>
      <c r="D617" s="1363" t="s">
        <v>133</v>
      </c>
      <c r="E617" s="1350" t="s">
        <v>2554</v>
      </c>
      <c r="F617" s="1367" t="s">
        <v>2555</v>
      </c>
      <c r="G617" s="1351">
        <v>4504281782</v>
      </c>
      <c r="H617" s="1352">
        <v>11429.69</v>
      </c>
      <c r="I617" s="1353">
        <v>40850</v>
      </c>
      <c r="J617" s="1354">
        <f t="shared" si="81"/>
        <v>68</v>
      </c>
      <c r="K617" s="1353">
        <v>40918</v>
      </c>
      <c r="L617" s="1353" t="s">
        <v>41</v>
      </c>
      <c r="M617" s="1353">
        <v>40911</v>
      </c>
      <c r="N617" s="1354">
        <f t="shared" si="82"/>
        <v>1</v>
      </c>
      <c r="O617" s="1427">
        <v>40915</v>
      </c>
      <c r="P617" s="1357">
        <v>40919</v>
      </c>
      <c r="Q617" s="1355">
        <f>+P617+30</f>
        <v>40949</v>
      </c>
      <c r="R617" s="1354">
        <f t="shared" si="75"/>
        <v>99</v>
      </c>
      <c r="S617" s="1354" t="s">
        <v>53</v>
      </c>
      <c r="T617" s="1378"/>
      <c r="U617" s="1358" t="str">
        <f t="shared" si="78"/>
        <v>atrasado</v>
      </c>
      <c r="V617" s="1130" t="str">
        <f t="shared" si="73"/>
        <v>Enero</v>
      </c>
      <c r="W617" s="1128">
        <f t="shared" si="74"/>
        <v>0</v>
      </c>
    </row>
    <row r="618" spans="1:23" s="1321" customFormat="1" ht="57.6" customHeight="1" thickBot="1" x14ac:dyDescent="0.2">
      <c r="A618" s="1117">
        <v>2012</v>
      </c>
      <c r="B618" s="1117">
        <v>2012</v>
      </c>
      <c r="C618" s="1361" t="s">
        <v>36</v>
      </c>
      <c r="D618" s="1363" t="s">
        <v>133</v>
      </c>
      <c r="E618" s="1350" t="s">
        <v>2554</v>
      </c>
      <c r="F618" s="1367" t="s">
        <v>2555</v>
      </c>
      <c r="G618" s="1351">
        <v>4504215219</v>
      </c>
      <c r="H618" s="1352">
        <v>142264.81</v>
      </c>
      <c r="I618" s="1353">
        <v>40815</v>
      </c>
      <c r="J618" s="1354">
        <f t="shared" si="81"/>
        <v>108</v>
      </c>
      <c r="K618" s="1353">
        <v>40923</v>
      </c>
      <c r="L618" s="1353" t="s">
        <v>41</v>
      </c>
      <c r="M618" s="1353">
        <v>40911</v>
      </c>
      <c r="N618" s="1354">
        <f t="shared" si="82"/>
        <v>-4</v>
      </c>
      <c r="O618" s="1427">
        <v>40915</v>
      </c>
      <c r="P618" s="1357">
        <v>40919</v>
      </c>
      <c r="Q618" s="1355">
        <f>+P618+30</f>
        <v>40949</v>
      </c>
      <c r="R618" s="1354">
        <f t="shared" si="75"/>
        <v>134</v>
      </c>
      <c r="S618" s="1354" t="s">
        <v>2577</v>
      </c>
      <c r="T618" s="1378" t="s">
        <v>2578</v>
      </c>
      <c r="U618" s="1358" t="str">
        <f t="shared" si="78"/>
        <v>en término</v>
      </c>
      <c r="V618" s="1130" t="str">
        <f t="shared" si="73"/>
        <v>Enero</v>
      </c>
      <c r="W618" s="1128">
        <f t="shared" si="74"/>
        <v>1</v>
      </c>
    </row>
    <row r="619" spans="1:23" s="1321" customFormat="1" ht="57.6" customHeight="1" thickBot="1" x14ac:dyDescent="0.2">
      <c r="A619" s="1117">
        <v>2012</v>
      </c>
      <c r="B619" s="1117">
        <v>2012</v>
      </c>
      <c r="C619" s="1436" t="s">
        <v>36</v>
      </c>
      <c r="D619" s="1363" t="s">
        <v>133</v>
      </c>
      <c r="E619" s="1350" t="s">
        <v>2554</v>
      </c>
      <c r="F619" s="1367" t="s">
        <v>2555</v>
      </c>
      <c r="G619" s="1351">
        <v>4504280688</v>
      </c>
      <c r="H619" s="1352">
        <v>350415.1</v>
      </c>
      <c r="I619" s="1353">
        <v>40850</v>
      </c>
      <c r="J619" s="1354">
        <f t="shared" si="81"/>
        <v>68</v>
      </c>
      <c r="K619" s="1353">
        <v>40918</v>
      </c>
      <c r="L619" s="1353" t="s">
        <v>41</v>
      </c>
      <c r="M619" s="1353">
        <v>40911</v>
      </c>
      <c r="N619" s="1354">
        <f t="shared" si="82"/>
        <v>1</v>
      </c>
      <c r="O619" s="1427">
        <v>40915</v>
      </c>
      <c r="P619" s="1357">
        <v>40919</v>
      </c>
      <c r="Q619" s="1355">
        <f>+P619+30</f>
        <v>40949</v>
      </c>
      <c r="R619" s="1354">
        <f t="shared" si="75"/>
        <v>99</v>
      </c>
      <c r="S619" s="1354" t="s">
        <v>2579</v>
      </c>
      <c r="T619" s="1378"/>
      <c r="U619" s="1358" t="str">
        <f t="shared" si="78"/>
        <v>atrasado</v>
      </c>
      <c r="V619" s="1130" t="str">
        <f t="shared" si="73"/>
        <v>Enero</v>
      </c>
      <c r="W619" s="1128">
        <f t="shared" si="74"/>
        <v>0</v>
      </c>
    </row>
    <row r="620" spans="1:23" s="1321" customFormat="1" ht="57.6" customHeight="1" thickBot="1" x14ac:dyDescent="0.2">
      <c r="A620" s="1117">
        <v>2012</v>
      </c>
      <c r="B620" s="1117">
        <v>2012</v>
      </c>
      <c r="C620" s="1436" t="s">
        <v>36</v>
      </c>
      <c r="D620" s="1363" t="s">
        <v>133</v>
      </c>
      <c r="E620" s="1350" t="s">
        <v>2554</v>
      </c>
      <c r="F620" s="1367" t="s">
        <v>2555</v>
      </c>
      <c r="G620" s="1351">
        <v>4504260545</v>
      </c>
      <c r="H620" s="1352">
        <v>107205.59</v>
      </c>
      <c r="I620" s="1353">
        <v>40842</v>
      </c>
      <c r="J620" s="1354">
        <f t="shared" si="81"/>
        <v>88</v>
      </c>
      <c r="K620" s="1353">
        <v>40930</v>
      </c>
      <c r="L620" s="1353" t="s">
        <v>41</v>
      </c>
      <c r="M620" s="1353">
        <v>40918</v>
      </c>
      <c r="N620" s="1354">
        <f t="shared" si="82"/>
        <v>-3</v>
      </c>
      <c r="O620" s="1427">
        <v>40926</v>
      </c>
      <c r="P620" s="1357">
        <v>40927</v>
      </c>
      <c r="Q620" s="1355">
        <v>40945</v>
      </c>
      <c r="R620" s="1354">
        <f t="shared" si="75"/>
        <v>103</v>
      </c>
      <c r="S620" s="1354" t="s">
        <v>2442</v>
      </c>
      <c r="T620" s="1378"/>
      <c r="U620" s="1358" t="str">
        <f t="shared" si="78"/>
        <v>en término</v>
      </c>
      <c r="V620" s="1130" t="str">
        <f t="shared" si="73"/>
        <v>Enero</v>
      </c>
      <c r="W620" s="1128">
        <f t="shared" si="74"/>
        <v>1</v>
      </c>
    </row>
    <row r="621" spans="1:23" s="1321" customFormat="1" ht="57.6" customHeight="1" thickBot="1" x14ac:dyDescent="0.2">
      <c r="A621" s="1117">
        <v>2012</v>
      </c>
      <c r="B621" s="1117">
        <v>2012</v>
      </c>
      <c r="C621" s="1436" t="s">
        <v>36</v>
      </c>
      <c r="D621" s="1363" t="s">
        <v>133</v>
      </c>
      <c r="E621" s="1350" t="s">
        <v>2554</v>
      </c>
      <c r="F621" s="1367" t="s">
        <v>2555</v>
      </c>
      <c r="G621" s="1351">
        <v>4504295403</v>
      </c>
      <c r="H621" s="1352">
        <v>14390.3</v>
      </c>
      <c r="I621" s="1353">
        <v>40861</v>
      </c>
      <c r="J621" s="1354">
        <f t="shared" si="81"/>
        <v>91</v>
      </c>
      <c r="K621" s="1353">
        <v>40952</v>
      </c>
      <c r="L621" s="1353" t="s">
        <v>41</v>
      </c>
      <c r="M621" s="1353">
        <v>40918</v>
      </c>
      <c r="N621" s="1354">
        <f t="shared" si="82"/>
        <v>-25</v>
      </c>
      <c r="O621" s="1427">
        <v>40926</v>
      </c>
      <c r="P621" s="1357">
        <v>40927</v>
      </c>
      <c r="Q621" s="1355">
        <v>40945</v>
      </c>
      <c r="R621" s="1354">
        <f t="shared" si="75"/>
        <v>84</v>
      </c>
      <c r="S621" s="1354" t="s">
        <v>53</v>
      </c>
      <c r="T621" s="1378"/>
      <c r="U621" s="1358" t="str">
        <f t="shared" si="78"/>
        <v>en término</v>
      </c>
      <c r="V621" s="1130" t="str">
        <f t="shared" si="73"/>
        <v>Enero</v>
      </c>
      <c r="W621" s="1128">
        <f t="shared" si="74"/>
        <v>1</v>
      </c>
    </row>
    <row r="622" spans="1:23" s="1321" customFormat="1" ht="57.6" customHeight="1" thickBot="1" x14ac:dyDescent="0.2">
      <c r="A622" s="1117">
        <v>2012</v>
      </c>
      <c r="B622" s="1117">
        <v>2012</v>
      </c>
      <c r="C622" s="1436" t="s">
        <v>36</v>
      </c>
      <c r="D622" s="1363" t="s">
        <v>133</v>
      </c>
      <c r="E622" s="1350" t="s">
        <v>2554</v>
      </c>
      <c r="F622" s="1367" t="s">
        <v>2555</v>
      </c>
      <c r="G622" s="1351">
        <v>4504342857</v>
      </c>
      <c r="H622" s="1352">
        <v>415151.94</v>
      </c>
      <c r="I622" s="1353">
        <v>40884</v>
      </c>
      <c r="J622" s="1354">
        <f t="shared" si="81"/>
        <v>68</v>
      </c>
      <c r="K622" s="1353">
        <v>40952</v>
      </c>
      <c r="L622" s="1353" t="s">
        <v>41</v>
      </c>
      <c r="M622" s="1353">
        <v>40918</v>
      </c>
      <c r="N622" s="1354">
        <f t="shared" si="82"/>
        <v>-25</v>
      </c>
      <c r="O622" s="1427">
        <v>40926</v>
      </c>
      <c r="P622" s="1357">
        <v>40927</v>
      </c>
      <c r="Q622" s="1355">
        <v>40945</v>
      </c>
      <c r="R622" s="1354">
        <f t="shared" si="75"/>
        <v>61</v>
      </c>
      <c r="S622" s="1354" t="s">
        <v>2581</v>
      </c>
      <c r="T622" s="1378"/>
      <c r="U622" s="1358" t="str">
        <f t="shared" si="78"/>
        <v>en término</v>
      </c>
      <c r="V622" s="1130" t="str">
        <f t="shared" si="73"/>
        <v>Enero</v>
      </c>
      <c r="W622" s="1128">
        <f t="shared" si="74"/>
        <v>1</v>
      </c>
    </row>
    <row r="623" spans="1:23" s="1321" customFormat="1" ht="57.6" customHeight="1" thickBot="1" x14ac:dyDescent="0.2">
      <c r="A623" s="1117">
        <v>2012</v>
      </c>
      <c r="B623" s="1117">
        <v>2012</v>
      </c>
      <c r="C623" s="1436" t="s">
        <v>36</v>
      </c>
      <c r="D623" s="1363" t="s">
        <v>133</v>
      </c>
      <c r="E623" s="1350" t="s">
        <v>2554</v>
      </c>
      <c r="F623" s="1367" t="s">
        <v>2555</v>
      </c>
      <c r="G623" s="1351">
        <v>4504350564</v>
      </c>
      <c r="H623" s="1352">
        <v>3399.92</v>
      </c>
      <c r="I623" s="1353">
        <v>40889</v>
      </c>
      <c r="J623" s="1354">
        <f t="shared" si="81"/>
        <v>63</v>
      </c>
      <c r="K623" s="1353">
        <v>40952</v>
      </c>
      <c r="L623" s="1353" t="s">
        <v>41</v>
      </c>
      <c r="M623" s="1353">
        <v>40918</v>
      </c>
      <c r="N623" s="1354">
        <f t="shared" si="82"/>
        <v>-25</v>
      </c>
      <c r="O623" s="1427">
        <v>40926</v>
      </c>
      <c r="P623" s="1357">
        <v>40927</v>
      </c>
      <c r="Q623" s="1355">
        <v>40945</v>
      </c>
      <c r="R623" s="1354">
        <f t="shared" si="75"/>
        <v>56</v>
      </c>
      <c r="S623" s="1354" t="s">
        <v>53</v>
      </c>
      <c r="T623" s="1378"/>
      <c r="U623" s="1358" t="str">
        <f t="shared" si="78"/>
        <v>en término</v>
      </c>
      <c r="V623" s="1130" t="str">
        <f t="shared" si="73"/>
        <v>Enero</v>
      </c>
      <c r="W623" s="1128">
        <f t="shared" si="74"/>
        <v>1</v>
      </c>
    </row>
    <row r="624" spans="1:23" s="1321" customFormat="1" ht="57.6" customHeight="1" thickBot="1" x14ac:dyDescent="0.2">
      <c r="A624" s="1117">
        <v>2012</v>
      </c>
      <c r="B624" s="1117">
        <v>2012</v>
      </c>
      <c r="C624" s="1436" t="s">
        <v>36</v>
      </c>
      <c r="D624" s="1363" t="s">
        <v>133</v>
      </c>
      <c r="E624" s="1350" t="s">
        <v>2554</v>
      </c>
      <c r="F624" s="1367" t="s">
        <v>2555</v>
      </c>
      <c r="G624" s="1351">
        <v>4504258057</v>
      </c>
      <c r="H624" s="1352">
        <v>145152.45000000001</v>
      </c>
      <c r="I624" s="1353">
        <v>40841</v>
      </c>
      <c r="J624" s="1354">
        <f t="shared" si="81"/>
        <v>93</v>
      </c>
      <c r="K624" s="1353">
        <v>40934</v>
      </c>
      <c r="L624" s="1353" t="s">
        <v>41</v>
      </c>
      <c r="M624" s="1353">
        <v>40918</v>
      </c>
      <c r="N624" s="1354">
        <f t="shared" si="82"/>
        <v>-6</v>
      </c>
      <c r="O624" s="1427">
        <v>40927</v>
      </c>
      <c r="P624" s="1357">
        <v>40928</v>
      </c>
      <c r="Q624" s="1355">
        <v>40945</v>
      </c>
      <c r="R624" s="1354">
        <f t="shared" si="75"/>
        <v>104</v>
      </c>
      <c r="S624" s="1354" t="s">
        <v>2583</v>
      </c>
      <c r="T624" s="1378"/>
      <c r="U624" s="1358" t="str">
        <f t="shared" si="78"/>
        <v>en término</v>
      </c>
      <c r="V624" s="1130" t="str">
        <f t="shared" si="73"/>
        <v>Enero</v>
      </c>
      <c r="W624" s="1128">
        <f t="shared" si="74"/>
        <v>1</v>
      </c>
    </row>
    <row r="625" spans="1:23" s="1321" customFormat="1" ht="57.6" customHeight="1" thickBot="1" x14ac:dyDescent="0.2">
      <c r="A625" s="1117">
        <v>2012</v>
      </c>
      <c r="B625" s="1117">
        <v>2012</v>
      </c>
      <c r="C625" s="1436" t="s">
        <v>36</v>
      </c>
      <c r="D625" s="1363" t="s">
        <v>37</v>
      </c>
      <c r="E625" s="1350" t="s">
        <v>2584</v>
      </c>
      <c r="F625" s="1367" t="s">
        <v>2585</v>
      </c>
      <c r="G625" s="1351">
        <v>11090004</v>
      </c>
      <c r="H625" s="1352">
        <v>44559</v>
      </c>
      <c r="I625" s="1353">
        <v>40813</v>
      </c>
      <c r="J625" s="1354">
        <f t="shared" si="81"/>
        <v>118</v>
      </c>
      <c r="K625" s="1353">
        <v>40931</v>
      </c>
      <c r="L625" s="1353" t="s">
        <v>41</v>
      </c>
      <c r="M625" s="1353">
        <v>40918</v>
      </c>
      <c r="N625" s="1354">
        <f t="shared" si="82"/>
        <v>-4</v>
      </c>
      <c r="O625" s="1427">
        <v>40926</v>
      </c>
      <c r="P625" s="1357">
        <v>40927</v>
      </c>
      <c r="Q625" s="1357">
        <v>40945</v>
      </c>
      <c r="R625" s="1354">
        <f t="shared" si="75"/>
        <v>132</v>
      </c>
      <c r="S625" s="1437" t="s">
        <v>6354</v>
      </c>
      <c r="T625" s="1378"/>
      <c r="U625" s="1358" t="str">
        <f t="shared" si="78"/>
        <v>en término</v>
      </c>
      <c r="V625" s="1130" t="str">
        <f t="shared" si="73"/>
        <v>Enero</v>
      </c>
      <c r="W625" s="1128">
        <f t="shared" si="74"/>
        <v>1</v>
      </c>
    </row>
    <row r="626" spans="1:23" s="1321" customFormat="1" ht="57.6" customHeight="1" thickBot="1" x14ac:dyDescent="0.2">
      <c r="A626" s="1117">
        <v>2012</v>
      </c>
      <c r="B626" s="1117">
        <v>2012</v>
      </c>
      <c r="C626" s="1436" t="s">
        <v>36</v>
      </c>
      <c r="D626" s="1363" t="s">
        <v>133</v>
      </c>
      <c r="E626" s="1350" t="s">
        <v>2554</v>
      </c>
      <c r="F626" s="1367" t="s">
        <v>2555</v>
      </c>
      <c r="G626" s="1351">
        <v>4504299934</v>
      </c>
      <c r="H626" s="1352">
        <v>13078.95</v>
      </c>
      <c r="I626" s="1353">
        <v>40864</v>
      </c>
      <c r="J626" s="1354">
        <f t="shared" si="81"/>
        <v>90</v>
      </c>
      <c r="K626" s="1353">
        <v>40954</v>
      </c>
      <c r="L626" s="1353" t="s">
        <v>41</v>
      </c>
      <c r="M626" s="1353">
        <v>40952</v>
      </c>
      <c r="N626" s="1354">
        <f t="shared" si="82"/>
        <v>8</v>
      </c>
      <c r="O626" s="1427">
        <v>40961</v>
      </c>
      <c r="P626" s="1357">
        <v>40962</v>
      </c>
      <c r="Q626" s="1355">
        <v>40980</v>
      </c>
      <c r="R626" s="1354">
        <f t="shared" si="75"/>
        <v>116</v>
      </c>
      <c r="S626" s="1354" t="s">
        <v>597</v>
      </c>
      <c r="T626" s="1378" t="s">
        <v>2591</v>
      </c>
      <c r="U626" s="1358" t="str">
        <f t="shared" si="78"/>
        <v>atrasado</v>
      </c>
      <c r="V626" s="1130" t="str">
        <f t="shared" si="73"/>
        <v>Febrero</v>
      </c>
      <c r="W626" s="1128">
        <f t="shared" si="74"/>
        <v>0</v>
      </c>
    </row>
    <row r="627" spans="1:23" s="1321" customFormat="1" ht="57.6" customHeight="1" thickBot="1" x14ac:dyDescent="0.2">
      <c r="A627" s="1117">
        <v>2012</v>
      </c>
      <c r="B627" s="1117">
        <v>2012</v>
      </c>
      <c r="C627" s="1436" t="s">
        <v>36</v>
      </c>
      <c r="D627" s="1363" t="s">
        <v>133</v>
      </c>
      <c r="E627" s="1350" t="s">
        <v>2554</v>
      </c>
      <c r="F627" s="1367" t="s">
        <v>2555</v>
      </c>
      <c r="G627" s="1351">
        <v>4504300133</v>
      </c>
      <c r="H627" s="1352">
        <v>138991.44</v>
      </c>
      <c r="I627" s="1353">
        <v>40864</v>
      </c>
      <c r="J627" s="1354">
        <f t="shared" si="81"/>
        <v>91</v>
      </c>
      <c r="K627" s="1353">
        <v>40955</v>
      </c>
      <c r="L627" s="1353" t="s">
        <v>41</v>
      </c>
      <c r="M627" s="1353">
        <v>40952</v>
      </c>
      <c r="N627" s="1354">
        <f t="shared" si="82"/>
        <v>7</v>
      </c>
      <c r="O627" s="1427">
        <v>40961</v>
      </c>
      <c r="P627" s="1357">
        <v>40962</v>
      </c>
      <c r="Q627" s="1355">
        <v>40980</v>
      </c>
      <c r="R627" s="1354">
        <f t="shared" si="75"/>
        <v>116</v>
      </c>
      <c r="S627" s="1354" t="s">
        <v>53</v>
      </c>
      <c r="T627" s="1378"/>
      <c r="U627" s="1358" t="str">
        <f t="shared" si="78"/>
        <v>atrasado</v>
      </c>
      <c r="V627" s="1130" t="str">
        <f t="shared" si="73"/>
        <v>Febrero</v>
      </c>
      <c r="W627" s="1128">
        <f t="shared" si="74"/>
        <v>0</v>
      </c>
    </row>
    <row r="628" spans="1:23" s="1321" customFormat="1" ht="57.6" customHeight="1" thickBot="1" x14ac:dyDescent="0.2">
      <c r="A628" s="1117">
        <v>2012</v>
      </c>
      <c r="B628" s="1117">
        <v>2012</v>
      </c>
      <c r="C628" s="1361" t="s">
        <v>36</v>
      </c>
      <c r="D628" s="1363" t="s">
        <v>133</v>
      </c>
      <c r="E628" s="1350" t="s">
        <v>2554</v>
      </c>
      <c r="F628" s="1367" t="s">
        <v>2555</v>
      </c>
      <c r="G628" s="1351">
        <v>4504201444</v>
      </c>
      <c r="H628" s="1352">
        <v>76552.27</v>
      </c>
      <c r="I628" s="1353">
        <v>40809</v>
      </c>
      <c r="J628" s="1354">
        <f t="shared" si="81"/>
        <v>145</v>
      </c>
      <c r="K628" s="1353">
        <v>40954</v>
      </c>
      <c r="L628" s="1353" t="s">
        <v>41</v>
      </c>
      <c r="M628" s="1353">
        <v>40952</v>
      </c>
      <c r="N628" s="1354">
        <f t="shared" si="82"/>
        <v>8</v>
      </c>
      <c r="O628" s="1427">
        <v>40961</v>
      </c>
      <c r="P628" s="1357">
        <v>40962</v>
      </c>
      <c r="Q628" s="1357">
        <v>40980</v>
      </c>
      <c r="R628" s="1354">
        <f t="shared" si="75"/>
        <v>171</v>
      </c>
      <c r="S628" s="1354" t="s">
        <v>925</v>
      </c>
      <c r="T628" s="1378"/>
      <c r="U628" s="1358" t="str">
        <f t="shared" si="78"/>
        <v>atrasado</v>
      </c>
      <c r="V628" s="1130" t="str">
        <f t="shared" si="73"/>
        <v>Febrero</v>
      </c>
      <c r="W628" s="1128">
        <f t="shared" si="74"/>
        <v>0</v>
      </c>
    </row>
    <row r="629" spans="1:23" s="1321" customFormat="1" ht="57.6" customHeight="1" thickBot="1" x14ac:dyDescent="0.2">
      <c r="A629" s="1117">
        <v>2012</v>
      </c>
      <c r="B629" s="1117">
        <v>2012</v>
      </c>
      <c r="C629" s="1436" t="s">
        <v>36</v>
      </c>
      <c r="D629" s="1363" t="s">
        <v>37</v>
      </c>
      <c r="E629" s="1350" t="s">
        <v>2593</v>
      </c>
      <c r="F629" s="1437">
        <v>4504379814</v>
      </c>
      <c r="G629" s="1351">
        <v>12010001</v>
      </c>
      <c r="H629" s="1352">
        <v>465</v>
      </c>
      <c r="I629" s="1353">
        <v>40905</v>
      </c>
      <c r="J629" s="1354">
        <f t="shared" si="81"/>
        <v>79</v>
      </c>
      <c r="K629" s="1353">
        <v>40984</v>
      </c>
      <c r="L629" s="1353" t="s">
        <v>41</v>
      </c>
      <c r="M629" s="1353">
        <v>40952</v>
      </c>
      <c r="N629" s="1354">
        <f t="shared" si="82"/>
        <v>-22</v>
      </c>
      <c r="O629" s="1427">
        <v>40961</v>
      </c>
      <c r="P629" s="1357">
        <v>40962</v>
      </c>
      <c r="Q629" s="1438">
        <v>40980</v>
      </c>
      <c r="R629" s="1354">
        <f t="shared" si="75"/>
        <v>75</v>
      </c>
      <c r="S629" s="1437" t="s">
        <v>6355</v>
      </c>
      <c r="T629" s="1378"/>
      <c r="U629" s="1358" t="str">
        <f t="shared" si="78"/>
        <v>en término</v>
      </c>
      <c r="V629" s="1130" t="str">
        <f t="shared" si="73"/>
        <v>Febrero</v>
      </c>
      <c r="W629" s="1128">
        <f t="shared" si="74"/>
        <v>1</v>
      </c>
    </row>
    <row r="630" spans="1:23" s="1321" customFormat="1" ht="57.6" customHeight="1" thickBot="1" x14ac:dyDescent="0.2">
      <c r="A630" s="1117">
        <v>2012</v>
      </c>
      <c r="B630" s="1117">
        <v>2012</v>
      </c>
      <c r="C630" s="1436" t="s">
        <v>36</v>
      </c>
      <c r="D630" s="1363" t="s">
        <v>133</v>
      </c>
      <c r="E630" s="1350" t="s">
        <v>2554</v>
      </c>
      <c r="F630" s="1367" t="s">
        <v>2555</v>
      </c>
      <c r="G630" s="1351">
        <v>4504399498</v>
      </c>
      <c r="H630" s="1352">
        <v>241908.7</v>
      </c>
      <c r="I630" s="1353">
        <v>40914</v>
      </c>
      <c r="J630" s="1354">
        <f t="shared" si="81"/>
        <v>66</v>
      </c>
      <c r="K630" s="1353">
        <v>40980</v>
      </c>
      <c r="L630" s="1353" t="s">
        <v>41</v>
      </c>
      <c r="M630" s="1353">
        <v>40975</v>
      </c>
      <c r="N630" s="1354">
        <f t="shared" si="82"/>
        <v>3</v>
      </c>
      <c r="O630" s="1439">
        <v>40975</v>
      </c>
      <c r="P630" s="1421">
        <v>40983</v>
      </c>
      <c r="Q630" s="1414">
        <f>+P630+20</f>
        <v>41003</v>
      </c>
      <c r="R630" s="1354">
        <f t="shared" si="75"/>
        <v>89</v>
      </c>
      <c r="S630" s="1354" t="s">
        <v>2596</v>
      </c>
      <c r="T630" s="1378"/>
      <c r="U630" s="1358" t="str">
        <f t="shared" si="78"/>
        <v>atrasado</v>
      </c>
      <c r="V630" s="1130" t="str">
        <f t="shared" si="73"/>
        <v>Marzo</v>
      </c>
      <c r="W630" s="1128">
        <f t="shared" si="74"/>
        <v>0</v>
      </c>
    </row>
    <row r="631" spans="1:23" s="1321" customFormat="1" ht="57.6" customHeight="1" thickBot="1" x14ac:dyDescent="0.2">
      <c r="A631" s="1117">
        <v>2012</v>
      </c>
      <c r="B631" s="1117">
        <v>2012</v>
      </c>
      <c r="C631" s="1436" t="s">
        <v>36</v>
      </c>
      <c r="D631" s="1363" t="s">
        <v>133</v>
      </c>
      <c r="E631" s="1350" t="s">
        <v>2554</v>
      </c>
      <c r="F631" s="1367" t="s">
        <v>2555</v>
      </c>
      <c r="G631" s="1351">
        <v>4504405493</v>
      </c>
      <c r="H631" s="1352">
        <v>6786.68</v>
      </c>
      <c r="I631" s="1353">
        <v>40919</v>
      </c>
      <c r="J631" s="1354">
        <f t="shared" si="81"/>
        <v>61</v>
      </c>
      <c r="K631" s="1353">
        <v>40980</v>
      </c>
      <c r="L631" s="1353" t="s">
        <v>41</v>
      </c>
      <c r="M631" s="1353">
        <v>40975</v>
      </c>
      <c r="N631" s="1354">
        <f t="shared" si="82"/>
        <v>3</v>
      </c>
      <c r="O631" s="1439">
        <v>40975</v>
      </c>
      <c r="P631" s="1421">
        <v>40983</v>
      </c>
      <c r="Q631" s="1414">
        <f>+P631+20</f>
        <v>41003</v>
      </c>
      <c r="R631" s="1354">
        <f t="shared" si="75"/>
        <v>84</v>
      </c>
      <c r="S631" s="1354" t="s">
        <v>53</v>
      </c>
      <c r="T631" s="1378"/>
      <c r="U631" s="1358" t="str">
        <f t="shared" ref="U631:U662" si="83">IF(N631="","",IF(N631&lt;=0,"en término","atrasado"))</f>
        <v>atrasado</v>
      </c>
      <c r="V631" s="1130" t="str">
        <f t="shared" si="73"/>
        <v>Marzo</v>
      </c>
      <c r="W631" s="1128">
        <f t="shared" si="74"/>
        <v>0</v>
      </c>
    </row>
    <row r="632" spans="1:23" s="1321" customFormat="1" ht="57.6" customHeight="1" thickBot="1" x14ac:dyDescent="0.2">
      <c r="A632" s="1117">
        <v>2012</v>
      </c>
      <c r="B632" s="1117">
        <v>2012</v>
      </c>
      <c r="C632" s="1436" t="s">
        <v>36</v>
      </c>
      <c r="D632" s="1363" t="s">
        <v>37</v>
      </c>
      <c r="E632" s="1350" t="s">
        <v>2600</v>
      </c>
      <c r="F632" s="1358">
        <v>4504284854</v>
      </c>
      <c r="G632" s="1340">
        <v>12010004</v>
      </c>
      <c r="H632" s="1352">
        <v>21050</v>
      </c>
      <c r="I632" s="1353">
        <v>40854</v>
      </c>
      <c r="J632" s="1354">
        <f t="shared" si="81"/>
        <v>147</v>
      </c>
      <c r="K632" s="1353">
        <v>41001</v>
      </c>
      <c r="L632" s="1353" t="s">
        <v>41</v>
      </c>
      <c r="M632" s="1353">
        <v>40975</v>
      </c>
      <c r="N632" s="1354">
        <f t="shared" si="82"/>
        <v>-18</v>
      </c>
      <c r="O632" s="1439">
        <v>40975</v>
      </c>
      <c r="P632" s="1421">
        <v>40983</v>
      </c>
      <c r="Q632" s="1421">
        <f>+P632+20</f>
        <v>41003</v>
      </c>
      <c r="R632" s="1354">
        <f t="shared" si="75"/>
        <v>149</v>
      </c>
      <c r="S632" s="1354" t="s">
        <v>419</v>
      </c>
      <c r="T632" s="1378"/>
      <c r="U632" s="1358" t="str">
        <f t="shared" si="83"/>
        <v>en término</v>
      </c>
      <c r="V632" s="1130" t="str">
        <f t="shared" si="73"/>
        <v>Marzo</v>
      </c>
      <c r="W632" s="1128">
        <f t="shared" si="74"/>
        <v>1</v>
      </c>
    </row>
    <row r="633" spans="1:23" s="1321" customFormat="1" ht="57.6" customHeight="1" thickBot="1" x14ac:dyDescent="0.2">
      <c r="A633" s="1117">
        <v>2012</v>
      </c>
      <c r="B633" s="1117">
        <v>2012</v>
      </c>
      <c r="C633" s="1361" t="s">
        <v>36</v>
      </c>
      <c r="D633" s="1363" t="s">
        <v>133</v>
      </c>
      <c r="E633" s="1350" t="s">
        <v>2554</v>
      </c>
      <c r="F633" s="1367" t="s">
        <v>2555</v>
      </c>
      <c r="G633" s="1351">
        <v>4504259782</v>
      </c>
      <c r="H633" s="1411">
        <v>60648.57</v>
      </c>
      <c r="I633" s="1412">
        <v>40781</v>
      </c>
      <c r="J633" s="1413">
        <f t="shared" si="81"/>
        <v>164</v>
      </c>
      <c r="K633" s="1412">
        <v>40945</v>
      </c>
      <c r="L633" s="1353" t="s">
        <v>41</v>
      </c>
      <c r="M633" s="1412">
        <v>40975</v>
      </c>
      <c r="N633" s="1354">
        <f t="shared" si="82"/>
        <v>38</v>
      </c>
      <c r="O633" s="1439">
        <v>40975</v>
      </c>
      <c r="P633" s="1421">
        <v>40983</v>
      </c>
      <c r="Q633" s="1421">
        <f>+P633+20</f>
        <v>41003</v>
      </c>
      <c r="R633" s="1354">
        <f t="shared" si="75"/>
        <v>222</v>
      </c>
      <c r="S633" s="1413" t="s">
        <v>1087</v>
      </c>
      <c r="T633" s="1425"/>
      <c r="U633" s="1417" t="str">
        <f t="shared" si="83"/>
        <v>atrasado</v>
      </c>
      <c r="V633" s="1130" t="str">
        <f t="shared" si="73"/>
        <v>Marzo</v>
      </c>
      <c r="W633" s="1128">
        <f t="shared" si="74"/>
        <v>0</v>
      </c>
    </row>
    <row r="634" spans="1:23" s="1321" customFormat="1" ht="57.6" customHeight="1" thickBot="1" x14ac:dyDescent="0.2">
      <c r="A634" s="1117">
        <v>2012</v>
      </c>
      <c r="B634" s="1117">
        <v>2012</v>
      </c>
      <c r="C634" s="1436" t="s">
        <v>36</v>
      </c>
      <c r="D634" s="1363" t="s">
        <v>133</v>
      </c>
      <c r="E634" s="1350" t="s">
        <v>2554</v>
      </c>
      <c r="F634" s="1669" t="s">
        <v>2555</v>
      </c>
      <c r="G634" s="1671">
        <v>4504335529</v>
      </c>
      <c r="H634" s="1352">
        <v>78351.62</v>
      </c>
      <c r="I634" s="1353">
        <v>40879</v>
      </c>
      <c r="J634" s="1354">
        <f t="shared" si="81"/>
        <v>81</v>
      </c>
      <c r="K634" s="1353">
        <v>40960</v>
      </c>
      <c r="L634" s="1353" t="s">
        <v>41</v>
      </c>
      <c r="M634" s="1353">
        <v>40975</v>
      </c>
      <c r="N634" s="1354">
        <f t="shared" si="82"/>
        <v>23</v>
      </c>
      <c r="O634" s="1439">
        <v>40975</v>
      </c>
      <c r="P634" s="1421">
        <v>40983</v>
      </c>
      <c r="Q634" s="1421">
        <f>+P634+20</f>
        <v>41003</v>
      </c>
      <c r="R634" s="1354">
        <f t="shared" si="75"/>
        <v>124</v>
      </c>
      <c r="S634" s="1354" t="s">
        <v>2602</v>
      </c>
      <c r="T634" s="1378"/>
      <c r="U634" s="1358" t="str">
        <f t="shared" si="83"/>
        <v>atrasado</v>
      </c>
      <c r="V634" s="1130" t="str">
        <f t="shared" si="73"/>
        <v>Marzo</v>
      </c>
      <c r="W634" s="1128">
        <f t="shared" si="74"/>
        <v>0</v>
      </c>
    </row>
    <row r="635" spans="1:23" s="1321" customFormat="1" ht="57.6" customHeight="1" thickBot="1" x14ac:dyDescent="0.2">
      <c r="A635" s="1117">
        <v>2012</v>
      </c>
      <c r="B635" s="1117">
        <v>2012</v>
      </c>
      <c r="C635" s="1436" t="s">
        <v>36</v>
      </c>
      <c r="D635" s="1363" t="s">
        <v>133</v>
      </c>
      <c r="E635" s="1350" t="s">
        <v>2554</v>
      </c>
      <c r="F635" s="1670"/>
      <c r="G635" s="1672"/>
      <c r="H635" s="1352">
        <v>81441.5</v>
      </c>
      <c r="I635" s="1353">
        <v>40879</v>
      </c>
      <c r="J635" s="1354">
        <f t="shared" si="81"/>
        <v>111</v>
      </c>
      <c r="K635" s="1353">
        <v>40990</v>
      </c>
      <c r="L635" s="1353" t="s">
        <v>41</v>
      </c>
      <c r="M635" s="1353">
        <v>40988</v>
      </c>
      <c r="N635" s="1354">
        <f t="shared" si="82"/>
        <v>9</v>
      </c>
      <c r="O635" s="1427">
        <v>40996</v>
      </c>
      <c r="P635" s="1357">
        <v>40999</v>
      </c>
      <c r="Q635" s="1355">
        <v>41015</v>
      </c>
      <c r="R635" s="1354">
        <f t="shared" si="75"/>
        <v>136</v>
      </c>
      <c r="S635" s="1354" t="s">
        <v>2604</v>
      </c>
      <c r="T635" s="1378"/>
      <c r="U635" s="1358" t="str">
        <f t="shared" si="83"/>
        <v>atrasado</v>
      </c>
      <c r="V635" s="1130" t="str">
        <f t="shared" si="73"/>
        <v>Marzo</v>
      </c>
      <c r="W635" s="1128">
        <f t="shared" si="74"/>
        <v>0</v>
      </c>
    </row>
    <row r="636" spans="1:23" s="1321" customFormat="1" ht="57.6" customHeight="1" thickBot="1" x14ac:dyDescent="0.2">
      <c r="A636" s="1117">
        <v>2012</v>
      </c>
      <c r="B636" s="1117">
        <v>2012</v>
      </c>
      <c r="C636" s="1436" t="s">
        <v>36</v>
      </c>
      <c r="D636" s="1363" t="s">
        <v>37</v>
      </c>
      <c r="E636" s="1350" t="s">
        <v>2605</v>
      </c>
      <c r="F636" s="1437">
        <v>4504425352</v>
      </c>
      <c r="G636" s="1351">
        <v>12030001</v>
      </c>
      <c r="H636" s="1352">
        <v>190</v>
      </c>
      <c r="I636" s="1353">
        <v>40933</v>
      </c>
      <c r="J636" s="1354">
        <f t="shared" si="81"/>
        <v>46</v>
      </c>
      <c r="K636" s="1353">
        <v>40979</v>
      </c>
      <c r="L636" s="1353" t="s">
        <v>41</v>
      </c>
      <c r="M636" s="1353">
        <v>40984</v>
      </c>
      <c r="N636" s="1354">
        <f t="shared" si="82"/>
        <v>13</v>
      </c>
      <c r="O636" s="1439"/>
      <c r="P636" s="1421">
        <v>40992</v>
      </c>
      <c r="Q636" s="1440">
        <f>+P636+3</f>
        <v>40995</v>
      </c>
      <c r="R636" s="1354">
        <f t="shared" si="75"/>
        <v>62</v>
      </c>
      <c r="S636" s="1437" t="s">
        <v>53</v>
      </c>
      <c r="T636" s="1378"/>
      <c r="U636" s="1358" t="str">
        <f t="shared" si="83"/>
        <v>atrasado</v>
      </c>
      <c r="V636" s="1130" t="str">
        <f t="shared" si="73"/>
        <v>Marzo</v>
      </c>
      <c r="W636" s="1128">
        <f t="shared" si="74"/>
        <v>0</v>
      </c>
    </row>
    <row r="637" spans="1:23" s="1321" customFormat="1" ht="57.6" customHeight="1" thickBot="1" x14ac:dyDescent="0.2">
      <c r="A637" s="1117">
        <v>2012</v>
      </c>
      <c r="B637" s="1117">
        <v>2012</v>
      </c>
      <c r="C637" s="1436" t="s">
        <v>36</v>
      </c>
      <c r="D637" s="1363" t="s">
        <v>133</v>
      </c>
      <c r="E637" s="1350" t="s">
        <v>2554</v>
      </c>
      <c r="F637" s="1367" t="s">
        <v>2555</v>
      </c>
      <c r="G637" s="1351">
        <v>4504360897</v>
      </c>
      <c r="H637" s="1352">
        <v>100301.7</v>
      </c>
      <c r="I637" s="1353">
        <v>40896</v>
      </c>
      <c r="J637" s="1354">
        <f t="shared" si="81"/>
        <v>94</v>
      </c>
      <c r="K637" s="1353">
        <v>40990</v>
      </c>
      <c r="L637" s="1353" t="s">
        <v>41</v>
      </c>
      <c r="M637" s="1353">
        <v>40988</v>
      </c>
      <c r="N637" s="1354">
        <f t="shared" si="82"/>
        <v>9</v>
      </c>
      <c r="O637" s="1427">
        <v>40996</v>
      </c>
      <c r="P637" s="1357">
        <v>40999</v>
      </c>
      <c r="Q637" s="1355">
        <v>41015</v>
      </c>
      <c r="R637" s="1354">
        <f t="shared" si="75"/>
        <v>119</v>
      </c>
      <c r="S637" s="1354" t="s">
        <v>2609</v>
      </c>
      <c r="T637" s="1378" t="s">
        <v>2611</v>
      </c>
      <c r="U637" s="1358" t="str">
        <f t="shared" si="83"/>
        <v>atrasado</v>
      </c>
      <c r="V637" s="1130" t="str">
        <f t="shared" si="73"/>
        <v>Marzo</v>
      </c>
      <c r="W637" s="1128">
        <f t="shared" si="74"/>
        <v>0</v>
      </c>
    </row>
    <row r="638" spans="1:23" s="1321" customFormat="1" ht="57.6" customHeight="1" thickBot="1" x14ac:dyDescent="0.2">
      <c r="A638" s="1117">
        <v>2012</v>
      </c>
      <c r="B638" s="1117">
        <v>2012</v>
      </c>
      <c r="C638" s="1436" t="s">
        <v>36</v>
      </c>
      <c r="D638" s="1363" t="s">
        <v>133</v>
      </c>
      <c r="E638" s="1350" t="s">
        <v>2554</v>
      </c>
      <c r="F638" s="1367" t="s">
        <v>2555</v>
      </c>
      <c r="G638" s="1351">
        <v>4504389854</v>
      </c>
      <c r="H638" s="1352">
        <v>162.6</v>
      </c>
      <c r="I638" s="1353">
        <v>40907</v>
      </c>
      <c r="J638" s="1354">
        <f t="shared" si="81"/>
        <v>96</v>
      </c>
      <c r="K638" s="1353">
        <v>41003</v>
      </c>
      <c r="L638" s="1353" t="s">
        <v>41</v>
      </c>
      <c r="M638" s="1353">
        <v>40988</v>
      </c>
      <c r="N638" s="1354">
        <f t="shared" si="82"/>
        <v>-4</v>
      </c>
      <c r="O638" s="1427">
        <v>40996</v>
      </c>
      <c r="P638" s="1357">
        <v>40999</v>
      </c>
      <c r="Q638" s="1355">
        <v>41015</v>
      </c>
      <c r="R638" s="1354">
        <f t="shared" si="75"/>
        <v>108</v>
      </c>
      <c r="S638" s="1354" t="s">
        <v>53</v>
      </c>
      <c r="T638" s="1378"/>
      <c r="U638" s="1358" t="str">
        <f t="shared" si="83"/>
        <v>en término</v>
      </c>
      <c r="V638" s="1130" t="str">
        <f t="shared" si="73"/>
        <v>Marzo</v>
      </c>
      <c r="W638" s="1128">
        <f t="shared" si="74"/>
        <v>1</v>
      </c>
    </row>
    <row r="639" spans="1:23" s="1321" customFormat="1" ht="57.6" customHeight="1" thickBot="1" x14ac:dyDescent="0.2">
      <c r="A639" s="1117">
        <v>2012</v>
      </c>
      <c r="B639" s="1117">
        <v>2012</v>
      </c>
      <c r="C639" s="1436" t="s">
        <v>36</v>
      </c>
      <c r="D639" s="1363" t="s">
        <v>133</v>
      </c>
      <c r="E639" s="1350" t="s">
        <v>2554</v>
      </c>
      <c r="F639" s="1372" t="s">
        <v>2555</v>
      </c>
      <c r="G639" s="1340">
        <v>4504258057</v>
      </c>
      <c r="H639" s="1352">
        <v>80797.3</v>
      </c>
      <c r="I639" s="1353">
        <v>40841</v>
      </c>
      <c r="J639" s="1354">
        <f t="shared" si="81"/>
        <v>153</v>
      </c>
      <c r="K639" s="1353">
        <v>40994</v>
      </c>
      <c r="L639" s="1353" t="s">
        <v>41</v>
      </c>
      <c r="M639" s="1353">
        <v>40988</v>
      </c>
      <c r="N639" s="1354">
        <f t="shared" si="82"/>
        <v>5</v>
      </c>
      <c r="O639" s="1427">
        <v>40996</v>
      </c>
      <c r="P639" s="1357">
        <v>40999</v>
      </c>
      <c r="Q639" s="1355">
        <v>41015</v>
      </c>
      <c r="R639" s="1354">
        <f t="shared" si="75"/>
        <v>174</v>
      </c>
      <c r="S639" s="1354" t="s">
        <v>2583</v>
      </c>
      <c r="T639" s="1378"/>
      <c r="U639" s="1358" t="str">
        <f t="shared" si="83"/>
        <v>atrasado</v>
      </c>
      <c r="V639" s="1130" t="str">
        <f t="shared" si="73"/>
        <v>Marzo</v>
      </c>
      <c r="W639" s="1128">
        <f t="shared" si="74"/>
        <v>0</v>
      </c>
    </row>
    <row r="640" spans="1:23" s="1321" customFormat="1" ht="57.6" customHeight="1" thickBot="1" x14ac:dyDescent="0.2">
      <c r="A640" s="1117">
        <v>2012</v>
      </c>
      <c r="B640" s="1117">
        <v>2012</v>
      </c>
      <c r="C640" s="1436" t="s">
        <v>36</v>
      </c>
      <c r="D640" s="1363" t="s">
        <v>37</v>
      </c>
      <c r="E640" s="1350" t="s">
        <v>2613</v>
      </c>
      <c r="F640" s="1437">
        <v>49503</v>
      </c>
      <c r="G640" s="1351">
        <v>12010003</v>
      </c>
      <c r="H640" s="1352">
        <v>5514</v>
      </c>
      <c r="I640" s="1353">
        <v>40931</v>
      </c>
      <c r="J640" s="1354">
        <f t="shared" si="81"/>
        <v>91</v>
      </c>
      <c r="K640" s="1353">
        <v>41022</v>
      </c>
      <c r="L640" s="1353" t="s">
        <v>41</v>
      </c>
      <c r="M640" s="1353">
        <v>41009</v>
      </c>
      <c r="N640" s="1354">
        <f t="shared" si="82"/>
        <v>11</v>
      </c>
      <c r="O640" s="1427">
        <v>41018</v>
      </c>
      <c r="P640" s="1357">
        <v>41033</v>
      </c>
      <c r="Q640" s="1355">
        <f t="shared" ref="Q640:Q650" si="84">+P640+20</f>
        <v>41053</v>
      </c>
      <c r="R640" s="1354">
        <f t="shared" si="75"/>
        <v>122</v>
      </c>
      <c r="S640" s="1437" t="s">
        <v>2615</v>
      </c>
      <c r="T640" s="1378"/>
      <c r="U640" s="1358" t="str">
        <f t="shared" si="83"/>
        <v>atrasado</v>
      </c>
      <c r="V640" s="1130" t="str">
        <f t="shared" si="73"/>
        <v>Abril</v>
      </c>
      <c r="W640" s="1128">
        <f t="shared" si="74"/>
        <v>0</v>
      </c>
    </row>
    <row r="641" spans="1:23" s="1321" customFormat="1" ht="57.6" customHeight="1" thickBot="1" x14ac:dyDescent="0.2">
      <c r="A641" s="1117">
        <v>2012</v>
      </c>
      <c r="B641" s="1117">
        <v>2012</v>
      </c>
      <c r="C641" s="1436" t="s">
        <v>36</v>
      </c>
      <c r="D641" s="1363" t="s">
        <v>37</v>
      </c>
      <c r="E641" s="1350" t="s">
        <v>2617</v>
      </c>
      <c r="F641" s="1437">
        <v>4504514958</v>
      </c>
      <c r="G641" s="1351">
        <v>12040001</v>
      </c>
      <c r="H641" s="1352">
        <v>704</v>
      </c>
      <c r="I641" s="1353">
        <v>40982</v>
      </c>
      <c r="J641" s="1354">
        <v>70</v>
      </c>
      <c r="K641" s="1353">
        <v>41009</v>
      </c>
      <c r="L641" s="1353" t="s">
        <v>41</v>
      </c>
      <c r="M641" s="1353">
        <v>41009</v>
      </c>
      <c r="N641" s="1354">
        <f t="shared" si="82"/>
        <v>24</v>
      </c>
      <c r="O641" s="1427">
        <v>41018</v>
      </c>
      <c r="P641" s="1357">
        <v>41033</v>
      </c>
      <c r="Q641" s="1355">
        <f t="shared" si="84"/>
        <v>41053</v>
      </c>
      <c r="R641" s="1354">
        <f t="shared" si="75"/>
        <v>71</v>
      </c>
      <c r="S641" s="1437" t="s">
        <v>2618</v>
      </c>
      <c r="T641" s="1378"/>
      <c r="U641" s="1358" t="str">
        <f t="shared" si="83"/>
        <v>atrasado</v>
      </c>
      <c r="V641" s="1130" t="str">
        <f t="shared" si="73"/>
        <v>Abril</v>
      </c>
      <c r="W641" s="1128">
        <f t="shared" si="74"/>
        <v>0</v>
      </c>
    </row>
    <row r="642" spans="1:23" s="1321" customFormat="1" ht="57.6" customHeight="1" thickBot="1" x14ac:dyDescent="0.2">
      <c r="A642" s="1117">
        <v>2012</v>
      </c>
      <c r="B642" s="1117">
        <v>2012</v>
      </c>
      <c r="C642" s="1436" t="s">
        <v>36</v>
      </c>
      <c r="D642" s="1363" t="s">
        <v>133</v>
      </c>
      <c r="E642" s="1350" t="s">
        <v>2554</v>
      </c>
      <c r="F642" s="1367" t="s">
        <v>2555</v>
      </c>
      <c r="G642" s="1351">
        <v>4504468219</v>
      </c>
      <c r="H642" s="1352">
        <v>218061.53</v>
      </c>
      <c r="I642" s="1353">
        <v>40954</v>
      </c>
      <c r="J642" s="1354">
        <f t="shared" ref="J642:J649" si="85">+K642-I642</f>
        <v>62</v>
      </c>
      <c r="K642" s="1353">
        <v>41016</v>
      </c>
      <c r="L642" s="1353" t="s">
        <v>41</v>
      </c>
      <c r="M642" s="1353">
        <v>41009</v>
      </c>
      <c r="N642" s="1354">
        <f t="shared" si="82"/>
        <v>17</v>
      </c>
      <c r="O642" s="1427">
        <v>41018</v>
      </c>
      <c r="P642" s="1357">
        <v>41033</v>
      </c>
      <c r="Q642" s="1355">
        <f t="shared" si="84"/>
        <v>41053</v>
      </c>
      <c r="R642" s="1354">
        <f t="shared" si="75"/>
        <v>99</v>
      </c>
      <c r="S642" s="1354" t="s">
        <v>2218</v>
      </c>
      <c r="T642" s="1378"/>
      <c r="U642" s="1358" t="str">
        <f t="shared" si="83"/>
        <v>atrasado</v>
      </c>
      <c r="V642" s="1130" t="str">
        <f t="shared" ref="V642:V705" si="86">VLOOKUP(MONTH(M642),$Y$66:$Z$77,2,FALSE)</f>
        <v>Abril</v>
      </c>
      <c r="W642" s="1128">
        <f t="shared" ref="W642:W705" si="87">+IF(U642="atrasado",0)+IF(U642="en término",1)</f>
        <v>0</v>
      </c>
    </row>
    <row r="643" spans="1:23" s="1321" customFormat="1" ht="57.6" customHeight="1" thickBot="1" x14ac:dyDescent="0.2">
      <c r="A643" s="1117">
        <v>2012</v>
      </c>
      <c r="B643" s="1117">
        <v>2012</v>
      </c>
      <c r="C643" s="1436" t="s">
        <v>36</v>
      </c>
      <c r="D643" s="1363" t="s">
        <v>133</v>
      </c>
      <c r="E643" s="1350" t="s">
        <v>2554</v>
      </c>
      <c r="F643" s="1367" t="s">
        <v>2555</v>
      </c>
      <c r="G643" s="1351">
        <v>4504468252</v>
      </c>
      <c r="H643" s="1352">
        <v>3735.56</v>
      </c>
      <c r="I643" s="1353">
        <v>40954</v>
      </c>
      <c r="J643" s="1354">
        <f t="shared" si="85"/>
        <v>55</v>
      </c>
      <c r="K643" s="1353">
        <v>41009</v>
      </c>
      <c r="L643" s="1353" t="s">
        <v>41</v>
      </c>
      <c r="M643" s="1353">
        <v>41009</v>
      </c>
      <c r="N643" s="1354">
        <f t="shared" si="82"/>
        <v>24</v>
      </c>
      <c r="O643" s="1427">
        <v>41018</v>
      </c>
      <c r="P643" s="1357">
        <v>41033</v>
      </c>
      <c r="Q643" s="1355">
        <f t="shared" si="84"/>
        <v>41053</v>
      </c>
      <c r="R643" s="1354">
        <f t="shared" si="75"/>
        <v>99</v>
      </c>
      <c r="S643" s="1354" t="s">
        <v>53</v>
      </c>
      <c r="T643" s="1378"/>
      <c r="U643" s="1358" t="str">
        <f t="shared" si="83"/>
        <v>atrasado</v>
      </c>
      <c r="V643" s="1130" t="str">
        <f t="shared" si="86"/>
        <v>Abril</v>
      </c>
      <c r="W643" s="1128">
        <f t="shared" si="87"/>
        <v>0</v>
      </c>
    </row>
    <row r="644" spans="1:23" s="1321" customFormat="1" ht="57.6" customHeight="1" thickBot="1" x14ac:dyDescent="0.2">
      <c r="A644" s="1117">
        <v>2012</v>
      </c>
      <c r="B644" s="1117">
        <v>2012</v>
      </c>
      <c r="C644" s="1436" t="s">
        <v>36</v>
      </c>
      <c r="D644" s="1363" t="s">
        <v>133</v>
      </c>
      <c r="E644" s="1350" t="s">
        <v>2554</v>
      </c>
      <c r="F644" s="1367" t="s">
        <v>2555</v>
      </c>
      <c r="G644" s="1351">
        <v>4504409504</v>
      </c>
      <c r="H644" s="1352">
        <v>18279.75</v>
      </c>
      <c r="I644" s="1353">
        <v>40921</v>
      </c>
      <c r="J644" s="1354">
        <f t="shared" si="85"/>
        <v>94</v>
      </c>
      <c r="K644" s="1353">
        <v>41015</v>
      </c>
      <c r="L644" s="1353" t="s">
        <v>41</v>
      </c>
      <c r="M644" s="1353">
        <v>41009</v>
      </c>
      <c r="N644" s="1354">
        <f t="shared" si="82"/>
        <v>18</v>
      </c>
      <c r="O644" s="1427">
        <v>41018</v>
      </c>
      <c r="P644" s="1357">
        <v>41033</v>
      </c>
      <c r="Q644" s="1438">
        <f t="shared" si="84"/>
        <v>41053</v>
      </c>
      <c r="R644" s="1354">
        <f t="shared" si="75"/>
        <v>132</v>
      </c>
      <c r="S644" s="1354" t="s">
        <v>53</v>
      </c>
      <c r="T644" s="1378"/>
      <c r="U644" s="1358" t="str">
        <f t="shared" si="83"/>
        <v>atrasado</v>
      </c>
      <c r="V644" s="1130" t="str">
        <f t="shared" si="86"/>
        <v>Abril</v>
      </c>
      <c r="W644" s="1128">
        <f t="shared" si="87"/>
        <v>0</v>
      </c>
    </row>
    <row r="645" spans="1:23" s="1321" customFormat="1" ht="57.6" customHeight="1" thickBot="1" x14ac:dyDescent="0.2">
      <c r="A645" s="1117">
        <v>2012</v>
      </c>
      <c r="B645" s="1117">
        <v>2012</v>
      </c>
      <c r="C645" s="1436" t="s">
        <v>36</v>
      </c>
      <c r="D645" s="1363" t="s">
        <v>133</v>
      </c>
      <c r="E645" s="1350" t="s">
        <v>2554</v>
      </c>
      <c r="F645" s="1367" t="s">
        <v>2555</v>
      </c>
      <c r="G645" s="1351">
        <v>4504510548</v>
      </c>
      <c r="H645" s="1352">
        <v>6029.81</v>
      </c>
      <c r="I645" s="1353">
        <v>40980</v>
      </c>
      <c r="J645" s="1354">
        <f t="shared" si="85"/>
        <v>63</v>
      </c>
      <c r="K645" s="1353">
        <v>41043</v>
      </c>
      <c r="L645" s="1353" t="s">
        <v>41</v>
      </c>
      <c r="M645" s="1353">
        <v>41037</v>
      </c>
      <c r="N645" s="1354">
        <f t="shared" si="82"/>
        <v>2</v>
      </c>
      <c r="O645" s="1427">
        <v>41044</v>
      </c>
      <c r="P645" s="1357">
        <v>41045</v>
      </c>
      <c r="Q645" s="1355">
        <f t="shared" si="84"/>
        <v>41065</v>
      </c>
      <c r="R645" s="1354">
        <f t="shared" si="75"/>
        <v>85</v>
      </c>
      <c r="S645" s="1354" t="s">
        <v>53</v>
      </c>
      <c r="T645" s="1378"/>
      <c r="U645" s="1358" t="str">
        <f t="shared" si="83"/>
        <v>atrasado</v>
      </c>
      <c r="V645" s="1130" t="str">
        <f t="shared" si="86"/>
        <v>Mayo</v>
      </c>
      <c r="W645" s="1128">
        <f t="shared" si="87"/>
        <v>0</v>
      </c>
    </row>
    <row r="646" spans="1:23" s="1321" customFormat="1" ht="57.6" customHeight="1" thickBot="1" x14ac:dyDescent="0.2">
      <c r="A646" s="1117">
        <v>2012</v>
      </c>
      <c r="B646" s="1117">
        <v>2012</v>
      </c>
      <c r="C646" s="1436" t="s">
        <v>36</v>
      </c>
      <c r="D646" s="1363" t="s">
        <v>133</v>
      </c>
      <c r="E646" s="1350" t="s">
        <v>2554</v>
      </c>
      <c r="F646" s="1367" t="s">
        <v>2555</v>
      </c>
      <c r="G646" s="1351">
        <v>4504418029</v>
      </c>
      <c r="H646" s="1352">
        <v>172483.51</v>
      </c>
      <c r="I646" s="1353">
        <v>40928</v>
      </c>
      <c r="J646" s="1354">
        <f t="shared" si="85"/>
        <v>96</v>
      </c>
      <c r="K646" s="1353">
        <v>41024</v>
      </c>
      <c r="L646" s="1353" t="s">
        <v>41</v>
      </c>
      <c r="M646" s="1353">
        <v>41037</v>
      </c>
      <c r="N646" s="1354">
        <f t="shared" si="82"/>
        <v>21</v>
      </c>
      <c r="O646" s="1427">
        <v>41044</v>
      </c>
      <c r="P646" s="1357">
        <v>41045</v>
      </c>
      <c r="Q646" s="1355">
        <f t="shared" si="84"/>
        <v>41065</v>
      </c>
      <c r="R646" s="1354">
        <f t="shared" si="75"/>
        <v>137</v>
      </c>
      <c r="S646" s="1354" t="s">
        <v>1248</v>
      </c>
      <c r="T646" s="1378"/>
      <c r="U646" s="1358" t="str">
        <f t="shared" si="83"/>
        <v>atrasado</v>
      </c>
      <c r="V646" s="1130" t="str">
        <f t="shared" si="86"/>
        <v>Mayo</v>
      </c>
      <c r="W646" s="1128">
        <f t="shared" si="87"/>
        <v>0</v>
      </c>
    </row>
    <row r="647" spans="1:23" s="1321" customFormat="1" ht="57.6" customHeight="1" thickBot="1" x14ac:dyDescent="0.2">
      <c r="A647" s="1117">
        <v>2012</v>
      </c>
      <c r="B647" s="1117">
        <v>2012</v>
      </c>
      <c r="C647" s="1436" t="s">
        <v>36</v>
      </c>
      <c r="D647" s="1363" t="s">
        <v>133</v>
      </c>
      <c r="E647" s="1350" t="s">
        <v>2554</v>
      </c>
      <c r="F647" s="1367" t="s">
        <v>2555</v>
      </c>
      <c r="G647" s="1351">
        <v>4504423609</v>
      </c>
      <c r="H647" s="1352">
        <v>1034.25</v>
      </c>
      <c r="I647" s="1353">
        <v>40932</v>
      </c>
      <c r="J647" s="1354">
        <f t="shared" si="85"/>
        <v>93</v>
      </c>
      <c r="K647" s="1353">
        <v>41025</v>
      </c>
      <c r="L647" s="1353" t="s">
        <v>41</v>
      </c>
      <c r="M647" s="1353">
        <v>41037</v>
      </c>
      <c r="N647" s="1354">
        <f t="shared" ref="N647:N678" si="88">IF(P647="","",+P647-K647)</f>
        <v>20</v>
      </c>
      <c r="O647" s="1427">
        <v>41044</v>
      </c>
      <c r="P647" s="1357">
        <v>41045</v>
      </c>
      <c r="Q647" s="1355">
        <f t="shared" si="84"/>
        <v>41065</v>
      </c>
      <c r="R647" s="1354">
        <f t="shared" ref="R647:R687" si="89">IF(Q647="","",+Q647-I647)</f>
        <v>133</v>
      </c>
      <c r="S647" s="1354" t="s">
        <v>53</v>
      </c>
      <c r="T647" s="1378"/>
      <c r="U647" s="1358" t="str">
        <f t="shared" si="83"/>
        <v>atrasado</v>
      </c>
      <c r="V647" s="1130" t="str">
        <f t="shared" si="86"/>
        <v>Mayo</v>
      </c>
      <c r="W647" s="1128">
        <f t="shared" si="87"/>
        <v>0</v>
      </c>
    </row>
    <row r="648" spans="1:23" s="1321" customFormat="1" ht="57.6" customHeight="1" thickBot="1" x14ac:dyDescent="0.2">
      <c r="A648" s="1117">
        <v>2012</v>
      </c>
      <c r="B648" s="1117">
        <v>2012</v>
      </c>
      <c r="C648" s="1436" t="s">
        <v>36</v>
      </c>
      <c r="D648" s="1363" t="s">
        <v>133</v>
      </c>
      <c r="E648" s="1350" t="s">
        <v>2554</v>
      </c>
      <c r="F648" s="1367" t="s">
        <v>2555</v>
      </c>
      <c r="G648" s="1351">
        <v>4504420567</v>
      </c>
      <c r="H648" s="1352">
        <v>11455.83</v>
      </c>
      <c r="I648" s="1353">
        <v>40928</v>
      </c>
      <c r="J648" s="1354">
        <f t="shared" si="85"/>
        <v>94</v>
      </c>
      <c r="K648" s="1353">
        <v>41022</v>
      </c>
      <c r="L648" s="1353" t="s">
        <v>41</v>
      </c>
      <c r="M648" s="1353">
        <v>41037</v>
      </c>
      <c r="N648" s="1354">
        <f t="shared" si="88"/>
        <v>23</v>
      </c>
      <c r="O648" s="1427">
        <v>41044</v>
      </c>
      <c r="P648" s="1357">
        <v>41045</v>
      </c>
      <c r="Q648" s="1355">
        <f t="shared" si="84"/>
        <v>41065</v>
      </c>
      <c r="R648" s="1354">
        <f t="shared" si="89"/>
        <v>137</v>
      </c>
      <c r="S648" s="1354" t="s">
        <v>53</v>
      </c>
      <c r="T648" s="1378"/>
      <c r="U648" s="1358" t="str">
        <f t="shared" si="83"/>
        <v>atrasado</v>
      </c>
      <c r="V648" s="1130" t="str">
        <f t="shared" si="86"/>
        <v>Mayo</v>
      </c>
      <c r="W648" s="1128">
        <f t="shared" si="87"/>
        <v>0</v>
      </c>
    </row>
    <row r="649" spans="1:23" s="1321" customFormat="1" ht="57.6" customHeight="1" thickBot="1" x14ac:dyDescent="0.2">
      <c r="A649" s="1117">
        <v>2012</v>
      </c>
      <c r="B649" s="1117">
        <v>2012</v>
      </c>
      <c r="C649" s="1436" t="s">
        <v>36</v>
      </c>
      <c r="D649" s="1363" t="s">
        <v>133</v>
      </c>
      <c r="E649" s="1350" t="s">
        <v>2554</v>
      </c>
      <c r="F649" s="1367" t="s">
        <v>2555</v>
      </c>
      <c r="G649" s="1351">
        <v>4504510526</v>
      </c>
      <c r="H649" s="1352">
        <v>212012.04</v>
      </c>
      <c r="I649" s="1353">
        <v>40980</v>
      </c>
      <c r="J649" s="1354">
        <f t="shared" si="85"/>
        <v>63</v>
      </c>
      <c r="K649" s="1353">
        <v>41043</v>
      </c>
      <c r="L649" s="1353" t="s">
        <v>41</v>
      </c>
      <c r="M649" s="1353">
        <v>41044</v>
      </c>
      <c r="N649" s="1354">
        <f t="shared" si="88"/>
        <v>11</v>
      </c>
      <c r="O649" s="1439"/>
      <c r="P649" s="1421">
        <v>41054</v>
      </c>
      <c r="Q649" s="1414">
        <f t="shared" si="84"/>
        <v>41074</v>
      </c>
      <c r="R649" s="1354">
        <f t="shared" si="89"/>
        <v>94</v>
      </c>
      <c r="S649" s="1354" t="s">
        <v>2628</v>
      </c>
      <c r="T649" s="1378"/>
      <c r="U649" s="1358" t="str">
        <f t="shared" si="83"/>
        <v>atrasado</v>
      </c>
      <c r="V649" s="1130" t="str">
        <f t="shared" si="86"/>
        <v>Mayo</v>
      </c>
      <c r="W649" s="1128">
        <f t="shared" si="87"/>
        <v>0</v>
      </c>
    </row>
    <row r="650" spans="1:23" s="1321" customFormat="1" ht="57.6" customHeight="1" thickBot="1" x14ac:dyDescent="0.2">
      <c r="A650" s="1117">
        <v>2012</v>
      </c>
      <c r="B650" s="1117">
        <v>2012</v>
      </c>
      <c r="C650" s="1436" t="s">
        <v>36</v>
      </c>
      <c r="D650" s="1363" t="s">
        <v>37</v>
      </c>
      <c r="E650" s="1350" t="s">
        <v>2632</v>
      </c>
      <c r="F650" s="1437">
        <v>3710</v>
      </c>
      <c r="G650" s="1351">
        <v>12040002</v>
      </c>
      <c r="H650" s="1352">
        <v>7322</v>
      </c>
      <c r="I650" s="1353">
        <v>40981</v>
      </c>
      <c r="J650" s="1354">
        <v>70</v>
      </c>
      <c r="K650" s="1353">
        <f>+I650+J650</f>
        <v>41051</v>
      </c>
      <c r="L650" s="1353" t="s">
        <v>41</v>
      </c>
      <c r="M650" s="1353">
        <v>41044</v>
      </c>
      <c r="N650" s="1354">
        <f t="shared" si="88"/>
        <v>3</v>
      </c>
      <c r="O650" s="1439"/>
      <c r="P650" s="1421">
        <v>41054</v>
      </c>
      <c r="Q650" s="1440">
        <f t="shared" si="84"/>
        <v>41074</v>
      </c>
      <c r="R650" s="1354">
        <f t="shared" si="89"/>
        <v>93</v>
      </c>
      <c r="S650" s="1437" t="s">
        <v>2633</v>
      </c>
      <c r="T650" s="1378"/>
      <c r="U650" s="1358" t="str">
        <f t="shared" si="83"/>
        <v>atrasado</v>
      </c>
      <c r="V650" s="1130" t="str">
        <f t="shared" si="86"/>
        <v>Mayo</v>
      </c>
      <c r="W650" s="1128">
        <f t="shared" si="87"/>
        <v>0</v>
      </c>
    </row>
    <row r="651" spans="1:23" s="1321" customFormat="1" ht="57.6" customHeight="1" thickBot="1" x14ac:dyDescent="0.2">
      <c r="A651" s="1117">
        <v>2012</v>
      </c>
      <c r="B651" s="1117">
        <v>2012</v>
      </c>
      <c r="C651" s="1436" t="s">
        <v>36</v>
      </c>
      <c r="D651" s="1363" t="s">
        <v>133</v>
      </c>
      <c r="E651" s="1350" t="s">
        <v>2554</v>
      </c>
      <c r="F651" s="1367" t="s">
        <v>2555</v>
      </c>
      <c r="G651" s="1351">
        <v>4504490497</v>
      </c>
      <c r="H651" s="1352">
        <v>282986.58</v>
      </c>
      <c r="I651" s="1353">
        <v>40968</v>
      </c>
      <c r="J651" s="1354">
        <f t="shared" ref="J651:J683" si="90">+K651-I651</f>
        <v>92</v>
      </c>
      <c r="K651" s="1353">
        <v>41060</v>
      </c>
      <c r="L651" s="1353" t="s">
        <v>41</v>
      </c>
      <c r="M651" s="1353">
        <v>41058</v>
      </c>
      <c r="N651" s="1354">
        <f t="shared" si="88"/>
        <v>15</v>
      </c>
      <c r="O651" s="1427">
        <v>41065</v>
      </c>
      <c r="P651" s="1357">
        <v>41075</v>
      </c>
      <c r="Q651" s="1355">
        <v>41092</v>
      </c>
      <c r="R651" s="1354">
        <f t="shared" si="89"/>
        <v>124</v>
      </c>
      <c r="S651" s="1354" t="s">
        <v>2637</v>
      </c>
      <c r="T651" s="1378"/>
      <c r="U651" s="1358" t="str">
        <f t="shared" si="83"/>
        <v>atrasado</v>
      </c>
      <c r="V651" s="1130" t="str">
        <f t="shared" si="86"/>
        <v>Mayo</v>
      </c>
      <c r="W651" s="1128">
        <f t="shared" si="87"/>
        <v>0</v>
      </c>
    </row>
    <row r="652" spans="1:23" s="1321" customFormat="1" ht="57.6" customHeight="1" thickBot="1" x14ac:dyDescent="0.2">
      <c r="A652" s="1117">
        <v>2012</v>
      </c>
      <c r="B652" s="1117">
        <v>2012</v>
      </c>
      <c r="C652" s="1436" t="s">
        <v>36</v>
      </c>
      <c r="D652" s="1363" t="s">
        <v>37</v>
      </c>
      <c r="E652" s="1350" t="s">
        <v>2600</v>
      </c>
      <c r="F652" s="1358">
        <v>4504284854</v>
      </c>
      <c r="G652" s="1340">
        <v>12010004</v>
      </c>
      <c r="H652" s="1352">
        <v>31470</v>
      </c>
      <c r="I652" s="1353">
        <v>40854</v>
      </c>
      <c r="J652" s="1354">
        <f t="shared" si="90"/>
        <v>147</v>
      </c>
      <c r="K652" s="1353">
        <v>41001</v>
      </c>
      <c r="L652" s="1353" t="s">
        <v>41</v>
      </c>
      <c r="M652" s="1353">
        <v>41058</v>
      </c>
      <c r="N652" s="1354">
        <f t="shared" si="88"/>
        <v>74</v>
      </c>
      <c r="O652" s="1427">
        <v>41065</v>
      </c>
      <c r="P652" s="1357">
        <v>41075</v>
      </c>
      <c r="Q652" s="1438">
        <v>41092</v>
      </c>
      <c r="R652" s="1354">
        <f t="shared" si="89"/>
        <v>238</v>
      </c>
      <c r="S652" s="1354" t="s">
        <v>419</v>
      </c>
      <c r="T652" s="1378" t="s">
        <v>2640</v>
      </c>
      <c r="U652" s="1358" t="str">
        <f t="shared" si="83"/>
        <v>atrasado</v>
      </c>
      <c r="V652" s="1130" t="str">
        <f t="shared" si="86"/>
        <v>Mayo</v>
      </c>
      <c r="W652" s="1128">
        <f t="shared" si="87"/>
        <v>0</v>
      </c>
    </row>
    <row r="653" spans="1:23" s="1321" customFormat="1" ht="57.6" customHeight="1" thickBot="1" x14ac:dyDescent="0.2">
      <c r="A653" s="1117">
        <v>2012</v>
      </c>
      <c r="B653" s="1117">
        <v>2012</v>
      </c>
      <c r="C653" s="1436" t="s">
        <v>36</v>
      </c>
      <c r="D653" s="1363" t="s">
        <v>133</v>
      </c>
      <c r="E653" s="1350" t="s">
        <v>2554</v>
      </c>
      <c r="F653" s="1367" t="s">
        <v>2555</v>
      </c>
      <c r="G653" s="1351">
        <v>4504577513</v>
      </c>
      <c r="H653" s="1352">
        <v>4341.84</v>
      </c>
      <c r="I653" s="1353">
        <v>41017</v>
      </c>
      <c r="J653" s="1354">
        <f t="shared" si="90"/>
        <v>61</v>
      </c>
      <c r="K653" s="1353">
        <v>41078</v>
      </c>
      <c r="L653" s="1353" t="s">
        <v>41</v>
      </c>
      <c r="M653" s="1353">
        <v>41065</v>
      </c>
      <c r="N653" s="1354">
        <f t="shared" si="88"/>
        <v>-3</v>
      </c>
      <c r="O653" s="1427">
        <v>41072</v>
      </c>
      <c r="P653" s="1357">
        <v>41075</v>
      </c>
      <c r="Q653" s="1355">
        <v>41092</v>
      </c>
      <c r="R653" s="1354">
        <f t="shared" si="89"/>
        <v>75</v>
      </c>
      <c r="S653" s="1354" t="s">
        <v>53</v>
      </c>
      <c r="T653" s="1378"/>
      <c r="U653" s="1358" t="str">
        <f t="shared" si="83"/>
        <v>en término</v>
      </c>
      <c r="V653" s="1130" t="str">
        <f t="shared" si="86"/>
        <v>Junio</v>
      </c>
      <c r="W653" s="1128">
        <f t="shared" si="87"/>
        <v>1</v>
      </c>
    </row>
    <row r="654" spans="1:23" s="1321" customFormat="1" ht="57.6" customHeight="1" thickBot="1" x14ac:dyDescent="0.2">
      <c r="A654" s="1117">
        <v>2012</v>
      </c>
      <c r="B654" s="1117">
        <v>2012</v>
      </c>
      <c r="C654" s="1436" t="s">
        <v>36</v>
      </c>
      <c r="D654" s="1363" t="s">
        <v>133</v>
      </c>
      <c r="E654" s="1350" t="s">
        <v>2554</v>
      </c>
      <c r="F654" s="1367" t="s">
        <v>2555</v>
      </c>
      <c r="G654" s="1351">
        <v>4504477780</v>
      </c>
      <c r="H654" s="1352">
        <v>84014.65</v>
      </c>
      <c r="I654" s="1353">
        <v>40963</v>
      </c>
      <c r="J654" s="1354">
        <f t="shared" si="90"/>
        <v>102</v>
      </c>
      <c r="K654" s="1353">
        <v>41065</v>
      </c>
      <c r="L654" s="1353" t="s">
        <v>41</v>
      </c>
      <c r="M654" s="1353">
        <v>41065</v>
      </c>
      <c r="N654" s="1354">
        <f t="shared" si="88"/>
        <v>10</v>
      </c>
      <c r="O654" s="1427">
        <v>41072</v>
      </c>
      <c r="P654" s="1357">
        <v>41075</v>
      </c>
      <c r="Q654" s="1355">
        <v>41092</v>
      </c>
      <c r="R654" s="1354">
        <f t="shared" si="89"/>
        <v>129</v>
      </c>
      <c r="S654" s="1354" t="s">
        <v>2139</v>
      </c>
      <c r="T654" s="1378"/>
      <c r="U654" s="1358" t="str">
        <f t="shared" si="83"/>
        <v>atrasado</v>
      </c>
      <c r="V654" s="1130" t="str">
        <f t="shared" si="86"/>
        <v>Junio</v>
      </c>
      <c r="W654" s="1128">
        <f t="shared" si="87"/>
        <v>0</v>
      </c>
    </row>
    <row r="655" spans="1:23" s="1321" customFormat="1" ht="57.6" customHeight="1" thickBot="1" x14ac:dyDescent="0.2">
      <c r="A655" s="1117">
        <v>2012</v>
      </c>
      <c r="B655" s="1117">
        <v>2012</v>
      </c>
      <c r="C655" s="1436" t="s">
        <v>36</v>
      </c>
      <c r="D655" s="1363" t="s">
        <v>133</v>
      </c>
      <c r="E655" s="1350" t="s">
        <v>2554</v>
      </c>
      <c r="F655" s="1367" t="s">
        <v>2555</v>
      </c>
      <c r="G655" s="1351">
        <v>4504526736</v>
      </c>
      <c r="H655" s="1352">
        <v>53906.05</v>
      </c>
      <c r="I655" s="1353">
        <v>40990</v>
      </c>
      <c r="J655" s="1354">
        <f t="shared" si="90"/>
        <v>96</v>
      </c>
      <c r="K655" s="1353">
        <v>41086</v>
      </c>
      <c r="L655" s="1353" t="s">
        <v>41</v>
      </c>
      <c r="M655" s="1353">
        <v>41079</v>
      </c>
      <c r="N655" s="1354">
        <f t="shared" si="88"/>
        <v>3</v>
      </c>
      <c r="O655" s="1427">
        <v>41086</v>
      </c>
      <c r="P655" s="1357">
        <v>41089</v>
      </c>
      <c r="Q655" s="1355">
        <v>41106</v>
      </c>
      <c r="R655" s="1354">
        <f t="shared" si="89"/>
        <v>116</v>
      </c>
      <c r="S655" s="1354" t="s">
        <v>1832</v>
      </c>
      <c r="T655" s="1378"/>
      <c r="U655" s="1358" t="str">
        <f t="shared" si="83"/>
        <v>atrasado</v>
      </c>
      <c r="V655" s="1130" t="str">
        <f t="shared" si="86"/>
        <v>Junio</v>
      </c>
      <c r="W655" s="1128">
        <f t="shared" si="87"/>
        <v>0</v>
      </c>
    </row>
    <row r="656" spans="1:23" s="1321" customFormat="1" ht="57.6" customHeight="1" thickBot="1" x14ac:dyDescent="0.2">
      <c r="A656" s="1117">
        <v>2012</v>
      </c>
      <c r="B656" s="1117">
        <v>2012</v>
      </c>
      <c r="C656" s="1436" t="s">
        <v>36</v>
      </c>
      <c r="D656" s="1363" t="s">
        <v>133</v>
      </c>
      <c r="E656" s="1350" t="s">
        <v>2554</v>
      </c>
      <c r="F656" s="1367" t="s">
        <v>2555</v>
      </c>
      <c r="G656" s="1351">
        <v>4504529610</v>
      </c>
      <c r="H656" s="1352">
        <v>25533.65</v>
      </c>
      <c r="I656" s="1353">
        <v>40991</v>
      </c>
      <c r="J656" s="1354">
        <f t="shared" si="90"/>
        <v>90</v>
      </c>
      <c r="K656" s="1353">
        <v>41081</v>
      </c>
      <c r="L656" s="1353" t="s">
        <v>41</v>
      </c>
      <c r="M656" s="1353">
        <v>41065</v>
      </c>
      <c r="N656" s="1354">
        <f t="shared" si="88"/>
        <v>-6</v>
      </c>
      <c r="O656" s="1427">
        <v>41072</v>
      </c>
      <c r="P656" s="1357">
        <v>41075</v>
      </c>
      <c r="Q656" s="1355">
        <v>41092</v>
      </c>
      <c r="R656" s="1354">
        <f t="shared" si="89"/>
        <v>101</v>
      </c>
      <c r="S656" s="1354" t="s">
        <v>2648</v>
      </c>
      <c r="T656" s="1378"/>
      <c r="U656" s="1358" t="str">
        <f t="shared" si="83"/>
        <v>en término</v>
      </c>
      <c r="V656" s="1130" t="str">
        <f t="shared" si="86"/>
        <v>Junio</v>
      </c>
      <c r="W656" s="1128">
        <f t="shared" si="87"/>
        <v>1</v>
      </c>
    </row>
    <row r="657" spans="1:23" s="1321" customFormat="1" ht="57.6" customHeight="1" thickBot="1" x14ac:dyDescent="0.2">
      <c r="A657" s="1117">
        <v>2012</v>
      </c>
      <c r="B657" s="1117">
        <v>2012</v>
      </c>
      <c r="C657" s="1436" t="s">
        <v>36</v>
      </c>
      <c r="D657" s="1363" t="s">
        <v>133</v>
      </c>
      <c r="E657" s="1350" t="s">
        <v>2554</v>
      </c>
      <c r="F657" s="1367" t="s">
        <v>2555</v>
      </c>
      <c r="G657" s="1351">
        <v>4504537991</v>
      </c>
      <c r="H657" s="1352">
        <v>67109.95</v>
      </c>
      <c r="I657" s="1353">
        <v>40996</v>
      </c>
      <c r="J657" s="1354">
        <f t="shared" si="90"/>
        <v>91</v>
      </c>
      <c r="K657" s="1353">
        <v>41087</v>
      </c>
      <c r="L657" s="1353" t="s">
        <v>41</v>
      </c>
      <c r="M657" s="1353">
        <v>41079</v>
      </c>
      <c r="N657" s="1354">
        <f t="shared" si="88"/>
        <v>2</v>
      </c>
      <c r="O657" s="1427">
        <v>41086</v>
      </c>
      <c r="P657" s="1357">
        <v>41089</v>
      </c>
      <c r="Q657" s="1355">
        <v>41106</v>
      </c>
      <c r="R657" s="1354">
        <f t="shared" si="89"/>
        <v>110</v>
      </c>
      <c r="S657" s="1354" t="s">
        <v>955</v>
      </c>
      <c r="T657" s="1378"/>
      <c r="U657" s="1358" t="str">
        <f t="shared" si="83"/>
        <v>atrasado</v>
      </c>
      <c r="V657" s="1130" t="str">
        <f t="shared" si="86"/>
        <v>Junio</v>
      </c>
      <c r="W657" s="1128">
        <f t="shared" si="87"/>
        <v>0</v>
      </c>
    </row>
    <row r="658" spans="1:23" s="1321" customFormat="1" ht="57.6" customHeight="1" thickBot="1" x14ac:dyDescent="0.2">
      <c r="A658" s="1117">
        <v>2012</v>
      </c>
      <c r="B658" s="1117">
        <v>2012</v>
      </c>
      <c r="C658" s="1436" t="s">
        <v>36</v>
      </c>
      <c r="D658" s="1363" t="s">
        <v>133</v>
      </c>
      <c r="E658" s="1350" t="s">
        <v>2554</v>
      </c>
      <c r="F658" s="1367" t="s">
        <v>2555</v>
      </c>
      <c r="G658" s="1351">
        <v>4504520553</v>
      </c>
      <c r="H658" s="1352">
        <v>267532.28999999998</v>
      </c>
      <c r="I658" s="1353">
        <v>40987</v>
      </c>
      <c r="J658" s="1354">
        <f t="shared" si="90"/>
        <v>101</v>
      </c>
      <c r="K658" s="1353">
        <v>41088</v>
      </c>
      <c r="L658" s="1353" t="s">
        <v>41</v>
      </c>
      <c r="M658" s="1353">
        <v>41086</v>
      </c>
      <c r="N658" s="1354">
        <f t="shared" si="88"/>
        <v>7</v>
      </c>
      <c r="O658" s="1427">
        <v>41093</v>
      </c>
      <c r="P658" s="1357">
        <v>41095</v>
      </c>
      <c r="Q658" s="1355">
        <f>+P658+20</f>
        <v>41115</v>
      </c>
      <c r="R658" s="1354">
        <f t="shared" si="89"/>
        <v>128</v>
      </c>
      <c r="S658" s="1354" t="s">
        <v>2652</v>
      </c>
      <c r="T658" s="1378"/>
      <c r="U658" s="1358" t="str">
        <f t="shared" si="83"/>
        <v>atrasado</v>
      </c>
      <c r="V658" s="1130" t="str">
        <f t="shared" si="86"/>
        <v>Junio</v>
      </c>
      <c r="W658" s="1128">
        <f t="shared" si="87"/>
        <v>0</v>
      </c>
    </row>
    <row r="659" spans="1:23" s="1321" customFormat="1" ht="57.6" customHeight="1" thickBot="1" x14ac:dyDescent="0.2">
      <c r="A659" s="1117">
        <v>2012</v>
      </c>
      <c r="B659" s="1117">
        <v>2012</v>
      </c>
      <c r="C659" s="1436" t="s">
        <v>36</v>
      </c>
      <c r="D659" s="1363" t="s">
        <v>133</v>
      </c>
      <c r="E659" s="1350" t="s">
        <v>2554</v>
      </c>
      <c r="F659" s="1367" t="s">
        <v>2555</v>
      </c>
      <c r="G659" s="1351">
        <v>4504416314</v>
      </c>
      <c r="H659" s="1352">
        <v>38985.21</v>
      </c>
      <c r="I659" s="1353">
        <v>41004</v>
      </c>
      <c r="J659" s="1354">
        <f t="shared" si="90"/>
        <v>94</v>
      </c>
      <c r="K659" s="1353">
        <v>41098</v>
      </c>
      <c r="L659" s="1353" t="s">
        <v>41</v>
      </c>
      <c r="M659" s="1353">
        <v>41086</v>
      </c>
      <c r="N659" s="1354">
        <f t="shared" si="88"/>
        <v>-3</v>
      </c>
      <c r="O659" s="1427">
        <v>41093</v>
      </c>
      <c r="P659" s="1357">
        <v>41095</v>
      </c>
      <c r="Q659" s="1355">
        <f>+P659+20</f>
        <v>41115</v>
      </c>
      <c r="R659" s="1354">
        <f t="shared" si="89"/>
        <v>111</v>
      </c>
      <c r="S659" s="1354" t="s">
        <v>53</v>
      </c>
      <c r="T659" s="1378"/>
      <c r="U659" s="1358" t="str">
        <f t="shared" si="83"/>
        <v>en término</v>
      </c>
      <c r="V659" s="1130" t="str">
        <f t="shared" si="86"/>
        <v>Junio</v>
      </c>
      <c r="W659" s="1128">
        <f t="shared" si="87"/>
        <v>1</v>
      </c>
    </row>
    <row r="660" spans="1:23" s="1321" customFormat="1" ht="57.6" customHeight="1" thickBot="1" x14ac:dyDescent="0.2">
      <c r="A660" s="1117">
        <v>2012</v>
      </c>
      <c r="B660" s="1117">
        <v>2012</v>
      </c>
      <c r="C660" s="1436" t="s">
        <v>36</v>
      </c>
      <c r="D660" s="1363" t="s">
        <v>133</v>
      </c>
      <c r="E660" s="1350" t="s">
        <v>2554</v>
      </c>
      <c r="F660" s="1367" t="s">
        <v>2555</v>
      </c>
      <c r="G660" s="1351">
        <v>4504632674</v>
      </c>
      <c r="H660" s="1352">
        <v>119254.99</v>
      </c>
      <c r="I660" s="1353">
        <v>41045</v>
      </c>
      <c r="J660" s="1354">
        <f t="shared" si="90"/>
        <v>65</v>
      </c>
      <c r="K660" s="1353">
        <v>41110</v>
      </c>
      <c r="L660" s="1353" t="s">
        <v>41</v>
      </c>
      <c r="M660" s="1353">
        <v>41092</v>
      </c>
      <c r="N660" s="1354">
        <f t="shared" si="88"/>
        <v>-8</v>
      </c>
      <c r="O660" s="1427">
        <v>41100</v>
      </c>
      <c r="P660" s="1357">
        <v>41102</v>
      </c>
      <c r="Q660" s="1438">
        <v>41120</v>
      </c>
      <c r="R660" s="1354">
        <f t="shared" si="89"/>
        <v>75</v>
      </c>
      <c r="S660" s="1354" t="s">
        <v>2657</v>
      </c>
      <c r="T660" s="1378"/>
      <c r="U660" s="1358" t="str">
        <f t="shared" si="83"/>
        <v>en término</v>
      </c>
      <c r="V660" s="1130" t="str">
        <f t="shared" si="86"/>
        <v>Julio</v>
      </c>
      <c r="W660" s="1128">
        <f t="shared" si="87"/>
        <v>1</v>
      </c>
    </row>
    <row r="661" spans="1:23" s="1321" customFormat="1" ht="57.6" customHeight="1" thickBot="1" x14ac:dyDescent="0.2">
      <c r="A661" s="1117">
        <v>2012</v>
      </c>
      <c r="B661" s="1117">
        <v>2012</v>
      </c>
      <c r="C661" s="1436" t="s">
        <v>36</v>
      </c>
      <c r="D661" s="1363" t="s">
        <v>133</v>
      </c>
      <c r="E661" s="1350" t="s">
        <v>2554</v>
      </c>
      <c r="F661" s="1367" t="s">
        <v>2555</v>
      </c>
      <c r="G661" s="1351">
        <v>4504634287</v>
      </c>
      <c r="H661" s="1352">
        <v>4360.22</v>
      </c>
      <c r="I661" s="1353">
        <v>41046</v>
      </c>
      <c r="J661" s="1354">
        <f t="shared" si="90"/>
        <v>64</v>
      </c>
      <c r="K661" s="1353">
        <v>41110</v>
      </c>
      <c r="L661" s="1353" t="s">
        <v>41</v>
      </c>
      <c r="M661" s="1353">
        <v>41092</v>
      </c>
      <c r="N661" s="1354">
        <f t="shared" si="88"/>
        <v>-8</v>
      </c>
      <c r="O661" s="1427">
        <v>41100</v>
      </c>
      <c r="P661" s="1357">
        <v>41102</v>
      </c>
      <c r="Q661" s="1438">
        <v>41120</v>
      </c>
      <c r="R661" s="1354">
        <f t="shared" si="89"/>
        <v>74</v>
      </c>
      <c r="S661" s="1354" t="s">
        <v>53</v>
      </c>
      <c r="T661" s="1378"/>
      <c r="U661" s="1358" t="str">
        <f t="shared" si="83"/>
        <v>en término</v>
      </c>
      <c r="V661" s="1130" t="str">
        <f t="shared" si="86"/>
        <v>Julio</v>
      </c>
      <c r="W661" s="1128">
        <f t="shared" si="87"/>
        <v>1</v>
      </c>
    </row>
    <row r="662" spans="1:23" s="1321" customFormat="1" ht="57.6" customHeight="1" thickBot="1" x14ac:dyDescent="0.2">
      <c r="A662" s="1117">
        <v>2012</v>
      </c>
      <c r="B662" s="1117">
        <v>2012</v>
      </c>
      <c r="C662" s="1436" t="s">
        <v>36</v>
      </c>
      <c r="D662" s="1363" t="s">
        <v>133</v>
      </c>
      <c r="E662" s="1350" t="s">
        <v>2554</v>
      </c>
      <c r="F662" s="1367" t="s">
        <v>2555</v>
      </c>
      <c r="G662" s="1351">
        <v>4504562842</v>
      </c>
      <c r="H662" s="1352">
        <v>78397.19</v>
      </c>
      <c r="I662" s="1353">
        <v>41012</v>
      </c>
      <c r="J662" s="1354">
        <f t="shared" si="90"/>
        <v>90</v>
      </c>
      <c r="K662" s="1353">
        <v>41102</v>
      </c>
      <c r="L662" s="1353" t="s">
        <v>41</v>
      </c>
      <c r="M662" s="1353">
        <v>41092</v>
      </c>
      <c r="N662" s="1354">
        <f t="shared" si="88"/>
        <v>0</v>
      </c>
      <c r="O662" s="1427">
        <v>41100</v>
      </c>
      <c r="P662" s="1357">
        <v>41102</v>
      </c>
      <c r="Q662" s="1438">
        <v>41120</v>
      </c>
      <c r="R662" s="1354">
        <f t="shared" si="89"/>
        <v>108</v>
      </c>
      <c r="S662" s="1354" t="s">
        <v>2405</v>
      </c>
      <c r="T662" s="1378"/>
      <c r="U662" s="1358" t="str">
        <f t="shared" si="83"/>
        <v>en término</v>
      </c>
      <c r="V662" s="1130" t="str">
        <f t="shared" si="86"/>
        <v>Julio</v>
      </c>
      <c r="W662" s="1128">
        <f t="shared" si="87"/>
        <v>1</v>
      </c>
    </row>
    <row r="663" spans="1:23" s="1321" customFormat="1" ht="57.6" customHeight="1" thickBot="1" x14ac:dyDescent="0.2">
      <c r="A663" s="1117">
        <v>2012</v>
      </c>
      <c r="B663" s="1117">
        <v>2012</v>
      </c>
      <c r="C663" s="1436" t="s">
        <v>36</v>
      </c>
      <c r="D663" s="1363" t="s">
        <v>37</v>
      </c>
      <c r="E663" s="1350" t="s">
        <v>2663</v>
      </c>
      <c r="F663" s="1437" t="s">
        <v>2664</v>
      </c>
      <c r="G663" s="1351">
        <v>12050001</v>
      </c>
      <c r="H663" s="1352">
        <v>43550.8</v>
      </c>
      <c r="I663" s="1353">
        <v>41037</v>
      </c>
      <c r="J663" s="1354">
        <f t="shared" si="90"/>
        <v>77</v>
      </c>
      <c r="K663" s="1353">
        <v>41114</v>
      </c>
      <c r="L663" s="1353" t="s">
        <v>41</v>
      </c>
      <c r="M663" s="1353">
        <v>41100</v>
      </c>
      <c r="N663" s="1354">
        <f t="shared" si="88"/>
        <v>-4</v>
      </c>
      <c r="O663" s="1427"/>
      <c r="P663" s="1357">
        <v>41110</v>
      </c>
      <c r="Q663" s="1438">
        <f>+P663+25</f>
        <v>41135</v>
      </c>
      <c r="R663" s="1354">
        <f t="shared" si="89"/>
        <v>98</v>
      </c>
      <c r="S663" s="1437" t="s">
        <v>892</v>
      </c>
      <c r="T663" s="1378"/>
      <c r="U663" s="1358" t="str">
        <f t="shared" ref="U663:U687" si="91">IF(N663="","",IF(N663&lt;=0,"en término","atrasado"))</f>
        <v>en término</v>
      </c>
      <c r="V663" s="1130" t="str">
        <f t="shared" si="86"/>
        <v>Julio</v>
      </c>
      <c r="W663" s="1128">
        <f t="shared" si="87"/>
        <v>1</v>
      </c>
    </row>
    <row r="664" spans="1:23" s="1321" customFormat="1" ht="57.6" customHeight="1" thickBot="1" x14ac:dyDescent="0.2">
      <c r="A664" s="1117">
        <v>2012</v>
      </c>
      <c r="B664" s="1117">
        <v>2012</v>
      </c>
      <c r="C664" s="1436" t="s">
        <v>36</v>
      </c>
      <c r="D664" s="1363" t="s">
        <v>133</v>
      </c>
      <c r="E664" s="1350" t="s">
        <v>2668</v>
      </c>
      <c r="F664" s="1367" t="s">
        <v>2669</v>
      </c>
      <c r="G664" s="1351">
        <v>4504595983</v>
      </c>
      <c r="H664" s="1352">
        <v>41280</v>
      </c>
      <c r="I664" s="1353">
        <v>41026</v>
      </c>
      <c r="J664" s="1354">
        <f t="shared" si="90"/>
        <v>85</v>
      </c>
      <c r="K664" s="1353">
        <v>41111</v>
      </c>
      <c r="L664" s="1353" t="s">
        <v>41</v>
      </c>
      <c r="M664" s="1353">
        <v>41100</v>
      </c>
      <c r="N664" s="1354">
        <f t="shared" si="88"/>
        <v>-1</v>
      </c>
      <c r="O664" s="1427"/>
      <c r="P664" s="1357">
        <v>41110</v>
      </c>
      <c r="Q664" s="1438">
        <f>+P664+25</f>
        <v>41135</v>
      </c>
      <c r="R664" s="1354">
        <f t="shared" si="89"/>
        <v>109</v>
      </c>
      <c r="S664" s="1354" t="s">
        <v>2670</v>
      </c>
      <c r="T664" s="1378"/>
      <c r="U664" s="1358" t="str">
        <f t="shared" si="91"/>
        <v>en término</v>
      </c>
      <c r="V664" s="1130" t="str">
        <f t="shared" si="86"/>
        <v>Julio</v>
      </c>
      <c r="W664" s="1128">
        <f t="shared" si="87"/>
        <v>1</v>
      </c>
    </row>
    <row r="665" spans="1:23" s="1321" customFormat="1" ht="57.6" customHeight="1" thickBot="1" x14ac:dyDescent="0.2">
      <c r="A665" s="1117">
        <v>2012</v>
      </c>
      <c r="B665" s="1117">
        <v>2012</v>
      </c>
      <c r="C665" s="1436" t="s">
        <v>36</v>
      </c>
      <c r="D665" s="1363" t="s">
        <v>133</v>
      </c>
      <c r="E665" s="1350" t="s">
        <v>2554</v>
      </c>
      <c r="F665" s="1367" t="s">
        <v>2555</v>
      </c>
      <c r="G665" s="1351">
        <v>4504626554</v>
      </c>
      <c r="H665" s="1352">
        <v>96264.43</v>
      </c>
      <c r="I665" s="1353">
        <v>41043</v>
      </c>
      <c r="J665" s="1354">
        <f t="shared" si="90"/>
        <v>97</v>
      </c>
      <c r="K665" s="1353">
        <v>41140</v>
      </c>
      <c r="L665" s="1353" t="s">
        <v>41</v>
      </c>
      <c r="M665" s="1353">
        <v>41121</v>
      </c>
      <c r="N665" s="1354">
        <f t="shared" si="88"/>
        <v>-6</v>
      </c>
      <c r="O665" s="1427">
        <v>41128</v>
      </c>
      <c r="P665" s="1438">
        <v>41134</v>
      </c>
      <c r="Q665" s="1438">
        <v>41148</v>
      </c>
      <c r="R665" s="1354">
        <f t="shared" si="89"/>
        <v>105</v>
      </c>
      <c r="S665" s="1354" t="s">
        <v>1387</v>
      </c>
      <c r="T665" s="1378"/>
      <c r="U665" s="1358" t="str">
        <f t="shared" si="91"/>
        <v>en término</v>
      </c>
      <c r="V665" s="1130" t="str">
        <f t="shared" si="86"/>
        <v>Julio</v>
      </c>
      <c r="W665" s="1128">
        <f t="shared" si="87"/>
        <v>1</v>
      </c>
    </row>
    <row r="666" spans="1:23" s="1321" customFormat="1" ht="57.6" customHeight="1" thickBot="1" x14ac:dyDescent="0.2">
      <c r="A666" s="1117">
        <v>2012</v>
      </c>
      <c r="B666" s="1117">
        <v>2012</v>
      </c>
      <c r="C666" s="1436" t="s">
        <v>36</v>
      </c>
      <c r="D666" s="1363" t="s">
        <v>133</v>
      </c>
      <c r="E666" s="1350" t="s">
        <v>2554</v>
      </c>
      <c r="F666" s="1367" t="s">
        <v>2555</v>
      </c>
      <c r="G666" s="1351">
        <v>4504686764</v>
      </c>
      <c r="H666" s="1352">
        <v>131464.23000000001</v>
      </c>
      <c r="I666" s="1353">
        <v>41072</v>
      </c>
      <c r="J666" s="1354">
        <f t="shared" si="90"/>
        <v>63</v>
      </c>
      <c r="K666" s="1353">
        <v>41135</v>
      </c>
      <c r="L666" s="1353" t="s">
        <v>41</v>
      </c>
      <c r="M666" s="1353">
        <v>41121</v>
      </c>
      <c r="N666" s="1354">
        <f t="shared" si="88"/>
        <v>-1</v>
      </c>
      <c r="O666" s="1427">
        <v>41128</v>
      </c>
      <c r="P666" s="1438">
        <v>41134</v>
      </c>
      <c r="Q666" s="1438">
        <v>41148</v>
      </c>
      <c r="R666" s="1354">
        <f t="shared" si="89"/>
        <v>76</v>
      </c>
      <c r="S666" s="1354" t="s">
        <v>2657</v>
      </c>
      <c r="T666" s="1378"/>
      <c r="U666" s="1358" t="str">
        <f t="shared" si="91"/>
        <v>en término</v>
      </c>
      <c r="V666" s="1130" t="str">
        <f t="shared" si="86"/>
        <v>Julio</v>
      </c>
      <c r="W666" s="1128">
        <f t="shared" si="87"/>
        <v>1</v>
      </c>
    </row>
    <row r="667" spans="1:23" s="1321" customFormat="1" ht="57.6" customHeight="1" thickBot="1" x14ac:dyDescent="0.2">
      <c r="A667" s="1117">
        <v>2012</v>
      </c>
      <c r="B667" s="1117">
        <v>2012</v>
      </c>
      <c r="C667" s="1436" t="s">
        <v>36</v>
      </c>
      <c r="D667" s="1363" t="s">
        <v>133</v>
      </c>
      <c r="E667" s="1350" t="s">
        <v>2554</v>
      </c>
      <c r="F667" s="1367" t="s">
        <v>2555</v>
      </c>
      <c r="G667" s="1351">
        <v>4504688123</v>
      </c>
      <c r="H667" s="1352">
        <v>3837.04</v>
      </c>
      <c r="I667" s="1353">
        <v>41073</v>
      </c>
      <c r="J667" s="1354">
        <f t="shared" si="90"/>
        <v>62</v>
      </c>
      <c r="K667" s="1353">
        <v>41135</v>
      </c>
      <c r="L667" s="1353" t="s">
        <v>41</v>
      </c>
      <c r="M667" s="1353">
        <v>41121</v>
      </c>
      <c r="N667" s="1354">
        <f t="shared" si="88"/>
        <v>-1</v>
      </c>
      <c r="O667" s="1427">
        <v>41128</v>
      </c>
      <c r="P667" s="1438">
        <v>41134</v>
      </c>
      <c r="Q667" s="1438">
        <v>41148</v>
      </c>
      <c r="R667" s="1354">
        <f t="shared" si="89"/>
        <v>75</v>
      </c>
      <c r="S667" s="1354" t="s">
        <v>53</v>
      </c>
      <c r="T667" s="1378"/>
      <c r="U667" s="1358" t="str">
        <f t="shared" si="91"/>
        <v>en término</v>
      </c>
      <c r="V667" s="1130" t="str">
        <f t="shared" si="86"/>
        <v>Julio</v>
      </c>
      <c r="W667" s="1128">
        <f t="shared" si="87"/>
        <v>1</v>
      </c>
    </row>
    <row r="668" spans="1:23" s="1321" customFormat="1" ht="57.6" customHeight="1" thickBot="1" x14ac:dyDescent="0.2">
      <c r="A668" s="1117">
        <v>2012</v>
      </c>
      <c r="B668" s="1117">
        <v>2012</v>
      </c>
      <c r="C668" s="1436" t="s">
        <v>36</v>
      </c>
      <c r="D668" s="1363" t="s">
        <v>133</v>
      </c>
      <c r="E668" s="1350" t="s">
        <v>2554</v>
      </c>
      <c r="F668" s="1367" t="s">
        <v>2555</v>
      </c>
      <c r="G668" s="1340">
        <v>4504638657</v>
      </c>
      <c r="H668" s="1341">
        <v>131689.13</v>
      </c>
      <c r="I668" s="1353">
        <v>41050</v>
      </c>
      <c r="J668" s="1354">
        <f t="shared" si="90"/>
        <v>95</v>
      </c>
      <c r="K668" s="1353">
        <v>41145</v>
      </c>
      <c r="L668" s="1353" t="s">
        <v>41</v>
      </c>
      <c r="M668" s="1353">
        <v>41134</v>
      </c>
      <c r="N668" s="1354">
        <f t="shared" si="88"/>
        <v>-1</v>
      </c>
      <c r="O668" s="1427">
        <v>41142</v>
      </c>
      <c r="P668" s="1438">
        <v>41144</v>
      </c>
      <c r="Q668" s="1438">
        <v>41162</v>
      </c>
      <c r="R668" s="1354">
        <f t="shared" si="89"/>
        <v>112</v>
      </c>
      <c r="S668" s="1354" t="s">
        <v>6356</v>
      </c>
      <c r="T668" s="1378"/>
      <c r="U668" s="1358" t="str">
        <f t="shared" si="91"/>
        <v>en término</v>
      </c>
      <c r="V668" s="1130" t="str">
        <f t="shared" si="86"/>
        <v>Agosto</v>
      </c>
      <c r="W668" s="1128">
        <f t="shared" si="87"/>
        <v>1</v>
      </c>
    </row>
    <row r="669" spans="1:23" s="1321" customFormat="1" ht="57.6" customHeight="1" thickBot="1" x14ac:dyDescent="0.2">
      <c r="A669" s="1117">
        <v>2012</v>
      </c>
      <c r="B669" s="1117">
        <v>2012</v>
      </c>
      <c r="C669" s="1436" t="s">
        <v>36</v>
      </c>
      <c r="D669" s="1363" t="s">
        <v>133</v>
      </c>
      <c r="E669" s="1350" t="s">
        <v>2554</v>
      </c>
      <c r="F669" s="1367" t="s">
        <v>2555</v>
      </c>
      <c r="G669" s="1351">
        <v>4504602618</v>
      </c>
      <c r="H669" s="1352">
        <v>335577.2</v>
      </c>
      <c r="I669" s="1353">
        <v>41029</v>
      </c>
      <c r="J669" s="1354">
        <f t="shared" si="90"/>
        <v>121</v>
      </c>
      <c r="K669" s="1353">
        <v>41150</v>
      </c>
      <c r="L669" s="1353" t="s">
        <v>41</v>
      </c>
      <c r="M669" s="1353">
        <v>41134</v>
      </c>
      <c r="N669" s="1354">
        <f t="shared" si="88"/>
        <v>-6</v>
      </c>
      <c r="O669" s="1427">
        <v>41142</v>
      </c>
      <c r="P669" s="1438">
        <v>41144</v>
      </c>
      <c r="Q669" s="1438">
        <v>41162</v>
      </c>
      <c r="R669" s="1354">
        <f t="shared" si="89"/>
        <v>133</v>
      </c>
      <c r="S669" s="1354" t="s">
        <v>2681</v>
      </c>
      <c r="T669" s="1378"/>
      <c r="U669" s="1358" t="str">
        <f t="shared" si="91"/>
        <v>en término</v>
      </c>
      <c r="V669" s="1130" t="str">
        <f t="shared" si="86"/>
        <v>Agosto</v>
      </c>
      <c r="W669" s="1128">
        <f t="shared" si="87"/>
        <v>1</v>
      </c>
    </row>
    <row r="670" spans="1:23" s="1321" customFormat="1" ht="57.6" customHeight="1" thickBot="1" x14ac:dyDescent="0.2">
      <c r="A670" s="1117">
        <v>2012</v>
      </c>
      <c r="B670" s="1117">
        <v>2012</v>
      </c>
      <c r="C670" s="1436" t="s">
        <v>36</v>
      </c>
      <c r="D670" s="1363" t="s">
        <v>133</v>
      </c>
      <c r="E670" s="1350" t="s">
        <v>2668</v>
      </c>
      <c r="F670" s="1367" t="s">
        <v>2669</v>
      </c>
      <c r="G670" s="1351">
        <v>4504684963</v>
      </c>
      <c r="H670" s="1352">
        <v>13760</v>
      </c>
      <c r="I670" s="1353">
        <v>41072</v>
      </c>
      <c r="J670" s="1354">
        <f t="shared" si="90"/>
        <v>72</v>
      </c>
      <c r="K670" s="1353">
        <v>41144</v>
      </c>
      <c r="L670" s="1353" t="s">
        <v>41</v>
      </c>
      <c r="M670" s="1353">
        <v>41134</v>
      </c>
      <c r="N670" s="1354">
        <f t="shared" si="88"/>
        <v>0</v>
      </c>
      <c r="O670" s="1427">
        <v>41142</v>
      </c>
      <c r="P670" s="1438">
        <v>41144</v>
      </c>
      <c r="Q670" s="1438">
        <v>41162</v>
      </c>
      <c r="R670" s="1354">
        <f t="shared" si="89"/>
        <v>90</v>
      </c>
      <c r="S670" s="1354" t="s">
        <v>2683</v>
      </c>
      <c r="T670" s="1378"/>
      <c r="U670" s="1358" t="str">
        <f t="shared" si="91"/>
        <v>en término</v>
      </c>
      <c r="V670" s="1130" t="str">
        <f t="shared" si="86"/>
        <v>Agosto</v>
      </c>
      <c r="W670" s="1128">
        <f t="shared" si="87"/>
        <v>1</v>
      </c>
    </row>
    <row r="671" spans="1:23" s="1321" customFormat="1" ht="57.6" customHeight="1" thickBot="1" x14ac:dyDescent="0.2">
      <c r="A671" s="1117">
        <v>2012</v>
      </c>
      <c r="B671" s="1117">
        <v>2012</v>
      </c>
      <c r="C671" s="1436" t="s">
        <v>36</v>
      </c>
      <c r="D671" s="1363" t="s">
        <v>133</v>
      </c>
      <c r="E671" s="1350" t="s">
        <v>2686</v>
      </c>
      <c r="F671" s="1367" t="s">
        <v>2687</v>
      </c>
      <c r="G671" s="1351">
        <v>4504599619</v>
      </c>
      <c r="H671" s="1352">
        <v>41502.31</v>
      </c>
      <c r="I671" s="1353">
        <v>41026</v>
      </c>
      <c r="J671" s="1354">
        <f t="shared" si="90"/>
        <v>102</v>
      </c>
      <c r="K671" s="1353">
        <v>41128</v>
      </c>
      <c r="L671" s="1353" t="s">
        <v>41</v>
      </c>
      <c r="M671" s="1353">
        <v>41134</v>
      </c>
      <c r="N671" s="1354">
        <f t="shared" si="88"/>
        <v>16</v>
      </c>
      <c r="O671" s="1427">
        <v>41142</v>
      </c>
      <c r="P671" s="1438">
        <v>41144</v>
      </c>
      <c r="Q671" s="1355">
        <v>41162</v>
      </c>
      <c r="R671" s="1354">
        <f t="shared" si="89"/>
        <v>136</v>
      </c>
      <c r="S671" s="1354" t="s">
        <v>53</v>
      </c>
      <c r="T671" s="1378"/>
      <c r="U671" s="1358" t="str">
        <f t="shared" si="91"/>
        <v>atrasado</v>
      </c>
      <c r="V671" s="1130" t="str">
        <f t="shared" si="86"/>
        <v>Agosto</v>
      </c>
      <c r="W671" s="1128">
        <f t="shared" si="87"/>
        <v>0</v>
      </c>
    </row>
    <row r="672" spans="1:23" s="1321" customFormat="1" ht="57.6" customHeight="1" thickBot="1" x14ac:dyDescent="0.2">
      <c r="A672" s="1117">
        <v>2012</v>
      </c>
      <c r="B672" s="1117">
        <v>2012</v>
      </c>
      <c r="C672" s="1436" t="s">
        <v>36</v>
      </c>
      <c r="D672" s="1363" t="s">
        <v>133</v>
      </c>
      <c r="E672" s="1350" t="s">
        <v>2668</v>
      </c>
      <c r="F672" s="1367" t="s">
        <v>2669</v>
      </c>
      <c r="G672" s="1351">
        <v>4504744514</v>
      </c>
      <c r="H672" s="1352">
        <v>13760</v>
      </c>
      <c r="I672" s="1353">
        <v>41102</v>
      </c>
      <c r="J672" s="1354">
        <f t="shared" si="90"/>
        <v>71</v>
      </c>
      <c r="K672" s="1353">
        <v>41173</v>
      </c>
      <c r="L672" s="1353" t="s">
        <v>41</v>
      </c>
      <c r="M672" s="1353">
        <v>41156</v>
      </c>
      <c r="N672" s="1354">
        <f t="shared" si="88"/>
        <v>-3</v>
      </c>
      <c r="O672" s="1427">
        <v>41165</v>
      </c>
      <c r="P672" s="1438">
        <v>41170</v>
      </c>
      <c r="Q672" s="1438">
        <v>41182</v>
      </c>
      <c r="R672" s="1354">
        <f t="shared" si="89"/>
        <v>80</v>
      </c>
      <c r="S672" s="1354" t="s">
        <v>2683</v>
      </c>
      <c r="T672" s="1378"/>
      <c r="U672" s="1358" t="str">
        <f t="shared" si="91"/>
        <v>en término</v>
      </c>
      <c r="V672" s="1130" t="str">
        <f t="shared" si="86"/>
        <v>Septiembre</v>
      </c>
      <c r="W672" s="1128">
        <f t="shared" si="87"/>
        <v>1</v>
      </c>
    </row>
    <row r="673" spans="1:23" s="1321" customFormat="1" ht="57.6" customHeight="1" thickBot="1" x14ac:dyDescent="0.2">
      <c r="A673" s="1117">
        <v>2012</v>
      </c>
      <c r="B673" s="1117">
        <v>2012</v>
      </c>
      <c r="C673" s="1436" t="s">
        <v>36</v>
      </c>
      <c r="D673" s="1363" t="s">
        <v>133</v>
      </c>
      <c r="E673" s="1350" t="s">
        <v>2686</v>
      </c>
      <c r="F673" s="1367" t="s">
        <v>2687</v>
      </c>
      <c r="G673" s="1351">
        <v>4504688111</v>
      </c>
      <c r="H673" s="1352">
        <v>21919.05</v>
      </c>
      <c r="I673" s="1353">
        <v>41073</v>
      </c>
      <c r="J673" s="1354">
        <f t="shared" si="90"/>
        <v>92</v>
      </c>
      <c r="K673" s="1353">
        <v>41165</v>
      </c>
      <c r="L673" s="1353" t="s">
        <v>41</v>
      </c>
      <c r="M673" s="1353">
        <v>41156</v>
      </c>
      <c r="N673" s="1354">
        <f t="shared" si="88"/>
        <v>5</v>
      </c>
      <c r="O673" s="1427">
        <v>41165</v>
      </c>
      <c r="P673" s="1438">
        <v>41170</v>
      </c>
      <c r="Q673" s="1355">
        <v>41182</v>
      </c>
      <c r="R673" s="1354">
        <f t="shared" si="89"/>
        <v>109</v>
      </c>
      <c r="S673" s="1354" t="s">
        <v>53</v>
      </c>
      <c r="T673" s="1378"/>
      <c r="U673" s="1358" t="str">
        <f t="shared" si="91"/>
        <v>atrasado</v>
      </c>
      <c r="V673" s="1130" t="str">
        <f t="shared" si="86"/>
        <v>Septiembre</v>
      </c>
      <c r="W673" s="1128">
        <f t="shared" si="87"/>
        <v>0</v>
      </c>
    </row>
    <row r="674" spans="1:23" s="1321" customFormat="1" ht="57.6" customHeight="1" thickBot="1" x14ac:dyDescent="0.2">
      <c r="A674" s="1117">
        <v>2012</v>
      </c>
      <c r="B674" s="1117">
        <v>2012</v>
      </c>
      <c r="C674" s="1436" t="s">
        <v>36</v>
      </c>
      <c r="D674" s="1363" t="s">
        <v>133</v>
      </c>
      <c r="E674" s="1350" t="s">
        <v>2554</v>
      </c>
      <c r="F674" s="1367" t="s">
        <v>2555</v>
      </c>
      <c r="G674" s="1351">
        <v>4504741736</v>
      </c>
      <c r="H674" s="1352">
        <v>99520.35</v>
      </c>
      <c r="I674" s="1353">
        <v>41101</v>
      </c>
      <c r="J674" s="1354">
        <f t="shared" si="90"/>
        <v>62</v>
      </c>
      <c r="K674" s="1353">
        <v>41163</v>
      </c>
      <c r="L674" s="1353" t="s">
        <v>41</v>
      </c>
      <c r="M674" s="1353">
        <v>41156</v>
      </c>
      <c r="N674" s="1354">
        <f t="shared" si="88"/>
        <v>7</v>
      </c>
      <c r="O674" s="1427">
        <v>41165</v>
      </c>
      <c r="P674" s="1438">
        <v>41170</v>
      </c>
      <c r="Q674" s="1355">
        <v>41182</v>
      </c>
      <c r="R674" s="1354">
        <f t="shared" si="89"/>
        <v>81</v>
      </c>
      <c r="S674" s="1354" t="s">
        <v>1307</v>
      </c>
      <c r="T674" s="1378"/>
      <c r="U674" s="1358" t="str">
        <f t="shared" si="91"/>
        <v>atrasado</v>
      </c>
      <c r="V674" s="1130" t="str">
        <f t="shared" si="86"/>
        <v>Septiembre</v>
      </c>
      <c r="W674" s="1128">
        <f t="shared" si="87"/>
        <v>0</v>
      </c>
    </row>
    <row r="675" spans="1:23" s="1321" customFormat="1" ht="57.6" customHeight="1" thickBot="1" x14ac:dyDescent="0.2">
      <c r="A675" s="1117">
        <v>2012</v>
      </c>
      <c r="B675" s="1117">
        <v>2012</v>
      </c>
      <c r="C675" s="1436" t="s">
        <v>36</v>
      </c>
      <c r="D675" s="1363" t="s">
        <v>133</v>
      </c>
      <c r="E675" s="1350" t="s">
        <v>2554</v>
      </c>
      <c r="F675" s="1367" t="s">
        <v>2555</v>
      </c>
      <c r="G675" s="1351">
        <v>4504747839</v>
      </c>
      <c r="H675" s="1352">
        <v>4752.12</v>
      </c>
      <c r="I675" s="1353">
        <v>41103</v>
      </c>
      <c r="J675" s="1354">
        <f t="shared" si="90"/>
        <v>63</v>
      </c>
      <c r="K675" s="1353">
        <v>41166</v>
      </c>
      <c r="L675" s="1353" t="s">
        <v>41</v>
      </c>
      <c r="M675" s="1353">
        <v>41156</v>
      </c>
      <c r="N675" s="1354">
        <f t="shared" si="88"/>
        <v>4</v>
      </c>
      <c r="O675" s="1427">
        <v>41165</v>
      </c>
      <c r="P675" s="1438">
        <v>41170</v>
      </c>
      <c r="Q675" s="1355">
        <v>41182</v>
      </c>
      <c r="R675" s="1354">
        <f t="shared" si="89"/>
        <v>79</v>
      </c>
      <c r="S675" s="1354" t="s">
        <v>53</v>
      </c>
      <c r="T675" s="1378"/>
      <c r="U675" s="1358" t="str">
        <f t="shared" si="91"/>
        <v>atrasado</v>
      </c>
      <c r="V675" s="1130" t="str">
        <f t="shared" si="86"/>
        <v>Septiembre</v>
      </c>
      <c r="W675" s="1128">
        <f t="shared" si="87"/>
        <v>0</v>
      </c>
    </row>
    <row r="676" spans="1:23" s="1321" customFormat="1" ht="57.6" customHeight="1" thickBot="1" x14ac:dyDescent="0.2">
      <c r="A676" s="1117">
        <v>2012</v>
      </c>
      <c r="B676" s="1117">
        <v>2012</v>
      </c>
      <c r="C676" s="1436" t="s">
        <v>36</v>
      </c>
      <c r="D676" s="1363" t="s">
        <v>133</v>
      </c>
      <c r="E676" s="1350" t="s">
        <v>2686</v>
      </c>
      <c r="F676" s="1367" t="s">
        <v>2555</v>
      </c>
      <c r="G676" s="1351">
        <v>4504709231</v>
      </c>
      <c r="H676" s="1352">
        <v>275919.86</v>
      </c>
      <c r="I676" s="1353">
        <v>41086</v>
      </c>
      <c r="J676" s="1354">
        <f t="shared" si="90"/>
        <v>91</v>
      </c>
      <c r="K676" s="1353">
        <v>41177</v>
      </c>
      <c r="L676" s="1353" t="s">
        <v>41</v>
      </c>
      <c r="M676" s="1353">
        <v>41170</v>
      </c>
      <c r="N676" s="1354">
        <f t="shared" si="88"/>
        <v>3</v>
      </c>
      <c r="O676" s="1427">
        <v>41177</v>
      </c>
      <c r="P676" s="1438">
        <v>41180</v>
      </c>
      <c r="Q676" s="1438">
        <v>41197</v>
      </c>
      <c r="R676" s="1354">
        <f t="shared" si="89"/>
        <v>111</v>
      </c>
      <c r="S676" s="1354" t="s">
        <v>2702</v>
      </c>
      <c r="T676" s="1378" t="s">
        <v>2704</v>
      </c>
      <c r="U676" s="1358" t="str">
        <f t="shared" si="91"/>
        <v>atrasado</v>
      </c>
      <c r="V676" s="1130" t="str">
        <f t="shared" si="86"/>
        <v>Septiembre</v>
      </c>
      <c r="W676" s="1128">
        <f t="shared" si="87"/>
        <v>0</v>
      </c>
    </row>
    <row r="677" spans="1:23" s="1321" customFormat="1" ht="57.6" customHeight="1" thickBot="1" x14ac:dyDescent="0.2">
      <c r="A677" s="1117">
        <v>2012</v>
      </c>
      <c r="B677" s="1117">
        <v>2012</v>
      </c>
      <c r="C677" s="1436" t="s">
        <v>36</v>
      </c>
      <c r="D677" s="1363" t="s">
        <v>133</v>
      </c>
      <c r="E677" s="1350" t="s">
        <v>2554</v>
      </c>
      <c r="F677" s="1367" t="s">
        <v>2555</v>
      </c>
      <c r="G677" s="1351">
        <v>4504701133</v>
      </c>
      <c r="H677" s="1352">
        <v>169793.25</v>
      </c>
      <c r="I677" s="1353">
        <v>41081</v>
      </c>
      <c r="J677" s="1354">
        <f t="shared" si="90"/>
        <v>99</v>
      </c>
      <c r="K677" s="1353">
        <v>41180</v>
      </c>
      <c r="L677" s="1353" t="s">
        <v>41</v>
      </c>
      <c r="M677" s="1353">
        <v>41170</v>
      </c>
      <c r="N677" s="1354">
        <f t="shared" si="88"/>
        <v>0</v>
      </c>
      <c r="O677" s="1427">
        <v>41177</v>
      </c>
      <c r="P677" s="1438">
        <v>41180</v>
      </c>
      <c r="Q677" s="1355">
        <v>41197</v>
      </c>
      <c r="R677" s="1354">
        <f t="shared" si="89"/>
        <v>116</v>
      </c>
      <c r="S677" s="1354" t="s">
        <v>2705</v>
      </c>
      <c r="T677" s="1378" t="s">
        <v>2699</v>
      </c>
      <c r="U677" s="1358" t="str">
        <f t="shared" si="91"/>
        <v>en término</v>
      </c>
      <c r="V677" s="1130" t="str">
        <f t="shared" si="86"/>
        <v>Septiembre</v>
      </c>
      <c r="W677" s="1128">
        <f t="shared" si="87"/>
        <v>1</v>
      </c>
    </row>
    <row r="678" spans="1:23" s="1321" customFormat="1" ht="57.6" customHeight="1" thickBot="1" x14ac:dyDescent="0.2">
      <c r="A678" s="1117">
        <v>2012</v>
      </c>
      <c r="B678" s="1117">
        <v>2012</v>
      </c>
      <c r="C678" s="1436" t="s">
        <v>36</v>
      </c>
      <c r="D678" s="1363" t="s">
        <v>133</v>
      </c>
      <c r="E678" s="1350" t="s">
        <v>2554</v>
      </c>
      <c r="F678" s="1367" t="s">
        <v>2555</v>
      </c>
      <c r="G678" s="1351">
        <v>4504800893</v>
      </c>
      <c r="H678" s="1352">
        <v>57152.2</v>
      </c>
      <c r="I678" s="1353">
        <v>41130</v>
      </c>
      <c r="J678" s="1354">
        <f t="shared" si="90"/>
        <v>67</v>
      </c>
      <c r="K678" s="1353">
        <v>41197</v>
      </c>
      <c r="L678" s="1353" t="s">
        <v>41</v>
      </c>
      <c r="M678" s="1353">
        <v>41184</v>
      </c>
      <c r="N678" s="1354">
        <f t="shared" si="88"/>
        <v>-3</v>
      </c>
      <c r="O678" s="1427">
        <v>41191</v>
      </c>
      <c r="P678" s="1438">
        <v>41194</v>
      </c>
      <c r="Q678" s="1355">
        <v>41211</v>
      </c>
      <c r="R678" s="1354">
        <f t="shared" si="89"/>
        <v>81</v>
      </c>
      <c r="S678" s="1354" t="s">
        <v>955</v>
      </c>
      <c r="T678" s="1378"/>
      <c r="U678" s="1358" t="str">
        <f t="shared" si="91"/>
        <v>en término</v>
      </c>
      <c r="V678" s="1130" t="str">
        <f t="shared" si="86"/>
        <v>Octubre</v>
      </c>
      <c r="W678" s="1128">
        <f t="shared" si="87"/>
        <v>1</v>
      </c>
    </row>
    <row r="679" spans="1:23" s="1321" customFormat="1" ht="57.6" customHeight="1" thickBot="1" x14ac:dyDescent="0.2">
      <c r="A679" s="1117">
        <v>2012</v>
      </c>
      <c r="B679" s="1117">
        <v>2012</v>
      </c>
      <c r="C679" s="1436" t="s">
        <v>36</v>
      </c>
      <c r="D679" s="1363" t="s">
        <v>133</v>
      </c>
      <c r="E679" s="1350" t="s">
        <v>2554</v>
      </c>
      <c r="F679" s="1367" t="s">
        <v>2555</v>
      </c>
      <c r="G679" s="1351">
        <v>4504800897</v>
      </c>
      <c r="H679" s="1352">
        <v>4567.8100000000004</v>
      </c>
      <c r="I679" s="1353">
        <v>41130</v>
      </c>
      <c r="J679" s="1354">
        <f t="shared" si="90"/>
        <v>67</v>
      </c>
      <c r="K679" s="1353">
        <v>41197</v>
      </c>
      <c r="L679" s="1353" t="s">
        <v>41</v>
      </c>
      <c r="M679" s="1353">
        <v>41184</v>
      </c>
      <c r="N679" s="1354">
        <f t="shared" ref="N679:N687" si="92">IF(P679="","",+P679-K679)</f>
        <v>-3</v>
      </c>
      <c r="O679" s="1427">
        <v>41191</v>
      </c>
      <c r="P679" s="1438">
        <v>41194</v>
      </c>
      <c r="Q679" s="1355">
        <v>41211</v>
      </c>
      <c r="R679" s="1354">
        <f t="shared" si="89"/>
        <v>81</v>
      </c>
      <c r="S679" s="1354" t="s">
        <v>53</v>
      </c>
      <c r="T679" s="1378"/>
      <c r="U679" s="1358" t="str">
        <f t="shared" si="91"/>
        <v>en término</v>
      </c>
      <c r="V679" s="1130" t="str">
        <f t="shared" si="86"/>
        <v>Octubre</v>
      </c>
      <c r="W679" s="1128">
        <f t="shared" si="87"/>
        <v>1</v>
      </c>
    </row>
    <row r="680" spans="1:23" s="1321" customFormat="1" ht="57.6" customHeight="1" thickBot="1" x14ac:dyDescent="0.2">
      <c r="A680" s="1117">
        <v>2012</v>
      </c>
      <c r="B680" s="1117">
        <v>2012</v>
      </c>
      <c r="C680" s="1436" t="s">
        <v>36</v>
      </c>
      <c r="D680" s="1363" t="s">
        <v>133</v>
      </c>
      <c r="E680" s="1350" t="s">
        <v>2668</v>
      </c>
      <c r="F680" s="1367" t="s">
        <v>2669</v>
      </c>
      <c r="G680" s="1351">
        <v>4504801403</v>
      </c>
      <c r="H680" s="1352">
        <v>13760</v>
      </c>
      <c r="I680" s="1353">
        <v>41130</v>
      </c>
      <c r="J680" s="1354">
        <f t="shared" si="90"/>
        <v>74</v>
      </c>
      <c r="K680" s="1353">
        <v>41204</v>
      </c>
      <c r="L680" s="1353" t="s">
        <v>41</v>
      </c>
      <c r="M680" s="1353">
        <v>41184</v>
      </c>
      <c r="N680" s="1354">
        <f t="shared" si="92"/>
        <v>-10</v>
      </c>
      <c r="O680" s="1427">
        <v>41191</v>
      </c>
      <c r="P680" s="1438">
        <v>41194</v>
      </c>
      <c r="Q680" s="1355">
        <v>41211</v>
      </c>
      <c r="R680" s="1354">
        <f t="shared" si="89"/>
        <v>81</v>
      </c>
      <c r="S680" s="1354" t="s">
        <v>2683</v>
      </c>
      <c r="T680" s="1378"/>
      <c r="U680" s="1358" t="str">
        <f t="shared" si="91"/>
        <v>en término</v>
      </c>
      <c r="V680" s="1130" t="str">
        <f t="shared" si="86"/>
        <v>Octubre</v>
      </c>
      <c r="W680" s="1128">
        <f t="shared" si="87"/>
        <v>1</v>
      </c>
    </row>
    <row r="681" spans="1:23" s="1321" customFormat="1" ht="57.6" customHeight="1" thickBot="1" x14ac:dyDescent="0.2">
      <c r="A681" s="1117">
        <v>2012</v>
      </c>
      <c r="B681" s="1117">
        <v>2012</v>
      </c>
      <c r="C681" s="1436" t="s">
        <v>36</v>
      </c>
      <c r="D681" s="1363" t="s">
        <v>133</v>
      </c>
      <c r="E681" s="1350" t="s">
        <v>2554</v>
      </c>
      <c r="F681" s="1367" t="s">
        <v>2555</v>
      </c>
      <c r="G681" s="1351">
        <v>4504739652</v>
      </c>
      <c r="H681" s="1352">
        <v>199095.87</v>
      </c>
      <c r="I681" s="1353">
        <v>41100</v>
      </c>
      <c r="J681" s="1354">
        <f t="shared" si="90"/>
        <v>113</v>
      </c>
      <c r="K681" s="1353">
        <v>41213</v>
      </c>
      <c r="L681" s="1353" t="s">
        <v>41</v>
      </c>
      <c r="M681" s="1353">
        <v>41198</v>
      </c>
      <c r="N681" s="1354">
        <f t="shared" si="92"/>
        <v>-4</v>
      </c>
      <c r="O681" s="1427">
        <v>41205</v>
      </c>
      <c r="P681" s="1438">
        <v>41209</v>
      </c>
      <c r="Q681" s="1355">
        <v>41225</v>
      </c>
      <c r="R681" s="1354">
        <f t="shared" si="89"/>
        <v>125</v>
      </c>
      <c r="S681" s="1354" t="s">
        <v>2628</v>
      </c>
      <c r="T681" s="1378"/>
      <c r="U681" s="1358" t="str">
        <f t="shared" si="91"/>
        <v>en término</v>
      </c>
      <c r="V681" s="1130" t="str">
        <f t="shared" si="86"/>
        <v>Octubre</v>
      </c>
      <c r="W681" s="1128">
        <f t="shared" si="87"/>
        <v>1</v>
      </c>
    </row>
    <row r="682" spans="1:23" s="1321" customFormat="1" ht="57.6" customHeight="1" thickBot="1" x14ac:dyDescent="0.2">
      <c r="A682" s="1117">
        <v>2012</v>
      </c>
      <c r="B682" s="1117">
        <v>2012</v>
      </c>
      <c r="C682" s="1436" t="s">
        <v>36</v>
      </c>
      <c r="D682" s="1363" t="s">
        <v>37</v>
      </c>
      <c r="E682" s="1350" t="s">
        <v>2707</v>
      </c>
      <c r="F682" s="1441">
        <v>4504710477</v>
      </c>
      <c r="G682" s="1340">
        <v>12070002</v>
      </c>
      <c r="H682" s="1352">
        <v>189235</v>
      </c>
      <c r="I682" s="1353">
        <v>41094</v>
      </c>
      <c r="J682" s="1354">
        <f t="shared" si="90"/>
        <v>123</v>
      </c>
      <c r="K682" s="1353">
        <v>41217</v>
      </c>
      <c r="L682" s="1353" t="s">
        <v>41</v>
      </c>
      <c r="M682" s="1353">
        <v>41212</v>
      </c>
      <c r="N682" s="1354">
        <f t="shared" si="92"/>
        <v>5</v>
      </c>
      <c r="O682" s="1427">
        <v>41219</v>
      </c>
      <c r="P682" s="1438">
        <v>41222</v>
      </c>
      <c r="Q682" s="1355">
        <v>41239</v>
      </c>
      <c r="R682" s="1354">
        <f t="shared" si="89"/>
        <v>145</v>
      </c>
      <c r="S682" s="1437" t="s">
        <v>6357</v>
      </c>
      <c r="T682" s="1378"/>
      <c r="U682" s="1358" t="str">
        <f t="shared" si="91"/>
        <v>atrasado</v>
      </c>
      <c r="V682" s="1130" t="str">
        <f t="shared" si="86"/>
        <v>Octubre</v>
      </c>
      <c r="W682" s="1128">
        <f t="shared" si="87"/>
        <v>0</v>
      </c>
    </row>
    <row r="683" spans="1:23" s="1321" customFormat="1" ht="57.6" customHeight="1" thickBot="1" x14ac:dyDescent="0.2">
      <c r="A683" s="1117">
        <v>2012</v>
      </c>
      <c r="B683" s="1117">
        <v>2012</v>
      </c>
      <c r="C683" s="1436" t="s">
        <v>36</v>
      </c>
      <c r="D683" s="1363" t="s">
        <v>133</v>
      </c>
      <c r="E683" s="1350" t="s">
        <v>2668</v>
      </c>
      <c r="F683" s="1367" t="s">
        <v>2669</v>
      </c>
      <c r="G683" s="1351">
        <v>4504866905</v>
      </c>
      <c r="H683" s="1352">
        <v>13760</v>
      </c>
      <c r="I683" s="1353">
        <v>41165</v>
      </c>
      <c r="J683" s="1354">
        <f t="shared" si="90"/>
        <v>74</v>
      </c>
      <c r="K683" s="1353">
        <v>41239</v>
      </c>
      <c r="L683" s="1353" t="s">
        <v>41</v>
      </c>
      <c r="M683" s="1353">
        <v>41219</v>
      </c>
      <c r="N683" s="1354">
        <f t="shared" si="92"/>
        <v>-10</v>
      </c>
      <c r="O683" s="1427">
        <v>41226</v>
      </c>
      <c r="P683" s="1438">
        <v>41229</v>
      </c>
      <c r="Q683" s="1355">
        <v>41246</v>
      </c>
      <c r="R683" s="1354">
        <f t="shared" si="89"/>
        <v>81</v>
      </c>
      <c r="S683" s="1354" t="s">
        <v>2683</v>
      </c>
      <c r="T683" s="1378"/>
      <c r="U683" s="1358" t="str">
        <f t="shared" si="91"/>
        <v>en término</v>
      </c>
      <c r="V683" s="1130" t="str">
        <f t="shared" si="86"/>
        <v>Noviembre</v>
      </c>
      <c r="W683" s="1128">
        <f t="shared" si="87"/>
        <v>1</v>
      </c>
    </row>
    <row r="684" spans="1:23" s="1321" customFormat="1" ht="57.6" customHeight="1" thickBot="1" x14ac:dyDescent="0.2">
      <c r="A684" s="1117">
        <v>2012</v>
      </c>
      <c r="B684" s="1117">
        <v>2012</v>
      </c>
      <c r="C684" s="1436" t="s">
        <v>36</v>
      </c>
      <c r="D684" s="1363" t="s">
        <v>37</v>
      </c>
      <c r="E684" s="1350" t="s">
        <v>2723</v>
      </c>
      <c r="F684" s="1437">
        <v>4504751110</v>
      </c>
      <c r="G684" s="1351">
        <v>12100002</v>
      </c>
      <c r="H684" s="1352">
        <v>3750</v>
      </c>
      <c r="I684" s="1353">
        <v>41191</v>
      </c>
      <c r="J684" s="1354">
        <v>45</v>
      </c>
      <c r="K684" s="1353">
        <f>+I684+J684</f>
        <v>41236</v>
      </c>
      <c r="L684" s="1353" t="s">
        <v>41</v>
      </c>
      <c r="M684" s="1353">
        <v>41219</v>
      </c>
      <c r="N684" s="1354">
        <f t="shared" si="92"/>
        <v>-7</v>
      </c>
      <c r="O684" s="1427">
        <v>41226</v>
      </c>
      <c r="P684" s="1438">
        <v>41229</v>
      </c>
      <c r="Q684" s="1355">
        <v>41246</v>
      </c>
      <c r="R684" s="1354">
        <f t="shared" si="89"/>
        <v>55</v>
      </c>
      <c r="S684" s="1437" t="s">
        <v>53</v>
      </c>
      <c r="T684" s="1378"/>
      <c r="U684" s="1358" t="str">
        <f t="shared" si="91"/>
        <v>en término</v>
      </c>
      <c r="V684" s="1130" t="str">
        <f t="shared" si="86"/>
        <v>Noviembre</v>
      </c>
      <c r="W684" s="1128">
        <f t="shared" si="87"/>
        <v>1</v>
      </c>
    </row>
    <row r="685" spans="1:23" s="1321" customFormat="1" ht="57.6" customHeight="1" thickBot="1" x14ac:dyDescent="0.2">
      <c r="A685" s="1117">
        <v>2012</v>
      </c>
      <c r="B685" s="1117">
        <v>2012</v>
      </c>
      <c r="C685" s="1436" t="s">
        <v>36</v>
      </c>
      <c r="D685" s="1363" t="s">
        <v>37</v>
      </c>
      <c r="E685" s="1350" t="s">
        <v>2724</v>
      </c>
      <c r="F685" s="1437">
        <v>4504930884</v>
      </c>
      <c r="G685" s="1351">
        <v>12100003</v>
      </c>
      <c r="H685" s="1352">
        <v>570</v>
      </c>
      <c r="I685" s="1353">
        <v>41199</v>
      </c>
      <c r="J685" s="1354">
        <v>40</v>
      </c>
      <c r="K685" s="1353">
        <f>+I685+J685</f>
        <v>41239</v>
      </c>
      <c r="L685" s="1353" t="s">
        <v>41</v>
      </c>
      <c r="M685" s="1353">
        <v>41219</v>
      </c>
      <c r="N685" s="1354">
        <f t="shared" si="92"/>
        <v>-10</v>
      </c>
      <c r="O685" s="1427">
        <v>41226</v>
      </c>
      <c r="P685" s="1438">
        <v>41229</v>
      </c>
      <c r="Q685" s="1355">
        <v>41246</v>
      </c>
      <c r="R685" s="1354">
        <f t="shared" si="89"/>
        <v>47</v>
      </c>
      <c r="S685" s="1437" t="s">
        <v>53</v>
      </c>
      <c r="T685" s="1378"/>
      <c r="U685" s="1358" t="str">
        <f t="shared" si="91"/>
        <v>en término</v>
      </c>
      <c r="V685" s="1130" t="str">
        <f t="shared" si="86"/>
        <v>Noviembre</v>
      </c>
      <c r="W685" s="1128">
        <f t="shared" si="87"/>
        <v>1</v>
      </c>
    </row>
    <row r="686" spans="1:23" s="1321" customFormat="1" ht="57.6" customHeight="1" thickBot="1" x14ac:dyDescent="0.2">
      <c r="A686" s="1117">
        <v>2012</v>
      </c>
      <c r="B686" s="1117">
        <v>2012</v>
      </c>
      <c r="C686" s="1436" t="s">
        <v>36</v>
      </c>
      <c r="D686" s="1363" t="s">
        <v>37</v>
      </c>
      <c r="E686" s="1350" t="s">
        <v>2730</v>
      </c>
      <c r="F686" s="1437" t="s">
        <v>2731</v>
      </c>
      <c r="G686" s="1351">
        <v>12110001</v>
      </c>
      <c r="H686" s="1352">
        <f>6640+80</f>
        <v>6720</v>
      </c>
      <c r="I686" s="1353">
        <v>41214</v>
      </c>
      <c r="J686" s="1354">
        <v>70</v>
      </c>
      <c r="K686" s="1353">
        <f>+I686+J686</f>
        <v>41284</v>
      </c>
      <c r="L686" s="1353" t="s">
        <v>41</v>
      </c>
      <c r="M686" s="1353">
        <v>41247</v>
      </c>
      <c r="N686" s="1354">
        <f t="shared" si="92"/>
        <v>-27</v>
      </c>
      <c r="O686" s="1427">
        <v>41254</v>
      </c>
      <c r="P686" s="1438">
        <v>41257</v>
      </c>
      <c r="Q686" s="1355">
        <v>41274</v>
      </c>
      <c r="R686" s="1354">
        <f t="shared" si="89"/>
        <v>60</v>
      </c>
      <c r="S686" s="1437" t="s">
        <v>6358</v>
      </c>
      <c r="T686" s="1378"/>
      <c r="U686" s="1358" t="str">
        <f t="shared" si="91"/>
        <v>en término</v>
      </c>
      <c r="V686" s="1130" t="str">
        <f t="shared" si="86"/>
        <v>Diciembre</v>
      </c>
      <c r="W686" s="1128">
        <f t="shared" si="87"/>
        <v>1</v>
      </c>
    </row>
    <row r="687" spans="1:23" s="1321" customFormat="1" ht="57.6" customHeight="1" thickBot="1" x14ac:dyDescent="0.2">
      <c r="A687" s="1117">
        <v>2012</v>
      </c>
      <c r="B687" s="1117">
        <v>2012</v>
      </c>
      <c r="C687" s="1436" t="s">
        <v>36</v>
      </c>
      <c r="D687" s="1363" t="s">
        <v>37</v>
      </c>
      <c r="E687" s="1350" t="s">
        <v>2741</v>
      </c>
      <c r="F687" s="1437" t="s">
        <v>2742</v>
      </c>
      <c r="G687" s="1437" t="s">
        <v>2742</v>
      </c>
      <c r="H687" s="1352">
        <v>66</v>
      </c>
      <c r="I687" s="1353">
        <v>41242</v>
      </c>
      <c r="J687" s="1354">
        <f>+K687-I687</f>
        <v>14</v>
      </c>
      <c r="K687" s="1353">
        <v>41256</v>
      </c>
      <c r="L687" s="1353" t="s">
        <v>41</v>
      </c>
      <c r="M687" s="1353">
        <v>41261</v>
      </c>
      <c r="N687" s="1354">
        <f t="shared" si="92"/>
        <v>25</v>
      </c>
      <c r="O687" s="1427"/>
      <c r="P687" s="1438">
        <v>41281</v>
      </c>
      <c r="Q687" s="1355">
        <f>+P687+2</f>
        <v>41283</v>
      </c>
      <c r="R687" s="1354">
        <f t="shared" si="89"/>
        <v>41</v>
      </c>
      <c r="S687" s="1437" t="s">
        <v>53</v>
      </c>
      <c r="T687" s="1442" t="s">
        <v>2743</v>
      </c>
      <c r="U687" s="1358" t="str">
        <f t="shared" si="91"/>
        <v>atrasado</v>
      </c>
      <c r="V687" s="1130" t="str">
        <f t="shared" si="86"/>
        <v>Diciembre</v>
      </c>
      <c r="W687" s="1128">
        <f t="shared" si="87"/>
        <v>0</v>
      </c>
    </row>
    <row r="688" spans="1:23" s="1321" customFormat="1" ht="57.6" customHeight="1" thickBot="1" x14ac:dyDescent="0.2">
      <c r="A688" s="1117">
        <v>2012</v>
      </c>
      <c r="B688" s="1117">
        <v>2012</v>
      </c>
      <c r="C688" s="1436" t="s">
        <v>36</v>
      </c>
      <c r="D688" s="1363" t="s">
        <v>133</v>
      </c>
      <c r="E688" s="1350" t="s">
        <v>2554</v>
      </c>
      <c r="F688" s="1367" t="s">
        <v>2555</v>
      </c>
      <c r="G688" s="1340">
        <v>4504638657</v>
      </c>
      <c r="H688" s="1341">
        <v>81693.929999999993</v>
      </c>
      <c r="I688" s="1353">
        <v>41050</v>
      </c>
      <c r="J688" s="1354">
        <v>156</v>
      </c>
      <c r="K688" s="1353">
        <v>41206</v>
      </c>
      <c r="L688" s="1353" t="s">
        <v>41</v>
      </c>
      <c r="M688" s="1353">
        <v>41198</v>
      </c>
      <c r="N688" s="1354">
        <v>3</v>
      </c>
      <c r="O688" s="1427">
        <v>41205</v>
      </c>
      <c r="P688" s="1438">
        <v>41209</v>
      </c>
      <c r="Q688" s="1355">
        <v>41225</v>
      </c>
      <c r="R688" s="1354">
        <v>175</v>
      </c>
      <c r="S688" s="1354" t="s">
        <v>6359</v>
      </c>
      <c r="T688" s="1378"/>
      <c r="U688" s="1358" t="s">
        <v>6360</v>
      </c>
      <c r="V688" s="1130" t="str">
        <f t="shared" si="86"/>
        <v>Octubre</v>
      </c>
      <c r="W688" s="1128">
        <f t="shared" si="87"/>
        <v>0</v>
      </c>
    </row>
    <row r="689" spans="1:23" s="1321" customFormat="1" ht="57.6" customHeight="1" thickBot="1" x14ac:dyDescent="0.2">
      <c r="A689" s="1117">
        <v>2012</v>
      </c>
      <c r="B689" s="1117">
        <v>2012</v>
      </c>
      <c r="C689" s="1436" t="s">
        <v>36</v>
      </c>
      <c r="D689" s="1363" t="s">
        <v>37</v>
      </c>
      <c r="E689" s="1350" t="s">
        <v>2696</v>
      </c>
      <c r="F689" s="1437">
        <v>4504710969</v>
      </c>
      <c r="G689" s="1351">
        <v>12070001</v>
      </c>
      <c r="H689" s="1352">
        <v>4900</v>
      </c>
      <c r="I689" s="1353">
        <v>41096</v>
      </c>
      <c r="J689" s="1354">
        <v>96</v>
      </c>
      <c r="K689" s="1353">
        <v>41192</v>
      </c>
      <c r="L689" s="1353" t="s">
        <v>41</v>
      </c>
      <c r="M689" s="1353">
        <v>41170</v>
      </c>
      <c r="N689" s="1354">
        <v>-12</v>
      </c>
      <c r="O689" s="1427">
        <v>41177</v>
      </c>
      <c r="P689" s="1438">
        <v>41180</v>
      </c>
      <c r="Q689" s="1355">
        <v>41197</v>
      </c>
      <c r="R689" s="1354">
        <v>101</v>
      </c>
      <c r="S689" s="1437" t="s">
        <v>1228</v>
      </c>
      <c r="T689" s="1378" t="s">
        <v>2699</v>
      </c>
      <c r="U689" s="1358" t="s">
        <v>6361</v>
      </c>
      <c r="V689" s="1130" t="str">
        <f t="shared" si="86"/>
        <v>Septiembre</v>
      </c>
      <c r="W689" s="1128">
        <f t="shared" si="87"/>
        <v>1</v>
      </c>
    </row>
    <row r="690" spans="1:23" s="1321" customFormat="1" ht="57.6" customHeight="1" thickBot="1" x14ac:dyDescent="0.2">
      <c r="A690" s="1117">
        <v>2012</v>
      </c>
      <c r="B690" s="1117">
        <v>2012</v>
      </c>
      <c r="C690" s="1436" t="s">
        <v>36</v>
      </c>
      <c r="D690" s="1363" t="s">
        <v>37</v>
      </c>
      <c r="E690" s="1350" t="s">
        <v>2707</v>
      </c>
      <c r="F690" s="1441">
        <v>4504710477</v>
      </c>
      <c r="G690" s="1340">
        <v>12070002</v>
      </c>
      <c r="H690" s="1352">
        <v>51680</v>
      </c>
      <c r="I690" s="1353">
        <v>41094</v>
      </c>
      <c r="J690" s="1354">
        <v>123</v>
      </c>
      <c r="K690" s="1353">
        <v>41217</v>
      </c>
      <c r="L690" s="1353" t="s">
        <v>41</v>
      </c>
      <c r="M690" s="1353">
        <v>41184</v>
      </c>
      <c r="N690" s="1354">
        <v>-23</v>
      </c>
      <c r="O690" s="1427">
        <v>41191</v>
      </c>
      <c r="P690" s="1438">
        <v>41194</v>
      </c>
      <c r="Q690" s="1355">
        <v>41211</v>
      </c>
      <c r="R690" s="1354">
        <v>117</v>
      </c>
      <c r="S690" s="1437" t="s">
        <v>6362</v>
      </c>
      <c r="T690" s="1378"/>
      <c r="U690" s="1358" t="s">
        <v>6361</v>
      </c>
      <c r="V690" s="1130" t="str">
        <f t="shared" si="86"/>
        <v>Octubre</v>
      </c>
      <c r="W690" s="1128">
        <f t="shared" si="87"/>
        <v>1</v>
      </c>
    </row>
    <row r="691" spans="1:23" s="1321" customFormat="1" ht="57.6" customHeight="1" thickBot="1" x14ac:dyDescent="0.2">
      <c r="A691" s="1117">
        <v>2012</v>
      </c>
      <c r="B691" s="1117">
        <v>2012</v>
      </c>
      <c r="C691" s="1436" t="s">
        <v>36</v>
      </c>
      <c r="D691" s="1363" t="s">
        <v>37</v>
      </c>
      <c r="E691" s="1350" t="s">
        <v>2700</v>
      </c>
      <c r="F691" s="1437">
        <v>4504763495</v>
      </c>
      <c r="G691" s="1351">
        <v>12080001</v>
      </c>
      <c r="H691" s="1352">
        <v>4200</v>
      </c>
      <c r="I691" s="1353">
        <v>41114</v>
      </c>
      <c r="J691" s="1354">
        <v>90</v>
      </c>
      <c r="K691" s="1353">
        <v>41204</v>
      </c>
      <c r="L691" s="1353" t="s">
        <v>41</v>
      </c>
      <c r="M691" s="1353">
        <v>41170</v>
      </c>
      <c r="N691" s="1354">
        <v>-24</v>
      </c>
      <c r="O691" s="1427">
        <v>41177</v>
      </c>
      <c r="P691" s="1438">
        <v>41180</v>
      </c>
      <c r="Q691" s="1355">
        <v>41197</v>
      </c>
      <c r="R691" s="1354">
        <v>83</v>
      </c>
      <c r="S691" s="1437" t="s">
        <v>53</v>
      </c>
      <c r="T691" s="1378" t="s">
        <v>2699</v>
      </c>
      <c r="U691" s="1358" t="s">
        <v>6361</v>
      </c>
      <c r="V691" s="1130" t="str">
        <f t="shared" si="86"/>
        <v>Septiembre</v>
      </c>
      <c r="W691" s="1128">
        <f t="shared" si="87"/>
        <v>1</v>
      </c>
    </row>
    <row r="692" spans="1:23" s="1321" customFormat="1" ht="57.6" customHeight="1" thickBot="1" x14ac:dyDescent="0.2">
      <c r="A692" s="1117">
        <v>2012</v>
      </c>
      <c r="B692" s="1117">
        <v>2012</v>
      </c>
      <c r="C692" s="1436" t="s">
        <v>36</v>
      </c>
      <c r="D692" s="1363" t="s">
        <v>133</v>
      </c>
      <c r="E692" s="1350" t="s">
        <v>2686</v>
      </c>
      <c r="F692" s="1367" t="s">
        <v>2687</v>
      </c>
      <c r="G692" s="1351">
        <v>4504800908</v>
      </c>
      <c r="H692" s="1352">
        <v>10651.82</v>
      </c>
      <c r="I692" s="1353">
        <v>41130</v>
      </c>
      <c r="J692" s="1354">
        <v>95</v>
      </c>
      <c r="K692" s="1353">
        <v>41225</v>
      </c>
      <c r="L692" s="1353" t="s">
        <v>41</v>
      </c>
      <c r="M692" s="1353">
        <v>41212</v>
      </c>
      <c r="N692" s="1354">
        <v>-3</v>
      </c>
      <c r="O692" s="1427">
        <v>41219</v>
      </c>
      <c r="P692" s="1438">
        <v>41222</v>
      </c>
      <c r="Q692" s="1355">
        <v>41239</v>
      </c>
      <c r="R692" s="1354">
        <v>109</v>
      </c>
      <c r="S692" s="1354" t="s">
        <v>53</v>
      </c>
      <c r="T692" s="1378"/>
      <c r="U692" s="1358" t="s">
        <v>6361</v>
      </c>
      <c r="V692" s="1130" t="str">
        <f t="shared" si="86"/>
        <v>Octubre</v>
      </c>
      <c r="W692" s="1128">
        <f t="shared" si="87"/>
        <v>1</v>
      </c>
    </row>
    <row r="693" spans="1:23" s="1321" customFormat="1" ht="57.6" customHeight="1" thickBot="1" x14ac:dyDescent="0.2">
      <c r="A693" s="1117">
        <v>2012</v>
      </c>
      <c r="B693" s="1117">
        <v>2012</v>
      </c>
      <c r="C693" s="1436" t="s">
        <v>36</v>
      </c>
      <c r="D693" s="1363" t="s">
        <v>37</v>
      </c>
      <c r="E693" s="1350" t="s">
        <v>2701</v>
      </c>
      <c r="F693" s="1437">
        <v>4504801897</v>
      </c>
      <c r="G693" s="1351">
        <v>12080005</v>
      </c>
      <c r="H693" s="1352">
        <v>1590</v>
      </c>
      <c r="I693" s="1353">
        <v>41130</v>
      </c>
      <c r="J693" s="1354">
        <v>90</v>
      </c>
      <c r="K693" s="1353">
        <v>41197</v>
      </c>
      <c r="L693" s="1353" t="s">
        <v>41</v>
      </c>
      <c r="M693" s="1353">
        <v>41170</v>
      </c>
      <c r="N693" s="1354">
        <v>-17</v>
      </c>
      <c r="O693" s="1427">
        <v>41177</v>
      </c>
      <c r="P693" s="1438">
        <v>41180</v>
      </c>
      <c r="Q693" s="1355">
        <v>41197</v>
      </c>
      <c r="R693" s="1354">
        <v>67</v>
      </c>
      <c r="S693" s="1437" t="s">
        <v>53</v>
      </c>
      <c r="T693" s="1378" t="s">
        <v>2699</v>
      </c>
      <c r="U693" s="1358" t="s">
        <v>6361</v>
      </c>
      <c r="V693" s="1130" t="str">
        <f t="shared" si="86"/>
        <v>Septiembre</v>
      </c>
      <c r="W693" s="1128">
        <f t="shared" si="87"/>
        <v>1</v>
      </c>
    </row>
    <row r="694" spans="1:23" s="1321" customFormat="1" ht="57.6" customHeight="1" thickBot="1" x14ac:dyDescent="0.2">
      <c r="A694" s="1117">
        <v>2012</v>
      </c>
      <c r="B694" s="1117">
        <v>2012</v>
      </c>
      <c r="C694" s="1436" t="s">
        <v>36</v>
      </c>
      <c r="D694" s="1363" t="s">
        <v>133</v>
      </c>
      <c r="E694" s="1350" t="s">
        <v>2668</v>
      </c>
      <c r="F694" s="1372" t="s">
        <v>2669</v>
      </c>
      <c r="G694" s="1347">
        <v>4504812512</v>
      </c>
      <c r="H694" s="1352">
        <v>54680.71</v>
      </c>
      <c r="I694" s="1353">
        <v>41136</v>
      </c>
      <c r="J694" s="1354">
        <v>90</v>
      </c>
      <c r="K694" s="1353">
        <v>41226</v>
      </c>
      <c r="L694" s="1353" t="s">
        <v>41</v>
      </c>
      <c r="M694" s="1353">
        <v>41219</v>
      </c>
      <c r="N694" s="1354">
        <v>3</v>
      </c>
      <c r="O694" s="1427">
        <v>41226</v>
      </c>
      <c r="P694" s="1438">
        <v>41229</v>
      </c>
      <c r="Q694" s="1355">
        <v>41246</v>
      </c>
      <c r="R694" s="1354">
        <v>110</v>
      </c>
      <c r="S694" s="1354" t="s">
        <v>2725</v>
      </c>
      <c r="T694" s="1378"/>
      <c r="U694" s="1358" t="s">
        <v>6360</v>
      </c>
      <c r="V694" s="1130" t="str">
        <f t="shared" si="86"/>
        <v>Noviembre</v>
      </c>
      <c r="W694" s="1128">
        <f t="shared" si="87"/>
        <v>0</v>
      </c>
    </row>
    <row r="695" spans="1:23" s="1321" customFormat="1" ht="57.6" customHeight="1" thickBot="1" x14ac:dyDescent="0.2">
      <c r="A695" s="1117">
        <v>2012</v>
      </c>
      <c r="B695" s="1117">
        <v>2012</v>
      </c>
      <c r="C695" s="1436" t="s">
        <v>36</v>
      </c>
      <c r="D695" s="1363" t="s">
        <v>133</v>
      </c>
      <c r="E695" s="1350" t="s">
        <v>2668</v>
      </c>
      <c r="F695" s="1372" t="s">
        <v>2669</v>
      </c>
      <c r="G695" s="1347">
        <v>4504812512</v>
      </c>
      <c r="H695" s="1352">
        <v>30420</v>
      </c>
      <c r="I695" s="1353">
        <v>41136</v>
      </c>
      <c r="J695" s="1354">
        <v>155</v>
      </c>
      <c r="K695" s="1353">
        <v>41291</v>
      </c>
      <c r="L695" s="1353" t="s">
        <v>41</v>
      </c>
      <c r="M695" s="1353">
        <v>41271</v>
      </c>
      <c r="N695" s="1354">
        <v>-6</v>
      </c>
      <c r="O695" s="1427">
        <v>41282</v>
      </c>
      <c r="P695" s="1355">
        <v>41285</v>
      </c>
      <c r="Q695" s="1355">
        <v>41302</v>
      </c>
      <c r="R695" s="1354">
        <v>166</v>
      </c>
      <c r="S695" s="1354" t="s">
        <v>2746</v>
      </c>
      <c r="T695" s="1378"/>
      <c r="U695" s="1358" t="s">
        <v>6361</v>
      </c>
      <c r="V695" s="1130" t="str">
        <f t="shared" si="86"/>
        <v>Diciembre</v>
      </c>
      <c r="W695" s="1128">
        <f t="shared" si="87"/>
        <v>1</v>
      </c>
    </row>
    <row r="696" spans="1:23" s="1321" customFormat="1" ht="57.6" customHeight="1" thickBot="1" x14ac:dyDescent="0.2">
      <c r="A696" s="1117">
        <v>2012</v>
      </c>
      <c r="B696" s="1117">
        <v>2012</v>
      </c>
      <c r="C696" s="1436" t="s">
        <v>36</v>
      </c>
      <c r="D696" s="1363" t="s">
        <v>133</v>
      </c>
      <c r="E696" s="1350" t="s">
        <v>2554</v>
      </c>
      <c r="F696" s="1367" t="s">
        <v>2555</v>
      </c>
      <c r="G696" s="1351">
        <v>4504790083</v>
      </c>
      <c r="H696" s="1352">
        <v>94264.6</v>
      </c>
      <c r="I696" s="1353">
        <v>41124</v>
      </c>
      <c r="J696" s="1354">
        <v>119</v>
      </c>
      <c r="K696" s="1353">
        <v>41243</v>
      </c>
      <c r="L696" s="1353" t="s">
        <v>41</v>
      </c>
      <c r="M696" s="1353">
        <v>41226</v>
      </c>
      <c r="N696" s="1354">
        <v>-7</v>
      </c>
      <c r="O696" s="1427">
        <v>41233</v>
      </c>
      <c r="P696" s="1438">
        <v>41236</v>
      </c>
      <c r="Q696" s="1355">
        <v>41253</v>
      </c>
      <c r="R696" s="1354">
        <v>129</v>
      </c>
      <c r="S696" s="1354" t="s">
        <v>1812</v>
      </c>
      <c r="T696" s="1378"/>
      <c r="U696" s="1358" t="s">
        <v>6361</v>
      </c>
      <c r="V696" s="1130" t="str">
        <f t="shared" si="86"/>
        <v>Noviembre</v>
      </c>
      <c r="W696" s="1128">
        <f t="shared" si="87"/>
        <v>1</v>
      </c>
    </row>
    <row r="697" spans="1:23" s="1321" customFormat="1" ht="57.6" customHeight="1" thickBot="1" x14ac:dyDescent="0.2">
      <c r="A697" s="1117">
        <v>2012</v>
      </c>
      <c r="B697" s="1117">
        <v>2012</v>
      </c>
      <c r="C697" s="1436" t="s">
        <v>36</v>
      </c>
      <c r="D697" s="1363" t="s">
        <v>133</v>
      </c>
      <c r="E697" s="1350" t="s">
        <v>2554</v>
      </c>
      <c r="F697" s="1367" t="s">
        <v>2555</v>
      </c>
      <c r="G697" s="1351">
        <v>4504859962</v>
      </c>
      <c r="H697" s="1352">
        <v>43197.68</v>
      </c>
      <c r="I697" s="1353">
        <v>41162</v>
      </c>
      <c r="J697" s="1354">
        <v>92</v>
      </c>
      <c r="K697" s="1353">
        <v>41254</v>
      </c>
      <c r="L697" s="1353" t="s">
        <v>41</v>
      </c>
      <c r="M697" s="1353">
        <v>41219</v>
      </c>
      <c r="N697" s="1354">
        <v>-25</v>
      </c>
      <c r="O697" s="1427">
        <v>41226</v>
      </c>
      <c r="P697" s="1438">
        <v>41229</v>
      </c>
      <c r="Q697" s="1355">
        <v>41246</v>
      </c>
      <c r="R697" s="1354">
        <v>84</v>
      </c>
      <c r="S697" s="1354" t="s">
        <v>1795</v>
      </c>
      <c r="T697" s="1378"/>
      <c r="U697" s="1358" t="s">
        <v>6361</v>
      </c>
      <c r="V697" s="1130" t="str">
        <f t="shared" si="86"/>
        <v>Noviembre</v>
      </c>
      <c r="W697" s="1128">
        <f t="shared" si="87"/>
        <v>1</v>
      </c>
    </row>
    <row r="698" spans="1:23" s="1321" customFormat="1" ht="57.6" customHeight="1" thickBot="1" x14ac:dyDescent="0.2">
      <c r="A698" s="1117">
        <v>2012</v>
      </c>
      <c r="B698" s="1117">
        <v>2012</v>
      </c>
      <c r="C698" s="1436" t="s">
        <v>36</v>
      </c>
      <c r="D698" s="1363" t="s">
        <v>133</v>
      </c>
      <c r="E698" s="1350" t="s">
        <v>2554</v>
      </c>
      <c r="F698" s="1367" t="s">
        <v>2555</v>
      </c>
      <c r="G698" s="1351">
        <v>4504850644</v>
      </c>
      <c r="H698" s="1352">
        <v>61544.14</v>
      </c>
      <c r="I698" s="1353">
        <v>41155</v>
      </c>
      <c r="J698" s="1354">
        <v>102</v>
      </c>
      <c r="K698" s="1353">
        <v>41257</v>
      </c>
      <c r="L698" s="1353" t="s">
        <v>41</v>
      </c>
      <c r="M698" s="1353">
        <v>41247</v>
      </c>
      <c r="N698" s="1354">
        <v>0</v>
      </c>
      <c r="O698" s="1427">
        <v>41254</v>
      </c>
      <c r="P698" s="1438">
        <v>41257</v>
      </c>
      <c r="Q698" s="1355">
        <v>41274</v>
      </c>
      <c r="R698" s="1354">
        <v>119</v>
      </c>
      <c r="S698" s="1354" t="s">
        <v>2116</v>
      </c>
      <c r="T698" s="1378"/>
      <c r="U698" s="1358" t="s">
        <v>6361</v>
      </c>
      <c r="V698" s="1130" t="str">
        <f t="shared" si="86"/>
        <v>Diciembre</v>
      </c>
      <c r="W698" s="1128">
        <f t="shared" si="87"/>
        <v>1</v>
      </c>
    </row>
    <row r="699" spans="1:23" s="1321" customFormat="1" ht="57.6" customHeight="1" thickBot="1" x14ac:dyDescent="0.2">
      <c r="A699" s="1117">
        <v>2012</v>
      </c>
      <c r="B699" s="1117">
        <v>2012</v>
      </c>
      <c r="C699" s="1436" t="s">
        <v>36</v>
      </c>
      <c r="D699" s="1363" t="s">
        <v>133</v>
      </c>
      <c r="E699" s="1350" t="s">
        <v>2554</v>
      </c>
      <c r="F699" s="1367" t="s">
        <v>2555</v>
      </c>
      <c r="G699" s="1351">
        <v>4504866922</v>
      </c>
      <c r="H699" s="1352">
        <v>4476.21</v>
      </c>
      <c r="I699" s="1353">
        <v>41165</v>
      </c>
      <c r="J699" s="1354">
        <v>64</v>
      </c>
      <c r="K699" s="1353">
        <v>41229</v>
      </c>
      <c r="L699" s="1353" t="s">
        <v>41</v>
      </c>
      <c r="M699" s="1353">
        <v>41219</v>
      </c>
      <c r="N699" s="1354">
        <v>0</v>
      </c>
      <c r="O699" s="1427">
        <v>41226</v>
      </c>
      <c r="P699" s="1438">
        <v>41229</v>
      </c>
      <c r="Q699" s="1355">
        <v>41246</v>
      </c>
      <c r="R699" s="1354">
        <v>81</v>
      </c>
      <c r="S699" s="1354" t="s">
        <v>53</v>
      </c>
      <c r="T699" s="1378"/>
      <c r="U699" s="1358" t="s">
        <v>6361</v>
      </c>
      <c r="V699" s="1130" t="str">
        <f t="shared" si="86"/>
        <v>Noviembre</v>
      </c>
      <c r="W699" s="1128">
        <f t="shared" si="87"/>
        <v>1</v>
      </c>
    </row>
    <row r="700" spans="1:23" s="1321" customFormat="1" ht="57.6" customHeight="1" thickBot="1" x14ac:dyDescent="0.2">
      <c r="A700" s="1117">
        <v>2012</v>
      </c>
      <c r="B700" s="1117">
        <v>2012</v>
      </c>
      <c r="C700" s="1436" t="s">
        <v>36</v>
      </c>
      <c r="D700" s="1363" t="s">
        <v>133</v>
      </c>
      <c r="E700" s="1350" t="s">
        <v>2554</v>
      </c>
      <c r="F700" s="1367" t="s">
        <v>2555</v>
      </c>
      <c r="G700" s="1351">
        <v>4504866506</v>
      </c>
      <c r="H700" s="1352">
        <v>67990.73</v>
      </c>
      <c r="I700" s="1353">
        <v>41165</v>
      </c>
      <c r="J700" s="1354">
        <v>64</v>
      </c>
      <c r="K700" s="1353">
        <v>41229</v>
      </c>
      <c r="L700" s="1353" t="s">
        <v>41</v>
      </c>
      <c r="M700" s="1353">
        <v>41219</v>
      </c>
      <c r="N700" s="1354">
        <v>0</v>
      </c>
      <c r="O700" s="1427">
        <v>41226</v>
      </c>
      <c r="P700" s="1438">
        <v>41229</v>
      </c>
      <c r="Q700" s="1355">
        <v>41246</v>
      </c>
      <c r="R700" s="1354">
        <v>81</v>
      </c>
      <c r="S700" s="1354" t="s">
        <v>1387</v>
      </c>
      <c r="T700" s="1378"/>
      <c r="U700" s="1358" t="s">
        <v>6361</v>
      </c>
      <c r="V700" s="1130" t="str">
        <f t="shared" si="86"/>
        <v>Noviembre</v>
      </c>
      <c r="W700" s="1128">
        <f t="shared" si="87"/>
        <v>1</v>
      </c>
    </row>
    <row r="701" spans="1:23" s="1321" customFormat="1" ht="57.6" customHeight="1" thickBot="1" x14ac:dyDescent="0.2">
      <c r="A701" s="1117">
        <v>2012</v>
      </c>
      <c r="B701" s="1117">
        <v>2012</v>
      </c>
      <c r="C701" s="1436" t="s">
        <v>36</v>
      </c>
      <c r="D701" s="1363" t="s">
        <v>133</v>
      </c>
      <c r="E701" s="1350" t="s">
        <v>2554</v>
      </c>
      <c r="F701" s="1367" t="s">
        <v>2555</v>
      </c>
      <c r="G701" s="1351">
        <v>4504885210</v>
      </c>
      <c r="H701" s="1352">
        <v>95661.6</v>
      </c>
      <c r="I701" s="1353">
        <v>41177</v>
      </c>
      <c r="J701" s="1354">
        <v>94</v>
      </c>
      <c r="K701" s="1353">
        <v>41271</v>
      </c>
      <c r="L701" s="1353" t="s">
        <v>41</v>
      </c>
      <c r="M701" s="1353">
        <v>41247</v>
      </c>
      <c r="N701" s="1354">
        <v>-14</v>
      </c>
      <c r="O701" s="1427">
        <v>41254</v>
      </c>
      <c r="P701" s="1438">
        <v>41257</v>
      </c>
      <c r="Q701" s="1355">
        <v>41274</v>
      </c>
      <c r="R701" s="1354">
        <v>97</v>
      </c>
      <c r="S701" s="1354" t="s">
        <v>2737</v>
      </c>
      <c r="T701" s="1378"/>
      <c r="U701" s="1358" t="s">
        <v>6361</v>
      </c>
      <c r="V701" s="1130" t="str">
        <f t="shared" si="86"/>
        <v>Diciembre</v>
      </c>
      <c r="W701" s="1128">
        <f t="shared" si="87"/>
        <v>1</v>
      </c>
    </row>
    <row r="702" spans="1:23" s="1321" customFormat="1" ht="57.6" customHeight="1" thickBot="1" x14ac:dyDescent="0.2">
      <c r="A702" s="1117">
        <v>2012</v>
      </c>
      <c r="B702" s="1117">
        <v>2012</v>
      </c>
      <c r="C702" s="1436" t="s">
        <v>36</v>
      </c>
      <c r="D702" s="1363" t="s">
        <v>133</v>
      </c>
      <c r="E702" s="1350" t="s">
        <v>2554</v>
      </c>
      <c r="F702" s="1367" t="s">
        <v>2555</v>
      </c>
      <c r="G702" s="1351">
        <v>4504865460</v>
      </c>
      <c r="H702" s="1352">
        <v>66159.259999999995</v>
      </c>
      <c r="I702" s="1353">
        <v>41165</v>
      </c>
      <c r="J702" s="1354">
        <v>100</v>
      </c>
      <c r="K702" s="1353">
        <v>41265</v>
      </c>
      <c r="L702" s="1353" t="s">
        <v>41</v>
      </c>
      <c r="M702" s="1353">
        <v>41247</v>
      </c>
      <c r="N702" s="1354">
        <v>-8</v>
      </c>
      <c r="O702" s="1427">
        <v>41254</v>
      </c>
      <c r="P702" s="1438">
        <v>41257</v>
      </c>
      <c r="Q702" s="1355">
        <v>41274</v>
      </c>
      <c r="R702" s="1354">
        <v>109</v>
      </c>
      <c r="S702" s="1354" t="s">
        <v>750</v>
      </c>
      <c r="T702" s="1378"/>
      <c r="U702" s="1358" t="s">
        <v>6361</v>
      </c>
      <c r="V702" s="1130" t="str">
        <f t="shared" si="86"/>
        <v>Diciembre</v>
      </c>
      <c r="W702" s="1128">
        <f t="shared" si="87"/>
        <v>1</v>
      </c>
    </row>
    <row r="703" spans="1:23" s="1321" customFormat="1" ht="57.6" customHeight="1" thickBot="1" x14ac:dyDescent="0.2">
      <c r="A703" s="1117">
        <v>2012</v>
      </c>
      <c r="B703" s="1117">
        <v>2012</v>
      </c>
      <c r="C703" s="1436" t="s">
        <v>36</v>
      </c>
      <c r="D703" s="1363" t="s">
        <v>133</v>
      </c>
      <c r="E703" s="1350" t="s">
        <v>2668</v>
      </c>
      <c r="F703" s="1367" t="s">
        <v>2669</v>
      </c>
      <c r="G703" s="1351">
        <v>4504920792</v>
      </c>
      <c r="H703" s="1352">
        <v>18600</v>
      </c>
      <c r="I703" s="1353">
        <v>41192</v>
      </c>
      <c r="J703" s="1354">
        <v>75</v>
      </c>
      <c r="K703" s="1353">
        <v>41267</v>
      </c>
      <c r="L703" s="1353" t="s">
        <v>41</v>
      </c>
      <c r="M703" s="1353">
        <v>41247</v>
      </c>
      <c r="N703" s="1354">
        <v>-10</v>
      </c>
      <c r="O703" s="1427">
        <v>41254</v>
      </c>
      <c r="P703" s="1438">
        <v>41257</v>
      </c>
      <c r="Q703" s="1355">
        <v>41274</v>
      </c>
      <c r="R703" s="1354">
        <v>82</v>
      </c>
      <c r="S703" s="1354" t="s">
        <v>1564</v>
      </c>
      <c r="T703" s="1378"/>
      <c r="U703" s="1358" t="s">
        <v>6361</v>
      </c>
      <c r="V703" s="1130" t="str">
        <f t="shared" si="86"/>
        <v>Diciembre</v>
      </c>
      <c r="W703" s="1128">
        <f t="shared" si="87"/>
        <v>1</v>
      </c>
    </row>
    <row r="704" spans="1:23" s="1321" customFormat="1" ht="57.6" customHeight="1" thickBot="1" x14ac:dyDescent="0.2">
      <c r="A704" s="1117">
        <v>2012</v>
      </c>
      <c r="B704" s="1117">
        <v>2012</v>
      </c>
      <c r="C704" s="1436" t="s">
        <v>36</v>
      </c>
      <c r="D704" s="1363" t="s">
        <v>133</v>
      </c>
      <c r="E704" s="1350" t="s">
        <v>2554</v>
      </c>
      <c r="F704" s="1367" t="s">
        <v>2555</v>
      </c>
      <c r="G704" s="1351">
        <v>4504919843</v>
      </c>
      <c r="H704" s="1352">
        <v>115968.91</v>
      </c>
      <c r="I704" s="1353">
        <v>41192</v>
      </c>
      <c r="J704" s="1354">
        <v>65</v>
      </c>
      <c r="K704" s="1353">
        <v>41257</v>
      </c>
      <c r="L704" s="1353" t="s">
        <v>41</v>
      </c>
      <c r="M704" s="1353">
        <v>41247</v>
      </c>
      <c r="N704" s="1354">
        <v>0</v>
      </c>
      <c r="O704" s="1427">
        <v>41254</v>
      </c>
      <c r="P704" s="1438">
        <v>41257</v>
      </c>
      <c r="Q704" s="1355">
        <v>41274</v>
      </c>
      <c r="R704" s="1354">
        <v>82</v>
      </c>
      <c r="S704" s="1354" t="s">
        <v>1581</v>
      </c>
      <c r="T704" s="1378"/>
      <c r="U704" s="1358" t="s">
        <v>6361</v>
      </c>
      <c r="V704" s="1130" t="str">
        <f t="shared" si="86"/>
        <v>Diciembre</v>
      </c>
      <c r="W704" s="1128">
        <f t="shared" si="87"/>
        <v>1</v>
      </c>
    </row>
    <row r="705" spans="1:23" s="1321" customFormat="1" ht="57.6" customHeight="1" thickBot="1" x14ac:dyDescent="0.2">
      <c r="A705" s="1117">
        <v>2012</v>
      </c>
      <c r="B705" s="1117">
        <v>2012</v>
      </c>
      <c r="C705" s="1436" t="s">
        <v>36</v>
      </c>
      <c r="D705" s="1363" t="s">
        <v>133</v>
      </c>
      <c r="E705" s="1350" t="s">
        <v>2554</v>
      </c>
      <c r="F705" s="1367" t="s">
        <v>2555</v>
      </c>
      <c r="G705" s="1351">
        <v>4504923231</v>
      </c>
      <c r="H705" s="1352">
        <v>7293.64</v>
      </c>
      <c r="I705" s="1353">
        <v>41197</v>
      </c>
      <c r="J705" s="1354">
        <v>90</v>
      </c>
      <c r="K705" s="1353">
        <v>41287</v>
      </c>
      <c r="L705" s="1353" t="s">
        <v>41</v>
      </c>
      <c r="M705" s="1353">
        <v>41247</v>
      </c>
      <c r="N705" s="1354">
        <v>-30</v>
      </c>
      <c r="O705" s="1427">
        <v>41254</v>
      </c>
      <c r="P705" s="1438">
        <v>41257</v>
      </c>
      <c r="Q705" s="1355">
        <v>41274</v>
      </c>
      <c r="R705" s="1354">
        <v>77</v>
      </c>
      <c r="S705" s="1354" t="s">
        <v>53</v>
      </c>
      <c r="T705" s="1378" t="s">
        <v>2736</v>
      </c>
      <c r="U705" s="1358" t="s">
        <v>6361</v>
      </c>
      <c r="V705" s="1130" t="str">
        <f t="shared" si="86"/>
        <v>Diciembre</v>
      </c>
      <c r="W705" s="1128">
        <f t="shared" si="87"/>
        <v>1</v>
      </c>
    </row>
    <row r="706" spans="1:23" s="1321" customFormat="1" ht="57.6" customHeight="1" thickBot="1" x14ac:dyDescent="0.2">
      <c r="A706" s="1117">
        <v>2012</v>
      </c>
      <c r="B706" s="1117">
        <v>2012</v>
      </c>
      <c r="C706" s="1436" t="s">
        <v>36</v>
      </c>
      <c r="D706" s="1363" t="s">
        <v>133</v>
      </c>
      <c r="E706" s="1350" t="s">
        <v>2554</v>
      </c>
      <c r="F706" s="1367" t="s">
        <v>2555</v>
      </c>
      <c r="G706" s="1351">
        <v>450924095</v>
      </c>
      <c r="H706" s="1352">
        <v>10023.84</v>
      </c>
      <c r="I706" s="1353">
        <v>41193</v>
      </c>
      <c r="J706" s="1354">
        <v>67</v>
      </c>
      <c r="K706" s="1353">
        <v>41260</v>
      </c>
      <c r="L706" s="1353" t="s">
        <v>41</v>
      </c>
      <c r="M706" s="1353">
        <v>41247</v>
      </c>
      <c r="N706" s="1354">
        <v>-3</v>
      </c>
      <c r="O706" s="1427">
        <v>41254</v>
      </c>
      <c r="P706" s="1438">
        <v>41257</v>
      </c>
      <c r="Q706" s="1355">
        <v>41274</v>
      </c>
      <c r="R706" s="1354">
        <v>81</v>
      </c>
      <c r="S706" s="1354" t="s">
        <v>53</v>
      </c>
      <c r="T706" s="1378"/>
      <c r="U706" s="1358" t="s">
        <v>6361</v>
      </c>
      <c r="V706" s="1130" t="str">
        <f t="shared" ref="V706:V769" si="93">VLOOKUP(MONTH(M706),$Y$66:$Z$77,2,FALSE)</f>
        <v>Diciembre</v>
      </c>
      <c r="W706" s="1128">
        <f t="shared" ref="W706:W769" si="94">+IF(U706="atrasado",0)+IF(U706="en término",1)</f>
        <v>1</v>
      </c>
    </row>
    <row r="707" spans="1:23" s="1321" customFormat="1" ht="57.6" customHeight="1" thickBot="1" x14ac:dyDescent="0.2">
      <c r="A707" s="1117">
        <v>2012</v>
      </c>
      <c r="B707" s="1117">
        <v>2012</v>
      </c>
      <c r="C707" s="1436" t="s">
        <v>36</v>
      </c>
      <c r="D707" s="1363" t="s">
        <v>133</v>
      </c>
      <c r="E707" s="1350" t="s">
        <v>2686</v>
      </c>
      <c r="F707" s="1367" t="s">
        <v>2687</v>
      </c>
      <c r="G707" s="1351">
        <v>4504924098</v>
      </c>
      <c r="H707" s="1352">
        <v>12518.75</v>
      </c>
      <c r="I707" s="1353">
        <v>41193</v>
      </c>
      <c r="J707" s="1354">
        <v>95</v>
      </c>
      <c r="K707" s="1353">
        <v>41288</v>
      </c>
      <c r="L707" s="1353" t="s">
        <v>41</v>
      </c>
      <c r="M707" s="1353">
        <v>41271</v>
      </c>
      <c r="N707" s="1354">
        <v>-3</v>
      </c>
      <c r="O707" s="1427">
        <v>41282</v>
      </c>
      <c r="P707" s="1355">
        <v>41285</v>
      </c>
      <c r="Q707" s="1355">
        <v>41302</v>
      </c>
      <c r="R707" s="1354">
        <v>109</v>
      </c>
      <c r="S707" s="1354" t="s">
        <v>53</v>
      </c>
      <c r="T707" s="1378"/>
      <c r="U707" s="1358" t="s">
        <v>6361</v>
      </c>
      <c r="V707" s="1130" t="str">
        <f t="shared" si="93"/>
        <v>Diciembre</v>
      </c>
      <c r="W707" s="1128">
        <f t="shared" si="94"/>
        <v>1</v>
      </c>
    </row>
    <row r="708" spans="1:23" s="1321" customFormat="1" ht="57.6" customHeight="1" thickBot="1" x14ac:dyDescent="0.2">
      <c r="A708" s="1117">
        <v>2012</v>
      </c>
      <c r="B708" s="1117">
        <v>2012</v>
      </c>
      <c r="C708" s="1436" t="s">
        <v>36</v>
      </c>
      <c r="D708" s="1363" t="s">
        <v>133</v>
      </c>
      <c r="E708" s="1350" t="s">
        <v>2554</v>
      </c>
      <c r="F708" s="1367" t="s">
        <v>2555</v>
      </c>
      <c r="G708" s="1351">
        <v>4504931635</v>
      </c>
      <c r="H708" s="1352">
        <v>31730</v>
      </c>
      <c r="I708" s="1353">
        <v>41200</v>
      </c>
      <c r="J708" s="1354">
        <v>92</v>
      </c>
      <c r="K708" s="1353">
        <v>41292</v>
      </c>
      <c r="L708" s="1353" t="s">
        <v>41</v>
      </c>
      <c r="M708" s="1353">
        <v>41271</v>
      </c>
      <c r="N708" s="1354">
        <v>-7</v>
      </c>
      <c r="O708" s="1427">
        <v>41282</v>
      </c>
      <c r="P708" s="1355">
        <v>41285</v>
      </c>
      <c r="Q708" s="1355">
        <v>41302</v>
      </c>
      <c r="R708" s="1354">
        <v>102</v>
      </c>
      <c r="S708" s="1354" t="s">
        <v>53</v>
      </c>
      <c r="T708" s="1378"/>
      <c r="U708" s="1358" t="s">
        <v>6361</v>
      </c>
      <c r="V708" s="1130" t="str">
        <f t="shared" si="93"/>
        <v>Diciembre</v>
      </c>
      <c r="W708" s="1128">
        <f t="shared" si="94"/>
        <v>1</v>
      </c>
    </row>
    <row r="709" spans="1:23" s="1321" customFormat="1" ht="57.6" customHeight="1" thickBot="1" x14ac:dyDescent="0.2">
      <c r="A709" s="1117">
        <v>2012</v>
      </c>
      <c r="B709" s="1117">
        <v>2012</v>
      </c>
      <c r="C709" s="1436" t="s">
        <v>36</v>
      </c>
      <c r="D709" s="1363" t="s">
        <v>133</v>
      </c>
      <c r="E709" s="1350" t="s">
        <v>2668</v>
      </c>
      <c r="F709" s="1367" t="s">
        <v>2669</v>
      </c>
      <c r="G709" s="1340">
        <v>4504944370</v>
      </c>
      <c r="H709" s="1352">
        <v>18360</v>
      </c>
      <c r="I709" s="1353">
        <v>41207</v>
      </c>
      <c r="J709" s="1354">
        <v>71</v>
      </c>
      <c r="K709" s="1353">
        <v>41278</v>
      </c>
      <c r="L709" s="1353" t="s">
        <v>41</v>
      </c>
      <c r="M709" s="1353">
        <v>41257</v>
      </c>
      <c r="N709" s="1354">
        <v>-7</v>
      </c>
      <c r="O709" s="1427">
        <v>41268</v>
      </c>
      <c r="P709" s="1438">
        <v>41271</v>
      </c>
      <c r="Q709" s="1355">
        <v>41288</v>
      </c>
      <c r="R709" s="1354">
        <v>81</v>
      </c>
      <c r="S709" s="1354" t="s">
        <v>6363</v>
      </c>
      <c r="T709" s="1378"/>
      <c r="U709" s="1358" t="s">
        <v>6361</v>
      </c>
      <c r="V709" s="1130" t="str">
        <f t="shared" si="93"/>
        <v>Diciembre</v>
      </c>
      <c r="W709" s="1128">
        <f t="shared" si="94"/>
        <v>1</v>
      </c>
    </row>
    <row r="710" spans="1:23" s="1321" customFormat="1" ht="57.6" customHeight="1" thickBot="1" x14ac:dyDescent="0.2">
      <c r="A710" s="1117">
        <v>2012</v>
      </c>
      <c r="B710" s="1117">
        <v>2012</v>
      </c>
      <c r="C710" s="1436" t="s">
        <v>36</v>
      </c>
      <c r="D710" s="1363" t="s">
        <v>133</v>
      </c>
      <c r="E710" s="1350" t="s">
        <v>2554</v>
      </c>
      <c r="F710" s="1367" t="s">
        <v>2555</v>
      </c>
      <c r="G710" s="1351">
        <v>4504991260</v>
      </c>
      <c r="H710" s="1352">
        <v>97314</v>
      </c>
      <c r="I710" s="1353">
        <v>41236</v>
      </c>
      <c r="J710" s="1354">
        <v>63</v>
      </c>
      <c r="K710" s="1353">
        <v>41299</v>
      </c>
      <c r="L710" s="1353" t="s">
        <v>41</v>
      </c>
      <c r="M710" s="1353">
        <v>41271</v>
      </c>
      <c r="N710" s="1354">
        <v>-14</v>
      </c>
      <c r="O710" s="1427">
        <v>41282</v>
      </c>
      <c r="P710" s="1355">
        <v>41285</v>
      </c>
      <c r="Q710" s="1355">
        <v>41302</v>
      </c>
      <c r="R710" s="1354">
        <v>66</v>
      </c>
      <c r="S710" s="1354" t="s">
        <v>786</v>
      </c>
      <c r="T710" s="1378"/>
      <c r="U710" s="1358" t="s">
        <v>6361</v>
      </c>
      <c r="V710" s="1130" t="str">
        <f t="shared" si="93"/>
        <v>Diciembre</v>
      </c>
      <c r="W710" s="1128">
        <f t="shared" si="94"/>
        <v>1</v>
      </c>
    </row>
    <row r="711" spans="1:23" s="1321" customFormat="1" ht="57.6" customHeight="1" thickBot="1" x14ac:dyDescent="0.2">
      <c r="A711" s="1117">
        <v>2012</v>
      </c>
      <c r="B711" s="1117">
        <v>2012</v>
      </c>
      <c r="C711" s="1436" t="s">
        <v>36</v>
      </c>
      <c r="D711" s="1363" t="s">
        <v>133</v>
      </c>
      <c r="E711" s="1350" t="s">
        <v>2554</v>
      </c>
      <c r="F711" s="1367" t="s">
        <v>2555</v>
      </c>
      <c r="G711" s="1351">
        <v>4504997760</v>
      </c>
      <c r="H711" s="1352">
        <v>6241</v>
      </c>
      <c r="I711" s="1353">
        <v>41241</v>
      </c>
      <c r="J711" s="1354">
        <v>61</v>
      </c>
      <c r="K711" s="1353">
        <v>41302</v>
      </c>
      <c r="L711" s="1353" t="s">
        <v>41</v>
      </c>
      <c r="M711" s="1353">
        <v>41271</v>
      </c>
      <c r="N711" s="1354">
        <v>-17</v>
      </c>
      <c r="O711" s="1427">
        <v>41282</v>
      </c>
      <c r="P711" s="1355">
        <v>41285</v>
      </c>
      <c r="Q711" s="1355">
        <v>41302</v>
      </c>
      <c r="R711" s="1354">
        <v>61</v>
      </c>
      <c r="S711" s="1354" t="s">
        <v>53</v>
      </c>
      <c r="T711" s="1378"/>
      <c r="U711" s="1358" t="s">
        <v>6361</v>
      </c>
      <c r="V711" s="1130" t="str">
        <f t="shared" si="93"/>
        <v>Diciembre</v>
      </c>
      <c r="W711" s="1128">
        <f t="shared" si="94"/>
        <v>1</v>
      </c>
    </row>
    <row r="712" spans="1:23" s="1321" customFormat="1" ht="57.6" customHeight="1" thickBot="1" x14ac:dyDescent="0.2">
      <c r="A712" s="1117">
        <v>2012</v>
      </c>
      <c r="B712" s="1117">
        <v>2012</v>
      </c>
      <c r="C712" s="1436" t="s">
        <v>36</v>
      </c>
      <c r="D712" s="1363" t="s">
        <v>133</v>
      </c>
      <c r="E712" s="1350" t="s">
        <v>2668</v>
      </c>
      <c r="F712" s="1367" t="s">
        <v>2669</v>
      </c>
      <c r="G712" s="1351">
        <v>4504812512</v>
      </c>
      <c r="H712" s="1352">
        <v>30420</v>
      </c>
      <c r="I712" s="1353">
        <v>41136</v>
      </c>
      <c r="J712" s="1354">
        <f>+K712-I712</f>
        <v>155</v>
      </c>
      <c r="K712" s="1353">
        <v>41291</v>
      </c>
      <c r="L712" s="1353" t="s">
        <v>41</v>
      </c>
      <c r="M712" s="1353">
        <v>41271</v>
      </c>
      <c r="N712" s="1354">
        <f t="shared" ref="N712:N775" si="95">IF(P712="","",+P712-K712)</f>
        <v>-7</v>
      </c>
      <c r="O712" s="1427">
        <v>41282</v>
      </c>
      <c r="P712" s="1355">
        <v>41284</v>
      </c>
      <c r="Q712" s="1355">
        <v>41302</v>
      </c>
      <c r="R712" s="1354">
        <f t="shared" ref="R712:R775" si="96">IF(Q712="","",+Q712-I712)</f>
        <v>166</v>
      </c>
      <c r="S712" s="1354" t="s">
        <v>2746</v>
      </c>
      <c r="T712" s="1378"/>
      <c r="U712" s="1358" t="str">
        <f t="shared" ref="U712:U743" si="97">IF(N712="","",IF(N712&lt;=0,"en término","atrasado"))</f>
        <v>en término</v>
      </c>
      <c r="V712" s="1130" t="str">
        <f t="shared" si="93"/>
        <v>Diciembre</v>
      </c>
      <c r="W712" s="1128">
        <f t="shared" si="94"/>
        <v>1</v>
      </c>
    </row>
    <row r="713" spans="1:23" s="1321" customFormat="1" ht="57.6" customHeight="1" thickBot="1" x14ac:dyDescent="0.2">
      <c r="A713" s="1143">
        <v>2012</v>
      </c>
      <c r="B713" s="1143">
        <v>2012</v>
      </c>
      <c r="C713" s="1443" t="s">
        <v>36</v>
      </c>
      <c r="D713" s="1362" t="s">
        <v>133</v>
      </c>
      <c r="E713" s="1339" t="s">
        <v>2686</v>
      </c>
      <c r="F713" s="1372" t="s">
        <v>2687</v>
      </c>
      <c r="G713" s="1340">
        <v>4504924098</v>
      </c>
      <c r="H713" s="1341">
        <v>12302.35</v>
      </c>
      <c r="I713" s="1342">
        <v>41193</v>
      </c>
      <c r="J713" s="1343">
        <f>+K713-I713</f>
        <v>95</v>
      </c>
      <c r="K713" s="1342">
        <v>41288</v>
      </c>
      <c r="L713" s="1342" t="s">
        <v>41</v>
      </c>
      <c r="M713" s="1342">
        <v>41271</v>
      </c>
      <c r="N713" s="1343">
        <f t="shared" si="95"/>
        <v>-4</v>
      </c>
      <c r="O713" s="1426">
        <v>41282</v>
      </c>
      <c r="P713" s="1344">
        <v>41284</v>
      </c>
      <c r="Q713" s="1344">
        <v>41302</v>
      </c>
      <c r="R713" s="1343">
        <f t="shared" si="96"/>
        <v>109</v>
      </c>
      <c r="S713" s="1343" t="s">
        <v>53</v>
      </c>
      <c r="T713" s="1390"/>
      <c r="U713" s="1347" t="str">
        <f t="shared" si="97"/>
        <v>en término</v>
      </c>
      <c r="V713" s="1290" t="str">
        <f t="shared" si="93"/>
        <v>Diciembre</v>
      </c>
      <c r="W713" s="1323">
        <f t="shared" si="94"/>
        <v>1</v>
      </c>
    </row>
    <row r="714" spans="1:23" s="1321" customFormat="1" ht="57.6" customHeight="1" thickTop="1" thickBot="1" x14ac:dyDescent="0.2">
      <c r="A714" s="1157">
        <v>2013</v>
      </c>
      <c r="B714" s="1157">
        <v>2013</v>
      </c>
      <c r="C714" s="1444" t="s">
        <v>972</v>
      </c>
      <c r="D714" s="1431" t="s">
        <v>6051</v>
      </c>
      <c r="E714" s="1395" t="s">
        <v>6052</v>
      </c>
      <c r="F714" s="1445"/>
      <c r="G714" s="1396" t="s">
        <v>6053</v>
      </c>
      <c r="H714" s="1397">
        <v>234121.3</v>
      </c>
      <c r="I714" s="1398">
        <v>41247</v>
      </c>
      <c r="J714" s="1399">
        <f>+K714-I714</f>
        <v>202</v>
      </c>
      <c r="K714" s="1398">
        <v>41449</v>
      </c>
      <c r="L714" s="1398" t="s">
        <v>124</v>
      </c>
      <c r="M714" s="1398">
        <v>41390</v>
      </c>
      <c r="N714" s="1399">
        <f t="shared" si="95"/>
        <v>-42</v>
      </c>
      <c r="O714" s="1446">
        <v>41400</v>
      </c>
      <c r="P714" s="1400">
        <v>41407</v>
      </c>
      <c r="Q714" s="1400">
        <v>41437</v>
      </c>
      <c r="R714" s="1399">
        <f t="shared" si="96"/>
        <v>190</v>
      </c>
      <c r="S714" s="1447" t="s">
        <v>6056</v>
      </c>
      <c r="T714" s="1448" t="s">
        <v>6058</v>
      </c>
      <c r="U714" s="1402" t="str">
        <f t="shared" si="97"/>
        <v>en término</v>
      </c>
      <c r="V714" s="1289" t="str">
        <f t="shared" si="93"/>
        <v>Abril</v>
      </c>
      <c r="W714" s="1128">
        <f t="shared" si="94"/>
        <v>1</v>
      </c>
    </row>
    <row r="715" spans="1:23" s="1321" customFormat="1" ht="57.6" customHeight="1" thickBot="1" x14ac:dyDescent="0.2">
      <c r="A715" s="1117">
        <v>2013</v>
      </c>
      <c r="B715" s="1117">
        <v>2013</v>
      </c>
      <c r="C715" s="1436" t="s">
        <v>972</v>
      </c>
      <c r="D715" s="1363" t="s">
        <v>6051</v>
      </c>
      <c r="E715" s="1350" t="s">
        <v>6052</v>
      </c>
      <c r="F715" s="1367"/>
      <c r="G715" s="1351" t="s">
        <v>6053</v>
      </c>
      <c r="H715" s="1352">
        <v>48281.2</v>
      </c>
      <c r="I715" s="1353">
        <v>41247</v>
      </c>
      <c r="J715" s="1354">
        <f>+K715-I715</f>
        <v>202</v>
      </c>
      <c r="K715" s="1353">
        <v>41449</v>
      </c>
      <c r="L715" s="1353" t="s">
        <v>124</v>
      </c>
      <c r="M715" s="1353">
        <v>41443</v>
      </c>
      <c r="N715" s="1354">
        <f t="shared" si="95"/>
        <v>26</v>
      </c>
      <c r="O715" s="1427">
        <v>41451</v>
      </c>
      <c r="P715" s="1355">
        <v>41475</v>
      </c>
      <c r="Q715" s="1355">
        <f>+P715+21</f>
        <v>41496</v>
      </c>
      <c r="R715" s="1354">
        <f t="shared" si="96"/>
        <v>249</v>
      </c>
      <c r="S715" s="1437" t="s">
        <v>6059</v>
      </c>
      <c r="T715" s="1378" t="s">
        <v>6061</v>
      </c>
      <c r="U715" s="1358" t="str">
        <f t="shared" si="97"/>
        <v>atrasado</v>
      </c>
      <c r="V715" s="1130" t="str">
        <f t="shared" si="93"/>
        <v>Junio</v>
      </c>
      <c r="W715" s="1128">
        <f t="shared" si="94"/>
        <v>0</v>
      </c>
    </row>
    <row r="716" spans="1:23" s="1321" customFormat="1" ht="57.6" customHeight="1" thickBot="1" x14ac:dyDescent="0.2">
      <c r="A716" s="1117">
        <v>2013</v>
      </c>
      <c r="B716" s="1117">
        <v>2013</v>
      </c>
      <c r="C716" s="1436" t="s">
        <v>5697</v>
      </c>
      <c r="D716" s="1119" t="s">
        <v>5705</v>
      </c>
      <c r="E716" s="1350" t="s">
        <v>5766</v>
      </c>
      <c r="F716" s="1367"/>
      <c r="G716" s="1351" t="s">
        <v>5767</v>
      </c>
      <c r="H716" s="1352">
        <v>505</v>
      </c>
      <c r="I716" s="1353">
        <v>41333</v>
      </c>
      <c r="J716" s="1354">
        <v>7</v>
      </c>
      <c r="K716" s="1353">
        <f>+I716+J716</f>
        <v>41340</v>
      </c>
      <c r="L716" s="1353" t="s">
        <v>124</v>
      </c>
      <c r="M716" s="1353">
        <v>41335</v>
      </c>
      <c r="N716" s="1354">
        <f t="shared" si="95"/>
        <v>-2</v>
      </c>
      <c r="O716" s="1427"/>
      <c r="P716" s="1355">
        <v>41338</v>
      </c>
      <c r="Q716" s="1355">
        <f>+P716+10</f>
        <v>41348</v>
      </c>
      <c r="R716" s="1354">
        <f t="shared" si="96"/>
        <v>15</v>
      </c>
      <c r="S716" s="1437" t="s">
        <v>5768</v>
      </c>
      <c r="T716" s="1378" t="s">
        <v>5770</v>
      </c>
      <c r="U716" s="1358" t="str">
        <f t="shared" si="97"/>
        <v>en término</v>
      </c>
      <c r="V716" s="1130" t="str">
        <f t="shared" si="93"/>
        <v>Marzo</v>
      </c>
      <c r="W716" s="1128">
        <f t="shared" si="94"/>
        <v>1</v>
      </c>
    </row>
    <row r="717" spans="1:23" s="1321" customFormat="1" ht="57.6" customHeight="1" thickBot="1" x14ac:dyDescent="0.2">
      <c r="A717" s="1117">
        <v>2013</v>
      </c>
      <c r="B717" s="1117">
        <v>2013</v>
      </c>
      <c r="C717" s="1436" t="s">
        <v>5697</v>
      </c>
      <c r="D717" s="1119" t="s">
        <v>5705</v>
      </c>
      <c r="E717" s="1350" t="s">
        <v>5771</v>
      </c>
      <c r="F717" s="1367"/>
      <c r="G717" s="1351" t="s">
        <v>5772</v>
      </c>
      <c r="H717" s="1352">
        <v>73198.7</v>
      </c>
      <c r="I717" s="1353">
        <v>41291</v>
      </c>
      <c r="J717" s="1354">
        <v>105</v>
      </c>
      <c r="K717" s="1353">
        <f>+I717+J717</f>
        <v>41396</v>
      </c>
      <c r="L717" s="1353" t="s">
        <v>124</v>
      </c>
      <c r="M717" s="1353">
        <v>41418</v>
      </c>
      <c r="N717" s="1354">
        <f t="shared" si="95"/>
        <v>40</v>
      </c>
      <c r="O717" s="1427">
        <v>41430</v>
      </c>
      <c r="P717" s="1355">
        <v>41436</v>
      </c>
      <c r="Q717" s="1355">
        <v>41480</v>
      </c>
      <c r="R717" s="1354">
        <f t="shared" si="96"/>
        <v>189</v>
      </c>
      <c r="S717" s="1437" t="s">
        <v>5774</v>
      </c>
      <c r="T717" s="1378" t="s">
        <v>5776</v>
      </c>
      <c r="U717" s="1358" t="str">
        <f t="shared" si="97"/>
        <v>atrasado</v>
      </c>
      <c r="V717" s="1130" t="str">
        <f t="shared" si="93"/>
        <v>Mayo</v>
      </c>
      <c r="W717" s="1128">
        <f t="shared" si="94"/>
        <v>0</v>
      </c>
    </row>
    <row r="718" spans="1:23" s="1321" customFormat="1" ht="57.6" customHeight="1" thickBot="1" x14ac:dyDescent="0.2">
      <c r="A718" s="1117">
        <v>2013</v>
      </c>
      <c r="B718" s="1117">
        <v>2013</v>
      </c>
      <c r="C718" s="1436" t="s">
        <v>5697</v>
      </c>
      <c r="D718" s="1119" t="s">
        <v>5705</v>
      </c>
      <c r="E718" s="1350" t="s">
        <v>5777</v>
      </c>
      <c r="F718" s="1367"/>
      <c r="G718" s="1351" t="s">
        <v>5778</v>
      </c>
      <c r="H718" s="1352">
        <v>3780.3</v>
      </c>
      <c r="I718" s="1353">
        <v>41358</v>
      </c>
      <c r="J718" s="1354">
        <v>90</v>
      </c>
      <c r="K718" s="1353">
        <f>+I718+J718</f>
        <v>41448</v>
      </c>
      <c r="L718" s="1353" t="s">
        <v>124</v>
      </c>
      <c r="M718" s="1353">
        <v>41537</v>
      </c>
      <c r="N718" s="1354">
        <f t="shared" si="95"/>
        <v>107</v>
      </c>
      <c r="O718" s="1427">
        <v>41554</v>
      </c>
      <c r="P718" s="1355">
        <v>41555</v>
      </c>
      <c r="Q718" s="1355">
        <v>41559</v>
      </c>
      <c r="R718" s="1354">
        <f t="shared" si="96"/>
        <v>201</v>
      </c>
      <c r="S718" s="1354" t="s">
        <v>5779</v>
      </c>
      <c r="T718" s="1378" t="s">
        <v>5776</v>
      </c>
      <c r="U718" s="1358" t="str">
        <f t="shared" si="97"/>
        <v>atrasado</v>
      </c>
      <c r="V718" s="1130" t="str">
        <f t="shared" si="93"/>
        <v>Septiembre</v>
      </c>
      <c r="W718" s="1128">
        <f t="shared" si="94"/>
        <v>0</v>
      </c>
    </row>
    <row r="719" spans="1:23" s="1321" customFormat="1" ht="57.6" customHeight="1" thickBot="1" x14ac:dyDescent="0.2">
      <c r="A719" s="1117">
        <v>2013</v>
      </c>
      <c r="B719" s="1117">
        <v>2013</v>
      </c>
      <c r="C719" s="1436" t="s">
        <v>5697</v>
      </c>
      <c r="D719" s="1119" t="s">
        <v>5705</v>
      </c>
      <c r="E719" s="1350" t="s">
        <v>5781</v>
      </c>
      <c r="F719" s="1367"/>
      <c r="G719" s="1351" t="s">
        <v>5782</v>
      </c>
      <c r="H719" s="1352">
        <v>59257</v>
      </c>
      <c r="I719" s="1353">
        <v>41407</v>
      </c>
      <c r="J719" s="1354">
        <v>90</v>
      </c>
      <c r="K719" s="1353">
        <f>+I719+J719</f>
        <v>41497</v>
      </c>
      <c r="L719" s="1353" t="s">
        <v>124</v>
      </c>
      <c r="M719" s="1353">
        <v>41537</v>
      </c>
      <c r="N719" s="1354">
        <f t="shared" si="95"/>
        <v>68</v>
      </c>
      <c r="O719" s="1427">
        <v>41555</v>
      </c>
      <c r="P719" s="1355">
        <v>41565</v>
      </c>
      <c r="Q719" s="1355">
        <v>41600</v>
      </c>
      <c r="R719" s="1354">
        <f t="shared" si="96"/>
        <v>193</v>
      </c>
      <c r="S719" s="1437" t="s">
        <v>5779</v>
      </c>
      <c r="T719" s="1378"/>
      <c r="U719" s="1358" t="str">
        <f t="shared" si="97"/>
        <v>atrasado</v>
      </c>
      <c r="V719" s="1130" t="str">
        <f t="shared" si="93"/>
        <v>Septiembre</v>
      </c>
      <c r="W719" s="1128">
        <f t="shared" si="94"/>
        <v>0</v>
      </c>
    </row>
    <row r="720" spans="1:23" s="1321" customFormat="1" ht="57.6" customHeight="1" thickBot="1" x14ac:dyDescent="0.2">
      <c r="A720" s="1117">
        <v>2013</v>
      </c>
      <c r="B720" s="1117">
        <v>2013</v>
      </c>
      <c r="C720" s="1436" t="s">
        <v>5433</v>
      </c>
      <c r="D720" s="1363" t="s">
        <v>5456</v>
      </c>
      <c r="E720" s="1350" t="s">
        <v>5584</v>
      </c>
      <c r="F720" s="1367"/>
      <c r="G720" s="1351">
        <v>4500150887</v>
      </c>
      <c r="H720" s="1352">
        <v>113159.2</v>
      </c>
      <c r="I720" s="1353">
        <v>41239</v>
      </c>
      <c r="J720" s="1354">
        <f>+K720-I720</f>
        <v>126</v>
      </c>
      <c r="K720" s="1353">
        <v>41365</v>
      </c>
      <c r="L720" s="1353" t="s">
        <v>124</v>
      </c>
      <c r="M720" s="1353">
        <v>41355</v>
      </c>
      <c r="N720" s="1354">
        <f t="shared" si="95"/>
        <v>7</v>
      </c>
      <c r="O720" s="1427">
        <v>41367</v>
      </c>
      <c r="P720" s="1355">
        <v>41372</v>
      </c>
      <c r="Q720" s="1355">
        <f>+P720+10</f>
        <v>41382</v>
      </c>
      <c r="R720" s="1354">
        <f t="shared" si="96"/>
        <v>143</v>
      </c>
      <c r="S720" s="1354" t="s">
        <v>5585</v>
      </c>
      <c r="T720" s="1378" t="s">
        <v>5587</v>
      </c>
      <c r="U720" s="1358" t="str">
        <f t="shared" si="97"/>
        <v>atrasado</v>
      </c>
      <c r="V720" s="1130" t="str">
        <f t="shared" si="93"/>
        <v>Marzo</v>
      </c>
      <c r="W720" s="1128">
        <f t="shared" si="94"/>
        <v>0</v>
      </c>
    </row>
    <row r="721" spans="1:23" s="1321" customFormat="1" ht="57.6" customHeight="1" thickBot="1" x14ac:dyDescent="0.2">
      <c r="A721" s="1117">
        <v>2013</v>
      </c>
      <c r="B721" s="1117">
        <v>2013</v>
      </c>
      <c r="C721" s="1436" t="s">
        <v>5433</v>
      </c>
      <c r="D721" s="1145" t="s">
        <v>5434</v>
      </c>
      <c r="E721" s="1350" t="s">
        <v>5588</v>
      </c>
      <c r="F721" s="1367"/>
      <c r="G721" s="1351" t="s">
        <v>5589</v>
      </c>
      <c r="H721" s="1352">
        <v>2290</v>
      </c>
      <c r="I721" s="1353">
        <v>41339</v>
      </c>
      <c r="J721" s="1354">
        <v>45</v>
      </c>
      <c r="K721" s="1353">
        <f>+I721+J721</f>
        <v>41384</v>
      </c>
      <c r="L721" s="1353" t="s">
        <v>124</v>
      </c>
      <c r="M721" s="1353">
        <v>41376</v>
      </c>
      <c r="N721" s="1354">
        <f t="shared" si="95"/>
        <v>-1</v>
      </c>
      <c r="O721" s="1427">
        <v>41382</v>
      </c>
      <c r="P721" s="1355">
        <v>41383</v>
      </c>
      <c r="Q721" s="1355">
        <f>+P721+10</f>
        <v>41393</v>
      </c>
      <c r="R721" s="1354">
        <f t="shared" si="96"/>
        <v>54</v>
      </c>
      <c r="S721" s="1354" t="s">
        <v>53</v>
      </c>
      <c r="T721" s="1378"/>
      <c r="U721" s="1358" t="str">
        <f t="shared" si="97"/>
        <v>en término</v>
      </c>
      <c r="V721" s="1130" t="str">
        <f t="shared" si="93"/>
        <v>Abril</v>
      </c>
      <c r="W721" s="1128">
        <f t="shared" si="94"/>
        <v>1</v>
      </c>
    </row>
    <row r="722" spans="1:23" s="1321" customFormat="1" ht="57.6" customHeight="1" thickBot="1" x14ac:dyDescent="0.2">
      <c r="A722" s="1117">
        <v>2013</v>
      </c>
      <c r="B722" s="1117">
        <v>2013</v>
      </c>
      <c r="C722" s="1436" t="s">
        <v>5433</v>
      </c>
      <c r="D722" s="1363" t="s">
        <v>5456</v>
      </c>
      <c r="E722" s="1350" t="s">
        <v>5591</v>
      </c>
      <c r="F722" s="1367"/>
      <c r="G722" s="1351">
        <v>4500150870</v>
      </c>
      <c r="H722" s="1352">
        <v>55548.800000000003</v>
      </c>
      <c r="I722" s="1353">
        <v>41295</v>
      </c>
      <c r="J722" s="1354">
        <f>+K722-I722</f>
        <v>99</v>
      </c>
      <c r="K722" s="1353">
        <v>41394</v>
      </c>
      <c r="L722" s="1353" t="s">
        <v>124</v>
      </c>
      <c r="M722" s="1353">
        <v>41387</v>
      </c>
      <c r="N722" s="1354">
        <f t="shared" si="95"/>
        <v>4</v>
      </c>
      <c r="O722" s="1427">
        <v>41393</v>
      </c>
      <c r="P722" s="1355">
        <v>41398</v>
      </c>
      <c r="Q722" s="1355">
        <f>+P722+15</f>
        <v>41413</v>
      </c>
      <c r="R722" s="1354">
        <f t="shared" si="96"/>
        <v>118</v>
      </c>
      <c r="S722" s="1437" t="s">
        <v>5592</v>
      </c>
      <c r="T722" s="1378"/>
      <c r="U722" s="1358" t="str">
        <f t="shared" si="97"/>
        <v>atrasado</v>
      </c>
      <c r="V722" s="1130" t="str">
        <f t="shared" si="93"/>
        <v>Abril</v>
      </c>
      <c r="W722" s="1128">
        <f t="shared" si="94"/>
        <v>0</v>
      </c>
    </row>
    <row r="723" spans="1:23" s="1321" customFormat="1" ht="57.6" customHeight="1" thickBot="1" x14ac:dyDescent="0.2">
      <c r="A723" s="1117">
        <v>2013</v>
      </c>
      <c r="B723" s="1117">
        <v>2013</v>
      </c>
      <c r="C723" s="1436" t="s">
        <v>5433</v>
      </c>
      <c r="D723" s="1145" t="s">
        <v>5434</v>
      </c>
      <c r="E723" s="1350" t="s">
        <v>5594</v>
      </c>
      <c r="F723" s="1367"/>
      <c r="G723" s="1351" t="s">
        <v>5595</v>
      </c>
      <c r="H723" s="1352">
        <v>76297</v>
      </c>
      <c r="I723" s="1353">
        <v>41299</v>
      </c>
      <c r="J723" s="1354">
        <v>120</v>
      </c>
      <c r="K723" s="1353">
        <f>+I723+J723</f>
        <v>41419</v>
      </c>
      <c r="L723" s="1353" t="s">
        <v>5458</v>
      </c>
      <c r="M723" s="1353">
        <v>41415</v>
      </c>
      <c r="N723" s="1354">
        <f t="shared" si="95"/>
        <v>-3</v>
      </c>
      <c r="O723" s="1427"/>
      <c r="P723" s="1355">
        <v>41416</v>
      </c>
      <c r="Q723" s="1355">
        <v>41419</v>
      </c>
      <c r="R723" s="1354">
        <f t="shared" si="96"/>
        <v>120</v>
      </c>
      <c r="S723" s="1354" t="s">
        <v>53</v>
      </c>
      <c r="T723" s="1378"/>
      <c r="U723" s="1358" t="str">
        <f t="shared" si="97"/>
        <v>en término</v>
      </c>
      <c r="V723" s="1130" t="str">
        <f t="shared" si="93"/>
        <v>Mayo</v>
      </c>
      <c r="W723" s="1128">
        <f t="shared" si="94"/>
        <v>1</v>
      </c>
    </row>
    <row r="724" spans="1:23" s="1321" customFormat="1" ht="57.6" customHeight="1" thickBot="1" x14ac:dyDescent="0.2">
      <c r="A724" s="1117">
        <v>2013</v>
      </c>
      <c r="B724" s="1117">
        <v>2013</v>
      </c>
      <c r="C724" s="1436" t="s">
        <v>5433</v>
      </c>
      <c r="D724" s="1145" t="s">
        <v>5434</v>
      </c>
      <c r="E724" s="1350" t="s">
        <v>5597</v>
      </c>
      <c r="F724" s="1367"/>
      <c r="G724" s="1351" t="s">
        <v>5598</v>
      </c>
      <c r="H724" s="1352">
        <v>10650</v>
      </c>
      <c r="I724" s="1353">
        <v>41339</v>
      </c>
      <c r="J724" s="1354">
        <v>90</v>
      </c>
      <c r="K724" s="1353">
        <f>+I724+J724</f>
        <v>41429</v>
      </c>
      <c r="L724" s="1353" t="s">
        <v>5458</v>
      </c>
      <c r="M724" s="1353">
        <v>41429</v>
      </c>
      <c r="N724" s="1354">
        <f t="shared" si="95"/>
        <v>8</v>
      </c>
      <c r="O724" s="1427"/>
      <c r="P724" s="1355">
        <v>41437</v>
      </c>
      <c r="Q724" s="1355">
        <v>41440</v>
      </c>
      <c r="R724" s="1354">
        <f t="shared" si="96"/>
        <v>101</v>
      </c>
      <c r="S724" s="1354" t="s">
        <v>5599</v>
      </c>
      <c r="T724" s="1378"/>
      <c r="U724" s="1358" t="str">
        <f t="shared" si="97"/>
        <v>atrasado</v>
      </c>
      <c r="V724" s="1130" t="str">
        <f t="shared" si="93"/>
        <v>Junio</v>
      </c>
      <c r="W724" s="1128">
        <f t="shared" si="94"/>
        <v>0</v>
      </c>
    </row>
    <row r="725" spans="1:23" s="1321" customFormat="1" ht="57.6" customHeight="1" thickBot="1" x14ac:dyDescent="0.2">
      <c r="A725" s="1117">
        <v>2013</v>
      </c>
      <c r="B725" s="1117">
        <v>2013</v>
      </c>
      <c r="C725" s="1436" t="s">
        <v>5433</v>
      </c>
      <c r="D725" s="1363" t="s">
        <v>5456</v>
      </c>
      <c r="E725" s="1350" t="s">
        <v>5600</v>
      </c>
      <c r="F725" s="1367"/>
      <c r="G725" s="1351">
        <v>4500152323</v>
      </c>
      <c r="H725" s="1352">
        <v>86727.3</v>
      </c>
      <c r="I725" s="1353">
        <v>41325</v>
      </c>
      <c r="J725" s="1354">
        <f>+K725-I725</f>
        <v>124</v>
      </c>
      <c r="K725" s="1353">
        <v>41449</v>
      </c>
      <c r="L725" s="1353" t="s">
        <v>124</v>
      </c>
      <c r="M725" s="1353">
        <v>41439</v>
      </c>
      <c r="N725" s="1354">
        <f t="shared" si="95"/>
        <v>7</v>
      </c>
      <c r="O725" s="1427">
        <v>41451</v>
      </c>
      <c r="P725" s="1355">
        <v>41456</v>
      </c>
      <c r="Q725" s="1355">
        <f>+P725+15</f>
        <v>41471</v>
      </c>
      <c r="R725" s="1354">
        <f t="shared" si="96"/>
        <v>146</v>
      </c>
      <c r="S725" s="1437" t="s">
        <v>5601</v>
      </c>
      <c r="T725" s="1378"/>
      <c r="U725" s="1358" t="str">
        <f t="shared" si="97"/>
        <v>atrasado</v>
      </c>
      <c r="V725" s="1130" t="str">
        <f t="shared" si="93"/>
        <v>Junio</v>
      </c>
      <c r="W725" s="1128">
        <f t="shared" si="94"/>
        <v>0</v>
      </c>
    </row>
    <row r="726" spans="1:23" s="1321" customFormat="1" ht="57.6" customHeight="1" thickBot="1" x14ac:dyDescent="0.2">
      <c r="A726" s="1117">
        <v>2013</v>
      </c>
      <c r="B726" s="1117">
        <v>2013</v>
      </c>
      <c r="C726" s="1436" t="s">
        <v>5433</v>
      </c>
      <c r="D726" s="1145" t="s">
        <v>5434</v>
      </c>
      <c r="E726" s="1350" t="s">
        <v>5603</v>
      </c>
      <c r="F726" s="1367"/>
      <c r="G726" s="1351" t="s">
        <v>5604</v>
      </c>
      <c r="H726" s="1352">
        <v>2920</v>
      </c>
      <c r="I726" s="1353">
        <v>41428</v>
      </c>
      <c r="J726" s="1354">
        <v>15</v>
      </c>
      <c r="K726" s="1353">
        <f>+I726+J726</f>
        <v>41443</v>
      </c>
      <c r="L726" s="1353" t="s">
        <v>5445</v>
      </c>
      <c r="M726" s="1353">
        <v>41450</v>
      </c>
      <c r="N726" s="1354">
        <f t="shared" si="95"/>
        <v>7</v>
      </c>
      <c r="O726" s="1427"/>
      <c r="P726" s="1355">
        <v>41450</v>
      </c>
      <c r="Q726" s="1355">
        <f>+P726+5</f>
        <v>41455</v>
      </c>
      <c r="R726" s="1354">
        <f t="shared" si="96"/>
        <v>27</v>
      </c>
      <c r="S726" s="1354" t="s">
        <v>53</v>
      </c>
      <c r="T726" s="1378"/>
      <c r="U726" s="1358" t="str">
        <f t="shared" si="97"/>
        <v>atrasado</v>
      </c>
      <c r="V726" s="1130" t="str">
        <f t="shared" si="93"/>
        <v>Junio</v>
      </c>
      <c r="W726" s="1128">
        <f t="shared" si="94"/>
        <v>0</v>
      </c>
    </row>
    <row r="727" spans="1:23" s="1321" customFormat="1" ht="57.6" customHeight="1" thickBot="1" x14ac:dyDescent="0.2">
      <c r="A727" s="1117">
        <v>2013</v>
      </c>
      <c r="B727" s="1117">
        <v>2013</v>
      </c>
      <c r="C727" s="1436" t="s">
        <v>5433</v>
      </c>
      <c r="D727" s="1145" t="s">
        <v>5434</v>
      </c>
      <c r="E727" s="1350" t="s">
        <v>5597</v>
      </c>
      <c r="F727" s="1367"/>
      <c r="G727" s="1351" t="s">
        <v>5598</v>
      </c>
      <c r="H727" s="1352">
        <v>3625</v>
      </c>
      <c r="I727" s="1353">
        <v>41339</v>
      </c>
      <c r="J727" s="1354">
        <v>90</v>
      </c>
      <c r="K727" s="1353">
        <f>+I727+J727</f>
        <v>41429</v>
      </c>
      <c r="L727" s="1353" t="s">
        <v>5458</v>
      </c>
      <c r="M727" s="1353">
        <v>41453</v>
      </c>
      <c r="N727" s="1354">
        <f t="shared" si="95"/>
        <v>31</v>
      </c>
      <c r="O727" s="1427"/>
      <c r="P727" s="1355">
        <v>41460</v>
      </c>
      <c r="Q727" s="1355">
        <f>+P727+15</f>
        <v>41475</v>
      </c>
      <c r="R727" s="1354">
        <f t="shared" si="96"/>
        <v>136</v>
      </c>
      <c r="S727" s="1354" t="s">
        <v>5605</v>
      </c>
      <c r="T727" s="1378"/>
      <c r="U727" s="1358" t="str">
        <f t="shared" si="97"/>
        <v>atrasado</v>
      </c>
      <c r="V727" s="1130" t="str">
        <f t="shared" si="93"/>
        <v>Junio</v>
      </c>
      <c r="W727" s="1128">
        <f t="shared" si="94"/>
        <v>0</v>
      </c>
    </row>
    <row r="728" spans="1:23" s="1321" customFormat="1" ht="57.6" customHeight="1" thickBot="1" x14ac:dyDescent="0.2">
      <c r="A728" s="1117">
        <v>2013</v>
      </c>
      <c r="B728" s="1117">
        <v>2013</v>
      </c>
      <c r="C728" s="1436" t="s">
        <v>5433</v>
      </c>
      <c r="D728" s="1363" t="s">
        <v>5456</v>
      </c>
      <c r="E728" s="1350" t="s">
        <v>5606</v>
      </c>
      <c r="F728" s="1367"/>
      <c r="G728" s="1351">
        <v>4500153022</v>
      </c>
      <c r="H728" s="1352">
        <v>113706</v>
      </c>
      <c r="I728" s="1353">
        <v>41339</v>
      </c>
      <c r="J728" s="1354">
        <f>+K728-I728</f>
        <v>127</v>
      </c>
      <c r="K728" s="1353">
        <v>41466</v>
      </c>
      <c r="L728" s="1353" t="s">
        <v>124</v>
      </c>
      <c r="M728" s="1353">
        <v>41460</v>
      </c>
      <c r="N728" s="1354">
        <f t="shared" si="95"/>
        <v>0</v>
      </c>
      <c r="O728" s="1427"/>
      <c r="P728" s="1355">
        <v>41466</v>
      </c>
      <c r="Q728" s="1355">
        <v>41471</v>
      </c>
      <c r="R728" s="1354">
        <f t="shared" si="96"/>
        <v>132</v>
      </c>
      <c r="S728" s="1437" t="s">
        <v>5607</v>
      </c>
      <c r="T728" s="1378"/>
      <c r="U728" s="1358" t="str">
        <f t="shared" si="97"/>
        <v>en término</v>
      </c>
      <c r="V728" s="1130" t="str">
        <f t="shared" si="93"/>
        <v>Julio</v>
      </c>
      <c r="W728" s="1128">
        <f t="shared" si="94"/>
        <v>1</v>
      </c>
    </row>
    <row r="729" spans="1:23" s="1321" customFormat="1" ht="57.6" customHeight="1" thickBot="1" x14ac:dyDescent="0.2">
      <c r="A729" s="1117">
        <v>2013</v>
      </c>
      <c r="B729" s="1117">
        <v>2013</v>
      </c>
      <c r="C729" s="1436" t="s">
        <v>5433</v>
      </c>
      <c r="D729" s="1363" t="s">
        <v>5456</v>
      </c>
      <c r="E729" s="1350" t="s">
        <v>5610</v>
      </c>
      <c r="F729" s="1367"/>
      <c r="G729" s="1351">
        <v>4500155785</v>
      </c>
      <c r="H729" s="1352">
        <v>6508</v>
      </c>
      <c r="I729" s="1353">
        <v>41386</v>
      </c>
      <c r="J729" s="1354">
        <f>+K729-I729</f>
        <v>98</v>
      </c>
      <c r="K729" s="1353">
        <v>41484</v>
      </c>
      <c r="L729" s="1353" t="s">
        <v>124</v>
      </c>
      <c r="M729" s="1353">
        <v>41474</v>
      </c>
      <c r="N729" s="1354">
        <f t="shared" si="95"/>
        <v>2</v>
      </c>
      <c r="O729" s="1427">
        <v>41481</v>
      </c>
      <c r="P729" s="1355">
        <v>41486</v>
      </c>
      <c r="Q729" s="1355">
        <v>41491</v>
      </c>
      <c r="R729" s="1354">
        <f t="shared" si="96"/>
        <v>105</v>
      </c>
      <c r="S729" s="1437" t="s">
        <v>5601</v>
      </c>
      <c r="T729" s="1378"/>
      <c r="U729" s="1358" t="str">
        <f t="shared" si="97"/>
        <v>atrasado</v>
      </c>
      <c r="V729" s="1130" t="str">
        <f t="shared" si="93"/>
        <v>Julio</v>
      </c>
      <c r="W729" s="1128">
        <f t="shared" si="94"/>
        <v>0</v>
      </c>
    </row>
    <row r="730" spans="1:23" s="1321" customFormat="1" ht="57.6" customHeight="1" thickBot="1" x14ac:dyDescent="0.2">
      <c r="A730" s="1117">
        <v>2013</v>
      </c>
      <c r="B730" s="1117">
        <v>2013</v>
      </c>
      <c r="C730" s="1436" t="s">
        <v>5433</v>
      </c>
      <c r="D730" s="1145" t="s">
        <v>5434</v>
      </c>
      <c r="E730" s="1350" t="s">
        <v>5612</v>
      </c>
      <c r="F730" s="1367"/>
      <c r="G730" s="1351" t="s">
        <v>5613</v>
      </c>
      <c r="H730" s="1352">
        <v>260381</v>
      </c>
      <c r="I730" s="1353">
        <v>41442</v>
      </c>
      <c r="J730" s="1354">
        <v>120</v>
      </c>
      <c r="K730" s="1353">
        <f>+I730+J730</f>
        <v>41562</v>
      </c>
      <c r="L730" s="1353" t="s">
        <v>5458</v>
      </c>
      <c r="M730" s="1353">
        <v>41558</v>
      </c>
      <c r="N730" s="1354">
        <f t="shared" si="95"/>
        <v>-4</v>
      </c>
      <c r="O730" s="1427"/>
      <c r="P730" s="1355">
        <v>41558</v>
      </c>
      <c r="Q730" s="1355">
        <v>41560</v>
      </c>
      <c r="R730" s="1354">
        <f t="shared" si="96"/>
        <v>118</v>
      </c>
      <c r="S730" s="1354" t="s">
        <v>5614</v>
      </c>
      <c r="T730" s="1378"/>
      <c r="U730" s="1358" t="str">
        <f t="shared" si="97"/>
        <v>en término</v>
      </c>
      <c r="V730" s="1130" t="str">
        <f t="shared" si="93"/>
        <v>Octubre</v>
      </c>
      <c r="W730" s="1128">
        <f t="shared" si="94"/>
        <v>1</v>
      </c>
    </row>
    <row r="731" spans="1:23" s="1321" customFormat="1" ht="57.6" customHeight="1" thickBot="1" x14ac:dyDescent="0.2">
      <c r="A731" s="1117">
        <v>2013</v>
      </c>
      <c r="B731" s="1117">
        <v>2013</v>
      </c>
      <c r="C731" s="1436" t="s">
        <v>5433</v>
      </c>
      <c r="D731" s="1145" t="s">
        <v>5434</v>
      </c>
      <c r="E731" s="1350" t="s">
        <v>5615</v>
      </c>
      <c r="F731" s="1367"/>
      <c r="G731" s="1351" t="s">
        <v>5616</v>
      </c>
      <c r="H731" s="1352">
        <v>8900</v>
      </c>
      <c r="I731" s="1353">
        <v>41486</v>
      </c>
      <c r="J731" s="1354">
        <v>90</v>
      </c>
      <c r="K731" s="1353">
        <f>+I731+J731</f>
        <v>41576</v>
      </c>
      <c r="L731" s="1353" t="s">
        <v>5445</v>
      </c>
      <c r="M731" s="1353">
        <v>41571</v>
      </c>
      <c r="N731" s="1354">
        <f t="shared" si="95"/>
        <v>6</v>
      </c>
      <c r="O731" s="1427"/>
      <c r="P731" s="1355">
        <v>41582</v>
      </c>
      <c r="Q731" s="1355">
        <v>41592</v>
      </c>
      <c r="R731" s="1354">
        <f t="shared" si="96"/>
        <v>106</v>
      </c>
      <c r="S731" s="1354" t="s">
        <v>53</v>
      </c>
      <c r="T731" s="1378"/>
      <c r="U731" s="1358" t="str">
        <f t="shared" si="97"/>
        <v>atrasado</v>
      </c>
      <c r="V731" s="1130" t="str">
        <f t="shared" si="93"/>
        <v>Octubre</v>
      </c>
      <c r="W731" s="1128">
        <f t="shared" si="94"/>
        <v>0</v>
      </c>
    </row>
    <row r="732" spans="1:23" s="1321" customFormat="1" ht="57.6" customHeight="1" thickBot="1" x14ac:dyDescent="0.2">
      <c r="A732" s="1117">
        <v>2013</v>
      </c>
      <c r="B732" s="1117">
        <v>2013</v>
      </c>
      <c r="C732" s="1436" t="s">
        <v>5433</v>
      </c>
      <c r="D732" s="1145" t="s">
        <v>5434</v>
      </c>
      <c r="E732" s="1350" t="s">
        <v>5617</v>
      </c>
      <c r="F732" s="1367"/>
      <c r="G732" s="1351" t="s">
        <v>5618</v>
      </c>
      <c r="H732" s="1352">
        <v>11370</v>
      </c>
      <c r="I732" s="1353">
        <v>41535</v>
      </c>
      <c r="J732" s="1354">
        <v>45</v>
      </c>
      <c r="K732" s="1353">
        <f>+I732+J732</f>
        <v>41580</v>
      </c>
      <c r="L732" s="1353" t="s">
        <v>5445</v>
      </c>
      <c r="M732" s="1353">
        <v>41571</v>
      </c>
      <c r="N732" s="1354">
        <f t="shared" si="95"/>
        <v>2</v>
      </c>
      <c r="O732" s="1427"/>
      <c r="P732" s="1355">
        <v>41582</v>
      </c>
      <c r="Q732" s="1355">
        <v>41592</v>
      </c>
      <c r="R732" s="1354">
        <f t="shared" si="96"/>
        <v>57</v>
      </c>
      <c r="S732" s="1354" t="s">
        <v>53</v>
      </c>
      <c r="T732" s="1378"/>
      <c r="U732" s="1358" t="str">
        <f t="shared" si="97"/>
        <v>atrasado</v>
      </c>
      <c r="V732" s="1130" t="str">
        <f t="shared" si="93"/>
        <v>Octubre</v>
      </c>
      <c r="W732" s="1128">
        <f t="shared" si="94"/>
        <v>0</v>
      </c>
    </row>
    <row r="733" spans="1:23" s="1321" customFormat="1" ht="57.6" customHeight="1" thickBot="1" x14ac:dyDescent="0.2">
      <c r="A733" s="1117">
        <v>2013</v>
      </c>
      <c r="B733" s="1117">
        <v>2013</v>
      </c>
      <c r="C733" s="1436" t="s">
        <v>5433</v>
      </c>
      <c r="D733" s="1145" t="s">
        <v>5434</v>
      </c>
      <c r="E733" s="1350" t="s">
        <v>5619</v>
      </c>
      <c r="F733" s="1367"/>
      <c r="G733" s="1351" t="s">
        <v>5620</v>
      </c>
      <c r="H733" s="1352">
        <v>5900</v>
      </c>
      <c r="I733" s="1353">
        <v>41535</v>
      </c>
      <c r="J733" s="1354">
        <v>70</v>
      </c>
      <c r="K733" s="1353">
        <f>+I733+J733</f>
        <v>41605</v>
      </c>
      <c r="L733" s="1353" t="s">
        <v>5445</v>
      </c>
      <c r="M733" s="1353">
        <v>41599</v>
      </c>
      <c r="N733" s="1354">
        <f t="shared" si="95"/>
        <v>49</v>
      </c>
      <c r="O733" s="1427"/>
      <c r="P733" s="1355">
        <v>41654</v>
      </c>
      <c r="Q733" s="1355">
        <v>41655</v>
      </c>
      <c r="R733" s="1354">
        <f t="shared" si="96"/>
        <v>120</v>
      </c>
      <c r="S733" s="1354" t="s">
        <v>53</v>
      </c>
      <c r="T733" s="1378" t="s">
        <v>5621</v>
      </c>
      <c r="U733" s="1358" t="str">
        <f t="shared" si="97"/>
        <v>atrasado</v>
      </c>
      <c r="V733" s="1130" t="str">
        <f t="shared" si="93"/>
        <v>Noviembre</v>
      </c>
      <c r="W733" s="1128">
        <f t="shared" si="94"/>
        <v>0</v>
      </c>
    </row>
    <row r="734" spans="1:23" s="1321" customFormat="1" ht="57.6" customHeight="1" thickBot="1" x14ac:dyDescent="0.2">
      <c r="A734" s="1117">
        <v>2013</v>
      </c>
      <c r="B734" s="1117">
        <v>2013</v>
      </c>
      <c r="C734" s="1436" t="s">
        <v>5433</v>
      </c>
      <c r="D734" s="1363" t="s">
        <v>5456</v>
      </c>
      <c r="E734" s="1350" t="s">
        <v>5622</v>
      </c>
      <c r="F734" s="1367"/>
      <c r="G734" s="1351">
        <v>4500162329</v>
      </c>
      <c r="H734" s="1352">
        <v>140530</v>
      </c>
      <c r="I734" s="1353">
        <v>41508</v>
      </c>
      <c r="J734" s="1354">
        <f>+K734-I734</f>
        <v>102</v>
      </c>
      <c r="K734" s="1353">
        <v>41610</v>
      </c>
      <c r="L734" s="1353" t="s">
        <v>5458</v>
      </c>
      <c r="M734" s="1353">
        <v>41614</v>
      </c>
      <c r="N734" s="1354">
        <f t="shared" si="95"/>
        <v>10</v>
      </c>
      <c r="O734" s="1427"/>
      <c r="P734" s="1355">
        <v>41620</v>
      </c>
      <c r="Q734" s="1355">
        <f>+P734+10</f>
        <v>41630</v>
      </c>
      <c r="R734" s="1354">
        <f t="shared" si="96"/>
        <v>122</v>
      </c>
      <c r="S734" s="1437" t="s">
        <v>5623</v>
      </c>
      <c r="T734" s="1378" t="s">
        <v>5625</v>
      </c>
      <c r="U734" s="1358" t="str">
        <f t="shared" si="97"/>
        <v>atrasado</v>
      </c>
      <c r="V734" s="1130" t="str">
        <f t="shared" si="93"/>
        <v>Diciembre</v>
      </c>
      <c r="W734" s="1128">
        <f t="shared" si="94"/>
        <v>0</v>
      </c>
    </row>
    <row r="735" spans="1:23" s="1321" customFormat="1" ht="57.6" customHeight="1" thickBot="1" x14ac:dyDescent="0.2">
      <c r="A735" s="1117">
        <v>2013</v>
      </c>
      <c r="B735" s="1117">
        <v>2013</v>
      </c>
      <c r="C735" s="1436" t="s">
        <v>5433</v>
      </c>
      <c r="D735" s="1363" t="s">
        <v>5456</v>
      </c>
      <c r="E735" s="1350" t="s">
        <v>5626</v>
      </c>
      <c r="F735" s="1367"/>
      <c r="G735" s="1351">
        <v>4500163249</v>
      </c>
      <c r="H735" s="1352">
        <v>98700</v>
      </c>
      <c r="I735" s="1353">
        <v>41522</v>
      </c>
      <c r="J735" s="1354">
        <f>+K735-I735</f>
        <v>123</v>
      </c>
      <c r="K735" s="1353">
        <v>41645</v>
      </c>
      <c r="L735" s="1353" t="s">
        <v>5458</v>
      </c>
      <c r="M735" s="1353">
        <v>41614</v>
      </c>
      <c r="N735" s="1354">
        <f t="shared" si="95"/>
        <v>-25</v>
      </c>
      <c r="O735" s="1427"/>
      <c r="P735" s="1355">
        <v>41620</v>
      </c>
      <c r="Q735" s="1355">
        <f>+P735+10</f>
        <v>41630</v>
      </c>
      <c r="R735" s="1354">
        <f t="shared" si="96"/>
        <v>108</v>
      </c>
      <c r="S735" s="1437" t="s">
        <v>5627</v>
      </c>
      <c r="T735" s="1378" t="s">
        <v>5628</v>
      </c>
      <c r="U735" s="1358" t="str">
        <f t="shared" si="97"/>
        <v>en término</v>
      </c>
      <c r="V735" s="1130" t="str">
        <f t="shared" si="93"/>
        <v>Diciembre</v>
      </c>
      <c r="W735" s="1128">
        <f t="shared" si="94"/>
        <v>1</v>
      </c>
    </row>
    <row r="736" spans="1:23" s="1321" customFormat="1" ht="57.6" customHeight="1" thickBot="1" x14ac:dyDescent="0.2">
      <c r="A736" s="1117">
        <v>2013</v>
      </c>
      <c r="B736" s="1117">
        <v>2013</v>
      </c>
      <c r="C736" s="1436" t="s">
        <v>5433</v>
      </c>
      <c r="D736" s="1363" t="s">
        <v>5456</v>
      </c>
      <c r="E736" s="1350" t="s">
        <v>5629</v>
      </c>
      <c r="F736" s="1367"/>
      <c r="G736" s="1351">
        <v>4500167343</v>
      </c>
      <c r="H736" s="1352">
        <v>6400</v>
      </c>
      <c r="I736" s="1353">
        <v>41594</v>
      </c>
      <c r="J736" s="1354">
        <f>+K736-I736</f>
        <v>65</v>
      </c>
      <c r="K736" s="1353">
        <v>41659</v>
      </c>
      <c r="L736" s="1353" t="s">
        <v>124</v>
      </c>
      <c r="M736" s="1353">
        <v>41625</v>
      </c>
      <c r="N736" s="1354">
        <f t="shared" si="95"/>
        <v>-4</v>
      </c>
      <c r="O736" s="1427"/>
      <c r="P736" s="1355">
        <v>41655</v>
      </c>
      <c r="Q736" s="1355">
        <v>41660</v>
      </c>
      <c r="R736" s="1354">
        <f t="shared" si="96"/>
        <v>66</v>
      </c>
      <c r="S736" s="1354" t="s">
        <v>5630</v>
      </c>
      <c r="T736" s="1378" t="s">
        <v>5632</v>
      </c>
      <c r="U736" s="1358" t="str">
        <f t="shared" si="97"/>
        <v>en término</v>
      </c>
      <c r="V736" s="1130" t="str">
        <f t="shared" si="93"/>
        <v>Diciembre</v>
      </c>
      <c r="W736" s="1128">
        <f t="shared" si="94"/>
        <v>1</v>
      </c>
    </row>
    <row r="737" spans="1:23" s="1321" customFormat="1" ht="57.6" customHeight="1" thickBot="1" x14ac:dyDescent="0.2">
      <c r="A737" s="1117">
        <v>2013</v>
      </c>
      <c r="B737" s="1117">
        <v>2013</v>
      </c>
      <c r="C737" s="1436" t="s">
        <v>5427</v>
      </c>
      <c r="D737" s="1363" t="s">
        <v>5382</v>
      </c>
      <c r="E737" s="1350" t="s">
        <v>5428</v>
      </c>
      <c r="F737" s="1367"/>
      <c r="G737" s="1351" t="s">
        <v>5429</v>
      </c>
      <c r="H737" s="1352">
        <v>3387</v>
      </c>
      <c r="I737" s="1353">
        <v>41338</v>
      </c>
      <c r="J737" s="1354">
        <v>75</v>
      </c>
      <c r="K737" s="1353">
        <f>+I737+J737</f>
        <v>41413</v>
      </c>
      <c r="L737" s="1353" t="s">
        <v>124</v>
      </c>
      <c r="M737" s="1353">
        <v>41386</v>
      </c>
      <c r="N737" s="1354">
        <f t="shared" si="95"/>
        <v>-1</v>
      </c>
      <c r="O737" s="1427">
        <v>41407</v>
      </c>
      <c r="P737" s="1355">
        <v>41412</v>
      </c>
      <c r="Q737" s="1355">
        <v>41414</v>
      </c>
      <c r="R737" s="1354">
        <f t="shared" si="96"/>
        <v>76</v>
      </c>
      <c r="S737" s="1437" t="s">
        <v>5430</v>
      </c>
      <c r="T737" s="1378"/>
      <c r="U737" s="1358" t="str">
        <f t="shared" si="97"/>
        <v>en término</v>
      </c>
      <c r="V737" s="1130" t="str">
        <f t="shared" si="93"/>
        <v>Abril</v>
      </c>
      <c r="W737" s="1128">
        <f t="shared" si="94"/>
        <v>1</v>
      </c>
    </row>
    <row r="738" spans="1:23" s="1321" customFormat="1" ht="57.6" customHeight="1" thickBot="1" x14ac:dyDescent="0.2">
      <c r="A738" s="1117">
        <v>2013</v>
      </c>
      <c r="B738" s="1117">
        <v>2013</v>
      </c>
      <c r="C738" s="1436" t="s">
        <v>5265</v>
      </c>
      <c r="D738" s="1363" t="s">
        <v>5351</v>
      </c>
      <c r="E738" s="1350" t="s">
        <v>5352</v>
      </c>
      <c r="F738" s="1367"/>
      <c r="G738" s="1351" t="s">
        <v>5353</v>
      </c>
      <c r="H738" s="1352">
        <v>11015.4</v>
      </c>
      <c r="I738" s="1353">
        <v>41361</v>
      </c>
      <c r="J738" s="1354">
        <v>90</v>
      </c>
      <c r="K738" s="1353">
        <f>+I738+J738</f>
        <v>41451</v>
      </c>
      <c r="L738" s="1353" t="s">
        <v>124</v>
      </c>
      <c r="M738" s="1353">
        <v>41443</v>
      </c>
      <c r="N738" s="1354">
        <f t="shared" si="95"/>
        <v>1</v>
      </c>
      <c r="O738" s="1427"/>
      <c r="P738" s="1355">
        <v>41452</v>
      </c>
      <c r="Q738" s="1355">
        <v>41455</v>
      </c>
      <c r="R738" s="1354">
        <f t="shared" si="96"/>
        <v>94</v>
      </c>
      <c r="S738" s="1437" t="s">
        <v>5354</v>
      </c>
      <c r="T738" s="1378" t="s">
        <v>5356</v>
      </c>
      <c r="U738" s="1358" t="str">
        <f t="shared" si="97"/>
        <v>atrasado</v>
      </c>
      <c r="V738" s="1130" t="str">
        <f t="shared" si="93"/>
        <v>Junio</v>
      </c>
      <c r="W738" s="1128">
        <f t="shared" si="94"/>
        <v>0</v>
      </c>
    </row>
    <row r="739" spans="1:23" s="1321" customFormat="1" ht="57.6" customHeight="1" thickBot="1" x14ac:dyDescent="0.2">
      <c r="A739" s="1117">
        <v>2013</v>
      </c>
      <c r="B739" s="1117">
        <v>2013</v>
      </c>
      <c r="C739" s="1436" t="s">
        <v>120</v>
      </c>
      <c r="D739" s="1363" t="s">
        <v>121</v>
      </c>
      <c r="E739" s="1350" t="s">
        <v>5245</v>
      </c>
      <c r="F739" s="1367"/>
      <c r="G739" s="1351">
        <v>39628</v>
      </c>
      <c r="H739" s="1352">
        <v>8700</v>
      </c>
      <c r="I739" s="1353">
        <v>41235</v>
      </c>
      <c r="J739" s="1354">
        <f>+K739-I739</f>
        <v>70</v>
      </c>
      <c r="K739" s="1353">
        <v>41305</v>
      </c>
      <c r="L739" s="1353" t="s">
        <v>124</v>
      </c>
      <c r="M739" s="1353">
        <v>41285</v>
      </c>
      <c r="N739" s="1354">
        <f t="shared" si="95"/>
        <v>15</v>
      </c>
      <c r="O739" s="1427">
        <v>41311</v>
      </c>
      <c r="P739" s="1355">
        <v>41320</v>
      </c>
      <c r="Q739" s="1355">
        <f>+P739+40</f>
        <v>41360</v>
      </c>
      <c r="R739" s="1354">
        <f t="shared" si="96"/>
        <v>125</v>
      </c>
      <c r="S739" s="1354" t="s">
        <v>73</v>
      </c>
      <c r="T739" s="1378"/>
      <c r="U739" s="1358" t="str">
        <f t="shared" si="97"/>
        <v>atrasado</v>
      </c>
      <c r="V739" s="1130" t="str">
        <f t="shared" si="93"/>
        <v>Enero</v>
      </c>
      <c r="W739" s="1128">
        <f t="shared" si="94"/>
        <v>0</v>
      </c>
    </row>
    <row r="740" spans="1:23" s="1321" customFormat="1" ht="57.6" customHeight="1" thickBot="1" x14ac:dyDescent="0.2">
      <c r="A740" s="1117">
        <v>2013</v>
      </c>
      <c r="B740" s="1117">
        <v>2013</v>
      </c>
      <c r="C740" s="1436" t="s">
        <v>120</v>
      </c>
      <c r="D740" s="1363" t="s">
        <v>121</v>
      </c>
      <c r="E740" s="1350" t="s">
        <v>5247</v>
      </c>
      <c r="F740" s="1367"/>
      <c r="G740" s="1351">
        <v>40756</v>
      </c>
      <c r="H740" s="1352">
        <v>10153.299999999999</v>
      </c>
      <c r="I740" s="1353">
        <v>41304</v>
      </c>
      <c r="J740" s="1354">
        <f>+K740-I740</f>
        <v>81</v>
      </c>
      <c r="K740" s="1353">
        <v>41385</v>
      </c>
      <c r="L740" s="1353" t="s">
        <v>124</v>
      </c>
      <c r="M740" s="1353">
        <v>41376</v>
      </c>
      <c r="N740" s="1354">
        <f t="shared" si="95"/>
        <v>26</v>
      </c>
      <c r="O740" s="1427">
        <v>41402</v>
      </c>
      <c r="P740" s="1355">
        <v>41411</v>
      </c>
      <c r="Q740" s="1355">
        <f>+P740+45</f>
        <v>41456</v>
      </c>
      <c r="R740" s="1354">
        <f t="shared" si="96"/>
        <v>152</v>
      </c>
      <c r="S740" s="1354" t="s">
        <v>53</v>
      </c>
      <c r="T740" s="1378"/>
      <c r="U740" s="1358" t="str">
        <f t="shared" si="97"/>
        <v>atrasado</v>
      </c>
      <c r="V740" s="1130" t="str">
        <f t="shared" si="93"/>
        <v>Abril</v>
      </c>
      <c r="W740" s="1128">
        <f t="shared" si="94"/>
        <v>0</v>
      </c>
    </row>
    <row r="741" spans="1:23" s="1321" customFormat="1" ht="57.6" customHeight="1" thickBot="1" x14ac:dyDescent="0.2">
      <c r="A741" s="1117">
        <v>2013</v>
      </c>
      <c r="B741" s="1117">
        <v>2013</v>
      </c>
      <c r="C741" s="1436" t="s">
        <v>114</v>
      </c>
      <c r="D741" s="1363" t="s">
        <v>4793</v>
      </c>
      <c r="E741" s="1350" t="s">
        <v>4794</v>
      </c>
      <c r="F741" s="1367"/>
      <c r="G741" s="1351" t="s">
        <v>4795</v>
      </c>
      <c r="H741" s="1352">
        <v>6900</v>
      </c>
      <c r="I741" s="1353">
        <v>41299</v>
      </c>
      <c r="J741" s="1354">
        <v>90</v>
      </c>
      <c r="K741" s="1353">
        <f>+I741+J741</f>
        <v>41389</v>
      </c>
      <c r="L741" s="1353" t="s">
        <v>124</v>
      </c>
      <c r="M741" s="1353">
        <v>41380</v>
      </c>
      <c r="N741" s="1354">
        <f t="shared" si="95"/>
        <v>10</v>
      </c>
      <c r="O741" s="1427">
        <v>41387</v>
      </c>
      <c r="P741" s="1355">
        <v>41399</v>
      </c>
      <c r="Q741" s="1355">
        <v>41432</v>
      </c>
      <c r="R741" s="1354">
        <f t="shared" si="96"/>
        <v>133</v>
      </c>
      <c r="S741" s="1354" t="s">
        <v>4798</v>
      </c>
      <c r="T741" s="1378" t="s">
        <v>4800</v>
      </c>
      <c r="U741" s="1358" t="str">
        <f t="shared" si="97"/>
        <v>atrasado</v>
      </c>
      <c r="V741" s="1130" t="str">
        <f t="shared" si="93"/>
        <v>Abril</v>
      </c>
      <c r="W741" s="1128">
        <f t="shared" si="94"/>
        <v>0</v>
      </c>
    </row>
    <row r="742" spans="1:23" s="1321" customFormat="1" ht="57.6" customHeight="1" thickBot="1" x14ac:dyDescent="0.2">
      <c r="A742" s="1117">
        <v>2013</v>
      </c>
      <c r="B742" s="1117">
        <v>2013</v>
      </c>
      <c r="C742" s="1436" t="s">
        <v>114</v>
      </c>
      <c r="D742" s="1363" t="s">
        <v>4801</v>
      </c>
      <c r="E742" s="1350" t="s">
        <v>4802</v>
      </c>
      <c r="F742" s="1367"/>
      <c r="G742" s="1351">
        <v>30500204</v>
      </c>
      <c r="H742" s="1352">
        <v>22465</v>
      </c>
      <c r="I742" s="1353">
        <v>41422</v>
      </c>
      <c r="J742" s="1354">
        <v>90</v>
      </c>
      <c r="K742" s="1353">
        <v>41511</v>
      </c>
      <c r="L742" s="1353" t="s">
        <v>124</v>
      </c>
      <c r="M742" s="1353">
        <v>41513</v>
      </c>
      <c r="N742" s="1354">
        <f t="shared" si="95"/>
        <v>25</v>
      </c>
      <c r="O742" s="1427">
        <v>41530</v>
      </c>
      <c r="P742" s="1355">
        <v>41536</v>
      </c>
      <c r="Q742" s="1355">
        <v>41539</v>
      </c>
      <c r="R742" s="1354">
        <f t="shared" si="96"/>
        <v>117</v>
      </c>
      <c r="S742" s="1354" t="s">
        <v>4803</v>
      </c>
      <c r="T742" s="1378" t="s">
        <v>4805</v>
      </c>
      <c r="U742" s="1358" t="str">
        <f t="shared" si="97"/>
        <v>atrasado</v>
      </c>
      <c r="V742" s="1130" t="str">
        <f t="shared" si="93"/>
        <v>Agosto</v>
      </c>
      <c r="W742" s="1128">
        <f t="shared" si="94"/>
        <v>0</v>
      </c>
    </row>
    <row r="743" spans="1:23" s="1321" customFormat="1" ht="57.6" customHeight="1" thickBot="1" x14ac:dyDescent="0.2">
      <c r="A743" s="1117">
        <v>2013</v>
      </c>
      <c r="B743" s="1117">
        <v>2013</v>
      </c>
      <c r="C743" s="1436" t="s">
        <v>114</v>
      </c>
      <c r="D743" s="1363" t="s">
        <v>4806</v>
      </c>
      <c r="E743" s="1350" t="s">
        <v>4807</v>
      </c>
      <c r="F743" s="1367"/>
      <c r="G743" s="1351" t="s">
        <v>4808</v>
      </c>
      <c r="H743" s="1352">
        <v>12260</v>
      </c>
      <c r="I743" s="1353">
        <v>41453</v>
      </c>
      <c r="J743" s="1354">
        <f>+K743-I743</f>
        <v>63</v>
      </c>
      <c r="K743" s="1353">
        <v>41516</v>
      </c>
      <c r="L743" s="1353" t="s">
        <v>124</v>
      </c>
      <c r="M743" s="1353">
        <v>41513</v>
      </c>
      <c r="N743" s="1354">
        <f t="shared" si="95"/>
        <v>20</v>
      </c>
      <c r="O743" s="1427">
        <v>41530</v>
      </c>
      <c r="P743" s="1355">
        <v>41536</v>
      </c>
      <c r="Q743" s="1355">
        <v>41539</v>
      </c>
      <c r="R743" s="1354">
        <f t="shared" si="96"/>
        <v>86</v>
      </c>
      <c r="S743" s="1354" t="s">
        <v>4809</v>
      </c>
      <c r="T743" s="1378" t="s">
        <v>4810</v>
      </c>
      <c r="U743" s="1358" t="str">
        <f t="shared" si="97"/>
        <v>atrasado</v>
      </c>
      <c r="V743" s="1130" t="str">
        <f t="shared" si="93"/>
        <v>Agosto</v>
      </c>
      <c r="W743" s="1128">
        <f t="shared" si="94"/>
        <v>0</v>
      </c>
    </row>
    <row r="744" spans="1:23" s="1321" customFormat="1" ht="57.6" customHeight="1" thickBot="1" x14ac:dyDescent="0.2">
      <c r="A744" s="1117">
        <v>2013</v>
      </c>
      <c r="B744" s="1117">
        <v>2013</v>
      </c>
      <c r="C744" s="1436" t="s">
        <v>4005</v>
      </c>
      <c r="D744" s="1363" t="s">
        <v>4236</v>
      </c>
      <c r="E744" s="1350" t="s">
        <v>4652</v>
      </c>
      <c r="F744" s="1367"/>
      <c r="G744" s="1351" t="s">
        <v>4653</v>
      </c>
      <c r="H744" s="1352">
        <v>3776.28</v>
      </c>
      <c r="I744" s="1353">
        <v>41345</v>
      </c>
      <c r="J744" s="1354">
        <v>90</v>
      </c>
      <c r="K744" s="1353">
        <f>+I744+J744</f>
        <v>41435</v>
      </c>
      <c r="L744" s="1353" t="s">
        <v>124</v>
      </c>
      <c r="M744" s="1353">
        <v>41404</v>
      </c>
      <c r="N744" s="1354">
        <f t="shared" si="95"/>
        <v>-14</v>
      </c>
      <c r="O744" s="1427"/>
      <c r="P744" s="1355">
        <v>41421</v>
      </c>
      <c r="Q744" s="1355">
        <v>41428</v>
      </c>
      <c r="R744" s="1354">
        <f t="shared" si="96"/>
        <v>83</v>
      </c>
      <c r="S744" s="1354" t="s">
        <v>4649</v>
      </c>
      <c r="T744" s="1378"/>
      <c r="U744" s="1358" t="str">
        <f t="shared" ref="U744:U775" si="98">IF(N744="","",IF(N744&lt;=0,"en término","atrasado"))</f>
        <v>en término</v>
      </c>
      <c r="V744" s="1130" t="str">
        <f t="shared" si="93"/>
        <v>Mayo</v>
      </c>
      <c r="W744" s="1128">
        <f t="shared" si="94"/>
        <v>1</v>
      </c>
    </row>
    <row r="745" spans="1:23" s="1321" customFormat="1" ht="57.6" customHeight="1" thickBot="1" x14ac:dyDescent="0.2">
      <c r="A745" s="1117">
        <v>2013</v>
      </c>
      <c r="B745" s="1117">
        <v>2013</v>
      </c>
      <c r="C745" s="1436" t="s">
        <v>78</v>
      </c>
      <c r="D745" s="1363" t="s">
        <v>3165</v>
      </c>
      <c r="E745" s="1350" t="s">
        <v>3816</v>
      </c>
      <c r="F745" s="1367"/>
      <c r="G745" s="1351">
        <v>596770</v>
      </c>
      <c r="H745" s="1352">
        <v>1399947.94</v>
      </c>
      <c r="I745" s="1353">
        <v>41282</v>
      </c>
      <c r="J745" s="1354">
        <f>+K745-I745</f>
        <v>117</v>
      </c>
      <c r="K745" s="1353">
        <v>41399</v>
      </c>
      <c r="L745" s="1353" t="s">
        <v>124</v>
      </c>
      <c r="M745" s="1353">
        <v>41360</v>
      </c>
      <c r="N745" s="1354">
        <f t="shared" si="95"/>
        <v>-16</v>
      </c>
      <c r="O745" s="1427">
        <v>41376</v>
      </c>
      <c r="P745" s="1355">
        <v>41383</v>
      </c>
      <c r="Q745" s="1355">
        <f>+P745+30</f>
        <v>41413</v>
      </c>
      <c r="R745" s="1354">
        <f t="shared" si="96"/>
        <v>131</v>
      </c>
      <c r="S745" s="1354" t="s">
        <v>3817</v>
      </c>
      <c r="T745" s="1378"/>
      <c r="U745" s="1358" t="str">
        <f t="shared" si="98"/>
        <v>en término</v>
      </c>
      <c r="V745" s="1130" t="str">
        <f t="shared" si="93"/>
        <v>Marzo</v>
      </c>
      <c r="W745" s="1128">
        <f t="shared" si="94"/>
        <v>1</v>
      </c>
    </row>
    <row r="746" spans="1:23" s="1321" customFormat="1" ht="57.6" customHeight="1" thickBot="1" x14ac:dyDescent="0.2">
      <c r="A746" s="1117">
        <v>2013</v>
      </c>
      <c r="B746" s="1117">
        <v>2013</v>
      </c>
      <c r="C746" s="1436" t="s">
        <v>78</v>
      </c>
      <c r="D746" s="1363" t="s">
        <v>3165</v>
      </c>
      <c r="E746" s="1350" t="s">
        <v>3816</v>
      </c>
      <c r="F746" s="1367"/>
      <c r="G746" s="1351">
        <v>596770</v>
      </c>
      <c r="H746" s="1352">
        <v>812095.14</v>
      </c>
      <c r="I746" s="1353">
        <v>41282</v>
      </c>
      <c r="J746" s="1354">
        <f>+K746-I746</f>
        <v>117</v>
      </c>
      <c r="K746" s="1353">
        <v>41399</v>
      </c>
      <c r="L746" s="1353" t="s">
        <v>124</v>
      </c>
      <c r="M746" s="1353">
        <v>41394</v>
      </c>
      <c r="N746" s="1354">
        <f t="shared" si="95"/>
        <v>11</v>
      </c>
      <c r="O746" s="1427">
        <v>41396</v>
      </c>
      <c r="P746" s="1355">
        <v>41410</v>
      </c>
      <c r="Q746" s="1355">
        <f>+P746+30</f>
        <v>41440</v>
      </c>
      <c r="R746" s="1354">
        <f t="shared" si="96"/>
        <v>158</v>
      </c>
      <c r="S746" s="1354" t="s">
        <v>3818</v>
      </c>
      <c r="T746" s="1378"/>
      <c r="U746" s="1358" t="str">
        <f t="shared" si="98"/>
        <v>atrasado</v>
      </c>
      <c r="V746" s="1130" t="str">
        <f t="shared" si="93"/>
        <v>Abril</v>
      </c>
      <c r="W746" s="1128">
        <f t="shared" si="94"/>
        <v>0</v>
      </c>
    </row>
    <row r="747" spans="1:23" s="1321" customFormat="1" ht="57.6" customHeight="1" thickBot="1" x14ac:dyDescent="0.2">
      <c r="A747" s="1117">
        <v>2013</v>
      </c>
      <c r="B747" s="1117">
        <v>2013</v>
      </c>
      <c r="C747" s="1436" t="s">
        <v>78</v>
      </c>
      <c r="D747" s="1363" t="s">
        <v>3165</v>
      </c>
      <c r="E747" s="1350" t="s">
        <v>3820</v>
      </c>
      <c r="F747" s="1367"/>
      <c r="G747" s="1351">
        <v>598214</v>
      </c>
      <c r="H747" s="1352">
        <v>25350</v>
      </c>
      <c r="I747" s="1353">
        <v>41326</v>
      </c>
      <c r="J747" s="1354">
        <f>+K747-I747</f>
        <v>75</v>
      </c>
      <c r="K747" s="1353">
        <v>41401</v>
      </c>
      <c r="L747" s="1353" t="s">
        <v>124</v>
      </c>
      <c r="M747" s="1353">
        <v>41394</v>
      </c>
      <c r="N747" s="1354">
        <f t="shared" si="95"/>
        <v>9</v>
      </c>
      <c r="O747" s="1427">
        <v>41396</v>
      </c>
      <c r="P747" s="1355">
        <v>41410</v>
      </c>
      <c r="Q747" s="1355">
        <f>+P747+30</f>
        <v>41440</v>
      </c>
      <c r="R747" s="1354">
        <f t="shared" si="96"/>
        <v>114</v>
      </c>
      <c r="S747" s="1437" t="s">
        <v>3821</v>
      </c>
      <c r="T747" s="1378"/>
      <c r="U747" s="1358" t="str">
        <f t="shared" si="98"/>
        <v>atrasado</v>
      </c>
      <c r="V747" s="1130" t="str">
        <f t="shared" si="93"/>
        <v>Abril</v>
      </c>
      <c r="W747" s="1128">
        <f t="shared" si="94"/>
        <v>0</v>
      </c>
    </row>
    <row r="748" spans="1:23" s="1321" customFormat="1" ht="57.6" customHeight="1" thickBot="1" x14ac:dyDescent="0.2">
      <c r="A748" s="1117">
        <v>2013</v>
      </c>
      <c r="B748" s="1117">
        <v>2013</v>
      </c>
      <c r="C748" s="1436" t="s">
        <v>78</v>
      </c>
      <c r="D748" s="1363" t="s">
        <v>3165</v>
      </c>
      <c r="E748" s="1350" t="s">
        <v>3816</v>
      </c>
      <c r="F748" s="1367"/>
      <c r="G748" s="1351">
        <v>596770</v>
      </c>
      <c r="H748" s="1352">
        <v>253596.66</v>
      </c>
      <c r="I748" s="1353">
        <v>41282</v>
      </c>
      <c r="J748" s="1354">
        <f>+K748-I748</f>
        <v>132</v>
      </c>
      <c r="K748" s="1353">
        <v>41414</v>
      </c>
      <c r="L748" s="1353" t="s">
        <v>124</v>
      </c>
      <c r="M748" s="1353">
        <v>41414</v>
      </c>
      <c r="N748" s="1354">
        <f t="shared" si="95"/>
        <v>16</v>
      </c>
      <c r="O748" s="1427">
        <v>41416</v>
      </c>
      <c r="P748" s="1355">
        <v>41430</v>
      </c>
      <c r="Q748" s="1355">
        <f>+P748+30</f>
        <v>41460</v>
      </c>
      <c r="R748" s="1354">
        <f t="shared" si="96"/>
        <v>178</v>
      </c>
      <c r="S748" s="1354" t="s">
        <v>3823</v>
      </c>
      <c r="T748" s="1378"/>
      <c r="U748" s="1358" t="str">
        <f t="shared" si="98"/>
        <v>atrasado</v>
      </c>
      <c r="V748" s="1130" t="str">
        <f t="shared" si="93"/>
        <v>Mayo</v>
      </c>
      <c r="W748" s="1128">
        <f t="shared" si="94"/>
        <v>0</v>
      </c>
    </row>
    <row r="749" spans="1:23" s="1321" customFormat="1" ht="57.6" customHeight="1" thickBot="1" x14ac:dyDescent="0.2">
      <c r="A749" s="1117">
        <v>2013</v>
      </c>
      <c r="B749" s="1117">
        <v>2013</v>
      </c>
      <c r="C749" s="1436" t="s">
        <v>78</v>
      </c>
      <c r="D749" s="1363" t="s">
        <v>3165</v>
      </c>
      <c r="E749" s="1350" t="s">
        <v>3825</v>
      </c>
      <c r="F749" s="1367"/>
      <c r="G749" s="1351">
        <v>598085</v>
      </c>
      <c r="H749" s="1352">
        <v>640388</v>
      </c>
      <c r="I749" s="1353">
        <v>41326</v>
      </c>
      <c r="J749" s="1354">
        <f>+K749-I749</f>
        <v>123</v>
      </c>
      <c r="K749" s="1353">
        <v>41449</v>
      </c>
      <c r="L749" s="1353" t="s">
        <v>124</v>
      </c>
      <c r="M749" s="1353">
        <v>41436</v>
      </c>
      <c r="N749" s="1354">
        <f t="shared" si="95"/>
        <v>-2</v>
      </c>
      <c r="O749" s="1427">
        <v>41439</v>
      </c>
      <c r="P749" s="1355">
        <v>41447</v>
      </c>
      <c r="Q749" s="1355">
        <f>+P749+20</f>
        <v>41467</v>
      </c>
      <c r="R749" s="1354">
        <f t="shared" si="96"/>
        <v>141</v>
      </c>
      <c r="S749" s="1354" t="s">
        <v>3826</v>
      </c>
      <c r="T749" s="1378"/>
      <c r="U749" s="1358" t="str">
        <f t="shared" si="98"/>
        <v>en término</v>
      </c>
      <c r="V749" s="1130" t="str">
        <f t="shared" si="93"/>
        <v>Junio</v>
      </c>
      <c r="W749" s="1128">
        <f t="shared" si="94"/>
        <v>1</v>
      </c>
    </row>
    <row r="750" spans="1:23" s="1321" customFormat="1" ht="57.6" customHeight="1" thickBot="1" x14ac:dyDescent="0.2">
      <c r="A750" s="1117">
        <v>2013</v>
      </c>
      <c r="B750" s="1117">
        <v>2013</v>
      </c>
      <c r="C750" s="1436" t="s">
        <v>78</v>
      </c>
      <c r="D750" s="1363" t="s">
        <v>79</v>
      </c>
      <c r="E750" s="1350" t="s">
        <v>3828</v>
      </c>
      <c r="F750" s="1367"/>
      <c r="G750" s="1351" t="s">
        <v>3829</v>
      </c>
      <c r="H750" s="1352">
        <v>18680</v>
      </c>
      <c r="I750" s="1353">
        <v>41401</v>
      </c>
      <c r="J750" s="1354">
        <v>90</v>
      </c>
      <c r="K750" s="1353">
        <f>+I750+J750</f>
        <v>41491</v>
      </c>
      <c r="L750" s="1353" t="s">
        <v>124</v>
      </c>
      <c r="M750" s="1353">
        <v>41485</v>
      </c>
      <c r="N750" s="1354">
        <f t="shared" si="95"/>
        <v>3</v>
      </c>
      <c r="O750" s="1427">
        <v>41494</v>
      </c>
      <c r="P750" s="1355">
        <v>41494</v>
      </c>
      <c r="Q750" s="1355">
        <v>41499</v>
      </c>
      <c r="R750" s="1354">
        <f t="shared" si="96"/>
        <v>98</v>
      </c>
      <c r="S750" s="1354" t="s">
        <v>752</v>
      </c>
      <c r="T750" s="1378"/>
      <c r="U750" s="1358" t="str">
        <f t="shared" si="98"/>
        <v>atrasado</v>
      </c>
      <c r="V750" s="1130" t="str">
        <f t="shared" si="93"/>
        <v>Julio</v>
      </c>
      <c r="W750" s="1128">
        <f t="shared" si="94"/>
        <v>0</v>
      </c>
    </row>
    <row r="751" spans="1:23" s="1321" customFormat="1" ht="57.6" customHeight="1" thickBot="1" x14ac:dyDescent="0.2">
      <c r="A751" s="1117">
        <v>2013</v>
      </c>
      <c r="B751" s="1117">
        <v>2013</v>
      </c>
      <c r="C751" s="1436" t="s">
        <v>78</v>
      </c>
      <c r="D751" s="1363" t="s">
        <v>3165</v>
      </c>
      <c r="E751" s="1350" t="s">
        <v>3825</v>
      </c>
      <c r="F751" s="1367"/>
      <c r="G751" s="1351">
        <v>598085</v>
      </c>
      <c r="H751" s="1352">
        <v>13740</v>
      </c>
      <c r="I751" s="1353">
        <v>41326</v>
      </c>
      <c r="J751" s="1354">
        <f t="shared" ref="J751:J773" si="99">+K751-I751</f>
        <v>166</v>
      </c>
      <c r="K751" s="1353">
        <v>41492</v>
      </c>
      <c r="L751" s="1353" t="s">
        <v>124</v>
      </c>
      <c r="M751" s="1353">
        <v>41485</v>
      </c>
      <c r="N751" s="1354">
        <f t="shared" si="95"/>
        <v>0</v>
      </c>
      <c r="O751" s="1427"/>
      <c r="P751" s="1355">
        <v>41492</v>
      </c>
      <c r="Q751" s="1355">
        <f>+P751+30</f>
        <v>41522</v>
      </c>
      <c r="R751" s="1354">
        <f t="shared" si="96"/>
        <v>196</v>
      </c>
      <c r="S751" s="1354" t="s">
        <v>3831</v>
      </c>
      <c r="T751" s="1378"/>
      <c r="U751" s="1358" t="str">
        <f t="shared" si="98"/>
        <v>en término</v>
      </c>
      <c r="V751" s="1130" t="str">
        <f t="shared" si="93"/>
        <v>Julio</v>
      </c>
      <c r="W751" s="1128">
        <f t="shared" si="94"/>
        <v>1</v>
      </c>
    </row>
    <row r="752" spans="1:23" s="1321" customFormat="1" ht="57.6" customHeight="1" thickBot="1" x14ac:dyDescent="0.2">
      <c r="A752" s="1117">
        <v>2013</v>
      </c>
      <c r="B752" s="1117">
        <v>2013</v>
      </c>
      <c r="C752" s="1436" t="s">
        <v>78</v>
      </c>
      <c r="D752" s="1363" t="s">
        <v>3165</v>
      </c>
      <c r="E752" s="1350" t="s">
        <v>3833</v>
      </c>
      <c r="F752" s="1367"/>
      <c r="G752" s="1351">
        <v>599853</v>
      </c>
      <c r="H752" s="1352">
        <v>168995.6</v>
      </c>
      <c r="I752" s="1353">
        <v>41372</v>
      </c>
      <c r="J752" s="1354">
        <f t="shared" si="99"/>
        <v>120</v>
      </c>
      <c r="K752" s="1353">
        <v>41492</v>
      </c>
      <c r="L752" s="1353" t="s">
        <v>124</v>
      </c>
      <c r="M752" s="1353">
        <v>41485</v>
      </c>
      <c r="N752" s="1354">
        <f t="shared" si="95"/>
        <v>0</v>
      </c>
      <c r="O752" s="1427"/>
      <c r="P752" s="1355">
        <v>41492</v>
      </c>
      <c r="Q752" s="1355">
        <f>+P752+30</f>
        <v>41522</v>
      </c>
      <c r="R752" s="1354">
        <f t="shared" si="96"/>
        <v>150</v>
      </c>
      <c r="S752" s="1354" t="s">
        <v>2183</v>
      </c>
      <c r="T752" s="1378"/>
      <c r="U752" s="1358" t="str">
        <f t="shared" si="98"/>
        <v>en término</v>
      </c>
      <c r="V752" s="1130" t="str">
        <f t="shared" si="93"/>
        <v>Julio</v>
      </c>
      <c r="W752" s="1128">
        <f t="shared" si="94"/>
        <v>1</v>
      </c>
    </row>
    <row r="753" spans="1:23" s="1321" customFormat="1" ht="57.6" customHeight="1" thickBot="1" x14ac:dyDescent="0.2">
      <c r="A753" s="1117">
        <v>2013</v>
      </c>
      <c r="B753" s="1117">
        <v>2013</v>
      </c>
      <c r="C753" s="1436" t="s">
        <v>78</v>
      </c>
      <c r="D753" s="1363" t="s">
        <v>3165</v>
      </c>
      <c r="E753" s="1350" t="s">
        <v>3834</v>
      </c>
      <c r="F753" s="1367"/>
      <c r="G753" s="1351">
        <v>605815</v>
      </c>
      <c r="H753" s="1352">
        <v>5896</v>
      </c>
      <c r="I753" s="1353">
        <v>41542</v>
      </c>
      <c r="J753" s="1354">
        <f t="shared" si="99"/>
        <v>47</v>
      </c>
      <c r="K753" s="1353">
        <v>41589</v>
      </c>
      <c r="L753" s="1353" t="s">
        <v>124</v>
      </c>
      <c r="M753" s="1353">
        <v>41586</v>
      </c>
      <c r="N753" s="1354">
        <f t="shared" si="95"/>
        <v>18</v>
      </c>
      <c r="O753" s="1427">
        <v>41591</v>
      </c>
      <c r="P753" s="1355">
        <v>41607</v>
      </c>
      <c r="Q753" s="1355">
        <f>+P753+20</f>
        <v>41627</v>
      </c>
      <c r="R753" s="1354">
        <f t="shared" si="96"/>
        <v>85</v>
      </c>
      <c r="S753" s="1354" t="s">
        <v>53</v>
      </c>
      <c r="T753" s="1378"/>
      <c r="U753" s="1358" t="str">
        <f t="shared" si="98"/>
        <v>atrasado</v>
      </c>
      <c r="V753" s="1130" t="str">
        <f t="shared" si="93"/>
        <v>Noviembre</v>
      </c>
      <c r="W753" s="1128">
        <f t="shared" si="94"/>
        <v>0</v>
      </c>
    </row>
    <row r="754" spans="1:23" s="1321" customFormat="1" ht="57.6" customHeight="1" thickBot="1" x14ac:dyDescent="0.2">
      <c r="A754" s="1117">
        <v>2013</v>
      </c>
      <c r="B754" s="1117">
        <v>2013</v>
      </c>
      <c r="C754" s="1436" t="s">
        <v>78</v>
      </c>
      <c r="D754" s="1363" t="s">
        <v>79</v>
      </c>
      <c r="E754" s="1350" t="s">
        <v>3836</v>
      </c>
      <c r="F754" s="1367"/>
      <c r="G754" s="1351" t="s">
        <v>3837</v>
      </c>
      <c r="H754" s="1352">
        <v>10077.200000000001</v>
      </c>
      <c r="I754" s="1353">
        <v>41555</v>
      </c>
      <c r="J754" s="1354">
        <f t="shared" si="99"/>
        <v>43</v>
      </c>
      <c r="K754" s="1353">
        <v>41598</v>
      </c>
      <c r="L754" s="1353" t="s">
        <v>124</v>
      </c>
      <c r="M754" s="1353">
        <v>41586</v>
      </c>
      <c r="N754" s="1354">
        <f t="shared" si="95"/>
        <v>-8</v>
      </c>
      <c r="O754" s="1427"/>
      <c r="P754" s="1355">
        <v>41590</v>
      </c>
      <c r="Q754" s="1355">
        <f>+P754+30</f>
        <v>41620</v>
      </c>
      <c r="R754" s="1354">
        <f t="shared" si="96"/>
        <v>65</v>
      </c>
      <c r="S754" s="1354" t="s">
        <v>53</v>
      </c>
      <c r="T754" s="1378"/>
      <c r="U754" s="1358" t="str">
        <f t="shared" si="98"/>
        <v>en término</v>
      </c>
      <c r="V754" s="1130" t="str">
        <f t="shared" si="93"/>
        <v>Noviembre</v>
      </c>
      <c r="W754" s="1128">
        <f t="shared" si="94"/>
        <v>1</v>
      </c>
    </row>
    <row r="755" spans="1:23" s="1321" customFormat="1" ht="57.6" customHeight="1" thickBot="1" x14ac:dyDescent="0.2">
      <c r="A755" s="1117">
        <v>2013</v>
      </c>
      <c r="B755" s="1117">
        <v>2013</v>
      </c>
      <c r="C755" s="1436" t="s">
        <v>36</v>
      </c>
      <c r="D755" s="1363" t="s">
        <v>133</v>
      </c>
      <c r="E755" s="1350" t="s">
        <v>2554</v>
      </c>
      <c r="F755" s="1367" t="s">
        <v>2555</v>
      </c>
      <c r="G755" s="1351">
        <v>4504927792</v>
      </c>
      <c r="H755" s="1352">
        <v>84488.59</v>
      </c>
      <c r="I755" s="1353">
        <v>41221</v>
      </c>
      <c r="J755" s="1354">
        <f t="shared" si="99"/>
        <v>90</v>
      </c>
      <c r="K755" s="1353">
        <v>41311</v>
      </c>
      <c r="L755" s="1353" t="s">
        <v>41</v>
      </c>
      <c r="M755" s="1353">
        <v>41289</v>
      </c>
      <c r="N755" s="1354">
        <f t="shared" si="95"/>
        <v>-13</v>
      </c>
      <c r="O755" s="1427">
        <v>41296</v>
      </c>
      <c r="P755" s="1355">
        <v>41298</v>
      </c>
      <c r="Q755" s="1355">
        <v>41316</v>
      </c>
      <c r="R755" s="1354">
        <f t="shared" si="96"/>
        <v>95</v>
      </c>
      <c r="S755" s="1354" t="s">
        <v>1831</v>
      </c>
      <c r="T755" s="1378"/>
      <c r="U755" s="1358" t="str">
        <f t="shared" si="98"/>
        <v>en término</v>
      </c>
      <c r="V755" s="1130" t="str">
        <f t="shared" si="93"/>
        <v>Enero</v>
      </c>
      <c r="W755" s="1128">
        <f t="shared" si="94"/>
        <v>1</v>
      </c>
    </row>
    <row r="756" spans="1:23" s="1321" customFormat="1" ht="57.6" customHeight="1" thickBot="1" x14ac:dyDescent="0.2">
      <c r="A756" s="1117">
        <v>2013</v>
      </c>
      <c r="B756" s="1117">
        <v>2013</v>
      </c>
      <c r="C756" s="1436" t="s">
        <v>36</v>
      </c>
      <c r="D756" s="1363" t="s">
        <v>133</v>
      </c>
      <c r="E756" s="1350" t="s">
        <v>2554</v>
      </c>
      <c r="F756" s="1367" t="s">
        <v>2555</v>
      </c>
      <c r="G756" s="1351">
        <v>4504866162</v>
      </c>
      <c r="H756" s="1352">
        <v>27696</v>
      </c>
      <c r="I756" s="1353">
        <v>41220</v>
      </c>
      <c r="J756" s="1354">
        <f t="shared" si="99"/>
        <v>90</v>
      </c>
      <c r="K756" s="1353">
        <v>41310</v>
      </c>
      <c r="L756" s="1353" t="s">
        <v>41</v>
      </c>
      <c r="M756" s="1353">
        <v>41289</v>
      </c>
      <c r="N756" s="1354">
        <f t="shared" si="95"/>
        <v>-12</v>
      </c>
      <c r="O756" s="1427">
        <v>41296</v>
      </c>
      <c r="P756" s="1355">
        <v>41298</v>
      </c>
      <c r="Q756" s="1355">
        <v>41316</v>
      </c>
      <c r="R756" s="1354">
        <f t="shared" si="96"/>
        <v>96</v>
      </c>
      <c r="S756" s="1354" t="s">
        <v>53</v>
      </c>
      <c r="T756" s="1378"/>
      <c r="U756" s="1358" t="str">
        <f t="shared" si="98"/>
        <v>en término</v>
      </c>
      <c r="V756" s="1130" t="str">
        <f t="shared" si="93"/>
        <v>Enero</v>
      </c>
      <c r="W756" s="1128">
        <f t="shared" si="94"/>
        <v>1</v>
      </c>
    </row>
    <row r="757" spans="1:23" s="1321" customFormat="1" ht="57.6" customHeight="1" thickBot="1" x14ac:dyDescent="0.2">
      <c r="A757" s="1117">
        <v>2013</v>
      </c>
      <c r="B757" s="1117">
        <v>2013</v>
      </c>
      <c r="C757" s="1436" t="s">
        <v>36</v>
      </c>
      <c r="D757" s="1363" t="s">
        <v>133</v>
      </c>
      <c r="E757" s="1350" t="s">
        <v>2668</v>
      </c>
      <c r="F757" s="1367" t="s">
        <v>2669</v>
      </c>
      <c r="G757" s="1351">
        <v>4504944370</v>
      </c>
      <c r="H757" s="1352">
        <v>20400</v>
      </c>
      <c r="I757" s="1353">
        <v>41207</v>
      </c>
      <c r="J757" s="1354">
        <f t="shared" si="99"/>
        <v>102</v>
      </c>
      <c r="K757" s="1353">
        <v>41309</v>
      </c>
      <c r="L757" s="1353" t="s">
        <v>41</v>
      </c>
      <c r="M757" s="1353">
        <v>41289</v>
      </c>
      <c r="N757" s="1354">
        <f t="shared" si="95"/>
        <v>-11</v>
      </c>
      <c r="O757" s="1427">
        <v>41296</v>
      </c>
      <c r="P757" s="1355">
        <v>41298</v>
      </c>
      <c r="Q757" s="1355">
        <v>41316</v>
      </c>
      <c r="R757" s="1354">
        <f t="shared" si="96"/>
        <v>109</v>
      </c>
      <c r="S757" s="1354" t="s">
        <v>2751</v>
      </c>
      <c r="T757" s="1378"/>
      <c r="U757" s="1358" t="str">
        <f t="shared" si="98"/>
        <v>en término</v>
      </c>
      <c r="V757" s="1130" t="str">
        <f t="shared" si="93"/>
        <v>Enero</v>
      </c>
      <c r="W757" s="1128">
        <f t="shared" si="94"/>
        <v>1</v>
      </c>
    </row>
    <row r="758" spans="1:23" s="1321" customFormat="1" ht="57.6" customHeight="1" thickBot="1" x14ac:dyDescent="0.2">
      <c r="A758" s="1117">
        <v>2013</v>
      </c>
      <c r="B758" s="1117">
        <v>2013</v>
      </c>
      <c r="C758" s="1436" t="s">
        <v>36</v>
      </c>
      <c r="D758" s="1363" t="s">
        <v>133</v>
      </c>
      <c r="E758" s="1350" t="s">
        <v>2554</v>
      </c>
      <c r="F758" s="1367" t="s">
        <v>2555</v>
      </c>
      <c r="G758" s="1351">
        <v>4504982682</v>
      </c>
      <c r="H758" s="1352">
        <v>12972.27</v>
      </c>
      <c r="I758" s="1353">
        <v>41233</v>
      </c>
      <c r="J758" s="1354">
        <f t="shared" si="99"/>
        <v>83</v>
      </c>
      <c r="K758" s="1353">
        <v>41316</v>
      </c>
      <c r="L758" s="1353" t="s">
        <v>41</v>
      </c>
      <c r="M758" s="1353">
        <v>41289</v>
      </c>
      <c r="N758" s="1354">
        <f t="shared" si="95"/>
        <v>-18</v>
      </c>
      <c r="O758" s="1427">
        <v>41296</v>
      </c>
      <c r="P758" s="1355">
        <v>41298</v>
      </c>
      <c r="Q758" s="1355">
        <v>41316</v>
      </c>
      <c r="R758" s="1354">
        <f t="shared" si="96"/>
        <v>83</v>
      </c>
      <c r="S758" s="1354" t="s">
        <v>752</v>
      </c>
      <c r="T758" s="1378"/>
      <c r="U758" s="1358" t="str">
        <f t="shared" si="98"/>
        <v>en término</v>
      </c>
      <c r="V758" s="1130" t="str">
        <f t="shared" si="93"/>
        <v>Enero</v>
      </c>
      <c r="W758" s="1128">
        <f t="shared" si="94"/>
        <v>1</v>
      </c>
    </row>
    <row r="759" spans="1:23" s="1321" customFormat="1" ht="57.6" customHeight="1" thickBot="1" x14ac:dyDescent="0.2">
      <c r="A759" s="1117">
        <v>2013</v>
      </c>
      <c r="B759" s="1117">
        <v>2013</v>
      </c>
      <c r="C759" s="1436" t="s">
        <v>36</v>
      </c>
      <c r="D759" s="1363" t="s">
        <v>133</v>
      </c>
      <c r="E759" s="1350" t="s">
        <v>2554</v>
      </c>
      <c r="F759" s="1367" t="s">
        <v>2555</v>
      </c>
      <c r="G759" s="1351">
        <v>4504985237</v>
      </c>
      <c r="H759" s="1352">
        <v>91414.11</v>
      </c>
      <c r="I759" s="1353">
        <v>41234</v>
      </c>
      <c r="J759" s="1354">
        <f t="shared" si="99"/>
        <v>91</v>
      </c>
      <c r="K759" s="1353">
        <v>41325</v>
      </c>
      <c r="L759" s="1353" t="s">
        <v>41</v>
      </c>
      <c r="M759" s="1353">
        <v>41289</v>
      </c>
      <c r="N759" s="1354">
        <f t="shared" si="95"/>
        <v>-27</v>
      </c>
      <c r="O759" s="1427">
        <v>41296</v>
      </c>
      <c r="P759" s="1355">
        <v>41298</v>
      </c>
      <c r="Q759" s="1355">
        <v>41316</v>
      </c>
      <c r="R759" s="1354">
        <f t="shared" si="96"/>
        <v>82</v>
      </c>
      <c r="S759" s="1354" t="s">
        <v>1242</v>
      </c>
      <c r="T759" s="1378"/>
      <c r="U759" s="1358" t="str">
        <f t="shared" si="98"/>
        <v>en término</v>
      </c>
      <c r="V759" s="1130" t="str">
        <f t="shared" si="93"/>
        <v>Enero</v>
      </c>
      <c r="W759" s="1128">
        <f t="shared" si="94"/>
        <v>1</v>
      </c>
    </row>
    <row r="760" spans="1:23" s="1321" customFormat="1" ht="57.6" customHeight="1" thickBot="1" x14ac:dyDescent="0.2">
      <c r="A760" s="1117">
        <v>2013</v>
      </c>
      <c r="B760" s="1117">
        <v>2013</v>
      </c>
      <c r="C760" s="1436" t="s">
        <v>36</v>
      </c>
      <c r="D760" s="1363" t="s">
        <v>133</v>
      </c>
      <c r="E760" s="1350" t="s">
        <v>2668</v>
      </c>
      <c r="F760" s="1367" t="s">
        <v>2669</v>
      </c>
      <c r="G760" s="1351">
        <v>4504990841</v>
      </c>
      <c r="H760" s="1352">
        <v>18105</v>
      </c>
      <c r="I760" s="1353">
        <v>41235</v>
      </c>
      <c r="J760" s="1354">
        <f t="shared" si="99"/>
        <v>71</v>
      </c>
      <c r="K760" s="1353">
        <v>41306</v>
      </c>
      <c r="L760" s="1353" t="s">
        <v>41</v>
      </c>
      <c r="M760" s="1353">
        <v>41289</v>
      </c>
      <c r="N760" s="1354">
        <f t="shared" si="95"/>
        <v>-8</v>
      </c>
      <c r="O760" s="1427">
        <v>41296</v>
      </c>
      <c r="P760" s="1355">
        <v>41298</v>
      </c>
      <c r="Q760" s="1355">
        <v>41316</v>
      </c>
      <c r="R760" s="1354">
        <f t="shared" si="96"/>
        <v>81</v>
      </c>
      <c r="S760" s="1354" t="s">
        <v>1564</v>
      </c>
      <c r="T760" s="1378"/>
      <c r="U760" s="1358" t="str">
        <f t="shared" si="98"/>
        <v>en término</v>
      </c>
      <c r="V760" s="1130" t="str">
        <f t="shared" si="93"/>
        <v>Enero</v>
      </c>
      <c r="W760" s="1128">
        <f t="shared" si="94"/>
        <v>1</v>
      </c>
    </row>
    <row r="761" spans="1:23" s="1321" customFormat="1" ht="57.6" customHeight="1" thickBot="1" x14ac:dyDescent="0.2">
      <c r="A761" s="1117">
        <v>2013</v>
      </c>
      <c r="B761" s="1117">
        <v>2013</v>
      </c>
      <c r="C761" s="1436" t="s">
        <v>36</v>
      </c>
      <c r="D761" s="1363" t="s">
        <v>133</v>
      </c>
      <c r="E761" s="1350" t="s">
        <v>2554</v>
      </c>
      <c r="F761" s="1367" t="s">
        <v>2555</v>
      </c>
      <c r="G761" s="1351">
        <v>4504985247</v>
      </c>
      <c r="H761" s="1352">
        <v>2191.04</v>
      </c>
      <c r="I761" s="1353">
        <v>41232</v>
      </c>
      <c r="J761" s="1354">
        <f t="shared" si="99"/>
        <v>76</v>
      </c>
      <c r="K761" s="1353">
        <v>41308</v>
      </c>
      <c r="L761" s="1353" t="s">
        <v>41</v>
      </c>
      <c r="M761" s="1353">
        <v>41289</v>
      </c>
      <c r="N761" s="1354">
        <f t="shared" si="95"/>
        <v>-10</v>
      </c>
      <c r="O761" s="1427">
        <v>41296</v>
      </c>
      <c r="P761" s="1355">
        <v>41298</v>
      </c>
      <c r="Q761" s="1355">
        <v>41316</v>
      </c>
      <c r="R761" s="1354">
        <f t="shared" si="96"/>
        <v>84</v>
      </c>
      <c r="S761" s="1354" t="s">
        <v>53</v>
      </c>
      <c r="T761" s="1378"/>
      <c r="U761" s="1358" t="str">
        <f t="shared" si="98"/>
        <v>en término</v>
      </c>
      <c r="V761" s="1130" t="str">
        <f t="shared" si="93"/>
        <v>Enero</v>
      </c>
      <c r="W761" s="1128">
        <f t="shared" si="94"/>
        <v>1</v>
      </c>
    </row>
    <row r="762" spans="1:23" s="1321" customFormat="1" ht="57.6" customHeight="1" thickBot="1" x14ac:dyDescent="0.2">
      <c r="A762" s="1117">
        <v>2013</v>
      </c>
      <c r="B762" s="1117">
        <v>2013</v>
      </c>
      <c r="C762" s="1436" t="s">
        <v>36</v>
      </c>
      <c r="D762" s="1363" t="s">
        <v>133</v>
      </c>
      <c r="E762" s="1350" t="s">
        <v>2554</v>
      </c>
      <c r="F762" s="1367" t="s">
        <v>2555</v>
      </c>
      <c r="G762" s="1351">
        <v>4505047030</v>
      </c>
      <c r="H762" s="1352">
        <v>108808</v>
      </c>
      <c r="I762" s="1353">
        <v>41269</v>
      </c>
      <c r="J762" s="1354">
        <f t="shared" si="99"/>
        <v>61</v>
      </c>
      <c r="K762" s="1353">
        <v>41330</v>
      </c>
      <c r="L762" s="1353" t="s">
        <v>41</v>
      </c>
      <c r="M762" s="1353">
        <v>41313</v>
      </c>
      <c r="N762" s="1354">
        <f t="shared" si="95"/>
        <v>-5</v>
      </c>
      <c r="O762" s="1427">
        <v>41324</v>
      </c>
      <c r="P762" s="1355">
        <v>41325</v>
      </c>
      <c r="Q762" s="1355">
        <v>41343</v>
      </c>
      <c r="R762" s="1354">
        <f t="shared" si="96"/>
        <v>74</v>
      </c>
      <c r="S762" s="1354" t="s">
        <v>1322</v>
      </c>
      <c r="T762" s="1378"/>
      <c r="U762" s="1358" t="str">
        <f t="shared" si="98"/>
        <v>en término</v>
      </c>
      <c r="V762" s="1130" t="str">
        <f t="shared" si="93"/>
        <v>Febrero</v>
      </c>
      <c r="W762" s="1128">
        <f t="shared" si="94"/>
        <v>1</v>
      </c>
    </row>
    <row r="763" spans="1:23" s="1321" customFormat="1" ht="57.6" customHeight="1" thickBot="1" x14ac:dyDescent="0.2">
      <c r="A763" s="1117">
        <v>2013</v>
      </c>
      <c r="B763" s="1117">
        <v>2013</v>
      </c>
      <c r="C763" s="1436" t="s">
        <v>36</v>
      </c>
      <c r="D763" s="1363" t="s">
        <v>133</v>
      </c>
      <c r="E763" s="1350" t="s">
        <v>2668</v>
      </c>
      <c r="F763" s="1367" t="s">
        <v>2669</v>
      </c>
      <c r="G763" s="1351">
        <v>4505047049</v>
      </c>
      <c r="H763" s="1352">
        <v>20410</v>
      </c>
      <c r="I763" s="1353">
        <v>41269</v>
      </c>
      <c r="J763" s="1354">
        <f t="shared" si="99"/>
        <v>71</v>
      </c>
      <c r="K763" s="1353">
        <v>41340</v>
      </c>
      <c r="L763" s="1353" t="s">
        <v>41</v>
      </c>
      <c r="M763" s="1353">
        <v>41313</v>
      </c>
      <c r="N763" s="1354">
        <f t="shared" si="95"/>
        <v>-15</v>
      </c>
      <c r="O763" s="1427">
        <v>41324</v>
      </c>
      <c r="P763" s="1355">
        <v>41325</v>
      </c>
      <c r="Q763" s="1355">
        <v>41343</v>
      </c>
      <c r="R763" s="1354">
        <f t="shared" si="96"/>
        <v>74</v>
      </c>
      <c r="S763" s="1354" t="s">
        <v>2757</v>
      </c>
      <c r="T763" s="1378"/>
      <c r="U763" s="1358" t="str">
        <f t="shared" si="98"/>
        <v>en término</v>
      </c>
      <c r="V763" s="1130" t="str">
        <f t="shared" si="93"/>
        <v>Febrero</v>
      </c>
      <c r="W763" s="1128">
        <f t="shared" si="94"/>
        <v>1</v>
      </c>
    </row>
    <row r="764" spans="1:23" s="1321" customFormat="1" ht="57.6" customHeight="1" thickBot="1" x14ac:dyDescent="0.2">
      <c r="A764" s="1117">
        <v>2013</v>
      </c>
      <c r="B764" s="1117">
        <v>2013</v>
      </c>
      <c r="C764" s="1436" t="s">
        <v>36</v>
      </c>
      <c r="D764" s="1363" t="s">
        <v>133</v>
      </c>
      <c r="E764" s="1350" t="s">
        <v>2554</v>
      </c>
      <c r="F764" s="1367" t="s">
        <v>2555</v>
      </c>
      <c r="G764" s="1351">
        <v>4505050417</v>
      </c>
      <c r="H764" s="1352">
        <v>15085.66</v>
      </c>
      <c r="I764" s="1353">
        <v>41269</v>
      </c>
      <c r="J764" s="1354">
        <f t="shared" si="99"/>
        <v>61</v>
      </c>
      <c r="K764" s="1353">
        <v>41330</v>
      </c>
      <c r="L764" s="1353" t="s">
        <v>41</v>
      </c>
      <c r="M764" s="1353">
        <v>41313</v>
      </c>
      <c r="N764" s="1354">
        <f t="shared" si="95"/>
        <v>-5</v>
      </c>
      <c r="O764" s="1427">
        <v>41324</v>
      </c>
      <c r="P764" s="1355">
        <v>41325</v>
      </c>
      <c r="Q764" s="1355">
        <v>41343</v>
      </c>
      <c r="R764" s="1354">
        <f t="shared" si="96"/>
        <v>74</v>
      </c>
      <c r="S764" s="1354" t="s">
        <v>53</v>
      </c>
      <c r="T764" s="1378"/>
      <c r="U764" s="1358" t="str">
        <f t="shared" si="98"/>
        <v>en término</v>
      </c>
      <c r="V764" s="1130" t="str">
        <f t="shared" si="93"/>
        <v>Febrero</v>
      </c>
      <c r="W764" s="1128">
        <f t="shared" si="94"/>
        <v>1</v>
      </c>
    </row>
    <row r="765" spans="1:23" s="1321" customFormat="1" ht="57.6" customHeight="1" thickBot="1" x14ac:dyDescent="0.2">
      <c r="A765" s="1117">
        <v>2013</v>
      </c>
      <c r="B765" s="1117">
        <v>2013</v>
      </c>
      <c r="C765" s="1436" t="s">
        <v>36</v>
      </c>
      <c r="D765" s="1363" t="s">
        <v>133</v>
      </c>
      <c r="E765" s="1350" t="s">
        <v>2554</v>
      </c>
      <c r="F765" s="1367" t="s">
        <v>2555</v>
      </c>
      <c r="G765" s="1351">
        <v>4505029595</v>
      </c>
      <c r="H765" s="1352">
        <v>32976.92</v>
      </c>
      <c r="I765" s="1353">
        <v>41253</v>
      </c>
      <c r="J765" s="1354">
        <f t="shared" si="99"/>
        <v>91</v>
      </c>
      <c r="K765" s="1353">
        <v>41344</v>
      </c>
      <c r="L765" s="1353" t="s">
        <v>41</v>
      </c>
      <c r="M765" s="1353">
        <v>41313</v>
      </c>
      <c r="N765" s="1354">
        <f t="shared" si="95"/>
        <v>-19</v>
      </c>
      <c r="O765" s="1427">
        <v>41324</v>
      </c>
      <c r="P765" s="1355">
        <v>41325</v>
      </c>
      <c r="Q765" s="1355">
        <v>41343</v>
      </c>
      <c r="R765" s="1354">
        <f t="shared" si="96"/>
        <v>90</v>
      </c>
      <c r="S765" s="1354" t="s">
        <v>2759</v>
      </c>
      <c r="T765" s="1378"/>
      <c r="U765" s="1358" t="str">
        <f t="shared" si="98"/>
        <v>en término</v>
      </c>
      <c r="V765" s="1130" t="str">
        <f t="shared" si="93"/>
        <v>Febrero</v>
      </c>
      <c r="W765" s="1128">
        <f t="shared" si="94"/>
        <v>1</v>
      </c>
    </row>
    <row r="766" spans="1:23" s="1321" customFormat="1" ht="57.6" customHeight="1" thickBot="1" x14ac:dyDescent="0.2">
      <c r="A766" s="1117">
        <v>2013</v>
      </c>
      <c r="B766" s="1117">
        <v>2013</v>
      </c>
      <c r="C766" s="1436" t="s">
        <v>36</v>
      </c>
      <c r="D766" s="1363" t="s">
        <v>37</v>
      </c>
      <c r="E766" s="1350" t="s">
        <v>2760</v>
      </c>
      <c r="F766" s="1367" t="s">
        <v>2761</v>
      </c>
      <c r="G766" s="1351">
        <v>12120003</v>
      </c>
      <c r="H766" s="1352">
        <v>2927</v>
      </c>
      <c r="I766" s="1353">
        <v>41250</v>
      </c>
      <c r="J766" s="1354">
        <f t="shared" si="99"/>
        <v>90</v>
      </c>
      <c r="K766" s="1353">
        <v>41340</v>
      </c>
      <c r="L766" s="1353" t="s">
        <v>41</v>
      </c>
      <c r="M766" s="1353">
        <v>41324</v>
      </c>
      <c r="N766" s="1354">
        <f t="shared" si="95"/>
        <v>-6</v>
      </c>
      <c r="O766" s="1427"/>
      <c r="P766" s="1355">
        <v>41334</v>
      </c>
      <c r="Q766" s="1355">
        <f>+P766+5</f>
        <v>41339</v>
      </c>
      <c r="R766" s="1354">
        <f t="shared" si="96"/>
        <v>89</v>
      </c>
      <c r="S766" s="1354" t="s">
        <v>2762</v>
      </c>
      <c r="T766" s="1378" t="s">
        <v>2765</v>
      </c>
      <c r="U766" s="1358" t="str">
        <f t="shared" si="98"/>
        <v>en término</v>
      </c>
      <c r="V766" s="1130" t="str">
        <f t="shared" si="93"/>
        <v>Febrero</v>
      </c>
      <c r="W766" s="1128">
        <f t="shared" si="94"/>
        <v>1</v>
      </c>
    </row>
    <row r="767" spans="1:23" s="1321" customFormat="1" ht="57.6" customHeight="1" thickBot="1" x14ac:dyDescent="0.2">
      <c r="A767" s="1117">
        <v>2013</v>
      </c>
      <c r="B767" s="1117">
        <v>2013</v>
      </c>
      <c r="C767" s="1436" t="s">
        <v>36</v>
      </c>
      <c r="D767" s="1363" t="s">
        <v>133</v>
      </c>
      <c r="E767" s="1350" t="s">
        <v>2554</v>
      </c>
      <c r="F767" s="1367" t="s">
        <v>2555</v>
      </c>
      <c r="G767" s="1351">
        <v>4505040789</v>
      </c>
      <c r="H767" s="1352">
        <v>64775.39</v>
      </c>
      <c r="I767" s="1353">
        <v>41260</v>
      </c>
      <c r="J767" s="1354">
        <f t="shared" si="99"/>
        <v>91</v>
      </c>
      <c r="K767" s="1353">
        <v>41351</v>
      </c>
      <c r="L767" s="1353" t="s">
        <v>41</v>
      </c>
      <c r="M767" s="1353">
        <v>41345</v>
      </c>
      <c r="N767" s="1354">
        <f t="shared" si="95"/>
        <v>3</v>
      </c>
      <c r="O767" s="1427">
        <v>41352</v>
      </c>
      <c r="P767" s="1355">
        <v>41354</v>
      </c>
      <c r="Q767" s="1355">
        <v>41372</v>
      </c>
      <c r="R767" s="1354">
        <f t="shared" si="96"/>
        <v>112</v>
      </c>
      <c r="S767" s="1354" t="s">
        <v>892</v>
      </c>
      <c r="T767" s="1378"/>
      <c r="U767" s="1358" t="str">
        <f t="shared" si="98"/>
        <v>atrasado</v>
      </c>
      <c r="V767" s="1130" t="str">
        <f t="shared" si="93"/>
        <v>Marzo</v>
      </c>
      <c r="W767" s="1128">
        <f t="shared" si="94"/>
        <v>0</v>
      </c>
    </row>
    <row r="768" spans="1:23" s="1321" customFormat="1" ht="57.6" customHeight="1" thickBot="1" x14ac:dyDescent="0.2">
      <c r="A768" s="1117">
        <v>2013</v>
      </c>
      <c r="B768" s="1117">
        <v>2013</v>
      </c>
      <c r="C768" s="1436" t="s">
        <v>36</v>
      </c>
      <c r="D768" s="1363" t="s">
        <v>133</v>
      </c>
      <c r="E768" s="1350" t="s">
        <v>2554</v>
      </c>
      <c r="F768" s="1367" t="s">
        <v>2555</v>
      </c>
      <c r="G768" s="1351">
        <v>4505046249</v>
      </c>
      <c r="H768" s="1352">
        <v>4558.1099999999997</v>
      </c>
      <c r="I768" s="1353">
        <v>41269</v>
      </c>
      <c r="J768" s="1354">
        <f t="shared" si="99"/>
        <v>86</v>
      </c>
      <c r="K768" s="1353">
        <v>41355</v>
      </c>
      <c r="L768" s="1353" t="s">
        <v>41</v>
      </c>
      <c r="M768" s="1353">
        <v>41345</v>
      </c>
      <c r="N768" s="1354">
        <f t="shared" si="95"/>
        <v>-1</v>
      </c>
      <c r="O768" s="1427">
        <v>41352</v>
      </c>
      <c r="P768" s="1355">
        <v>41354</v>
      </c>
      <c r="Q768" s="1355">
        <v>41372</v>
      </c>
      <c r="R768" s="1354">
        <f t="shared" si="96"/>
        <v>103</v>
      </c>
      <c r="S768" s="1354" t="s">
        <v>53</v>
      </c>
      <c r="T768" s="1378"/>
      <c r="U768" s="1358" t="str">
        <f t="shared" si="98"/>
        <v>en término</v>
      </c>
      <c r="V768" s="1130" t="str">
        <f t="shared" si="93"/>
        <v>Marzo</v>
      </c>
      <c r="W768" s="1128">
        <f t="shared" si="94"/>
        <v>1</v>
      </c>
    </row>
    <row r="769" spans="1:23" s="1321" customFormat="1" ht="57.6" customHeight="1" thickBot="1" x14ac:dyDescent="0.2">
      <c r="A769" s="1117">
        <v>2013</v>
      </c>
      <c r="B769" s="1117">
        <v>2013</v>
      </c>
      <c r="C769" s="1436" t="s">
        <v>36</v>
      </c>
      <c r="D769" s="1363" t="s">
        <v>133</v>
      </c>
      <c r="E769" s="1350" t="s">
        <v>2554</v>
      </c>
      <c r="F769" s="1367" t="s">
        <v>2555</v>
      </c>
      <c r="G769" s="1351">
        <v>4505080725</v>
      </c>
      <c r="H769" s="1352">
        <v>108740.04</v>
      </c>
      <c r="I769" s="1353">
        <v>41288</v>
      </c>
      <c r="J769" s="1354">
        <f t="shared" si="99"/>
        <v>59</v>
      </c>
      <c r="K769" s="1353">
        <v>41347</v>
      </c>
      <c r="L769" s="1353" t="s">
        <v>41</v>
      </c>
      <c r="M769" s="1353">
        <v>41345</v>
      </c>
      <c r="N769" s="1354">
        <f t="shared" si="95"/>
        <v>7</v>
      </c>
      <c r="O769" s="1427">
        <v>41352</v>
      </c>
      <c r="P769" s="1355">
        <v>41354</v>
      </c>
      <c r="Q769" s="1355">
        <v>41372</v>
      </c>
      <c r="R769" s="1354">
        <f t="shared" si="96"/>
        <v>84</v>
      </c>
      <c r="S769" s="1354" t="s">
        <v>1322</v>
      </c>
      <c r="T769" s="1378" t="s">
        <v>2769</v>
      </c>
      <c r="U769" s="1358" t="str">
        <f t="shared" si="98"/>
        <v>atrasado</v>
      </c>
      <c r="V769" s="1130" t="str">
        <f t="shared" si="93"/>
        <v>Marzo</v>
      </c>
      <c r="W769" s="1128">
        <f t="shared" si="94"/>
        <v>0</v>
      </c>
    </row>
    <row r="770" spans="1:23" s="1321" customFormat="1" ht="57.6" customHeight="1" thickBot="1" x14ac:dyDescent="0.2">
      <c r="A770" s="1117">
        <v>2013</v>
      </c>
      <c r="B770" s="1117">
        <v>2013</v>
      </c>
      <c r="C770" s="1436" t="s">
        <v>36</v>
      </c>
      <c r="D770" s="1363" t="s">
        <v>133</v>
      </c>
      <c r="E770" s="1350" t="s">
        <v>2554</v>
      </c>
      <c r="F770" s="1367" t="s">
        <v>2555</v>
      </c>
      <c r="G770" s="1351">
        <v>4505085965</v>
      </c>
      <c r="H770" s="1352">
        <v>13231.93</v>
      </c>
      <c r="I770" s="1353">
        <v>41289</v>
      </c>
      <c r="J770" s="1354">
        <f t="shared" si="99"/>
        <v>60</v>
      </c>
      <c r="K770" s="1353">
        <v>41349</v>
      </c>
      <c r="L770" s="1353" t="s">
        <v>41</v>
      </c>
      <c r="M770" s="1353">
        <v>41345</v>
      </c>
      <c r="N770" s="1354">
        <f t="shared" si="95"/>
        <v>5</v>
      </c>
      <c r="O770" s="1427">
        <v>41352</v>
      </c>
      <c r="P770" s="1355">
        <v>41354</v>
      </c>
      <c r="Q770" s="1355">
        <v>41372</v>
      </c>
      <c r="R770" s="1354">
        <f t="shared" si="96"/>
        <v>83</v>
      </c>
      <c r="S770" s="1354" t="s">
        <v>53</v>
      </c>
      <c r="T770" s="1378" t="s">
        <v>2769</v>
      </c>
      <c r="U770" s="1358" t="str">
        <f t="shared" si="98"/>
        <v>atrasado</v>
      </c>
      <c r="V770" s="1130" t="str">
        <f t="shared" ref="V770:V833" si="100">VLOOKUP(MONTH(M770),$Y$66:$Z$77,2,FALSE)</f>
        <v>Marzo</v>
      </c>
      <c r="W770" s="1128">
        <f t="shared" ref="W770:W833" si="101">+IF(U770="atrasado",0)+IF(U770="en término",1)</f>
        <v>0</v>
      </c>
    </row>
    <row r="771" spans="1:23" s="1321" customFormat="1" ht="57.6" customHeight="1" thickBot="1" x14ac:dyDescent="0.2">
      <c r="A771" s="1117">
        <v>2013</v>
      </c>
      <c r="B771" s="1117">
        <v>2013</v>
      </c>
      <c r="C771" s="1436" t="s">
        <v>36</v>
      </c>
      <c r="D771" s="1363" t="s">
        <v>133</v>
      </c>
      <c r="E771" s="1350" t="s">
        <v>2668</v>
      </c>
      <c r="F771" s="1367" t="s">
        <v>2669</v>
      </c>
      <c r="G771" s="1351">
        <v>4504987797</v>
      </c>
      <c r="H771" s="1352">
        <v>34895</v>
      </c>
      <c r="I771" s="1353">
        <v>41235</v>
      </c>
      <c r="J771" s="1354">
        <f t="shared" si="99"/>
        <v>128</v>
      </c>
      <c r="K771" s="1353">
        <v>41363</v>
      </c>
      <c r="L771" s="1353" t="s">
        <v>41</v>
      </c>
      <c r="M771" s="1353">
        <v>41345</v>
      </c>
      <c r="N771" s="1354">
        <f t="shared" si="95"/>
        <v>-9</v>
      </c>
      <c r="O771" s="1427">
        <v>41352</v>
      </c>
      <c r="P771" s="1355">
        <v>41354</v>
      </c>
      <c r="Q771" s="1355">
        <v>41372</v>
      </c>
      <c r="R771" s="1354">
        <f t="shared" si="96"/>
        <v>137</v>
      </c>
      <c r="S771" s="1354" t="s">
        <v>2771</v>
      </c>
      <c r="T771" s="1378"/>
      <c r="U771" s="1358" t="str">
        <f t="shared" si="98"/>
        <v>en término</v>
      </c>
      <c r="V771" s="1130" t="str">
        <f t="shared" si="100"/>
        <v>Marzo</v>
      </c>
      <c r="W771" s="1128">
        <f t="shared" si="101"/>
        <v>1</v>
      </c>
    </row>
    <row r="772" spans="1:23" s="1321" customFormat="1" ht="57.6" customHeight="1" thickBot="1" x14ac:dyDescent="0.2">
      <c r="A772" s="1117">
        <v>2013</v>
      </c>
      <c r="B772" s="1117">
        <v>2013</v>
      </c>
      <c r="C772" s="1436" t="s">
        <v>36</v>
      </c>
      <c r="D772" s="1363" t="s">
        <v>133</v>
      </c>
      <c r="E772" s="1350" t="s">
        <v>2554</v>
      </c>
      <c r="F772" s="1367" t="s">
        <v>2555</v>
      </c>
      <c r="G772" s="1351">
        <v>4505021824</v>
      </c>
      <c r="H772" s="1352">
        <v>17393.72</v>
      </c>
      <c r="I772" s="1353">
        <v>41248</v>
      </c>
      <c r="J772" s="1354">
        <f t="shared" si="99"/>
        <v>90</v>
      </c>
      <c r="K772" s="1353">
        <v>41338</v>
      </c>
      <c r="L772" s="1353" t="s">
        <v>41</v>
      </c>
      <c r="M772" s="1353">
        <v>41345</v>
      </c>
      <c r="N772" s="1354">
        <f t="shared" si="95"/>
        <v>16</v>
      </c>
      <c r="O772" s="1427">
        <v>41352</v>
      </c>
      <c r="P772" s="1355">
        <v>41354</v>
      </c>
      <c r="Q772" s="1355">
        <v>41372</v>
      </c>
      <c r="R772" s="1354">
        <f t="shared" si="96"/>
        <v>124</v>
      </c>
      <c r="S772" s="1354" t="s">
        <v>53</v>
      </c>
      <c r="T772" s="1378"/>
      <c r="U772" s="1358" t="str">
        <f t="shared" si="98"/>
        <v>atrasado</v>
      </c>
      <c r="V772" s="1130" t="str">
        <f t="shared" si="100"/>
        <v>Marzo</v>
      </c>
      <c r="W772" s="1128">
        <f t="shared" si="101"/>
        <v>0</v>
      </c>
    </row>
    <row r="773" spans="1:23" s="1321" customFormat="1" ht="57.6" customHeight="1" thickBot="1" x14ac:dyDescent="0.2">
      <c r="A773" s="1117">
        <v>2013</v>
      </c>
      <c r="B773" s="1117">
        <v>2013</v>
      </c>
      <c r="C773" s="1436" t="s">
        <v>36</v>
      </c>
      <c r="D773" s="1363" t="s">
        <v>133</v>
      </c>
      <c r="E773" s="1350" t="s">
        <v>2554</v>
      </c>
      <c r="F773" s="1367" t="s">
        <v>2555</v>
      </c>
      <c r="G773" s="1351">
        <v>4505080380</v>
      </c>
      <c r="H773" s="1352">
        <v>74154.8</v>
      </c>
      <c r="I773" s="1353">
        <v>41283</v>
      </c>
      <c r="J773" s="1354">
        <f t="shared" si="99"/>
        <v>90</v>
      </c>
      <c r="K773" s="1353">
        <v>41373</v>
      </c>
      <c r="L773" s="1353" t="s">
        <v>41</v>
      </c>
      <c r="M773" s="1353">
        <v>41355</v>
      </c>
      <c r="N773" s="1354">
        <f t="shared" si="95"/>
        <v>-3</v>
      </c>
      <c r="O773" s="1427">
        <v>41359</v>
      </c>
      <c r="P773" s="1355">
        <v>41370</v>
      </c>
      <c r="Q773" s="1355">
        <v>41379</v>
      </c>
      <c r="R773" s="1354">
        <f t="shared" si="96"/>
        <v>96</v>
      </c>
      <c r="S773" s="1354" t="s">
        <v>1828</v>
      </c>
      <c r="T773" s="1378"/>
      <c r="U773" s="1358" t="str">
        <f t="shared" si="98"/>
        <v>en término</v>
      </c>
      <c r="V773" s="1130" t="str">
        <f t="shared" si="100"/>
        <v>Marzo</v>
      </c>
      <c r="W773" s="1128">
        <f t="shared" si="101"/>
        <v>1</v>
      </c>
    </row>
    <row r="774" spans="1:23" s="1321" customFormat="1" ht="57.6" customHeight="1" thickBot="1" x14ac:dyDescent="0.2">
      <c r="A774" s="1117">
        <v>2013</v>
      </c>
      <c r="B774" s="1117">
        <v>2013</v>
      </c>
      <c r="C774" s="1436" t="s">
        <v>36</v>
      </c>
      <c r="D774" s="1363" t="s">
        <v>37</v>
      </c>
      <c r="E774" s="1350" t="s">
        <v>2776</v>
      </c>
      <c r="F774" s="1367" t="s">
        <v>2777</v>
      </c>
      <c r="G774" s="1351">
        <v>13010003</v>
      </c>
      <c r="H774" s="1352">
        <v>13960</v>
      </c>
      <c r="I774" s="1353">
        <v>41291</v>
      </c>
      <c r="J774" s="1354">
        <v>90</v>
      </c>
      <c r="K774" s="1353">
        <f>+I774+J774</f>
        <v>41381</v>
      </c>
      <c r="L774" s="1353" t="s">
        <v>41</v>
      </c>
      <c r="M774" s="1353">
        <v>41361</v>
      </c>
      <c r="N774" s="1354">
        <f t="shared" si="95"/>
        <v>-7</v>
      </c>
      <c r="O774" s="1427">
        <v>41372</v>
      </c>
      <c r="P774" s="1355">
        <v>41374</v>
      </c>
      <c r="Q774" s="1355">
        <f>+P774+20</f>
        <v>41394</v>
      </c>
      <c r="R774" s="1354">
        <f t="shared" si="96"/>
        <v>103</v>
      </c>
      <c r="S774" s="1354" t="s">
        <v>1680</v>
      </c>
      <c r="T774" s="1378"/>
      <c r="U774" s="1358" t="str">
        <f t="shared" si="98"/>
        <v>en término</v>
      </c>
      <c r="V774" s="1130" t="str">
        <f t="shared" si="100"/>
        <v>Marzo</v>
      </c>
      <c r="W774" s="1128">
        <f t="shared" si="101"/>
        <v>1</v>
      </c>
    </row>
    <row r="775" spans="1:23" s="1321" customFormat="1" ht="57.6" customHeight="1" thickBot="1" x14ac:dyDescent="0.2">
      <c r="A775" s="1117">
        <v>2013</v>
      </c>
      <c r="B775" s="1117">
        <v>2013</v>
      </c>
      <c r="C775" s="1436" t="s">
        <v>36</v>
      </c>
      <c r="D775" s="1363" t="s">
        <v>37</v>
      </c>
      <c r="E775" s="1350" t="s">
        <v>2779</v>
      </c>
      <c r="F775" s="1367" t="s">
        <v>2780</v>
      </c>
      <c r="G775" s="1351">
        <v>13010007</v>
      </c>
      <c r="H775" s="1352">
        <v>950</v>
      </c>
      <c r="I775" s="1353">
        <v>41302</v>
      </c>
      <c r="J775" s="1354">
        <v>120</v>
      </c>
      <c r="K775" s="1353">
        <f>+I775+J775</f>
        <v>41422</v>
      </c>
      <c r="L775" s="1353" t="s">
        <v>41</v>
      </c>
      <c r="M775" s="1353">
        <v>41361</v>
      </c>
      <c r="N775" s="1354">
        <f t="shared" si="95"/>
        <v>-48</v>
      </c>
      <c r="O775" s="1427">
        <v>41372</v>
      </c>
      <c r="P775" s="1355">
        <v>41374</v>
      </c>
      <c r="Q775" s="1355">
        <f>+P775+20</f>
        <v>41394</v>
      </c>
      <c r="R775" s="1354">
        <f t="shared" si="96"/>
        <v>92</v>
      </c>
      <c r="S775" s="1354" t="s">
        <v>53</v>
      </c>
      <c r="T775" s="1378"/>
      <c r="U775" s="1358" t="str">
        <f t="shared" si="98"/>
        <v>en término</v>
      </c>
      <c r="V775" s="1130" t="str">
        <f t="shared" si="100"/>
        <v>Marzo</v>
      </c>
      <c r="W775" s="1128">
        <f t="shared" si="101"/>
        <v>1</v>
      </c>
    </row>
    <row r="776" spans="1:23" s="1321" customFormat="1" ht="57.6" customHeight="1" thickBot="1" x14ac:dyDescent="0.2">
      <c r="A776" s="1117">
        <v>2013</v>
      </c>
      <c r="B776" s="1117">
        <v>2013</v>
      </c>
      <c r="C776" s="1436" t="s">
        <v>36</v>
      </c>
      <c r="D776" s="1363" t="s">
        <v>133</v>
      </c>
      <c r="E776" s="1350" t="s">
        <v>2554</v>
      </c>
      <c r="F776" s="1367" t="s">
        <v>2555</v>
      </c>
      <c r="G776" s="1351">
        <v>4504866162</v>
      </c>
      <c r="H776" s="1352">
        <v>17051.29</v>
      </c>
      <c r="I776" s="1353">
        <v>41220</v>
      </c>
      <c r="J776" s="1354">
        <f t="shared" ref="J776:J789" si="102">+K776-I776</f>
        <v>159</v>
      </c>
      <c r="K776" s="1353">
        <v>41379</v>
      </c>
      <c r="L776" s="1353" t="s">
        <v>41</v>
      </c>
      <c r="M776" s="1353">
        <v>41361</v>
      </c>
      <c r="N776" s="1354">
        <f t="shared" ref="N776:N839" si="103">IF(P776="","",+P776-K776)</f>
        <v>-5</v>
      </c>
      <c r="O776" s="1427">
        <v>41372</v>
      </c>
      <c r="P776" s="1355">
        <v>41374</v>
      </c>
      <c r="Q776" s="1355">
        <f>+P776+20</f>
        <v>41394</v>
      </c>
      <c r="R776" s="1354">
        <f t="shared" ref="R776:R839" si="104">IF(Q776="","",+Q776-I776)</f>
        <v>174</v>
      </c>
      <c r="S776" s="1354" t="s">
        <v>53</v>
      </c>
      <c r="T776" s="1378"/>
      <c r="U776" s="1358" t="str">
        <f t="shared" ref="U776:U807" si="105">IF(N776="","",IF(N776&lt;=0,"en término","atrasado"))</f>
        <v>en término</v>
      </c>
      <c r="V776" s="1130" t="str">
        <f t="shared" si="100"/>
        <v>Marzo</v>
      </c>
      <c r="W776" s="1128">
        <f t="shared" si="101"/>
        <v>1</v>
      </c>
    </row>
    <row r="777" spans="1:23" s="1321" customFormat="1" ht="57.6" customHeight="1" thickBot="1" x14ac:dyDescent="0.2">
      <c r="A777" s="1117">
        <v>2013</v>
      </c>
      <c r="B777" s="1117">
        <v>2013</v>
      </c>
      <c r="C777" s="1436" t="s">
        <v>36</v>
      </c>
      <c r="D777" s="1363" t="s">
        <v>133</v>
      </c>
      <c r="E777" s="1350" t="s">
        <v>2554</v>
      </c>
      <c r="F777" s="1367" t="s">
        <v>2555</v>
      </c>
      <c r="G777" s="1351">
        <v>4505091104</v>
      </c>
      <c r="H777" s="1352">
        <v>75475</v>
      </c>
      <c r="I777" s="1353">
        <v>41291</v>
      </c>
      <c r="J777" s="1354">
        <f t="shared" si="102"/>
        <v>91</v>
      </c>
      <c r="K777" s="1353">
        <v>41382</v>
      </c>
      <c r="L777" s="1353" t="s">
        <v>41</v>
      </c>
      <c r="M777" s="1353">
        <v>41373</v>
      </c>
      <c r="N777" s="1354">
        <f t="shared" si="103"/>
        <v>0</v>
      </c>
      <c r="O777" s="1427">
        <v>41381</v>
      </c>
      <c r="P777" s="1355">
        <v>41382</v>
      </c>
      <c r="Q777" s="1355">
        <v>41400</v>
      </c>
      <c r="R777" s="1354">
        <f t="shared" si="104"/>
        <v>109</v>
      </c>
      <c r="S777" s="1354" t="s">
        <v>2782</v>
      </c>
      <c r="T777" s="1378"/>
      <c r="U777" s="1358" t="str">
        <f t="shared" si="105"/>
        <v>en término</v>
      </c>
      <c r="V777" s="1130" t="str">
        <f t="shared" si="100"/>
        <v>Abril</v>
      </c>
      <c r="W777" s="1128">
        <f t="shared" si="101"/>
        <v>1</v>
      </c>
    </row>
    <row r="778" spans="1:23" s="1321" customFormat="1" ht="57.6" customHeight="1" thickBot="1" x14ac:dyDescent="0.2">
      <c r="A778" s="1117">
        <v>2013</v>
      </c>
      <c r="B778" s="1117">
        <v>2013</v>
      </c>
      <c r="C778" s="1436" t="s">
        <v>36</v>
      </c>
      <c r="D778" s="1363" t="s">
        <v>133</v>
      </c>
      <c r="E778" s="1350" t="s">
        <v>2668</v>
      </c>
      <c r="F778" s="1367" t="s">
        <v>2669</v>
      </c>
      <c r="G778" s="1351">
        <v>4505080384</v>
      </c>
      <c r="H778" s="1352">
        <v>30966</v>
      </c>
      <c r="I778" s="1353">
        <v>41283</v>
      </c>
      <c r="J778" s="1354">
        <f t="shared" si="102"/>
        <v>70</v>
      </c>
      <c r="K778" s="1353">
        <v>41353</v>
      </c>
      <c r="L778" s="1353" t="s">
        <v>41</v>
      </c>
      <c r="M778" s="1353">
        <v>41380</v>
      </c>
      <c r="N778" s="1354">
        <f t="shared" si="103"/>
        <v>35</v>
      </c>
      <c r="O778" s="1427">
        <v>41387</v>
      </c>
      <c r="P778" s="1355">
        <v>41388</v>
      </c>
      <c r="Q778" s="1355">
        <v>41407</v>
      </c>
      <c r="R778" s="1354">
        <f t="shared" si="104"/>
        <v>124</v>
      </c>
      <c r="S778" s="1354" t="s">
        <v>2786</v>
      </c>
      <c r="T778" s="1378"/>
      <c r="U778" s="1358" t="str">
        <f t="shared" si="105"/>
        <v>atrasado</v>
      </c>
      <c r="V778" s="1130" t="str">
        <f t="shared" si="100"/>
        <v>Abril</v>
      </c>
      <c r="W778" s="1128">
        <f t="shared" si="101"/>
        <v>0</v>
      </c>
    </row>
    <row r="779" spans="1:23" s="1321" customFormat="1" ht="57.6" customHeight="1" thickBot="1" x14ac:dyDescent="0.2">
      <c r="A779" s="1117">
        <v>2013</v>
      </c>
      <c r="B779" s="1117">
        <v>2013</v>
      </c>
      <c r="C779" s="1436" t="s">
        <v>36</v>
      </c>
      <c r="D779" s="1363" t="s">
        <v>133</v>
      </c>
      <c r="E779" s="1350" t="s">
        <v>2788</v>
      </c>
      <c r="F779" s="1367" t="s">
        <v>2789</v>
      </c>
      <c r="G779" s="1351">
        <v>4505063317</v>
      </c>
      <c r="H779" s="1352">
        <v>26176.6</v>
      </c>
      <c r="I779" s="1353">
        <v>41271</v>
      </c>
      <c r="J779" s="1354">
        <f t="shared" si="102"/>
        <v>118</v>
      </c>
      <c r="K779" s="1353">
        <v>41389</v>
      </c>
      <c r="L779" s="1353" t="s">
        <v>41</v>
      </c>
      <c r="M779" s="1353">
        <v>41380</v>
      </c>
      <c r="N779" s="1354">
        <f t="shared" si="103"/>
        <v>-1</v>
      </c>
      <c r="O779" s="1427">
        <v>41387</v>
      </c>
      <c r="P779" s="1355">
        <v>41388</v>
      </c>
      <c r="Q779" s="1355">
        <v>41407</v>
      </c>
      <c r="R779" s="1354">
        <f t="shared" si="104"/>
        <v>136</v>
      </c>
      <c r="S779" s="1354" t="s">
        <v>2790</v>
      </c>
      <c r="T779" s="1378"/>
      <c r="U779" s="1358" t="str">
        <f t="shared" si="105"/>
        <v>en término</v>
      </c>
      <c r="V779" s="1130" t="str">
        <f t="shared" si="100"/>
        <v>Abril</v>
      </c>
      <c r="W779" s="1128">
        <f t="shared" si="101"/>
        <v>1</v>
      </c>
    </row>
    <row r="780" spans="1:23" s="1321" customFormat="1" ht="57.6" customHeight="1" thickBot="1" x14ac:dyDescent="0.2">
      <c r="A780" s="1117">
        <v>2013</v>
      </c>
      <c r="B780" s="1117">
        <v>2013</v>
      </c>
      <c r="C780" s="1436" t="s">
        <v>36</v>
      </c>
      <c r="D780" s="1363" t="s">
        <v>133</v>
      </c>
      <c r="E780" s="1350" t="s">
        <v>2668</v>
      </c>
      <c r="F780" s="1367" t="s">
        <v>2669</v>
      </c>
      <c r="G780" s="1351">
        <v>4504944370</v>
      </c>
      <c r="H780" s="1352">
        <v>61200</v>
      </c>
      <c r="I780" s="1353">
        <v>41207</v>
      </c>
      <c r="J780" s="1354">
        <f t="shared" si="102"/>
        <v>130</v>
      </c>
      <c r="K780" s="1353">
        <v>41337</v>
      </c>
      <c r="L780" s="1353" t="s">
        <v>41</v>
      </c>
      <c r="M780" s="1353">
        <v>41380</v>
      </c>
      <c r="N780" s="1354">
        <f t="shared" si="103"/>
        <v>51</v>
      </c>
      <c r="O780" s="1427">
        <v>41387</v>
      </c>
      <c r="P780" s="1355">
        <v>41388</v>
      </c>
      <c r="Q780" s="1355">
        <v>41407</v>
      </c>
      <c r="R780" s="1354">
        <f t="shared" si="104"/>
        <v>200</v>
      </c>
      <c r="S780" s="1354" t="s">
        <v>2791</v>
      </c>
      <c r="T780" s="1378"/>
      <c r="U780" s="1358" t="str">
        <f t="shared" si="105"/>
        <v>atrasado</v>
      </c>
      <c r="V780" s="1130" t="str">
        <f t="shared" si="100"/>
        <v>Abril</v>
      </c>
      <c r="W780" s="1128">
        <f t="shared" si="101"/>
        <v>0</v>
      </c>
    </row>
    <row r="781" spans="1:23" s="1321" customFormat="1" ht="57.6" customHeight="1" thickBot="1" x14ac:dyDescent="0.2">
      <c r="A781" s="1117">
        <v>2013</v>
      </c>
      <c r="B781" s="1117">
        <v>2013</v>
      </c>
      <c r="C781" s="1436" t="s">
        <v>36</v>
      </c>
      <c r="D781" s="1363" t="s">
        <v>133</v>
      </c>
      <c r="E781" s="1350" t="s">
        <v>2788</v>
      </c>
      <c r="F781" s="1367" t="s">
        <v>2789</v>
      </c>
      <c r="G781" s="1351">
        <v>4505093404</v>
      </c>
      <c r="H781" s="1352">
        <v>77618.33</v>
      </c>
      <c r="I781" s="1353">
        <v>41292</v>
      </c>
      <c r="J781" s="1354">
        <f t="shared" si="102"/>
        <v>120</v>
      </c>
      <c r="K781" s="1353">
        <v>41412</v>
      </c>
      <c r="L781" s="1353" t="s">
        <v>41</v>
      </c>
      <c r="M781" s="1353">
        <v>41401</v>
      </c>
      <c r="N781" s="1354">
        <f t="shared" si="103"/>
        <v>-2</v>
      </c>
      <c r="O781" s="1427">
        <v>41408</v>
      </c>
      <c r="P781" s="1355">
        <v>41410</v>
      </c>
      <c r="Q781" s="1355">
        <v>41428</v>
      </c>
      <c r="R781" s="1354">
        <f t="shared" si="104"/>
        <v>136</v>
      </c>
      <c r="S781" s="1354" t="s">
        <v>2795</v>
      </c>
      <c r="T781" s="1378"/>
      <c r="U781" s="1358" t="str">
        <f t="shared" si="105"/>
        <v>en término</v>
      </c>
      <c r="V781" s="1130" t="str">
        <f t="shared" si="100"/>
        <v>Mayo</v>
      </c>
      <c r="W781" s="1128">
        <f t="shared" si="101"/>
        <v>1</v>
      </c>
    </row>
    <row r="782" spans="1:23" s="1321" customFormat="1" ht="57.6" customHeight="1" thickBot="1" x14ac:dyDescent="0.2">
      <c r="A782" s="1117">
        <v>2013</v>
      </c>
      <c r="B782" s="1117">
        <v>2013</v>
      </c>
      <c r="C782" s="1436" t="s">
        <v>36</v>
      </c>
      <c r="D782" s="1363" t="s">
        <v>133</v>
      </c>
      <c r="E782" s="1350" t="s">
        <v>2799</v>
      </c>
      <c r="F782" s="1367" t="s">
        <v>2800</v>
      </c>
      <c r="G782" s="1351">
        <v>4505143661</v>
      </c>
      <c r="H782" s="1352">
        <v>5479.14</v>
      </c>
      <c r="I782" s="1353">
        <v>41325</v>
      </c>
      <c r="J782" s="1354">
        <f t="shared" si="102"/>
        <v>90</v>
      </c>
      <c r="K782" s="1353">
        <v>41415</v>
      </c>
      <c r="L782" s="1353" t="s">
        <v>41</v>
      </c>
      <c r="M782" s="1353">
        <v>41401</v>
      </c>
      <c r="N782" s="1354">
        <f t="shared" si="103"/>
        <v>-5</v>
      </c>
      <c r="O782" s="1427">
        <v>41408</v>
      </c>
      <c r="P782" s="1355">
        <v>41410</v>
      </c>
      <c r="Q782" s="1355">
        <v>41428</v>
      </c>
      <c r="R782" s="1354">
        <f t="shared" si="104"/>
        <v>103</v>
      </c>
      <c r="S782" s="1354" t="s">
        <v>53</v>
      </c>
      <c r="T782" s="1378"/>
      <c r="U782" s="1358" t="str">
        <f t="shared" si="105"/>
        <v>en término</v>
      </c>
      <c r="V782" s="1130" t="str">
        <f t="shared" si="100"/>
        <v>Mayo</v>
      </c>
      <c r="W782" s="1128">
        <f t="shared" si="101"/>
        <v>1</v>
      </c>
    </row>
    <row r="783" spans="1:23" s="1321" customFormat="1" ht="57.6" customHeight="1" thickBot="1" x14ac:dyDescent="0.2">
      <c r="A783" s="1117">
        <v>2013</v>
      </c>
      <c r="B783" s="1117">
        <v>2013</v>
      </c>
      <c r="C783" s="1436" t="s">
        <v>36</v>
      </c>
      <c r="D783" s="1363" t="s">
        <v>133</v>
      </c>
      <c r="E783" s="1350" t="s">
        <v>2799</v>
      </c>
      <c r="F783" s="1367" t="s">
        <v>2800</v>
      </c>
      <c r="G783" s="1351">
        <v>4505146004</v>
      </c>
      <c r="H783" s="1352">
        <v>153298.53</v>
      </c>
      <c r="I783" s="1353">
        <v>41326</v>
      </c>
      <c r="J783" s="1354">
        <f t="shared" si="102"/>
        <v>90</v>
      </c>
      <c r="K783" s="1353">
        <v>41416</v>
      </c>
      <c r="L783" s="1353" t="s">
        <v>41</v>
      </c>
      <c r="M783" s="1353">
        <v>41401</v>
      </c>
      <c r="N783" s="1354">
        <f t="shared" si="103"/>
        <v>-6</v>
      </c>
      <c r="O783" s="1427">
        <v>41408</v>
      </c>
      <c r="P783" s="1355">
        <v>41410</v>
      </c>
      <c r="Q783" s="1355">
        <v>41428</v>
      </c>
      <c r="R783" s="1354">
        <f t="shared" si="104"/>
        <v>102</v>
      </c>
      <c r="S783" s="1354" t="s">
        <v>2803</v>
      </c>
      <c r="T783" s="1378"/>
      <c r="U783" s="1358" t="str">
        <f t="shared" si="105"/>
        <v>en término</v>
      </c>
      <c r="V783" s="1130" t="str">
        <f t="shared" si="100"/>
        <v>Mayo</v>
      </c>
      <c r="W783" s="1128">
        <f t="shared" si="101"/>
        <v>1</v>
      </c>
    </row>
    <row r="784" spans="1:23" s="1321" customFormat="1" ht="57.6" customHeight="1" thickBot="1" x14ac:dyDescent="0.2">
      <c r="A784" s="1117">
        <v>2013</v>
      </c>
      <c r="B784" s="1117">
        <v>2013</v>
      </c>
      <c r="C784" s="1436" t="s">
        <v>36</v>
      </c>
      <c r="D784" s="1363" t="s">
        <v>133</v>
      </c>
      <c r="E784" s="1350" t="s">
        <v>2799</v>
      </c>
      <c r="F784" s="1367" t="s">
        <v>2800</v>
      </c>
      <c r="G784" s="1351">
        <v>4505155241</v>
      </c>
      <c r="H784" s="1352">
        <v>109126</v>
      </c>
      <c r="I784" s="1353">
        <v>41332</v>
      </c>
      <c r="J784" s="1354">
        <f t="shared" si="102"/>
        <v>90</v>
      </c>
      <c r="K784" s="1353">
        <v>41422</v>
      </c>
      <c r="L784" s="1353" t="s">
        <v>41</v>
      </c>
      <c r="M784" s="1353">
        <v>41408</v>
      </c>
      <c r="N784" s="1354">
        <f t="shared" si="103"/>
        <v>-4</v>
      </c>
      <c r="O784" s="1427">
        <v>41416</v>
      </c>
      <c r="P784" s="1355">
        <v>41418</v>
      </c>
      <c r="Q784" s="1355">
        <v>41435</v>
      </c>
      <c r="R784" s="1354">
        <f t="shared" si="104"/>
        <v>103</v>
      </c>
      <c r="S784" s="1354" t="s">
        <v>2442</v>
      </c>
      <c r="T784" s="1378"/>
      <c r="U784" s="1358" t="str">
        <f t="shared" si="105"/>
        <v>en término</v>
      </c>
      <c r="V784" s="1130" t="str">
        <f t="shared" si="100"/>
        <v>Mayo</v>
      </c>
      <c r="W784" s="1128">
        <f t="shared" si="101"/>
        <v>1</v>
      </c>
    </row>
    <row r="785" spans="1:23" s="1321" customFormat="1" ht="57.6" customHeight="1" thickBot="1" x14ac:dyDescent="0.2">
      <c r="A785" s="1117">
        <v>2013</v>
      </c>
      <c r="B785" s="1117">
        <v>2013</v>
      </c>
      <c r="C785" s="1436" t="s">
        <v>36</v>
      </c>
      <c r="D785" s="1363" t="s">
        <v>133</v>
      </c>
      <c r="E785" s="1350" t="s">
        <v>2799</v>
      </c>
      <c r="F785" s="1367" t="s">
        <v>2800</v>
      </c>
      <c r="G785" s="1351">
        <v>4505165743</v>
      </c>
      <c r="H785" s="1352">
        <v>148188.74</v>
      </c>
      <c r="I785" s="1353">
        <v>41334</v>
      </c>
      <c r="J785" s="1354">
        <f t="shared" si="102"/>
        <v>96</v>
      </c>
      <c r="K785" s="1353">
        <v>41430</v>
      </c>
      <c r="L785" s="1353" t="s">
        <v>41</v>
      </c>
      <c r="M785" s="1353">
        <v>41408</v>
      </c>
      <c r="N785" s="1354">
        <f t="shared" si="103"/>
        <v>-12</v>
      </c>
      <c r="O785" s="1427">
        <v>41416</v>
      </c>
      <c r="P785" s="1355">
        <v>41418</v>
      </c>
      <c r="Q785" s="1355">
        <v>41435</v>
      </c>
      <c r="R785" s="1354">
        <f t="shared" si="104"/>
        <v>101</v>
      </c>
      <c r="S785" s="1354" t="s">
        <v>1327</v>
      </c>
      <c r="T785" s="1378"/>
      <c r="U785" s="1358" t="str">
        <f t="shared" si="105"/>
        <v>en término</v>
      </c>
      <c r="V785" s="1130" t="str">
        <f t="shared" si="100"/>
        <v>Mayo</v>
      </c>
      <c r="W785" s="1128">
        <f t="shared" si="101"/>
        <v>1</v>
      </c>
    </row>
    <row r="786" spans="1:23" s="1321" customFormat="1" ht="57.6" customHeight="1" thickBot="1" x14ac:dyDescent="0.2">
      <c r="A786" s="1117">
        <v>2013</v>
      </c>
      <c r="B786" s="1117">
        <v>2013</v>
      </c>
      <c r="C786" s="1436" t="s">
        <v>36</v>
      </c>
      <c r="D786" s="1363" t="s">
        <v>133</v>
      </c>
      <c r="E786" s="1350" t="s">
        <v>2799</v>
      </c>
      <c r="F786" s="1367" t="s">
        <v>2800</v>
      </c>
      <c r="G786" s="1351">
        <v>4505169037</v>
      </c>
      <c r="H786" s="1352">
        <v>13385.7</v>
      </c>
      <c r="I786" s="1353">
        <v>41337</v>
      </c>
      <c r="J786" s="1354">
        <f t="shared" si="102"/>
        <v>93</v>
      </c>
      <c r="K786" s="1353">
        <v>41430</v>
      </c>
      <c r="L786" s="1353" t="s">
        <v>41</v>
      </c>
      <c r="M786" s="1353">
        <v>41408</v>
      </c>
      <c r="N786" s="1354">
        <f t="shared" si="103"/>
        <v>-12</v>
      </c>
      <c r="O786" s="1427">
        <v>41416</v>
      </c>
      <c r="P786" s="1355">
        <v>41418</v>
      </c>
      <c r="Q786" s="1355">
        <v>41435</v>
      </c>
      <c r="R786" s="1354">
        <f t="shared" si="104"/>
        <v>98</v>
      </c>
      <c r="S786" s="1354" t="s">
        <v>2806</v>
      </c>
      <c r="T786" s="1378"/>
      <c r="U786" s="1358" t="str">
        <f t="shared" si="105"/>
        <v>en término</v>
      </c>
      <c r="V786" s="1130" t="str">
        <f t="shared" si="100"/>
        <v>Mayo</v>
      </c>
      <c r="W786" s="1128">
        <f t="shared" si="101"/>
        <v>1</v>
      </c>
    </row>
    <row r="787" spans="1:23" s="1321" customFormat="1" ht="57.6" customHeight="1" thickBot="1" x14ac:dyDescent="0.2">
      <c r="A787" s="1117">
        <v>2013</v>
      </c>
      <c r="B787" s="1117">
        <v>2013</v>
      </c>
      <c r="C787" s="1436" t="s">
        <v>36</v>
      </c>
      <c r="D787" s="1363" t="s">
        <v>133</v>
      </c>
      <c r="E787" s="1350" t="s">
        <v>2799</v>
      </c>
      <c r="F787" s="1367" t="s">
        <v>2800</v>
      </c>
      <c r="G787" s="1351">
        <v>4505178234</v>
      </c>
      <c r="H787" s="1352">
        <v>11553.13</v>
      </c>
      <c r="I787" s="1353">
        <v>41341</v>
      </c>
      <c r="J787" s="1354">
        <f t="shared" si="102"/>
        <v>94</v>
      </c>
      <c r="K787" s="1353">
        <v>41435</v>
      </c>
      <c r="L787" s="1353" t="s">
        <v>41</v>
      </c>
      <c r="M787" s="1353">
        <v>41422</v>
      </c>
      <c r="N787" s="1354">
        <f t="shared" si="103"/>
        <v>-3</v>
      </c>
      <c r="O787" s="1427">
        <v>41430</v>
      </c>
      <c r="P787" s="1355">
        <v>41432</v>
      </c>
      <c r="Q787" s="1355">
        <v>41449</v>
      </c>
      <c r="R787" s="1354">
        <f t="shared" si="104"/>
        <v>108</v>
      </c>
      <c r="S787" s="1354" t="s">
        <v>2806</v>
      </c>
      <c r="T787" s="1378"/>
      <c r="U787" s="1358" t="str">
        <f t="shared" si="105"/>
        <v>en término</v>
      </c>
      <c r="V787" s="1130" t="str">
        <f t="shared" si="100"/>
        <v>Mayo</v>
      </c>
      <c r="W787" s="1128">
        <f t="shared" si="101"/>
        <v>1</v>
      </c>
    </row>
    <row r="788" spans="1:23" s="1321" customFormat="1" ht="57.6" customHeight="1" thickBot="1" x14ac:dyDescent="0.2">
      <c r="A788" s="1117">
        <v>2013</v>
      </c>
      <c r="B788" s="1117">
        <v>2013</v>
      </c>
      <c r="C788" s="1436" t="s">
        <v>36</v>
      </c>
      <c r="D788" s="1363" t="s">
        <v>133</v>
      </c>
      <c r="E788" s="1350" t="s">
        <v>2799</v>
      </c>
      <c r="F788" s="1367" t="s">
        <v>2800</v>
      </c>
      <c r="G788" s="1351">
        <v>4505178228</v>
      </c>
      <c r="H788" s="1352">
        <v>129717.35</v>
      </c>
      <c r="I788" s="1353">
        <v>41341</v>
      </c>
      <c r="J788" s="1354">
        <f t="shared" si="102"/>
        <v>94</v>
      </c>
      <c r="K788" s="1353">
        <v>41435</v>
      </c>
      <c r="L788" s="1353" t="s">
        <v>41</v>
      </c>
      <c r="M788" s="1353">
        <v>41422</v>
      </c>
      <c r="N788" s="1354">
        <f t="shared" si="103"/>
        <v>-3</v>
      </c>
      <c r="O788" s="1427">
        <v>41430</v>
      </c>
      <c r="P788" s="1355">
        <v>41432</v>
      </c>
      <c r="Q788" s="1355">
        <v>41449</v>
      </c>
      <c r="R788" s="1354">
        <f t="shared" si="104"/>
        <v>108</v>
      </c>
      <c r="S788" s="1354" t="s">
        <v>1332</v>
      </c>
      <c r="T788" s="1378"/>
      <c r="U788" s="1358" t="str">
        <f t="shared" si="105"/>
        <v>en término</v>
      </c>
      <c r="V788" s="1130" t="str">
        <f t="shared" si="100"/>
        <v>Mayo</v>
      </c>
      <c r="W788" s="1128">
        <f t="shared" si="101"/>
        <v>1</v>
      </c>
    </row>
    <row r="789" spans="1:23" s="1321" customFormat="1" ht="57.6" customHeight="1" thickBot="1" x14ac:dyDescent="0.2">
      <c r="A789" s="1117">
        <v>2013</v>
      </c>
      <c r="B789" s="1117">
        <v>2013</v>
      </c>
      <c r="C789" s="1436" t="s">
        <v>36</v>
      </c>
      <c r="D789" s="1363" t="s">
        <v>133</v>
      </c>
      <c r="E789" s="1350" t="s">
        <v>2799</v>
      </c>
      <c r="F789" s="1367" t="s">
        <v>2800</v>
      </c>
      <c r="G789" s="1351">
        <v>4505234922</v>
      </c>
      <c r="H789" s="1352">
        <v>4408.12</v>
      </c>
      <c r="I789" s="1353">
        <v>41374</v>
      </c>
      <c r="J789" s="1354">
        <f t="shared" si="102"/>
        <v>61</v>
      </c>
      <c r="K789" s="1353">
        <v>41435</v>
      </c>
      <c r="L789" s="1353" t="s">
        <v>41</v>
      </c>
      <c r="M789" s="1353">
        <v>41422</v>
      </c>
      <c r="N789" s="1354">
        <f t="shared" si="103"/>
        <v>-3</v>
      </c>
      <c r="O789" s="1427">
        <v>41430</v>
      </c>
      <c r="P789" s="1355">
        <v>41432</v>
      </c>
      <c r="Q789" s="1355">
        <v>41449</v>
      </c>
      <c r="R789" s="1354">
        <f t="shared" si="104"/>
        <v>75</v>
      </c>
      <c r="S789" s="1354" t="s">
        <v>53</v>
      </c>
      <c r="T789" s="1378" t="s">
        <v>2812</v>
      </c>
      <c r="U789" s="1358" t="str">
        <f t="shared" si="105"/>
        <v>en término</v>
      </c>
      <c r="V789" s="1130" t="str">
        <f t="shared" si="100"/>
        <v>Mayo</v>
      </c>
      <c r="W789" s="1128">
        <f t="shared" si="101"/>
        <v>1</v>
      </c>
    </row>
    <row r="790" spans="1:23" s="1321" customFormat="1" ht="57.6" customHeight="1" thickBot="1" x14ac:dyDescent="0.2">
      <c r="A790" s="1117">
        <v>2013</v>
      </c>
      <c r="B790" s="1117">
        <v>2013</v>
      </c>
      <c r="C790" s="1436" t="s">
        <v>36</v>
      </c>
      <c r="D790" s="1363" t="s">
        <v>37</v>
      </c>
      <c r="E790" s="1350" t="s">
        <v>2815</v>
      </c>
      <c r="F790" s="1367" t="s">
        <v>2816</v>
      </c>
      <c r="G790" s="1351">
        <v>13060001</v>
      </c>
      <c r="H790" s="1352">
        <v>1090</v>
      </c>
      <c r="I790" s="1353">
        <v>41428</v>
      </c>
      <c r="J790" s="1354">
        <v>15</v>
      </c>
      <c r="K790" s="1353">
        <f>+I790+J790</f>
        <v>41443</v>
      </c>
      <c r="L790" s="1353" t="s">
        <v>41</v>
      </c>
      <c r="M790" s="1353">
        <v>41437</v>
      </c>
      <c r="N790" s="1354">
        <f t="shared" si="103"/>
        <v>-1</v>
      </c>
      <c r="O790" s="1427"/>
      <c r="P790" s="1355">
        <v>41442</v>
      </c>
      <c r="Q790" s="1355">
        <f>+P790+5</f>
        <v>41447</v>
      </c>
      <c r="R790" s="1354">
        <f t="shared" si="104"/>
        <v>19</v>
      </c>
      <c r="S790" s="1354" t="s">
        <v>53</v>
      </c>
      <c r="T790" s="1378"/>
      <c r="U790" s="1358" t="str">
        <f t="shared" si="105"/>
        <v>en término</v>
      </c>
      <c r="V790" s="1130" t="str">
        <f t="shared" si="100"/>
        <v>Junio</v>
      </c>
      <c r="W790" s="1128">
        <f t="shared" si="101"/>
        <v>1</v>
      </c>
    </row>
    <row r="791" spans="1:23" s="1321" customFormat="1" ht="57.6" customHeight="1" thickBot="1" x14ac:dyDescent="0.2">
      <c r="A791" s="1117">
        <v>2013</v>
      </c>
      <c r="B791" s="1117">
        <v>2013</v>
      </c>
      <c r="C791" s="1436" t="s">
        <v>36</v>
      </c>
      <c r="D791" s="1363" t="s">
        <v>37</v>
      </c>
      <c r="E791" s="1350" t="s">
        <v>2819</v>
      </c>
      <c r="F791" s="1367" t="s">
        <v>2820</v>
      </c>
      <c r="G791" s="1351">
        <v>13060002</v>
      </c>
      <c r="H791" s="1352">
        <v>1815</v>
      </c>
      <c r="I791" s="1353">
        <v>41442</v>
      </c>
      <c r="J791" s="1354">
        <v>45</v>
      </c>
      <c r="K791" s="1353">
        <f>+I791+J791</f>
        <v>41487</v>
      </c>
      <c r="L791" s="1353" t="s">
        <v>41</v>
      </c>
      <c r="M791" s="1353">
        <v>41470</v>
      </c>
      <c r="N791" s="1354">
        <f t="shared" si="103"/>
        <v>-12</v>
      </c>
      <c r="O791" s="1427">
        <v>41474</v>
      </c>
      <c r="P791" s="1355">
        <v>41475</v>
      </c>
      <c r="Q791" s="1355">
        <v>41477</v>
      </c>
      <c r="R791" s="1354">
        <f t="shared" si="104"/>
        <v>35</v>
      </c>
      <c r="S791" s="1354" t="s">
        <v>2821</v>
      </c>
      <c r="T791" s="1378"/>
      <c r="U791" s="1358" t="str">
        <f t="shared" si="105"/>
        <v>en término</v>
      </c>
      <c r="V791" s="1130" t="str">
        <f t="shared" si="100"/>
        <v>Julio</v>
      </c>
      <c r="W791" s="1128">
        <f t="shared" si="101"/>
        <v>1</v>
      </c>
    </row>
    <row r="792" spans="1:23" s="1321" customFormat="1" ht="57.6" customHeight="1" thickBot="1" x14ac:dyDescent="0.2">
      <c r="A792" s="1117">
        <v>2013</v>
      </c>
      <c r="B792" s="1117">
        <v>2013</v>
      </c>
      <c r="C792" s="1436" t="s">
        <v>36</v>
      </c>
      <c r="D792" s="1363" t="s">
        <v>133</v>
      </c>
      <c r="E792" s="1350" t="s">
        <v>2799</v>
      </c>
      <c r="F792" s="1367" t="s">
        <v>2800</v>
      </c>
      <c r="G792" s="1351">
        <v>4505224873</v>
      </c>
      <c r="H792" s="1352">
        <v>6256.63</v>
      </c>
      <c r="I792" s="1353">
        <v>41369</v>
      </c>
      <c r="J792" s="1354">
        <f t="shared" ref="J792:J799" si="106">+K792-I792</f>
        <v>93</v>
      </c>
      <c r="K792" s="1353">
        <v>41462</v>
      </c>
      <c r="L792" s="1353" t="s">
        <v>41</v>
      </c>
      <c r="M792" s="1353">
        <v>41439</v>
      </c>
      <c r="N792" s="1354">
        <f t="shared" si="103"/>
        <v>-9</v>
      </c>
      <c r="O792" s="1427">
        <v>41450</v>
      </c>
      <c r="P792" s="1355">
        <v>41453</v>
      </c>
      <c r="Q792" s="1355">
        <v>41469</v>
      </c>
      <c r="R792" s="1354">
        <f t="shared" si="104"/>
        <v>100</v>
      </c>
      <c r="S792" s="1354" t="s">
        <v>53</v>
      </c>
      <c r="T792" s="1378"/>
      <c r="U792" s="1358" t="str">
        <f t="shared" si="105"/>
        <v>en término</v>
      </c>
      <c r="V792" s="1130" t="str">
        <f t="shared" si="100"/>
        <v>Junio</v>
      </c>
      <c r="W792" s="1128">
        <f t="shared" si="101"/>
        <v>1</v>
      </c>
    </row>
    <row r="793" spans="1:23" s="1321" customFormat="1" ht="57.6" customHeight="1" thickBot="1" x14ac:dyDescent="0.2">
      <c r="A793" s="1117">
        <v>2013</v>
      </c>
      <c r="B793" s="1117">
        <v>2013</v>
      </c>
      <c r="C793" s="1436" t="s">
        <v>36</v>
      </c>
      <c r="D793" s="1363" t="s">
        <v>133</v>
      </c>
      <c r="E793" s="1350" t="s">
        <v>2799</v>
      </c>
      <c r="F793" s="1367" t="s">
        <v>2800</v>
      </c>
      <c r="G793" s="1351">
        <v>4505821206</v>
      </c>
      <c r="H793" s="1352">
        <v>79406.600000000006</v>
      </c>
      <c r="I793" s="1353">
        <v>41404</v>
      </c>
      <c r="J793" s="1354">
        <f t="shared" si="106"/>
        <v>60</v>
      </c>
      <c r="K793" s="1353">
        <v>41464</v>
      </c>
      <c r="L793" s="1353" t="s">
        <v>41</v>
      </c>
      <c r="M793" s="1353">
        <v>41439</v>
      </c>
      <c r="N793" s="1354">
        <f t="shared" si="103"/>
        <v>-11</v>
      </c>
      <c r="O793" s="1427">
        <v>41450</v>
      </c>
      <c r="P793" s="1355">
        <v>41453</v>
      </c>
      <c r="Q793" s="1355">
        <v>41469</v>
      </c>
      <c r="R793" s="1354">
        <f t="shared" si="104"/>
        <v>65</v>
      </c>
      <c r="S793" s="1354" t="s">
        <v>1307</v>
      </c>
      <c r="T793" s="1378"/>
      <c r="U793" s="1358" t="str">
        <f t="shared" si="105"/>
        <v>en término</v>
      </c>
      <c r="V793" s="1130" t="str">
        <f t="shared" si="100"/>
        <v>Junio</v>
      </c>
      <c r="W793" s="1128">
        <f t="shared" si="101"/>
        <v>1</v>
      </c>
    </row>
    <row r="794" spans="1:23" s="1321" customFormat="1" ht="57.6" customHeight="1" thickBot="1" x14ac:dyDescent="0.2">
      <c r="A794" s="1117">
        <v>2013</v>
      </c>
      <c r="B794" s="1117">
        <v>2013</v>
      </c>
      <c r="C794" s="1436" t="s">
        <v>36</v>
      </c>
      <c r="D794" s="1363" t="s">
        <v>133</v>
      </c>
      <c r="E794" s="1350" t="s">
        <v>2799</v>
      </c>
      <c r="F794" s="1367" t="s">
        <v>2800</v>
      </c>
      <c r="G794" s="1351">
        <v>4505224017</v>
      </c>
      <c r="H794" s="1352">
        <v>48935.66</v>
      </c>
      <c r="I794" s="1353">
        <v>41367</v>
      </c>
      <c r="J794" s="1354">
        <f t="shared" si="106"/>
        <v>90</v>
      </c>
      <c r="K794" s="1353">
        <v>41457</v>
      </c>
      <c r="L794" s="1353" t="s">
        <v>41</v>
      </c>
      <c r="M794" s="1353">
        <v>41439</v>
      </c>
      <c r="N794" s="1354">
        <f t="shared" si="103"/>
        <v>-4</v>
      </c>
      <c r="O794" s="1427">
        <v>41450</v>
      </c>
      <c r="P794" s="1355">
        <v>41453</v>
      </c>
      <c r="Q794" s="1355">
        <v>41469</v>
      </c>
      <c r="R794" s="1354">
        <f t="shared" si="104"/>
        <v>102</v>
      </c>
      <c r="S794" s="1354" t="s">
        <v>944</v>
      </c>
      <c r="T794" s="1378"/>
      <c r="U794" s="1358" t="str">
        <f t="shared" si="105"/>
        <v>en término</v>
      </c>
      <c r="V794" s="1130" t="str">
        <f t="shared" si="100"/>
        <v>Junio</v>
      </c>
      <c r="W794" s="1128">
        <f t="shared" si="101"/>
        <v>1</v>
      </c>
    </row>
    <row r="795" spans="1:23" s="1321" customFormat="1" ht="57.6" customHeight="1" thickBot="1" x14ac:dyDescent="0.2">
      <c r="A795" s="1117">
        <v>2013</v>
      </c>
      <c r="B795" s="1117">
        <v>2013</v>
      </c>
      <c r="C795" s="1436" t="s">
        <v>36</v>
      </c>
      <c r="D795" s="1363" t="s">
        <v>133</v>
      </c>
      <c r="E795" s="1350" t="s">
        <v>2799</v>
      </c>
      <c r="F795" s="1367" t="s">
        <v>2800</v>
      </c>
      <c r="G795" s="1351">
        <v>4505287421</v>
      </c>
      <c r="H795" s="1352">
        <v>7356.01</v>
      </c>
      <c r="I795" s="1353">
        <v>41404</v>
      </c>
      <c r="J795" s="1354">
        <f t="shared" si="106"/>
        <v>60</v>
      </c>
      <c r="K795" s="1353">
        <v>41464</v>
      </c>
      <c r="L795" s="1353" t="s">
        <v>41</v>
      </c>
      <c r="M795" s="1353">
        <v>41439</v>
      </c>
      <c r="N795" s="1354">
        <f t="shared" si="103"/>
        <v>-11</v>
      </c>
      <c r="O795" s="1427">
        <v>41450</v>
      </c>
      <c r="P795" s="1355">
        <v>41453</v>
      </c>
      <c r="Q795" s="1355">
        <v>41469</v>
      </c>
      <c r="R795" s="1354">
        <f t="shared" si="104"/>
        <v>65</v>
      </c>
      <c r="S795" s="1354" t="s">
        <v>53</v>
      </c>
      <c r="T795" s="1378"/>
      <c r="U795" s="1358" t="str">
        <f t="shared" si="105"/>
        <v>en término</v>
      </c>
      <c r="V795" s="1130" t="str">
        <f t="shared" si="100"/>
        <v>Junio</v>
      </c>
      <c r="W795" s="1128">
        <f t="shared" si="101"/>
        <v>1</v>
      </c>
    </row>
    <row r="796" spans="1:23" s="1321" customFormat="1" ht="57.6" customHeight="1" thickBot="1" x14ac:dyDescent="0.2">
      <c r="A796" s="1117">
        <v>2013</v>
      </c>
      <c r="B796" s="1117">
        <v>2013</v>
      </c>
      <c r="C796" s="1436" t="s">
        <v>36</v>
      </c>
      <c r="D796" s="1363" t="s">
        <v>133</v>
      </c>
      <c r="E796" s="1350" t="s">
        <v>2799</v>
      </c>
      <c r="F796" s="1367" t="s">
        <v>2800</v>
      </c>
      <c r="G796" s="1351">
        <v>4505209618</v>
      </c>
      <c r="H796" s="1352">
        <v>243460</v>
      </c>
      <c r="I796" s="1353">
        <v>41379</v>
      </c>
      <c r="J796" s="1354">
        <f t="shared" si="106"/>
        <v>90</v>
      </c>
      <c r="K796" s="1353">
        <v>41469</v>
      </c>
      <c r="L796" s="1353" t="s">
        <v>41</v>
      </c>
      <c r="M796" s="1353">
        <v>41453</v>
      </c>
      <c r="N796" s="1354">
        <f t="shared" si="103"/>
        <v>4</v>
      </c>
      <c r="O796" s="1427">
        <v>41464</v>
      </c>
      <c r="P796" s="1355">
        <v>41473</v>
      </c>
      <c r="Q796" s="1355">
        <v>41490</v>
      </c>
      <c r="R796" s="1354">
        <f t="shared" si="104"/>
        <v>111</v>
      </c>
      <c r="S796" s="1354" t="s">
        <v>1058</v>
      </c>
      <c r="T796" s="1378"/>
      <c r="U796" s="1358" t="str">
        <f t="shared" si="105"/>
        <v>atrasado</v>
      </c>
      <c r="V796" s="1130" t="str">
        <f t="shared" si="100"/>
        <v>Junio</v>
      </c>
      <c r="W796" s="1128">
        <f t="shared" si="101"/>
        <v>0</v>
      </c>
    </row>
    <row r="797" spans="1:23" s="1321" customFormat="1" ht="57.6" customHeight="1" thickBot="1" x14ac:dyDescent="0.2">
      <c r="A797" s="1117">
        <v>2013</v>
      </c>
      <c r="B797" s="1117">
        <v>2013</v>
      </c>
      <c r="C797" s="1436" t="s">
        <v>36</v>
      </c>
      <c r="D797" s="1363" t="s">
        <v>133</v>
      </c>
      <c r="E797" s="1350" t="s">
        <v>2799</v>
      </c>
      <c r="F797" s="1367" t="s">
        <v>2800</v>
      </c>
      <c r="G797" s="1351">
        <v>4505252429</v>
      </c>
      <c r="H797" s="1352">
        <v>88090.11</v>
      </c>
      <c r="I797" s="1353">
        <v>41387</v>
      </c>
      <c r="J797" s="1354">
        <f t="shared" si="106"/>
        <v>92</v>
      </c>
      <c r="K797" s="1353">
        <v>41479</v>
      </c>
      <c r="L797" s="1353" t="s">
        <v>41</v>
      </c>
      <c r="M797" s="1353">
        <v>41465</v>
      </c>
      <c r="N797" s="1354">
        <f t="shared" si="103"/>
        <v>-6</v>
      </c>
      <c r="O797" s="1427">
        <v>41472</v>
      </c>
      <c r="P797" s="1355">
        <v>41473</v>
      </c>
      <c r="Q797" s="1355">
        <v>41490</v>
      </c>
      <c r="R797" s="1354">
        <f t="shared" si="104"/>
        <v>103</v>
      </c>
      <c r="S797" s="1354" t="s">
        <v>2782</v>
      </c>
      <c r="T797" s="1378"/>
      <c r="U797" s="1358" t="str">
        <f t="shared" si="105"/>
        <v>en término</v>
      </c>
      <c r="V797" s="1130" t="str">
        <f t="shared" si="100"/>
        <v>Julio</v>
      </c>
      <c r="W797" s="1128">
        <f t="shared" si="101"/>
        <v>1</v>
      </c>
    </row>
    <row r="798" spans="1:23" s="1321" customFormat="1" ht="57.6" customHeight="1" thickBot="1" x14ac:dyDescent="0.2">
      <c r="A798" s="1117">
        <v>2013</v>
      </c>
      <c r="B798" s="1117">
        <v>2013</v>
      </c>
      <c r="C798" s="1436" t="s">
        <v>36</v>
      </c>
      <c r="D798" s="1363" t="s">
        <v>133</v>
      </c>
      <c r="E798" s="1350" t="s">
        <v>2799</v>
      </c>
      <c r="F798" s="1367" t="s">
        <v>2800</v>
      </c>
      <c r="G798" s="1351">
        <v>4505256281</v>
      </c>
      <c r="H798" s="1352">
        <v>111463.45</v>
      </c>
      <c r="I798" s="1353">
        <v>41393</v>
      </c>
      <c r="J798" s="1354">
        <f t="shared" si="106"/>
        <v>88</v>
      </c>
      <c r="K798" s="1353">
        <v>41481</v>
      </c>
      <c r="L798" s="1353" t="s">
        <v>41</v>
      </c>
      <c r="M798" s="1353">
        <v>41465</v>
      </c>
      <c r="N798" s="1354">
        <f t="shared" si="103"/>
        <v>-8</v>
      </c>
      <c r="O798" s="1427">
        <v>41472</v>
      </c>
      <c r="P798" s="1355">
        <v>41473</v>
      </c>
      <c r="Q798" s="1355">
        <v>41490</v>
      </c>
      <c r="R798" s="1354">
        <f t="shared" si="104"/>
        <v>97</v>
      </c>
      <c r="S798" s="1354" t="s">
        <v>2442</v>
      </c>
      <c r="T798" s="1378"/>
      <c r="U798" s="1358" t="str">
        <f t="shared" si="105"/>
        <v>en término</v>
      </c>
      <c r="V798" s="1130" t="str">
        <f t="shared" si="100"/>
        <v>Julio</v>
      </c>
      <c r="W798" s="1128">
        <f t="shared" si="101"/>
        <v>1</v>
      </c>
    </row>
    <row r="799" spans="1:23" s="1321" customFormat="1" ht="57.6" customHeight="1" thickBot="1" x14ac:dyDescent="0.2">
      <c r="A799" s="1117">
        <v>2013</v>
      </c>
      <c r="B799" s="1117">
        <v>2013</v>
      </c>
      <c r="C799" s="1436" t="s">
        <v>36</v>
      </c>
      <c r="D799" s="1363" t="s">
        <v>133</v>
      </c>
      <c r="E799" s="1350" t="s">
        <v>2799</v>
      </c>
      <c r="F799" s="1367" t="s">
        <v>2800</v>
      </c>
      <c r="G799" s="1351">
        <v>4505274789</v>
      </c>
      <c r="H799" s="1352">
        <v>83416.44</v>
      </c>
      <c r="I799" s="1353">
        <v>41396</v>
      </c>
      <c r="J799" s="1354">
        <f t="shared" si="106"/>
        <v>90</v>
      </c>
      <c r="K799" s="1353">
        <v>41486</v>
      </c>
      <c r="L799" s="1353" t="s">
        <v>41</v>
      </c>
      <c r="M799" s="1353">
        <v>41465</v>
      </c>
      <c r="N799" s="1354">
        <f t="shared" si="103"/>
        <v>-13</v>
      </c>
      <c r="O799" s="1427">
        <v>41472</v>
      </c>
      <c r="P799" s="1355">
        <v>41473</v>
      </c>
      <c r="Q799" s="1355">
        <v>41490</v>
      </c>
      <c r="R799" s="1354">
        <f t="shared" si="104"/>
        <v>94</v>
      </c>
      <c r="S799" s="1354" t="s">
        <v>955</v>
      </c>
      <c r="T799" s="1378"/>
      <c r="U799" s="1358" t="str">
        <f t="shared" si="105"/>
        <v>en término</v>
      </c>
      <c r="V799" s="1130" t="str">
        <f t="shared" si="100"/>
        <v>Julio</v>
      </c>
      <c r="W799" s="1128">
        <f t="shared" si="101"/>
        <v>1</v>
      </c>
    </row>
    <row r="800" spans="1:23" s="1321" customFormat="1" ht="57.6" customHeight="1" thickBot="1" x14ac:dyDescent="0.2">
      <c r="A800" s="1117">
        <v>2013</v>
      </c>
      <c r="B800" s="1117">
        <v>2013</v>
      </c>
      <c r="C800" s="1436" t="s">
        <v>36</v>
      </c>
      <c r="D800" s="1363" t="s">
        <v>37</v>
      </c>
      <c r="E800" s="1350" t="s">
        <v>2835</v>
      </c>
      <c r="F800" s="1367" t="s">
        <v>2836</v>
      </c>
      <c r="G800" s="1351">
        <v>13040003</v>
      </c>
      <c r="H800" s="1352">
        <v>7800</v>
      </c>
      <c r="I800" s="1353">
        <v>41386</v>
      </c>
      <c r="J800" s="1354">
        <v>100</v>
      </c>
      <c r="K800" s="1353">
        <f>+I800+J800</f>
        <v>41486</v>
      </c>
      <c r="L800" s="1353" t="s">
        <v>41</v>
      </c>
      <c r="M800" s="1353">
        <v>41467</v>
      </c>
      <c r="N800" s="1354">
        <f t="shared" si="103"/>
        <v>-2</v>
      </c>
      <c r="O800" s="1427"/>
      <c r="P800" s="1355">
        <v>41484</v>
      </c>
      <c r="Q800" s="1355">
        <f>+P800+5</f>
        <v>41489</v>
      </c>
      <c r="R800" s="1354">
        <f t="shared" si="104"/>
        <v>103</v>
      </c>
      <c r="S800" s="1354" t="s">
        <v>53</v>
      </c>
      <c r="T800" s="1378"/>
      <c r="U800" s="1358" t="str">
        <f t="shared" si="105"/>
        <v>en término</v>
      </c>
      <c r="V800" s="1130" t="str">
        <f t="shared" si="100"/>
        <v>Julio</v>
      </c>
      <c r="W800" s="1128">
        <f t="shared" si="101"/>
        <v>1</v>
      </c>
    </row>
    <row r="801" spans="1:23" s="1321" customFormat="1" ht="57.6" customHeight="1" thickBot="1" x14ac:dyDescent="0.2">
      <c r="A801" s="1117">
        <v>2013</v>
      </c>
      <c r="B801" s="1117">
        <v>2013</v>
      </c>
      <c r="C801" s="1436" t="s">
        <v>36</v>
      </c>
      <c r="D801" s="1363" t="s">
        <v>37</v>
      </c>
      <c r="E801" s="1350" t="s">
        <v>2819</v>
      </c>
      <c r="F801" s="1367" t="s">
        <v>2837</v>
      </c>
      <c r="G801" s="1351">
        <v>13080002</v>
      </c>
      <c r="H801" s="1352">
        <v>2040</v>
      </c>
      <c r="I801" s="1353">
        <v>41498</v>
      </c>
      <c r="J801" s="1354">
        <f t="shared" ref="J801:J814" si="107">+K801-I801</f>
        <v>38</v>
      </c>
      <c r="K801" s="1353">
        <v>41536</v>
      </c>
      <c r="L801" s="1353" t="s">
        <v>41</v>
      </c>
      <c r="M801" s="1353">
        <v>41509</v>
      </c>
      <c r="N801" s="1354">
        <f t="shared" si="103"/>
        <v>-27</v>
      </c>
      <c r="O801" s="1427"/>
      <c r="P801" s="1355">
        <v>41509</v>
      </c>
      <c r="Q801" s="1355">
        <v>41511</v>
      </c>
      <c r="R801" s="1354">
        <f t="shared" si="104"/>
        <v>13</v>
      </c>
      <c r="S801" s="1437" t="s">
        <v>2838</v>
      </c>
      <c r="T801" s="1378"/>
      <c r="U801" s="1358" t="str">
        <f t="shared" si="105"/>
        <v>en término</v>
      </c>
      <c r="V801" s="1130" t="str">
        <f t="shared" si="100"/>
        <v>Agosto</v>
      </c>
      <c r="W801" s="1128">
        <f t="shared" si="101"/>
        <v>1</v>
      </c>
    </row>
    <row r="802" spans="1:23" s="1321" customFormat="1" ht="57.6" customHeight="1" thickBot="1" x14ac:dyDescent="0.2">
      <c r="A802" s="1117">
        <v>2013</v>
      </c>
      <c r="B802" s="1117">
        <v>2013</v>
      </c>
      <c r="C802" s="1436" t="s">
        <v>36</v>
      </c>
      <c r="D802" s="1363" t="s">
        <v>133</v>
      </c>
      <c r="E802" s="1350" t="s">
        <v>2799</v>
      </c>
      <c r="F802" s="1367" t="s">
        <v>2800</v>
      </c>
      <c r="G802" s="1351">
        <v>4505335308</v>
      </c>
      <c r="H802" s="1352">
        <v>180782.03</v>
      </c>
      <c r="I802" s="1353">
        <v>41435</v>
      </c>
      <c r="J802" s="1354">
        <f t="shared" si="107"/>
        <v>63</v>
      </c>
      <c r="K802" s="1353">
        <v>41498</v>
      </c>
      <c r="L802" s="1353" t="s">
        <v>41</v>
      </c>
      <c r="M802" s="1353">
        <v>41520</v>
      </c>
      <c r="N802" s="1354">
        <f t="shared" si="103"/>
        <v>39</v>
      </c>
      <c r="O802" s="1427">
        <v>41527</v>
      </c>
      <c r="P802" s="1355">
        <v>41537</v>
      </c>
      <c r="Q802" s="1355">
        <v>41552</v>
      </c>
      <c r="R802" s="1354">
        <f t="shared" si="104"/>
        <v>117</v>
      </c>
      <c r="S802" s="1354" t="s">
        <v>1426</v>
      </c>
      <c r="T802" s="1378" t="s">
        <v>2845</v>
      </c>
      <c r="U802" s="1358" t="str">
        <f t="shared" si="105"/>
        <v>atrasado</v>
      </c>
      <c r="V802" s="1130" t="str">
        <f t="shared" si="100"/>
        <v>Septiembre</v>
      </c>
      <c r="W802" s="1128">
        <f t="shared" si="101"/>
        <v>0</v>
      </c>
    </row>
    <row r="803" spans="1:23" s="1321" customFormat="1" ht="57.6" customHeight="1" thickBot="1" x14ac:dyDescent="0.2">
      <c r="A803" s="1117">
        <v>2013</v>
      </c>
      <c r="B803" s="1117">
        <v>2013</v>
      </c>
      <c r="C803" s="1436" t="s">
        <v>36</v>
      </c>
      <c r="D803" s="1363" t="s">
        <v>133</v>
      </c>
      <c r="E803" s="1350" t="s">
        <v>2686</v>
      </c>
      <c r="F803" s="1367" t="s">
        <v>2687</v>
      </c>
      <c r="G803" s="1351">
        <v>4505374398</v>
      </c>
      <c r="H803" s="1352">
        <v>25519.35</v>
      </c>
      <c r="I803" s="1353">
        <v>41456</v>
      </c>
      <c r="J803" s="1354">
        <f t="shared" si="107"/>
        <v>91</v>
      </c>
      <c r="K803" s="1353">
        <v>41547</v>
      </c>
      <c r="L803" s="1353" t="s">
        <v>41</v>
      </c>
      <c r="M803" s="1353">
        <v>41520</v>
      </c>
      <c r="N803" s="1354">
        <f t="shared" si="103"/>
        <v>-10</v>
      </c>
      <c r="O803" s="1427">
        <v>41527</v>
      </c>
      <c r="P803" s="1355">
        <v>41537</v>
      </c>
      <c r="Q803" s="1355">
        <v>41552</v>
      </c>
      <c r="R803" s="1354">
        <f t="shared" si="104"/>
        <v>96</v>
      </c>
      <c r="S803" s="1354" t="s">
        <v>53</v>
      </c>
      <c r="T803" s="1378"/>
      <c r="U803" s="1358" t="str">
        <f t="shared" si="105"/>
        <v>en término</v>
      </c>
      <c r="V803" s="1130" t="str">
        <f t="shared" si="100"/>
        <v>Septiembre</v>
      </c>
      <c r="W803" s="1128">
        <f t="shared" si="101"/>
        <v>1</v>
      </c>
    </row>
    <row r="804" spans="1:23" s="1321" customFormat="1" ht="57.6" customHeight="1" thickBot="1" x14ac:dyDescent="0.2">
      <c r="A804" s="1117">
        <v>2013</v>
      </c>
      <c r="B804" s="1117">
        <v>2013</v>
      </c>
      <c r="C804" s="1436" t="s">
        <v>36</v>
      </c>
      <c r="D804" s="1363" t="s">
        <v>133</v>
      </c>
      <c r="E804" s="1350" t="s">
        <v>2799</v>
      </c>
      <c r="F804" s="1367" t="s">
        <v>2800</v>
      </c>
      <c r="G804" s="1351">
        <v>4505335319</v>
      </c>
      <c r="H804" s="1352">
        <v>1944.17</v>
      </c>
      <c r="I804" s="1353">
        <v>41435</v>
      </c>
      <c r="J804" s="1354">
        <f t="shared" si="107"/>
        <v>63</v>
      </c>
      <c r="K804" s="1353">
        <v>41498</v>
      </c>
      <c r="L804" s="1353" t="s">
        <v>41</v>
      </c>
      <c r="M804" s="1353">
        <v>41520</v>
      </c>
      <c r="N804" s="1354">
        <f t="shared" si="103"/>
        <v>39</v>
      </c>
      <c r="O804" s="1427">
        <v>41527</v>
      </c>
      <c r="P804" s="1355">
        <v>41537</v>
      </c>
      <c r="Q804" s="1355">
        <v>41552</v>
      </c>
      <c r="R804" s="1354">
        <f t="shared" si="104"/>
        <v>117</v>
      </c>
      <c r="S804" s="1354" t="s">
        <v>53</v>
      </c>
      <c r="T804" s="1378" t="s">
        <v>2849</v>
      </c>
      <c r="U804" s="1358" t="str">
        <f t="shared" si="105"/>
        <v>atrasado</v>
      </c>
      <c r="V804" s="1130" t="str">
        <f t="shared" si="100"/>
        <v>Septiembre</v>
      </c>
      <c r="W804" s="1128">
        <f t="shared" si="101"/>
        <v>0</v>
      </c>
    </row>
    <row r="805" spans="1:23" s="1321" customFormat="1" ht="57.6" customHeight="1" thickBot="1" x14ac:dyDescent="0.2">
      <c r="A805" s="1117">
        <v>2013</v>
      </c>
      <c r="B805" s="1117">
        <v>2013</v>
      </c>
      <c r="C805" s="1436" t="s">
        <v>36</v>
      </c>
      <c r="D805" s="1363" t="s">
        <v>133</v>
      </c>
      <c r="E805" s="1350" t="s">
        <v>2799</v>
      </c>
      <c r="F805" s="1367" t="s">
        <v>2800</v>
      </c>
      <c r="G805" s="1351">
        <v>4505347399</v>
      </c>
      <c r="H805" s="1352">
        <v>111176</v>
      </c>
      <c r="I805" s="1353">
        <v>41444</v>
      </c>
      <c r="J805" s="1354">
        <f t="shared" si="107"/>
        <v>92</v>
      </c>
      <c r="K805" s="1353">
        <v>41536</v>
      </c>
      <c r="L805" s="1353" t="s">
        <v>41</v>
      </c>
      <c r="M805" s="1353">
        <v>41520</v>
      </c>
      <c r="N805" s="1354">
        <f t="shared" si="103"/>
        <v>1</v>
      </c>
      <c r="O805" s="1427">
        <v>41527</v>
      </c>
      <c r="P805" s="1355">
        <v>41537</v>
      </c>
      <c r="Q805" s="1355">
        <v>41552</v>
      </c>
      <c r="R805" s="1354">
        <f t="shared" si="104"/>
        <v>108</v>
      </c>
      <c r="S805" s="1354" t="s">
        <v>1090</v>
      </c>
      <c r="T805" s="1378" t="s">
        <v>2849</v>
      </c>
      <c r="U805" s="1358" t="str">
        <f t="shared" si="105"/>
        <v>atrasado</v>
      </c>
      <c r="V805" s="1130" t="str">
        <f t="shared" si="100"/>
        <v>Septiembre</v>
      </c>
      <c r="W805" s="1128">
        <f t="shared" si="101"/>
        <v>0</v>
      </c>
    </row>
    <row r="806" spans="1:23" s="1321" customFormat="1" ht="57.6" customHeight="1" thickBot="1" x14ac:dyDescent="0.2">
      <c r="A806" s="1117">
        <v>2013</v>
      </c>
      <c r="B806" s="1117">
        <v>2013</v>
      </c>
      <c r="C806" s="1436" t="s">
        <v>36</v>
      </c>
      <c r="D806" s="1363" t="s">
        <v>133</v>
      </c>
      <c r="E806" s="1350" t="s">
        <v>2799</v>
      </c>
      <c r="F806" s="1367" t="s">
        <v>2800</v>
      </c>
      <c r="G806" s="1351">
        <v>4505322332</v>
      </c>
      <c r="H806" s="1352">
        <v>109546</v>
      </c>
      <c r="I806" s="1353">
        <v>41444</v>
      </c>
      <c r="J806" s="1354">
        <f t="shared" si="107"/>
        <v>93</v>
      </c>
      <c r="K806" s="1353">
        <v>41537</v>
      </c>
      <c r="L806" s="1353" t="s">
        <v>41</v>
      </c>
      <c r="M806" s="1353">
        <v>41520</v>
      </c>
      <c r="N806" s="1354">
        <f t="shared" si="103"/>
        <v>0</v>
      </c>
      <c r="O806" s="1427">
        <v>41527</v>
      </c>
      <c r="P806" s="1355">
        <v>41537</v>
      </c>
      <c r="Q806" s="1355">
        <v>41552</v>
      </c>
      <c r="R806" s="1354">
        <f t="shared" si="104"/>
        <v>108</v>
      </c>
      <c r="S806" s="1354" t="s">
        <v>1812</v>
      </c>
      <c r="T806" s="1378" t="s">
        <v>2849</v>
      </c>
      <c r="U806" s="1358" t="str">
        <f t="shared" si="105"/>
        <v>en término</v>
      </c>
      <c r="V806" s="1130" t="str">
        <f t="shared" si="100"/>
        <v>Septiembre</v>
      </c>
      <c r="W806" s="1128">
        <f t="shared" si="101"/>
        <v>1</v>
      </c>
    </row>
    <row r="807" spans="1:23" s="1321" customFormat="1" ht="57.6" customHeight="1" thickBot="1" x14ac:dyDescent="0.2">
      <c r="A807" s="1117">
        <v>2013</v>
      </c>
      <c r="B807" s="1117">
        <v>2013</v>
      </c>
      <c r="C807" s="1436" t="s">
        <v>36</v>
      </c>
      <c r="D807" s="1363" t="s">
        <v>133</v>
      </c>
      <c r="E807" s="1350" t="s">
        <v>2799</v>
      </c>
      <c r="F807" s="1367" t="s">
        <v>2800</v>
      </c>
      <c r="G807" s="1351">
        <v>4505358867</v>
      </c>
      <c r="H807" s="1352">
        <v>32265</v>
      </c>
      <c r="I807" s="1353">
        <v>41446</v>
      </c>
      <c r="J807" s="1354">
        <f t="shared" si="107"/>
        <v>90</v>
      </c>
      <c r="K807" s="1353">
        <v>41536</v>
      </c>
      <c r="L807" s="1353" t="s">
        <v>41</v>
      </c>
      <c r="M807" s="1353">
        <v>41520</v>
      </c>
      <c r="N807" s="1354">
        <f t="shared" si="103"/>
        <v>1</v>
      </c>
      <c r="O807" s="1427">
        <v>41527</v>
      </c>
      <c r="P807" s="1355">
        <v>41537</v>
      </c>
      <c r="Q807" s="1355">
        <v>41552</v>
      </c>
      <c r="R807" s="1354">
        <f t="shared" si="104"/>
        <v>106</v>
      </c>
      <c r="S807" s="1354" t="s">
        <v>1795</v>
      </c>
      <c r="T807" s="1378" t="s">
        <v>2849</v>
      </c>
      <c r="U807" s="1358" t="str">
        <f t="shared" si="105"/>
        <v>atrasado</v>
      </c>
      <c r="V807" s="1130" t="str">
        <f t="shared" si="100"/>
        <v>Septiembre</v>
      </c>
      <c r="W807" s="1128">
        <f t="shared" si="101"/>
        <v>0</v>
      </c>
    </row>
    <row r="808" spans="1:23" s="1321" customFormat="1" ht="57.6" customHeight="1" thickBot="1" x14ac:dyDescent="0.2">
      <c r="A808" s="1117">
        <v>2013</v>
      </c>
      <c r="B808" s="1117">
        <v>2013</v>
      </c>
      <c r="C808" s="1436" t="s">
        <v>36</v>
      </c>
      <c r="D808" s="1363" t="s">
        <v>133</v>
      </c>
      <c r="E808" s="1350" t="s">
        <v>2799</v>
      </c>
      <c r="F808" s="1367" t="s">
        <v>2800</v>
      </c>
      <c r="G808" s="1351">
        <v>4505255013</v>
      </c>
      <c r="H808" s="1352">
        <v>215225</v>
      </c>
      <c r="I808" s="1353">
        <v>41408</v>
      </c>
      <c r="J808" s="1354">
        <f t="shared" si="107"/>
        <v>91</v>
      </c>
      <c r="K808" s="1353">
        <v>41499</v>
      </c>
      <c r="L808" s="1353" t="s">
        <v>41</v>
      </c>
      <c r="M808" s="1353">
        <v>41520</v>
      </c>
      <c r="N808" s="1354">
        <f t="shared" si="103"/>
        <v>38</v>
      </c>
      <c r="O808" s="1427">
        <v>41527</v>
      </c>
      <c r="P808" s="1355">
        <v>41537</v>
      </c>
      <c r="Q808" s="1355">
        <v>41552</v>
      </c>
      <c r="R808" s="1354">
        <f t="shared" si="104"/>
        <v>144</v>
      </c>
      <c r="S808" s="1354" t="s">
        <v>1542</v>
      </c>
      <c r="T808" s="1378" t="s">
        <v>2853</v>
      </c>
      <c r="U808" s="1358" t="str">
        <f t="shared" ref="U808:U839" si="108">IF(N808="","",IF(N808&lt;=0,"en término","atrasado"))</f>
        <v>atrasado</v>
      </c>
      <c r="V808" s="1130" t="str">
        <f t="shared" si="100"/>
        <v>Septiembre</v>
      </c>
      <c r="W808" s="1128">
        <f t="shared" si="101"/>
        <v>0</v>
      </c>
    </row>
    <row r="809" spans="1:23" s="1321" customFormat="1" ht="57.6" customHeight="1" thickBot="1" x14ac:dyDescent="0.2">
      <c r="A809" s="1117">
        <v>2013</v>
      </c>
      <c r="B809" s="1117">
        <v>2013</v>
      </c>
      <c r="C809" s="1436" t="s">
        <v>36</v>
      </c>
      <c r="D809" s="1363" t="s">
        <v>133</v>
      </c>
      <c r="E809" s="1350" t="s">
        <v>2799</v>
      </c>
      <c r="F809" s="1367" t="s">
        <v>2800</v>
      </c>
      <c r="G809" s="1351">
        <v>4505381868</v>
      </c>
      <c r="H809" s="1352">
        <v>297144.75</v>
      </c>
      <c r="I809" s="1353">
        <v>41459</v>
      </c>
      <c r="J809" s="1354">
        <f t="shared" si="107"/>
        <v>91</v>
      </c>
      <c r="K809" s="1353">
        <v>41550</v>
      </c>
      <c r="L809" s="1353" t="s">
        <v>41</v>
      </c>
      <c r="M809" s="1353">
        <v>41534</v>
      </c>
      <c r="N809" s="1354">
        <f t="shared" si="103"/>
        <v>3</v>
      </c>
      <c r="O809" s="1427">
        <v>41548</v>
      </c>
      <c r="P809" s="1355">
        <v>41553</v>
      </c>
      <c r="Q809" s="1355">
        <v>41564</v>
      </c>
      <c r="R809" s="1354">
        <f t="shared" si="104"/>
        <v>105</v>
      </c>
      <c r="S809" s="1354" t="s">
        <v>2855</v>
      </c>
      <c r="T809" s="1378"/>
      <c r="U809" s="1358" t="str">
        <f t="shared" si="108"/>
        <v>atrasado</v>
      </c>
      <c r="V809" s="1130" t="str">
        <f t="shared" si="100"/>
        <v>Septiembre</v>
      </c>
      <c r="W809" s="1128">
        <f t="shared" si="101"/>
        <v>0</v>
      </c>
    </row>
    <row r="810" spans="1:23" s="1321" customFormat="1" ht="57.6" customHeight="1" thickBot="1" x14ac:dyDescent="0.2">
      <c r="A810" s="1117">
        <v>2013</v>
      </c>
      <c r="B810" s="1117">
        <v>2013</v>
      </c>
      <c r="C810" s="1436" t="s">
        <v>36</v>
      </c>
      <c r="D810" s="1363" t="s">
        <v>133</v>
      </c>
      <c r="E810" s="1350" t="s">
        <v>2788</v>
      </c>
      <c r="F810" s="1367" t="s">
        <v>2789</v>
      </c>
      <c r="G810" s="1351">
        <v>4505430361</v>
      </c>
      <c r="H810" s="1352">
        <v>20927.25</v>
      </c>
      <c r="I810" s="1353">
        <v>41487</v>
      </c>
      <c r="J810" s="1354">
        <f t="shared" si="107"/>
        <v>81</v>
      </c>
      <c r="K810" s="1353">
        <v>41568</v>
      </c>
      <c r="L810" s="1353" t="s">
        <v>41</v>
      </c>
      <c r="M810" s="1353">
        <v>41534</v>
      </c>
      <c r="N810" s="1354">
        <f t="shared" si="103"/>
        <v>-15</v>
      </c>
      <c r="O810" s="1427">
        <v>41548</v>
      </c>
      <c r="P810" s="1355">
        <v>41553</v>
      </c>
      <c r="Q810" s="1355">
        <v>41564</v>
      </c>
      <c r="R810" s="1354">
        <f t="shared" si="104"/>
        <v>77</v>
      </c>
      <c r="S810" s="1354" t="s">
        <v>1564</v>
      </c>
      <c r="T810" s="1378"/>
      <c r="U810" s="1358" t="str">
        <f t="shared" si="108"/>
        <v>en término</v>
      </c>
      <c r="V810" s="1130" t="str">
        <f t="shared" si="100"/>
        <v>Septiembre</v>
      </c>
      <c r="W810" s="1128">
        <f t="shared" si="101"/>
        <v>1</v>
      </c>
    </row>
    <row r="811" spans="1:23" s="1321" customFormat="1" ht="57.6" customHeight="1" thickBot="1" x14ac:dyDescent="0.2">
      <c r="A811" s="1117">
        <v>2013</v>
      </c>
      <c r="B811" s="1117">
        <v>2013</v>
      </c>
      <c r="C811" s="1436" t="s">
        <v>36</v>
      </c>
      <c r="D811" s="1363" t="s">
        <v>133</v>
      </c>
      <c r="E811" s="1350" t="s">
        <v>2799</v>
      </c>
      <c r="F811" s="1367" t="s">
        <v>2800</v>
      </c>
      <c r="G811" s="1351">
        <v>4505401052</v>
      </c>
      <c r="H811" s="1352">
        <v>42059.09</v>
      </c>
      <c r="I811" s="1353">
        <v>41472</v>
      </c>
      <c r="J811" s="1354">
        <f t="shared" si="107"/>
        <v>90</v>
      </c>
      <c r="K811" s="1353">
        <v>41562</v>
      </c>
      <c r="L811" s="1353" t="s">
        <v>41</v>
      </c>
      <c r="M811" s="1353">
        <v>41548</v>
      </c>
      <c r="N811" s="1354">
        <f t="shared" si="103"/>
        <v>6</v>
      </c>
      <c r="O811" s="1427">
        <v>41558</v>
      </c>
      <c r="P811" s="1355">
        <v>41568</v>
      </c>
      <c r="Q811" s="1355">
        <v>41581</v>
      </c>
      <c r="R811" s="1354">
        <f t="shared" si="104"/>
        <v>109</v>
      </c>
      <c r="S811" s="1354" t="s">
        <v>944</v>
      </c>
      <c r="T811" s="1378"/>
      <c r="U811" s="1358" t="str">
        <f t="shared" si="108"/>
        <v>atrasado</v>
      </c>
      <c r="V811" s="1130" t="str">
        <f t="shared" si="100"/>
        <v>Octubre</v>
      </c>
      <c r="W811" s="1128">
        <f t="shared" si="101"/>
        <v>0</v>
      </c>
    </row>
    <row r="812" spans="1:23" s="1321" customFormat="1" ht="57.6" customHeight="1" thickBot="1" x14ac:dyDescent="0.2">
      <c r="A812" s="1117">
        <v>2013</v>
      </c>
      <c r="B812" s="1117">
        <v>2013</v>
      </c>
      <c r="C812" s="1436" t="s">
        <v>36</v>
      </c>
      <c r="D812" s="1363" t="s">
        <v>133</v>
      </c>
      <c r="E812" s="1350" t="s">
        <v>2799</v>
      </c>
      <c r="F812" s="1367" t="s">
        <v>2800</v>
      </c>
      <c r="G812" s="1351">
        <v>4505410772</v>
      </c>
      <c r="H812" s="1352">
        <v>9150</v>
      </c>
      <c r="I812" s="1353">
        <v>41478</v>
      </c>
      <c r="J812" s="1354">
        <f t="shared" si="107"/>
        <v>90</v>
      </c>
      <c r="K812" s="1353">
        <v>41568</v>
      </c>
      <c r="L812" s="1353" t="s">
        <v>41</v>
      </c>
      <c r="M812" s="1353">
        <v>41548</v>
      </c>
      <c r="N812" s="1354">
        <f t="shared" si="103"/>
        <v>0</v>
      </c>
      <c r="O812" s="1427">
        <v>41558</v>
      </c>
      <c r="P812" s="1355">
        <v>41568</v>
      </c>
      <c r="Q812" s="1355">
        <v>41581</v>
      </c>
      <c r="R812" s="1354">
        <f t="shared" si="104"/>
        <v>103</v>
      </c>
      <c r="S812" s="1354" t="s">
        <v>53</v>
      </c>
      <c r="T812" s="1378"/>
      <c r="U812" s="1358" t="str">
        <f t="shared" si="108"/>
        <v>en término</v>
      </c>
      <c r="V812" s="1130" t="str">
        <f t="shared" si="100"/>
        <v>Octubre</v>
      </c>
      <c r="W812" s="1128">
        <f t="shared" si="101"/>
        <v>1</v>
      </c>
    </row>
    <row r="813" spans="1:23" s="1321" customFormat="1" ht="57.6" customHeight="1" thickBot="1" x14ac:dyDescent="0.2">
      <c r="A813" s="1117">
        <v>2013</v>
      </c>
      <c r="B813" s="1117">
        <v>2013</v>
      </c>
      <c r="C813" s="1436" t="s">
        <v>36</v>
      </c>
      <c r="D813" s="1363" t="s">
        <v>133</v>
      </c>
      <c r="E813" s="1350" t="s">
        <v>2788</v>
      </c>
      <c r="F813" s="1367" t="s">
        <v>2789</v>
      </c>
      <c r="G813" s="1351">
        <v>4505406649</v>
      </c>
      <c r="H813" s="1352">
        <v>69990.91</v>
      </c>
      <c r="I813" s="1353">
        <v>41478</v>
      </c>
      <c r="J813" s="1354">
        <f t="shared" si="107"/>
        <v>83</v>
      </c>
      <c r="K813" s="1353">
        <v>41561</v>
      </c>
      <c r="L813" s="1353" t="s">
        <v>41</v>
      </c>
      <c r="M813" s="1353">
        <v>41548</v>
      </c>
      <c r="N813" s="1354">
        <f t="shared" si="103"/>
        <v>7</v>
      </c>
      <c r="O813" s="1427">
        <v>41558</v>
      </c>
      <c r="P813" s="1355">
        <v>41568</v>
      </c>
      <c r="Q813" s="1355">
        <v>41581</v>
      </c>
      <c r="R813" s="1354">
        <f t="shared" si="104"/>
        <v>103</v>
      </c>
      <c r="S813" s="1354" t="s">
        <v>2862</v>
      </c>
      <c r="T813" s="1378" t="s">
        <v>2864</v>
      </c>
      <c r="U813" s="1358" t="str">
        <f t="shared" si="108"/>
        <v>atrasado</v>
      </c>
      <c r="V813" s="1130" t="str">
        <f t="shared" si="100"/>
        <v>Octubre</v>
      </c>
      <c r="W813" s="1128">
        <f t="shared" si="101"/>
        <v>0</v>
      </c>
    </row>
    <row r="814" spans="1:23" s="1321" customFormat="1" ht="57.6" customHeight="1" thickBot="1" x14ac:dyDescent="0.2">
      <c r="A814" s="1117">
        <v>2013</v>
      </c>
      <c r="B814" s="1117">
        <v>2013</v>
      </c>
      <c r="C814" s="1436" t="s">
        <v>36</v>
      </c>
      <c r="D814" s="1363" t="s">
        <v>133</v>
      </c>
      <c r="E814" s="1350" t="s">
        <v>2799</v>
      </c>
      <c r="F814" s="1367" t="s">
        <v>2800</v>
      </c>
      <c r="G814" s="1351">
        <v>4505441738</v>
      </c>
      <c r="H814" s="1352">
        <v>19094.5</v>
      </c>
      <c r="I814" s="1353">
        <v>41495</v>
      </c>
      <c r="J814" s="1354">
        <f t="shared" si="107"/>
        <v>90</v>
      </c>
      <c r="K814" s="1353">
        <v>41585</v>
      </c>
      <c r="L814" s="1353" t="s">
        <v>41</v>
      </c>
      <c r="M814" s="1353">
        <v>41562</v>
      </c>
      <c r="N814" s="1354">
        <f t="shared" si="103"/>
        <v>-12</v>
      </c>
      <c r="O814" s="1427">
        <v>41570</v>
      </c>
      <c r="P814" s="1355">
        <v>41573</v>
      </c>
      <c r="Q814" s="1355">
        <v>41587</v>
      </c>
      <c r="R814" s="1354">
        <f t="shared" si="104"/>
        <v>92</v>
      </c>
      <c r="S814" s="1354" t="s">
        <v>53</v>
      </c>
      <c r="T814" s="1378"/>
      <c r="U814" s="1358" t="str">
        <f t="shared" si="108"/>
        <v>en término</v>
      </c>
      <c r="V814" s="1130" t="str">
        <f t="shared" si="100"/>
        <v>Octubre</v>
      </c>
      <c r="W814" s="1128">
        <f t="shared" si="101"/>
        <v>1</v>
      </c>
    </row>
    <row r="815" spans="1:23" s="1321" customFormat="1" ht="57.6" customHeight="1" thickBot="1" x14ac:dyDescent="0.2">
      <c r="A815" s="1117">
        <v>2013</v>
      </c>
      <c r="B815" s="1117">
        <v>2013</v>
      </c>
      <c r="C815" s="1436" t="s">
        <v>36</v>
      </c>
      <c r="D815" s="1363" t="s">
        <v>37</v>
      </c>
      <c r="E815" s="1350" t="s">
        <v>2867</v>
      </c>
      <c r="F815" s="1367" t="s">
        <v>2868</v>
      </c>
      <c r="G815" s="1351">
        <v>13080004</v>
      </c>
      <c r="H815" s="1352">
        <v>2050</v>
      </c>
      <c r="I815" s="1353">
        <v>41509</v>
      </c>
      <c r="J815" s="1354">
        <v>100</v>
      </c>
      <c r="K815" s="1353">
        <f>+I815+J815</f>
        <v>41609</v>
      </c>
      <c r="L815" s="1353" t="s">
        <v>41</v>
      </c>
      <c r="M815" s="1353">
        <v>41562</v>
      </c>
      <c r="N815" s="1354">
        <f t="shared" si="103"/>
        <v>-36</v>
      </c>
      <c r="O815" s="1427">
        <v>41570</v>
      </c>
      <c r="P815" s="1355">
        <v>41573</v>
      </c>
      <c r="Q815" s="1355">
        <v>41587</v>
      </c>
      <c r="R815" s="1354">
        <f t="shared" si="104"/>
        <v>78</v>
      </c>
      <c r="S815" s="1354" t="s">
        <v>53</v>
      </c>
      <c r="T815" s="1378"/>
      <c r="U815" s="1358" t="str">
        <f t="shared" si="108"/>
        <v>en término</v>
      </c>
      <c r="V815" s="1130" t="str">
        <f t="shared" si="100"/>
        <v>Octubre</v>
      </c>
      <c r="W815" s="1128">
        <f t="shared" si="101"/>
        <v>1</v>
      </c>
    </row>
    <row r="816" spans="1:23" s="1321" customFormat="1" ht="57.6" customHeight="1" thickBot="1" x14ac:dyDescent="0.2">
      <c r="A816" s="1117">
        <v>2013</v>
      </c>
      <c r="B816" s="1117">
        <v>2013</v>
      </c>
      <c r="C816" s="1436" t="s">
        <v>36</v>
      </c>
      <c r="D816" s="1363" t="s">
        <v>37</v>
      </c>
      <c r="E816" s="1350" t="s">
        <v>2871</v>
      </c>
      <c r="F816" s="1367" t="s">
        <v>2872</v>
      </c>
      <c r="G816" s="1351">
        <v>13090002</v>
      </c>
      <c r="H816" s="1352">
        <v>3570</v>
      </c>
      <c r="I816" s="1353">
        <v>41526</v>
      </c>
      <c r="J816" s="1354">
        <v>75</v>
      </c>
      <c r="K816" s="1353">
        <f>+I816+J816</f>
        <v>41601</v>
      </c>
      <c r="L816" s="1353" t="s">
        <v>41</v>
      </c>
      <c r="M816" s="1353">
        <v>41562</v>
      </c>
      <c r="N816" s="1354">
        <f t="shared" si="103"/>
        <v>-28</v>
      </c>
      <c r="O816" s="1427">
        <v>41570</v>
      </c>
      <c r="P816" s="1355">
        <v>41573</v>
      </c>
      <c r="Q816" s="1355">
        <v>41587</v>
      </c>
      <c r="R816" s="1354">
        <f t="shared" si="104"/>
        <v>61</v>
      </c>
      <c r="S816" s="1354" t="s">
        <v>53</v>
      </c>
      <c r="T816" s="1378"/>
      <c r="U816" s="1358" t="str">
        <f t="shared" si="108"/>
        <v>en término</v>
      </c>
      <c r="V816" s="1130" t="str">
        <f t="shared" si="100"/>
        <v>Octubre</v>
      </c>
      <c r="W816" s="1128">
        <f t="shared" si="101"/>
        <v>1</v>
      </c>
    </row>
    <row r="817" spans="1:23" s="1321" customFormat="1" ht="57.6" customHeight="1" thickBot="1" x14ac:dyDescent="0.2">
      <c r="A817" s="1117">
        <v>2013</v>
      </c>
      <c r="B817" s="1117">
        <v>2013</v>
      </c>
      <c r="C817" s="1436" t="s">
        <v>36</v>
      </c>
      <c r="D817" s="1363" t="s">
        <v>133</v>
      </c>
      <c r="E817" s="1350" t="s">
        <v>2799</v>
      </c>
      <c r="F817" s="1367" t="s">
        <v>2800</v>
      </c>
      <c r="G817" s="1351">
        <v>4505441664</v>
      </c>
      <c r="H817" s="1352">
        <v>76632.7</v>
      </c>
      <c r="I817" s="1353">
        <v>41494</v>
      </c>
      <c r="J817" s="1354">
        <f>+K817-I817</f>
        <v>95</v>
      </c>
      <c r="K817" s="1353">
        <v>41589</v>
      </c>
      <c r="L817" s="1353" t="s">
        <v>41</v>
      </c>
      <c r="M817" s="1353">
        <v>41562</v>
      </c>
      <c r="N817" s="1354">
        <f t="shared" si="103"/>
        <v>-16</v>
      </c>
      <c r="O817" s="1427">
        <v>41570</v>
      </c>
      <c r="P817" s="1355">
        <v>41573</v>
      </c>
      <c r="Q817" s="1355">
        <v>41587</v>
      </c>
      <c r="R817" s="1354">
        <f t="shared" si="104"/>
        <v>93</v>
      </c>
      <c r="S817" s="1354" t="s">
        <v>955</v>
      </c>
      <c r="T817" s="1378"/>
      <c r="U817" s="1358" t="str">
        <f t="shared" si="108"/>
        <v>en término</v>
      </c>
      <c r="V817" s="1130" t="str">
        <f t="shared" si="100"/>
        <v>Octubre</v>
      </c>
      <c r="W817" s="1128">
        <f t="shared" si="101"/>
        <v>1</v>
      </c>
    </row>
    <row r="818" spans="1:23" s="1321" customFormat="1" ht="57.6" customHeight="1" thickBot="1" x14ac:dyDescent="0.2">
      <c r="A818" s="1117">
        <v>2013</v>
      </c>
      <c r="B818" s="1117">
        <v>2013</v>
      </c>
      <c r="C818" s="1436" t="s">
        <v>36</v>
      </c>
      <c r="D818" s="1363" t="s">
        <v>133</v>
      </c>
      <c r="E818" s="1350" t="s">
        <v>2799</v>
      </c>
      <c r="F818" s="1367" t="s">
        <v>2800</v>
      </c>
      <c r="G818" s="1351">
        <v>4505458529</v>
      </c>
      <c r="H818" s="1352">
        <v>258799.5</v>
      </c>
      <c r="I818" s="1353">
        <v>41507</v>
      </c>
      <c r="J818" s="1354">
        <f>+K818-I818</f>
        <v>91</v>
      </c>
      <c r="K818" s="1353">
        <v>41598</v>
      </c>
      <c r="L818" s="1353" t="s">
        <v>41</v>
      </c>
      <c r="M818" s="1353">
        <v>41576</v>
      </c>
      <c r="N818" s="1354">
        <f t="shared" si="103"/>
        <v>-13</v>
      </c>
      <c r="O818" s="1427">
        <v>41584</v>
      </c>
      <c r="P818" s="1355">
        <v>41585</v>
      </c>
      <c r="Q818" s="1355">
        <v>41601</v>
      </c>
      <c r="R818" s="1354">
        <f t="shared" si="104"/>
        <v>94</v>
      </c>
      <c r="S818" s="1354" t="s">
        <v>2467</v>
      </c>
      <c r="T818" s="1378"/>
      <c r="U818" s="1358" t="str">
        <f t="shared" si="108"/>
        <v>en término</v>
      </c>
      <c r="V818" s="1130" t="str">
        <f t="shared" si="100"/>
        <v>Octubre</v>
      </c>
      <c r="W818" s="1128">
        <f t="shared" si="101"/>
        <v>1</v>
      </c>
    </row>
    <row r="819" spans="1:23" s="1321" customFormat="1" ht="57.6" customHeight="1" thickBot="1" x14ac:dyDescent="0.2">
      <c r="A819" s="1117">
        <v>2013</v>
      </c>
      <c r="B819" s="1117">
        <v>2013</v>
      </c>
      <c r="C819" s="1436" t="s">
        <v>36</v>
      </c>
      <c r="D819" s="1363" t="s">
        <v>37</v>
      </c>
      <c r="E819" s="1350" t="s">
        <v>2876</v>
      </c>
      <c r="F819" s="1367" t="s">
        <v>2877</v>
      </c>
      <c r="G819" s="1351">
        <v>13090003</v>
      </c>
      <c r="H819" s="1352">
        <v>3750</v>
      </c>
      <c r="I819" s="1353">
        <v>41534</v>
      </c>
      <c r="J819" s="1354">
        <v>60</v>
      </c>
      <c r="K819" s="1353">
        <f>+I819+J819</f>
        <v>41594</v>
      </c>
      <c r="L819" s="1353" t="s">
        <v>41</v>
      </c>
      <c r="M819" s="1353">
        <v>41576</v>
      </c>
      <c r="N819" s="1354">
        <f t="shared" si="103"/>
        <v>-9</v>
      </c>
      <c r="O819" s="1427">
        <v>41584</v>
      </c>
      <c r="P819" s="1355">
        <v>41585</v>
      </c>
      <c r="Q819" s="1355">
        <v>41601</v>
      </c>
      <c r="R819" s="1354">
        <f t="shared" si="104"/>
        <v>67</v>
      </c>
      <c r="S819" s="1354" t="s">
        <v>433</v>
      </c>
      <c r="T819" s="1378"/>
      <c r="U819" s="1358" t="str">
        <f t="shared" si="108"/>
        <v>en término</v>
      </c>
      <c r="V819" s="1130" t="str">
        <f t="shared" si="100"/>
        <v>Octubre</v>
      </c>
      <c r="W819" s="1128">
        <f t="shared" si="101"/>
        <v>1</v>
      </c>
    </row>
    <row r="820" spans="1:23" s="1321" customFormat="1" ht="57.6" customHeight="1" thickBot="1" x14ac:dyDescent="0.2">
      <c r="A820" s="1117">
        <v>2013</v>
      </c>
      <c r="B820" s="1117">
        <v>2013</v>
      </c>
      <c r="C820" s="1436" t="s">
        <v>36</v>
      </c>
      <c r="D820" s="1363" t="s">
        <v>133</v>
      </c>
      <c r="E820" s="1350" t="s">
        <v>2799</v>
      </c>
      <c r="F820" s="1367" t="s">
        <v>2800</v>
      </c>
      <c r="G820" s="1351">
        <v>4505463336</v>
      </c>
      <c r="H820" s="1352">
        <v>45284</v>
      </c>
      <c r="I820" s="1353">
        <v>41509</v>
      </c>
      <c r="J820" s="1354">
        <f>+K820-I820</f>
        <v>95</v>
      </c>
      <c r="K820" s="1353">
        <v>41604</v>
      </c>
      <c r="L820" s="1353" t="s">
        <v>41</v>
      </c>
      <c r="M820" s="1353">
        <v>41576</v>
      </c>
      <c r="N820" s="1354">
        <f t="shared" si="103"/>
        <v>-19</v>
      </c>
      <c r="O820" s="1427">
        <v>41584</v>
      </c>
      <c r="P820" s="1355">
        <v>41585</v>
      </c>
      <c r="Q820" s="1355">
        <v>41601</v>
      </c>
      <c r="R820" s="1354">
        <f t="shared" si="104"/>
        <v>92</v>
      </c>
      <c r="S820" s="1354" t="s">
        <v>758</v>
      </c>
      <c r="T820" s="1378"/>
      <c r="U820" s="1358" t="str">
        <f t="shared" si="108"/>
        <v>en término</v>
      </c>
      <c r="V820" s="1130" t="str">
        <f t="shared" si="100"/>
        <v>Octubre</v>
      </c>
      <c r="W820" s="1128">
        <f t="shared" si="101"/>
        <v>1</v>
      </c>
    </row>
    <row r="821" spans="1:23" s="1321" customFormat="1" ht="57.6" customHeight="1" thickBot="1" x14ac:dyDescent="0.2">
      <c r="A821" s="1117">
        <v>2013</v>
      </c>
      <c r="B821" s="1117">
        <v>2013</v>
      </c>
      <c r="C821" s="1436" t="s">
        <v>36</v>
      </c>
      <c r="D821" s="1363" t="s">
        <v>133</v>
      </c>
      <c r="E821" s="1350" t="s">
        <v>2799</v>
      </c>
      <c r="F821" s="1367" t="s">
        <v>2800</v>
      </c>
      <c r="G821" s="1351">
        <v>4505513159</v>
      </c>
      <c r="H821" s="1352">
        <v>8664.1200000000008</v>
      </c>
      <c r="I821" s="1353">
        <v>41537</v>
      </c>
      <c r="J821" s="1354">
        <f>+K821-I821</f>
        <v>91</v>
      </c>
      <c r="K821" s="1353">
        <v>41628</v>
      </c>
      <c r="L821" s="1353" t="s">
        <v>41</v>
      </c>
      <c r="M821" s="1353">
        <v>41611</v>
      </c>
      <c r="N821" s="1354">
        <f t="shared" si="103"/>
        <v>-5</v>
      </c>
      <c r="O821" s="1427">
        <v>41619</v>
      </c>
      <c r="P821" s="1355">
        <v>41623</v>
      </c>
      <c r="Q821" s="1355">
        <v>41636</v>
      </c>
      <c r="R821" s="1354">
        <f t="shared" si="104"/>
        <v>99</v>
      </c>
      <c r="S821" s="1354" t="s">
        <v>53</v>
      </c>
      <c r="T821" s="1378"/>
      <c r="U821" s="1358" t="str">
        <f t="shared" si="108"/>
        <v>en término</v>
      </c>
      <c r="V821" s="1130" t="str">
        <f t="shared" si="100"/>
        <v>Diciembre</v>
      </c>
      <c r="W821" s="1128">
        <f t="shared" si="101"/>
        <v>1</v>
      </c>
    </row>
    <row r="822" spans="1:23" s="1321" customFormat="1" ht="57.6" customHeight="1" thickBot="1" x14ac:dyDescent="0.2">
      <c r="A822" s="1117">
        <v>2013</v>
      </c>
      <c r="B822" s="1117">
        <v>2013</v>
      </c>
      <c r="C822" s="1436" t="s">
        <v>36</v>
      </c>
      <c r="D822" s="1363" t="s">
        <v>133</v>
      </c>
      <c r="E822" s="1350" t="s">
        <v>2799</v>
      </c>
      <c r="F822" s="1367" t="s">
        <v>2800</v>
      </c>
      <c r="G822" s="1351">
        <v>4505519888</v>
      </c>
      <c r="H822" s="1352">
        <v>228714.79</v>
      </c>
      <c r="I822" s="1353">
        <v>41542</v>
      </c>
      <c r="J822" s="1354">
        <f>+K822-I822</f>
        <v>92</v>
      </c>
      <c r="K822" s="1353">
        <v>41634</v>
      </c>
      <c r="L822" s="1353" t="s">
        <v>41</v>
      </c>
      <c r="M822" s="1353">
        <v>41611</v>
      </c>
      <c r="N822" s="1354">
        <f t="shared" si="103"/>
        <v>-11</v>
      </c>
      <c r="O822" s="1427">
        <v>41619</v>
      </c>
      <c r="P822" s="1355">
        <v>41623</v>
      </c>
      <c r="Q822" s="1355">
        <v>41636</v>
      </c>
      <c r="R822" s="1354">
        <f t="shared" si="104"/>
        <v>94</v>
      </c>
      <c r="S822" s="1354" t="s">
        <v>1775</v>
      </c>
      <c r="T822" s="1378"/>
      <c r="U822" s="1358" t="str">
        <f t="shared" si="108"/>
        <v>en término</v>
      </c>
      <c r="V822" s="1130" t="str">
        <f t="shared" si="100"/>
        <v>Diciembre</v>
      </c>
      <c r="W822" s="1128">
        <f t="shared" si="101"/>
        <v>1</v>
      </c>
    </row>
    <row r="823" spans="1:23" s="1321" customFormat="1" ht="57.6" customHeight="1" thickBot="1" x14ac:dyDescent="0.2">
      <c r="A823" s="1117">
        <v>2013</v>
      </c>
      <c r="B823" s="1117">
        <v>2013</v>
      </c>
      <c r="C823" s="1436" t="s">
        <v>36</v>
      </c>
      <c r="D823" s="1363" t="s">
        <v>133</v>
      </c>
      <c r="E823" s="1350" t="s">
        <v>2788</v>
      </c>
      <c r="F823" s="1367" t="s">
        <v>2789</v>
      </c>
      <c r="G823" s="1351">
        <v>4505519905</v>
      </c>
      <c r="H823" s="1352">
        <v>114410.55</v>
      </c>
      <c r="I823" s="1353">
        <v>41542</v>
      </c>
      <c r="J823" s="1354">
        <f>+K823-I823</f>
        <v>82</v>
      </c>
      <c r="K823" s="1353">
        <v>41624</v>
      </c>
      <c r="L823" s="1353" t="s">
        <v>41</v>
      </c>
      <c r="M823" s="1353">
        <v>41611</v>
      </c>
      <c r="N823" s="1354">
        <f t="shared" si="103"/>
        <v>-1</v>
      </c>
      <c r="O823" s="1427">
        <v>41619</v>
      </c>
      <c r="P823" s="1355">
        <v>41623</v>
      </c>
      <c r="Q823" s="1355">
        <v>41636</v>
      </c>
      <c r="R823" s="1354">
        <f t="shared" si="104"/>
        <v>94</v>
      </c>
      <c r="S823" s="1354" t="s">
        <v>2883</v>
      </c>
      <c r="T823" s="1378"/>
      <c r="U823" s="1358" t="str">
        <f t="shared" si="108"/>
        <v>en término</v>
      </c>
      <c r="V823" s="1130" t="str">
        <f t="shared" si="100"/>
        <v>Diciembre</v>
      </c>
      <c r="W823" s="1128">
        <f t="shared" si="101"/>
        <v>1</v>
      </c>
    </row>
    <row r="824" spans="1:23" s="1321" customFormat="1" ht="57.6" customHeight="1" thickBot="1" x14ac:dyDescent="0.2">
      <c r="A824" s="1117">
        <v>2013</v>
      </c>
      <c r="B824" s="1117">
        <v>2013</v>
      </c>
      <c r="C824" s="1436" t="s">
        <v>36</v>
      </c>
      <c r="D824" s="1363" t="s">
        <v>133</v>
      </c>
      <c r="E824" s="1350" t="s">
        <v>2799</v>
      </c>
      <c r="F824" s="1367" t="s">
        <v>2800</v>
      </c>
      <c r="G824" s="1351">
        <v>4505517992</v>
      </c>
      <c r="H824" s="1352">
        <v>116738.89</v>
      </c>
      <c r="I824" s="1353">
        <v>41571</v>
      </c>
      <c r="J824" s="1354">
        <f>+K824-I824</f>
        <v>81</v>
      </c>
      <c r="K824" s="1353">
        <v>41652</v>
      </c>
      <c r="L824" s="1353" t="s">
        <v>41</v>
      </c>
      <c r="M824" s="1353">
        <v>41611</v>
      </c>
      <c r="N824" s="1354">
        <f t="shared" si="103"/>
        <v>-29</v>
      </c>
      <c r="O824" s="1427">
        <v>41619</v>
      </c>
      <c r="P824" s="1355">
        <v>41623</v>
      </c>
      <c r="Q824" s="1355">
        <v>41636</v>
      </c>
      <c r="R824" s="1354">
        <f t="shared" si="104"/>
        <v>65</v>
      </c>
      <c r="S824" s="1354" t="s">
        <v>2884</v>
      </c>
      <c r="T824" s="1378"/>
      <c r="U824" s="1358" t="str">
        <f t="shared" si="108"/>
        <v>en término</v>
      </c>
      <c r="V824" s="1130" t="str">
        <f t="shared" si="100"/>
        <v>Diciembre</v>
      </c>
      <c r="W824" s="1128">
        <f t="shared" si="101"/>
        <v>1</v>
      </c>
    </row>
    <row r="825" spans="1:23" s="1321" customFormat="1" ht="57.6" customHeight="1" thickBot="1" x14ac:dyDescent="0.2">
      <c r="A825" s="1117">
        <v>2013</v>
      </c>
      <c r="B825" s="1117">
        <v>2013</v>
      </c>
      <c r="C825" s="1436" t="s">
        <v>36</v>
      </c>
      <c r="D825" s="1363" t="s">
        <v>37</v>
      </c>
      <c r="E825" s="1350" t="s">
        <v>2886</v>
      </c>
      <c r="F825" s="1367" t="s">
        <v>2887</v>
      </c>
      <c r="G825" s="1351">
        <v>13090001</v>
      </c>
      <c r="H825" s="1352">
        <v>146100</v>
      </c>
      <c r="I825" s="1353">
        <v>41515</v>
      </c>
      <c r="J825" s="1354">
        <v>100</v>
      </c>
      <c r="K825" s="1353">
        <f>+I825+J825</f>
        <v>41615</v>
      </c>
      <c r="L825" s="1353" t="s">
        <v>41</v>
      </c>
      <c r="M825" s="1353">
        <v>41625</v>
      </c>
      <c r="N825" s="1354">
        <f t="shared" si="103"/>
        <v>27</v>
      </c>
      <c r="O825" s="1427">
        <v>41640</v>
      </c>
      <c r="P825" s="1355">
        <v>41642</v>
      </c>
      <c r="Q825" s="1355">
        <v>41663</v>
      </c>
      <c r="R825" s="1354">
        <f t="shared" si="104"/>
        <v>148</v>
      </c>
      <c r="S825" s="1354" t="s">
        <v>2889</v>
      </c>
      <c r="T825" s="1378" t="s">
        <v>2890</v>
      </c>
      <c r="U825" s="1358" t="str">
        <f t="shared" si="108"/>
        <v>atrasado</v>
      </c>
      <c r="V825" s="1130" t="str">
        <f t="shared" si="100"/>
        <v>Diciembre</v>
      </c>
      <c r="W825" s="1128">
        <f t="shared" si="101"/>
        <v>0</v>
      </c>
    </row>
    <row r="826" spans="1:23" s="1321" customFormat="1" ht="57.6" customHeight="1" thickBot="1" x14ac:dyDescent="0.2">
      <c r="A826" s="1117">
        <v>2013</v>
      </c>
      <c r="B826" s="1117">
        <v>2013</v>
      </c>
      <c r="C826" s="1436" t="s">
        <v>36</v>
      </c>
      <c r="D826" s="1363" t="s">
        <v>37</v>
      </c>
      <c r="E826" s="1350" t="s">
        <v>2892</v>
      </c>
      <c r="F826" s="1367" t="s">
        <v>2893</v>
      </c>
      <c r="G826" s="1351">
        <v>13090004</v>
      </c>
      <c r="H826" s="1352">
        <v>47250</v>
      </c>
      <c r="I826" s="1353">
        <v>41540</v>
      </c>
      <c r="J826" s="1354">
        <v>90</v>
      </c>
      <c r="K826" s="1353">
        <f>+I826+J826</f>
        <v>41630</v>
      </c>
      <c r="L826" s="1353" t="s">
        <v>41</v>
      </c>
      <c r="M826" s="1353">
        <v>41625</v>
      </c>
      <c r="N826" s="1354">
        <f t="shared" si="103"/>
        <v>12</v>
      </c>
      <c r="O826" s="1427">
        <v>41640</v>
      </c>
      <c r="P826" s="1355">
        <v>41642</v>
      </c>
      <c r="Q826" s="1355">
        <v>41663</v>
      </c>
      <c r="R826" s="1354">
        <f t="shared" si="104"/>
        <v>123</v>
      </c>
      <c r="S826" s="1354" t="s">
        <v>2894</v>
      </c>
      <c r="T826" s="1378" t="s">
        <v>2890</v>
      </c>
      <c r="U826" s="1358" t="str">
        <f t="shared" si="108"/>
        <v>atrasado</v>
      </c>
      <c r="V826" s="1130" t="str">
        <f t="shared" si="100"/>
        <v>Diciembre</v>
      </c>
      <c r="W826" s="1128">
        <f t="shared" si="101"/>
        <v>0</v>
      </c>
    </row>
    <row r="827" spans="1:23" s="1321" customFormat="1" ht="57.6" customHeight="1" thickBot="1" x14ac:dyDescent="0.2">
      <c r="A827" s="1117">
        <v>2013</v>
      </c>
      <c r="B827" s="1117">
        <v>2013</v>
      </c>
      <c r="C827" s="1436" t="s">
        <v>36</v>
      </c>
      <c r="D827" s="1363" t="s">
        <v>37</v>
      </c>
      <c r="E827" s="1350" t="s">
        <v>2895</v>
      </c>
      <c r="F827" s="1367" t="s">
        <v>2896</v>
      </c>
      <c r="G827" s="1351">
        <v>13100002</v>
      </c>
      <c r="H827" s="1352">
        <v>4125</v>
      </c>
      <c r="I827" s="1353">
        <v>41562</v>
      </c>
      <c r="J827" s="1354">
        <v>90</v>
      </c>
      <c r="K827" s="1353">
        <f>+I827+J827</f>
        <v>41652</v>
      </c>
      <c r="L827" s="1353" t="s">
        <v>41</v>
      </c>
      <c r="M827" s="1353">
        <v>41625</v>
      </c>
      <c r="N827" s="1354">
        <f t="shared" si="103"/>
        <v>-10</v>
      </c>
      <c r="O827" s="1427">
        <v>41640</v>
      </c>
      <c r="P827" s="1355">
        <v>41642</v>
      </c>
      <c r="Q827" s="1355">
        <v>41663</v>
      </c>
      <c r="R827" s="1354">
        <f t="shared" si="104"/>
        <v>101</v>
      </c>
      <c r="S827" s="1354" t="s">
        <v>53</v>
      </c>
      <c r="T827" s="1378" t="s">
        <v>2890</v>
      </c>
      <c r="U827" s="1358" t="str">
        <f t="shared" si="108"/>
        <v>en término</v>
      </c>
      <c r="V827" s="1130" t="str">
        <f t="shared" si="100"/>
        <v>Diciembre</v>
      </c>
      <c r="W827" s="1128">
        <f t="shared" si="101"/>
        <v>1</v>
      </c>
    </row>
    <row r="828" spans="1:23" s="1321" customFormat="1" ht="57.6" customHeight="1" thickBot="1" x14ac:dyDescent="0.2">
      <c r="A828" s="1143">
        <v>2013</v>
      </c>
      <c r="B828" s="1143">
        <v>2013</v>
      </c>
      <c r="C828" s="1449" t="s">
        <v>36</v>
      </c>
      <c r="D828" s="1393" t="s">
        <v>37</v>
      </c>
      <c r="E828" s="1450" t="s">
        <v>2898</v>
      </c>
      <c r="F828" s="1451" t="s">
        <v>2899</v>
      </c>
      <c r="G828" s="1452">
        <v>13110003</v>
      </c>
      <c r="H828" s="1453">
        <v>1500</v>
      </c>
      <c r="I828" s="1454">
        <v>41583</v>
      </c>
      <c r="J828" s="1455">
        <v>75</v>
      </c>
      <c r="K828" s="1454">
        <f>+I828+J828</f>
        <v>41658</v>
      </c>
      <c r="L828" s="1454" t="s">
        <v>41</v>
      </c>
      <c r="M828" s="1454">
        <v>41625</v>
      </c>
      <c r="N828" s="1455">
        <f t="shared" si="103"/>
        <v>-16</v>
      </c>
      <c r="O828" s="1456">
        <v>41640</v>
      </c>
      <c r="P828" s="1457">
        <v>41642</v>
      </c>
      <c r="Q828" s="1457">
        <v>41663</v>
      </c>
      <c r="R828" s="1455">
        <f t="shared" si="104"/>
        <v>80</v>
      </c>
      <c r="S828" s="1455" t="s">
        <v>53</v>
      </c>
      <c r="T828" s="1458" t="s">
        <v>2890</v>
      </c>
      <c r="U828" s="1459" t="str">
        <f t="shared" si="108"/>
        <v>en término</v>
      </c>
      <c r="V828" s="1290" t="str">
        <f t="shared" si="100"/>
        <v>Diciembre</v>
      </c>
      <c r="W828" s="1323">
        <f t="shared" si="101"/>
        <v>1</v>
      </c>
    </row>
    <row r="829" spans="1:23" s="1461" customFormat="1" ht="54.95" customHeight="1" thickTop="1" thickBot="1" x14ac:dyDescent="0.25">
      <c r="A829" s="1157">
        <v>2014</v>
      </c>
      <c r="B829" s="1157">
        <v>2014</v>
      </c>
      <c r="C829" s="1407" t="s">
        <v>972</v>
      </c>
      <c r="D829" s="1460" t="s">
        <v>6051</v>
      </c>
      <c r="E829" s="1409" t="s">
        <v>6062</v>
      </c>
      <c r="F829" s="1409"/>
      <c r="G829" s="1410" t="s">
        <v>6063</v>
      </c>
      <c r="H829" s="1411">
        <v>217904.7</v>
      </c>
      <c r="I829" s="1412">
        <v>41597</v>
      </c>
      <c r="J829" s="1413">
        <f>+K829-I829</f>
        <v>153</v>
      </c>
      <c r="K829" s="1414">
        <v>41750</v>
      </c>
      <c r="L829" s="1415" t="s">
        <v>124</v>
      </c>
      <c r="M829" s="1412">
        <v>41799</v>
      </c>
      <c r="N829" s="1413">
        <f t="shared" si="103"/>
        <v>60</v>
      </c>
      <c r="O829" s="1412">
        <v>41807</v>
      </c>
      <c r="P829" s="1421">
        <v>41810</v>
      </c>
      <c r="Q829" s="1414">
        <v>41845</v>
      </c>
      <c r="R829" s="1413">
        <f t="shared" si="104"/>
        <v>248</v>
      </c>
      <c r="S829" s="1417" t="s">
        <v>6364</v>
      </c>
      <c r="T829" s="1418" t="s">
        <v>6365</v>
      </c>
      <c r="U829" s="1419" t="str">
        <f t="shared" si="108"/>
        <v>atrasado</v>
      </c>
      <c r="V829" s="1289" t="str">
        <f t="shared" si="100"/>
        <v>Junio</v>
      </c>
      <c r="W829" s="1128">
        <f t="shared" si="101"/>
        <v>0</v>
      </c>
    </row>
    <row r="830" spans="1:23" s="1461" customFormat="1" ht="54.95" customHeight="1" thickBot="1" x14ac:dyDescent="0.25">
      <c r="A830" s="1117">
        <v>2014</v>
      </c>
      <c r="B830" s="1117">
        <v>2014</v>
      </c>
      <c r="C830" s="1361" t="s">
        <v>5799</v>
      </c>
      <c r="D830" s="1433" t="s">
        <v>5808</v>
      </c>
      <c r="E830" s="1350" t="s">
        <v>5809</v>
      </c>
      <c r="F830" s="1350"/>
      <c r="G830" s="1351" t="s">
        <v>5810</v>
      </c>
      <c r="H830" s="1352">
        <v>2874.11</v>
      </c>
      <c r="I830" s="1353">
        <v>41795</v>
      </c>
      <c r="J830" s="1354">
        <v>45</v>
      </c>
      <c r="K830" s="1355">
        <f>+I830+J830</f>
        <v>41840</v>
      </c>
      <c r="L830" s="1356" t="s">
        <v>124</v>
      </c>
      <c r="M830" s="1353">
        <v>41842</v>
      </c>
      <c r="N830" s="1354">
        <f t="shared" si="103"/>
        <v>24</v>
      </c>
      <c r="O830" s="1353">
        <v>41862</v>
      </c>
      <c r="P830" s="1357">
        <v>41864</v>
      </c>
      <c r="Q830" s="1355">
        <f>+P830+15</f>
        <v>41879</v>
      </c>
      <c r="R830" s="1354">
        <f t="shared" si="104"/>
        <v>84</v>
      </c>
      <c r="S830" s="1358" t="s">
        <v>2183</v>
      </c>
      <c r="T830" s="1359" t="s">
        <v>5811</v>
      </c>
      <c r="U830" s="1360" t="str">
        <f t="shared" si="108"/>
        <v>atrasado</v>
      </c>
      <c r="V830" s="1130" t="str">
        <f t="shared" si="100"/>
        <v>Julio</v>
      </c>
      <c r="W830" s="1128">
        <f t="shared" si="101"/>
        <v>0</v>
      </c>
    </row>
    <row r="831" spans="1:23" s="1461" customFormat="1" ht="54.95" customHeight="1" thickBot="1" x14ac:dyDescent="0.25">
      <c r="A831" s="1117">
        <v>2014</v>
      </c>
      <c r="B831" s="1117">
        <v>2014</v>
      </c>
      <c r="C831" s="1361" t="s">
        <v>5697</v>
      </c>
      <c r="D831" s="1119" t="s">
        <v>5705</v>
      </c>
      <c r="E831" s="1350" t="s">
        <v>5784</v>
      </c>
      <c r="F831" s="1350"/>
      <c r="G831" s="1351" t="s">
        <v>5785</v>
      </c>
      <c r="H831" s="1352">
        <v>41550</v>
      </c>
      <c r="I831" s="1353">
        <v>41473</v>
      </c>
      <c r="J831" s="1354">
        <v>120</v>
      </c>
      <c r="K831" s="1355">
        <f>+I831+J831</f>
        <v>41593</v>
      </c>
      <c r="L831" s="1356" t="s">
        <v>124</v>
      </c>
      <c r="M831" s="1353">
        <v>41649</v>
      </c>
      <c r="N831" s="1354">
        <f t="shared" si="103"/>
        <v>76</v>
      </c>
      <c r="O831" s="1353">
        <v>41660</v>
      </c>
      <c r="P831" s="1357">
        <v>41669</v>
      </c>
      <c r="Q831" s="1355">
        <f>+P831+45</f>
        <v>41714</v>
      </c>
      <c r="R831" s="1354">
        <f t="shared" si="104"/>
        <v>241</v>
      </c>
      <c r="S831" s="1358" t="s">
        <v>6366</v>
      </c>
      <c r="T831" s="1359" t="s">
        <v>5788</v>
      </c>
      <c r="U831" s="1360" t="str">
        <f t="shared" si="108"/>
        <v>atrasado</v>
      </c>
      <c r="V831" s="1130" t="str">
        <f t="shared" si="100"/>
        <v>Enero</v>
      </c>
      <c r="W831" s="1128">
        <f t="shared" si="101"/>
        <v>0</v>
      </c>
    </row>
    <row r="832" spans="1:23" s="1461" customFormat="1" ht="54.95" customHeight="1" thickBot="1" x14ac:dyDescent="0.25">
      <c r="A832" s="1117">
        <v>2014</v>
      </c>
      <c r="B832" s="1117">
        <v>2014</v>
      </c>
      <c r="C832" s="1361" t="s">
        <v>5697</v>
      </c>
      <c r="D832" s="1119" t="s">
        <v>5705</v>
      </c>
      <c r="E832" s="1350" t="s">
        <v>5789</v>
      </c>
      <c r="F832" s="1350"/>
      <c r="G832" s="1351" t="s">
        <v>5790</v>
      </c>
      <c r="H832" s="1352">
        <v>4375</v>
      </c>
      <c r="I832" s="1353">
        <v>41949</v>
      </c>
      <c r="J832" s="1354">
        <v>20</v>
      </c>
      <c r="K832" s="1355">
        <f>+I832+J832</f>
        <v>41969</v>
      </c>
      <c r="L832" s="1356" t="s">
        <v>124</v>
      </c>
      <c r="M832" s="1353">
        <v>41968</v>
      </c>
      <c r="N832" s="1354">
        <f t="shared" si="103"/>
        <v>41</v>
      </c>
      <c r="O832" s="1353">
        <v>41996</v>
      </c>
      <c r="P832" s="1357">
        <v>42010</v>
      </c>
      <c r="Q832" s="1355">
        <f>+P832+45</f>
        <v>42055</v>
      </c>
      <c r="R832" s="1354">
        <f t="shared" si="104"/>
        <v>106</v>
      </c>
      <c r="S832" s="1358" t="s">
        <v>6367</v>
      </c>
      <c r="T832" s="1359"/>
      <c r="U832" s="1360" t="str">
        <f t="shared" si="108"/>
        <v>atrasado</v>
      </c>
      <c r="V832" s="1130" t="str">
        <f t="shared" si="100"/>
        <v>Noviembre</v>
      </c>
      <c r="W832" s="1128">
        <f t="shared" si="101"/>
        <v>0</v>
      </c>
    </row>
    <row r="833" spans="1:23" s="1461" customFormat="1" ht="54.95" customHeight="1" thickBot="1" x14ac:dyDescent="0.25">
      <c r="A833" s="1117">
        <v>2014</v>
      </c>
      <c r="B833" s="1117">
        <v>2014</v>
      </c>
      <c r="C833" s="1361" t="s">
        <v>5433</v>
      </c>
      <c r="D833" s="1145" t="s">
        <v>5434</v>
      </c>
      <c r="E833" s="1350" t="s">
        <v>5633</v>
      </c>
      <c r="F833" s="1350"/>
      <c r="G833" s="1351" t="s">
        <v>5634</v>
      </c>
      <c r="H833" s="1352">
        <v>40626</v>
      </c>
      <c r="I833" s="1353">
        <v>41631</v>
      </c>
      <c r="J833" s="1354">
        <v>100</v>
      </c>
      <c r="K833" s="1355">
        <f>+I833+J833</f>
        <v>41731</v>
      </c>
      <c r="L833" s="1356" t="s">
        <v>5458</v>
      </c>
      <c r="M833" s="1353">
        <v>41737</v>
      </c>
      <c r="N833" s="1354">
        <f t="shared" si="103"/>
        <v>7</v>
      </c>
      <c r="O833" s="1353"/>
      <c r="P833" s="1357">
        <v>41738</v>
      </c>
      <c r="Q833" s="1438">
        <f>+P833+15</f>
        <v>41753</v>
      </c>
      <c r="R833" s="1354">
        <f t="shared" si="104"/>
        <v>122</v>
      </c>
      <c r="S833" s="1358" t="s">
        <v>53</v>
      </c>
      <c r="T833" s="1359"/>
      <c r="U833" s="1360" t="str">
        <f t="shared" si="108"/>
        <v>atrasado</v>
      </c>
      <c r="V833" s="1130" t="str">
        <f t="shared" si="100"/>
        <v>Abril</v>
      </c>
      <c r="W833" s="1128">
        <f t="shared" si="101"/>
        <v>0</v>
      </c>
    </row>
    <row r="834" spans="1:23" s="1461" customFormat="1" ht="54.95" customHeight="1" thickBot="1" x14ac:dyDescent="0.25">
      <c r="A834" s="1117">
        <v>2014</v>
      </c>
      <c r="B834" s="1117">
        <v>2014</v>
      </c>
      <c r="C834" s="1361" t="s">
        <v>5433</v>
      </c>
      <c r="D834" s="1145" t="s">
        <v>5434</v>
      </c>
      <c r="E834" s="1350" t="s">
        <v>5635</v>
      </c>
      <c r="F834" s="1350"/>
      <c r="G834" s="1351" t="s">
        <v>5636</v>
      </c>
      <c r="H834" s="1352">
        <v>11600</v>
      </c>
      <c r="I834" s="1353">
        <v>41649</v>
      </c>
      <c r="J834" s="1354">
        <f>+K834-I834</f>
        <v>82</v>
      </c>
      <c r="K834" s="1355">
        <v>41731</v>
      </c>
      <c r="L834" s="1356" t="s">
        <v>5458</v>
      </c>
      <c r="M834" s="1353">
        <v>41737</v>
      </c>
      <c r="N834" s="1354">
        <f t="shared" si="103"/>
        <v>7</v>
      </c>
      <c r="O834" s="1353"/>
      <c r="P834" s="1357">
        <v>41738</v>
      </c>
      <c r="Q834" s="1438">
        <f>+P834+15</f>
        <v>41753</v>
      </c>
      <c r="R834" s="1354">
        <f t="shared" si="104"/>
        <v>104</v>
      </c>
      <c r="S834" s="1358" t="s">
        <v>53</v>
      </c>
      <c r="T834" s="1359"/>
      <c r="U834" s="1360" t="str">
        <f t="shared" si="108"/>
        <v>atrasado</v>
      </c>
      <c r="V834" s="1130" t="str">
        <f t="shared" ref="V834:V897" si="109">VLOOKUP(MONTH(M834),$Y$66:$Z$77,2,FALSE)</f>
        <v>Abril</v>
      </c>
      <c r="W834" s="1128">
        <f t="shared" ref="W834:W897" si="110">+IF(U834="atrasado",0)+IF(U834="en término",1)</f>
        <v>0</v>
      </c>
    </row>
    <row r="835" spans="1:23" s="1461" customFormat="1" ht="54.95" customHeight="1" thickBot="1" x14ac:dyDescent="0.25">
      <c r="A835" s="1117">
        <v>2014</v>
      </c>
      <c r="B835" s="1117">
        <v>2014</v>
      </c>
      <c r="C835" s="1361" t="s">
        <v>5433</v>
      </c>
      <c r="D835" s="1145" t="s">
        <v>5434</v>
      </c>
      <c r="E835" s="1350" t="s">
        <v>5637</v>
      </c>
      <c r="F835" s="1350"/>
      <c r="G835" s="1351" t="s">
        <v>5638</v>
      </c>
      <c r="H835" s="1352">
        <v>375</v>
      </c>
      <c r="I835" s="1353">
        <v>41689</v>
      </c>
      <c r="J835" s="1354">
        <v>100</v>
      </c>
      <c r="K835" s="1355">
        <f>+I835+J835</f>
        <v>41789</v>
      </c>
      <c r="L835" s="1356" t="s">
        <v>5458</v>
      </c>
      <c r="M835" s="1353">
        <v>41737</v>
      </c>
      <c r="N835" s="1354">
        <f t="shared" si="103"/>
        <v>-51</v>
      </c>
      <c r="O835" s="1353"/>
      <c r="P835" s="1357">
        <v>41738</v>
      </c>
      <c r="Q835" s="1438">
        <f>+P835+15</f>
        <v>41753</v>
      </c>
      <c r="R835" s="1354">
        <f t="shared" si="104"/>
        <v>64</v>
      </c>
      <c r="S835" s="1358" t="s">
        <v>53</v>
      </c>
      <c r="T835" s="1359"/>
      <c r="U835" s="1360" t="str">
        <f t="shared" si="108"/>
        <v>en término</v>
      </c>
      <c r="V835" s="1130" t="str">
        <f t="shared" si="109"/>
        <v>Abril</v>
      </c>
      <c r="W835" s="1128">
        <f t="shared" si="110"/>
        <v>1</v>
      </c>
    </row>
    <row r="836" spans="1:23" s="1461" customFormat="1" ht="54.95" customHeight="1" thickBot="1" x14ac:dyDescent="0.25">
      <c r="A836" s="1117">
        <v>2014</v>
      </c>
      <c r="B836" s="1117">
        <v>2014</v>
      </c>
      <c r="C836" s="1361" t="s">
        <v>5433</v>
      </c>
      <c r="D836" s="1363" t="s">
        <v>5456</v>
      </c>
      <c r="E836" s="1350" t="s">
        <v>5639</v>
      </c>
      <c r="F836" s="1350"/>
      <c r="G836" s="1351">
        <v>4500172539</v>
      </c>
      <c r="H836" s="1352">
        <v>14984</v>
      </c>
      <c r="I836" s="1353">
        <v>41696</v>
      </c>
      <c r="J836" s="1354">
        <f>+K836-I836</f>
        <v>63</v>
      </c>
      <c r="K836" s="1355">
        <v>41759</v>
      </c>
      <c r="L836" s="1356" t="s">
        <v>124</v>
      </c>
      <c r="M836" s="1353">
        <v>41754</v>
      </c>
      <c r="N836" s="1354">
        <f t="shared" si="103"/>
        <v>9</v>
      </c>
      <c r="O836" s="1353">
        <v>41766</v>
      </c>
      <c r="P836" s="1357">
        <v>41768</v>
      </c>
      <c r="Q836" s="1438">
        <v>41771</v>
      </c>
      <c r="R836" s="1354">
        <f t="shared" si="104"/>
        <v>75</v>
      </c>
      <c r="S836" s="1358" t="s">
        <v>2806</v>
      </c>
      <c r="T836" s="1359"/>
      <c r="U836" s="1360" t="str">
        <f t="shared" si="108"/>
        <v>atrasado</v>
      </c>
      <c r="V836" s="1130" t="str">
        <f t="shared" si="109"/>
        <v>Abril</v>
      </c>
      <c r="W836" s="1128">
        <f t="shared" si="110"/>
        <v>0</v>
      </c>
    </row>
    <row r="837" spans="1:23" s="1461" customFormat="1" ht="54.95" customHeight="1" thickBot="1" x14ac:dyDescent="0.25">
      <c r="A837" s="1117">
        <v>2014</v>
      </c>
      <c r="B837" s="1117">
        <v>2014</v>
      </c>
      <c r="C837" s="1361" t="s">
        <v>5433</v>
      </c>
      <c r="D837" s="1145" t="s">
        <v>5434</v>
      </c>
      <c r="E837" s="1350" t="s">
        <v>5641</v>
      </c>
      <c r="F837" s="1350"/>
      <c r="G837" s="1351" t="s">
        <v>5642</v>
      </c>
      <c r="H837" s="1352">
        <v>2900</v>
      </c>
      <c r="I837" s="1353">
        <v>41724</v>
      </c>
      <c r="J837" s="1354">
        <v>45</v>
      </c>
      <c r="K837" s="1355">
        <f>+I837+J837</f>
        <v>41769</v>
      </c>
      <c r="L837" s="1356" t="s">
        <v>124</v>
      </c>
      <c r="M837" s="1353">
        <v>41786</v>
      </c>
      <c r="N837" s="1354">
        <f t="shared" si="103"/>
        <v>26</v>
      </c>
      <c r="O837" s="1353"/>
      <c r="P837" s="1357">
        <v>41795</v>
      </c>
      <c r="Q837" s="1438">
        <f>+P837+15</f>
        <v>41810</v>
      </c>
      <c r="R837" s="1354">
        <f t="shared" si="104"/>
        <v>86</v>
      </c>
      <c r="S837" s="1358" t="s">
        <v>53</v>
      </c>
      <c r="T837" s="1359"/>
      <c r="U837" s="1360" t="str">
        <f t="shared" si="108"/>
        <v>atrasado</v>
      </c>
      <c r="V837" s="1130" t="str">
        <f t="shared" si="109"/>
        <v>Mayo</v>
      </c>
      <c r="W837" s="1128">
        <f t="shared" si="110"/>
        <v>0</v>
      </c>
    </row>
    <row r="838" spans="1:23" s="1461" customFormat="1" ht="54.95" customHeight="1" thickBot="1" x14ac:dyDescent="0.25">
      <c r="A838" s="1117">
        <v>2014</v>
      </c>
      <c r="B838" s="1117">
        <v>2014</v>
      </c>
      <c r="C838" s="1361" t="s">
        <v>5433</v>
      </c>
      <c r="D838" s="1363" t="s">
        <v>5456</v>
      </c>
      <c r="E838" s="1350" t="s">
        <v>5643</v>
      </c>
      <c r="F838" s="1350"/>
      <c r="G838" s="1351">
        <v>4500172425</v>
      </c>
      <c r="H838" s="1352">
        <v>18510</v>
      </c>
      <c r="I838" s="1353">
        <v>41694</v>
      </c>
      <c r="J838" s="1354">
        <f>+K838-I838</f>
        <v>92</v>
      </c>
      <c r="K838" s="1355">
        <v>41786</v>
      </c>
      <c r="L838" s="1356" t="s">
        <v>124</v>
      </c>
      <c r="M838" s="1353">
        <v>41796</v>
      </c>
      <c r="N838" s="1354">
        <f t="shared" si="103"/>
        <v>23</v>
      </c>
      <c r="O838" s="1353"/>
      <c r="P838" s="1357">
        <v>41809</v>
      </c>
      <c r="Q838" s="1438">
        <v>41814</v>
      </c>
      <c r="R838" s="1354">
        <f t="shared" si="104"/>
        <v>120</v>
      </c>
      <c r="S838" s="1358" t="s">
        <v>378</v>
      </c>
      <c r="T838" s="1359"/>
      <c r="U838" s="1360" t="str">
        <f t="shared" si="108"/>
        <v>atrasado</v>
      </c>
      <c r="V838" s="1130" t="str">
        <f t="shared" si="109"/>
        <v>Junio</v>
      </c>
      <c r="W838" s="1128">
        <f t="shared" si="110"/>
        <v>0</v>
      </c>
    </row>
    <row r="839" spans="1:23" s="1461" customFormat="1" ht="54.95" customHeight="1" thickBot="1" x14ac:dyDescent="0.25">
      <c r="A839" s="1117">
        <v>2014</v>
      </c>
      <c r="B839" s="1117">
        <v>2014</v>
      </c>
      <c r="C839" s="1361" t="s">
        <v>5433</v>
      </c>
      <c r="D839" s="1363" t="s">
        <v>5456</v>
      </c>
      <c r="E839" s="1350" t="s">
        <v>5644</v>
      </c>
      <c r="F839" s="1350"/>
      <c r="G839" s="1351">
        <v>4500175118</v>
      </c>
      <c r="H839" s="1352">
        <v>29900</v>
      </c>
      <c r="I839" s="1353">
        <v>41743</v>
      </c>
      <c r="J839" s="1354">
        <f>+K839-I839</f>
        <v>93</v>
      </c>
      <c r="K839" s="1355">
        <v>41836</v>
      </c>
      <c r="L839" s="1356" t="s">
        <v>124</v>
      </c>
      <c r="M839" s="1353">
        <v>41830</v>
      </c>
      <c r="N839" s="1354">
        <f t="shared" si="103"/>
        <v>7</v>
      </c>
      <c r="O839" s="1353">
        <v>41837</v>
      </c>
      <c r="P839" s="1357">
        <v>41843</v>
      </c>
      <c r="Q839" s="1438">
        <v>41849</v>
      </c>
      <c r="R839" s="1354">
        <f t="shared" si="104"/>
        <v>106</v>
      </c>
      <c r="S839" s="1358" t="s">
        <v>879</v>
      </c>
      <c r="T839" s="1359"/>
      <c r="U839" s="1360" t="str">
        <f t="shared" si="108"/>
        <v>atrasado</v>
      </c>
      <c r="V839" s="1130" t="str">
        <f t="shared" si="109"/>
        <v>Julio</v>
      </c>
      <c r="W839" s="1128">
        <f t="shared" si="110"/>
        <v>0</v>
      </c>
    </row>
    <row r="840" spans="1:23" s="1461" customFormat="1" ht="54.95" customHeight="1" thickBot="1" x14ac:dyDescent="0.25">
      <c r="A840" s="1117">
        <v>2014</v>
      </c>
      <c r="B840" s="1117">
        <v>2014</v>
      </c>
      <c r="C840" s="1361" t="s">
        <v>5433</v>
      </c>
      <c r="D840" s="1363" t="s">
        <v>5456</v>
      </c>
      <c r="E840" s="1350" t="s">
        <v>5646</v>
      </c>
      <c r="F840" s="1350"/>
      <c r="G840" s="1351">
        <v>4500175670</v>
      </c>
      <c r="H840" s="1352">
        <v>6850</v>
      </c>
      <c r="I840" s="1353">
        <v>41753</v>
      </c>
      <c r="J840" s="1354">
        <f>+K840-I840</f>
        <v>125</v>
      </c>
      <c r="K840" s="1355">
        <v>41878</v>
      </c>
      <c r="L840" s="1356" t="s">
        <v>124</v>
      </c>
      <c r="M840" s="1353">
        <v>41870</v>
      </c>
      <c r="N840" s="1354">
        <f t="shared" ref="N840:N903" si="111">IF(P840="","",+P840-K840)</f>
        <v>-1</v>
      </c>
      <c r="O840" s="1353">
        <v>41872</v>
      </c>
      <c r="P840" s="1357">
        <v>41877</v>
      </c>
      <c r="Q840" s="1438">
        <v>41882</v>
      </c>
      <c r="R840" s="1354">
        <f t="shared" ref="R840:R903" si="112">IF(Q840="","",+Q840-I840)</f>
        <v>129</v>
      </c>
      <c r="S840" s="1358" t="s">
        <v>53</v>
      </c>
      <c r="T840" s="1359"/>
      <c r="U840" s="1360" t="str">
        <f t="shared" ref="U840:U871" si="113">IF(N840="","",IF(N840&lt;=0,"en término","atrasado"))</f>
        <v>en término</v>
      </c>
      <c r="V840" s="1130" t="str">
        <f t="shared" si="109"/>
        <v>Agosto</v>
      </c>
      <c r="W840" s="1128">
        <f t="shared" si="110"/>
        <v>1</v>
      </c>
    </row>
    <row r="841" spans="1:23" s="1461" customFormat="1" ht="54.95" customHeight="1" thickBot="1" x14ac:dyDescent="0.25">
      <c r="A841" s="1117">
        <v>2014</v>
      </c>
      <c r="B841" s="1117">
        <v>2014</v>
      </c>
      <c r="C841" s="1361" t="s">
        <v>5433</v>
      </c>
      <c r="D841" s="1363" t="s">
        <v>5456</v>
      </c>
      <c r="E841" s="1350" t="s">
        <v>5648</v>
      </c>
      <c r="F841" s="1350"/>
      <c r="G841" s="1351">
        <v>4500178592</v>
      </c>
      <c r="H841" s="1352">
        <v>5800</v>
      </c>
      <c r="I841" s="1353">
        <v>41801</v>
      </c>
      <c r="J841" s="1354">
        <f>+K841-I841</f>
        <v>68</v>
      </c>
      <c r="K841" s="1355">
        <v>41869</v>
      </c>
      <c r="L841" s="1356" t="s">
        <v>124</v>
      </c>
      <c r="M841" s="1353">
        <v>41870</v>
      </c>
      <c r="N841" s="1354">
        <f t="shared" si="111"/>
        <v>8</v>
      </c>
      <c r="O841" s="1353">
        <v>41872</v>
      </c>
      <c r="P841" s="1357">
        <v>41877</v>
      </c>
      <c r="Q841" s="1438">
        <v>41882</v>
      </c>
      <c r="R841" s="1354">
        <f t="shared" si="112"/>
        <v>81</v>
      </c>
      <c r="S841" s="1358" t="s">
        <v>53</v>
      </c>
      <c r="T841" s="1359"/>
      <c r="U841" s="1360" t="str">
        <f t="shared" si="113"/>
        <v>atrasado</v>
      </c>
      <c r="V841" s="1130" t="str">
        <f t="shared" si="109"/>
        <v>Agosto</v>
      </c>
      <c r="W841" s="1128">
        <f t="shared" si="110"/>
        <v>0</v>
      </c>
    </row>
    <row r="842" spans="1:23" s="1461" customFormat="1" ht="54.95" customHeight="1" thickBot="1" x14ac:dyDescent="0.25">
      <c r="A842" s="1117">
        <v>2014</v>
      </c>
      <c r="B842" s="1117">
        <v>2014</v>
      </c>
      <c r="C842" s="1361" t="s">
        <v>5433</v>
      </c>
      <c r="D842" s="1145" t="s">
        <v>5434</v>
      </c>
      <c r="E842" s="1350" t="s">
        <v>5649</v>
      </c>
      <c r="F842" s="1350"/>
      <c r="G842" s="1351" t="s">
        <v>5650</v>
      </c>
      <c r="H842" s="1352">
        <v>48555</v>
      </c>
      <c r="I842" s="1353">
        <v>41806</v>
      </c>
      <c r="J842" s="1354">
        <v>70</v>
      </c>
      <c r="K842" s="1355">
        <f>+I842+J842</f>
        <v>41876</v>
      </c>
      <c r="L842" s="1356" t="s">
        <v>5458</v>
      </c>
      <c r="M842" s="1353">
        <v>41872</v>
      </c>
      <c r="N842" s="1354">
        <f t="shared" si="111"/>
        <v>0</v>
      </c>
      <c r="O842" s="1353"/>
      <c r="P842" s="1357">
        <v>41876</v>
      </c>
      <c r="Q842" s="1438">
        <v>41878</v>
      </c>
      <c r="R842" s="1354">
        <f t="shared" si="112"/>
        <v>72</v>
      </c>
      <c r="S842" s="1358" t="s">
        <v>6368</v>
      </c>
      <c r="T842" s="1359"/>
      <c r="U842" s="1360" t="str">
        <f t="shared" si="113"/>
        <v>en término</v>
      </c>
      <c r="V842" s="1130" t="str">
        <f t="shared" si="109"/>
        <v>Agosto</v>
      </c>
      <c r="W842" s="1128">
        <f t="shared" si="110"/>
        <v>1</v>
      </c>
    </row>
    <row r="843" spans="1:23" s="1461" customFormat="1" ht="54.95" customHeight="1" thickBot="1" x14ac:dyDescent="0.25">
      <c r="A843" s="1117">
        <v>2014</v>
      </c>
      <c r="B843" s="1117">
        <v>2014</v>
      </c>
      <c r="C843" s="1361" t="s">
        <v>5433</v>
      </c>
      <c r="D843" s="1145" t="s">
        <v>5434</v>
      </c>
      <c r="E843" s="1350" t="s">
        <v>5649</v>
      </c>
      <c r="F843" s="1350"/>
      <c r="G843" s="1351" t="s">
        <v>5650</v>
      </c>
      <c r="H843" s="1352">
        <v>59555</v>
      </c>
      <c r="I843" s="1353">
        <v>41806</v>
      </c>
      <c r="J843" s="1354">
        <v>100</v>
      </c>
      <c r="K843" s="1355">
        <f>+I843+J843</f>
        <v>41906</v>
      </c>
      <c r="L843" s="1356" t="s">
        <v>5458</v>
      </c>
      <c r="M843" s="1353">
        <v>41906</v>
      </c>
      <c r="N843" s="1354">
        <f t="shared" si="111"/>
        <v>14</v>
      </c>
      <c r="O843" s="1353"/>
      <c r="P843" s="1357">
        <v>41920</v>
      </c>
      <c r="Q843" s="1438">
        <v>41922</v>
      </c>
      <c r="R843" s="1354">
        <f t="shared" si="112"/>
        <v>116</v>
      </c>
      <c r="S843" s="1358" t="s">
        <v>6369</v>
      </c>
      <c r="T843" s="1359"/>
      <c r="U843" s="1360" t="str">
        <f t="shared" si="113"/>
        <v>atrasado</v>
      </c>
      <c r="V843" s="1130" t="str">
        <f t="shared" si="109"/>
        <v>Septiembre</v>
      </c>
      <c r="W843" s="1128">
        <f t="shared" si="110"/>
        <v>0</v>
      </c>
    </row>
    <row r="844" spans="1:23" s="1461" customFormat="1" ht="54.95" customHeight="1" thickBot="1" x14ac:dyDescent="0.25">
      <c r="A844" s="1117">
        <v>2014</v>
      </c>
      <c r="B844" s="1117">
        <v>2014</v>
      </c>
      <c r="C844" s="1361" t="s">
        <v>5433</v>
      </c>
      <c r="D844" s="1363" t="s">
        <v>5456</v>
      </c>
      <c r="E844" s="1350" t="s">
        <v>5652</v>
      </c>
      <c r="F844" s="1350"/>
      <c r="G844" s="1351">
        <v>4500184965</v>
      </c>
      <c r="H844" s="1352">
        <v>107315</v>
      </c>
      <c r="I844" s="1353">
        <v>41907</v>
      </c>
      <c r="J844" s="1354">
        <f>+K844-I844</f>
        <v>92</v>
      </c>
      <c r="K844" s="1355">
        <v>41999</v>
      </c>
      <c r="L844" s="1356" t="s">
        <v>124</v>
      </c>
      <c r="M844" s="1353">
        <v>41985</v>
      </c>
      <c r="N844" s="1354">
        <f t="shared" si="111"/>
        <v>-7</v>
      </c>
      <c r="O844" s="1353"/>
      <c r="P844" s="1357">
        <v>41992</v>
      </c>
      <c r="Q844" s="1438">
        <f>+P844+5</f>
        <v>41997</v>
      </c>
      <c r="R844" s="1354">
        <f t="shared" si="112"/>
        <v>90</v>
      </c>
      <c r="S844" s="1358" t="s">
        <v>6370</v>
      </c>
      <c r="T844" s="1359"/>
      <c r="U844" s="1360" t="str">
        <f t="shared" si="113"/>
        <v>en término</v>
      </c>
      <c r="V844" s="1130" t="str">
        <f t="shared" si="109"/>
        <v>Diciembre</v>
      </c>
      <c r="W844" s="1128">
        <f t="shared" si="110"/>
        <v>1</v>
      </c>
    </row>
    <row r="845" spans="1:23" s="1461" customFormat="1" ht="54.95" customHeight="1" thickBot="1" x14ac:dyDescent="0.25">
      <c r="A845" s="1117">
        <v>2014</v>
      </c>
      <c r="B845" s="1117">
        <v>2014</v>
      </c>
      <c r="C845" s="1361" t="s">
        <v>5433</v>
      </c>
      <c r="D845" s="1145" t="s">
        <v>5434</v>
      </c>
      <c r="E845" s="1350" t="s">
        <v>5654</v>
      </c>
      <c r="F845" s="1350"/>
      <c r="G845" s="1351" t="s">
        <v>5655</v>
      </c>
      <c r="H845" s="1352">
        <v>4295</v>
      </c>
      <c r="I845" s="1353">
        <v>41918</v>
      </c>
      <c r="J845" s="1354">
        <v>75</v>
      </c>
      <c r="K845" s="1355">
        <f>+I845+J845</f>
        <v>41993</v>
      </c>
      <c r="L845" s="1356" t="s">
        <v>5458</v>
      </c>
      <c r="M845" s="1353">
        <v>41989</v>
      </c>
      <c r="N845" s="1354">
        <f t="shared" si="111"/>
        <v>-4</v>
      </c>
      <c r="O845" s="1353"/>
      <c r="P845" s="1357">
        <v>41989</v>
      </c>
      <c r="Q845" s="1438">
        <v>41991</v>
      </c>
      <c r="R845" s="1354">
        <f t="shared" si="112"/>
        <v>73</v>
      </c>
      <c r="S845" s="1358" t="s">
        <v>2183</v>
      </c>
      <c r="T845" s="1359"/>
      <c r="U845" s="1360" t="str">
        <f t="shared" si="113"/>
        <v>en término</v>
      </c>
      <c r="V845" s="1130" t="str">
        <f t="shared" si="109"/>
        <v>Diciembre</v>
      </c>
      <c r="W845" s="1128">
        <f t="shared" si="110"/>
        <v>1</v>
      </c>
    </row>
    <row r="846" spans="1:23" s="1461" customFormat="1" ht="54.95" customHeight="1" thickBot="1" x14ac:dyDescent="0.25">
      <c r="A846" s="1117">
        <v>2014</v>
      </c>
      <c r="B846" s="1117">
        <v>2014</v>
      </c>
      <c r="C846" s="1361" t="s">
        <v>5433</v>
      </c>
      <c r="D846" s="1145" t="s">
        <v>5434</v>
      </c>
      <c r="E846" s="1350" t="s">
        <v>5656</v>
      </c>
      <c r="F846" s="1350"/>
      <c r="G846" s="1351" t="s">
        <v>5657</v>
      </c>
      <c r="H846" s="1352">
        <v>12420</v>
      </c>
      <c r="I846" s="1353">
        <v>41919</v>
      </c>
      <c r="J846" s="1354">
        <v>75</v>
      </c>
      <c r="K846" s="1355">
        <f>+I846+J846</f>
        <v>41994</v>
      </c>
      <c r="L846" s="1356" t="s">
        <v>5458</v>
      </c>
      <c r="M846" s="1353">
        <v>41989</v>
      </c>
      <c r="N846" s="1354">
        <f t="shared" si="111"/>
        <v>-5</v>
      </c>
      <c r="O846" s="1353"/>
      <c r="P846" s="1357">
        <v>41989</v>
      </c>
      <c r="Q846" s="1438">
        <v>41991</v>
      </c>
      <c r="R846" s="1354">
        <f t="shared" si="112"/>
        <v>72</v>
      </c>
      <c r="S846" s="1358" t="s">
        <v>2183</v>
      </c>
      <c r="T846" s="1359"/>
      <c r="U846" s="1360" t="str">
        <f t="shared" si="113"/>
        <v>en término</v>
      </c>
      <c r="V846" s="1130" t="str">
        <f t="shared" si="109"/>
        <v>Diciembre</v>
      </c>
      <c r="W846" s="1128">
        <f t="shared" si="110"/>
        <v>1</v>
      </c>
    </row>
    <row r="847" spans="1:23" s="1461" customFormat="1" ht="54.95" customHeight="1" thickBot="1" x14ac:dyDescent="0.25">
      <c r="A847" s="1117">
        <v>2014</v>
      </c>
      <c r="B847" s="1117">
        <v>2014</v>
      </c>
      <c r="C847" s="1361" t="s">
        <v>5433</v>
      </c>
      <c r="D847" s="1145" t="s">
        <v>5434</v>
      </c>
      <c r="E847" s="1350" t="s">
        <v>5658</v>
      </c>
      <c r="F847" s="1350"/>
      <c r="G847" s="1351" t="s">
        <v>5659</v>
      </c>
      <c r="H847" s="1352">
        <v>29700</v>
      </c>
      <c r="I847" s="1353">
        <v>41919</v>
      </c>
      <c r="J847" s="1354">
        <v>75</v>
      </c>
      <c r="K847" s="1355">
        <f>+I847+J847</f>
        <v>41994</v>
      </c>
      <c r="L847" s="1356" t="s">
        <v>5458</v>
      </c>
      <c r="M847" s="1353">
        <v>41989</v>
      </c>
      <c r="N847" s="1354">
        <f t="shared" si="111"/>
        <v>-5</v>
      </c>
      <c r="O847" s="1353"/>
      <c r="P847" s="1357">
        <v>41989</v>
      </c>
      <c r="Q847" s="1438">
        <v>41991</v>
      </c>
      <c r="R847" s="1354">
        <f t="shared" si="112"/>
        <v>72</v>
      </c>
      <c r="S847" s="1358" t="s">
        <v>2183</v>
      </c>
      <c r="T847" s="1359"/>
      <c r="U847" s="1360" t="str">
        <f t="shared" si="113"/>
        <v>en término</v>
      </c>
      <c r="V847" s="1130" t="str">
        <f t="shared" si="109"/>
        <v>Diciembre</v>
      </c>
      <c r="W847" s="1128">
        <f t="shared" si="110"/>
        <v>1</v>
      </c>
    </row>
    <row r="848" spans="1:23" s="1461" customFormat="1" ht="54.95" customHeight="1" thickBot="1" x14ac:dyDescent="0.25">
      <c r="A848" s="1117">
        <v>2014</v>
      </c>
      <c r="B848" s="1117">
        <v>2014</v>
      </c>
      <c r="C848" s="1361" t="s">
        <v>120</v>
      </c>
      <c r="D848" s="1363" t="s">
        <v>121</v>
      </c>
      <c r="E848" s="1350" t="s">
        <v>5250</v>
      </c>
      <c r="F848" s="1350"/>
      <c r="G848" s="1351">
        <v>47956</v>
      </c>
      <c r="H848" s="1352">
        <v>24137.5</v>
      </c>
      <c r="I848" s="1353">
        <v>41738</v>
      </c>
      <c r="J848" s="1354">
        <f>+K848-I848</f>
        <v>110</v>
      </c>
      <c r="K848" s="1355">
        <v>41848</v>
      </c>
      <c r="L848" s="1356" t="s">
        <v>124</v>
      </c>
      <c r="M848" s="1353">
        <v>41838</v>
      </c>
      <c r="N848" s="1354">
        <f t="shared" si="111"/>
        <v>12</v>
      </c>
      <c r="O848" s="1353">
        <v>41851</v>
      </c>
      <c r="P848" s="1357">
        <v>41860</v>
      </c>
      <c r="Q848" s="1355">
        <v>41933</v>
      </c>
      <c r="R848" s="1354">
        <f t="shared" si="112"/>
        <v>195</v>
      </c>
      <c r="S848" s="1358" t="s">
        <v>53</v>
      </c>
      <c r="T848" s="1359"/>
      <c r="U848" s="1360" t="str">
        <f t="shared" si="113"/>
        <v>atrasado</v>
      </c>
      <c r="V848" s="1130" t="str">
        <f t="shared" si="109"/>
        <v>Julio</v>
      </c>
      <c r="W848" s="1128">
        <f t="shared" si="110"/>
        <v>0</v>
      </c>
    </row>
    <row r="849" spans="1:23" s="1461" customFormat="1" ht="54.95" customHeight="1" thickBot="1" x14ac:dyDescent="0.25">
      <c r="A849" s="1117">
        <v>2014</v>
      </c>
      <c r="B849" s="1117">
        <v>2014</v>
      </c>
      <c r="C849" s="1361" t="s">
        <v>114</v>
      </c>
      <c r="D849" s="1363" t="s">
        <v>115</v>
      </c>
      <c r="E849" s="1350" t="s">
        <v>4811</v>
      </c>
      <c r="F849" s="1350"/>
      <c r="G849" s="1435" t="s">
        <v>4812</v>
      </c>
      <c r="H849" s="1352">
        <v>19300</v>
      </c>
      <c r="I849" s="1353">
        <v>41604</v>
      </c>
      <c r="J849" s="1354">
        <f>+K849-I849</f>
        <v>101</v>
      </c>
      <c r="K849" s="1355">
        <v>41705</v>
      </c>
      <c r="L849" s="1356" t="s">
        <v>124</v>
      </c>
      <c r="M849" s="1353">
        <v>41670</v>
      </c>
      <c r="N849" s="1354">
        <f t="shared" si="111"/>
        <v>-18</v>
      </c>
      <c r="O849" s="1353">
        <v>41677</v>
      </c>
      <c r="P849" s="1438">
        <v>41687</v>
      </c>
      <c r="Q849" s="1355">
        <f>+P849+30</f>
        <v>41717</v>
      </c>
      <c r="R849" s="1354">
        <f t="shared" si="112"/>
        <v>113</v>
      </c>
      <c r="S849" s="1358" t="s">
        <v>965</v>
      </c>
      <c r="T849" s="1359"/>
      <c r="U849" s="1360" t="str">
        <f t="shared" si="113"/>
        <v>en término</v>
      </c>
      <c r="V849" s="1130" t="str">
        <f t="shared" si="109"/>
        <v>Enero</v>
      </c>
      <c r="W849" s="1128">
        <f t="shared" si="110"/>
        <v>1</v>
      </c>
    </row>
    <row r="850" spans="1:23" s="1461" customFormat="1" ht="54.95" customHeight="1" thickBot="1" x14ac:dyDescent="0.25">
      <c r="A850" s="1117">
        <v>2014</v>
      </c>
      <c r="B850" s="1117">
        <v>2014</v>
      </c>
      <c r="C850" s="1361" t="s">
        <v>114</v>
      </c>
      <c r="D850" s="1363" t="s">
        <v>115</v>
      </c>
      <c r="E850" s="1350" t="s">
        <v>4815</v>
      </c>
      <c r="F850" s="1350"/>
      <c r="G850" s="1435" t="s">
        <v>4816</v>
      </c>
      <c r="H850" s="1352">
        <v>38495.4</v>
      </c>
      <c r="I850" s="1353">
        <v>41830</v>
      </c>
      <c r="J850" s="1354">
        <v>90</v>
      </c>
      <c r="K850" s="1355">
        <f>+I850+J850</f>
        <v>41920</v>
      </c>
      <c r="L850" s="1356" t="s">
        <v>124</v>
      </c>
      <c r="M850" s="1353">
        <v>41912</v>
      </c>
      <c r="N850" s="1354">
        <f t="shared" si="111"/>
        <v>34</v>
      </c>
      <c r="O850" s="1353">
        <v>41942</v>
      </c>
      <c r="P850" s="1438">
        <v>41954</v>
      </c>
      <c r="Q850" s="1355">
        <f>+P850+25</f>
        <v>41979</v>
      </c>
      <c r="R850" s="1354">
        <f t="shared" si="112"/>
        <v>149</v>
      </c>
      <c r="S850" s="1358" t="s">
        <v>1193</v>
      </c>
      <c r="T850" s="1359"/>
      <c r="U850" s="1360" t="str">
        <f t="shared" si="113"/>
        <v>atrasado</v>
      </c>
      <c r="V850" s="1130" t="str">
        <f t="shared" si="109"/>
        <v>Septiembre</v>
      </c>
      <c r="W850" s="1128">
        <f t="shared" si="110"/>
        <v>0</v>
      </c>
    </row>
    <row r="851" spans="1:23" s="1461" customFormat="1" ht="54.95" customHeight="1" thickBot="1" x14ac:dyDescent="0.25">
      <c r="A851" s="1117">
        <v>2014</v>
      </c>
      <c r="B851" s="1117">
        <v>2014</v>
      </c>
      <c r="C851" s="1361" t="s">
        <v>4661</v>
      </c>
      <c r="D851" s="1433" t="s">
        <v>4679</v>
      </c>
      <c r="E851" s="1350" t="s">
        <v>4688</v>
      </c>
      <c r="F851" s="1350"/>
      <c r="G851" s="1351">
        <v>14060001</v>
      </c>
      <c r="H851" s="1352">
        <v>3120</v>
      </c>
      <c r="I851" s="1353">
        <v>41788</v>
      </c>
      <c r="J851" s="1354">
        <v>40</v>
      </c>
      <c r="K851" s="1355">
        <f>+I851+J851</f>
        <v>41828</v>
      </c>
      <c r="L851" s="1356" t="s">
        <v>124</v>
      </c>
      <c r="M851" s="1353">
        <v>41824</v>
      </c>
      <c r="N851" s="1354">
        <f t="shared" si="111"/>
        <v>35</v>
      </c>
      <c r="O851" s="1353"/>
      <c r="P851" s="1357">
        <v>41863</v>
      </c>
      <c r="Q851" s="1355">
        <v>41869</v>
      </c>
      <c r="R851" s="1354">
        <f t="shared" si="112"/>
        <v>81</v>
      </c>
      <c r="S851" s="1358" t="s">
        <v>4689</v>
      </c>
      <c r="T851" s="1359" t="s">
        <v>4691</v>
      </c>
      <c r="U851" s="1360" t="str">
        <f t="shared" si="113"/>
        <v>atrasado</v>
      </c>
      <c r="V851" s="1130" t="str">
        <f t="shared" si="109"/>
        <v>Julio</v>
      </c>
      <c r="W851" s="1128">
        <f t="shared" si="110"/>
        <v>0</v>
      </c>
    </row>
    <row r="852" spans="1:23" s="1461" customFormat="1" ht="54.95" customHeight="1" thickBot="1" x14ac:dyDescent="0.25">
      <c r="A852" s="1117">
        <v>2014</v>
      </c>
      <c r="B852" s="1117">
        <v>2014</v>
      </c>
      <c r="C852" s="1361" t="s">
        <v>78</v>
      </c>
      <c r="D852" s="1363" t="s">
        <v>3165</v>
      </c>
      <c r="E852" s="1350" t="s">
        <v>3839</v>
      </c>
      <c r="F852" s="1350"/>
      <c r="G852" s="1435">
        <v>609441</v>
      </c>
      <c r="H852" s="1352">
        <v>209499.63</v>
      </c>
      <c r="I852" s="1353">
        <v>41641</v>
      </c>
      <c r="J852" s="1354">
        <f t="shared" ref="J852:J857" si="114">+K852-I852</f>
        <v>67</v>
      </c>
      <c r="K852" s="1355">
        <v>41708</v>
      </c>
      <c r="L852" s="1356" t="s">
        <v>124</v>
      </c>
      <c r="M852" s="1353">
        <v>41674</v>
      </c>
      <c r="N852" s="1354">
        <f t="shared" si="111"/>
        <v>-20</v>
      </c>
      <c r="O852" s="1353">
        <v>41681</v>
      </c>
      <c r="P852" s="1438">
        <v>41688</v>
      </c>
      <c r="Q852" s="1355">
        <v>41711</v>
      </c>
      <c r="R852" s="1354">
        <f t="shared" si="112"/>
        <v>70</v>
      </c>
      <c r="S852" s="1358" t="s">
        <v>6368</v>
      </c>
      <c r="T852" s="1359"/>
      <c r="U852" s="1360" t="str">
        <f t="shared" si="113"/>
        <v>en término</v>
      </c>
      <c r="V852" s="1130" t="str">
        <f t="shared" si="109"/>
        <v>Febrero</v>
      </c>
      <c r="W852" s="1128">
        <f t="shared" si="110"/>
        <v>1</v>
      </c>
    </row>
    <row r="853" spans="1:23" s="1461" customFormat="1" ht="54.95" customHeight="1" thickBot="1" x14ac:dyDescent="0.25">
      <c r="A853" s="1117">
        <v>2014</v>
      </c>
      <c r="B853" s="1117">
        <v>2014</v>
      </c>
      <c r="C853" s="1361" t="s">
        <v>78</v>
      </c>
      <c r="D853" s="1363" t="s">
        <v>3165</v>
      </c>
      <c r="E853" s="1350" t="s">
        <v>3842</v>
      </c>
      <c r="F853" s="1350"/>
      <c r="G853" s="1435">
        <v>610290</v>
      </c>
      <c r="H853" s="1352">
        <v>986545.34</v>
      </c>
      <c r="I853" s="1353">
        <v>41680</v>
      </c>
      <c r="J853" s="1354">
        <f t="shared" si="114"/>
        <v>57</v>
      </c>
      <c r="K853" s="1355">
        <v>41737</v>
      </c>
      <c r="L853" s="1356" t="s">
        <v>124</v>
      </c>
      <c r="M853" s="1353">
        <v>41711</v>
      </c>
      <c r="N853" s="1354">
        <f t="shared" si="111"/>
        <v>-19</v>
      </c>
      <c r="O853" s="1353">
        <v>41717</v>
      </c>
      <c r="P853" s="1438">
        <v>41718</v>
      </c>
      <c r="Q853" s="1355">
        <v>41741</v>
      </c>
      <c r="R853" s="1354">
        <f t="shared" si="112"/>
        <v>61</v>
      </c>
      <c r="S853" s="1358" t="s">
        <v>6371</v>
      </c>
      <c r="T853" s="1359"/>
      <c r="U853" s="1360" t="str">
        <f t="shared" si="113"/>
        <v>en término</v>
      </c>
      <c r="V853" s="1130" t="str">
        <f t="shared" si="109"/>
        <v>Marzo</v>
      </c>
      <c r="W853" s="1128">
        <f t="shared" si="110"/>
        <v>1</v>
      </c>
    </row>
    <row r="854" spans="1:23" s="1461" customFormat="1" ht="54.95" customHeight="1" thickBot="1" x14ac:dyDescent="0.25">
      <c r="A854" s="1117">
        <v>2014</v>
      </c>
      <c r="B854" s="1117">
        <v>2014</v>
      </c>
      <c r="C854" s="1361" t="s">
        <v>78</v>
      </c>
      <c r="D854" s="1363" t="s">
        <v>3165</v>
      </c>
      <c r="E854" s="1350" t="s">
        <v>3839</v>
      </c>
      <c r="F854" s="1350"/>
      <c r="G854" s="1435">
        <v>609441</v>
      </c>
      <c r="H854" s="1352">
        <v>333096.25</v>
      </c>
      <c r="I854" s="1353">
        <v>41641</v>
      </c>
      <c r="J854" s="1354">
        <f t="shared" si="114"/>
        <v>123</v>
      </c>
      <c r="K854" s="1355">
        <v>41764</v>
      </c>
      <c r="L854" s="1356" t="s">
        <v>124</v>
      </c>
      <c r="M854" s="1353">
        <v>41774</v>
      </c>
      <c r="N854" s="1354">
        <f t="shared" si="111"/>
        <v>18</v>
      </c>
      <c r="O854" s="1353">
        <v>41780</v>
      </c>
      <c r="P854" s="1438">
        <v>41782</v>
      </c>
      <c r="Q854" s="1355">
        <v>41803</v>
      </c>
      <c r="R854" s="1354">
        <f t="shared" si="112"/>
        <v>162</v>
      </c>
      <c r="S854" s="1358" t="s">
        <v>6369</v>
      </c>
      <c r="T854" s="1359"/>
      <c r="U854" s="1360" t="str">
        <f t="shared" si="113"/>
        <v>atrasado</v>
      </c>
      <c r="V854" s="1130" t="str">
        <f t="shared" si="109"/>
        <v>Mayo</v>
      </c>
      <c r="W854" s="1128">
        <f t="shared" si="110"/>
        <v>0</v>
      </c>
    </row>
    <row r="855" spans="1:23" s="1461" customFormat="1" ht="54.95" customHeight="1" thickBot="1" x14ac:dyDescent="0.25">
      <c r="A855" s="1117">
        <v>2014</v>
      </c>
      <c r="B855" s="1117">
        <v>2014</v>
      </c>
      <c r="C855" s="1361" t="s">
        <v>78</v>
      </c>
      <c r="D855" s="1363" t="s">
        <v>3165</v>
      </c>
      <c r="E855" s="1350" t="s">
        <v>3850</v>
      </c>
      <c r="F855" s="1350"/>
      <c r="G855" s="1435">
        <v>610276</v>
      </c>
      <c r="H855" s="1352">
        <v>531484.9</v>
      </c>
      <c r="I855" s="1353">
        <v>41680</v>
      </c>
      <c r="J855" s="1354">
        <f t="shared" si="114"/>
        <v>84</v>
      </c>
      <c r="K855" s="1355">
        <v>41764</v>
      </c>
      <c r="L855" s="1356" t="s">
        <v>124</v>
      </c>
      <c r="M855" s="1353">
        <v>41774</v>
      </c>
      <c r="N855" s="1354">
        <f t="shared" si="111"/>
        <v>18</v>
      </c>
      <c r="O855" s="1353">
        <v>41780</v>
      </c>
      <c r="P855" s="1438">
        <v>41782</v>
      </c>
      <c r="Q855" s="1355">
        <v>41803</v>
      </c>
      <c r="R855" s="1354">
        <f t="shared" si="112"/>
        <v>123</v>
      </c>
      <c r="S855" s="1358" t="s">
        <v>2183</v>
      </c>
      <c r="T855" s="1359"/>
      <c r="U855" s="1360" t="str">
        <f t="shared" si="113"/>
        <v>atrasado</v>
      </c>
      <c r="V855" s="1130" t="str">
        <f t="shared" si="109"/>
        <v>Mayo</v>
      </c>
      <c r="W855" s="1128">
        <f t="shared" si="110"/>
        <v>0</v>
      </c>
    </row>
    <row r="856" spans="1:23" s="1461" customFormat="1" ht="54.95" customHeight="1" thickBot="1" x14ac:dyDescent="0.25">
      <c r="A856" s="1117">
        <v>2014</v>
      </c>
      <c r="B856" s="1117">
        <v>2014</v>
      </c>
      <c r="C856" s="1361" t="s">
        <v>78</v>
      </c>
      <c r="D856" s="1363" t="s">
        <v>3165</v>
      </c>
      <c r="E856" s="1350" t="s">
        <v>3842</v>
      </c>
      <c r="F856" s="1350"/>
      <c r="G856" s="1435">
        <v>610290</v>
      </c>
      <c r="H856" s="1352">
        <v>557651.72</v>
      </c>
      <c r="I856" s="1353">
        <v>41680</v>
      </c>
      <c r="J856" s="1354">
        <f t="shared" si="114"/>
        <v>95</v>
      </c>
      <c r="K856" s="1355">
        <v>41775</v>
      </c>
      <c r="L856" s="1356" t="s">
        <v>124</v>
      </c>
      <c r="M856" s="1353">
        <v>41774</v>
      </c>
      <c r="N856" s="1354">
        <f t="shared" si="111"/>
        <v>7</v>
      </c>
      <c r="O856" s="1353">
        <v>41780</v>
      </c>
      <c r="P856" s="1438">
        <v>41782</v>
      </c>
      <c r="Q856" s="1355">
        <v>41803</v>
      </c>
      <c r="R856" s="1354">
        <f t="shared" si="112"/>
        <v>123</v>
      </c>
      <c r="S856" s="1358" t="s">
        <v>6372</v>
      </c>
      <c r="T856" s="1359"/>
      <c r="U856" s="1360" t="str">
        <f t="shared" si="113"/>
        <v>atrasado</v>
      </c>
      <c r="V856" s="1130" t="str">
        <f t="shared" si="109"/>
        <v>Mayo</v>
      </c>
      <c r="W856" s="1128">
        <f t="shared" si="110"/>
        <v>0</v>
      </c>
    </row>
    <row r="857" spans="1:23" s="1461" customFormat="1" ht="54.95" customHeight="1" thickBot="1" x14ac:dyDescent="0.25">
      <c r="A857" s="1117">
        <v>2014</v>
      </c>
      <c r="B857" s="1117">
        <v>2014</v>
      </c>
      <c r="C857" s="1361" t="s">
        <v>78</v>
      </c>
      <c r="D857" s="1363" t="s">
        <v>3165</v>
      </c>
      <c r="E857" s="1350" t="s">
        <v>3852</v>
      </c>
      <c r="F857" s="1350"/>
      <c r="G857" s="1435">
        <v>610935</v>
      </c>
      <c r="H857" s="1352">
        <v>2590.12</v>
      </c>
      <c r="I857" s="1353">
        <v>41701</v>
      </c>
      <c r="J857" s="1354">
        <f t="shared" si="114"/>
        <v>98</v>
      </c>
      <c r="K857" s="1355">
        <v>41799</v>
      </c>
      <c r="L857" s="1356" t="s">
        <v>124</v>
      </c>
      <c r="M857" s="1353">
        <v>41774</v>
      </c>
      <c r="N857" s="1354">
        <f t="shared" si="111"/>
        <v>-17</v>
      </c>
      <c r="O857" s="1353">
        <v>41780</v>
      </c>
      <c r="P857" s="1438">
        <v>41782</v>
      </c>
      <c r="Q857" s="1355">
        <v>41803</v>
      </c>
      <c r="R857" s="1354">
        <f t="shared" si="112"/>
        <v>102</v>
      </c>
      <c r="S857" s="1358" t="s">
        <v>2183</v>
      </c>
      <c r="T857" s="1359"/>
      <c r="U857" s="1360" t="str">
        <f t="shared" si="113"/>
        <v>en término</v>
      </c>
      <c r="V857" s="1130" t="str">
        <f t="shared" si="109"/>
        <v>Mayo</v>
      </c>
      <c r="W857" s="1128">
        <f t="shared" si="110"/>
        <v>1</v>
      </c>
    </row>
    <row r="858" spans="1:23" s="1461" customFormat="1" ht="54.95" customHeight="1" thickBot="1" x14ac:dyDescent="0.25">
      <c r="A858" s="1117">
        <v>2014</v>
      </c>
      <c r="B858" s="1117">
        <v>2014</v>
      </c>
      <c r="C858" s="1361" t="s">
        <v>78</v>
      </c>
      <c r="D858" s="1363" t="s">
        <v>79</v>
      </c>
      <c r="E858" s="1350" t="s">
        <v>3854</v>
      </c>
      <c r="F858" s="1350"/>
      <c r="G858" s="1435" t="s">
        <v>3855</v>
      </c>
      <c r="H858" s="1352">
        <v>14073.6</v>
      </c>
      <c r="I858" s="1353">
        <v>41745</v>
      </c>
      <c r="J858" s="1354">
        <v>90</v>
      </c>
      <c r="K858" s="1355">
        <f>+I858+J858</f>
        <v>41835</v>
      </c>
      <c r="L858" s="1356" t="s">
        <v>124</v>
      </c>
      <c r="M858" s="1353">
        <v>41830</v>
      </c>
      <c r="N858" s="1354">
        <f t="shared" si="111"/>
        <v>7</v>
      </c>
      <c r="O858" s="1353"/>
      <c r="P858" s="1438">
        <v>41842</v>
      </c>
      <c r="Q858" s="1355">
        <v>41844</v>
      </c>
      <c r="R858" s="1354">
        <f t="shared" si="112"/>
        <v>99</v>
      </c>
      <c r="S858" s="1358" t="s">
        <v>2183</v>
      </c>
      <c r="T858" s="1359"/>
      <c r="U858" s="1360" t="str">
        <f t="shared" si="113"/>
        <v>atrasado</v>
      </c>
      <c r="V858" s="1130" t="str">
        <f t="shared" si="109"/>
        <v>Julio</v>
      </c>
      <c r="W858" s="1128">
        <f t="shared" si="110"/>
        <v>0</v>
      </c>
    </row>
    <row r="859" spans="1:23" s="1461" customFormat="1" ht="54.95" customHeight="1" thickBot="1" x14ac:dyDescent="0.25">
      <c r="A859" s="1117">
        <v>2014</v>
      </c>
      <c r="B859" s="1117">
        <v>2014</v>
      </c>
      <c r="C859" s="1361" t="s">
        <v>78</v>
      </c>
      <c r="D859" s="1363" t="s">
        <v>3165</v>
      </c>
      <c r="E859" s="1350" t="s">
        <v>3856</v>
      </c>
      <c r="F859" s="1350"/>
      <c r="G859" s="1435">
        <v>612453</v>
      </c>
      <c r="H859" s="1352">
        <v>35111.46</v>
      </c>
      <c r="I859" s="1353">
        <v>41765</v>
      </c>
      <c r="J859" s="1354">
        <f>+K859-I859</f>
        <v>90</v>
      </c>
      <c r="K859" s="1355">
        <v>41855</v>
      </c>
      <c r="L859" s="1356" t="s">
        <v>124</v>
      </c>
      <c r="M859" s="1353">
        <v>41838</v>
      </c>
      <c r="N859" s="1354">
        <f t="shared" si="111"/>
        <v>2</v>
      </c>
      <c r="O859" s="1353">
        <v>41856</v>
      </c>
      <c r="P859" s="1438">
        <v>41857</v>
      </c>
      <c r="Q859" s="1355">
        <f>+P859+20</f>
        <v>41877</v>
      </c>
      <c r="R859" s="1354">
        <f t="shared" si="112"/>
        <v>112</v>
      </c>
      <c r="S859" s="1358" t="s">
        <v>53</v>
      </c>
      <c r="T859" s="1359"/>
      <c r="U859" s="1360" t="str">
        <f t="shared" si="113"/>
        <v>atrasado</v>
      </c>
      <c r="V859" s="1130" t="str">
        <f t="shared" si="109"/>
        <v>Julio</v>
      </c>
      <c r="W859" s="1128">
        <f t="shared" si="110"/>
        <v>0</v>
      </c>
    </row>
    <row r="860" spans="1:23" s="1461" customFormat="1" ht="54.95" customHeight="1" thickBot="1" x14ac:dyDescent="0.25">
      <c r="A860" s="1117">
        <v>2014</v>
      </c>
      <c r="B860" s="1117">
        <v>2014</v>
      </c>
      <c r="C860" s="1361" t="s">
        <v>78</v>
      </c>
      <c r="D860" s="1363" t="s">
        <v>3165</v>
      </c>
      <c r="E860" s="1350" t="s">
        <v>3842</v>
      </c>
      <c r="F860" s="1350"/>
      <c r="G860" s="1435">
        <v>610290</v>
      </c>
      <c r="H860" s="1352">
        <v>20619.099999999999</v>
      </c>
      <c r="I860" s="1353">
        <v>41680</v>
      </c>
      <c r="J860" s="1354">
        <f>+K860-I860</f>
        <v>95</v>
      </c>
      <c r="K860" s="1355">
        <v>41775</v>
      </c>
      <c r="L860" s="1356" t="s">
        <v>124</v>
      </c>
      <c r="M860" s="1353">
        <v>41838</v>
      </c>
      <c r="N860" s="1354">
        <f t="shared" si="111"/>
        <v>82</v>
      </c>
      <c r="O860" s="1353">
        <v>41856</v>
      </c>
      <c r="P860" s="1438">
        <v>41857</v>
      </c>
      <c r="Q860" s="1355">
        <f>+P860+20</f>
        <v>41877</v>
      </c>
      <c r="R860" s="1354">
        <f t="shared" si="112"/>
        <v>197</v>
      </c>
      <c r="S860" s="1358" t="s">
        <v>6373</v>
      </c>
      <c r="T860" s="1359"/>
      <c r="U860" s="1360" t="str">
        <f t="shared" si="113"/>
        <v>atrasado</v>
      </c>
      <c r="V860" s="1130" t="str">
        <f t="shared" si="109"/>
        <v>Julio</v>
      </c>
      <c r="W860" s="1128">
        <f t="shared" si="110"/>
        <v>0</v>
      </c>
    </row>
    <row r="861" spans="1:23" s="1461" customFormat="1" ht="54.95" customHeight="1" thickBot="1" x14ac:dyDescent="0.25">
      <c r="A861" s="1117">
        <v>2014</v>
      </c>
      <c r="B861" s="1117">
        <v>2014</v>
      </c>
      <c r="C861" s="1361" t="s">
        <v>78</v>
      </c>
      <c r="D861" s="1363" t="s">
        <v>3165</v>
      </c>
      <c r="E861" s="1350" t="s">
        <v>3860</v>
      </c>
      <c r="F861" s="1350"/>
      <c r="G861" s="1435">
        <v>612456</v>
      </c>
      <c r="H861" s="1352">
        <v>66090</v>
      </c>
      <c r="I861" s="1353">
        <v>41765</v>
      </c>
      <c r="J861" s="1354">
        <f>+K861-I861</f>
        <v>92</v>
      </c>
      <c r="K861" s="1355">
        <v>41857</v>
      </c>
      <c r="L861" s="1356" t="s">
        <v>124</v>
      </c>
      <c r="M861" s="1353">
        <v>41838</v>
      </c>
      <c r="N861" s="1354">
        <f t="shared" si="111"/>
        <v>0</v>
      </c>
      <c r="O861" s="1353">
        <v>41856</v>
      </c>
      <c r="P861" s="1438">
        <v>41857</v>
      </c>
      <c r="Q861" s="1355">
        <f>+P861+20</f>
        <v>41877</v>
      </c>
      <c r="R861" s="1354">
        <f t="shared" si="112"/>
        <v>112</v>
      </c>
      <c r="S861" s="1358" t="s">
        <v>53</v>
      </c>
      <c r="T861" s="1359"/>
      <c r="U861" s="1360" t="str">
        <f t="shared" si="113"/>
        <v>en término</v>
      </c>
      <c r="V861" s="1130" t="str">
        <f t="shared" si="109"/>
        <v>Julio</v>
      </c>
      <c r="W861" s="1128">
        <f t="shared" si="110"/>
        <v>1</v>
      </c>
    </row>
    <row r="862" spans="1:23" s="1461" customFormat="1" ht="54.95" customHeight="1" thickBot="1" x14ac:dyDescent="0.25">
      <c r="A862" s="1117">
        <v>2014</v>
      </c>
      <c r="B862" s="1117">
        <v>2014</v>
      </c>
      <c r="C862" s="1361" t="s">
        <v>78</v>
      </c>
      <c r="D862" s="1363" t="s">
        <v>79</v>
      </c>
      <c r="E862" s="1350" t="s">
        <v>3861</v>
      </c>
      <c r="F862" s="1350"/>
      <c r="G862" s="1435" t="s">
        <v>3862</v>
      </c>
      <c r="H862" s="1352">
        <v>12585</v>
      </c>
      <c r="I862" s="1353">
        <v>41785</v>
      </c>
      <c r="J862" s="1354">
        <v>60</v>
      </c>
      <c r="K862" s="1355">
        <f>+I862+J862</f>
        <v>41845</v>
      </c>
      <c r="L862" s="1356" t="s">
        <v>124</v>
      </c>
      <c r="M862" s="1353">
        <v>41845</v>
      </c>
      <c r="N862" s="1354">
        <f t="shared" si="111"/>
        <v>7</v>
      </c>
      <c r="O862" s="1353">
        <v>41855</v>
      </c>
      <c r="P862" s="1438">
        <v>41852</v>
      </c>
      <c r="Q862" s="1355">
        <f>+P862+5</f>
        <v>41857</v>
      </c>
      <c r="R862" s="1354">
        <f t="shared" si="112"/>
        <v>72</v>
      </c>
      <c r="S862" s="1358" t="s">
        <v>119</v>
      </c>
      <c r="T862" s="1359"/>
      <c r="U862" s="1360" t="str">
        <f t="shared" si="113"/>
        <v>atrasado</v>
      </c>
      <c r="V862" s="1130" t="str">
        <f t="shared" si="109"/>
        <v>Julio</v>
      </c>
      <c r="W862" s="1128">
        <f t="shared" si="110"/>
        <v>0</v>
      </c>
    </row>
    <row r="863" spans="1:23" s="1461" customFormat="1" ht="54.95" customHeight="1" thickBot="1" x14ac:dyDescent="0.25">
      <c r="A863" s="1117">
        <v>2014</v>
      </c>
      <c r="B863" s="1117">
        <v>2014</v>
      </c>
      <c r="C863" s="1361" t="s">
        <v>78</v>
      </c>
      <c r="D863" s="1363" t="s">
        <v>3165</v>
      </c>
      <c r="E863" s="1350" t="s">
        <v>3863</v>
      </c>
      <c r="F863" s="1350"/>
      <c r="G863" s="1435">
        <v>615971</v>
      </c>
      <c r="H863" s="1352">
        <v>6611</v>
      </c>
      <c r="I863" s="1353">
        <v>41865</v>
      </c>
      <c r="J863" s="1354">
        <f>+K863-I863</f>
        <v>90</v>
      </c>
      <c r="K863" s="1355">
        <v>41955</v>
      </c>
      <c r="L863" s="1356" t="s">
        <v>124</v>
      </c>
      <c r="M863" s="1353">
        <v>41947</v>
      </c>
      <c r="N863" s="1354">
        <f t="shared" si="111"/>
        <v>25</v>
      </c>
      <c r="O863" s="1353">
        <v>41969</v>
      </c>
      <c r="P863" s="1438">
        <v>41980</v>
      </c>
      <c r="Q863" s="1355">
        <f>+P863+30</f>
        <v>42010</v>
      </c>
      <c r="R863" s="1354">
        <f t="shared" si="112"/>
        <v>145</v>
      </c>
      <c r="S863" s="1358" t="s">
        <v>53</v>
      </c>
      <c r="T863" s="1359"/>
      <c r="U863" s="1360" t="str">
        <f t="shared" si="113"/>
        <v>atrasado</v>
      </c>
      <c r="V863" s="1130" t="str">
        <f t="shared" si="109"/>
        <v>Noviembre</v>
      </c>
      <c r="W863" s="1128">
        <f t="shared" si="110"/>
        <v>0</v>
      </c>
    </row>
    <row r="864" spans="1:23" s="1461" customFormat="1" ht="54.95" customHeight="1" thickBot="1" x14ac:dyDescent="0.25">
      <c r="A864" s="1117">
        <v>2014</v>
      </c>
      <c r="B864" s="1117">
        <v>2014</v>
      </c>
      <c r="C864" s="1436" t="s">
        <v>36</v>
      </c>
      <c r="D864" s="1363" t="s">
        <v>37</v>
      </c>
      <c r="E864" s="1350" t="s">
        <v>2900</v>
      </c>
      <c r="F864" s="1437" t="s">
        <v>2901</v>
      </c>
      <c r="G864" s="1351">
        <v>13110004</v>
      </c>
      <c r="H864" s="1352">
        <v>62000</v>
      </c>
      <c r="I864" s="1353">
        <v>41605</v>
      </c>
      <c r="J864" s="1354">
        <v>60</v>
      </c>
      <c r="K864" s="1353">
        <f>+I864+J864</f>
        <v>41665</v>
      </c>
      <c r="L864" s="1353" t="s">
        <v>41</v>
      </c>
      <c r="M864" s="1353">
        <v>41652</v>
      </c>
      <c r="N864" s="1354">
        <f t="shared" si="111"/>
        <v>-3</v>
      </c>
      <c r="O864" s="1427">
        <v>41661</v>
      </c>
      <c r="P864" s="1438">
        <v>41662</v>
      </c>
      <c r="Q864" s="1355">
        <v>41678</v>
      </c>
      <c r="R864" s="1354">
        <f t="shared" si="112"/>
        <v>73</v>
      </c>
      <c r="S864" s="1354" t="s">
        <v>53</v>
      </c>
      <c r="T864" s="1370"/>
      <c r="U864" s="1358" t="str">
        <f t="shared" si="113"/>
        <v>en término</v>
      </c>
      <c r="V864" s="1130" t="str">
        <f t="shared" si="109"/>
        <v>Enero</v>
      </c>
      <c r="W864" s="1128">
        <f t="shared" si="110"/>
        <v>1</v>
      </c>
    </row>
    <row r="865" spans="1:23" s="1461" customFormat="1" ht="54.95" customHeight="1" thickBot="1" x14ac:dyDescent="0.25">
      <c r="A865" s="1117">
        <v>2014</v>
      </c>
      <c r="B865" s="1117">
        <v>2014</v>
      </c>
      <c r="C865" s="1436" t="s">
        <v>36</v>
      </c>
      <c r="D865" s="1363" t="s">
        <v>37</v>
      </c>
      <c r="E865" s="1350" t="s">
        <v>2905</v>
      </c>
      <c r="F865" s="1437" t="s">
        <v>2906</v>
      </c>
      <c r="G865" s="1351">
        <v>13120003</v>
      </c>
      <c r="H865" s="1352">
        <v>4400</v>
      </c>
      <c r="I865" s="1353">
        <v>41618</v>
      </c>
      <c r="J865" s="1354">
        <v>70</v>
      </c>
      <c r="K865" s="1353">
        <v>41692</v>
      </c>
      <c r="L865" s="1353" t="s">
        <v>41</v>
      </c>
      <c r="M865" s="1353">
        <v>41652</v>
      </c>
      <c r="N865" s="1354">
        <f t="shared" si="111"/>
        <v>-30</v>
      </c>
      <c r="O865" s="1427">
        <v>41661</v>
      </c>
      <c r="P865" s="1438">
        <v>41662</v>
      </c>
      <c r="Q865" s="1355">
        <v>41678</v>
      </c>
      <c r="R865" s="1354">
        <f t="shared" si="112"/>
        <v>60</v>
      </c>
      <c r="S865" s="1354" t="s">
        <v>53</v>
      </c>
      <c r="T865" s="1370"/>
      <c r="U865" s="1358" t="str">
        <f t="shared" si="113"/>
        <v>en término</v>
      </c>
      <c r="V865" s="1130" t="str">
        <f t="shared" si="109"/>
        <v>Enero</v>
      </c>
      <c r="W865" s="1128">
        <f t="shared" si="110"/>
        <v>1</v>
      </c>
    </row>
    <row r="866" spans="1:23" s="1461" customFormat="1" ht="54.95" customHeight="1" thickBot="1" x14ac:dyDescent="0.25">
      <c r="A866" s="1117">
        <v>2014</v>
      </c>
      <c r="B866" s="1117">
        <v>2014</v>
      </c>
      <c r="C866" s="1436" t="s">
        <v>36</v>
      </c>
      <c r="D866" s="1363" t="s">
        <v>133</v>
      </c>
      <c r="E866" s="1350" t="s">
        <v>2799</v>
      </c>
      <c r="F866" s="1367" t="s">
        <v>2800</v>
      </c>
      <c r="G866" s="1351">
        <v>4505574988</v>
      </c>
      <c r="H866" s="1352">
        <v>80668</v>
      </c>
      <c r="I866" s="1353">
        <v>41582</v>
      </c>
      <c r="J866" s="1354">
        <f>+K866-I866</f>
        <v>91</v>
      </c>
      <c r="K866" s="1353">
        <v>41673</v>
      </c>
      <c r="L866" s="1353" t="s">
        <v>41</v>
      </c>
      <c r="M866" s="1353">
        <v>41652</v>
      </c>
      <c r="N866" s="1354">
        <f t="shared" si="111"/>
        <v>-11</v>
      </c>
      <c r="O866" s="1427">
        <v>41661</v>
      </c>
      <c r="P866" s="1438">
        <v>41662</v>
      </c>
      <c r="Q866" s="1355">
        <v>41678</v>
      </c>
      <c r="R866" s="1354">
        <f t="shared" si="112"/>
        <v>96</v>
      </c>
      <c r="S866" s="1354" t="s">
        <v>750</v>
      </c>
      <c r="T866" s="1370"/>
      <c r="U866" s="1358" t="str">
        <f t="shared" si="113"/>
        <v>en término</v>
      </c>
      <c r="V866" s="1130" t="str">
        <f t="shared" si="109"/>
        <v>Enero</v>
      </c>
      <c r="W866" s="1128">
        <f t="shared" si="110"/>
        <v>1</v>
      </c>
    </row>
    <row r="867" spans="1:23" s="1461" customFormat="1" ht="54.95" customHeight="1" thickBot="1" x14ac:dyDescent="0.25">
      <c r="A867" s="1117">
        <v>2014</v>
      </c>
      <c r="B867" s="1117">
        <v>2014</v>
      </c>
      <c r="C867" s="1436" t="s">
        <v>36</v>
      </c>
      <c r="D867" s="1363" t="s">
        <v>133</v>
      </c>
      <c r="E867" s="1350" t="s">
        <v>2799</v>
      </c>
      <c r="F867" s="1367" t="s">
        <v>2800</v>
      </c>
      <c r="G867" s="1351">
        <v>4505616874</v>
      </c>
      <c r="H867" s="1352">
        <v>1586.27</v>
      </c>
      <c r="I867" s="1353">
        <v>41590</v>
      </c>
      <c r="J867" s="1354">
        <f>+K867-I867</f>
        <v>90</v>
      </c>
      <c r="K867" s="1353">
        <v>41680</v>
      </c>
      <c r="L867" s="1353" t="s">
        <v>41</v>
      </c>
      <c r="M867" s="1353">
        <v>41652</v>
      </c>
      <c r="N867" s="1354">
        <f t="shared" si="111"/>
        <v>-18</v>
      </c>
      <c r="O867" s="1427">
        <v>41661</v>
      </c>
      <c r="P867" s="1438">
        <v>41662</v>
      </c>
      <c r="Q867" s="1355">
        <v>41678</v>
      </c>
      <c r="R867" s="1354">
        <f t="shared" si="112"/>
        <v>88</v>
      </c>
      <c r="S867" s="1354" t="s">
        <v>53</v>
      </c>
      <c r="T867" s="1462" t="s">
        <v>2910</v>
      </c>
      <c r="U867" s="1358" t="str">
        <f t="shared" si="113"/>
        <v>en término</v>
      </c>
      <c r="V867" s="1130" t="str">
        <f t="shared" si="109"/>
        <v>Enero</v>
      </c>
      <c r="W867" s="1128">
        <f t="shared" si="110"/>
        <v>1</v>
      </c>
    </row>
    <row r="868" spans="1:23" s="1461" customFormat="1" ht="54.95" customHeight="1" thickBot="1" x14ac:dyDescent="0.25">
      <c r="A868" s="1117">
        <v>2014</v>
      </c>
      <c r="B868" s="1117">
        <v>2014</v>
      </c>
      <c r="C868" s="1436" t="s">
        <v>36</v>
      </c>
      <c r="D868" s="1363" t="s">
        <v>133</v>
      </c>
      <c r="E868" s="1350" t="s">
        <v>2799</v>
      </c>
      <c r="F868" s="1367" t="s">
        <v>2800</v>
      </c>
      <c r="G868" s="1351">
        <v>4505610330</v>
      </c>
      <c r="H868" s="1352">
        <v>145199.84</v>
      </c>
      <c r="I868" s="1353">
        <v>41586</v>
      </c>
      <c r="J868" s="1354">
        <f>+K868-I868</f>
        <v>94</v>
      </c>
      <c r="K868" s="1353">
        <v>41680</v>
      </c>
      <c r="L868" s="1353" t="s">
        <v>41</v>
      </c>
      <c r="M868" s="1353">
        <v>41652</v>
      </c>
      <c r="N868" s="1354">
        <f t="shared" si="111"/>
        <v>-18</v>
      </c>
      <c r="O868" s="1427">
        <v>41661</v>
      </c>
      <c r="P868" s="1438">
        <v>41662</v>
      </c>
      <c r="Q868" s="1355">
        <v>41678</v>
      </c>
      <c r="R868" s="1354">
        <f t="shared" si="112"/>
        <v>92</v>
      </c>
      <c r="S868" s="1354" t="s">
        <v>2911</v>
      </c>
      <c r="T868" s="1370"/>
      <c r="U868" s="1358" t="str">
        <f t="shared" si="113"/>
        <v>en término</v>
      </c>
      <c r="V868" s="1130" t="str">
        <f t="shared" si="109"/>
        <v>Enero</v>
      </c>
      <c r="W868" s="1128">
        <f t="shared" si="110"/>
        <v>1</v>
      </c>
    </row>
    <row r="869" spans="1:23" s="1461" customFormat="1" ht="54.95" customHeight="1" thickBot="1" x14ac:dyDescent="0.25">
      <c r="A869" s="1117">
        <v>2014</v>
      </c>
      <c r="B869" s="1117">
        <v>2014</v>
      </c>
      <c r="C869" s="1436" t="s">
        <v>36</v>
      </c>
      <c r="D869" s="1363" t="s">
        <v>133</v>
      </c>
      <c r="E869" s="1350" t="s">
        <v>2799</v>
      </c>
      <c r="F869" s="1367" t="s">
        <v>2800</v>
      </c>
      <c r="G869" s="1351">
        <v>4505581395</v>
      </c>
      <c r="H869" s="1352">
        <v>3925.53</v>
      </c>
      <c r="I869" s="1353">
        <v>41576</v>
      </c>
      <c r="J869" s="1354">
        <f>+K869-I869</f>
        <v>91</v>
      </c>
      <c r="K869" s="1353">
        <v>41667</v>
      </c>
      <c r="L869" s="1353" t="s">
        <v>41</v>
      </c>
      <c r="M869" s="1353">
        <v>41652</v>
      </c>
      <c r="N869" s="1354">
        <f t="shared" si="111"/>
        <v>-5</v>
      </c>
      <c r="O869" s="1427">
        <v>41661</v>
      </c>
      <c r="P869" s="1438">
        <v>41662</v>
      </c>
      <c r="Q869" s="1355">
        <v>41678</v>
      </c>
      <c r="R869" s="1354">
        <f t="shared" si="112"/>
        <v>102</v>
      </c>
      <c r="S869" s="1354" t="s">
        <v>53</v>
      </c>
      <c r="T869" s="1370"/>
      <c r="U869" s="1358" t="str">
        <f t="shared" si="113"/>
        <v>en término</v>
      </c>
      <c r="V869" s="1130" t="str">
        <f t="shared" si="109"/>
        <v>Enero</v>
      </c>
      <c r="W869" s="1128">
        <f t="shared" si="110"/>
        <v>1</v>
      </c>
    </row>
    <row r="870" spans="1:23" s="1461" customFormat="1" ht="54.95" customHeight="1" thickBot="1" x14ac:dyDescent="0.25">
      <c r="A870" s="1117">
        <v>2014</v>
      </c>
      <c r="B870" s="1117">
        <v>2014</v>
      </c>
      <c r="C870" s="1436" t="s">
        <v>36</v>
      </c>
      <c r="D870" s="1363" t="s">
        <v>133</v>
      </c>
      <c r="E870" s="1350" t="s">
        <v>2799</v>
      </c>
      <c r="F870" s="1367" t="s">
        <v>2800</v>
      </c>
      <c r="G870" s="1351">
        <v>4505590387</v>
      </c>
      <c r="H870" s="1352">
        <v>141267.01999999999</v>
      </c>
      <c r="I870" s="1353">
        <v>41586</v>
      </c>
      <c r="J870" s="1354">
        <f>+K870-I870</f>
        <v>93</v>
      </c>
      <c r="K870" s="1353">
        <v>41679</v>
      </c>
      <c r="L870" s="1353" t="s">
        <v>41</v>
      </c>
      <c r="M870" s="1353">
        <v>41652</v>
      </c>
      <c r="N870" s="1354">
        <f t="shared" si="111"/>
        <v>-17</v>
      </c>
      <c r="O870" s="1427">
        <v>41661</v>
      </c>
      <c r="P870" s="1438">
        <v>41662</v>
      </c>
      <c r="Q870" s="1355">
        <v>41678</v>
      </c>
      <c r="R870" s="1354">
        <f t="shared" si="112"/>
        <v>92</v>
      </c>
      <c r="S870" s="1354" t="s">
        <v>2914</v>
      </c>
      <c r="T870" s="1370"/>
      <c r="U870" s="1358" t="str">
        <f t="shared" si="113"/>
        <v>en término</v>
      </c>
      <c r="V870" s="1130" t="str">
        <f t="shared" si="109"/>
        <v>Enero</v>
      </c>
      <c r="W870" s="1128">
        <f t="shared" si="110"/>
        <v>1</v>
      </c>
    </row>
    <row r="871" spans="1:23" s="1461" customFormat="1" ht="54.95" customHeight="1" thickBot="1" x14ac:dyDescent="0.25">
      <c r="A871" s="1117">
        <v>2014</v>
      </c>
      <c r="B871" s="1117">
        <v>2014</v>
      </c>
      <c r="C871" s="1436" t="s">
        <v>36</v>
      </c>
      <c r="D871" s="1363" t="s">
        <v>37</v>
      </c>
      <c r="E871" s="1350" t="s">
        <v>2915</v>
      </c>
      <c r="F871" s="1437" t="s">
        <v>2916</v>
      </c>
      <c r="G871" s="1351">
        <v>13120005</v>
      </c>
      <c r="H871" s="1352">
        <v>1392</v>
      </c>
      <c r="I871" s="1353">
        <v>41625</v>
      </c>
      <c r="J871" s="1354">
        <v>35</v>
      </c>
      <c r="K871" s="1353">
        <f>+I871+J871</f>
        <v>41660</v>
      </c>
      <c r="L871" s="1353" t="s">
        <v>41</v>
      </c>
      <c r="M871" s="1353">
        <v>41671</v>
      </c>
      <c r="N871" s="1354">
        <f t="shared" si="111"/>
        <v>17</v>
      </c>
      <c r="O871" s="1427"/>
      <c r="P871" s="1438">
        <v>41677</v>
      </c>
      <c r="Q871" s="1355">
        <v>41680</v>
      </c>
      <c r="R871" s="1354">
        <f t="shared" si="112"/>
        <v>55</v>
      </c>
      <c r="S871" s="1354" t="s">
        <v>6374</v>
      </c>
      <c r="T871" s="1370"/>
      <c r="U871" s="1358" t="str">
        <f t="shared" si="113"/>
        <v>atrasado</v>
      </c>
      <c r="V871" s="1130" t="str">
        <f t="shared" si="109"/>
        <v>Febrero</v>
      </c>
      <c r="W871" s="1128">
        <f t="shared" si="110"/>
        <v>0</v>
      </c>
    </row>
    <row r="872" spans="1:23" s="1461" customFormat="1" ht="54.95" customHeight="1" thickBot="1" x14ac:dyDescent="0.25">
      <c r="A872" s="1117">
        <v>2014</v>
      </c>
      <c r="B872" s="1117">
        <v>2014</v>
      </c>
      <c r="C872" s="1436" t="s">
        <v>36</v>
      </c>
      <c r="D872" s="1363" t="s">
        <v>133</v>
      </c>
      <c r="E872" s="1350" t="s">
        <v>2799</v>
      </c>
      <c r="F872" s="1367" t="s">
        <v>2800</v>
      </c>
      <c r="G872" s="1351">
        <v>4505564697</v>
      </c>
      <c r="H872" s="1352">
        <v>21783.27</v>
      </c>
      <c r="I872" s="1353">
        <v>41575</v>
      </c>
      <c r="J872" s="1354">
        <f>+K872-I872</f>
        <v>91</v>
      </c>
      <c r="K872" s="1353">
        <v>41666</v>
      </c>
      <c r="L872" s="1353" t="s">
        <v>41</v>
      </c>
      <c r="M872" s="1353">
        <v>41652</v>
      </c>
      <c r="N872" s="1354">
        <f t="shared" si="111"/>
        <v>-4</v>
      </c>
      <c r="O872" s="1427">
        <v>41661</v>
      </c>
      <c r="P872" s="1438">
        <v>41662</v>
      </c>
      <c r="Q872" s="1438">
        <v>41678</v>
      </c>
      <c r="R872" s="1354">
        <f t="shared" si="112"/>
        <v>103</v>
      </c>
      <c r="S872" s="1354" t="s">
        <v>53</v>
      </c>
      <c r="T872" s="1370"/>
      <c r="U872" s="1358" t="str">
        <f t="shared" ref="U872:U897" si="115">IF(N872="","",IF(N872&lt;=0,"en término","atrasado"))</f>
        <v>en término</v>
      </c>
      <c r="V872" s="1130" t="str">
        <f t="shared" si="109"/>
        <v>Enero</v>
      </c>
      <c r="W872" s="1128">
        <f t="shared" si="110"/>
        <v>1</v>
      </c>
    </row>
    <row r="873" spans="1:23" s="1461" customFormat="1" ht="54.95" customHeight="1" thickBot="1" x14ac:dyDescent="0.25">
      <c r="A873" s="1117">
        <v>2014</v>
      </c>
      <c r="B873" s="1117">
        <v>2014</v>
      </c>
      <c r="C873" s="1436" t="s">
        <v>36</v>
      </c>
      <c r="D873" s="1363" t="s">
        <v>37</v>
      </c>
      <c r="E873" s="1350" t="s">
        <v>2920</v>
      </c>
      <c r="F873" s="1437" t="s">
        <v>2921</v>
      </c>
      <c r="G873" s="1351">
        <v>13120002</v>
      </c>
      <c r="H873" s="1352">
        <v>29850</v>
      </c>
      <c r="I873" s="1353">
        <v>41612</v>
      </c>
      <c r="J873" s="1354">
        <v>70</v>
      </c>
      <c r="K873" s="1353">
        <f>+I873+J873</f>
        <v>41682</v>
      </c>
      <c r="L873" s="1353" t="s">
        <v>41</v>
      </c>
      <c r="M873" s="1353">
        <v>41708</v>
      </c>
      <c r="N873" s="1354">
        <f t="shared" si="111"/>
        <v>36</v>
      </c>
      <c r="O873" s="1427">
        <v>41715</v>
      </c>
      <c r="P873" s="1438">
        <v>41718</v>
      </c>
      <c r="Q873" s="1438">
        <v>41732</v>
      </c>
      <c r="R873" s="1354">
        <f t="shared" si="112"/>
        <v>120</v>
      </c>
      <c r="S873" s="1354" t="s">
        <v>2923</v>
      </c>
      <c r="T873" s="1370"/>
      <c r="U873" s="1358" t="str">
        <f t="shared" si="115"/>
        <v>atrasado</v>
      </c>
      <c r="V873" s="1130" t="str">
        <f t="shared" si="109"/>
        <v>Marzo</v>
      </c>
      <c r="W873" s="1128">
        <f t="shared" si="110"/>
        <v>0</v>
      </c>
    </row>
    <row r="874" spans="1:23" s="1461" customFormat="1" ht="54.95" customHeight="1" thickBot="1" x14ac:dyDescent="0.25">
      <c r="A874" s="1117">
        <v>2014</v>
      </c>
      <c r="B874" s="1117">
        <v>2014</v>
      </c>
      <c r="C874" s="1436" t="s">
        <v>36</v>
      </c>
      <c r="D874" s="1363" t="s">
        <v>37</v>
      </c>
      <c r="E874" s="1350" t="s">
        <v>2905</v>
      </c>
      <c r="F874" s="1437" t="s">
        <v>2925</v>
      </c>
      <c r="G874" s="1351">
        <v>14010002</v>
      </c>
      <c r="H874" s="1352">
        <v>4700</v>
      </c>
      <c r="I874" s="1353">
        <v>41655</v>
      </c>
      <c r="J874" s="1354">
        <v>105</v>
      </c>
      <c r="K874" s="1353">
        <f>+I874+J874</f>
        <v>41760</v>
      </c>
      <c r="L874" s="1353" t="s">
        <v>41</v>
      </c>
      <c r="M874" s="1353">
        <v>41729</v>
      </c>
      <c r="N874" s="1354">
        <f t="shared" si="111"/>
        <v>-18</v>
      </c>
      <c r="O874" s="1427">
        <v>41736</v>
      </c>
      <c r="P874" s="1438">
        <v>41742</v>
      </c>
      <c r="Q874" s="1438">
        <v>41756</v>
      </c>
      <c r="R874" s="1354">
        <f t="shared" si="112"/>
        <v>101</v>
      </c>
      <c r="S874" s="1354" t="s">
        <v>53</v>
      </c>
      <c r="T874" s="1370"/>
      <c r="U874" s="1358" t="str">
        <f t="shared" si="115"/>
        <v>en término</v>
      </c>
      <c r="V874" s="1130" t="str">
        <f t="shared" si="109"/>
        <v>Marzo</v>
      </c>
      <c r="W874" s="1128">
        <f t="shared" si="110"/>
        <v>1</v>
      </c>
    </row>
    <row r="875" spans="1:23" s="1461" customFormat="1" ht="54.95" customHeight="1" thickBot="1" x14ac:dyDescent="0.25">
      <c r="A875" s="1117">
        <v>2014</v>
      </c>
      <c r="B875" s="1117">
        <v>2014</v>
      </c>
      <c r="C875" s="1436" t="s">
        <v>36</v>
      </c>
      <c r="D875" s="1363" t="s">
        <v>133</v>
      </c>
      <c r="E875" s="1350" t="s">
        <v>2799</v>
      </c>
      <c r="F875" s="1367" t="s">
        <v>2800</v>
      </c>
      <c r="G875" s="1351">
        <v>4505720410</v>
      </c>
      <c r="H875" s="1352">
        <v>298878.62</v>
      </c>
      <c r="I875" s="1353">
        <v>41647</v>
      </c>
      <c r="J875" s="1354">
        <f t="shared" ref="J875:J891" si="116">+K875-I875</f>
        <v>90</v>
      </c>
      <c r="K875" s="1353">
        <v>41737</v>
      </c>
      <c r="L875" s="1353" t="s">
        <v>41</v>
      </c>
      <c r="M875" s="1353">
        <v>41729</v>
      </c>
      <c r="N875" s="1354">
        <f t="shared" si="111"/>
        <v>5</v>
      </c>
      <c r="O875" s="1427">
        <v>41736</v>
      </c>
      <c r="P875" s="1438">
        <v>41742</v>
      </c>
      <c r="Q875" s="1438">
        <v>41756</v>
      </c>
      <c r="R875" s="1354">
        <f t="shared" si="112"/>
        <v>109</v>
      </c>
      <c r="S875" s="1354" t="s">
        <v>2412</v>
      </c>
      <c r="T875" s="1462"/>
      <c r="U875" s="1358" t="str">
        <f t="shared" si="115"/>
        <v>atrasado</v>
      </c>
      <c r="V875" s="1130" t="str">
        <f t="shared" si="109"/>
        <v>Marzo</v>
      </c>
      <c r="W875" s="1128">
        <f t="shared" si="110"/>
        <v>0</v>
      </c>
    </row>
    <row r="876" spans="1:23" s="1461" customFormat="1" ht="54.95" customHeight="1" thickBot="1" x14ac:dyDescent="0.25">
      <c r="A876" s="1117">
        <v>2014</v>
      </c>
      <c r="B876" s="1117">
        <v>2014</v>
      </c>
      <c r="C876" s="1436" t="s">
        <v>36</v>
      </c>
      <c r="D876" s="1363" t="s">
        <v>133</v>
      </c>
      <c r="E876" s="1350" t="s">
        <v>2799</v>
      </c>
      <c r="F876" s="1367" t="s">
        <v>2800</v>
      </c>
      <c r="G876" s="1351">
        <v>4505695791</v>
      </c>
      <c r="H876" s="1352">
        <v>7889.58</v>
      </c>
      <c r="I876" s="1353">
        <v>41652</v>
      </c>
      <c r="J876" s="1354">
        <f t="shared" si="116"/>
        <v>92</v>
      </c>
      <c r="K876" s="1353">
        <v>41744</v>
      </c>
      <c r="L876" s="1353" t="s">
        <v>41</v>
      </c>
      <c r="M876" s="1353">
        <v>41729</v>
      </c>
      <c r="N876" s="1354">
        <f t="shared" si="111"/>
        <v>-2</v>
      </c>
      <c r="O876" s="1427">
        <v>41736</v>
      </c>
      <c r="P876" s="1438">
        <v>41742</v>
      </c>
      <c r="Q876" s="1438">
        <v>41756</v>
      </c>
      <c r="R876" s="1354">
        <f t="shared" si="112"/>
        <v>104</v>
      </c>
      <c r="S876" s="1354" t="s">
        <v>2239</v>
      </c>
      <c r="T876" s="1462"/>
      <c r="U876" s="1358" t="str">
        <f t="shared" si="115"/>
        <v>en término</v>
      </c>
      <c r="V876" s="1130" t="str">
        <f t="shared" si="109"/>
        <v>Marzo</v>
      </c>
      <c r="W876" s="1128">
        <f t="shared" si="110"/>
        <v>1</v>
      </c>
    </row>
    <row r="877" spans="1:23" s="1461" customFormat="1" ht="54.95" customHeight="1" thickBot="1" x14ac:dyDescent="0.25">
      <c r="A877" s="1117">
        <v>2014</v>
      </c>
      <c r="B877" s="1117">
        <v>2014</v>
      </c>
      <c r="C877" s="1436" t="s">
        <v>36</v>
      </c>
      <c r="D877" s="1363" t="s">
        <v>133</v>
      </c>
      <c r="E877" s="1350" t="s">
        <v>2799</v>
      </c>
      <c r="F877" s="1367" t="s">
        <v>2800</v>
      </c>
      <c r="G877" s="1351">
        <v>4505730798</v>
      </c>
      <c r="H877" s="1352">
        <v>2956.11</v>
      </c>
      <c r="I877" s="1353">
        <v>41654</v>
      </c>
      <c r="J877" s="1354">
        <f t="shared" si="116"/>
        <v>91</v>
      </c>
      <c r="K877" s="1353">
        <v>41745</v>
      </c>
      <c r="L877" s="1353" t="s">
        <v>41</v>
      </c>
      <c r="M877" s="1353">
        <v>41729</v>
      </c>
      <c r="N877" s="1354">
        <f t="shared" si="111"/>
        <v>-3</v>
      </c>
      <c r="O877" s="1427">
        <v>41736</v>
      </c>
      <c r="P877" s="1438">
        <v>41742</v>
      </c>
      <c r="Q877" s="1438">
        <v>41756</v>
      </c>
      <c r="R877" s="1354">
        <f t="shared" si="112"/>
        <v>102</v>
      </c>
      <c r="S877" s="1354" t="s">
        <v>53</v>
      </c>
      <c r="T877" s="1462"/>
      <c r="U877" s="1358" t="str">
        <f t="shared" si="115"/>
        <v>en término</v>
      </c>
      <c r="V877" s="1130" t="str">
        <f t="shared" si="109"/>
        <v>Marzo</v>
      </c>
      <c r="W877" s="1128">
        <f t="shared" si="110"/>
        <v>1</v>
      </c>
    </row>
    <row r="878" spans="1:23" s="1461" customFormat="1" ht="54.95" customHeight="1" thickBot="1" x14ac:dyDescent="0.25">
      <c r="A878" s="1117">
        <v>2014</v>
      </c>
      <c r="B878" s="1117">
        <v>2014</v>
      </c>
      <c r="C878" s="1436" t="s">
        <v>36</v>
      </c>
      <c r="D878" s="1363" t="s">
        <v>133</v>
      </c>
      <c r="E878" s="1350" t="s">
        <v>2799</v>
      </c>
      <c r="F878" s="1367" t="s">
        <v>2800</v>
      </c>
      <c r="G878" s="1351">
        <v>4505745074</v>
      </c>
      <c r="H878" s="1352">
        <v>6706.53</v>
      </c>
      <c r="I878" s="1353">
        <v>41663</v>
      </c>
      <c r="J878" s="1354">
        <f t="shared" si="116"/>
        <v>94</v>
      </c>
      <c r="K878" s="1353">
        <v>41757</v>
      </c>
      <c r="L878" s="1353" t="s">
        <v>41</v>
      </c>
      <c r="M878" s="1353">
        <v>41729</v>
      </c>
      <c r="N878" s="1354">
        <f t="shared" si="111"/>
        <v>-15</v>
      </c>
      <c r="O878" s="1427">
        <v>41736</v>
      </c>
      <c r="P878" s="1438">
        <v>41742</v>
      </c>
      <c r="Q878" s="1438">
        <v>41756</v>
      </c>
      <c r="R878" s="1354">
        <f t="shared" si="112"/>
        <v>93</v>
      </c>
      <c r="S878" s="1354" t="s">
        <v>73</v>
      </c>
      <c r="T878" s="1462"/>
      <c r="U878" s="1358" t="str">
        <f t="shared" si="115"/>
        <v>en término</v>
      </c>
      <c r="V878" s="1130" t="str">
        <f t="shared" si="109"/>
        <v>Marzo</v>
      </c>
      <c r="W878" s="1128">
        <f t="shared" si="110"/>
        <v>1</v>
      </c>
    </row>
    <row r="879" spans="1:23" s="1461" customFormat="1" ht="54.95" customHeight="1" thickBot="1" x14ac:dyDescent="0.25">
      <c r="A879" s="1117">
        <v>2014</v>
      </c>
      <c r="B879" s="1117">
        <v>2014</v>
      </c>
      <c r="C879" s="1436" t="s">
        <v>36</v>
      </c>
      <c r="D879" s="1363" t="s">
        <v>133</v>
      </c>
      <c r="E879" s="1350" t="s">
        <v>2799</v>
      </c>
      <c r="F879" s="1367" t="s">
        <v>2800</v>
      </c>
      <c r="G879" s="1351">
        <v>4505614164</v>
      </c>
      <c r="H879" s="1352">
        <v>1562.83</v>
      </c>
      <c r="I879" s="1353">
        <v>41663</v>
      </c>
      <c r="J879" s="1354">
        <f t="shared" si="116"/>
        <v>94</v>
      </c>
      <c r="K879" s="1353">
        <v>41757</v>
      </c>
      <c r="L879" s="1353" t="s">
        <v>41</v>
      </c>
      <c r="M879" s="1353">
        <v>41729</v>
      </c>
      <c r="N879" s="1354">
        <f t="shared" si="111"/>
        <v>-15</v>
      </c>
      <c r="O879" s="1427">
        <v>41736</v>
      </c>
      <c r="P879" s="1438">
        <v>41742</v>
      </c>
      <c r="Q879" s="1438">
        <v>41756</v>
      </c>
      <c r="R879" s="1354">
        <f t="shared" si="112"/>
        <v>93</v>
      </c>
      <c r="S879" s="1354" t="s">
        <v>53</v>
      </c>
      <c r="T879" s="1462"/>
      <c r="U879" s="1358" t="str">
        <f t="shared" si="115"/>
        <v>en término</v>
      </c>
      <c r="V879" s="1130" t="str">
        <f t="shared" si="109"/>
        <v>Marzo</v>
      </c>
      <c r="W879" s="1128">
        <f t="shared" si="110"/>
        <v>1</v>
      </c>
    </row>
    <row r="880" spans="1:23" s="1461" customFormat="1" ht="54.95" customHeight="1" thickBot="1" x14ac:dyDescent="0.25">
      <c r="A880" s="1117">
        <v>2014</v>
      </c>
      <c r="B880" s="1117">
        <v>2014</v>
      </c>
      <c r="C880" s="1436" t="s">
        <v>36</v>
      </c>
      <c r="D880" s="1363" t="s">
        <v>133</v>
      </c>
      <c r="E880" s="1350" t="s">
        <v>2799</v>
      </c>
      <c r="F880" s="1367" t="s">
        <v>2800</v>
      </c>
      <c r="G880" s="1351">
        <v>4505682601</v>
      </c>
      <c r="H880" s="1352">
        <v>237120</v>
      </c>
      <c r="I880" s="1353">
        <v>41663</v>
      </c>
      <c r="J880" s="1354">
        <f t="shared" si="116"/>
        <v>94</v>
      </c>
      <c r="K880" s="1353">
        <v>41757</v>
      </c>
      <c r="L880" s="1353" t="s">
        <v>41</v>
      </c>
      <c r="M880" s="1353">
        <v>41737</v>
      </c>
      <c r="N880" s="1354">
        <f t="shared" si="111"/>
        <v>-6</v>
      </c>
      <c r="O880" s="1427">
        <v>41750</v>
      </c>
      <c r="P880" s="1438">
        <v>41751</v>
      </c>
      <c r="Q880" s="1438">
        <v>41767</v>
      </c>
      <c r="R880" s="1354">
        <f t="shared" si="112"/>
        <v>104</v>
      </c>
      <c r="S880" s="1354" t="s">
        <v>1010</v>
      </c>
      <c r="T880" s="1462"/>
      <c r="U880" s="1358" t="str">
        <f t="shared" si="115"/>
        <v>en término</v>
      </c>
      <c r="V880" s="1130" t="str">
        <f t="shared" si="109"/>
        <v>Abril</v>
      </c>
      <c r="W880" s="1128">
        <f t="shared" si="110"/>
        <v>1</v>
      </c>
    </row>
    <row r="881" spans="1:23" s="1461" customFormat="1" ht="54.95" customHeight="1" thickBot="1" x14ac:dyDescent="0.25">
      <c r="A881" s="1117">
        <v>2014</v>
      </c>
      <c r="B881" s="1117">
        <v>2014</v>
      </c>
      <c r="C881" s="1436" t="s">
        <v>36</v>
      </c>
      <c r="D881" s="1363" t="s">
        <v>133</v>
      </c>
      <c r="E881" s="1350" t="s">
        <v>2799</v>
      </c>
      <c r="F881" s="1367" t="s">
        <v>2800</v>
      </c>
      <c r="G881" s="1351">
        <v>4505735045</v>
      </c>
      <c r="H881" s="1352">
        <v>125197.19</v>
      </c>
      <c r="I881" s="1353">
        <v>41663</v>
      </c>
      <c r="J881" s="1354">
        <f t="shared" si="116"/>
        <v>94</v>
      </c>
      <c r="K881" s="1353">
        <v>41757</v>
      </c>
      <c r="L881" s="1353" t="s">
        <v>41</v>
      </c>
      <c r="M881" s="1353">
        <v>41729</v>
      </c>
      <c r="N881" s="1354">
        <f t="shared" si="111"/>
        <v>-15</v>
      </c>
      <c r="O881" s="1427">
        <v>41736</v>
      </c>
      <c r="P881" s="1438">
        <v>41742</v>
      </c>
      <c r="Q881" s="1438">
        <v>41756</v>
      </c>
      <c r="R881" s="1354">
        <f t="shared" si="112"/>
        <v>93</v>
      </c>
      <c r="S881" s="1354" t="s">
        <v>2446</v>
      </c>
      <c r="T881" s="1462"/>
      <c r="U881" s="1358" t="str">
        <f t="shared" si="115"/>
        <v>en término</v>
      </c>
      <c r="V881" s="1130" t="str">
        <f t="shared" si="109"/>
        <v>Marzo</v>
      </c>
      <c r="W881" s="1128">
        <f t="shared" si="110"/>
        <v>1</v>
      </c>
    </row>
    <row r="882" spans="1:23" s="1461" customFormat="1" ht="54.95" customHeight="1" thickBot="1" x14ac:dyDescent="0.25">
      <c r="A882" s="1117">
        <v>2014</v>
      </c>
      <c r="B882" s="1117">
        <v>2014</v>
      </c>
      <c r="C882" s="1436" t="s">
        <v>36</v>
      </c>
      <c r="D882" s="1363" t="s">
        <v>133</v>
      </c>
      <c r="E882" s="1350" t="s">
        <v>2799</v>
      </c>
      <c r="F882" s="1367" t="s">
        <v>2800</v>
      </c>
      <c r="G882" s="1351">
        <v>4505722942</v>
      </c>
      <c r="H882" s="1352">
        <v>41001.54</v>
      </c>
      <c r="I882" s="1353">
        <v>41653</v>
      </c>
      <c r="J882" s="1354">
        <f t="shared" si="116"/>
        <v>104</v>
      </c>
      <c r="K882" s="1353">
        <v>41757</v>
      </c>
      <c r="L882" s="1353" t="s">
        <v>41</v>
      </c>
      <c r="M882" s="1353">
        <v>41729</v>
      </c>
      <c r="N882" s="1354">
        <f t="shared" si="111"/>
        <v>-15</v>
      </c>
      <c r="O882" s="1427">
        <v>41736</v>
      </c>
      <c r="P882" s="1438">
        <v>41742</v>
      </c>
      <c r="Q882" s="1438">
        <v>41756</v>
      </c>
      <c r="R882" s="1354">
        <f t="shared" si="112"/>
        <v>103</v>
      </c>
      <c r="S882" s="1354" t="s">
        <v>53</v>
      </c>
      <c r="T882" s="1462"/>
      <c r="U882" s="1358" t="str">
        <f t="shared" si="115"/>
        <v>en término</v>
      </c>
      <c r="V882" s="1130" t="str">
        <f t="shared" si="109"/>
        <v>Marzo</v>
      </c>
      <c r="W882" s="1128">
        <f t="shared" si="110"/>
        <v>1</v>
      </c>
    </row>
    <row r="883" spans="1:23" s="1461" customFormat="1" ht="54.95" customHeight="1" thickBot="1" x14ac:dyDescent="0.25">
      <c r="A883" s="1117">
        <v>2014</v>
      </c>
      <c r="B883" s="1117">
        <v>2014</v>
      </c>
      <c r="C883" s="1436" t="s">
        <v>36</v>
      </c>
      <c r="D883" s="1363" t="s">
        <v>133</v>
      </c>
      <c r="E883" s="1350" t="s">
        <v>2799</v>
      </c>
      <c r="F883" s="1367" t="s">
        <v>2800</v>
      </c>
      <c r="G883" s="1351">
        <v>4505698493</v>
      </c>
      <c r="H883" s="1352">
        <v>308026.38</v>
      </c>
      <c r="I883" s="1353">
        <v>41653</v>
      </c>
      <c r="J883" s="1354">
        <f t="shared" si="116"/>
        <v>98</v>
      </c>
      <c r="K883" s="1353">
        <v>41751</v>
      </c>
      <c r="L883" s="1353" t="s">
        <v>41</v>
      </c>
      <c r="M883" s="1353">
        <v>41729</v>
      </c>
      <c r="N883" s="1354">
        <f t="shared" si="111"/>
        <v>-9</v>
      </c>
      <c r="O883" s="1427">
        <v>41736</v>
      </c>
      <c r="P883" s="1438">
        <v>41742</v>
      </c>
      <c r="Q883" s="1438">
        <v>41756</v>
      </c>
      <c r="R883" s="1354">
        <f t="shared" si="112"/>
        <v>103</v>
      </c>
      <c r="S883" s="1354" t="s">
        <v>2934</v>
      </c>
      <c r="T883" s="1462"/>
      <c r="U883" s="1358" t="str">
        <f t="shared" si="115"/>
        <v>en término</v>
      </c>
      <c r="V883" s="1130" t="str">
        <f t="shared" si="109"/>
        <v>Marzo</v>
      </c>
      <c r="W883" s="1128">
        <f t="shared" si="110"/>
        <v>1</v>
      </c>
    </row>
    <row r="884" spans="1:23" s="1461" customFormat="1" ht="54.95" customHeight="1" thickBot="1" x14ac:dyDescent="0.25">
      <c r="A884" s="1117">
        <v>2014</v>
      </c>
      <c r="B884" s="1117">
        <v>2014</v>
      </c>
      <c r="C884" s="1436" t="s">
        <v>36</v>
      </c>
      <c r="D884" s="1363" t="s">
        <v>133</v>
      </c>
      <c r="E884" s="1350" t="s">
        <v>2686</v>
      </c>
      <c r="F884" s="1367" t="s">
        <v>2687</v>
      </c>
      <c r="G884" s="1351">
        <v>4505745202</v>
      </c>
      <c r="H884" s="1352">
        <v>36363.83</v>
      </c>
      <c r="I884" s="1353">
        <v>41663</v>
      </c>
      <c r="J884" s="1354">
        <f t="shared" si="116"/>
        <v>94</v>
      </c>
      <c r="K884" s="1353">
        <v>41757</v>
      </c>
      <c r="L884" s="1353" t="s">
        <v>41</v>
      </c>
      <c r="M884" s="1353">
        <v>41771</v>
      </c>
      <c r="N884" s="1354">
        <f t="shared" si="111"/>
        <v>22</v>
      </c>
      <c r="O884" s="1427">
        <v>41773</v>
      </c>
      <c r="P884" s="1438">
        <v>41779</v>
      </c>
      <c r="Q884" s="1438">
        <f>+P884+15</f>
        <v>41794</v>
      </c>
      <c r="R884" s="1354">
        <f t="shared" si="112"/>
        <v>131</v>
      </c>
      <c r="S884" s="1354" t="s">
        <v>53</v>
      </c>
      <c r="T884" s="1462"/>
      <c r="U884" s="1358" t="str">
        <f t="shared" si="115"/>
        <v>atrasado</v>
      </c>
      <c r="V884" s="1130" t="str">
        <f t="shared" si="109"/>
        <v>Mayo</v>
      </c>
      <c r="W884" s="1128">
        <f t="shared" si="110"/>
        <v>0</v>
      </c>
    </row>
    <row r="885" spans="1:23" s="1461" customFormat="1" ht="54.95" customHeight="1" thickBot="1" x14ac:dyDescent="0.25">
      <c r="A885" s="1117">
        <v>2014</v>
      </c>
      <c r="B885" s="1117">
        <v>2014</v>
      </c>
      <c r="C885" s="1436" t="s">
        <v>36</v>
      </c>
      <c r="D885" s="1363" t="s">
        <v>133</v>
      </c>
      <c r="E885" s="1350" t="s">
        <v>2799</v>
      </c>
      <c r="F885" s="1367" t="s">
        <v>2800</v>
      </c>
      <c r="G885" s="1351">
        <v>4505678524</v>
      </c>
      <c r="H885" s="1352">
        <v>272495.17</v>
      </c>
      <c r="I885" s="1353">
        <v>41652</v>
      </c>
      <c r="J885" s="1354">
        <f t="shared" si="116"/>
        <v>121</v>
      </c>
      <c r="K885" s="1353">
        <v>41773</v>
      </c>
      <c r="L885" s="1353" t="s">
        <v>41</v>
      </c>
      <c r="M885" s="1353">
        <v>41771</v>
      </c>
      <c r="N885" s="1354">
        <f t="shared" si="111"/>
        <v>6</v>
      </c>
      <c r="O885" s="1427">
        <v>41773</v>
      </c>
      <c r="P885" s="1438">
        <v>41779</v>
      </c>
      <c r="Q885" s="1438">
        <f>+P885+15</f>
        <v>41794</v>
      </c>
      <c r="R885" s="1354">
        <f t="shared" si="112"/>
        <v>142</v>
      </c>
      <c r="S885" s="1354" t="s">
        <v>2938</v>
      </c>
      <c r="T885" s="1462" t="s">
        <v>2939</v>
      </c>
      <c r="U885" s="1358" t="str">
        <f t="shared" si="115"/>
        <v>atrasado</v>
      </c>
      <c r="V885" s="1130" t="str">
        <f t="shared" si="109"/>
        <v>Mayo</v>
      </c>
      <c r="W885" s="1128">
        <f t="shared" si="110"/>
        <v>0</v>
      </c>
    </row>
    <row r="886" spans="1:23" s="1461" customFormat="1" ht="54.95" customHeight="1" thickBot="1" x14ac:dyDescent="0.25">
      <c r="A886" s="1117">
        <v>2014</v>
      </c>
      <c r="B886" s="1117">
        <v>2014</v>
      </c>
      <c r="C886" s="1436" t="s">
        <v>36</v>
      </c>
      <c r="D886" s="1363" t="s">
        <v>133</v>
      </c>
      <c r="E886" s="1350" t="s">
        <v>2799</v>
      </c>
      <c r="F886" s="1367" t="s">
        <v>2800</v>
      </c>
      <c r="G886" s="1351">
        <v>4505736102</v>
      </c>
      <c r="H886" s="1352">
        <v>177875.64</v>
      </c>
      <c r="I886" s="1353">
        <v>41663</v>
      </c>
      <c r="J886" s="1354">
        <f t="shared" si="116"/>
        <v>123</v>
      </c>
      <c r="K886" s="1353">
        <v>41786</v>
      </c>
      <c r="L886" s="1353" t="s">
        <v>41</v>
      </c>
      <c r="M886" s="1353">
        <v>41792</v>
      </c>
      <c r="N886" s="1354">
        <f t="shared" si="111"/>
        <v>15</v>
      </c>
      <c r="O886" s="1427">
        <v>41799</v>
      </c>
      <c r="P886" s="1438">
        <v>41801</v>
      </c>
      <c r="Q886" s="1438">
        <v>41815</v>
      </c>
      <c r="R886" s="1354">
        <f t="shared" si="112"/>
        <v>152</v>
      </c>
      <c r="S886" s="1354" t="s">
        <v>1127</v>
      </c>
      <c r="T886" s="1462"/>
      <c r="U886" s="1358" t="str">
        <f t="shared" si="115"/>
        <v>atrasado</v>
      </c>
      <c r="V886" s="1130" t="str">
        <f t="shared" si="109"/>
        <v>Junio</v>
      </c>
      <c r="W886" s="1128">
        <f t="shared" si="110"/>
        <v>0</v>
      </c>
    </row>
    <row r="887" spans="1:23" s="1461" customFormat="1" ht="54.95" customHeight="1" thickBot="1" x14ac:dyDescent="0.25">
      <c r="A887" s="1117">
        <v>2014</v>
      </c>
      <c r="B887" s="1117">
        <v>2014</v>
      </c>
      <c r="C887" s="1436" t="s">
        <v>36</v>
      </c>
      <c r="D887" s="1363" t="s">
        <v>133</v>
      </c>
      <c r="E887" s="1350" t="s">
        <v>2799</v>
      </c>
      <c r="F887" s="1367" t="s">
        <v>2800</v>
      </c>
      <c r="G887" s="1351">
        <v>4505745759</v>
      </c>
      <c r="H887" s="1352">
        <v>379282.57</v>
      </c>
      <c r="I887" s="1353">
        <v>41663</v>
      </c>
      <c r="J887" s="1354">
        <f t="shared" si="116"/>
        <v>122</v>
      </c>
      <c r="K887" s="1353">
        <v>41785</v>
      </c>
      <c r="L887" s="1353" t="s">
        <v>41</v>
      </c>
      <c r="M887" s="1353">
        <v>41792</v>
      </c>
      <c r="N887" s="1354">
        <f t="shared" si="111"/>
        <v>16</v>
      </c>
      <c r="O887" s="1427">
        <v>41799</v>
      </c>
      <c r="P887" s="1438">
        <v>41801</v>
      </c>
      <c r="Q887" s="1438">
        <v>41815</v>
      </c>
      <c r="R887" s="1354">
        <f t="shared" si="112"/>
        <v>152</v>
      </c>
      <c r="S887" s="1354" t="s">
        <v>2944</v>
      </c>
      <c r="T887" s="1462"/>
      <c r="U887" s="1358" t="str">
        <f t="shared" si="115"/>
        <v>atrasado</v>
      </c>
      <c r="V887" s="1130" t="str">
        <f t="shared" si="109"/>
        <v>Junio</v>
      </c>
      <c r="W887" s="1128">
        <f t="shared" si="110"/>
        <v>0</v>
      </c>
    </row>
    <row r="888" spans="1:23" s="1461" customFormat="1" ht="54.95" customHeight="1" thickBot="1" x14ac:dyDescent="0.25">
      <c r="A888" s="1117">
        <v>2014</v>
      </c>
      <c r="B888" s="1117">
        <v>2014</v>
      </c>
      <c r="C888" s="1436" t="s">
        <v>36</v>
      </c>
      <c r="D888" s="1363" t="s">
        <v>133</v>
      </c>
      <c r="E888" s="1350" t="s">
        <v>2799</v>
      </c>
      <c r="F888" s="1367" t="s">
        <v>2800</v>
      </c>
      <c r="G888" s="1351">
        <v>4505744008</v>
      </c>
      <c r="H888" s="1352">
        <v>36041.39</v>
      </c>
      <c r="I888" s="1353">
        <v>41663</v>
      </c>
      <c r="J888" s="1354">
        <f t="shared" si="116"/>
        <v>124</v>
      </c>
      <c r="K888" s="1353">
        <v>41787</v>
      </c>
      <c r="L888" s="1353" t="s">
        <v>41</v>
      </c>
      <c r="M888" s="1353">
        <v>41792</v>
      </c>
      <c r="N888" s="1354">
        <f t="shared" si="111"/>
        <v>14</v>
      </c>
      <c r="O888" s="1427">
        <v>41799</v>
      </c>
      <c r="P888" s="1438">
        <v>41801</v>
      </c>
      <c r="Q888" s="1438">
        <v>41815</v>
      </c>
      <c r="R888" s="1354">
        <f t="shared" si="112"/>
        <v>152</v>
      </c>
      <c r="S888" s="1354" t="s">
        <v>53</v>
      </c>
      <c r="T888" s="1462"/>
      <c r="U888" s="1358" t="str">
        <f t="shared" si="115"/>
        <v>atrasado</v>
      </c>
      <c r="V888" s="1130" t="str">
        <f t="shared" si="109"/>
        <v>Junio</v>
      </c>
      <c r="W888" s="1128">
        <f t="shared" si="110"/>
        <v>0</v>
      </c>
    </row>
    <row r="889" spans="1:23" s="1461" customFormat="1" ht="54.95" customHeight="1" thickBot="1" x14ac:dyDescent="0.25">
      <c r="A889" s="1117">
        <v>2014</v>
      </c>
      <c r="B889" s="1117">
        <v>2014</v>
      </c>
      <c r="C889" s="1436" t="s">
        <v>36</v>
      </c>
      <c r="D889" s="1363" t="s">
        <v>37</v>
      </c>
      <c r="E889" s="1350" t="s">
        <v>2946</v>
      </c>
      <c r="F889" s="1437" t="s">
        <v>2947</v>
      </c>
      <c r="G889" s="1351">
        <v>14050002</v>
      </c>
      <c r="H889" s="1352">
        <v>1960</v>
      </c>
      <c r="I889" s="1353">
        <v>41787</v>
      </c>
      <c r="J889" s="1354">
        <f t="shared" si="116"/>
        <v>73</v>
      </c>
      <c r="K889" s="1353">
        <v>41860</v>
      </c>
      <c r="L889" s="1353" t="s">
        <v>41</v>
      </c>
      <c r="M889" s="1353">
        <v>41841</v>
      </c>
      <c r="N889" s="1354">
        <f t="shared" si="111"/>
        <v>-10</v>
      </c>
      <c r="O889" s="1427">
        <v>41842</v>
      </c>
      <c r="P889" s="1438">
        <v>41850</v>
      </c>
      <c r="Q889" s="1355">
        <f>+P889+10</f>
        <v>41860</v>
      </c>
      <c r="R889" s="1354">
        <f t="shared" si="112"/>
        <v>73</v>
      </c>
      <c r="S889" s="1354" t="s">
        <v>53</v>
      </c>
      <c r="T889" s="1370"/>
      <c r="U889" s="1358" t="str">
        <f t="shared" si="115"/>
        <v>en término</v>
      </c>
      <c r="V889" s="1130" t="str">
        <f t="shared" si="109"/>
        <v>Julio</v>
      </c>
      <c r="W889" s="1128">
        <f t="shared" si="110"/>
        <v>1</v>
      </c>
    </row>
    <row r="890" spans="1:23" s="1461" customFormat="1" ht="54.95" customHeight="1" thickBot="1" x14ac:dyDescent="0.25">
      <c r="A890" s="1117">
        <v>2014</v>
      </c>
      <c r="B890" s="1117">
        <v>2014</v>
      </c>
      <c r="C890" s="1436" t="s">
        <v>36</v>
      </c>
      <c r="D890" s="1363" t="s">
        <v>37</v>
      </c>
      <c r="E890" s="1350" t="s">
        <v>2946</v>
      </c>
      <c r="F890" s="1437" t="s">
        <v>2950</v>
      </c>
      <c r="G890" s="1351">
        <v>14050002</v>
      </c>
      <c r="H890" s="1352">
        <v>2750</v>
      </c>
      <c r="I890" s="1353">
        <v>41787</v>
      </c>
      <c r="J890" s="1354">
        <f t="shared" si="116"/>
        <v>75</v>
      </c>
      <c r="K890" s="1353">
        <v>41862</v>
      </c>
      <c r="L890" s="1353" t="s">
        <v>41</v>
      </c>
      <c r="M890" s="1353">
        <v>41841</v>
      </c>
      <c r="N890" s="1354">
        <f t="shared" si="111"/>
        <v>-12</v>
      </c>
      <c r="O890" s="1427">
        <v>41842</v>
      </c>
      <c r="P890" s="1438">
        <v>41850</v>
      </c>
      <c r="Q890" s="1355">
        <f>+P890+10</f>
        <v>41860</v>
      </c>
      <c r="R890" s="1354">
        <f t="shared" si="112"/>
        <v>73</v>
      </c>
      <c r="S890" s="1354" t="s">
        <v>53</v>
      </c>
      <c r="T890" s="1370"/>
      <c r="U890" s="1358" t="str">
        <f t="shared" si="115"/>
        <v>en término</v>
      </c>
      <c r="V890" s="1130" t="str">
        <f t="shared" si="109"/>
        <v>Julio</v>
      </c>
      <c r="W890" s="1128">
        <f t="shared" si="110"/>
        <v>1</v>
      </c>
    </row>
    <row r="891" spans="1:23" s="1461" customFormat="1" ht="54.95" customHeight="1" thickBot="1" x14ac:dyDescent="0.25">
      <c r="A891" s="1117">
        <v>2014</v>
      </c>
      <c r="B891" s="1117">
        <v>2014</v>
      </c>
      <c r="C891" s="1436" t="s">
        <v>36</v>
      </c>
      <c r="D891" s="1363" t="s">
        <v>37</v>
      </c>
      <c r="E891" s="1350" t="s">
        <v>2951</v>
      </c>
      <c r="F891" s="1437" t="s">
        <v>2952</v>
      </c>
      <c r="G891" s="1463">
        <v>14060001</v>
      </c>
      <c r="H891" s="1352">
        <v>2960</v>
      </c>
      <c r="I891" s="1353">
        <v>41793</v>
      </c>
      <c r="J891" s="1354">
        <f t="shared" si="116"/>
        <v>109</v>
      </c>
      <c r="K891" s="1353">
        <v>41902</v>
      </c>
      <c r="L891" s="1353" t="s">
        <v>41</v>
      </c>
      <c r="M891" s="1353">
        <v>41841</v>
      </c>
      <c r="N891" s="1354">
        <f t="shared" si="111"/>
        <v>-52</v>
      </c>
      <c r="O891" s="1427">
        <v>41842</v>
      </c>
      <c r="P891" s="1438">
        <v>41850</v>
      </c>
      <c r="Q891" s="1355">
        <f>+P891+10</f>
        <v>41860</v>
      </c>
      <c r="R891" s="1354">
        <f t="shared" si="112"/>
        <v>67</v>
      </c>
      <c r="S891" s="1354" t="s">
        <v>53</v>
      </c>
      <c r="T891" s="1370"/>
      <c r="U891" s="1358" t="str">
        <f t="shared" si="115"/>
        <v>en término</v>
      </c>
      <c r="V891" s="1130" t="str">
        <f t="shared" si="109"/>
        <v>Julio</v>
      </c>
      <c r="W891" s="1128">
        <f t="shared" si="110"/>
        <v>1</v>
      </c>
    </row>
    <row r="892" spans="1:23" s="1461" customFormat="1" ht="54.95" customHeight="1" thickBot="1" x14ac:dyDescent="0.25">
      <c r="A892" s="1117">
        <v>2014</v>
      </c>
      <c r="B892" s="1117">
        <v>2014</v>
      </c>
      <c r="C892" s="1436" t="s">
        <v>36</v>
      </c>
      <c r="D892" s="1363" t="s">
        <v>37</v>
      </c>
      <c r="E892" s="1350" t="s">
        <v>2954</v>
      </c>
      <c r="F892" s="1437" t="s">
        <v>2955</v>
      </c>
      <c r="G892" s="1463">
        <v>14060002</v>
      </c>
      <c r="H892" s="1352">
        <v>12320</v>
      </c>
      <c r="I892" s="1353">
        <v>41814</v>
      </c>
      <c r="J892" s="1354">
        <v>60</v>
      </c>
      <c r="K892" s="1353">
        <f>+I892+J892</f>
        <v>41874</v>
      </c>
      <c r="L892" s="1353" t="s">
        <v>41</v>
      </c>
      <c r="M892" s="1353">
        <v>41866</v>
      </c>
      <c r="N892" s="1354">
        <f t="shared" si="111"/>
        <v>17</v>
      </c>
      <c r="O892" s="1427">
        <v>41890</v>
      </c>
      <c r="P892" s="1438">
        <v>41891</v>
      </c>
      <c r="Q892" s="1355">
        <f>+P892+20</f>
        <v>41911</v>
      </c>
      <c r="R892" s="1354">
        <f t="shared" si="112"/>
        <v>97</v>
      </c>
      <c r="S892" s="1354" t="s">
        <v>53</v>
      </c>
      <c r="T892" s="1370"/>
      <c r="U892" s="1358" t="str">
        <f t="shared" si="115"/>
        <v>atrasado</v>
      </c>
      <c r="V892" s="1130" t="str">
        <f t="shared" si="109"/>
        <v>Agosto</v>
      </c>
      <c r="W892" s="1128">
        <f t="shared" si="110"/>
        <v>0</v>
      </c>
    </row>
    <row r="893" spans="1:23" s="1461" customFormat="1" ht="54.95" customHeight="1" thickBot="1" x14ac:dyDescent="0.25">
      <c r="A893" s="1117">
        <v>2014</v>
      </c>
      <c r="B893" s="1117">
        <v>2014</v>
      </c>
      <c r="C893" s="1436" t="s">
        <v>36</v>
      </c>
      <c r="D893" s="1363" t="s">
        <v>37</v>
      </c>
      <c r="E893" s="1350" t="s">
        <v>2958</v>
      </c>
      <c r="F893" s="1437" t="s">
        <v>2959</v>
      </c>
      <c r="G893" s="1463">
        <v>14080003</v>
      </c>
      <c r="H893" s="1352">
        <v>3000</v>
      </c>
      <c r="I893" s="1353">
        <v>41865</v>
      </c>
      <c r="J893" s="1354">
        <v>60</v>
      </c>
      <c r="K893" s="1353">
        <f>+I893+J893</f>
        <v>41925</v>
      </c>
      <c r="L893" s="1353" t="s">
        <v>41</v>
      </c>
      <c r="M893" s="1353">
        <v>41898</v>
      </c>
      <c r="N893" s="1354">
        <f t="shared" si="111"/>
        <v>-13</v>
      </c>
      <c r="O893" s="1427"/>
      <c r="P893" s="1438">
        <v>41912</v>
      </c>
      <c r="Q893" s="1355">
        <f>+P893+6</f>
        <v>41918</v>
      </c>
      <c r="R893" s="1354">
        <f t="shared" si="112"/>
        <v>53</v>
      </c>
      <c r="S893" s="1354" t="s">
        <v>53</v>
      </c>
      <c r="T893" s="1370"/>
      <c r="U893" s="1358" t="str">
        <f t="shared" si="115"/>
        <v>en término</v>
      </c>
      <c r="V893" s="1130" t="str">
        <f t="shared" si="109"/>
        <v>Septiembre</v>
      </c>
      <c r="W893" s="1128">
        <f t="shared" si="110"/>
        <v>1</v>
      </c>
    </row>
    <row r="894" spans="1:23" s="1461" customFormat="1" ht="54.95" customHeight="1" thickBot="1" x14ac:dyDescent="0.25">
      <c r="A894" s="1117">
        <v>2014</v>
      </c>
      <c r="B894" s="1117">
        <v>2014</v>
      </c>
      <c r="C894" s="1436" t="s">
        <v>36</v>
      </c>
      <c r="D894" s="1363" t="s">
        <v>37</v>
      </c>
      <c r="E894" s="1350" t="s">
        <v>2962</v>
      </c>
      <c r="F894" s="1437" t="s">
        <v>2963</v>
      </c>
      <c r="G894" s="1463">
        <v>14080005</v>
      </c>
      <c r="H894" s="1352">
        <v>2900</v>
      </c>
      <c r="I894" s="1353">
        <v>41879</v>
      </c>
      <c r="J894" s="1354">
        <f>+K894-I894</f>
        <v>69</v>
      </c>
      <c r="K894" s="1353">
        <v>41948</v>
      </c>
      <c r="L894" s="1353" t="s">
        <v>41</v>
      </c>
      <c r="M894" s="1353">
        <v>41898</v>
      </c>
      <c r="N894" s="1354">
        <f t="shared" si="111"/>
        <v>-36</v>
      </c>
      <c r="O894" s="1427"/>
      <c r="P894" s="1438">
        <v>41912</v>
      </c>
      <c r="Q894" s="1355">
        <f>+P894+6</f>
        <v>41918</v>
      </c>
      <c r="R894" s="1354">
        <f t="shared" si="112"/>
        <v>39</v>
      </c>
      <c r="S894" s="1354" t="s">
        <v>53</v>
      </c>
      <c r="T894" s="1370"/>
      <c r="U894" s="1358" t="str">
        <f t="shared" si="115"/>
        <v>en término</v>
      </c>
      <c r="V894" s="1130" t="str">
        <f t="shared" si="109"/>
        <v>Septiembre</v>
      </c>
      <c r="W894" s="1128">
        <f t="shared" si="110"/>
        <v>1</v>
      </c>
    </row>
    <row r="895" spans="1:23" s="1461" customFormat="1" ht="54.95" customHeight="1" thickBot="1" x14ac:dyDescent="0.25">
      <c r="A895" s="1117">
        <v>2014</v>
      </c>
      <c r="B895" s="1117">
        <v>2014</v>
      </c>
      <c r="C895" s="1436" t="s">
        <v>36</v>
      </c>
      <c r="D895" s="1363" t="s">
        <v>37</v>
      </c>
      <c r="E895" s="1350" t="s">
        <v>2964</v>
      </c>
      <c r="F895" s="1437" t="s">
        <v>2965</v>
      </c>
      <c r="G895" s="1463">
        <v>14100002</v>
      </c>
      <c r="H895" s="1352">
        <v>26365</v>
      </c>
      <c r="I895" s="1353">
        <v>41921</v>
      </c>
      <c r="J895" s="1354">
        <f>+K895-I895</f>
        <v>67</v>
      </c>
      <c r="K895" s="1353">
        <v>41988</v>
      </c>
      <c r="L895" s="1353" t="s">
        <v>41</v>
      </c>
      <c r="M895" s="1353">
        <v>41989</v>
      </c>
      <c r="N895" s="1354">
        <f t="shared" si="111"/>
        <v>30</v>
      </c>
      <c r="O895" s="1427">
        <v>42016</v>
      </c>
      <c r="P895" s="1438">
        <v>42018</v>
      </c>
      <c r="Q895" s="1355">
        <v>42034</v>
      </c>
      <c r="R895" s="1354">
        <f t="shared" si="112"/>
        <v>113</v>
      </c>
      <c r="S895" s="1354" t="s">
        <v>53</v>
      </c>
      <c r="T895" s="1370" t="s">
        <v>2967</v>
      </c>
      <c r="U895" s="1358" t="str">
        <f t="shared" si="115"/>
        <v>atrasado</v>
      </c>
      <c r="V895" s="1130" t="str">
        <f t="shared" si="109"/>
        <v>Diciembre</v>
      </c>
      <c r="W895" s="1128">
        <f t="shared" si="110"/>
        <v>0</v>
      </c>
    </row>
    <row r="896" spans="1:23" s="1461" customFormat="1" ht="54.95" customHeight="1" thickBot="1" x14ac:dyDescent="0.25">
      <c r="A896" s="1117">
        <v>2014</v>
      </c>
      <c r="B896" s="1117">
        <v>2014</v>
      </c>
      <c r="C896" s="1436" t="s">
        <v>36</v>
      </c>
      <c r="D896" s="1363" t="s">
        <v>37</v>
      </c>
      <c r="E896" s="1350" t="s">
        <v>2969</v>
      </c>
      <c r="F896" s="1437" t="s">
        <v>2970</v>
      </c>
      <c r="G896" s="1463">
        <v>14100003</v>
      </c>
      <c r="H896" s="1352">
        <f>154800</f>
        <v>154800</v>
      </c>
      <c r="I896" s="1353">
        <v>41935</v>
      </c>
      <c r="J896" s="1354">
        <f>+K896-I896</f>
        <v>102</v>
      </c>
      <c r="K896" s="1353">
        <v>42037</v>
      </c>
      <c r="L896" s="1353" t="s">
        <v>41</v>
      </c>
      <c r="M896" s="1353">
        <v>41989</v>
      </c>
      <c r="N896" s="1354">
        <f t="shared" si="111"/>
        <v>-19</v>
      </c>
      <c r="O896" s="1427">
        <v>42016</v>
      </c>
      <c r="P896" s="1438">
        <v>42018</v>
      </c>
      <c r="Q896" s="1355">
        <v>42034</v>
      </c>
      <c r="R896" s="1354">
        <f t="shared" si="112"/>
        <v>99</v>
      </c>
      <c r="S896" s="1354" t="s">
        <v>1332</v>
      </c>
      <c r="T896" s="1370" t="s">
        <v>2967</v>
      </c>
      <c r="U896" s="1358" t="str">
        <f t="shared" si="115"/>
        <v>en término</v>
      </c>
      <c r="V896" s="1130" t="str">
        <f t="shared" si="109"/>
        <v>Diciembre</v>
      </c>
      <c r="W896" s="1128">
        <f t="shared" si="110"/>
        <v>1</v>
      </c>
    </row>
    <row r="897" spans="1:23" s="1461" customFormat="1" ht="54.95" customHeight="1" thickBot="1" x14ac:dyDescent="0.25">
      <c r="A897" s="1117">
        <v>2014</v>
      </c>
      <c r="B897" s="1117">
        <v>2014</v>
      </c>
      <c r="C897" s="1436" t="s">
        <v>36</v>
      </c>
      <c r="D897" s="1363" t="s">
        <v>37</v>
      </c>
      <c r="E897" s="1350" t="s">
        <v>2969</v>
      </c>
      <c r="F897" s="1437" t="s">
        <v>2970</v>
      </c>
      <c r="G897" s="1463">
        <v>14100003</v>
      </c>
      <c r="H897" s="1352">
        <v>93200</v>
      </c>
      <c r="I897" s="1353">
        <v>41935</v>
      </c>
      <c r="J897" s="1354">
        <f>+K897-I897</f>
        <v>120</v>
      </c>
      <c r="K897" s="1353">
        <v>42055</v>
      </c>
      <c r="L897" s="1353" t="s">
        <v>41</v>
      </c>
      <c r="M897" s="1353">
        <v>41989</v>
      </c>
      <c r="N897" s="1354">
        <f t="shared" si="111"/>
        <v>-37</v>
      </c>
      <c r="O897" s="1427">
        <v>42016</v>
      </c>
      <c r="P897" s="1438">
        <v>42018</v>
      </c>
      <c r="Q897" s="1355">
        <v>42034</v>
      </c>
      <c r="R897" s="1354">
        <f t="shared" si="112"/>
        <v>99</v>
      </c>
      <c r="S897" s="1354" t="s">
        <v>2971</v>
      </c>
      <c r="T897" s="1370" t="s">
        <v>2967</v>
      </c>
      <c r="U897" s="1358" t="str">
        <f t="shared" si="115"/>
        <v>en término</v>
      </c>
      <c r="V897" s="1130" t="str">
        <f t="shared" si="109"/>
        <v>Diciembre</v>
      </c>
      <c r="W897" s="1128">
        <f t="shared" si="110"/>
        <v>1</v>
      </c>
    </row>
    <row r="898" spans="1:23" s="1461" customFormat="1" ht="54.95" customHeight="1" thickBot="1" x14ac:dyDescent="0.25">
      <c r="A898" s="1143">
        <v>2014</v>
      </c>
      <c r="B898" s="1143">
        <v>2014</v>
      </c>
      <c r="C898" s="1449" t="s">
        <v>36</v>
      </c>
      <c r="D898" s="1393" t="s">
        <v>37</v>
      </c>
      <c r="E898" s="1450" t="s">
        <v>2972</v>
      </c>
      <c r="F898" s="1464" t="s">
        <v>2973</v>
      </c>
      <c r="G898" s="1465">
        <v>14110003</v>
      </c>
      <c r="H898" s="1453">
        <v>456</v>
      </c>
      <c r="I898" s="1454">
        <v>41954</v>
      </c>
      <c r="J898" s="1455">
        <v>75</v>
      </c>
      <c r="K898" s="1454">
        <f>+I898+J898</f>
        <v>42029</v>
      </c>
      <c r="L898" s="1454" t="s">
        <v>41</v>
      </c>
      <c r="M898" s="1454">
        <v>41989</v>
      </c>
      <c r="N898" s="1455">
        <f t="shared" si="111"/>
        <v>-11</v>
      </c>
      <c r="O898" s="1456">
        <v>42016</v>
      </c>
      <c r="P898" s="1466">
        <v>42018</v>
      </c>
      <c r="Q898" s="1457">
        <v>42034</v>
      </c>
      <c r="R898" s="1455">
        <f t="shared" si="112"/>
        <v>80</v>
      </c>
      <c r="S898" s="1455" t="s">
        <v>53</v>
      </c>
      <c r="T898" s="1467" t="s">
        <v>2967</v>
      </c>
      <c r="U898" s="1459" t="str">
        <f>IF(N897="","",IF(N898&lt;=0,"en término","atrasado"))</f>
        <v>en término</v>
      </c>
      <c r="V898" s="1290" t="str">
        <f t="shared" ref="V898:V961" si="117">VLOOKUP(MONTH(M898),$Y$66:$Z$77,2,FALSE)</f>
        <v>Diciembre</v>
      </c>
      <c r="W898" s="1323">
        <f t="shared" ref="W898:W961" si="118">+IF(U898="atrasado",0)+IF(U898="en término",1)</f>
        <v>1</v>
      </c>
    </row>
    <row r="899" spans="1:23" s="1321" customFormat="1" ht="54.95" customHeight="1" thickTop="1" thickBot="1" x14ac:dyDescent="0.2">
      <c r="A899" s="1157">
        <v>2015</v>
      </c>
      <c r="B899" s="1157">
        <v>2015</v>
      </c>
      <c r="C899" s="1407" t="s">
        <v>972</v>
      </c>
      <c r="D899" s="1460" t="s">
        <v>6051</v>
      </c>
      <c r="E899" s="1409" t="s">
        <v>6067</v>
      </c>
      <c r="F899" s="1409"/>
      <c r="G899" s="1410" t="s">
        <v>6068</v>
      </c>
      <c r="H899" s="1411">
        <v>397840</v>
      </c>
      <c r="I899" s="1412">
        <v>41947</v>
      </c>
      <c r="J899" s="1413">
        <v>120</v>
      </c>
      <c r="K899" s="1414">
        <f>+I899+J899</f>
        <v>42067</v>
      </c>
      <c r="L899" s="1415" t="s">
        <v>124</v>
      </c>
      <c r="M899" s="1412">
        <v>42083</v>
      </c>
      <c r="N899" s="1413">
        <f t="shared" si="111"/>
        <v>34</v>
      </c>
      <c r="O899" s="1412">
        <v>42095</v>
      </c>
      <c r="P899" s="1421">
        <v>42101</v>
      </c>
      <c r="Q899" s="1414">
        <v>42132</v>
      </c>
      <c r="R899" s="1413">
        <f t="shared" si="112"/>
        <v>185</v>
      </c>
      <c r="S899" s="1417" t="s">
        <v>6364</v>
      </c>
      <c r="T899" s="1418" t="s">
        <v>6375</v>
      </c>
      <c r="U899" s="1358" t="str">
        <f t="shared" ref="U899:U962" si="119">IF(N899="","",IF(N899&lt;=0,"en término","atrasado"))</f>
        <v>atrasado</v>
      </c>
      <c r="V899" s="1289" t="str">
        <f t="shared" si="117"/>
        <v>Marzo</v>
      </c>
      <c r="W899" s="1128">
        <f t="shared" si="118"/>
        <v>0</v>
      </c>
    </row>
    <row r="900" spans="1:23" ht="54.95" customHeight="1" thickBot="1" x14ac:dyDescent="0.25">
      <c r="A900" s="1117">
        <v>2015</v>
      </c>
      <c r="B900" s="1117">
        <v>2015</v>
      </c>
      <c r="C900" s="1361" t="s">
        <v>972</v>
      </c>
      <c r="D900" s="1433" t="s">
        <v>6073</v>
      </c>
      <c r="E900" s="1350" t="s">
        <v>6074</v>
      </c>
      <c r="F900" s="1350"/>
      <c r="G900" s="1351">
        <v>9624</v>
      </c>
      <c r="H900" s="1352">
        <v>5021</v>
      </c>
      <c r="I900" s="1353">
        <v>42200</v>
      </c>
      <c r="J900" s="1354">
        <v>90</v>
      </c>
      <c r="K900" s="1355">
        <f>+I900+J900</f>
        <v>42290</v>
      </c>
      <c r="L900" s="1356" t="s">
        <v>124</v>
      </c>
      <c r="M900" s="1353">
        <v>42269</v>
      </c>
      <c r="N900" s="1354">
        <f t="shared" si="111"/>
        <v>-11</v>
      </c>
      <c r="O900" s="1353">
        <v>42275</v>
      </c>
      <c r="P900" s="1357">
        <v>42279</v>
      </c>
      <c r="Q900" s="1355">
        <v>42286</v>
      </c>
      <c r="R900" s="1354">
        <f t="shared" si="112"/>
        <v>86</v>
      </c>
      <c r="S900" s="1358" t="s">
        <v>2183</v>
      </c>
      <c r="T900" s="1359" t="s">
        <v>6376</v>
      </c>
      <c r="U900" s="1358" t="str">
        <f t="shared" si="119"/>
        <v>en término</v>
      </c>
      <c r="V900" s="1130" t="str">
        <f t="shared" si="117"/>
        <v>Septiembre</v>
      </c>
      <c r="W900" s="1128">
        <f t="shared" si="118"/>
        <v>1</v>
      </c>
    </row>
    <row r="901" spans="1:23" ht="54.95" customHeight="1" thickBot="1" x14ac:dyDescent="0.25">
      <c r="A901" s="1117">
        <v>2015</v>
      </c>
      <c r="B901" s="1117">
        <v>2015</v>
      </c>
      <c r="C901" s="1361" t="s">
        <v>5697</v>
      </c>
      <c r="D901" s="1119" t="s">
        <v>5705</v>
      </c>
      <c r="E901" s="1350" t="s">
        <v>5794</v>
      </c>
      <c r="F901" s="1350"/>
      <c r="G901" s="1351" t="s">
        <v>5795</v>
      </c>
      <c r="H901" s="1352">
        <v>9685.2999999999993</v>
      </c>
      <c r="I901" s="1353">
        <v>41963</v>
      </c>
      <c r="J901" s="1354">
        <v>90</v>
      </c>
      <c r="K901" s="1355">
        <f>+I901+J901</f>
        <v>42053</v>
      </c>
      <c r="L901" s="1356" t="s">
        <v>124</v>
      </c>
      <c r="M901" s="1353">
        <v>42128</v>
      </c>
      <c r="N901" s="1354">
        <f t="shared" si="111"/>
        <v>113</v>
      </c>
      <c r="O901" s="1353">
        <v>42157</v>
      </c>
      <c r="P901" s="1357">
        <v>42166</v>
      </c>
      <c r="Q901" s="1355">
        <v>42189</v>
      </c>
      <c r="R901" s="1354">
        <f t="shared" si="112"/>
        <v>226</v>
      </c>
      <c r="S901" s="1358" t="s">
        <v>6367</v>
      </c>
      <c r="T901" s="1359" t="s">
        <v>6377</v>
      </c>
      <c r="U901" s="1417" t="str">
        <f t="shared" si="119"/>
        <v>atrasado</v>
      </c>
      <c r="V901" s="1130" t="str">
        <f t="shared" si="117"/>
        <v>Mayo</v>
      </c>
      <c r="W901" s="1128">
        <f t="shared" si="118"/>
        <v>0</v>
      </c>
    </row>
    <row r="902" spans="1:23" ht="54.95" customHeight="1" thickBot="1" x14ac:dyDescent="0.25">
      <c r="A902" s="1117">
        <v>2015</v>
      </c>
      <c r="B902" s="1117">
        <v>2015</v>
      </c>
      <c r="C902" s="1361" t="s">
        <v>120</v>
      </c>
      <c r="D902" s="1433" t="s">
        <v>121</v>
      </c>
      <c r="E902" s="1350" t="s">
        <v>5253</v>
      </c>
      <c r="F902" s="1350"/>
      <c r="G902" s="1351">
        <v>53318</v>
      </c>
      <c r="H902" s="1352">
        <v>14071</v>
      </c>
      <c r="I902" s="1353">
        <v>42117</v>
      </c>
      <c r="J902" s="1354">
        <f>+K902-I902</f>
        <v>89</v>
      </c>
      <c r="K902" s="1355">
        <v>42206</v>
      </c>
      <c r="L902" s="1356" t="s">
        <v>124</v>
      </c>
      <c r="M902" s="1353">
        <v>42198</v>
      </c>
      <c r="N902" s="1354">
        <f t="shared" si="111"/>
        <v>11</v>
      </c>
      <c r="O902" s="1353">
        <v>42205</v>
      </c>
      <c r="P902" s="1357">
        <v>42217</v>
      </c>
      <c r="Q902" s="1355">
        <f>+P902+45</f>
        <v>42262</v>
      </c>
      <c r="R902" s="1354">
        <f t="shared" si="112"/>
        <v>145</v>
      </c>
      <c r="S902" s="1358" t="s">
        <v>2183</v>
      </c>
      <c r="T902" s="1359"/>
      <c r="U902" s="1358" t="str">
        <f t="shared" si="119"/>
        <v>atrasado</v>
      </c>
      <c r="V902" s="1130" t="str">
        <f t="shared" si="117"/>
        <v>Julio</v>
      </c>
      <c r="W902" s="1128">
        <f t="shared" si="118"/>
        <v>0</v>
      </c>
    </row>
    <row r="903" spans="1:23" ht="54.95" customHeight="1" thickBot="1" x14ac:dyDescent="0.25">
      <c r="A903" s="1117">
        <v>2015</v>
      </c>
      <c r="B903" s="1117">
        <v>2015</v>
      </c>
      <c r="C903" s="1361" t="s">
        <v>5433</v>
      </c>
      <c r="D903" s="1363" t="s">
        <v>5456</v>
      </c>
      <c r="E903" s="1350" t="s">
        <v>5660</v>
      </c>
      <c r="F903" s="1350"/>
      <c r="G903" s="1351">
        <v>4500189520</v>
      </c>
      <c r="H903" s="1283">
        <v>5760</v>
      </c>
      <c r="I903" s="1353">
        <v>41977</v>
      </c>
      <c r="J903" s="1354">
        <f>+K903-I903</f>
        <v>97</v>
      </c>
      <c r="K903" s="1355">
        <v>42074</v>
      </c>
      <c r="L903" s="1356" t="s">
        <v>124</v>
      </c>
      <c r="M903" s="1353">
        <v>42059</v>
      </c>
      <c r="N903" s="1354">
        <f t="shared" si="111"/>
        <v>-6</v>
      </c>
      <c r="O903" s="1353"/>
      <c r="P903" s="1357">
        <v>42068</v>
      </c>
      <c r="Q903" s="1438">
        <v>42073</v>
      </c>
      <c r="R903" s="1354">
        <f t="shared" si="112"/>
        <v>96</v>
      </c>
      <c r="S903" s="1358" t="s">
        <v>5661</v>
      </c>
      <c r="T903" s="1359"/>
      <c r="U903" s="1358" t="str">
        <f t="shared" si="119"/>
        <v>en término</v>
      </c>
      <c r="V903" s="1130" t="str">
        <f t="shared" si="117"/>
        <v>Febrero</v>
      </c>
      <c r="W903" s="1128">
        <f t="shared" si="118"/>
        <v>1</v>
      </c>
    </row>
    <row r="904" spans="1:23" ht="54.95" customHeight="1" thickBot="1" x14ac:dyDescent="0.25">
      <c r="A904" s="1117">
        <v>2015</v>
      </c>
      <c r="B904" s="1117">
        <v>2015</v>
      </c>
      <c r="C904" s="1361" t="s">
        <v>5433</v>
      </c>
      <c r="D904" s="1363" t="s">
        <v>5456</v>
      </c>
      <c r="E904" s="1350" t="s">
        <v>5662</v>
      </c>
      <c r="F904" s="1350"/>
      <c r="G904" s="1351">
        <v>4500193625</v>
      </c>
      <c r="H904" s="1283">
        <v>24600</v>
      </c>
      <c r="I904" s="1353">
        <v>42047</v>
      </c>
      <c r="J904" s="1354">
        <f>+K904-I904</f>
        <v>77</v>
      </c>
      <c r="K904" s="1355">
        <v>42124</v>
      </c>
      <c r="L904" s="1356" t="s">
        <v>124</v>
      </c>
      <c r="M904" s="1353">
        <v>42122</v>
      </c>
      <c r="N904" s="1354">
        <f t="shared" ref="N904:N967" si="120">IF(P904="","",+P904-K904)</f>
        <v>7</v>
      </c>
      <c r="O904" s="1353"/>
      <c r="P904" s="1357">
        <v>42131</v>
      </c>
      <c r="Q904" s="1438">
        <f>+P904+10</f>
        <v>42141</v>
      </c>
      <c r="R904" s="1354">
        <f t="shared" ref="R904:R945" si="121">IF(Q904="","",+Q904-I904)</f>
        <v>94</v>
      </c>
      <c r="S904" s="1358" t="s">
        <v>2806</v>
      </c>
      <c r="T904" s="1359"/>
      <c r="U904" s="1417" t="str">
        <f t="shared" si="119"/>
        <v>atrasado</v>
      </c>
      <c r="V904" s="1130" t="str">
        <f t="shared" si="117"/>
        <v>Abril</v>
      </c>
      <c r="W904" s="1128">
        <f t="shared" si="118"/>
        <v>0</v>
      </c>
    </row>
    <row r="905" spans="1:23" ht="54.95" customHeight="1" thickBot="1" x14ac:dyDescent="0.25">
      <c r="A905" s="1117">
        <v>2015</v>
      </c>
      <c r="B905" s="1117">
        <v>2015</v>
      </c>
      <c r="C905" s="1361" t="s">
        <v>5433</v>
      </c>
      <c r="D905" s="1145" t="s">
        <v>5434</v>
      </c>
      <c r="E905" s="1350" t="s">
        <v>5665</v>
      </c>
      <c r="F905" s="1350"/>
      <c r="G905" s="1351">
        <v>4200000007</v>
      </c>
      <c r="H905" s="1283">
        <v>3525</v>
      </c>
      <c r="I905" s="1353">
        <v>42080</v>
      </c>
      <c r="J905" s="1354">
        <v>75</v>
      </c>
      <c r="K905" s="1355">
        <f>+I905+J905</f>
        <v>42155</v>
      </c>
      <c r="L905" s="1356" t="s">
        <v>124</v>
      </c>
      <c r="M905" s="1353">
        <v>42145</v>
      </c>
      <c r="N905" s="1354">
        <f t="shared" si="120"/>
        <v>-2</v>
      </c>
      <c r="O905" s="1353"/>
      <c r="P905" s="1357">
        <v>42153</v>
      </c>
      <c r="Q905" s="1438">
        <v>42158</v>
      </c>
      <c r="R905" s="1354">
        <f t="shared" si="121"/>
        <v>78</v>
      </c>
      <c r="S905" s="1358" t="s">
        <v>2806</v>
      </c>
      <c r="T905" s="1359"/>
      <c r="U905" s="1417" t="str">
        <f t="shared" si="119"/>
        <v>en término</v>
      </c>
      <c r="V905" s="1130" t="str">
        <f t="shared" si="117"/>
        <v>Mayo</v>
      </c>
      <c r="W905" s="1128">
        <f t="shared" si="118"/>
        <v>1</v>
      </c>
    </row>
    <row r="906" spans="1:23" ht="54.95" customHeight="1" thickBot="1" x14ac:dyDescent="0.25">
      <c r="A906" s="1117">
        <v>2015</v>
      </c>
      <c r="B906" s="1117">
        <v>2015</v>
      </c>
      <c r="C906" s="1361" t="s">
        <v>5433</v>
      </c>
      <c r="D906" s="1363" t="s">
        <v>5456</v>
      </c>
      <c r="E906" s="1350" t="s">
        <v>5667</v>
      </c>
      <c r="F906" s="1350"/>
      <c r="G906" s="1351">
        <v>4500198522</v>
      </c>
      <c r="H906" s="1283">
        <v>6900</v>
      </c>
      <c r="I906" s="1353">
        <v>42130</v>
      </c>
      <c r="J906" s="1354">
        <f>+K906-I906</f>
        <v>50</v>
      </c>
      <c r="K906" s="1355">
        <v>42180</v>
      </c>
      <c r="L906" s="1356" t="s">
        <v>124</v>
      </c>
      <c r="M906" s="1353">
        <v>42170</v>
      </c>
      <c r="N906" s="1354">
        <f t="shared" si="120"/>
        <v>1</v>
      </c>
      <c r="O906" s="1353">
        <v>42178</v>
      </c>
      <c r="P906" s="1357">
        <v>42181</v>
      </c>
      <c r="Q906" s="1438">
        <f>+P906+5</f>
        <v>42186</v>
      </c>
      <c r="R906" s="1354">
        <f t="shared" si="121"/>
        <v>56</v>
      </c>
      <c r="S906" s="1358" t="s">
        <v>2806</v>
      </c>
      <c r="T906" s="1359"/>
      <c r="U906" s="1358" t="str">
        <f t="shared" si="119"/>
        <v>atrasado</v>
      </c>
      <c r="V906" s="1130" t="str">
        <f t="shared" si="117"/>
        <v>Junio</v>
      </c>
      <c r="W906" s="1128">
        <f t="shared" si="118"/>
        <v>0</v>
      </c>
    </row>
    <row r="907" spans="1:23" ht="54.95" customHeight="1" thickBot="1" x14ac:dyDescent="0.25">
      <c r="A907" s="1117">
        <v>2015</v>
      </c>
      <c r="B907" s="1117">
        <v>2015</v>
      </c>
      <c r="C907" s="1361" t="s">
        <v>5433</v>
      </c>
      <c r="D907" s="1363" t="s">
        <v>5456</v>
      </c>
      <c r="E907" s="1350" t="s">
        <v>5670</v>
      </c>
      <c r="F907" s="1350"/>
      <c r="G907" s="1351">
        <v>4500199665</v>
      </c>
      <c r="H907" s="1283">
        <v>33560</v>
      </c>
      <c r="I907" s="1353">
        <v>42151</v>
      </c>
      <c r="J907" s="1354">
        <f>+K907-I907</f>
        <v>96</v>
      </c>
      <c r="K907" s="1355">
        <v>42247</v>
      </c>
      <c r="L907" s="1356" t="s">
        <v>124</v>
      </c>
      <c r="M907" s="1353">
        <v>42241</v>
      </c>
      <c r="N907" s="1354">
        <f t="shared" si="120"/>
        <v>5</v>
      </c>
      <c r="O907" s="1353">
        <v>42249</v>
      </c>
      <c r="P907" s="1357">
        <v>42252</v>
      </c>
      <c r="Q907" s="1438">
        <v>42257</v>
      </c>
      <c r="R907" s="1354">
        <f t="shared" si="121"/>
        <v>106</v>
      </c>
      <c r="S907" s="1358" t="s">
        <v>2806</v>
      </c>
      <c r="T907" s="1359"/>
      <c r="U907" s="1358" t="str">
        <f t="shared" si="119"/>
        <v>atrasado</v>
      </c>
      <c r="V907" s="1130" t="str">
        <f t="shared" si="117"/>
        <v>Agosto</v>
      </c>
      <c r="W907" s="1128">
        <f t="shared" si="118"/>
        <v>0</v>
      </c>
    </row>
    <row r="908" spans="1:23" ht="54.95" customHeight="1" thickBot="1" x14ac:dyDescent="0.25">
      <c r="A908" s="1117">
        <v>2015</v>
      </c>
      <c r="B908" s="1117">
        <v>2015</v>
      </c>
      <c r="C908" s="1361" t="s">
        <v>5433</v>
      </c>
      <c r="D908" s="1363" t="s">
        <v>5456</v>
      </c>
      <c r="E908" s="1350" t="s">
        <v>5671</v>
      </c>
      <c r="F908" s="1350"/>
      <c r="G908" s="1351">
        <v>4500201391</v>
      </c>
      <c r="H908" s="1283">
        <v>15675</v>
      </c>
      <c r="I908" s="1353">
        <v>42178</v>
      </c>
      <c r="J908" s="1354">
        <f>+K908-I908</f>
        <v>97</v>
      </c>
      <c r="K908" s="1355">
        <v>42275</v>
      </c>
      <c r="L908" s="1356" t="s">
        <v>124</v>
      </c>
      <c r="M908" s="1353">
        <v>42269</v>
      </c>
      <c r="N908" s="1354">
        <f t="shared" si="120"/>
        <v>2</v>
      </c>
      <c r="O908" s="1353">
        <v>42275</v>
      </c>
      <c r="P908" s="1357">
        <v>42277</v>
      </c>
      <c r="Q908" s="1438">
        <v>42282</v>
      </c>
      <c r="R908" s="1354">
        <f t="shared" si="121"/>
        <v>104</v>
      </c>
      <c r="S908" s="1358" t="s">
        <v>2806</v>
      </c>
      <c r="T908" s="1359"/>
      <c r="U908" s="1417" t="str">
        <f t="shared" si="119"/>
        <v>atrasado</v>
      </c>
      <c r="V908" s="1130" t="str">
        <f t="shared" si="117"/>
        <v>Septiembre</v>
      </c>
      <c r="W908" s="1128">
        <f t="shared" si="118"/>
        <v>0</v>
      </c>
    </row>
    <row r="909" spans="1:23" ht="54.95" customHeight="1" thickBot="1" x14ac:dyDescent="0.25">
      <c r="A909" s="1117">
        <v>2015</v>
      </c>
      <c r="B909" s="1117">
        <v>2015</v>
      </c>
      <c r="C909" s="1361" t="s">
        <v>5433</v>
      </c>
      <c r="D909" s="1363" t="s">
        <v>5456</v>
      </c>
      <c r="E909" s="1350" t="s">
        <v>5673</v>
      </c>
      <c r="F909" s="1350"/>
      <c r="G909" s="1351">
        <v>4500202576</v>
      </c>
      <c r="H909" s="1283">
        <v>64484</v>
      </c>
      <c r="I909" s="1353">
        <v>42198</v>
      </c>
      <c r="J909" s="1354">
        <f>+K909-I909</f>
        <v>95</v>
      </c>
      <c r="K909" s="1355">
        <v>42293</v>
      </c>
      <c r="L909" s="1356" t="s">
        <v>124</v>
      </c>
      <c r="M909" s="1353">
        <v>42282</v>
      </c>
      <c r="N909" s="1354">
        <f t="shared" si="120"/>
        <v>-1</v>
      </c>
      <c r="O909" s="1353">
        <v>42290</v>
      </c>
      <c r="P909" s="1357">
        <v>42292</v>
      </c>
      <c r="Q909" s="1438">
        <v>42302</v>
      </c>
      <c r="R909" s="1354">
        <f t="shared" si="121"/>
        <v>104</v>
      </c>
      <c r="S909" s="1358" t="s">
        <v>2806</v>
      </c>
      <c r="T909" s="1359"/>
      <c r="U909" s="1417" t="str">
        <f t="shared" si="119"/>
        <v>en término</v>
      </c>
      <c r="V909" s="1130" t="str">
        <f t="shared" si="117"/>
        <v>Octubre</v>
      </c>
      <c r="W909" s="1128">
        <f t="shared" si="118"/>
        <v>1</v>
      </c>
    </row>
    <row r="910" spans="1:23" ht="54.95" customHeight="1" thickBot="1" x14ac:dyDescent="0.25">
      <c r="A910" s="1117">
        <v>2015</v>
      </c>
      <c r="B910" s="1117">
        <v>2015</v>
      </c>
      <c r="C910" s="1361" t="s">
        <v>5433</v>
      </c>
      <c r="D910" s="1363" t="s">
        <v>5456</v>
      </c>
      <c r="E910" s="1350" t="s">
        <v>5675</v>
      </c>
      <c r="F910" s="1350"/>
      <c r="G910" s="1351">
        <v>4500202978</v>
      </c>
      <c r="H910" s="1283">
        <v>43950</v>
      </c>
      <c r="I910" s="1353">
        <v>42207</v>
      </c>
      <c r="J910" s="1354">
        <f>+K910-I910</f>
        <v>93</v>
      </c>
      <c r="K910" s="1355">
        <v>42300</v>
      </c>
      <c r="L910" s="1356" t="s">
        <v>124</v>
      </c>
      <c r="M910" s="1353">
        <v>42290</v>
      </c>
      <c r="N910" s="1354">
        <f t="shared" si="120"/>
        <v>-8</v>
      </c>
      <c r="O910" s="1353">
        <v>42290</v>
      </c>
      <c r="P910" s="1357">
        <v>42292</v>
      </c>
      <c r="Q910" s="1438">
        <v>42302</v>
      </c>
      <c r="R910" s="1354">
        <f t="shared" si="121"/>
        <v>95</v>
      </c>
      <c r="S910" s="1358" t="s">
        <v>2806</v>
      </c>
      <c r="T910" s="1359"/>
      <c r="U910" s="1358" t="str">
        <f t="shared" si="119"/>
        <v>en término</v>
      </c>
      <c r="V910" s="1130" t="str">
        <f t="shared" si="117"/>
        <v>Octubre</v>
      </c>
      <c r="W910" s="1128">
        <f t="shared" si="118"/>
        <v>1</v>
      </c>
    </row>
    <row r="911" spans="1:23" ht="54.95" customHeight="1" thickBot="1" x14ac:dyDescent="0.25">
      <c r="A911" s="1117">
        <v>2015</v>
      </c>
      <c r="B911" s="1117">
        <v>2015</v>
      </c>
      <c r="C911" s="1361" t="s">
        <v>5433</v>
      </c>
      <c r="D911" s="1363" t="s">
        <v>5434</v>
      </c>
      <c r="E911" s="1350" t="s">
        <v>5676</v>
      </c>
      <c r="F911" s="1350"/>
      <c r="G911" s="1351">
        <v>4500000015</v>
      </c>
      <c r="H911" s="1283">
        <v>93768</v>
      </c>
      <c r="I911" s="1353">
        <v>42212</v>
      </c>
      <c r="J911" s="1354">
        <v>80</v>
      </c>
      <c r="K911" s="1355">
        <f>+I911+J911</f>
        <v>42292</v>
      </c>
      <c r="L911" s="1356" t="s">
        <v>5458</v>
      </c>
      <c r="M911" s="1353">
        <v>42290</v>
      </c>
      <c r="N911" s="1354">
        <f t="shared" si="120"/>
        <v>-2</v>
      </c>
      <c r="O911" s="1353">
        <v>42290</v>
      </c>
      <c r="P911" s="1357">
        <v>42290</v>
      </c>
      <c r="Q911" s="1438">
        <v>42292</v>
      </c>
      <c r="R911" s="1354">
        <f t="shared" si="121"/>
        <v>80</v>
      </c>
      <c r="S911" s="1358" t="s">
        <v>5677</v>
      </c>
      <c r="T911" s="1359"/>
      <c r="U911" s="1417" t="str">
        <f t="shared" si="119"/>
        <v>en término</v>
      </c>
      <c r="V911" s="1130" t="str">
        <f t="shared" si="117"/>
        <v>Octubre</v>
      </c>
      <c r="W911" s="1128">
        <f t="shared" si="118"/>
        <v>1</v>
      </c>
    </row>
    <row r="912" spans="1:23" ht="54.95" customHeight="1" thickBot="1" x14ac:dyDescent="0.25">
      <c r="A912" s="1117">
        <v>2015</v>
      </c>
      <c r="B912" s="1117">
        <v>2015</v>
      </c>
      <c r="C912" s="1361" t="s">
        <v>5433</v>
      </c>
      <c r="D912" s="1363" t="s">
        <v>5456</v>
      </c>
      <c r="E912" s="1350" t="s">
        <v>5680</v>
      </c>
      <c r="F912" s="1350"/>
      <c r="G912" s="1351">
        <v>4500205613</v>
      </c>
      <c r="H912" s="1283">
        <v>3730</v>
      </c>
      <c r="I912" s="1353">
        <v>42258</v>
      </c>
      <c r="J912" s="1354">
        <v>60</v>
      </c>
      <c r="K912" s="1355">
        <f>+I912+J912</f>
        <v>42318</v>
      </c>
      <c r="L912" s="1356" t="s">
        <v>124</v>
      </c>
      <c r="M912" s="1353">
        <v>42317</v>
      </c>
      <c r="N912" s="1354">
        <f t="shared" si="120"/>
        <v>8</v>
      </c>
      <c r="O912" s="1353">
        <v>42321</v>
      </c>
      <c r="P912" s="1357">
        <v>42326</v>
      </c>
      <c r="Q912" s="1438">
        <v>42331</v>
      </c>
      <c r="R912" s="1354">
        <f t="shared" si="121"/>
        <v>73</v>
      </c>
      <c r="S912" s="1358" t="s">
        <v>1020</v>
      </c>
      <c r="T912" s="1359"/>
      <c r="U912" s="1417" t="str">
        <f t="shared" si="119"/>
        <v>atrasado</v>
      </c>
      <c r="V912" s="1130" t="str">
        <f t="shared" si="117"/>
        <v>Noviembre</v>
      </c>
      <c r="W912" s="1128">
        <f t="shared" si="118"/>
        <v>0</v>
      </c>
    </row>
    <row r="913" spans="1:23" ht="54.95" customHeight="1" thickBot="1" x14ac:dyDescent="0.25">
      <c r="A913" s="1117">
        <v>2015</v>
      </c>
      <c r="B913" s="1117">
        <v>2015</v>
      </c>
      <c r="C913" s="1361" t="s">
        <v>5433</v>
      </c>
      <c r="D913" s="1363" t="s">
        <v>5456</v>
      </c>
      <c r="E913" s="1350" t="s">
        <v>5682</v>
      </c>
      <c r="F913" s="1350"/>
      <c r="G913" s="1351">
        <v>4500207147</v>
      </c>
      <c r="H913" s="1283">
        <v>1250</v>
      </c>
      <c r="I913" s="1353">
        <v>42278</v>
      </c>
      <c r="J913" s="1354">
        <f>+K913-I913</f>
        <v>39</v>
      </c>
      <c r="K913" s="1355">
        <v>42317</v>
      </c>
      <c r="L913" s="1356" t="s">
        <v>124</v>
      </c>
      <c r="M913" s="1353">
        <v>42317</v>
      </c>
      <c r="N913" s="1354">
        <f t="shared" si="120"/>
        <v>9</v>
      </c>
      <c r="O913" s="1353">
        <v>42321</v>
      </c>
      <c r="P913" s="1357">
        <v>42326</v>
      </c>
      <c r="Q913" s="1438">
        <v>42331</v>
      </c>
      <c r="R913" s="1354">
        <f t="shared" si="121"/>
        <v>53</v>
      </c>
      <c r="S913" s="1358" t="s">
        <v>53</v>
      </c>
      <c r="T913" s="1359"/>
      <c r="U913" s="1358" t="str">
        <f t="shared" si="119"/>
        <v>atrasado</v>
      </c>
      <c r="V913" s="1130" t="str">
        <f t="shared" si="117"/>
        <v>Noviembre</v>
      </c>
      <c r="W913" s="1128">
        <f t="shared" si="118"/>
        <v>0</v>
      </c>
    </row>
    <row r="914" spans="1:23" ht="54.95" customHeight="1" thickBot="1" x14ac:dyDescent="0.25">
      <c r="A914" s="1117">
        <v>2015</v>
      </c>
      <c r="B914" s="1117">
        <v>2015</v>
      </c>
      <c r="C914" s="1361" t="s">
        <v>114</v>
      </c>
      <c r="D914" s="1433" t="s">
        <v>4820</v>
      </c>
      <c r="E914" s="1350" t="s">
        <v>4821</v>
      </c>
      <c r="F914" s="1350"/>
      <c r="G914" s="1435" t="s">
        <v>4822</v>
      </c>
      <c r="H914" s="1283">
        <v>19169.7</v>
      </c>
      <c r="I914" s="1353">
        <v>42156</v>
      </c>
      <c r="J914" s="1354">
        <v>60</v>
      </c>
      <c r="K914" s="1355">
        <f>+I914+J914</f>
        <v>42216</v>
      </c>
      <c r="L914" s="1356" t="s">
        <v>124</v>
      </c>
      <c r="M914" s="1353">
        <v>42198</v>
      </c>
      <c r="N914" s="1354">
        <f t="shared" si="120"/>
        <v>-9</v>
      </c>
      <c r="O914" s="1353"/>
      <c r="P914" s="1438">
        <v>42207</v>
      </c>
      <c r="Q914" s="1355">
        <v>42212</v>
      </c>
      <c r="R914" s="1354">
        <f t="shared" si="121"/>
        <v>56</v>
      </c>
      <c r="S914" s="1358" t="s">
        <v>2183</v>
      </c>
      <c r="T914" s="1359"/>
      <c r="U914" s="1358" t="str">
        <f t="shared" si="119"/>
        <v>en término</v>
      </c>
      <c r="V914" s="1130" t="str">
        <f t="shared" si="117"/>
        <v>Julio</v>
      </c>
      <c r="W914" s="1128">
        <f t="shared" si="118"/>
        <v>1</v>
      </c>
    </row>
    <row r="915" spans="1:23" ht="54.95" customHeight="1" thickBot="1" x14ac:dyDescent="0.25">
      <c r="A915" s="1117">
        <v>2015</v>
      </c>
      <c r="B915" s="1117">
        <v>2015</v>
      </c>
      <c r="C915" s="1361" t="s">
        <v>78</v>
      </c>
      <c r="D915" s="1363" t="s">
        <v>3165</v>
      </c>
      <c r="E915" s="1350" t="s">
        <v>3865</v>
      </c>
      <c r="F915" s="1350"/>
      <c r="G915" s="1435">
        <v>619830</v>
      </c>
      <c r="H915" s="1283">
        <v>872341.32</v>
      </c>
      <c r="I915" s="1353">
        <v>41997</v>
      </c>
      <c r="J915" s="1354">
        <f>+K915-I915</f>
        <v>97</v>
      </c>
      <c r="K915" s="1355">
        <v>42094</v>
      </c>
      <c r="L915" s="1356" t="s">
        <v>124</v>
      </c>
      <c r="M915" s="1353">
        <v>42115</v>
      </c>
      <c r="N915" s="1354">
        <f t="shared" si="120"/>
        <v>24</v>
      </c>
      <c r="O915" s="1353">
        <v>42121</v>
      </c>
      <c r="P915" s="1438">
        <v>42118</v>
      </c>
      <c r="Q915" s="1355">
        <v>42147</v>
      </c>
      <c r="R915" s="1354">
        <f t="shared" si="121"/>
        <v>150</v>
      </c>
      <c r="S915" s="1358" t="s">
        <v>53</v>
      </c>
      <c r="T915" s="1359"/>
      <c r="U915" s="1417" t="str">
        <f t="shared" si="119"/>
        <v>atrasado</v>
      </c>
      <c r="V915" s="1130" t="str">
        <f t="shared" si="117"/>
        <v>Abril</v>
      </c>
      <c r="W915" s="1128">
        <f t="shared" si="118"/>
        <v>0</v>
      </c>
    </row>
    <row r="916" spans="1:23" ht="54.95" customHeight="1" thickBot="1" x14ac:dyDescent="0.25">
      <c r="A916" s="1117">
        <v>2015</v>
      </c>
      <c r="B916" s="1117">
        <v>2015</v>
      </c>
      <c r="C916" s="1361" t="s">
        <v>78</v>
      </c>
      <c r="D916" s="1363" t="s">
        <v>108</v>
      </c>
      <c r="E916" s="1350" t="s">
        <v>3867</v>
      </c>
      <c r="F916" s="1350"/>
      <c r="G916" s="1435">
        <v>63000009989</v>
      </c>
      <c r="H916" s="1283">
        <v>153400</v>
      </c>
      <c r="I916" s="1353">
        <v>41988</v>
      </c>
      <c r="J916" s="1354">
        <f>+K916-I916</f>
        <v>136</v>
      </c>
      <c r="K916" s="1355">
        <v>42124</v>
      </c>
      <c r="L916" s="1356" t="s">
        <v>124</v>
      </c>
      <c r="M916" s="1353">
        <v>42114</v>
      </c>
      <c r="N916" s="1354">
        <f t="shared" si="120"/>
        <v>16</v>
      </c>
      <c r="O916" s="1353">
        <v>42142</v>
      </c>
      <c r="P916" s="1438">
        <v>42140</v>
      </c>
      <c r="Q916" s="1355">
        <v>42144</v>
      </c>
      <c r="R916" s="1354">
        <f t="shared" si="121"/>
        <v>156</v>
      </c>
      <c r="S916" s="1358" t="s">
        <v>2116</v>
      </c>
      <c r="T916" s="1359"/>
      <c r="U916" s="1417" t="str">
        <f t="shared" si="119"/>
        <v>atrasado</v>
      </c>
      <c r="V916" s="1130" t="str">
        <f t="shared" si="117"/>
        <v>Abril</v>
      </c>
      <c r="W916" s="1128">
        <f t="shared" si="118"/>
        <v>0</v>
      </c>
    </row>
    <row r="917" spans="1:23" ht="54.95" customHeight="1" thickBot="1" x14ac:dyDescent="0.25">
      <c r="A917" s="1117">
        <v>2015</v>
      </c>
      <c r="B917" s="1117">
        <v>2015</v>
      </c>
      <c r="C917" s="1361" t="s">
        <v>78</v>
      </c>
      <c r="D917" s="1363" t="s">
        <v>79</v>
      </c>
      <c r="E917" s="1350" t="s">
        <v>3871</v>
      </c>
      <c r="F917" s="1350"/>
      <c r="G917" s="1435" t="s">
        <v>3872</v>
      </c>
      <c r="H917" s="1283">
        <v>8600</v>
      </c>
      <c r="I917" s="1353">
        <v>42009</v>
      </c>
      <c r="J917" s="1354">
        <v>130</v>
      </c>
      <c r="K917" s="1355">
        <f>+I917+J917</f>
        <v>42139</v>
      </c>
      <c r="L917" s="1356" t="s">
        <v>124</v>
      </c>
      <c r="M917" s="1353">
        <v>42132</v>
      </c>
      <c r="N917" s="1354">
        <f t="shared" si="120"/>
        <v>6</v>
      </c>
      <c r="O917" s="1353"/>
      <c r="P917" s="1438">
        <v>42145</v>
      </c>
      <c r="Q917" s="1355">
        <v>42150</v>
      </c>
      <c r="R917" s="1354">
        <f t="shared" si="121"/>
        <v>141</v>
      </c>
      <c r="S917" s="1358" t="s">
        <v>752</v>
      </c>
      <c r="T917" s="1359"/>
      <c r="U917" s="1358" t="str">
        <f t="shared" si="119"/>
        <v>atrasado</v>
      </c>
      <c r="V917" s="1130" t="str">
        <f t="shared" si="117"/>
        <v>Mayo</v>
      </c>
      <c r="W917" s="1128">
        <f t="shared" si="118"/>
        <v>0</v>
      </c>
    </row>
    <row r="918" spans="1:23" ht="54.95" customHeight="1" thickBot="1" x14ac:dyDescent="0.25">
      <c r="A918" s="1117">
        <v>2015</v>
      </c>
      <c r="B918" s="1117">
        <v>2015</v>
      </c>
      <c r="C918" s="1361" t="s">
        <v>78</v>
      </c>
      <c r="D918" s="1363" t="s">
        <v>3165</v>
      </c>
      <c r="E918" s="1350" t="s">
        <v>3875</v>
      </c>
      <c r="F918" s="1350"/>
      <c r="G918" s="1435">
        <v>620399</v>
      </c>
      <c r="H918" s="1283">
        <v>1552027.2</v>
      </c>
      <c r="I918" s="1353">
        <v>42030</v>
      </c>
      <c r="J918" s="1354">
        <f>+K918-I918</f>
        <v>130</v>
      </c>
      <c r="K918" s="1355">
        <v>42160</v>
      </c>
      <c r="L918" s="1356" t="s">
        <v>124</v>
      </c>
      <c r="M918" s="1353">
        <v>42172</v>
      </c>
      <c r="N918" s="1354">
        <f t="shared" si="120"/>
        <v>20</v>
      </c>
      <c r="O918" s="1353">
        <v>42177</v>
      </c>
      <c r="P918" s="1438">
        <v>42180</v>
      </c>
      <c r="Q918" s="1355">
        <v>42203</v>
      </c>
      <c r="R918" s="1354">
        <f t="shared" si="121"/>
        <v>173</v>
      </c>
      <c r="S918" s="1358" t="s">
        <v>53</v>
      </c>
      <c r="T918" s="1359" t="s">
        <v>3877</v>
      </c>
      <c r="U918" s="1358" t="str">
        <f t="shared" si="119"/>
        <v>atrasado</v>
      </c>
      <c r="V918" s="1130" t="str">
        <f t="shared" si="117"/>
        <v>Junio</v>
      </c>
      <c r="W918" s="1128">
        <f t="shared" si="118"/>
        <v>0</v>
      </c>
    </row>
    <row r="919" spans="1:23" ht="54.95" customHeight="1" thickBot="1" x14ac:dyDescent="0.25">
      <c r="A919" s="1117">
        <v>2015</v>
      </c>
      <c r="B919" s="1117">
        <v>2015</v>
      </c>
      <c r="C919" s="1361" t="s">
        <v>78</v>
      </c>
      <c r="D919" s="1363" t="s">
        <v>79</v>
      </c>
      <c r="E919" s="1350" t="s">
        <v>3880</v>
      </c>
      <c r="F919" s="1350"/>
      <c r="G919" s="1435" t="s">
        <v>3881</v>
      </c>
      <c r="H919" s="1283">
        <v>22730</v>
      </c>
      <c r="I919" s="1353">
        <v>42234</v>
      </c>
      <c r="J919" s="1354">
        <v>90</v>
      </c>
      <c r="K919" s="1355">
        <f>+I919+J919</f>
        <v>42324</v>
      </c>
      <c r="L919" s="1356" t="s">
        <v>124</v>
      </c>
      <c r="M919" s="1353">
        <v>42317</v>
      </c>
      <c r="N919" s="1354">
        <f t="shared" si="120"/>
        <v>14</v>
      </c>
      <c r="O919" s="1353">
        <v>42333</v>
      </c>
      <c r="P919" s="1438">
        <v>42338</v>
      </c>
      <c r="Q919" s="1355">
        <v>42343</v>
      </c>
      <c r="R919" s="1354">
        <f t="shared" si="121"/>
        <v>109</v>
      </c>
      <c r="S919" s="1358" t="s">
        <v>3882</v>
      </c>
      <c r="T919" s="1359" t="s">
        <v>6378</v>
      </c>
      <c r="U919" s="1417" t="str">
        <f t="shared" si="119"/>
        <v>atrasado</v>
      </c>
      <c r="V919" s="1130" t="str">
        <f t="shared" si="117"/>
        <v>Noviembre</v>
      </c>
      <c r="W919" s="1128">
        <f t="shared" si="118"/>
        <v>0</v>
      </c>
    </row>
    <row r="920" spans="1:23" ht="54.95" customHeight="1" thickBot="1" x14ac:dyDescent="0.25">
      <c r="A920" s="1117">
        <v>2015</v>
      </c>
      <c r="B920" s="1117">
        <v>2015</v>
      </c>
      <c r="C920" s="1361" t="s">
        <v>78</v>
      </c>
      <c r="D920" s="1363" t="s">
        <v>3165</v>
      </c>
      <c r="E920" s="1350" t="s">
        <v>3875</v>
      </c>
      <c r="F920" s="1350"/>
      <c r="G920" s="1435">
        <v>620399</v>
      </c>
      <c r="H920" s="1283">
        <v>46994.400000000001</v>
      </c>
      <c r="I920" s="1353">
        <v>42030</v>
      </c>
      <c r="J920" s="1354">
        <f>+K920-I920</f>
        <v>214</v>
      </c>
      <c r="K920" s="1355">
        <v>42244</v>
      </c>
      <c r="L920" s="1356" t="s">
        <v>124</v>
      </c>
      <c r="M920" s="1353">
        <v>42241</v>
      </c>
      <c r="N920" s="1354">
        <f t="shared" si="120"/>
        <v>27</v>
      </c>
      <c r="O920" s="1353">
        <v>42257</v>
      </c>
      <c r="P920" s="1438">
        <v>42271</v>
      </c>
      <c r="Q920" s="1355">
        <f>+P920+30</f>
        <v>42301</v>
      </c>
      <c r="R920" s="1354">
        <f t="shared" si="121"/>
        <v>271</v>
      </c>
      <c r="S920" s="1358" t="s">
        <v>3878</v>
      </c>
      <c r="T920" s="1359"/>
      <c r="U920" s="1417" t="str">
        <f t="shared" si="119"/>
        <v>atrasado</v>
      </c>
      <c r="V920" s="1130" t="str">
        <f t="shared" si="117"/>
        <v>Agosto</v>
      </c>
      <c r="W920" s="1128">
        <f t="shared" si="118"/>
        <v>0</v>
      </c>
    </row>
    <row r="921" spans="1:23" ht="54.95" customHeight="1" thickBot="1" x14ac:dyDescent="0.25">
      <c r="A921" s="1117">
        <v>2015</v>
      </c>
      <c r="B921" s="1117">
        <v>2015</v>
      </c>
      <c r="C921" s="1361" t="s">
        <v>78</v>
      </c>
      <c r="D921" s="1363" t="s">
        <v>3886</v>
      </c>
      <c r="E921" s="1350" t="s">
        <v>3887</v>
      </c>
      <c r="F921" s="1350"/>
      <c r="G921" s="1435">
        <v>30002007</v>
      </c>
      <c r="H921" s="1283">
        <v>119889.1</v>
      </c>
      <c r="I921" s="1353">
        <v>42331</v>
      </c>
      <c r="J921" s="1354">
        <f>+K921-I921</f>
        <v>141</v>
      </c>
      <c r="K921" s="1355">
        <v>42472</v>
      </c>
      <c r="L921" s="1356" t="s">
        <v>124</v>
      </c>
      <c r="M921" s="1353">
        <v>42317</v>
      </c>
      <c r="N921" s="1354">
        <f t="shared" si="120"/>
        <v>-108</v>
      </c>
      <c r="O921" s="1353">
        <v>42355</v>
      </c>
      <c r="P921" s="1438">
        <v>42364</v>
      </c>
      <c r="Q921" s="1355">
        <f>+P921+30</f>
        <v>42394</v>
      </c>
      <c r="R921" s="1354">
        <f t="shared" si="121"/>
        <v>63</v>
      </c>
      <c r="S921" s="1358" t="s">
        <v>3888</v>
      </c>
      <c r="T921" s="1359" t="s">
        <v>3890</v>
      </c>
      <c r="U921" s="1417" t="str">
        <f t="shared" si="119"/>
        <v>en término</v>
      </c>
      <c r="V921" s="1130" t="str">
        <f t="shared" si="117"/>
        <v>Noviembre</v>
      </c>
      <c r="W921" s="1128">
        <f t="shared" si="118"/>
        <v>1</v>
      </c>
    </row>
    <row r="922" spans="1:23" ht="54.95" customHeight="1" thickBot="1" x14ac:dyDescent="0.25">
      <c r="A922" s="1117">
        <v>2015</v>
      </c>
      <c r="B922" s="1117">
        <v>2015</v>
      </c>
      <c r="C922" s="1436" t="s">
        <v>36</v>
      </c>
      <c r="D922" s="1363" t="s">
        <v>2974</v>
      </c>
      <c r="E922" s="1350" t="s">
        <v>2975</v>
      </c>
      <c r="F922" s="1437"/>
      <c r="G922" s="1463">
        <v>4100593573</v>
      </c>
      <c r="H922" s="1283">
        <v>26400</v>
      </c>
      <c r="I922" s="1353">
        <v>41906</v>
      </c>
      <c r="J922" s="1354">
        <v>90</v>
      </c>
      <c r="K922" s="1353">
        <v>42007</v>
      </c>
      <c r="L922" s="1353" t="s">
        <v>41</v>
      </c>
      <c r="M922" s="1353">
        <v>42009</v>
      </c>
      <c r="N922" s="1354">
        <f t="shared" si="120"/>
        <v>36</v>
      </c>
      <c r="O922" s="1427"/>
      <c r="P922" s="1438">
        <v>42043</v>
      </c>
      <c r="Q922" s="1355">
        <v>42049</v>
      </c>
      <c r="R922" s="1354">
        <f t="shared" si="121"/>
        <v>143</v>
      </c>
      <c r="S922" s="1437" t="s">
        <v>6379</v>
      </c>
      <c r="T922" s="1370" t="s">
        <v>2979</v>
      </c>
      <c r="U922" s="1358" t="str">
        <f t="shared" si="119"/>
        <v>atrasado</v>
      </c>
      <c r="V922" s="1130" t="str">
        <f t="shared" si="117"/>
        <v>Enero</v>
      </c>
      <c r="W922" s="1128">
        <f t="shared" si="118"/>
        <v>0</v>
      </c>
    </row>
    <row r="923" spans="1:23" ht="54.95" customHeight="1" thickBot="1" x14ac:dyDescent="0.25">
      <c r="A923" s="1117">
        <v>2015</v>
      </c>
      <c r="B923" s="1117">
        <v>2015</v>
      </c>
      <c r="C923" s="1436" t="s">
        <v>36</v>
      </c>
      <c r="D923" s="1363" t="s">
        <v>2974</v>
      </c>
      <c r="E923" s="1350" t="s">
        <v>2982</v>
      </c>
      <c r="F923" s="1437"/>
      <c r="G923" s="1463">
        <v>4100594376</v>
      </c>
      <c r="H923" s="1283">
        <v>78750</v>
      </c>
      <c r="I923" s="1353">
        <v>41906</v>
      </c>
      <c r="J923" s="1354">
        <v>90</v>
      </c>
      <c r="K923" s="1353">
        <v>42009</v>
      </c>
      <c r="L923" s="1353" t="s">
        <v>41</v>
      </c>
      <c r="M923" s="1353">
        <v>42009</v>
      </c>
      <c r="N923" s="1354">
        <f t="shared" si="120"/>
        <v>64</v>
      </c>
      <c r="O923" s="1427">
        <v>42053</v>
      </c>
      <c r="P923" s="1438">
        <v>42073</v>
      </c>
      <c r="Q923" s="1355">
        <f>+P923+30</f>
        <v>42103</v>
      </c>
      <c r="R923" s="1354">
        <f t="shared" si="121"/>
        <v>197</v>
      </c>
      <c r="S923" s="1437" t="s">
        <v>6380</v>
      </c>
      <c r="T923" s="1370" t="s">
        <v>2979</v>
      </c>
      <c r="U923" s="1417" t="str">
        <f t="shared" si="119"/>
        <v>atrasado</v>
      </c>
      <c r="V923" s="1130" t="str">
        <f t="shared" si="117"/>
        <v>Enero</v>
      </c>
      <c r="W923" s="1128">
        <f t="shared" si="118"/>
        <v>0</v>
      </c>
    </row>
    <row r="924" spans="1:23" ht="54.95" customHeight="1" thickBot="1" x14ac:dyDescent="0.25">
      <c r="A924" s="1117">
        <v>2015</v>
      </c>
      <c r="B924" s="1117">
        <v>2015</v>
      </c>
      <c r="C924" s="1436" t="s">
        <v>36</v>
      </c>
      <c r="D924" s="1363" t="s">
        <v>37</v>
      </c>
      <c r="E924" s="1350" t="s">
        <v>2986</v>
      </c>
      <c r="F924" s="1437" t="s">
        <v>2987</v>
      </c>
      <c r="G924" s="1463">
        <v>14110004</v>
      </c>
      <c r="H924" s="1283">
        <v>390000</v>
      </c>
      <c r="I924" s="1353">
        <v>41950</v>
      </c>
      <c r="J924" s="1354">
        <v>150</v>
      </c>
      <c r="K924" s="1353">
        <f>+I924+J924</f>
        <v>42100</v>
      </c>
      <c r="L924" s="1353" t="s">
        <v>41</v>
      </c>
      <c r="M924" s="1353">
        <v>42079</v>
      </c>
      <c r="N924" s="1354">
        <f t="shared" si="120"/>
        <v>-13</v>
      </c>
      <c r="O924" s="1427">
        <v>42083</v>
      </c>
      <c r="P924" s="1438">
        <v>42087</v>
      </c>
      <c r="Q924" s="1438">
        <f>+P924+20</f>
        <v>42107</v>
      </c>
      <c r="R924" s="1354">
        <f t="shared" si="121"/>
        <v>157</v>
      </c>
      <c r="S924" s="1354" t="s">
        <v>2988</v>
      </c>
      <c r="T924" s="1370"/>
      <c r="U924" s="1417" t="str">
        <f t="shared" si="119"/>
        <v>en término</v>
      </c>
      <c r="V924" s="1130" t="str">
        <f t="shared" si="117"/>
        <v>Marzo</v>
      </c>
      <c r="W924" s="1128">
        <f t="shared" si="118"/>
        <v>1</v>
      </c>
    </row>
    <row r="925" spans="1:23" ht="54.95" customHeight="1" thickBot="1" x14ac:dyDescent="0.25">
      <c r="A925" s="1117">
        <v>2015</v>
      </c>
      <c r="B925" s="1117">
        <v>2015</v>
      </c>
      <c r="C925" s="1436" t="s">
        <v>36</v>
      </c>
      <c r="D925" s="1363" t="s">
        <v>37</v>
      </c>
      <c r="E925" s="1350" t="s">
        <v>2990</v>
      </c>
      <c r="F925" s="1437" t="s">
        <v>2991</v>
      </c>
      <c r="G925" s="1463">
        <v>15010001</v>
      </c>
      <c r="H925" s="1283">
        <v>5445</v>
      </c>
      <c r="I925" s="1353">
        <v>42002</v>
      </c>
      <c r="J925" s="1354">
        <v>90</v>
      </c>
      <c r="K925" s="1353">
        <v>42099</v>
      </c>
      <c r="L925" s="1353" t="s">
        <v>41</v>
      </c>
      <c r="M925" s="1353">
        <v>42079</v>
      </c>
      <c r="N925" s="1354">
        <f t="shared" si="120"/>
        <v>-12</v>
      </c>
      <c r="O925" s="1427">
        <v>42083</v>
      </c>
      <c r="P925" s="1438">
        <v>42087</v>
      </c>
      <c r="Q925" s="1438">
        <f>+P925+20</f>
        <v>42107</v>
      </c>
      <c r="R925" s="1354">
        <f t="shared" si="121"/>
        <v>105</v>
      </c>
      <c r="S925" s="1354" t="s">
        <v>433</v>
      </c>
      <c r="T925" s="1370"/>
      <c r="U925" s="1358" t="str">
        <f t="shared" si="119"/>
        <v>en término</v>
      </c>
      <c r="V925" s="1130" t="str">
        <f t="shared" si="117"/>
        <v>Marzo</v>
      </c>
      <c r="W925" s="1128">
        <f t="shared" si="118"/>
        <v>1</v>
      </c>
    </row>
    <row r="926" spans="1:23" ht="54.95" customHeight="1" thickBot="1" x14ac:dyDescent="0.25">
      <c r="A926" s="1117">
        <v>2015</v>
      </c>
      <c r="B926" s="1117">
        <v>2015</v>
      </c>
      <c r="C926" s="1436" t="s">
        <v>36</v>
      </c>
      <c r="D926" s="1363" t="s">
        <v>37</v>
      </c>
      <c r="E926" s="1350" t="s">
        <v>2992</v>
      </c>
      <c r="F926" s="1437" t="s">
        <v>2993</v>
      </c>
      <c r="G926" s="1463">
        <v>14120001</v>
      </c>
      <c r="H926" s="1283">
        <v>185339</v>
      </c>
      <c r="I926" s="1353">
        <v>41975</v>
      </c>
      <c r="J926" s="1354">
        <v>90</v>
      </c>
      <c r="K926" s="1353">
        <f>+I926+J926</f>
        <v>42065</v>
      </c>
      <c r="L926" s="1353" t="s">
        <v>41</v>
      </c>
      <c r="M926" s="1353">
        <v>42100</v>
      </c>
      <c r="N926" s="1354">
        <f t="shared" si="120"/>
        <v>44</v>
      </c>
      <c r="O926" s="1427">
        <v>42107</v>
      </c>
      <c r="P926" s="1438">
        <v>42109</v>
      </c>
      <c r="Q926" s="1438">
        <v>42125</v>
      </c>
      <c r="R926" s="1354">
        <f t="shared" si="121"/>
        <v>150</v>
      </c>
      <c r="S926" s="1354" t="s">
        <v>53</v>
      </c>
      <c r="T926" s="1370"/>
      <c r="U926" s="1358" t="str">
        <f t="shared" si="119"/>
        <v>atrasado</v>
      </c>
      <c r="V926" s="1130" t="str">
        <f t="shared" si="117"/>
        <v>Abril</v>
      </c>
      <c r="W926" s="1128">
        <f t="shared" si="118"/>
        <v>0</v>
      </c>
    </row>
    <row r="927" spans="1:23" ht="54.95" customHeight="1" thickBot="1" x14ac:dyDescent="0.25">
      <c r="A927" s="1117">
        <v>2015</v>
      </c>
      <c r="B927" s="1117">
        <v>2015</v>
      </c>
      <c r="C927" s="1436" t="s">
        <v>36</v>
      </c>
      <c r="D927" s="1363" t="s">
        <v>37</v>
      </c>
      <c r="E927" s="1350" t="s">
        <v>2996</v>
      </c>
      <c r="F927" s="1437" t="s">
        <v>2997</v>
      </c>
      <c r="G927" s="1463">
        <v>15010003</v>
      </c>
      <c r="H927" s="1283">
        <v>79425</v>
      </c>
      <c r="I927" s="1353">
        <v>42003</v>
      </c>
      <c r="J927" s="1354">
        <v>100</v>
      </c>
      <c r="K927" s="1353">
        <f>+I927+J927</f>
        <v>42103</v>
      </c>
      <c r="L927" s="1353" t="s">
        <v>41</v>
      </c>
      <c r="M927" s="1353">
        <v>42100</v>
      </c>
      <c r="N927" s="1354">
        <f t="shared" si="120"/>
        <v>6</v>
      </c>
      <c r="O927" s="1427">
        <v>42107</v>
      </c>
      <c r="P927" s="1438">
        <v>42109</v>
      </c>
      <c r="Q927" s="1438">
        <v>42125</v>
      </c>
      <c r="R927" s="1354">
        <f t="shared" si="121"/>
        <v>122</v>
      </c>
      <c r="S927" s="1354" t="s">
        <v>2998</v>
      </c>
      <c r="T927" s="1370"/>
      <c r="U927" s="1417" t="str">
        <f t="shared" si="119"/>
        <v>atrasado</v>
      </c>
      <c r="V927" s="1130" t="str">
        <f t="shared" si="117"/>
        <v>Abril</v>
      </c>
      <c r="W927" s="1128">
        <f t="shared" si="118"/>
        <v>0</v>
      </c>
    </row>
    <row r="928" spans="1:23" ht="54.95" customHeight="1" thickBot="1" x14ac:dyDescent="0.25">
      <c r="A928" s="1117">
        <v>2015</v>
      </c>
      <c r="B928" s="1117">
        <v>2015</v>
      </c>
      <c r="C928" s="1436" t="s">
        <v>36</v>
      </c>
      <c r="D928" s="1363" t="s">
        <v>37</v>
      </c>
      <c r="E928" s="1350" t="s">
        <v>2999</v>
      </c>
      <c r="F928" s="1437" t="s">
        <v>3000</v>
      </c>
      <c r="G928" s="1463">
        <v>15010004</v>
      </c>
      <c r="H928" s="1283">
        <v>312510</v>
      </c>
      <c r="I928" s="1353">
        <v>42018</v>
      </c>
      <c r="J928" s="1354">
        <v>120</v>
      </c>
      <c r="K928" s="1353">
        <f>+I928+J928</f>
        <v>42138</v>
      </c>
      <c r="L928" s="1353" t="s">
        <v>41</v>
      </c>
      <c r="M928" s="1353">
        <v>42128</v>
      </c>
      <c r="N928" s="1354">
        <f t="shared" si="120"/>
        <v>-2</v>
      </c>
      <c r="O928" s="1427">
        <v>42135</v>
      </c>
      <c r="P928" s="1438">
        <v>42136</v>
      </c>
      <c r="Q928" s="1438">
        <v>42153</v>
      </c>
      <c r="R928" s="1354">
        <f t="shared" si="121"/>
        <v>135</v>
      </c>
      <c r="S928" s="1354" t="s">
        <v>2364</v>
      </c>
      <c r="T928" s="1370"/>
      <c r="U928" s="1417" t="str">
        <f t="shared" si="119"/>
        <v>en término</v>
      </c>
      <c r="V928" s="1130" t="str">
        <f t="shared" si="117"/>
        <v>Mayo</v>
      </c>
      <c r="W928" s="1128">
        <f t="shared" si="118"/>
        <v>1</v>
      </c>
    </row>
    <row r="929" spans="1:23" ht="54.95" customHeight="1" thickBot="1" x14ac:dyDescent="0.25">
      <c r="A929" s="1117">
        <v>2015</v>
      </c>
      <c r="B929" s="1117">
        <v>2015</v>
      </c>
      <c r="C929" s="1436" t="s">
        <v>36</v>
      </c>
      <c r="D929" s="1363" t="s">
        <v>37</v>
      </c>
      <c r="E929" s="1350" t="s">
        <v>3004</v>
      </c>
      <c r="F929" s="1437" t="s">
        <v>3005</v>
      </c>
      <c r="G929" s="1463">
        <v>15020002</v>
      </c>
      <c r="H929" s="1283">
        <v>8160</v>
      </c>
      <c r="I929" s="1353">
        <v>42034</v>
      </c>
      <c r="J929" s="1354">
        <v>100</v>
      </c>
      <c r="K929" s="1353">
        <f>+I929+J929</f>
        <v>42134</v>
      </c>
      <c r="L929" s="1353" t="s">
        <v>41</v>
      </c>
      <c r="M929" s="1353">
        <v>42128</v>
      </c>
      <c r="N929" s="1354">
        <f t="shared" si="120"/>
        <v>2</v>
      </c>
      <c r="O929" s="1427">
        <v>42135</v>
      </c>
      <c r="P929" s="1438">
        <v>42136</v>
      </c>
      <c r="Q929" s="1438">
        <v>42153</v>
      </c>
      <c r="R929" s="1354">
        <f t="shared" si="121"/>
        <v>119</v>
      </c>
      <c r="S929" s="1354" t="s">
        <v>3006</v>
      </c>
      <c r="T929" s="1370"/>
      <c r="U929" s="1358" t="str">
        <f t="shared" si="119"/>
        <v>atrasado</v>
      </c>
      <c r="V929" s="1130" t="str">
        <f t="shared" si="117"/>
        <v>Mayo</v>
      </c>
      <c r="W929" s="1128">
        <f t="shared" si="118"/>
        <v>0</v>
      </c>
    </row>
    <row r="930" spans="1:23" ht="54.95" customHeight="1" thickBot="1" x14ac:dyDescent="0.25">
      <c r="A930" s="1117">
        <v>2015</v>
      </c>
      <c r="B930" s="1117">
        <v>2015</v>
      </c>
      <c r="C930" s="1436" t="s">
        <v>36</v>
      </c>
      <c r="D930" s="1363" t="s">
        <v>37</v>
      </c>
      <c r="E930" s="1350" t="s">
        <v>3007</v>
      </c>
      <c r="F930" s="1437" t="s">
        <v>3008</v>
      </c>
      <c r="G930" s="1463">
        <v>15020001</v>
      </c>
      <c r="H930" s="1283">
        <v>67650</v>
      </c>
      <c r="I930" s="1353">
        <v>42034</v>
      </c>
      <c r="J930" s="1354">
        <v>120</v>
      </c>
      <c r="K930" s="1353">
        <f>+I930+J930</f>
        <v>42154</v>
      </c>
      <c r="L930" s="1353" t="s">
        <v>41</v>
      </c>
      <c r="M930" s="1353">
        <v>42128</v>
      </c>
      <c r="N930" s="1354">
        <f t="shared" si="120"/>
        <v>-18</v>
      </c>
      <c r="O930" s="1427">
        <v>42135</v>
      </c>
      <c r="P930" s="1438">
        <v>42136</v>
      </c>
      <c r="Q930" s="1438">
        <v>42153</v>
      </c>
      <c r="R930" s="1354">
        <f t="shared" si="121"/>
        <v>119</v>
      </c>
      <c r="S930" s="1354" t="s">
        <v>53</v>
      </c>
      <c r="T930" s="1370"/>
      <c r="U930" s="1358" t="str">
        <f t="shared" si="119"/>
        <v>en término</v>
      </c>
      <c r="V930" s="1130" t="str">
        <f t="shared" si="117"/>
        <v>Mayo</v>
      </c>
      <c r="W930" s="1128">
        <f t="shared" si="118"/>
        <v>1</v>
      </c>
    </row>
    <row r="931" spans="1:23" ht="54.95" customHeight="1" thickBot="1" x14ac:dyDescent="0.25">
      <c r="A931" s="1117">
        <v>2015</v>
      </c>
      <c r="B931" s="1117">
        <v>2015</v>
      </c>
      <c r="C931" s="1436" t="s">
        <v>36</v>
      </c>
      <c r="D931" s="1363" t="s">
        <v>37</v>
      </c>
      <c r="E931" s="1350" t="s">
        <v>3009</v>
      </c>
      <c r="F931" s="1437" t="s">
        <v>3010</v>
      </c>
      <c r="G931" s="1463">
        <v>15030001</v>
      </c>
      <c r="H931" s="1283">
        <v>15600</v>
      </c>
      <c r="I931" s="1353">
        <v>42065</v>
      </c>
      <c r="J931" s="1354">
        <f>+K931-I931</f>
        <v>71</v>
      </c>
      <c r="K931" s="1353">
        <v>42136</v>
      </c>
      <c r="L931" s="1353" t="s">
        <v>41</v>
      </c>
      <c r="M931" s="1353">
        <v>42128</v>
      </c>
      <c r="N931" s="1354">
        <f t="shared" si="120"/>
        <v>0</v>
      </c>
      <c r="O931" s="1427">
        <v>42135</v>
      </c>
      <c r="P931" s="1438">
        <v>42136</v>
      </c>
      <c r="Q931" s="1438">
        <v>42153</v>
      </c>
      <c r="R931" s="1354">
        <f t="shared" si="121"/>
        <v>88</v>
      </c>
      <c r="S931" s="1354" t="s">
        <v>3011</v>
      </c>
      <c r="T931" s="1370"/>
      <c r="U931" s="1417" t="str">
        <f t="shared" si="119"/>
        <v>en término</v>
      </c>
      <c r="V931" s="1130" t="str">
        <f t="shared" si="117"/>
        <v>Mayo</v>
      </c>
      <c r="W931" s="1128">
        <f t="shared" si="118"/>
        <v>1</v>
      </c>
    </row>
    <row r="932" spans="1:23" ht="54.95" customHeight="1" thickBot="1" x14ac:dyDescent="0.25">
      <c r="A932" s="1117">
        <v>2015</v>
      </c>
      <c r="B932" s="1117">
        <v>2015</v>
      </c>
      <c r="C932" s="1436" t="s">
        <v>36</v>
      </c>
      <c r="D932" s="1363" t="s">
        <v>37</v>
      </c>
      <c r="E932" s="1350" t="s">
        <v>3012</v>
      </c>
      <c r="F932" s="1437" t="s">
        <v>3013</v>
      </c>
      <c r="G932" s="1463">
        <v>15040001</v>
      </c>
      <c r="H932" s="1283">
        <v>89500</v>
      </c>
      <c r="I932" s="1353">
        <v>42081</v>
      </c>
      <c r="J932" s="1354">
        <v>100</v>
      </c>
      <c r="K932" s="1353">
        <f>+I932+J932</f>
        <v>42181</v>
      </c>
      <c r="L932" s="1353" t="s">
        <v>41</v>
      </c>
      <c r="M932" s="1353">
        <v>42163</v>
      </c>
      <c r="N932" s="1354">
        <f t="shared" si="120"/>
        <v>-10</v>
      </c>
      <c r="O932" s="1427">
        <v>42169</v>
      </c>
      <c r="P932" s="1438">
        <v>42171</v>
      </c>
      <c r="Q932" s="1355">
        <v>42188</v>
      </c>
      <c r="R932" s="1354">
        <f t="shared" si="121"/>
        <v>107</v>
      </c>
      <c r="S932" s="1354" t="s">
        <v>3015</v>
      </c>
      <c r="T932" s="1370"/>
      <c r="U932" s="1417" t="str">
        <f t="shared" si="119"/>
        <v>en término</v>
      </c>
      <c r="V932" s="1130" t="str">
        <f t="shared" si="117"/>
        <v>Junio</v>
      </c>
      <c r="W932" s="1128">
        <f t="shared" si="118"/>
        <v>1</v>
      </c>
    </row>
    <row r="933" spans="1:23" ht="54.95" customHeight="1" thickBot="1" x14ac:dyDescent="0.25">
      <c r="A933" s="1117">
        <v>2015</v>
      </c>
      <c r="B933" s="1117">
        <v>2015</v>
      </c>
      <c r="C933" s="1436" t="s">
        <v>36</v>
      </c>
      <c r="D933" s="1363" t="s">
        <v>37</v>
      </c>
      <c r="E933" s="1350" t="s">
        <v>3017</v>
      </c>
      <c r="F933" s="1437" t="s">
        <v>3018</v>
      </c>
      <c r="G933" s="1463">
        <v>15050001</v>
      </c>
      <c r="H933" s="1283">
        <v>9060</v>
      </c>
      <c r="I933" s="1353">
        <v>42130</v>
      </c>
      <c r="J933" s="1354">
        <f t="shared" ref="J933:J945" si="122">+K933-I933</f>
        <v>89</v>
      </c>
      <c r="K933" s="1353">
        <v>42219</v>
      </c>
      <c r="L933" s="1353" t="s">
        <v>41</v>
      </c>
      <c r="M933" s="1353">
        <v>42202</v>
      </c>
      <c r="N933" s="1354">
        <f t="shared" si="120"/>
        <v>-6</v>
      </c>
      <c r="O933" s="1427">
        <v>42212</v>
      </c>
      <c r="P933" s="1438">
        <v>42213</v>
      </c>
      <c r="Q933" s="1355">
        <v>42230</v>
      </c>
      <c r="R933" s="1354">
        <f t="shared" si="121"/>
        <v>100</v>
      </c>
      <c r="S933" s="1354" t="s">
        <v>53</v>
      </c>
      <c r="T933" s="1370"/>
      <c r="U933" s="1358" t="str">
        <f t="shared" si="119"/>
        <v>en término</v>
      </c>
      <c r="V933" s="1130" t="str">
        <f t="shared" si="117"/>
        <v>Julio</v>
      </c>
      <c r="W933" s="1128">
        <f t="shared" si="118"/>
        <v>1</v>
      </c>
    </row>
    <row r="934" spans="1:23" ht="54.95" customHeight="1" thickBot="1" x14ac:dyDescent="0.25">
      <c r="A934" s="1117">
        <v>2015</v>
      </c>
      <c r="B934" s="1117">
        <v>2015</v>
      </c>
      <c r="C934" s="1436" t="s">
        <v>36</v>
      </c>
      <c r="D934" s="1363" t="s">
        <v>37</v>
      </c>
      <c r="E934" s="1350" t="s">
        <v>3022</v>
      </c>
      <c r="F934" s="1437" t="s">
        <v>3023</v>
      </c>
      <c r="G934" s="1463">
        <v>15050002</v>
      </c>
      <c r="H934" s="1283">
        <v>10640</v>
      </c>
      <c r="I934" s="1353">
        <v>42131</v>
      </c>
      <c r="J934" s="1354">
        <f t="shared" si="122"/>
        <v>96</v>
      </c>
      <c r="K934" s="1353">
        <v>42227</v>
      </c>
      <c r="L934" s="1353" t="s">
        <v>41</v>
      </c>
      <c r="M934" s="1353">
        <v>42202</v>
      </c>
      <c r="N934" s="1354">
        <f t="shared" si="120"/>
        <v>-14</v>
      </c>
      <c r="O934" s="1427">
        <v>42212</v>
      </c>
      <c r="P934" s="1438">
        <v>42213</v>
      </c>
      <c r="Q934" s="1355">
        <v>42230</v>
      </c>
      <c r="R934" s="1354">
        <f t="shared" si="121"/>
        <v>99</v>
      </c>
      <c r="S934" s="1354" t="s">
        <v>3024</v>
      </c>
      <c r="T934" s="1370"/>
      <c r="U934" s="1358" t="str">
        <f t="shared" si="119"/>
        <v>en término</v>
      </c>
      <c r="V934" s="1130" t="str">
        <f t="shared" si="117"/>
        <v>Julio</v>
      </c>
      <c r="W934" s="1128">
        <f t="shared" si="118"/>
        <v>1</v>
      </c>
    </row>
    <row r="935" spans="1:23" ht="54.95" customHeight="1" thickBot="1" x14ac:dyDescent="0.25">
      <c r="A935" s="1117">
        <v>2015</v>
      </c>
      <c r="B935" s="1117">
        <v>2015</v>
      </c>
      <c r="C935" s="1436" t="s">
        <v>36</v>
      </c>
      <c r="D935" s="1363" t="s">
        <v>2180</v>
      </c>
      <c r="E935" s="1350" t="s">
        <v>3033</v>
      </c>
      <c r="F935" s="1437"/>
      <c r="G935" s="1463">
        <v>38536</v>
      </c>
      <c r="H935" s="1283">
        <v>14164</v>
      </c>
      <c r="I935" s="1353">
        <v>42132</v>
      </c>
      <c r="J935" s="1354">
        <f t="shared" si="122"/>
        <v>100</v>
      </c>
      <c r="K935" s="1353">
        <v>42232</v>
      </c>
      <c r="L935" s="1353" t="s">
        <v>41</v>
      </c>
      <c r="M935" s="1353">
        <v>42216</v>
      </c>
      <c r="N935" s="1354">
        <f t="shared" si="120"/>
        <v>0</v>
      </c>
      <c r="O935" s="1427">
        <v>42222</v>
      </c>
      <c r="P935" s="1355">
        <v>42232</v>
      </c>
      <c r="Q935" s="1355">
        <v>42252</v>
      </c>
      <c r="R935" s="1354">
        <f t="shared" si="121"/>
        <v>120</v>
      </c>
      <c r="S935" s="1354" t="s">
        <v>53</v>
      </c>
      <c r="T935" s="1370"/>
      <c r="U935" s="1417" t="str">
        <f t="shared" si="119"/>
        <v>en término</v>
      </c>
      <c r="V935" s="1130" t="str">
        <f t="shared" si="117"/>
        <v>Julio</v>
      </c>
      <c r="W935" s="1128">
        <f t="shared" si="118"/>
        <v>1</v>
      </c>
    </row>
    <row r="936" spans="1:23" ht="54.95" customHeight="1" thickBot="1" x14ac:dyDescent="0.25">
      <c r="A936" s="1117">
        <v>2015</v>
      </c>
      <c r="B936" s="1117">
        <v>2015</v>
      </c>
      <c r="C936" s="1436" t="s">
        <v>36</v>
      </c>
      <c r="D936" s="1363" t="s">
        <v>37</v>
      </c>
      <c r="E936" s="1350" t="s">
        <v>3025</v>
      </c>
      <c r="F936" s="1437" t="s">
        <v>3026</v>
      </c>
      <c r="G936" s="1463">
        <v>15050004</v>
      </c>
      <c r="H936" s="1283">
        <v>393930</v>
      </c>
      <c r="I936" s="1353">
        <v>42149</v>
      </c>
      <c r="J936" s="1354">
        <f t="shared" si="122"/>
        <v>82</v>
      </c>
      <c r="K936" s="1353">
        <v>42231</v>
      </c>
      <c r="L936" s="1353" t="s">
        <v>41</v>
      </c>
      <c r="M936" s="1353">
        <v>42202</v>
      </c>
      <c r="N936" s="1354">
        <f t="shared" si="120"/>
        <v>-18</v>
      </c>
      <c r="O936" s="1427">
        <v>42212</v>
      </c>
      <c r="P936" s="1438">
        <v>42213</v>
      </c>
      <c r="Q936" s="1355">
        <v>42230</v>
      </c>
      <c r="R936" s="1354">
        <f t="shared" si="121"/>
        <v>81</v>
      </c>
      <c r="S936" s="1354" t="s">
        <v>3027</v>
      </c>
      <c r="T936" s="1370"/>
      <c r="U936" s="1417" t="str">
        <f t="shared" si="119"/>
        <v>en término</v>
      </c>
      <c r="V936" s="1130" t="str">
        <f t="shared" si="117"/>
        <v>Julio</v>
      </c>
      <c r="W936" s="1128">
        <f t="shared" si="118"/>
        <v>1</v>
      </c>
    </row>
    <row r="937" spans="1:23" ht="54.95" customHeight="1" thickBot="1" x14ac:dyDescent="0.25">
      <c r="A937" s="1117">
        <v>2015</v>
      </c>
      <c r="B937" s="1117">
        <v>2015</v>
      </c>
      <c r="C937" s="1436" t="s">
        <v>36</v>
      </c>
      <c r="D937" s="1363" t="s">
        <v>37</v>
      </c>
      <c r="E937" s="1350" t="s">
        <v>3050</v>
      </c>
      <c r="F937" s="1437" t="s">
        <v>3051</v>
      </c>
      <c r="G937" s="1463">
        <v>15050003</v>
      </c>
      <c r="H937" s="1283">
        <v>366120</v>
      </c>
      <c r="I937" s="1353">
        <v>42150</v>
      </c>
      <c r="J937" s="1354">
        <f t="shared" si="122"/>
        <v>126</v>
      </c>
      <c r="K937" s="1353">
        <v>42276</v>
      </c>
      <c r="L937" s="1353" t="s">
        <v>41</v>
      </c>
      <c r="M937" s="1353">
        <v>42261</v>
      </c>
      <c r="N937" s="1354">
        <f t="shared" si="120"/>
        <v>-4</v>
      </c>
      <c r="O937" s="1427">
        <v>42268</v>
      </c>
      <c r="P937" s="1438">
        <v>42272</v>
      </c>
      <c r="Q937" s="1355">
        <v>42286</v>
      </c>
      <c r="R937" s="1354">
        <f t="shared" si="121"/>
        <v>136</v>
      </c>
      <c r="S937" s="1354" t="s">
        <v>6381</v>
      </c>
      <c r="T937" s="1370"/>
      <c r="U937" s="1358" t="str">
        <f t="shared" si="119"/>
        <v>en término</v>
      </c>
      <c r="V937" s="1130" t="str">
        <f t="shared" si="117"/>
        <v>Septiembre</v>
      </c>
      <c r="W937" s="1128">
        <f t="shared" si="118"/>
        <v>1</v>
      </c>
    </row>
    <row r="938" spans="1:23" ht="54.95" customHeight="1" thickBot="1" x14ac:dyDescent="0.25">
      <c r="A938" s="1117">
        <v>2015</v>
      </c>
      <c r="B938" s="1117">
        <v>2015</v>
      </c>
      <c r="C938" s="1436" t="s">
        <v>36</v>
      </c>
      <c r="D938" s="1363" t="s">
        <v>37</v>
      </c>
      <c r="E938" s="1350" t="s">
        <v>3029</v>
      </c>
      <c r="F938" s="1437" t="s">
        <v>3030</v>
      </c>
      <c r="G938" s="1463">
        <v>15050005</v>
      </c>
      <c r="H938" s="1283">
        <v>8050</v>
      </c>
      <c r="I938" s="1353">
        <v>42151</v>
      </c>
      <c r="J938" s="1354">
        <f t="shared" si="122"/>
        <v>93</v>
      </c>
      <c r="K938" s="1353">
        <v>42244</v>
      </c>
      <c r="L938" s="1353" t="s">
        <v>41</v>
      </c>
      <c r="M938" s="1353">
        <v>42202</v>
      </c>
      <c r="N938" s="1354">
        <f t="shared" si="120"/>
        <v>-31</v>
      </c>
      <c r="O938" s="1427">
        <v>42212</v>
      </c>
      <c r="P938" s="1438">
        <v>42213</v>
      </c>
      <c r="Q938" s="1355">
        <v>42230</v>
      </c>
      <c r="R938" s="1354">
        <f t="shared" si="121"/>
        <v>79</v>
      </c>
      <c r="S938" s="1354" t="s">
        <v>2239</v>
      </c>
      <c r="T938" s="1370"/>
      <c r="U938" s="1358" t="str">
        <f t="shared" si="119"/>
        <v>en término</v>
      </c>
      <c r="V938" s="1130" t="str">
        <f t="shared" si="117"/>
        <v>Julio</v>
      </c>
      <c r="W938" s="1128">
        <f t="shared" si="118"/>
        <v>1</v>
      </c>
    </row>
    <row r="939" spans="1:23" ht="54.95" customHeight="1" thickBot="1" x14ac:dyDescent="0.25">
      <c r="A939" s="1117">
        <v>2015</v>
      </c>
      <c r="B939" s="1117">
        <v>2015</v>
      </c>
      <c r="C939" s="1436" t="s">
        <v>36</v>
      </c>
      <c r="D939" s="1363" t="s">
        <v>37</v>
      </c>
      <c r="E939" s="1350" t="s">
        <v>3036</v>
      </c>
      <c r="F939" s="1437" t="s">
        <v>3037</v>
      </c>
      <c r="G939" s="1463">
        <v>15060001</v>
      </c>
      <c r="H939" s="1283">
        <v>30276</v>
      </c>
      <c r="I939" s="1353">
        <v>42157</v>
      </c>
      <c r="J939" s="1354">
        <f t="shared" si="122"/>
        <v>76</v>
      </c>
      <c r="K939" s="1353">
        <v>42233</v>
      </c>
      <c r="L939" s="1353" t="s">
        <v>41</v>
      </c>
      <c r="M939" s="1353">
        <v>42223</v>
      </c>
      <c r="N939" s="1354">
        <f t="shared" si="120"/>
        <v>9</v>
      </c>
      <c r="O939" s="1427">
        <v>42239</v>
      </c>
      <c r="P939" s="1438">
        <v>42242</v>
      </c>
      <c r="Q939" s="1355">
        <v>42258</v>
      </c>
      <c r="R939" s="1354">
        <f t="shared" si="121"/>
        <v>101</v>
      </c>
      <c r="S939" s="1354" t="s">
        <v>53</v>
      </c>
      <c r="T939" s="1370"/>
      <c r="U939" s="1417" t="str">
        <f t="shared" si="119"/>
        <v>atrasado</v>
      </c>
      <c r="V939" s="1130" t="str">
        <f t="shared" si="117"/>
        <v>Agosto</v>
      </c>
      <c r="W939" s="1128">
        <f t="shared" si="118"/>
        <v>0</v>
      </c>
    </row>
    <row r="940" spans="1:23" ht="54.95" customHeight="1" thickBot="1" x14ac:dyDescent="0.25">
      <c r="A940" s="1117">
        <v>2015</v>
      </c>
      <c r="B940" s="1117">
        <v>2015</v>
      </c>
      <c r="C940" s="1436" t="s">
        <v>36</v>
      </c>
      <c r="D940" s="1363" t="s">
        <v>37</v>
      </c>
      <c r="E940" s="1350" t="s">
        <v>3061</v>
      </c>
      <c r="F940" s="1437" t="s">
        <v>3062</v>
      </c>
      <c r="G940" s="1463">
        <v>15060002</v>
      </c>
      <c r="H940" s="1283">
        <v>47260</v>
      </c>
      <c r="I940" s="1353">
        <v>42158</v>
      </c>
      <c r="J940" s="1354">
        <f t="shared" si="122"/>
        <v>167</v>
      </c>
      <c r="K940" s="1353">
        <v>42325</v>
      </c>
      <c r="L940" s="1353" t="s">
        <v>41</v>
      </c>
      <c r="M940" s="1353">
        <v>42282</v>
      </c>
      <c r="N940" s="1354">
        <f t="shared" si="120"/>
        <v>-30</v>
      </c>
      <c r="O940" s="1427">
        <v>42293</v>
      </c>
      <c r="P940" s="1438">
        <v>42295</v>
      </c>
      <c r="Q940" s="1355">
        <v>42310</v>
      </c>
      <c r="R940" s="1354">
        <f t="shared" si="121"/>
        <v>152</v>
      </c>
      <c r="S940" s="1354" t="s">
        <v>53</v>
      </c>
      <c r="T940" s="1370"/>
      <c r="U940" s="1417" t="str">
        <f t="shared" si="119"/>
        <v>en término</v>
      </c>
      <c r="V940" s="1130" t="str">
        <f t="shared" si="117"/>
        <v>Octubre</v>
      </c>
      <c r="W940" s="1128">
        <f t="shared" si="118"/>
        <v>1</v>
      </c>
    </row>
    <row r="941" spans="1:23" ht="54.95" customHeight="1" thickBot="1" x14ac:dyDescent="0.25">
      <c r="A941" s="1117">
        <v>2015</v>
      </c>
      <c r="B941" s="1117">
        <v>2015</v>
      </c>
      <c r="C941" s="1436" t="s">
        <v>36</v>
      </c>
      <c r="D941" s="1363" t="s">
        <v>37</v>
      </c>
      <c r="E941" s="1350" t="s">
        <v>3040</v>
      </c>
      <c r="F941" s="1437" t="s">
        <v>3041</v>
      </c>
      <c r="G941" s="1463">
        <v>15060004</v>
      </c>
      <c r="H941" s="1283">
        <v>2140</v>
      </c>
      <c r="I941" s="1353">
        <v>42160</v>
      </c>
      <c r="J941" s="1354">
        <f t="shared" si="122"/>
        <v>53</v>
      </c>
      <c r="K941" s="1353">
        <v>42213</v>
      </c>
      <c r="L941" s="1353" t="s">
        <v>41</v>
      </c>
      <c r="M941" s="1353">
        <v>42223</v>
      </c>
      <c r="N941" s="1354">
        <f t="shared" si="120"/>
        <v>29</v>
      </c>
      <c r="O941" s="1427">
        <v>42239</v>
      </c>
      <c r="P941" s="1438">
        <v>42242</v>
      </c>
      <c r="Q941" s="1355">
        <v>42258</v>
      </c>
      <c r="R941" s="1354">
        <f t="shared" si="121"/>
        <v>98</v>
      </c>
      <c r="S941" s="1354" t="s">
        <v>53</v>
      </c>
      <c r="T941" s="1370"/>
      <c r="U941" s="1358" t="str">
        <f t="shared" si="119"/>
        <v>atrasado</v>
      </c>
      <c r="V941" s="1130" t="str">
        <f t="shared" si="117"/>
        <v>Agosto</v>
      </c>
      <c r="W941" s="1128">
        <f t="shared" si="118"/>
        <v>0</v>
      </c>
    </row>
    <row r="942" spans="1:23" ht="54.95" customHeight="1" thickBot="1" x14ac:dyDescent="0.25">
      <c r="A942" s="1117">
        <v>2015</v>
      </c>
      <c r="B942" s="1117">
        <v>2015</v>
      </c>
      <c r="C942" s="1436" t="s">
        <v>36</v>
      </c>
      <c r="D942" s="1363" t="s">
        <v>37</v>
      </c>
      <c r="E942" s="1350" t="s">
        <v>3042</v>
      </c>
      <c r="F942" s="1437" t="s">
        <v>3043</v>
      </c>
      <c r="G942" s="1463">
        <v>15060003</v>
      </c>
      <c r="H942" s="1283">
        <v>475</v>
      </c>
      <c r="I942" s="1353">
        <v>42165</v>
      </c>
      <c r="J942" s="1354">
        <f t="shared" si="122"/>
        <v>60</v>
      </c>
      <c r="K942" s="1353">
        <v>42225</v>
      </c>
      <c r="L942" s="1353" t="s">
        <v>41</v>
      </c>
      <c r="M942" s="1353">
        <v>42223</v>
      </c>
      <c r="N942" s="1354">
        <f t="shared" si="120"/>
        <v>17</v>
      </c>
      <c r="O942" s="1427">
        <v>42239</v>
      </c>
      <c r="P942" s="1438">
        <v>42242</v>
      </c>
      <c r="Q942" s="1355">
        <v>42258</v>
      </c>
      <c r="R942" s="1354">
        <f t="shared" si="121"/>
        <v>93</v>
      </c>
      <c r="S942" s="1354" t="s">
        <v>53</v>
      </c>
      <c r="T942" s="1370"/>
      <c r="U942" s="1358" t="str">
        <f t="shared" si="119"/>
        <v>atrasado</v>
      </c>
      <c r="V942" s="1130" t="str">
        <f t="shared" si="117"/>
        <v>Agosto</v>
      </c>
      <c r="W942" s="1128">
        <f t="shared" si="118"/>
        <v>0</v>
      </c>
    </row>
    <row r="943" spans="1:23" ht="54.95" customHeight="1" thickBot="1" x14ac:dyDescent="0.25">
      <c r="A943" s="1117">
        <v>2015</v>
      </c>
      <c r="B943" s="1117">
        <v>2015</v>
      </c>
      <c r="C943" s="1436" t="s">
        <v>36</v>
      </c>
      <c r="D943" s="1363" t="s">
        <v>37</v>
      </c>
      <c r="E943" s="1350" t="s">
        <v>3044</v>
      </c>
      <c r="F943" s="1437" t="s">
        <v>3045</v>
      </c>
      <c r="G943" s="1463">
        <v>15060005</v>
      </c>
      <c r="H943" s="1283">
        <v>9200</v>
      </c>
      <c r="I943" s="1353">
        <v>42174</v>
      </c>
      <c r="J943" s="1354">
        <f t="shared" si="122"/>
        <v>92</v>
      </c>
      <c r="K943" s="1353">
        <v>42266</v>
      </c>
      <c r="L943" s="1353" t="s">
        <v>41</v>
      </c>
      <c r="M943" s="1353">
        <v>42223</v>
      </c>
      <c r="N943" s="1354">
        <f t="shared" si="120"/>
        <v>-24</v>
      </c>
      <c r="O943" s="1427">
        <v>42239</v>
      </c>
      <c r="P943" s="1438">
        <v>42242</v>
      </c>
      <c r="Q943" s="1355">
        <v>42258</v>
      </c>
      <c r="R943" s="1354">
        <f t="shared" si="121"/>
        <v>84</v>
      </c>
      <c r="S943" s="1354" t="s">
        <v>53</v>
      </c>
      <c r="T943" s="1370"/>
      <c r="U943" s="1417" t="str">
        <f t="shared" si="119"/>
        <v>en término</v>
      </c>
      <c r="V943" s="1130" t="str">
        <f t="shared" si="117"/>
        <v>Agosto</v>
      </c>
      <c r="W943" s="1128">
        <f t="shared" si="118"/>
        <v>1</v>
      </c>
    </row>
    <row r="944" spans="1:23" ht="54.95" customHeight="1" thickBot="1" x14ac:dyDescent="0.25">
      <c r="A944" s="1117">
        <v>2015</v>
      </c>
      <c r="B944" s="1117">
        <v>2015</v>
      </c>
      <c r="C944" s="1436" t="s">
        <v>36</v>
      </c>
      <c r="D944" s="1363" t="s">
        <v>37</v>
      </c>
      <c r="E944" s="1350" t="s">
        <v>3046</v>
      </c>
      <c r="F944" s="1437" t="s">
        <v>3047</v>
      </c>
      <c r="G944" s="1463">
        <v>15060006</v>
      </c>
      <c r="H944" s="1283">
        <v>275</v>
      </c>
      <c r="I944" s="1353">
        <v>42181</v>
      </c>
      <c r="J944" s="1354">
        <f t="shared" si="122"/>
        <v>85</v>
      </c>
      <c r="K944" s="1353">
        <v>42266</v>
      </c>
      <c r="L944" s="1353" t="s">
        <v>41</v>
      </c>
      <c r="M944" s="1353">
        <v>42223</v>
      </c>
      <c r="N944" s="1354">
        <f t="shared" si="120"/>
        <v>-24</v>
      </c>
      <c r="O944" s="1427">
        <v>42239</v>
      </c>
      <c r="P944" s="1438">
        <v>42242</v>
      </c>
      <c r="Q944" s="1355">
        <v>42258</v>
      </c>
      <c r="R944" s="1354">
        <f t="shared" si="121"/>
        <v>77</v>
      </c>
      <c r="S944" s="1354" t="s">
        <v>53</v>
      </c>
      <c r="T944" s="1370"/>
      <c r="U944" s="1417" t="str">
        <f t="shared" si="119"/>
        <v>en término</v>
      </c>
      <c r="V944" s="1130" t="str">
        <f t="shared" si="117"/>
        <v>Agosto</v>
      </c>
      <c r="W944" s="1128">
        <f t="shared" si="118"/>
        <v>1</v>
      </c>
    </row>
    <row r="945" spans="1:23" ht="54.95" customHeight="1" thickBot="1" x14ac:dyDescent="0.25">
      <c r="A945" s="1117">
        <v>2015</v>
      </c>
      <c r="B945" s="1117">
        <v>2015</v>
      </c>
      <c r="C945" s="1436" t="s">
        <v>36</v>
      </c>
      <c r="D945" s="1363" t="s">
        <v>37</v>
      </c>
      <c r="E945" s="1350" t="s">
        <v>3048</v>
      </c>
      <c r="F945" s="1437" t="s">
        <v>3049</v>
      </c>
      <c r="G945" s="1463">
        <v>15060007</v>
      </c>
      <c r="H945" s="1283">
        <v>1680</v>
      </c>
      <c r="I945" s="1353">
        <v>42181</v>
      </c>
      <c r="J945" s="1354">
        <f t="shared" si="122"/>
        <v>92</v>
      </c>
      <c r="K945" s="1353">
        <v>42273</v>
      </c>
      <c r="L945" s="1353" t="s">
        <v>41</v>
      </c>
      <c r="M945" s="1353">
        <v>42223</v>
      </c>
      <c r="N945" s="1354">
        <f t="shared" si="120"/>
        <v>-31</v>
      </c>
      <c r="O945" s="1427">
        <v>42239</v>
      </c>
      <c r="P945" s="1438">
        <v>42242</v>
      </c>
      <c r="Q945" s="1355">
        <v>42258</v>
      </c>
      <c r="R945" s="1354">
        <f t="shared" si="121"/>
        <v>77</v>
      </c>
      <c r="S945" s="1354" t="s">
        <v>53</v>
      </c>
      <c r="T945" s="1370"/>
      <c r="U945" s="1358" t="str">
        <f t="shared" si="119"/>
        <v>en término</v>
      </c>
      <c r="V945" s="1130" t="str">
        <f t="shared" si="117"/>
        <v>Agosto</v>
      </c>
      <c r="W945" s="1128">
        <f t="shared" si="118"/>
        <v>1</v>
      </c>
    </row>
    <row r="946" spans="1:23" ht="54.95" customHeight="1" thickBot="1" x14ac:dyDescent="0.25">
      <c r="A946" s="1117">
        <v>2015</v>
      </c>
      <c r="B946" s="1117">
        <v>2015</v>
      </c>
      <c r="C946" s="1436" t="s">
        <v>36</v>
      </c>
      <c r="D946" s="1363" t="s">
        <v>37</v>
      </c>
      <c r="E946" s="1350" t="s">
        <v>3057</v>
      </c>
      <c r="F946" s="1437" t="s">
        <v>3058</v>
      </c>
      <c r="G946" s="1463">
        <v>15070002</v>
      </c>
      <c r="H946" s="1283">
        <v>800</v>
      </c>
      <c r="I946" s="1353">
        <v>42213</v>
      </c>
      <c r="J946" s="1354">
        <v>88</v>
      </c>
      <c r="K946" s="1353">
        <f>+I946+J946</f>
        <v>42301</v>
      </c>
      <c r="L946" s="1353" t="s">
        <v>41</v>
      </c>
      <c r="M946" s="1353">
        <v>42261</v>
      </c>
      <c r="N946" s="1354">
        <f t="shared" si="120"/>
        <v>-29</v>
      </c>
      <c r="O946" s="1427">
        <v>42268</v>
      </c>
      <c r="P946" s="1438">
        <v>42272</v>
      </c>
      <c r="Q946" s="1355">
        <v>42286</v>
      </c>
      <c r="R946" s="1354">
        <f>IF(Q946="","",+Q946-I910)</f>
        <v>79</v>
      </c>
      <c r="S946" s="1354" t="s">
        <v>3059</v>
      </c>
      <c r="T946" s="1370" t="s">
        <v>3060</v>
      </c>
      <c r="U946" s="1417" t="str">
        <f t="shared" si="119"/>
        <v>en término</v>
      </c>
      <c r="V946" s="1130" t="str">
        <f t="shared" si="117"/>
        <v>Septiembre</v>
      </c>
      <c r="W946" s="1128">
        <f t="shared" si="118"/>
        <v>1</v>
      </c>
    </row>
    <row r="947" spans="1:23" ht="54.95" customHeight="1" thickBot="1" x14ac:dyDescent="0.25">
      <c r="A947" s="1117">
        <v>2015</v>
      </c>
      <c r="B947" s="1117">
        <v>2015</v>
      </c>
      <c r="C947" s="1436" t="s">
        <v>36</v>
      </c>
      <c r="D947" s="1363" t="s">
        <v>37</v>
      </c>
      <c r="E947" s="1350" t="s">
        <v>3068</v>
      </c>
      <c r="F947" s="1437" t="s">
        <v>3069</v>
      </c>
      <c r="G947" s="1463">
        <v>15080002</v>
      </c>
      <c r="H947" s="1283">
        <v>149820.79999999999</v>
      </c>
      <c r="I947" s="1353">
        <v>42234</v>
      </c>
      <c r="J947" s="1354">
        <v>150</v>
      </c>
      <c r="K947" s="1353">
        <f>+I947+J947</f>
        <v>42384</v>
      </c>
      <c r="L947" s="1353" t="s">
        <v>41</v>
      </c>
      <c r="M947" s="1353">
        <v>42352</v>
      </c>
      <c r="N947" s="1354">
        <f t="shared" si="120"/>
        <v>-23</v>
      </c>
      <c r="O947" s="1427">
        <v>42359</v>
      </c>
      <c r="P947" s="1438">
        <v>42361</v>
      </c>
      <c r="Q947" s="1355">
        <v>42377</v>
      </c>
      <c r="R947" s="1354">
        <f t="shared" ref="R947:R978" si="123">IF(Q947="","",+Q947-I947)</f>
        <v>143</v>
      </c>
      <c r="S947" s="1354" t="s">
        <v>6382</v>
      </c>
      <c r="T947" s="1370"/>
      <c r="U947" s="1417" t="str">
        <f t="shared" si="119"/>
        <v>en término</v>
      </c>
      <c r="V947" s="1130" t="str">
        <f t="shared" si="117"/>
        <v>Diciembre</v>
      </c>
      <c r="W947" s="1128">
        <f t="shared" si="118"/>
        <v>1</v>
      </c>
    </row>
    <row r="948" spans="1:23" ht="54.95" customHeight="1" thickBot="1" x14ac:dyDescent="0.25">
      <c r="A948" s="1117">
        <v>2015</v>
      </c>
      <c r="B948" s="1117">
        <v>2015</v>
      </c>
      <c r="C948" s="1436" t="s">
        <v>36</v>
      </c>
      <c r="D948" s="1363" t="s">
        <v>37</v>
      </c>
      <c r="E948" s="1350" t="s">
        <v>3068</v>
      </c>
      <c r="F948" s="1437" t="s">
        <v>3069</v>
      </c>
      <c r="G948" s="1463">
        <v>15080002</v>
      </c>
      <c r="H948" s="1283">
        <v>20390</v>
      </c>
      <c r="I948" s="1353">
        <v>42234</v>
      </c>
      <c r="J948" s="1354">
        <v>120</v>
      </c>
      <c r="K948" s="1353">
        <f>+I948+J948</f>
        <v>42354</v>
      </c>
      <c r="L948" s="1353" t="s">
        <v>41</v>
      </c>
      <c r="M948" s="1353">
        <v>42282</v>
      </c>
      <c r="N948" s="1354">
        <f t="shared" si="120"/>
        <v>-59</v>
      </c>
      <c r="O948" s="1427">
        <v>42293</v>
      </c>
      <c r="P948" s="1438">
        <v>42295</v>
      </c>
      <c r="Q948" s="1355">
        <v>42310</v>
      </c>
      <c r="R948" s="1354">
        <f t="shared" si="123"/>
        <v>76</v>
      </c>
      <c r="S948" s="1354" t="s">
        <v>3070</v>
      </c>
      <c r="T948" s="1370"/>
      <c r="U948" s="1358" t="str">
        <f t="shared" si="119"/>
        <v>en término</v>
      </c>
      <c r="V948" s="1130" t="str">
        <f t="shared" si="117"/>
        <v>Octubre</v>
      </c>
      <c r="W948" s="1128">
        <f t="shared" si="118"/>
        <v>1</v>
      </c>
    </row>
    <row r="949" spans="1:23" ht="54.95" customHeight="1" thickBot="1" x14ac:dyDescent="0.25">
      <c r="A949" s="1117">
        <v>2015</v>
      </c>
      <c r="B949" s="1117">
        <v>2015</v>
      </c>
      <c r="C949" s="1436" t="s">
        <v>36</v>
      </c>
      <c r="D949" s="1363" t="s">
        <v>37</v>
      </c>
      <c r="E949" s="1350" t="s">
        <v>3068</v>
      </c>
      <c r="F949" s="1437" t="s">
        <v>3069</v>
      </c>
      <c r="G949" s="1463">
        <v>15080002</v>
      </c>
      <c r="H949" s="1283">
        <v>843765</v>
      </c>
      <c r="I949" s="1353">
        <v>42234</v>
      </c>
      <c r="J949" s="1354">
        <v>120</v>
      </c>
      <c r="K949" s="1353">
        <f>+I949+J949</f>
        <v>42354</v>
      </c>
      <c r="L949" s="1353" t="s">
        <v>41</v>
      </c>
      <c r="M949" s="1353">
        <v>42328</v>
      </c>
      <c r="N949" s="1354">
        <f t="shared" si="120"/>
        <v>-13</v>
      </c>
      <c r="O949" s="1427">
        <v>42338</v>
      </c>
      <c r="P949" s="1438">
        <v>42341</v>
      </c>
      <c r="Q949" s="1355">
        <v>42356</v>
      </c>
      <c r="R949" s="1354">
        <f t="shared" si="123"/>
        <v>122</v>
      </c>
      <c r="S949" s="1354" t="s">
        <v>3072</v>
      </c>
      <c r="T949" s="1370"/>
      <c r="U949" s="1417" t="str">
        <f t="shared" si="119"/>
        <v>en término</v>
      </c>
      <c r="V949" s="1130" t="str">
        <f t="shared" si="117"/>
        <v>Noviembre</v>
      </c>
      <c r="W949" s="1128">
        <f t="shared" si="118"/>
        <v>1</v>
      </c>
    </row>
    <row r="950" spans="1:23" ht="54.95" customHeight="1" thickBot="1" x14ac:dyDescent="0.25">
      <c r="A950" s="1117">
        <v>2015</v>
      </c>
      <c r="B950" s="1117">
        <v>2015</v>
      </c>
      <c r="C950" s="1436" t="s">
        <v>36</v>
      </c>
      <c r="D950" s="1363" t="s">
        <v>37</v>
      </c>
      <c r="E950" s="1350" t="s">
        <v>3075</v>
      </c>
      <c r="F950" s="1437" t="s">
        <v>3076</v>
      </c>
      <c r="G950" s="1463">
        <v>15090003</v>
      </c>
      <c r="H950" s="1283">
        <v>1100</v>
      </c>
      <c r="I950" s="1353">
        <v>42264</v>
      </c>
      <c r="J950" s="1354">
        <v>75</v>
      </c>
      <c r="K950" s="1353">
        <f>+I950+J950</f>
        <v>42339</v>
      </c>
      <c r="L950" s="1353" t="s">
        <v>41</v>
      </c>
      <c r="M950" s="1353">
        <v>42328</v>
      </c>
      <c r="N950" s="1354">
        <f t="shared" si="120"/>
        <v>2</v>
      </c>
      <c r="O950" s="1427">
        <v>42338</v>
      </c>
      <c r="P950" s="1438">
        <v>42341</v>
      </c>
      <c r="Q950" s="1355">
        <v>42356</v>
      </c>
      <c r="R950" s="1354">
        <f t="shared" si="123"/>
        <v>92</v>
      </c>
      <c r="S950" s="1354" t="s">
        <v>53</v>
      </c>
      <c r="T950" s="1370"/>
      <c r="U950" s="1417" t="str">
        <f t="shared" si="119"/>
        <v>atrasado</v>
      </c>
      <c r="V950" s="1130" t="str">
        <f t="shared" si="117"/>
        <v>Noviembre</v>
      </c>
      <c r="W950" s="1128">
        <f t="shared" si="118"/>
        <v>0</v>
      </c>
    </row>
    <row r="951" spans="1:23" ht="54.95" customHeight="1" thickBot="1" x14ac:dyDescent="0.25">
      <c r="A951" s="1143">
        <v>2015</v>
      </c>
      <c r="B951" s="1143">
        <v>2015</v>
      </c>
      <c r="C951" s="1449" t="s">
        <v>36</v>
      </c>
      <c r="D951" s="1393" t="s">
        <v>37</v>
      </c>
      <c r="E951" s="1450" t="s">
        <v>3077</v>
      </c>
      <c r="F951" s="1464" t="s">
        <v>3078</v>
      </c>
      <c r="G951" s="1465">
        <v>15100001</v>
      </c>
      <c r="H951" s="1284">
        <v>3795</v>
      </c>
      <c r="I951" s="1454">
        <v>42292</v>
      </c>
      <c r="J951" s="1455">
        <f>+K951-I951</f>
        <v>88</v>
      </c>
      <c r="K951" s="1454">
        <v>42380</v>
      </c>
      <c r="L951" s="1454" t="s">
        <v>41</v>
      </c>
      <c r="M951" s="1454">
        <v>42328</v>
      </c>
      <c r="N951" s="1455">
        <f t="shared" si="120"/>
        <v>-39</v>
      </c>
      <c r="O951" s="1456">
        <v>42338</v>
      </c>
      <c r="P951" s="1466">
        <v>42341</v>
      </c>
      <c r="Q951" s="1457">
        <v>42356</v>
      </c>
      <c r="R951" s="1455">
        <f t="shared" si="123"/>
        <v>64</v>
      </c>
      <c r="S951" s="1455" t="s">
        <v>53</v>
      </c>
      <c r="T951" s="1467"/>
      <c r="U951" s="1459" t="str">
        <f t="shared" si="119"/>
        <v>en término</v>
      </c>
      <c r="V951" s="1290" t="str">
        <f t="shared" si="117"/>
        <v>Noviembre</v>
      </c>
      <c r="W951" s="1323">
        <f t="shared" si="118"/>
        <v>1</v>
      </c>
    </row>
    <row r="952" spans="1:23" ht="54.95" customHeight="1" thickTop="1" thickBot="1" x14ac:dyDescent="0.25">
      <c r="A952" s="1157">
        <v>2016</v>
      </c>
      <c r="B952" s="1157">
        <v>2016</v>
      </c>
      <c r="C952" s="1468" t="s">
        <v>36</v>
      </c>
      <c r="D952" s="1408" t="s">
        <v>37</v>
      </c>
      <c r="E952" s="1409" t="s">
        <v>3068</v>
      </c>
      <c r="F952" s="1469" t="s">
        <v>3069</v>
      </c>
      <c r="G952" s="1463">
        <v>15080002</v>
      </c>
      <c r="H952" s="1285">
        <v>74036.899999999994</v>
      </c>
      <c r="I952" s="1412">
        <v>42234</v>
      </c>
      <c r="J952" s="1413">
        <v>180</v>
      </c>
      <c r="K952" s="1412">
        <f>+I952+J952</f>
        <v>42414</v>
      </c>
      <c r="L952" s="1412" t="s">
        <v>41</v>
      </c>
      <c r="M952" s="1412">
        <v>42419</v>
      </c>
      <c r="N952" s="1413">
        <f t="shared" si="120"/>
        <v>17</v>
      </c>
      <c r="O952" s="1439">
        <v>42429</v>
      </c>
      <c r="P952" s="1440">
        <v>42431</v>
      </c>
      <c r="Q952" s="1414">
        <v>42447</v>
      </c>
      <c r="R952" s="1413">
        <f t="shared" si="123"/>
        <v>213</v>
      </c>
      <c r="S952" s="1413" t="s">
        <v>3084</v>
      </c>
      <c r="T952" s="1470"/>
      <c r="U952" s="1417" t="str">
        <f t="shared" si="119"/>
        <v>atrasado</v>
      </c>
      <c r="V952" s="1289" t="str">
        <f t="shared" si="117"/>
        <v>Febrero</v>
      </c>
      <c r="W952" s="1324">
        <f t="shared" si="118"/>
        <v>0</v>
      </c>
    </row>
    <row r="953" spans="1:23" ht="54.95" customHeight="1" thickBot="1" x14ac:dyDescent="0.25">
      <c r="A953" s="1117">
        <v>2016</v>
      </c>
      <c r="B953" s="1117">
        <v>2016</v>
      </c>
      <c r="C953" s="1436" t="s">
        <v>36</v>
      </c>
      <c r="D953" s="1363" t="s">
        <v>37</v>
      </c>
      <c r="E953" s="1350" t="s">
        <v>3087</v>
      </c>
      <c r="F953" s="1437" t="s">
        <v>3088</v>
      </c>
      <c r="G953" s="1463">
        <v>15120001</v>
      </c>
      <c r="H953" s="1283">
        <v>74035</v>
      </c>
      <c r="I953" s="1353">
        <v>42334</v>
      </c>
      <c r="J953" s="1354">
        <f>+K953-I953</f>
        <v>95</v>
      </c>
      <c r="K953" s="1353">
        <v>42429</v>
      </c>
      <c r="L953" s="1353" t="s">
        <v>41</v>
      </c>
      <c r="M953" s="1353">
        <v>42419</v>
      </c>
      <c r="N953" s="1354">
        <f t="shared" si="120"/>
        <v>2</v>
      </c>
      <c r="O953" s="1427">
        <v>42429</v>
      </c>
      <c r="P953" s="1438">
        <v>42431</v>
      </c>
      <c r="Q953" s="1355">
        <v>42447</v>
      </c>
      <c r="R953" s="1354">
        <f t="shared" si="123"/>
        <v>113</v>
      </c>
      <c r="S953" s="1354" t="s">
        <v>1250</v>
      </c>
      <c r="T953" s="1370"/>
      <c r="U953" s="1358" t="str">
        <f t="shared" si="119"/>
        <v>atrasado</v>
      </c>
      <c r="V953" s="1130" t="str">
        <f t="shared" si="117"/>
        <v>Febrero</v>
      </c>
      <c r="W953" s="1128">
        <f t="shared" si="118"/>
        <v>0</v>
      </c>
    </row>
    <row r="954" spans="1:23" ht="54.95" customHeight="1" thickBot="1" x14ac:dyDescent="0.25">
      <c r="A954" s="1117">
        <v>2016</v>
      </c>
      <c r="B954" s="1117">
        <v>2016</v>
      </c>
      <c r="C954" s="1436" t="s">
        <v>36</v>
      </c>
      <c r="D954" s="1363" t="s">
        <v>37</v>
      </c>
      <c r="E954" s="1350" t="s">
        <v>3089</v>
      </c>
      <c r="F954" s="1437" t="s">
        <v>3090</v>
      </c>
      <c r="G954" s="1463">
        <v>15120002</v>
      </c>
      <c r="H954" s="1283">
        <v>7820</v>
      </c>
      <c r="I954" s="1353">
        <v>42349</v>
      </c>
      <c r="J954" s="1354">
        <f>+K954-I954</f>
        <v>91</v>
      </c>
      <c r="K954" s="1353">
        <v>42440</v>
      </c>
      <c r="L954" s="1353" t="s">
        <v>41</v>
      </c>
      <c r="M954" s="1353">
        <v>42419</v>
      </c>
      <c r="N954" s="1354">
        <f t="shared" si="120"/>
        <v>-9</v>
      </c>
      <c r="O954" s="1427">
        <v>42429</v>
      </c>
      <c r="P954" s="1438">
        <v>42431</v>
      </c>
      <c r="Q954" s="1355">
        <v>42447</v>
      </c>
      <c r="R954" s="1354">
        <f t="shared" si="123"/>
        <v>98</v>
      </c>
      <c r="S954" s="1354" t="s">
        <v>3091</v>
      </c>
      <c r="T954" s="1370"/>
      <c r="U954" s="1358" t="str">
        <f t="shared" si="119"/>
        <v>en término</v>
      </c>
      <c r="V954" s="1130" t="str">
        <f t="shared" si="117"/>
        <v>Febrero</v>
      </c>
      <c r="W954" s="1128">
        <f t="shared" si="118"/>
        <v>1</v>
      </c>
    </row>
    <row r="955" spans="1:23" ht="54.95" customHeight="1" thickBot="1" x14ac:dyDescent="0.25">
      <c r="A955" s="1117">
        <v>2016</v>
      </c>
      <c r="B955" s="1117">
        <v>2016</v>
      </c>
      <c r="C955" s="1436" t="s">
        <v>36</v>
      </c>
      <c r="D955" s="1363" t="s">
        <v>37</v>
      </c>
      <c r="E955" s="1350" t="s">
        <v>3092</v>
      </c>
      <c r="F955" s="1437" t="s">
        <v>3093</v>
      </c>
      <c r="G955" s="1463">
        <v>16030006</v>
      </c>
      <c r="H955" s="1352">
        <v>5540</v>
      </c>
      <c r="I955" s="1353">
        <v>42402</v>
      </c>
      <c r="J955" s="1354">
        <f>+K955-I955</f>
        <v>104</v>
      </c>
      <c r="K955" s="1353">
        <v>42506</v>
      </c>
      <c r="L955" s="1353" t="s">
        <v>41</v>
      </c>
      <c r="M955" s="1353">
        <v>42492</v>
      </c>
      <c r="N955" s="1354">
        <f t="shared" si="120"/>
        <v>-6</v>
      </c>
      <c r="O955" s="1427"/>
      <c r="P955" s="1438">
        <v>42500</v>
      </c>
      <c r="Q955" s="1355">
        <v>42520</v>
      </c>
      <c r="R955" s="1354">
        <f t="shared" si="123"/>
        <v>118</v>
      </c>
      <c r="S955" s="1354" t="s">
        <v>2183</v>
      </c>
      <c r="T955" s="1370" t="s">
        <v>3096</v>
      </c>
      <c r="U955" s="1358" t="str">
        <f t="shared" si="119"/>
        <v>en término</v>
      </c>
      <c r="V955" s="1130" t="str">
        <f t="shared" si="117"/>
        <v>Mayo</v>
      </c>
      <c r="W955" s="1128">
        <f t="shared" si="118"/>
        <v>1</v>
      </c>
    </row>
    <row r="956" spans="1:23" ht="54.95" customHeight="1" thickBot="1" x14ac:dyDescent="0.25">
      <c r="A956" s="1117">
        <v>2016</v>
      </c>
      <c r="B956" s="1117">
        <v>2016</v>
      </c>
      <c r="C956" s="1436" t="s">
        <v>36</v>
      </c>
      <c r="D956" s="1363" t="s">
        <v>37</v>
      </c>
      <c r="E956" s="1350" t="s">
        <v>3099</v>
      </c>
      <c r="F956" s="1437" t="s">
        <v>3100</v>
      </c>
      <c r="G956" s="1463">
        <v>16030002</v>
      </c>
      <c r="H956" s="1352">
        <v>12752</v>
      </c>
      <c r="I956" s="1353">
        <v>42430</v>
      </c>
      <c r="J956" s="1354">
        <v>90</v>
      </c>
      <c r="K956" s="1353">
        <f t="shared" ref="K956:K964" si="124">+I956+J956</f>
        <v>42520</v>
      </c>
      <c r="L956" s="1353" t="s">
        <v>41</v>
      </c>
      <c r="M956" s="1353">
        <v>42492</v>
      </c>
      <c r="N956" s="1354">
        <f t="shared" si="120"/>
        <v>-20</v>
      </c>
      <c r="O956" s="1427"/>
      <c r="P956" s="1438">
        <v>42500</v>
      </c>
      <c r="Q956" s="1355">
        <f t="shared" ref="Q956:Q962" si="125">+P956+20</f>
        <v>42520</v>
      </c>
      <c r="R956" s="1354">
        <f t="shared" si="123"/>
        <v>90</v>
      </c>
      <c r="S956" s="1354" t="s">
        <v>53</v>
      </c>
      <c r="T956" s="1370"/>
      <c r="U956" s="1358" t="str">
        <f t="shared" si="119"/>
        <v>en término</v>
      </c>
      <c r="V956" s="1130" t="str">
        <f t="shared" si="117"/>
        <v>Mayo</v>
      </c>
      <c r="W956" s="1128">
        <f t="shared" si="118"/>
        <v>1</v>
      </c>
    </row>
    <row r="957" spans="1:23" ht="54.95" customHeight="1" thickBot="1" x14ac:dyDescent="0.25">
      <c r="A957" s="1117">
        <v>2016</v>
      </c>
      <c r="B957" s="1117">
        <v>2016</v>
      </c>
      <c r="C957" s="1436" t="s">
        <v>36</v>
      </c>
      <c r="D957" s="1363" t="s">
        <v>37</v>
      </c>
      <c r="E957" s="1350" t="s">
        <v>3099</v>
      </c>
      <c r="F957" s="1437" t="s">
        <v>3101</v>
      </c>
      <c r="G957" s="1463">
        <v>16030003</v>
      </c>
      <c r="H957" s="1352">
        <v>95858</v>
      </c>
      <c r="I957" s="1353">
        <v>42430</v>
      </c>
      <c r="J957" s="1354">
        <v>90</v>
      </c>
      <c r="K957" s="1353">
        <f t="shared" si="124"/>
        <v>42520</v>
      </c>
      <c r="L957" s="1353" t="s">
        <v>41</v>
      </c>
      <c r="M957" s="1353">
        <v>42492</v>
      </c>
      <c r="N957" s="1354">
        <f t="shared" si="120"/>
        <v>-20</v>
      </c>
      <c r="O957" s="1427"/>
      <c r="P957" s="1438">
        <v>42500</v>
      </c>
      <c r="Q957" s="1355">
        <f t="shared" si="125"/>
        <v>42520</v>
      </c>
      <c r="R957" s="1354">
        <f t="shared" si="123"/>
        <v>90</v>
      </c>
      <c r="S957" s="1354" t="s">
        <v>6383</v>
      </c>
      <c r="T957" s="1370"/>
      <c r="U957" s="1358" t="str">
        <f t="shared" si="119"/>
        <v>en término</v>
      </c>
      <c r="V957" s="1130" t="str">
        <f t="shared" si="117"/>
        <v>Mayo</v>
      </c>
      <c r="W957" s="1128">
        <f t="shared" si="118"/>
        <v>1</v>
      </c>
    </row>
    <row r="958" spans="1:23" ht="54.95" customHeight="1" thickBot="1" x14ac:dyDescent="0.25">
      <c r="A958" s="1117">
        <v>2016</v>
      </c>
      <c r="B958" s="1117">
        <v>2016</v>
      </c>
      <c r="C958" s="1436" t="s">
        <v>36</v>
      </c>
      <c r="D958" s="1363" t="s">
        <v>37</v>
      </c>
      <c r="E958" s="1350" t="s">
        <v>3099</v>
      </c>
      <c r="F958" s="1437" t="s">
        <v>3101</v>
      </c>
      <c r="G958" s="1463">
        <v>16030003</v>
      </c>
      <c r="H958" s="1352">
        <v>52303</v>
      </c>
      <c r="I958" s="1353">
        <v>42430</v>
      </c>
      <c r="J958" s="1354">
        <v>120</v>
      </c>
      <c r="K958" s="1353">
        <f t="shared" si="124"/>
        <v>42550</v>
      </c>
      <c r="L958" s="1353" t="s">
        <v>41</v>
      </c>
      <c r="M958" s="1353">
        <v>42521</v>
      </c>
      <c r="N958" s="1354">
        <f t="shared" si="120"/>
        <v>-15</v>
      </c>
      <c r="O958" s="1427"/>
      <c r="P958" s="1438">
        <v>42535</v>
      </c>
      <c r="Q958" s="1355">
        <f t="shared" si="125"/>
        <v>42555</v>
      </c>
      <c r="R958" s="1354">
        <f t="shared" si="123"/>
        <v>125</v>
      </c>
      <c r="S958" s="1354" t="s">
        <v>6384</v>
      </c>
      <c r="T958" s="1370"/>
      <c r="U958" s="1358" t="str">
        <f t="shared" si="119"/>
        <v>en término</v>
      </c>
      <c r="V958" s="1130" t="str">
        <f t="shared" si="117"/>
        <v>Mayo</v>
      </c>
      <c r="W958" s="1128">
        <f t="shared" si="118"/>
        <v>1</v>
      </c>
    </row>
    <row r="959" spans="1:23" ht="54.95" customHeight="1" thickBot="1" x14ac:dyDescent="0.25">
      <c r="A959" s="1117">
        <v>2016</v>
      </c>
      <c r="B959" s="1117">
        <v>2016</v>
      </c>
      <c r="C959" s="1436" t="s">
        <v>36</v>
      </c>
      <c r="D959" s="1363" t="s">
        <v>37</v>
      </c>
      <c r="E959" s="1350" t="s">
        <v>3099</v>
      </c>
      <c r="F959" s="1437" t="s">
        <v>3104</v>
      </c>
      <c r="G959" s="1463">
        <v>16030004</v>
      </c>
      <c r="H959" s="1352">
        <v>27667</v>
      </c>
      <c r="I959" s="1353">
        <v>42430</v>
      </c>
      <c r="J959" s="1354">
        <v>90</v>
      </c>
      <c r="K959" s="1353">
        <f t="shared" si="124"/>
        <v>42520</v>
      </c>
      <c r="L959" s="1353" t="s">
        <v>41</v>
      </c>
      <c r="M959" s="1353">
        <v>42492</v>
      </c>
      <c r="N959" s="1354">
        <f t="shared" si="120"/>
        <v>-20</v>
      </c>
      <c r="O959" s="1427"/>
      <c r="P959" s="1438">
        <v>42500</v>
      </c>
      <c r="Q959" s="1355">
        <f t="shared" si="125"/>
        <v>42520</v>
      </c>
      <c r="R959" s="1354">
        <f t="shared" si="123"/>
        <v>90</v>
      </c>
      <c r="S959" s="1354" t="s">
        <v>6385</v>
      </c>
      <c r="T959" s="1370"/>
      <c r="U959" s="1358" t="str">
        <f t="shared" si="119"/>
        <v>en término</v>
      </c>
      <c r="V959" s="1130" t="str">
        <f t="shared" si="117"/>
        <v>Mayo</v>
      </c>
      <c r="W959" s="1128">
        <f t="shared" si="118"/>
        <v>1</v>
      </c>
    </row>
    <row r="960" spans="1:23" ht="54.95" customHeight="1" thickBot="1" x14ac:dyDescent="0.25">
      <c r="A960" s="1117">
        <v>2016</v>
      </c>
      <c r="B960" s="1117">
        <v>2016</v>
      </c>
      <c r="C960" s="1436" t="s">
        <v>36</v>
      </c>
      <c r="D960" s="1363" t="s">
        <v>37</v>
      </c>
      <c r="E960" s="1350" t="s">
        <v>3099</v>
      </c>
      <c r="F960" s="1437" t="s">
        <v>3104</v>
      </c>
      <c r="G960" s="1463">
        <v>16030004</v>
      </c>
      <c r="H960" s="1352">
        <v>16532</v>
      </c>
      <c r="I960" s="1353">
        <v>42430</v>
      </c>
      <c r="J960" s="1354">
        <v>120</v>
      </c>
      <c r="K960" s="1353">
        <f t="shared" si="124"/>
        <v>42550</v>
      </c>
      <c r="L960" s="1353" t="s">
        <v>41</v>
      </c>
      <c r="M960" s="1353">
        <v>42521</v>
      </c>
      <c r="N960" s="1354">
        <f t="shared" si="120"/>
        <v>-15</v>
      </c>
      <c r="O960" s="1427"/>
      <c r="P960" s="1438">
        <v>42535</v>
      </c>
      <c r="Q960" s="1355">
        <f t="shared" si="125"/>
        <v>42555</v>
      </c>
      <c r="R960" s="1354">
        <f t="shared" si="123"/>
        <v>125</v>
      </c>
      <c r="S960" s="1354" t="s">
        <v>6386</v>
      </c>
      <c r="T960" s="1370"/>
      <c r="U960" s="1358" t="str">
        <f t="shared" si="119"/>
        <v>en término</v>
      </c>
      <c r="V960" s="1130" t="str">
        <f t="shared" si="117"/>
        <v>Mayo</v>
      </c>
      <c r="W960" s="1128">
        <f t="shared" si="118"/>
        <v>1</v>
      </c>
    </row>
    <row r="961" spans="1:23" ht="54.95" customHeight="1" thickBot="1" x14ac:dyDescent="0.25">
      <c r="A961" s="1117">
        <v>2016</v>
      </c>
      <c r="B961" s="1117">
        <v>2016</v>
      </c>
      <c r="C961" s="1436" t="s">
        <v>36</v>
      </c>
      <c r="D961" s="1363" t="s">
        <v>37</v>
      </c>
      <c r="E961" s="1350" t="s">
        <v>3099</v>
      </c>
      <c r="F961" s="1437" t="s">
        <v>3106</v>
      </c>
      <c r="G961" s="1463">
        <v>16030005</v>
      </c>
      <c r="H961" s="1352">
        <v>134592</v>
      </c>
      <c r="I961" s="1353">
        <v>42430</v>
      </c>
      <c r="J961" s="1354">
        <v>90</v>
      </c>
      <c r="K961" s="1353">
        <f t="shared" si="124"/>
        <v>42520</v>
      </c>
      <c r="L961" s="1353" t="s">
        <v>41</v>
      </c>
      <c r="M961" s="1353">
        <v>42492</v>
      </c>
      <c r="N961" s="1354">
        <f t="shared" si="120"/>
        <v>-20</v>
      </c>
      <c r="O961" s="1427"/>
      <c r="P961" s="1438">
        <v>42500</v>
      </c>
      <c r="Q961" s="1355">
        <f t="shared" si="125"/>
        <v>42520</v>
      </c>
      <c r="R961" s="1354">
        <f t="shared" si="123"/>
        <v>90</v>
      </c>
      <c r="S961" s="1354" t="s">
        <v>6387</v>
      </c>
      <c r="T961" s="1370"/>
      <c r="U961" s="1358" t="str">
        <f t="shared" si="119"/>
        <v>en término</v>
      </c>
      <c r="V961" s="1130" t="str">
        <f t="shared" si="117"/>
        <v>Mayo</v>
      </c>
      <c r="W961" s="1128">
        <f t="shared" si="118"/>
        <v>1</v>
      </c>
    </row>
    <row r="962" spans="1:23" ht="54.95" customHeight="1" thickBot="1" x14ac:dyDescent="0.25">
      <c r="A962" s="1117">
        <v>2016</v>
      </c>
      <c r="B962" s="1117">
        <v>2016</v>
      </c>
      <c r="C962" s="1436" t="s">
        <v>36</v>
      </c>
      <c r="D962" s="1363" t="s">
        <v>37</v>
      </c>
      <c r="E962" s="1350" t="s">
        <v>3099</v>
      </c>
      <c r="F962" s="1437" t="s">
        <v>3106</v>
      </c>
      <c r="G962" s="1463">
        <v>16030005</v>
      </c>
      <c r="H962" s="1352">
        <v>56160</v>
      </c>
      <c r="I962" s="1353">
        <v>42430</v>
      </c>
      <c r="J962" s="1354">
        <v>120</v>
      </c>
      <c r="K962" s="1353">
        <f t="shared" si="124"/>
        <v>42550</v>
      </c>
      <c r="L962" s="1353" t="s">
        <v>41</v>
      </c>
      <c r="M962" s="1353">
        <v>42521</v>
      </c>
      <c r="N962" s="1354">
        <f t="shared" si="120"/>
        <v>-15</v>
      </c>
      <c r="O962" s="1427"/>
      <c r="P962" s="1438">
        <v>42535</v>
      </c>
      <c r="Q962" s="1355">
        <f t="shared" si="125"/>
        <v>42555</v>
      </c>
      <c r="R962" s="1354">
        <f t="shared" si="123"/>
        <v>125</v>
      </c>
      <c r="S962" s="1354" t="s">
        <v>6388</v>
      </c>
      <c r="T962" s="1370"/>
      <c r="U962" s="1358" t="str">
        <f t="shared" si="119"/>
        <v>en término</v>
      </c>
      <c r="V962" s="1130" t="str">
        <f t="shared" ref="V962:V1025" si="126">VLOOKUP(MONTH(M962),$Y$66:$Z$77,2,FALSE)</f>
        <v>Mayo</v>
      </c>
      <c r="W962" s="1128">
        <f t="shared" ref="W962:W1025" si="127">+IF(U962="atrasado",0)+IF(U962="en término",1)</f>
        <v>1</v>
      </c>
    </row>
    <row r="963" spans="1:23" ht="54.95" customHeight="1" thickBot="1" x14ac:dyDescent="0.25">
      <c r="A963" s="1117">
        <v>2016</v>
      </c>
      <c r="B963" s="1117">
        <v>2016</v>
      </c>
      <c r="C963" s="1436" t="s">
        <v>36</v>
      </c>
      <c r="D963" s="1363" t="s">
        <v>37</v>
      </c>
      <c r="E963" s="1350" t="s">
        <v>3114</v>
      </c>
      <c r="F963" s="1437" t="s">
        <v>3115</v>
      </c>
      <c r="G963" s="1463">
        <v>16030001</v>
      </c>
      <c r="H963" s="1352">
        <v>29500</v>
      </c>
      <c r="I963" s="1353">
        <v>42446</v>
      </c>
      <c r="J963" s="1354">
        <v>80</v>
      </c>
      <c r="K963" s="1353">
        <f t="shared" si="124"/>
        <v>42526</v>
      </c>
      <c r="L963" s="1353" t="s">
        <v>41</v>
      </c>
      <c r="M963" s="1353">
        <v>42529</v>
      </c>
      <c r="N963" s="1354">
        <f t="shared" si="120"/>
        <v>15</v>
      </c>
      <c r="O963" s="1427">
        <v>42539</v>
      </c>
      <c r="P963" s="1438">
        <v>42541</v>
      </c>
      <c r="Q963" s="1355">
        <v>42559</v>
      </c>
      <c r="R963" s="1354">
        <f t="shared" si="123"/>
        <v>113</v>
      </c>
      <c r="S963" s="1354" t="s">
        <v>6389</v>
      </c>
      <c r="T963" s="1370"/>
      <c r="U963" s="1358" t="str">
        <f t="shared" ref="U963:U1026" si="128">IF(N963="","",IF(N963&lt;=0,"en término","atrasado"))</f>
        <v>atrasado</v>
      </c>
      <c r="V963" s="1130" t="str">
        <f t="shared" si="126"/>
        <v>Junio</v>
      </c>
      <c r="W963" s="1128">
        <f t="shared" si="127"/>
        <v>0</v>
      </c>
    </row>
    <row r="964" spans="1:23" ht="54.95" customHeight="1" thickBot="1" x14ac:dyDescent="0.25">
      <c r="A964" s="1117">
        <v>2016</v>
      </c>
      <c r="B964" s="1117">
        <v>2016</v>
      </c>
      <c r="C964" s="1436" t="s">
        <v>36</v>
      </c>
      <c r="D964" s="1363" t="s">
        <v>37</v>
      </c>
      <c r="E964" s="1350" t="s">
        <v>3114</v>
      </c>
      <c r="F964" s="1437" t="s">
        <v>3115</v>
      </c>
      <c r="G964" s="1463">
        <v>16030001</v>
      </c>
      <c r="H964" s="1352">
        <v>118000</v>
      </c>
      <c r="I964" s="1353">
        <v>42446</v>
      </c>
      <c r="J964" s="1354">
        <v>200</v>
      </c>
      <c r="K964" s="1353">
        <f t="shared" si="124"/>
        <v>42646</v>
      </c>
      <c r="L964" s="1353" t="s">
        <v>41</v>
      </c>
      <c r="M964" s="1353">
        <v>42632</v>
      </c>
      <c r="N964" s="1354">
        <f t="shared" si="120"/>
        <v>-6</v>
      </c>
      <c r="O964" s="1427"/>
      <c r="P964" s="1438">
        <v>42640</v>
      </c>
      <c r="Q964" s="1355">
        <f>+P964+20</f>
        <v>42660</v>
      </c>
      <c r="R964" s="1354">
        <f t="shared" si="123"/>
        <v>214</v>
      </c>
      <c r="S964" s="1354" t="s">
        <v>6390</v>
      </c>
      <c r="T964" s="1370"/>
      <c r="U964" s="1358" t="str">
        <f t="shared" si="128"/>
        <v>en término</v>
      </c>
      <c r="V964" s="1130" t="str">
        <f t="shared" si="126"/>
        <v>Septiembre</v>
      </c>
      <c r="W964" s="1128">
        <f t="shared" si="127"/>
        <v>1</v>
      </c>
    </row>
    <row r="965" spans="1:23" ht="54.95" customHeight="1" thickBot="1" x14ac:dyDescent="0.25">
      <c r="A965" s="1117">
        <v>2016</v>
      </c>
      <c r="B965" s="1117">
        <v>2016</v>
      </c>
      <c r="C965" s="1436" t="s">
        <v>36</v>
      </c>
      <c r="D965" s="1363" t="s">
        <v>37</v>
      </c>
      <c r="E965" s="1350" t="s">
        <v>3120</v>
      </c>
      <c r="F965" s="1437" t="s">
        <v>3121</v>
      </c>
      <c r="G965" s="1463">
        <v>16050001</v>
      </c>
      <c r="H965" s="1352">
        <v>580</v>
      </c>
      <c r="I965" s="1353">
        <v>42471</v>
      </c>
      <c r="J965" s="1354">
        <f>+K965-I965</f>
        <v>61</v>
      </c>
      <c r="K965" s="1353">
        <v>42532</v>
      </c>
      <c r="L965" s="1353" t="s">
        <v>41</v>
      </c>
      <c r="M965" s="1353">
        <v>42521</v>
      </c>
      <c r="N965" s="1354">
        <f t="shared" si="120"/>
        <v>3</v>
      </c>
      <c r="O965" s="1427"/>
      <c r="P965" s="1438">
        <v>42535</v>
      </c>
      <c r="Q965" s="1355">
        <f>+P965+20</f>
        <v>42555</v>
      </c>
      <c r="R965" s="1354">
        <f t="shared" si="123"/>
        <v>84</v>
      </c>
      <c r="S965" s="1354" t="s">
        <v>53</v>
      </c>
      <c r="T965" s="1370"/>
      <c r="U965" s="1358" t="str">
        <f t="shared" si="128"/>
        <v>atrasado</v>
      </c>
      <c r="V965" s="1130" t="str">
        <f t="shared" si="126"/>
        <v>Mayo</v>
      </c>
      <c r="W965" s="1128">
        <f t="shared" si="127"/>
        <v>0</v>
      </c>
    </row>
    <row r="966" spans="1:23" ht="54.95" customHeight="1" thickBot="1" x14ac:dyDescent="0.25">
      <c r="A966" s="1117">
        <v>2016</v>
      </c>
      <c r="B966" s="1117">
        <v>2016</v>
      </c>
      <c r="C966" s="1436" t="s">
        <v>78</v>
      </c>
      <c r="D966" s="1363" t="s">
        <v>79</v>
      </c>
      <c r="E966" s="1350" t="s">
        <v>3896</v>
      </c>
      <c r="F966" s="1437"/>
      <c r="G966" s="1463" t="s">
        <v>3897</v>
      </c>
      <c r="H966" s="1352">
        <v>97259</v>
      </c>
      <c r="I966" s="1353">
        <v>42403</v>
      </c>
      <c r="J966" s="1354">
        <v>120</v>
      </c>
      <c r="K966" s="1353">
        <f>+I966+J966</f>
        <v>42523</v>
      </c>
      <c r="L966" s="1353" t="s">
        <v>83</v>
      </c>
      <c r="M966" s="1353">
        <v>42517</v>
      </c>
      <c r="N966" s="1354">
        <f t="shared" si="120"/>
        <v>9</v>
      </c>
      <c r="O966" s="1427"/>
      <c r="P966" s="1438">
        <v>42532</v>
      </c>
      <c r="Q966" s="1355">
        <f>+P966+20</f>
        <v>42552</v>
      </c>
      <c r="R966" s="1354">
        <f t="shared" si="123"/>
        <v>149</v>
      </c>
      <c r="S966" s="1437" t="s">
        <v>6391</v>
      </c>
      <c r="T966" s="1370"/>
      <c r="U966" s="1358" t="str">
        <f t="shared" si="128"/>
        <v>atrasado</v>
      </c>
      <c r="V966" s="1130" t="str">
        <f t="shared" si="126"/>
        <v>Mayo</v>
      </c>
      <c r="W966" s="1128">
        <f t="shared" si="127"/>
        <v>0</v>
      </c>
    </row>
    <row r="967" spans="1:23" ht="54.95" customHeight="1" thickBot="1" x14ac:dyDescent="0.25">
      <c r="A967" s="1117">
        <v>2016</v>
      </c>
      <c r="B967" s="1117">
        <v>2016</v>
      </c>
      <c r="C967" s="1436" t="s">
        <v>78</v>
      </c>
      <c r="D967" s="1363" t="s">
        <v>79</v>
      </c>
      <c r="E967" s="1350" t="s">
        <v>3902</v>
      </c>
      <c r="F967" s="1437"/>
      <c r="G967" s="1463" t="s">
        <v>3903</v>
      </c>
      <c r="H967" s="1352">
        <v>8164</v>
      </c>
      <c r="I967" s="1353">
        <v>42452</v>
      </c>
      <c r="J967" s="1354">
        <v>90</v>
      </c>
      <c r="K967" s="1353">
        <f>+I967+J967</f>
        <v>42542</v>
      </c>
      <c r="L967" s="1353" t="s">
        <v>83</v>
      </c>
      <c r="M967" s="1353">
        <v>42517</v>
      </c>
      <c r="N967" s="1354">
        <f t="shared" si="120"/>
        <v>-10</v>
      </c>
      <c r="O967" s="1427"/>
      <c r="P967" s="1438">
        <v>42532</v>
      </c>
      <c r="Q967" s="1355">
        <f>+P967+20</f>
        <v>42552</v>
      </c>
      <c r="R967" s="1354">
        <f t="shared" si="123"/>
        <v>100</v>
      </c>
      <c r="S967" s="1354" t="s">
        <v>53</v>
      </c>
      <c r="T967" s="1370"/>
      <c r="U967" s="1358" t="str">
        <f t="shared" si="128"/>
        <v>en término</v>
      </c>
      <c r="V967" s="1130" t="str">
        <f t="shared" si="126"/>
        <v>Mayo</v>
      </c>
      <c r="W967" s="1128">
        <f t="shared" si="127"/>
        <v>1</v>
      </c>
    </row>
    <row r="968" spans="1:23" ht="54.95" customHeight="1" thickBot="1" x14ac:dyDescent="0.25">
      <c r="A968" s="1117">
        <v>2016</v>
      </c>
      <c r="B968" s="1117">
        <v>2016</v>
      </c>
      <c r="C968" s="1436" t="s">
        <v>120</v>
      </c>
      <c r="D968" s="1363" t="s">
        <v>121</v>
      </c>
      <c r="E968" s="1350" t="s">
        <v>5255</v>
      </c>
      <c r="F968" s="1437"/>
      <c r="G968" s="1463">
        <v>57423</v>
      </c>
      <c r="H968" s="1352">
        <v>1799.2</v>
      </c>
      <c r="I968" s="1353">
        <v>42381</v>
      </c>
      <c r="J968" s="1354">
        <f>+K968-I968</f>
        <v>69</v>
      </c>
      <c r="K968" s="1353">
        <v>42450</v>
      </c>
      <c r="L968" s="1353" t="s">
        <v>124</v>
      </c>
      <c r="M968" s="1353">
        <v>42440</v>
      </c>
      <c r="N968" s="1354">
        <f t="shared" ref="N968:N976" si="129">IF(P968="","",+P968-K968)</f>
        <v>4</v>
      </c>
      <c r="O968" s="1427">
        <v>42447</v>
      </c>
      <c r="P968" s="1438">
        <v>42454</v>
      </c>
      <c r="Q968" s="1355">
        <f>+P968+45</f>
        <v>42499</v>
      </c>
      <c r="R968" s="1354">
        <f t="shared" si="123"/>
        <v>118</v>
      </c>
      <c r="S968" s="1354" t="s">
        <v>2183</v>
      </c>
      <c r="T968" s="1370"/>
      <c r="U968" s="1358" t="str">
        <f t="shared" si="128"/>
        <v>atrasado</v>
      </c>
      <c r="V968" s="1130" t="str">
        <f t="shared" si="126"/>
        <v>Marzo</v>
      </c>
      <c r="W968" s="1128">
        <f t="shared" si="127"/>
        <v>0</v>
      </c>
    </row>
    <row r="969" spans="1:23" ht="54.95" customHeight="1" thickBot="1" x14ac:dyDescent="0.25">
      <c r="A969" s="1117">
        <v>2016</v>
      </c>
      <c r="B969" s="1117">
        <v>2016</v>
      </c>
      <c r="C969" s="1436" t="s">
        <v>120</v>
      </c>
      <c r="D969" s="1363" t="s">
        <v>121</v>
      </c>
      <c r="E969" s="1350" t="s">
        <v>5258</v>
      </c>
      <c r="F969" s="1437"/>
      <c r="G969" s="1463">
        <v>57274</v>
      </c>
      <c r="H969" s="1352">
        <v>3373.5</v>
      </c>
      <c r="I969" s="1353">
        <v>42374</v>
      </c>
      <c r="J969" s="1354">
        <f>+K969-I969</f>
        <v>76</v>
      </c>
      <c r="K969" s="1353">
        <v>42450</v>
      </c>
      <c r="L969" s="1353" t="s">
        <v>124</v>
      </c>
      <c r="M969" s="1353">
        <v>42440</v>
      </c>
      <c r="N969" s="1354">
        <f t="shared" si="129"/>
        <v>4</v>
      </c>
      <c r="O969" s="1427">
        <v>42447</v>
      </c>
      <c r="P969" s="1438">
        <v>42454</v>
      </c>
      <c r="Q969" s="1355">
        <f>+P969+45</f>
        <v>42499</v>
      </c>
      <c r="R969" s="1354">
        <f t="shared" si="123"/>
        <v>125</v>
      </c>
      <c r="S969" s="1354" t="s">
        <v>2183</v>
      </c>
      <c r="T969" s="1370"/>
      <c r="U969" s="1358" t="str">
        <f t="shared" si="128"/>
        <v>atrasado</v>
      </c>
      <c r="V969" s="1130" t="str">
        <f t="shared" si="126"/>
        <v>Marzo</v>
      </c>
      <c r="W969" s="1128">
        <f t="shared" si="127"/>
        <v>0</v>
      </c>
    </row>
    <row r="970" spans="1:23" ht="54.95" customHeight="1" thickBot="1" x14ac:dyDescent="0.25">
      <c r="A970" s="1117">
        <v>2016</v>
      </c>
      <c r="B970" s="1117">
        <v>2016</v>
      </c>
      <c r="C970" s="1436" t="s">
        <v>36</v>
      </c>
      <c r="D970" s="1363" t="s">
        <v>37</v>
      </c>
      <c r="E970" s="1350" t="s">
        <v>3122</v>
      </c>
      <c r="F970" s="1437" t="s">
        <v>3123</v>
      </c>
      <c r="G970" s="1463">
        <v>16060001</v>
      </c>
      <c r="H970" s="1352">
        <v>1224</v>
      </c>
      <c r="I970" s="1353">
        <v>42530</v>
      </c>
      <c r="J970" s="1354">
        <v>60</v>
      </c>
      <c r="K970" s="1353">
        <f>+I970+J970</f>
        <v>42590</v>
      </c>
      <c r="L970" s="1353" t="s">
        <v>41</v>
      </c>
      <c r="M970" s="1353">
        <v>42566</v>
      </c>
      <c r="N970" s="1354">
        <f t="shared" si="129"/>
        <v>-19</v>
      </c>
      <c r="O970" s="1427"/>
      <c r="P970" s="1438">
        <v>42571</v>
      </c>
      <c r="Q970" s="1355">
        <v>42576</v>
      </c>
      <c r="R970" s="1354">
        <f t="shared" si="123"/>
        <v>46</v>
      </c>
      <c r="S970" s="1354" t="s">
        <v>53</v>
      </c>
      <c r="T970" s="1370"/>
      <c r="U970" s="1358" t="str">
        <f t="shared" si="128"/>
        <v>en término</v>
      </c>
      <c r="V970" s="1130" t="str">
        <f t="shared" si="126"/>
        <v>Julio</v>
      </c>
      <c r="W970" s="1128">
        <f t="shared" si="127"/>
        <v>1</v>
      </c>
    </row>
    <row r="971" spans="1:23" ht="54.95" customHeight="1" thickBot="1" x14ac:dyDescent="0.25">
      <c r="A971" s="1117">
        <v>2016</v>
      </c>
      <c r="B971" s="1117">
        <v>2016</v>
      </c>
      <c r="C971" s="1436" t="s">
        <v>78</v>
      </c>
      <c r="D971" s="1363" t="s">
        <v>108</v>
      </c>
      <c r="E971" s="1350" t="s">
        <v>3905</v>
      </c>
      <c r="F971" s="1437"/>
      <c r="G971" s="1463">
        <v>63000012492</v>
      </c>
      <c r="H971" s="1352">
        <v>104770</v>
      </c>
      <c r="I971" s="1353">
        <v>42523</v>
      </c>
      <c r="J971" s="1354">
        <f>+K971-I971</f>
        <v>90</v>
      </c>
      <c r="K971" s="1353">
        <v>42613</v>
      </c>
      <c r="L971" s="1353" t="s">
        <v>83</v>
      </c>
      <c r="M971" s="1353">
        <v>42598</v>
      </c>
      <c r="N971" s="1354">
        <f t="shared" si="129"/>
        <v>-2</v>
      </c>
      <c r="O971" s="1427"/>
      <c r="P971" s="1438">
        <v>42611</v>
      </c>
      <c r="Q971" s="1355">
        <f>+P971+10</f>
        <v>42621</v>
      </c>
      <c r="R971" s="1354">
        <f t="shared" si="123"/>
        <v>98</v>
      </c>
      <c r="S971" s="1354" t="s">
        <v>3906</v>
      </c>
      <c r="T971" s="1370" t="s">
        <v>3908</v>
      </c>
      <c r="U971" s="1358" t="str">
        <f t="shared" si="128"/>
        <v>en término</v>
      </c>
      <c r="V971" s="1130" t="str">
        <f t="shared" si="126"/>
        <v>Agosto</v>
      </c>
      <c r="W971" s="1128">
        <f t="shared" si="127"/>
        <v>1</v>
      </c>
    </row>
    <row r="972" spans="1:23" ht="54.95" customHeight="1" thickBot="1" x14ac:dyDescent="0.25">
      <c r="A972" s="1117">
        <v>2016</v>
      </c>
      <c r="B972" s="1117">
        <v>2016</v>
      </c>
      <c r="C972" s="1436" t="s">
        <v>78</v>
      </c>
      <c r="D972" s="1363" t="s">
        <v>79</v>
      </c>
      <c r="E972" s="1350" t="s">
        <v>3911</v>
      </c>
      <c r="F972" s="1437"/>
      <c r="G972" s="1463" t="s">
        <v>3912</v>
      </c>
      <c r="H972" s="1352">
        <v>103386.4</v>
      </c>
      <c r="I972" s="1353">
        <v>42591</v>
      </c>
      <c r="J972" s="1354">
        <v>75</v>
      </c>
      <c r="K972" s="1353">
        <f>+I972+J972</f>
        <v>42666</v>
      </c>
      <c r="L972" s="1353" t="s">
        <v>83</v>
      </c>
      <c r="M972" s="1353">
        <v>42650</v>
      </c>
      <c r="N972" s="1354">
        <f t="shared" si="129"/>
        <v>8</v>
      </c>
      <c r="O972" s="1427">
        <v>42663</v>
      </c>
      <c r="P972" s="1438">
        <v>42674</v>
      </c>
      <c r="Q972" s="1355">
        <v>42696</v>
      </c>
      <c r="R972" s="1354">
        <f t="shared" si="123"/>
        <v>105</v>
      </c>
      <c r="S972" s="1354" t="s">
        <v>3914</v>
      </c>
      <c r="T972" s="1370"/>
      <c r="U972" s="1358" t="str">
        <f t="shared" si="128"/>
        <v>atrasado</v>
      </c>
      <c r="V972" s="1130" t="str">
        <f t="shared" si="126"/>
        <v>Octubre</v>
      </c>
      <c r="W972" s="1128">
        <f t="shared" si="127"/>
        <v>0</v>
      </c>
    </row>
    <row r="973" spans="1:23" ht="54.95" customHeight="1" thickBot="1" x14ac:dyDescent="0.25">
      <c r="A973" s="1117">
        <v>2016</v>
      </c>
      <c r="B973" s="1117">
        <v>2016</v>
      </c>
      <c r="C973" s="1436" t="s">
        <v>114</v>
      </c>
      <c r="D973" s="1363" t="s">
        <v>4710</v>
      </c>
      <c r="E973" s="1350" t="s">
        <v>4829</v>
      </c>
      <c r="F973" s="1437"/>
      <c r="G973" s="1463" t="s">
        <v>4830</v>
      </c>
      <c r="H973" s="1352">
        <v>39245.08</v>
      </c>
      <c r="I973" s="1353">
        <v>42522</v>
      </c>
      <c r="J973" s="1354">
        <f>+K973-I973</f>
        <v>87</v>
      </c>
      <c r="K973" s="1353">
        <v>42609</v>
      </c>
      <c r="L973" s="1353" t="s">
        <v>118</v>
      </c>
      <c r="M973" s="1353">
        <v>42604</v>
      </c>
      <c r="N973" s="1354">
        <f t="shared" si="129"/>
        <v>26</v>
      </c>
      <c r="O973" s="1427">
        <v>42633</v>
      </c>
      <c r="P973" s="1438">
        <v>42635</v>
      </c>
      <c r="Q973" s="1355">
        <v>42642</v>
      </c>
      <c r="R973" s="1354">
        <f t="shared" si="123"/>
        <v>120</v>
      </c>
      <c r="S973" s="1354" t="s">
        <v>925</v>
      </c>
      <c r="T973" s="1370"/>
      <c r="U973" s="1358" t="str">
        <f t="shared" si="128"/>
        <v>atrasado</v>
      </c>
      <c r="V973" s="1130" t="str">
        <f t="shared" si="126"/>
        <v>Agosto</v>
      </c>
      <c r="W973" s="1128">
        <f t="shared" si="127"/>
        <v>0</v>
      </c>
    </row>
    <row r="974" spans="1:23" ht="54.95" customHeight="1" thickBot="1" x14ac:dyDescent="0.25">
      <c r="A974" s="1117">
        <v>2016</v>
      </c>
      <c r="B974" s="1117">
        <v>2016</v>
      </c>
      <c r="C974" s="1436" t="s">
        <v>5433</v>
      </c>
      <c r="D974" s="1363" t="s">
        <v>5456</v>
      </c>
      <c r="E974" s="1350" t="s">
        <v>5683</v>
      </c>
      <c r="F974" s="1437"/>
      <c r="G974" s="1463">
        <v>4500222913</v>
      </c>
      <c r="H974" s="1352">
        <v>1600</v>
      </c>
      <c r="I974" s="1353">
        <v>42555</v>
      </c>
      <c r="J974" s="1354">
        <f>+K974-I974</f>
        <v>49</v>
      </c>
      <c r="K974" s="1353">
        <v>42604</v>
      </c>
      <c r="L974" s="1353" t="s">
        <v>5436</v>
      </c>
      <c r="M974" s="1353">
        <v>42598</v>
      </c>
      <c r="N974" s="1354">
        <f t="shared" si="129"/>
        <v>-4</v>
      </c>
      <c r="O974" s="1427"/>
      <c r="P974" s="1438">
        <v>42600</v>
      </c>
      <c r="Q974" s="1355">
        <v>42605</v>
      </c>
      <c r="R974" s="1354">
        <f t="shared" si="123"/>
        <v>50</v>
      </c>
      <c r="S974" s="1354" t="s">
        <v>5684</v>
      </c>
      <c r="T974" s="1370"/>
      <c r="U974" s="1358" t="str">
        <f t="shared" si="128"/>
        <v>en término</v>
      </c>
      <c r="V974" s="1130" t="str">
        <f t="shared" si="126"/>
        <v>Agosto</v>
      </c>
      <c r="W974" s="1128">
        <f t="shared" si="127"/>
        <v>1</v>
      </c>
    </row>
    <row r="975" spans="1:23" ht="54.95" customHeight="1" thickBot="1" x14ac:dyDescent="0.25">
      <c r="A975" s="1117">
        <v>2016</v>
      </c>
      <c r="B975" s="1117">
        <v>2016</v>
      </c>
      <c r="C975" s="1436" t="s">
        <v>5433</v>
      </c>
      <c r="D975" s="1363" t="s">
        <v>5456</v>
      </c>
      <c r="E975" s="1350" t="s">
        <v>5685</v>
      </c>
      <c r="F975" s="1437"/>
      <c r="G975" s="1463">
        <v>4500222257</v>
      </c>
      <c r="H975" s="1352">
        <v>7500</v>
      </c>
      <c r="I975" s="1353">
        <v>42542</v>
      </c>
      <c r="J975" s="1354">
        <f>+K975-I975</f>
        <v>59</v>
      </c>
      <c r="K975" s="1353">
        <v>42601</v>
      </c>
      <c r="L975" s="1353" t="s">
        <v>5436</v>
      </c>
      <c r="M975" s="1353">
        <v>42598</v>
      </c>
      <c r="N975" s="1354">
        <f t="shared" si="129"/>
        <v>-1</v>
      </c>
      <c r="O975" s="1427"/>
      <c r="P975" s="1438">
        <v>42600</v>
      </c>
      <c r="Q975" s="1355">
        <v>42605</v>
      </c>
      <c r="R975" s="1354">
        <f t="shared" si="123"/>
        <v>63</v>
      </c>
      <c r="S975" s="1354" t="s">
        <v>5686</v>
      </c>
      <c r="T975" s="1370" t="s">
        <v>5687</v>
      </c>
      <c r="U975" s="1358" t="str">
        <f t="shared" si="128"/>
        <v>en término</v>
      </c>
      <c r="V975" s="1130" t="str">
        <f t="shared" si="126"/>
        <v>Agosto</v>
      </c>
      <c r="W975" s="1128">
        <f t="shared" si="127"/>
        <v>1</v>
      </c>
    </row>
    <row r="976" spans="1:23" ht="54.95" customHeight="1" thickBot="1" x14ac:dyDescent="0.25">
      <c r="A976" s="1117">
        <v>2016</v>
      </c>
      <c r="B976" s="1117">
        <v>2016</v>
      </c>
      <c r="C976" s="1436" t="s">
        <v>36</v>
      </c>
      <c r="D976" s="1363" t="s">
        <v>37</v>
      </c>
      <c r="E976" s="1350" t="s">
        <v>3130</v>
      </c>
      <c r="F976" s="1437" t="s">
        <v>3131</v>
      </c>
      <c r="G976" s="1463">
        <v>16090001</v>
      </c>
      <c r="H976" s="1352">
        <v>5033</v>
      </c>
      <c r="I976" s="1353">
        <v>42627</v>
      </c>
      <c r="J976" s="1354">
        <v>75</v>
      </c>
      <c r="K976" s="1353">
        <f>+I976+J976</f>
        <v>42702</v>
      </c>
      <c r="L976" s="1353" t="s">
        <v>41</v>
      </c>
      <c r="M976" s="1353">
        <v>42681</v>
      </c>
      <c r="N976" s="1354">
        <f t="shared" si="129"/>
        <v>-7</v>
      </c>
      <c r="O976" s="1427">
        <v>42693</v>
      </c>
      <c r="P976" s="1438">
        <v>42695</v>
      </c>
      <c r="Q976" s="1355">
        <v>42712</v>
      </c>
      <c r="R976" s="1354">
        <f t="shared" si="123"/>
        <v>85</v>
      </c>
      <c r="S976" s="1354" t="s">
        <v>53</v>
      </c>
      <c r="T976" s="1370" t="s">
        <v>3133</v>
      </c>
      <c r="U976" s="1358" t="str">
        <f t="shared" si="128"/>
        <v>en término</v>
      </c>
      <c r="V976" s="1130" t="str">
        <f t="shared" si="126"/>
        <v>Noviembre</v>
      </c>
      <c r="W976" s="1128">
        <f t="shared" si="127"/>
        <v>1</v>
      </c>
    </row>
    <row r="977" spans="1:23" ht="54.95" customHeight="1" thickBot="1" x14ac:dyDescent="0.25">
      <c r="A977" s="1117">
        <v>2016</v>
      </c>
      <c r="B977" s="1117">
        <v>2016</v>
      </c>
      <c r="C977" s="1436" t="s">
        <v>78</v>
      </c>
      <c r="D977" s="1363" t="s">
        <v>79</v>
      </c>
      <c r="E977" s="1350" t="s">
        <v>3921</v>
      </c>
      <c r="F977" s="1437"/>
      <c r="G977" s="1463" t="s">
        <v>3922</v>
      </c>
      <c r="H977" s="1352">
        <v>111321</v>
      </c>
      <c r="I977" s="1353">
        <v>42604</v>
      </c>
      <c r="J977" s="1354">
        <v>75</v>
      </c>
      <c r="K977" s="1353">
        <f>+I977+J977</f>
        <v>42679</v>
      </c>
      <c r="L977" s="1353" t="s">
        <v>83</v>
      </c>
      <c r="M977" s="1353">
        <v>42664</v>
      </c>
      <c r="N977" s="1354">
        <f>IF(O977="","",+O977-K977)</f>
        <v>-2</v>
      </c>
      <c r="O977" s="1427">
        <v>42677</v>
      </c>
      <c r="P977" s="1438">
        <v>42686</v>
      </c>
      <c r="Q977" s="1355">
        <v>42709</v>
      </c>
      <c r="R977" s="1354">
        <f t="shared" si="123"/>
        <v>105</v>
      </c>
      <c r="S977" s="1354" t="s">
        <v>3924</v>
      </c>
      <c r="T977" s="1370" t="s">
        <v>6392</v>
      </c>
      <c r="U977" s="1358" t="str">
        <f t="shared" si="128"/>
        <v>en término</v>
      </c>
      <c r="V977" s="1130" t="str">
        <f t="shared" si="126"/>
        <v>Octubre</v>
      </c>
      <c r="W977" s="1128">
        <f t="shared" si="127"/>
        <v>1</v>
      </c>
    </row>
    <row r="978" spans="1:23" ht="54.95" customHeight="1" thickBot="1" x14ac:dyDescent="0.25">
      <c r="A978" s="1117">
        <v>2016</v>
      </c>
      <c r="B978" s="1117">
        <v>2016</v>
      </c>
      <c r="C978" s="1436" t="s">
        <v>78</v>
      </c>
      <c r="D978" s="1363" t="s">
        <v>79</v>
      </c>
      <c r="E978" s="1350" t="s">
        <v>104</v>
      </c>
      <c r="F978" s="1437" t="s">
        <v>105</v>
      </c>
      <c r="G978" s="1463" t="s">
        <v>3928</v>
      </c>
      <c r="H978" s="1352">
        <v>266490.5</v>
      </c>
      <c r="I978" s="1353">
        <v>42608</v>
      </c>
      <c r="J978" s="1354">
        <v>60</v>
      </c>
      <c r="K978" s="1353">
        <f>+I978+J978</f>
        <v>42668</v>
      </c>
      <c r="L978" s="1353" t="s">
        <v>83</v>
      </c>
      <c r="M978" s="1353">
        <v>42664</v>
      </c>
      <c r="N978" s="1354">
        <f>IF(O978="","",+O978-K978)</f>
        <v>9</v>
      </c>
      <c r="O978" s="1427">
        <v>42677</v>
      </c>
      <c r="P978" s="1438">
        <v>42686</v>
      </c>
      <c r="Q978" s="1355">
        <v>42709</v>
      </c>
      <c r="R978" s="1354">
        <f t="shared" si="123"/>
        <v>101</v>
      </c>
      <c r="S978" s="1354" t="s">
        <v>3914</v>
      </c>
      <c r="T978" s="1370" t="s">
        <v>6392</v>
      </c>
      <c r="U978" s="1358" t="str">
        <f t="shared" si="128"/>
        <v>atrasado</v>
      </c>
      <c r="V978" s="1130" t="str">
        <f t="shared" si="126"/>
        <v>Octubre</v>
      </c>
      <c r="W978" s="1128">
        <f t="shared" si="127"/>
        <v>0</v>
      </c>
    </row>
    <row r="979" spans="1:23" ht="54.95" customHeight="1" thickBot="1" x14ac:dyDescent="0.25">
      <c r="A979" s="1117">
        <v>2016</v>
      </c>
      <c r="B979" s="1117">
        <v>2016</v>
      </c>
      <c r="C979" s="1436" t="s">
        <v>78</v>
      </c>
      <c r="D979" s="1363" t="s">
        <v>79</v>
      </c>
      <c r="E979" s="1350" t="s">
        <v>104</v>
      </c>
      <c r="F979" s="1437" t="s">
        <v>3916</v>
      </c>
      <c r="G979" s="1463" t="s">
        <v>3917</v>
      </c>
      <c r="H979" s="1352">
        <v>4320</v>
      </c>
      <c r="I979" s="1353">
        <v>42662</v>
      </c>
      <c r="J979" s="1354">
        <v>10</v>
      </c>
      <c r="K979" s="1353">
        <f>+I979+J979</f>
        <v>42672</v>
      </c>
      <c r="L979" s="1353" t="s">
        <v>83</v>
      </c>
      <c r="M979" s="1353">
        <v>42664</v>
      </c>
      <c r="N979" s="1354">
        <f>IF(P979="","",+P979-K979)</f>
        <v>0</v>
      </c>
      <c r="O979" s="1427">
        <v>42671</v>
      </c>
      <c r="P979" s="1438">
        <v>42672</v>
      </c>
      <c r="Q979" s="1355">
        <f>+P979+3</f>
        <v>42675</v>
      </c>
      <c r="R979" s="1354">
        <f t="shared" ref="R979:R1010" si="130">IF(Q979="","",+Q979-I979)</f>
        <v>13</v>
      </c>
      <c r="S979" s="1437" t="s">
        <v>3918</v>
      </c>
      <c r="T979" s="1370" t="s">
        <v>3920</v>
      </c>
      <c r="U979" s="1358" t="str">
        <f t="shared" si="128"/>
        <v>en término</v>
      </c>
      <c r="V979" s="1130" t="str">
        <f t="shared" si="126"/>
        <v>Octubre</v>
      </c>
      <c r="W979" s="1128">
        <f t="shared" si="127"/>
        <v>1</v>
      </c>
    </row>
    <row r="980" spans="1:23" ht="54.95" customHeight="1" thickBot="1" x14ac:dyDescent="0.25">
      <c r="A980" s="1117">
        <v>2016</v>
      </c>
      <c r="B980" s="1117">
        <v>2016</v>
      </c>
      <c r="C980" s="1436" t="s">
        <v>78</v>
      </c>
      <c r="D980" s="1363" t="s">
        <v>79</v>
      </c>
      <c r="E980" s="1350" t="s">
        <v>104</v>
      </c>
      <c r="F980" s="1437" t="s">
        <v>105</v>
      </c>
      <c r="G980" s="1463" t="s">
        <v>3930</v>
      </c>
      <c r="H980" s="1352">
        <v>85691</v>
      </c>
      <c r="I980" s="1353">
        <v>42636</v>
      </c>
      <c r="J980" s="1354">
        <v>60</v>
      </c>
      <c r="K980" s="1353">
        <f>+I980+J980</f>
        <v>42696</v>
      </c>
      <c r="L980" s="1353" t="s">
        <v>83</v>
      </c>
      <c r="M980" s="1353">
        <v>42688</v>
      </c>
      <c r="N980" s="1354">
        <f>IF(O980="","",+O980-K980)</f>
        <v>2</v>
      </c>
      <c r="O980" s="1427">
        <v>42698</v>
      </c>
      <c r="P980" s="1438">
        <v>42708</v>
      </c>
      <c r="Q980" s="1355">
        <v>42734</v>
      </c>
      <c r="R980" s="1354">
        <f t="shared" si="130"/>
        <v>98</v>
      </c>
      <c r="S980" s="1437" t="s">
        <v>3932</v>
      </c>
      <c r="T980" s="1370" t="s">
        <v>6393</v>
      </c>
      <c r="U980" s="1358" t="str">
        <f t="shared" si="128"/>
        <v>atrasado</v>
      </c>
      <c r="V980" s="1130" t="str">
        <f t="shared" si="126"/>
        <v>Noviembre</v>
      </c>
      <c r="W980" s="1128">
        <f t="shared" si="127"/>
        <v>0</v>
      </c>
    </row>
    <row r="981" spans="1:23" ht="54.95" customHeight="1" thickBot="1" x14ac:dyDescent="0.25">
      <c r="A981" s="1117">
        <v>2016</v>
      </c>
      <c r="B981" s="1117">
        <v>2016</v>
      </c>
      <c r="C981" s="1436" t="s">
        <v>78</v>
      </c>
      <c r="D981" s="1363" t="s">
        <v>79</v>
      </c>
      <c r="E981" s="1350" t="s">
        <v>104</v>
      </c>
      <c r="F981" s="1437" t="s">
        <v>105</v>
      </c>
      <c r="G981" s="1463" t="s">
        <v>3943</v>
      </c>
      <c r="H981" s="1352">
        <v>233988.5</v>
      </c>
      <c r="I981" s="1353">
        <v>42647</v>
      </c>
      <c r="J981" s="1354">
        <f t="shared" ref="J981:J993" si="131">+K981-I981</f>
        <v>98</v>
      </c>
      <c r="K981" s="1353">
        <v>42745</v>
      </c>
      <c r="L981" s="1353" t="s">
        <v>83</v>
      </c>
      <c r="M981" s="1353">
        <v>42741</v>
      </c>
      <c r="N981" s="1354">
        <f t="shared" ref="N981:N987" si="132">IF(P981="","",+P981-K981)</f>
        <v>17</v>
      </c>
      <c r="O981" s="1427">
        <v>42754</v>
      </c>
      <c r="P981" s="1438">
        <v>42762</v>
      </c>
      <c r="Q981" s="1355">
        <v>42790</v>
      </c>
      <c r="R981" s="1354">
        <f t="shared" si="130"/>
        <v>143</v>
      </c>
      <c r="S981" s="1437" t="s">
        <v>3932</v>
      </c>
      <c r="T981" s="1370" t="s">
        <v>6394</v>
      </c>
      <c r="U981" s="1358" t="str">
        <f t="shared" si="128"/>
        <v>atrasado</v>
      </c>
      <c r="V981" s="1130" t="str">
        <f t="shared" si="126"/>
        <v>Enero</v>
      </c>
      <c r="W981" s="1128">
        <f t="shared" si="127"/>
        <v>0</v>
      </c>
    </row>
    <row r="982" spans="1:23" ht="54.95" customHeight="1" thickBot="1" x14ac:dyDescent="0.25">
      <c r="A982" s="1143">
        <v>2016</v>
      </c>
      <c r="B982" s="1143">
        <v>2016</v>
      </c>
      <c r="C982" s="1449" t="s">
        <v>78</v>
      </c>
      <c r="D982" s="1393" t="s">
        <v>108</v>
      </c>
      <c r="E982" s="1450" t="s">
        <v>3935</v>
      </c>
      <c r="F982" s="1464"/>
      <c r="G982" s="1465">
        <v>63000012899</v>
      </c>
      <c r="H982" s="1453">
        <v>135950</v>
      </c>
      <c r="I982" s="1454">
        <v>42648</v>
      </c>
      <c r="J982" s="1455">
        <f t="shared" si="131"/>
        <v>73</v>
      </c>
      <c r="K982" s="1454">
        <v>42721</v>
      </c>
      <c r="L982" s="1454" t="s">
        <v>83</v>
      </c>
      <c r="M982" s="1454">
        <v>42709</v>
      </c>
      <c r="N982" s="1455">
        <f t="shared" si="132"/>
        <v>21</v>
      </c>
      <c r="O982" s="1456">
        <v>42740</v>
      </c>
      <c r="P982" s="1466">
        <v>42742</v>
      </c>
      <c r="Q982" s="1457">
        <f>+P982+7</f>
        <v>42749</v>
      </c>
      <c r="R982" s="1455">
        <f t="shared" si="130"/>
        <v>101</v>
      </c>
      <c r="S982" s="1464" t="s">
        <v>3936</v>
      </c>
      <c r="T982" s="1467" t="s">
        <v>3938</v>
      </c>
      <c r="U982" s="1459" t="str">
        <f t="shared" si="128"/>
        <v>atrasado</v>
      </c>
      <c r="V982" s="1290" t="str">
        <f t="shared" si="126"/>
        <v>Diciembre</v>
      </c>
      <c r="W982" s="1323">
        <f t="shared" si="127"/>
        <v>0</v>
      </c>
    </row>
    <row r="983" spans="1:23" ht="54.95" customHeight="1" thickTop="1" thickBot="1" x14ac:dyDescent="0.25">
      <c r="A983" s="1157">
        <v>2017</v>
      </c>
      <c r="B983" s="1157">
        <v>2017</v>
      </c>
      <c r="C983" s="1468" t="s">
        <v>78</v>
      </c>
      <c r="D983" s="1408" t="s">
        <v>108</v>
      </c>
      <c r="E983" s="1409" t="s">
        <v>3935</v>
      </c>
      <c r="F983" s="1469"/>
      <c r="G983" s="1463">
        <v>63000012899</v>
      </c>
      <c r="H983" s="1411">
        <v>100800</v>
      </c>
      <c r="I983" s="1412">
        <v>42648</v>
      </c>
      <c r="J983" s="1413">
        <f t="shared" si="131"/>
        <v>104</v>
      </c>
      <c r="K983" s="1412">
        <v>42752</v>
      </c>
      <c r="L983" s="1412" t="s">
        <v>83</v>
      </c>
      <c r="M983" s="1412">
        <v>42741</v>
      </c>
      <c r="N983" s="1413">
        <f t="shared" si="132"/>
        <v>46</v>
      </c>
      <c r="O983" s="1439">
        <v>42790</v>
      </c>
      <c r="P983" s="1440">
        <v>42798</v>
      </c>
      <c r="Q983" s="1414">
        <v>42825</v>
      </c>
      <c r="R983" s="1413">
        <f t="shared" si="130"/>
        <v>177</v>
      </c>
      <c r="S983" s="1469" t="s">
        <v>3941</v>
      </c>
      <c r="T983" s="1470"/>
      <c r="U983" s="1417" t="str">
        <f t="shared" si="128"/>
        <v>atrasado</v>
      </c>
      <c r="V983" s="1289" t="str">
        <f t="shared" si="126"/>
        <v>Enero</v>
      </c>
      <c r="W983" s="1324">
        <f t="shared" si="127"/>
        <v>0</v>
      </c>
    </row>
    <row r="984" spans="1:23" ht="54.95" customHeight="1" thickBot="1" x14ac:dyDescent="0.25">
      <c r="A984" s="1117">
        <v>2017</v>
      </c>
      <c r="B984" s="1117">
        <v>2017</v>
      </c>
      <c r="C984" s="1436" t="s">
        <v>78</v>
      </c>
      <c r="D984" s="1363" t="s">
        <v>79</v>
      </c>
      <c r="E984" s="1350" t="s">
        <v>104</v>
      </c>
      <c r="F984" s="1437" t="s">
        <v>105</v>
      </c>
      <c r="G984" s="1463" t="s">
        <v>3947</v>
      </c>
      <c r="H984" s="1352">
        <v>170231.5</v>
      </c>
      <c r="I984" s="1353">
        <v>42761</v>
      </c>
      <c r="J984" s="1354">
        <f t="shared" si="131"/>
        <v>53</v>
      </c>
      <c r="K984" s="1353">
        <v>42814</v>
      </c>
      <c r="L984" s="1353" t="s">
        <v>83</v>
      </c>
      <c r="M984" s="1353">
        <v>42809</v>
      </c>
      <c r="N984" s="1354">
        <f t="shared" si="132"/>
        <v>19</v>
      </c>
      <c r="O984" s="1427">
        <v>42825</v>
      </c>
      <c r="P984" s="1438">
        <v>42833</v>
      </c>
      <c r="Q984" s="1355">
        <v>42860</v>
      </c>
      <c r="R984" s="1354">
        <f t="shared" si="130"/>
        <v>99</v>
      </c>
      <c r="S984" s="1437" t="s">
        <v>3949</v>
      </c>
      <c r="T984" s="1370" t="s">
        <v>6395</v>
      </c>
      <c r="U984" s="1358" t="str">
        <f t="shared" si="128"/>
        <v>atrasado</v>
      </c>
      <c r="V984" s="1130" t="str">
        <f t="shared" si="126"/>
        <v>Marzo</v>
      </c>
      <c r="W984" s="1128">
        <f t="shared" si="127"/>
        <v>0</v>
      </c>
    </row>
    <row r="985" spans="1:23" ht="54.95" customHeight="1" thickBot="1" x14ac:dyDescent="0.25">
      <c r="A985" s="1117">
        <v>2017</v>
      </c>
      <c r="B985" s="1117">
        <v>2017</v>
      </c>
      <c r="C985" s="1436" t="s">
        <v>78</v>
      </c>
      <c r="D985" s="1363" t="s">
        <v>3886</v>
      </c>
      <c r="E985" s="1350" t="s">
        <v>3952</v>
      </c>
      <c r="F985" s="1437"/>
      <c r="G985" s="1463">
        <v>30002541</v>
      </c>
      <c r="H985" s="1352">
        <v>94772</v>
      </c>
      <c r="I985" s="1353">
        <v>42740</v>
      </c>
      <c r="J985" s="1354">
        <f t="shared" si="131"/>
        <v>105</v>
      </c>
      <c r="K985" s="1353">
        <v>42845</v>
      </c>
      <c r="L985" s="1353" t="s">
        <v>83</v>
      </c>
      <c r="M985" s="1353">
        <v>42850</v>
      </c>
      <c r="N985" s="1354">
        <f t="shared" si="132"/>
        <v>59</v>
      </c>
      <c r="O985" s="1427">
        <v>42894</v>
      </c>
      <c r="P985" s="1438">
        <v>42904</v>
      </c>
      <c r="Q985" s="1355">
        <v>42929</v>
      </c>
      <c r="R985" s="1354">
        <f t="shared" si="130"/>
        <v>189</v>
      </c>
      <c r="S985" s="1437" t="s">
        <v>3954</v>
      </c>
      <c r="T985" s="1370" t="s">
        <v>6396</v>
      </c>
      <c r="U985" s="1358" t="str">
        <f t="shared" si="128"/>
        <v>atrasado</v>
      </c>
      <c r="V985" s="1130" t="str">
        <f t="shared" si="126"/>
        <v>Abril</v>
      </c>
      <c r="W985" s="1128">
        <f t="shared" si="127"/>
        <v>0</v>
      </c>
    </row>
    <row r="986" spans="1:23" ht="54.95" customHeight="1" thickBot="1" x14ac:dyDescent="0.25">
      <c r="A986" s="1117">
        <v>2017</v>
      </c>
      <c r="B986" s="1117">
        <v>2017</v>
      </c>
      <c r="C986" s="1436" t="s">
        <v>78</v>
      </c>
      <c r="D986" s="1363" t="s">
        <v>79</v>
      </c>
      <c r="E986" s="1350" t="s">
        <v>104</v>
      </c>
      <c r="F986" s="1437" t="s">
        <v>105</v>
      </c>
      <c r="G986" s="1463" t="s">
        <v>3957</v>
      </c>
      <c r="H986" s="1352">
        <v>197813.7</v>
      </c>
      <c r="I986" s="1353">
        <v>42761</v>
      </c>
      <c r="J986" s="1354">
        <f t="shared" si="131"/>
        <v>84</v>
      </c>
      <c r="K986" s="1353">
        <v>42845</v>
      </c>
      <c r="L986" s="1353" t="s">
        <v>83</v>
      </c>
      <c r="M986" s="1353">
        <v>42850</v>
      </c>
      <c r="N986" s="1354">
        <f t="shared" si="132"/>
        <v>23</v>
      </c>
      <c r="O986" s="1427">
        <v>42860</v>
      </c>
      <c r="P986" s="1438">
        <v>42868</v>
      </c>
      <c r="Q986" s="1355">
        <v>42888</v>
      </c>
      <c r="R986" s="1354">
        <f t="shared" si="130"/>
        <v>127</v>
      </c>
      <c r="S986" s="1437" t="s">
        <v>3932</v>
      </c>
      <c r="T986" s="1370" t="s">
        <v>6397</v>
      </c>
      <c r="U986" s="1358" t="str">
        <f t="shared" si="128"/>
        <v>atrasado</v>
      </c>
      <c r="V986" s="1130" t="str">
        <f t="shared" si="126"/>
        <v>Abril</v>
      </c>
      <c r="W986" s="1128">
        <f t="shared" si="127"/>
        <v>0</v>
      </c>
    </row>
    <row r="987" spans="1:23" ht="54.95" customHeight="1" thickBot="1" x14ac:dyDescent="0.25">
      <c r="A987" s="1117">
        <v>2017</v>
      </c>
      <c r="B987" s="1117">
        <v>2017</v>
      </c>
      <c r="C987" s="1436" t="s">
        <v>78</v>
      </c>
      <c r="D987" s="1363" t="s">
        <v>79</v>
      </c>
      <c r="E987" s="1350" t="s">
        <v>104</v>
      </c>
      <c r="F987" s="1437" t="s">
        <v>105</v>
      </c>
      <c r="G987" s="1463" t="s">
        <v>3961</v>
      </c>
      <c r="H987" s="1352">
        <v>86135</v>
      </c>
      <c r="I987" s="1353">
        <v>42761</v>
      </c>
      <c r="J987" s="1354">
        <f t="shared" si="131"/>
        <v>84</v>
      </c>
      <c r="K987" s="1353">
        <v>42845</v>
      </c>
      <c r="L987" s="1353" t="s">
        <v>83</v>
      </c>
      <c r="M987" s="1353">
        <v>42850</v>
      </c>
      <c r="N987" s="1354">
        <f t="shared" si="132"/>
        <v>23</v>
      </c>
      <c r="O987" s="1427">
        <v>42860</v>
      </c>
      <c r="P987" s="1438">
        <v>42868</v>
      </c>
      <c r="Q987" s="1355">
        <v>42888</v>
      </c>
      <c r="R987" s="1354">
        <f t="shared" si="130"/>
        <v>127</v>
      </c>
      <c r="S987" s="1437" t="s">
        <v>3932</v>
      </c>
      <c r="T987" s="1370" t="s">
        <v>6398</v>
      </c>
      <c r="U987" s="1358" t="str">
        <f t="shared" si="128"/>
        <v>atrasado</v>
      </c>
      <c r="V987" s="1130" t="str">
        <f t="shared" si="126"/>
        <v>Abril</v>
      </c>
      <c r="W987" s="1128">
        <f t="shared" si="127"/>
        <v>0</v>
      </c>
    </row>
    <row r="988" spans="1:23" ht="54.95" customHeight="1" thickBot="1" x14ac:dyDescent="0.25">
      <c r="A988" s="1117">
        <v>2017</v>
      </c>
      <c r="B988" s="1117">
        <v>2017</v>
      </c>
      <c r="C988" s="1436" t="s">
        <v>78</v>
      </c>
      <c r="D988" s="1363" t="s">
        <v>79</v>
      </c>
      <c r="E988" s="1350" t="s">
        <v>104</v>
      </c>
      <c r="F988" s="1437" t="s">
        <v>105</v>
      </c>
      <c r="G988" s="1463" t="s">
        <v>3965</v>
      </c>
      <c r="H988" s="1352">
        <v>229749.78</v>
      </c>
      <c r="I988" s="1353">
        <v>42761</v>
      </c>
      <c r="J988" s="1354">
        <f t="shared" si="131"/>
        <v>114</v>
      </c>
      <c r="K988" s="1353">
        <v>42875</v>
      </c>
      <c r="L988" s="1353" t="s">
        <v>83</v>
      </c>
      <c r="M988" s="1353">
        <v>42885</v>
      </c>
      <c r="N988" s="1354">
        <f>IF(Q988="","",+Q988-K988)</f>
        <v>69</v>
      </c>
      <c r="O988" s="1427">
        <v>42909</v>
      </c>
      <c r="P988" s="1438">
        <v>42917</v>
      </c>
      <c r="Q988" s="1355">
        <v>42944</v>
      </c>
      <c r="R988" s="1354">
        <f t="shared" si="130"/>
        <v>183</v>
      </c>
      <c r="S988" s="1437" t="s">
        <v>3932</v>
      </c>
      <c r="T988" s="1370" t="s">
        <v>6399</v>
      </c>
      <c r="U988" s="1358" t="str">
        <f t="shared" si="128"/>
        <v>atrasado</v>
      </c>
      <c r="V988" s="1130" t="str">
        <f t="shared" si="126"/>
        <v>Mayo</v>
      </c>
      <c r="W988" s="1128">
        <f t="shared" si="127"/>
        <v>0</v>
      </c>
    </row>
    <row r="989" spans="1:23" ht="54.95" customHeight="1" thickBot="1" x14ac:dyDescent="0.25">
      <c r="A989" s="1117">
        <v>2017</v>
      </c>
      <c r="B989" s="1117">
        <v>2017</v>
      </c>
      <c r="C989" s="1436" t="s">
        <v>78</v>
      </c>
      <c r="D989" s="1363" t="s">
        <v>3886</v>
      </c>
      <c r="E989" s="1350" t="s">
        <v>3963</v>
      </c>
      <c r="F989" s="1437"/>
      <c r="G989" s="1463">
        <v>30002587</v>
      </c>
      <c r="H989" s="1352">
        <v>33828</v>
      </c>
      <c r="I989" s="1353">
        <v>42773</v>
      </c>
      <c r="J989" s="1354">
        <f t="shared" si="131"/>
        <v>100</v>
      </c>
      <c r="K989" s="1353">
        <v>42873</v>
      </c>
      <c r="L989" s="1353" t="s">
        <v>83</v>
      </c>
      <c r="M989" s="1353">
        <v>42873</v>
      </c>
      <c r="N989" s="1354">
        <f>IF(Q989="","",+Q989-K989)</f>
        <v>56</v>
      </c>
      <c r="O989" s="1427">
        <v>42894</v>
      </c>
      <c r="P989" s="1438">
        <v>42904</v>
      </c>
      <c r="Q989" s="1355">
        <v>42929</v>
      </c>
      <c r="R989" s="1354">
        <f t="shared" si="130"/>
        <v>156</v>
      </c>
      <c r="S989" s="1437" t="s">
        <v>53</v>
      </c>
      <c r="T989" s="1370"/>
      <c r="U989" s="1358" t="str">
        <f t="shared" si="128"/>
        <v>atrasado</v>
      </c>
      <c r="V989" s="1130" t="str">
        <f t="shared" si="126"/>
        <v>Mayo</v>
      </c>
      <c r="W989" s="1128">
        <f t="shared" si="127"/>
        <v>0</v>
      </c>
    </row>
    <row r="990" spans="1:23" ht="54.95" customHeight="1" thickBot="1" x14ac:dyDescent="0.25">
      <c r="A990" s="1117">
        <v>2017</v>
      </c>
      <c r="B990" s="1117">
        <v>2017</v>
      </c>
      <c r="C990" s="1436" t="s">
        <v>78</v>
      </c>
      <c r="D990" s="1363" t="s">
        <v>3886</v>
      </c>
      <c r="E990" s="1350" t="s">
        <v>3964</v>
      </c>
      <c r="F990" s="1437"/>
      <c r="G990" s="1463">
        <v>30002586</v>
      </c>
      <c r="H990" s="1352">
        <v>17061</v>
      </c>
      <c r="I990" s="1353">
        <v>42773</v>
      </c>
      <c r="J990" s="1354">
        <f t="shared" si="131"/>
        <v>100</v>
      </c>
      <c r="K990" s="1353">
        <v>42873</v>
      </c>
      <c r="L990" s="1353" t="s">
        <v>83</v>
      </c>
      <c r="M990" s="1353">
        <v>42873</v>
      </c>
      <c r="N990" s="1354">
        <f>IF(Q990="","",+Q990-K990)</f>
        <v>56</v>
      </c>
      <c r="O990" s="1427">
        <v>42894</v>
      </c>
      <c r="P990" s="1438">
        <v>42904</v>
      </c>
      <c r="Q990" s="1355">
        <v>42929</v>
      </c>
      <c r="R990" s="1354">
        <f t="shared" si="130"/>
        <v>156</v>
      </c>
      <c r="S990" s="1437" t="s">
        <v>53</v>
      </c>
      <c r="T990" s="1370"/>
      <c r="U990" s="1358" t="str">
        <f t="shared" si="128"/>
        <v>atrasado</v>
      </c>
      <c r="V990" s="1130" t="str">
        <f t="shared" si="126"/>
        <v>Mayo</v>
      </c>
      <c r="W990" s="1128">
        <f t="shared" si="127"/>
        <v>0</v>
      </c>
    </row>
    <row r="991" spans="1:23" ht="54.95" customHeight="1" thickBot="1" x14ac:dyDescent="0.25">
      <c r="A991" s="1117">
        <v>2017</v>
      </c>
      <c r="B991" s="1117">
        <v>2017</v>
      </c>
      <c r="C991" s="1436" t="s">
        <v>78</v>
      </c>
      <c r="D991" s="1363" t="s">
        <v>79</v>
      </c>
      <c r="E991" s="1350" t="s">
        <v>3973</v>
      </c>
      <c r="F991" s="1437"/>
      <c r="G991" s="1463" t="s">
        <v>3974</v>
      </c>
      <c r="H991" s="1352">
        <v>58460</v>
      </c>
      <c r="I991" s="1353">
        <v>42859</v>
      </c>
      <c r="J991" s="1354">
        <f t="shared" si="131"/>
        <v>65</v>
      </c>
      <c r="K991" s="1353">
        <v>42924</v>
      </c>
      <c r="L991" s="1353" t="s">
        <v>83</v>
      </c>
      <c r="M991" s="1353">
        <v>42912</v>
      </c>
      <c r="N991" s="1354">
        <f>IF(Q991="","",+Q991-K991)</f>
        <v>44</v>
      </c>
      <c r="O991" s="1427">
        <v>42839</v>
      </c>
      <c r="P991" s="1438">
        <v>42938</v>
      </c>
      <c r="Q991" s="1355">
        <v>42968</v>
      </c>
      <c r="R991" s="1354">
        <f t="shared" si="130"/>
        <v>109</v>
      </c>
      <c r="S991" s="1437" t="s">
        <v>53</v>
      </c>
      <c r="T991" s="1370"/>
      <c r="U991" s="1358" t="str">
        <f t="shared" si="128"/>
        <v>atrasado</v>
      </c>
      <c r="V991" s="1130" t="str">
        <f t="shared" si="126"/>
        <v>Junio</v>
      </c>
      <c r="W991" s="1128">
        <f t="shared" si="127"/>
        <v>0</v>
      </c>
    </row>
    <row r="992" spans="1:23" ht="54.95" customHeight="1" thickBot="1" x14ac:dyDescent="0.25">
      <c r="A992" s="1117">
        <v>2017</v>
      </c>
      <c r="B992" s="1117">
        <v>2017</v>
      </c>
      <c r="C992" s="1436" t="s">
        <v>78</v>
      </c>
      <c r="D992" s="1363" t="s">
        <v>79</v>
      </c>
      <c r="E992" s="1350" t="s">
        <v>3969</v>
      </c>
      <c r="F992" s="1437"/>
      <c r="G992" s="1463" t="s">
        <v>3970</v>
      </c>
      <c r="H992" s="1352">
        <v>2290</v>
      </c>
      <c r="I992" s="1353">
        <v>42859</v>
      </c>
      <c r="J992" s="1354">
        <f t="shared" si="131"/>
        <v>28</v>
      </c>
      <c r="K992" s="1353">
        <v>42887</v>
      </c>
      <c r="L992" s="1353" t="s">
        <v>83</v>
      </c>
      <c r="M992" s="1353">
        <v>42885</v>
      </c>
      <c r="N992" s="1354">
        <f>IF(Q992="","",+Q992-K992)</f>
        <v>57</v>
      </c>
      <c r="O992" s="1427">
        <v>42909</v>
      </c>
      <c r="P992" s="1438">
        <v>42917</v>
      </c>
      <c r="Q992" s="1355">
        <v>42944</v>
      </c>
      <c r="R992" s="1354">
        <f t="shared" si="130"/>
        <v>85</v>
      </c>
      <c r="S992" s="1437" t="s">
        <v>53</v>
      </c>
      <c r="T992" s="1370" t="s">
        <v>6400</v>
      </c>
      <c r="U992" s="1358" t="str">
        <f t="shared" si="128"/>
        <v>atrasado</v>
      </c>
      <c r="V992" s="1130" t="str">
        <f t="shared" si="126"/>
        <v>Mayo</v>
      </c>
      <c r="W992" s="1128">
        <f t="shared" si="127"/>
        <v>0</v>
      </c>
    </row>
    <row r="993" spans="1:23" ht="54.95" customHeight="1" thickBot="1" x14ac:dyDescent="0.25">
      <c r="A993" s="1117">
        <v>2017</v>
      </c>
      <c r="B993" s="1117">
        <v>2017</v>
      </c>
      <c r="C993" s="1436" t="s">
        <v>78</v>
      </c>
      <c r="D993" s="1363" t="s">
        <v>79</v>
      </c>
      <c r="E993" s="1350" t="s">
        <v>104</v>
      </c>
      <c r="F993" s="1437" t="s">
        <v>105</v>
      </c>
      <c r="G993" s="1463" t="s">
        <v>3943</v>
      </c>
      <c r="H993" s="1352">
        <v>233988.5</v>
      </c>
      <c r="I993" s="1353">
        <v>42647</v>
      </c>
      <c r="J993" s="1354">
        <f t="shared" si="131"/>
        <v>98</v>
      </c>
      <c r="K993" s="1353">
        <v>42745</v>
      </c>
      <c r="L993" s="1353" t="s">
        <v>83</v>
      </c>
      <c r="M993" s="1353">
        <v>42741</v>
      </c>
      <c r="N993" s="1354">
        <f t="shared" ref="N993:N999" si="133">IF(P993="","",+P993-K993)</f>
        <v>17</v>
      </c>
      <c r="O993" s="1427">
        <v>42754</v>
      </c>
      <c r="P993" s="1438">
        <v>42762</v>
      </c>
      <c r="Q993" s="1355">
        <v>42790</v>
      </c>
      <c r="R993" s="1354">
        <f t="shared" si="130"/>
        <v>143</v>
      </c>
      <c r="S993" s="1437" t="s">
        <v>3932</v>
      </c>
      <c r="T993" s="1370" t="s">
        <v>3945</v>
      </c>
      <c r="U993" s="1358" t="str">
        <f t="shared" si="128"/>
        <v>atrasado</v>
      </c>
      <c r="V993" s="1130" t="str">
        <f t="shared" si="126"/>
        <v>Enero</v>
      </c>
      <c r="W993" s="1128">
        <f t="shared" si="127"/>
        <v>0</v>
      </c>
    </row>
    <row r="994" spans="1:23" ht="54.95" customHeight="1" thickBot="1" x14ac:dyDescent="0.25">
      <c r="A994" s="1117">
        <v>2017</v>
      </c>
      <c r="B994" s="1117">
        <v>2017</v>
      </c>
      <c r="C994" s="1436" t="s">
        <v>78</v>
      </c>
      <c r="D994" s="1363" t="s">
        <v>79</v>
      </c>
      <c r="E994" s="1350" t="s">
        <v>3977</v>
      </c>
      <c r="F994" s="1437"/>
      <c r="G994" s="1463" t="s">
        <v>3978</v>
      </c>
      <c r="H994" s="1352">
        <v>108917.5</v>
      </c>
      <c r="I994" s="1353">
        <v>42921</v>
      </c>
      <c r="J994" s="1354">
        <v>75</v>
      </c>
      <c r="K994" s="1353">
        <f>+I994+J994</f>
        <v>42996</v>
      </c>
      <c r="L994" s="1353" t="s">
        <v>83</v>
      </c>
      <c r="M994" s="1353">
        <v>43003</v>
      </c>
      <c r="N994" s="1354">
        <f t="shared" si="133"/>
        <v>26</v>
      </c>
      <c r="O994" s="1427">
        <v>43014</v>
      </c>
      <c r="P994" s="1438">
        <v>43022</v>
      </c>
      <c r="Q994" s="1355">
        <f t="shared" ref="Q994:Q999" si="134">+P994+30</f>
        <v>43052</v>
      </c>
      <c r="R994" s="1354">
        <f t="shared" si="130"/>
        <v>131</v>
      </c>
      <c r="S994" s="1437" t="s">
        <v>3979</v>
      </c>
      <c r="T994" s="1370" t="s">
        <v>3981</v>
      </c>
      <c r="U994" s="1358" t="str">
        <f t="shared" si="128"/>
        <v>atrasado</v>
      </c>
      <c r="V994" s="1130" t="str">
        <f t="shared" si="126"/>
        <v>Septiembre</v>
      </c>
      <c r="W994" s="1128">
        <f t="shared" si="127"/>
        <v>0</v>
      </c>
    </row>
    <row r="995" spans="1:23" ht="54.95" customHeight="1" thickBot="1" x14ac:dyDescent="0.25">
      <c r="A995" s="1117">
        <v>2017</v>
      </c>
      <c r="B995" s="1117">
        <v>2017</v>
      </c>
      <c r="C995" s="1436" t="s">
        <v>78</v>
      </c>
      <c r="D995" s="1363" t="s">
        <v>79</v>
      </c>
      <c r="E995" s="1350" t="s">
        <v>3983</v>
      </c>
      <c r="F995" s="1437"/>
      <c r="G995" s="1463" t="s">
        <v>3984</v>
      </c>
      <c r="H995" s="1352">
        <v>62143.3</v>
      </c>
      <c r="I995" s="1353">
        <v>42944</v>
      </c>
      <c r="J995" s="1354">
        <v>60</v>
      </c>
      <c r="K995" s="1353">
        <f>+I995+J995</f>
        <v>43004</v>
      </c>
      <c r="L995" s="1353" t="s">
        <v>83</v>
      </c>
      <c r="M995" s="1353">
        <v>43003</v>
      </c>
      <c r="N995" s="1354">
        <f t="shared" si="133"/>
        <v>18</v>
      </c>
      <c r="O995" s="1427">
        <v>43014</v>
      </c>
      <c r="P995" s="1438">
        <v>43022</v>
      </c>
      <c r="Q995" s="1355">
        <f t="shared" si="134"/>
        <v>43052</v>
      </c>
      <c r="R995" s="1354">
        <f t="shared" si="130"/>
        <v>108</v>
      </c>
      <c r="S995" s="1437" t="s">
        <v>3985</v>
      </c>
      <c r="T995" s="1370" t="s">
        <v>3981</v>
      </c>
      <c r="U995" s="1358" t="str">
        <f t="shared" si="128"/>
        <v>atrasado</v>
      </c>
      <c r="V995" s="1130" t="str">
        <f t="shared" si="126"/>
        <v>Septiembre</v>
      </c>
      <c r="W995" s="1128">
        <f t="shared" si="127"/>
        <v>0</v>
      </c>
    </row>
    <row r="996" spans="1:23" ht="54.95" customHeight="1" thickBot="1" x14ac:dyDescent="0.25">
      <c r="A996" s="1117">
        <v>2017</v>
      </c>
      <c r="B996" s="1117">
        <v>2017</v>
      </c>
      <c r="C996" s="1436" t="s">
        <v>78</v>
      </c>
      <c r="D996" s="1363" t="s">
        <v>79</v>
      </c>
      <c r="E996" s="1350" t="s">
        <v>3986</v>
      </c>
      <c r="F996" s="1437"/>
      <c r="G996" s="1463" t="s">
        <v>3987</v>
      </c>
      <c r="H996" s="1352">
        <v>147866.70000000001</v>
      </c>
      <c r="I996" s="1353">
        <v>42951</v>
      </c>
      <c r="J996" s="1354">
        <v>75</v>
      </c>
      <c r="K996" s="1353">
        <f>+I996+J996</f>
        <v>43026</v>
      </c>
      <c r="L996" s="1353" t="s">
        <v>83</v>
      </c>
      <c r="M996" s="1353">
        <v>43021</v>
      </c>
      <c r="N996" s="1354">
        <f t="shared" si="133"/>
        <v>10</v>
      </c>
      <c r="O996" s="1427">
        <v>43028</v>
      </c>
      <c r="P996" s="1438">
        <v>43036</v>
      </c>
      <c r="Q996" s="1355">
        <f t="shared" si="134"/>
        <v>43066</v>
      </c>
      <c r="R996" s="1354">
        <f t="shared" si="130"/>
        <v>115</v>
      </c>
      <c r="S996" s="1437" t="s">
        <v>3985</v>
      </c>
      <c r="T996" s="1370" t="s">
        <v>3981</v>
      </c>
      <c r="U996" s="1358" t="str">
        <f t="shared" si="128"/>
        <v>atrasado</v>
      </c>
      <c r="V996" s="1130" t="str">
        <f t="shared" si="126"/>
        <v>Octubre</v>
      </c>
      <c r="W996" s="1128">
        <f t="shared" si="127"/>
        <v>0</v>
      </c>
    </row>
    <row r="997" spans="1:23" ht="54.95" customHeight="1" thickBot="1" x14ac:dyDescent="0.25">
      <c r="A997" s="1117">
        <v>2017</v>
      </c>
      <c r="B997" s="1117">
        <v>2017</v>
      </c>
      <c r="C997" s="1436" t="s">
        <v>78</v>
      </c>
      <c r="D997" s="1363" t="s">
        <v>79</v>
      </c>
      <c r="E997" s="1350" t="s">
        <v>3990</v>
      </c>
      <c r="F997" s="1437"/>
      <c r="G997" s="1463" t="s">
        <v>3991</v>
      </c>
      <c r="H997" s="1352">
        <v>31030</v>
      </c>
      <c r="I997" s="1353">
        <v>42957</v>
      </c>
      <c r="J997" s="1354">
        <v>70</v>
      </c>
      <c r="K997" s="1353">
        <f>+I997+J997</f>
        <v>43027</v>
      </c>
      <c r="L997" s="1353" t="s">
        <v>83</v>
      </c>
      <c r="M997" s="1353">
        <v>43021</v>
      </c>
      <c r="N997" s="1354">
        <f t="shared" si="133"/>
        <v>9</v>
      </c>
      <c r="O997" s="1427">
        <v>43028</v>
      </c>
      <c r="P997" s="1438">
        <v>43036</v>
      </c>
      <c r="Q997" s="1355">
        <f t="shared" si="134"/>
        <v>43066</v>
      </c>
      <c r="R997" s="1354">
        <f t="shared" si="130"/>
        <v>109</v>
      </c>
      <c r="S997" s="1437" t="s">
        <v>3992</v>
      </c>
      <c r="T997" s="1370" t="s">
        <v>3981</v>
      </c>
      <c r="U997" s="1358" t="str">
        <f t="shared" si="128"/>
        <v>atrasado</v>
      </c>
      <c r="V997" s="1130" t="str">
        <f t="shared" si="126"/>
        <v>Octubre</v>
      </c>
      <c r="W997" s="1128">
        <f t="shared" si="127"/>
        <v>0</v>
      </c>
    </row>
    <row r="998" spans="1:23" ht="54.95" customHeight="1" thickBot="1" x14ac:dyDescent="0.25">
      <c r="A998" s="1117">
        <v>2017</v>
      </c>
      <c r="B998" s="1117">
        <v>2017</v>
      </c>
      <c r="C998" s="1436" t="s">
        <v>78</v>
      </c>
      <c r="D998" s="1363" t="s">
        <v>79</v>
      </c>
      <c r="E998" s="1350" t="s">
        <v>3993</v>
      </c>
      <c r="F998" s="1437"/>
      <c r="G998" s="1463" t="s">
        <v>3994</v>
      </c>
      <c r="H998" s="1352">
        <v>41130</v>
      </c>
      <c r="I998" s="1353">
        <v>42979</v>
      </c>
      <c r="J998" s="1354">
        <v>90</v>
      </c>
      <c r="K998" s="1353">
        <f>+I998+J998</f>
        <v>43069</v>
      </c>
      <c r="L998" s="1353" t="s">
        <v>83</v>
      </c>
      <c r="M998" s="1353">
        <v>43053</v>
      </c>
      <c r="N998" s="1354">
        <f t="shared" si="133"/>
        <v>9</v>
      </c>
      <c r="O998" s="1427">
        <v>43063</v>
      </c>
      <c r="P998" s="1438">
        <v>43078</v>
      </c>
      <c r="Q998" s="1355">
        <f t="shared" si="134"/>
        <v>43108</v>
      </c>
      <c r="R998" s="1354">
        <f t="shared" si="130"/>
        <v>129</v>
      </c>
      <c r="S998" s="1437" t="s">
        <v>3996</v>
      </c>
      <c r="T998" s="1370" t="s">
        <v>6401</v>
      </c>
      <c r="U998" s="1358" t="str">
        <f t="shared" si="128"/>
        <v>atrasado</v>
      </c>
      <c r="V998" s="1130" t="str">
        <f t="shared" si="126"/>
        <v>Noviembre</v>
      </c>
      <c r="W998" s="1128">
        <f t="shared" si="127"/>
        <v>0</v>
      </c>
    </row>
    <row r="999" spans="1:23" ht="54.95" customHeight="1" thickBot="1" x14ac:dyDescent="0.25">
      <c r="A999" s="1117">
        <v>2017</v>
      </c>
      <c r="B999" s="1117">
        <v>2017</v>
      </c>
      <c r="C999" s="1436" t="s">
        <v>78</v>
      </c>
      <c r="D999" s="1363" t="s">
        <v>79</v>
      </c>
      <c r="E999" s="1350" t="s">
        <v>104</v>
      </c>
      <c r="F999" s="1437" t="s">
        <v>105</v>
      </c>
      <c r="G999" s="1463" t="s">
        <v>3999</v>
      </c>
      <c r="H999" s="1352">
        <v>149293.9</v>
      </c>
      <c r="I999" s="1353">
        <v>42979</v>
      </c>
      <c r="J999" s="1354">
        <v>90</v>
      </c>
      <c r="K999" s="1353">
        <v>43059</v>
      </c>
      <c r="L999" s="1353" t="s">
        <v>83</v>
      </c>
      <c r="M999" s="1353">
        <v>43053</v>
      </c>
      <c r="N999" s="1354">
        <f t="shared" si="133"/>
        <v>19</v>
      </c>
      <c r="O999" s="1427">
        <v>43063</v>
      </c>
      <c r="P999" s="1438">
        <v>43078</v>
      </c>
      <c r="Q999" s="1355">
        <f t="shared" si="134"/>
        <v>43108</v>
      </c>
      <c r="R999" s="1354">
        <f t="shared" si="130"/>
        <v>129</v>
      </c>
      <c r="S999" s="1437" t="s">
        <v>106</v>
      </c>
      <c r="T999" s="1370" t="s">
        <v>6401</v>
      </c>
      <c r="U999" s="1358" t="str">
        <f t="shared" si="128"/>
        <v>atrasado</v>
      </c>
      <c r="V999" s="1130" t="str">
        <f t="shared" si="126"/>
        <v>Noviembre</v>
      </c>
      <c r="W999" s="1128">
        <f t="shared" si="127"/>
        <v>0</v>
      </c>
    </row>
    <row r="1000" spans="1:23" ht="54.95" customHeight="1" thickBot="1" x14ac:dyDescent="0.25">
      <c r="A1000" s="1117">
        <v>2017</v>
      </c>
      <c r="B1000" s="1117">
        <v>2017</v>
      </c>
      <c r="C1000" s="1436" t="s">
        <v>36</v>
      </c>
      <c r="D1000" s="1363" t="s">
        <v>37</v>
      </c>
      <c r="E1000" s="1350" t="s">
        <v>3135</v>
      </c>
      <c r="F1000" s="1437">
        <v>4507543335</v>
      </c>
      <c r="G1000" s="1463">
        <v>17010001</v>
      </c>
      <c r="H1000" s="1352">
        <v>4726</v>
      </c>
      <c r="I1000" s="1353">
        <v>42759</v>
      </c>
      <c r="J1000" s="1354">
        <f>+K1000-I1000</f>
        <v>90</v>
      </c>
      <c r="K1000" s="1353">
        <v>42849</v>
      </c>
      <c r="L1000" s="1353" t="s">
        <v>41</v>
      </c>
      <c r="M1000" s="1353">
        <v>42837</v>
      </c>
      <c r="N1000" s="1354">
        <f>IF(O1000="","",+O1000-K1000)</f>
        <v>-3</v>
      </c>
      <c r="O1000" s="1427">
        <v>42846</v>
      </c>
      <c r="P1000" s="1438">
        <v>42849</v>
      </c>
      <c r="Q1000" s="1355">
        <v>42867</v>
      </c>
      <c r="R1000" s="1354">
        <f t="shared" si="130"/>
        <v>108</v>
      </c>
      <c r="S1000" s="1437" t="s">
        <v>53</v>
      </c>
      <c r="T1000" s="1370" t="s">
        <v>6402</v>
      </c>
      <c r="U1000" s="1358" t="str">
        <f t="shared" si="128"/>
        <v>en término</v>
      </c>
      <c r="V1000" s="1130" t="str">
        <f t="shared" si="126"/>
        <v>Abril</v>
      </c>
      <c r="W1000" s="1128">
        <f t="shared" si="127"/>
        <v>1</v>
      </c>
    </row>
    <row r="1001" spans="1:23" ht="54.95" customHeight="1" thickBot="1" x14ac:dyDescent="0.25">
      <c r="A1001" s="1117">
        <v>2017</v>
      </c>
      <c r="B1001" s="1117">
        <v>2017</v>
      </c>
      <c r="C1001" s="1436" t="s">
        <v>36</v>
      </c>
      <c r="D1001" s="1363" t="s">
        <v>37</v>
      </c>
      <c r="E1001" s="1350" t="s">
        <v>3140</v>
      </c>
      <c r="F1001" s="1437">
        <v>4507572017</v>
      </c>
      <c r="G1001" s="1463">
        <v>17020001</v>
      </c>
      <c r="H1001" s="1352">
        <v>180884.7</v>
      </c>
      <c r="I1001" s="1353">
        <v>42766</v>
      </c>
      <c r="J1001" s="1354">
        <f>+K1001-I1001</f>
        <v>78</v>
      </c>
      <c r="K1001" s="1353">
        <v>42844</v>
      </c>
      <c r="L1001" s="1353" t="s">
        <v>41</v>
      </c>
      <c r="M1001" s="1353">
        <v>42837</v>
      </c>
      <c r="N1001" s="1354">
        <f>IF(O1001="","",+O1001-K1001)</f>
        <v>2</v>
      </c>
      <c r="O1001" s="1427">
        <v>42846</v>
      </c>
      <c r="P1001" s="1438">
        <v>42849</v>
      </c>
      <c r="Q1001" s="1355">
        <v>42867</v>
      </c>
      <c r="R1001" s="1354">
        <f t="shared" si="130"/>
        <v>101</v>
      </c>
      <c r="S1001" s="1437" t="s">
        <v>3141</v>
      </c>
      <c r="T1001" s="1370"/>
      <c r="U1001" s="1358" t="str">
        <f t="shared" si="128"/>
        <v>atrasado</v>
      </c>
      <c r="V1001" s="1130" t="str">
        <f t="shared" si="126"/>
        <v>Abril</v>
      </c>
      <c r="W1001" s="1128">
        <f t="shared" si="127"/>
        <v>0</v>
      </c>
    </row>
    <row r="1002" spans="1:23" ht="54.95" customHeight="1" thickBot="1" x14ac:dyDescent="0.25">
      <c r="A1002" s="1117">
        <v>2017</v>
      </c>
      <c r="B1002" s="1117">
        <v>2017</v>
      </c>
      <c r="C1002" s="1436" t="s">
        <v>36</v>
      </c>
      <c r="D1002" s="1363" t="s">
        <v>37</v>
      </c>
      <c r="E1002" s="1350" t="s">
        <v>3143</v>
      </c>
      <c r="F1002" s="1437">
        <v>4507476527</v>
      </c>
      <c r="G1002" s="1463">
        <v>17030001</v>
      </c>
      <c r="H1002" s="1352">
        <v>327580</v>
      </c>
      <c r="I1002" s="1353">
        <v>42816</v>
      </c>
      <c r="J1002" s="1354">
        <f>+K1002-I1002</f>
        <v>113</v>
      </c>
      <c r="K1002" s="1353">
        <v>42929</v>
      </c>
      <c r="L1002" s="1353" t="s">
        <v>41</v>
      </c>
      <c r="M1002" s="1353">
        <v>42902</v>
      </c>
      <c r="N1002" s="1354">
        <f>IF(P1002="","",+P1002-K1002)</f>
        <v>-17</v>
      </c>
      <c r="O1002" s="1427">
        <v>42909</v>
      </c>
      <c r="P1002" s="1438">
        <v>42912</v>
      </c>
      <c r="Q1002" s="1355">
        <v>42930</v>
      </c>
      <c r="R1002" s="1354">
        <f t="shared" si="130"/>
        <v>114</v>
      </c>
      <c r="S1002" s="1437" t="s">
        <v>6403</v>
      </c>
      <c r="T1002" s="1370"/>
      <c r="U1002" s="1358" t="str">
        <f t="shared" si="128"/>
        <v>en término</v>
      </c>
      <c r="V1002" s="1130" t="str">
        <f t="shared" si="126"/>
        <v>Junio</v>
      </c>
      <c r="W1002" s="1128">
        <f t="shared" si="127"/>
        <v>1</v>
      </c>
    </row>
    <row r="1003" spans="1:23" ht="54.95" customHeight="1" thickBot="1" x14ac:dyDescent="0.25">
      <c r="A1003" s="1117">
        <v>2017</v>
      </c>
      <c r="B1003" s="1117">
        <v>2017</v>
      </c>
      <c r="C1003" s="1436" t="s">
        <v>36</v>
      </c>
      <c r="D1003" s="1363" t="s">
        <v>37</v>
      </c>
      <c r="E1003" s="1350" t="s">
        <v>3148</v>
      </c>
      <c r="F1003" s="1437" t="s">
        <v>3149</v>
      </c>
      <c r="G1003" s="1463">
        <v>17060001</v>
      </c>
      <c r="H1003" s="1352">
        <f>1480+588</f>
        <v>2068</v>
      </c>
      <c r="I1003" s="1353">
        <v>42891</v>
      </c>
      <c r="J1003" s="1354">
        <v>75</v>
      </c>
      <c r="K1003" s="1353">
        <f>+I1003+J1003</f>
        <v>42966</v>
      </c>
      <c r="L1003" s="1353" t="s">
        <v>41</v>
      </c>
      <c r="M1003" s="1353">
        <v>42902</v>
      </c>
      <c r="N1003" s="1354">
        <f t="shared" ref="N1003:N1013" si="135">IF(O1003="","",+O1003-K1003)</f>
        <v>-57</v>
      </c>
      <c r="O1003" s="1427">
        <v>42909</v>
      </c>
      <c r="P1003" s="1438">
        <v>42912</v>
      </c>
      <c r="Q1003" s="1355">
        <v>42930</v>
      </c>
      <c r="R1003" s="1354">
        <f t="shared" si="130"/>
        <v>39</v>
      </c>
      <c r="S1003" s="1437" t="s">
        <v>3150</v>
      </c>
      <c r="T1003" s="1370"/>
      <c r="U1003" s="1358" t="str">
        <f t="shared" si="128"/>
        <v>en término</v>
      </c>
      <c r="V1003" s="1130" t="str">
        <f t="shared" si="126"/>
        <v>Junio</v>
      </c>
      <c r="W1003" s="1128">
        <f t="shared" si="127"/>
        <v>1</v>
      </c>
    </row>
    <row r="1004" spans="1:23" ht="54.95" customHeight="1" thickBot="1" x14ac:dyDescent="0.25">
      <c r="A1004" s="1117">
        <v>2017</v>
      </c>
      <c r="B1004" s="1117">
        <v>2017</v>
      </c>
      <c r="C1004" s="1436" t="s">
        <v>36</v>
      </c>
      <c r="D1004" s="1363" t="s">
        <v>37</v>
      </c>
      <c r="E1004" s="1350" t="s">
        <v>3143</v>
      </c>
      <c r="F1004" s="1437">
        <v>4507476527</v>
      </c>
      <c r="G1004" s="1463">
        <v>17070002</v>
      </c>
      <c r="H1004" s="1352">
        <f>125440+92910</f>
        <v>218350</v>
      </c>
      <c r="I1004" s="1353">
        <v>42816</v>
      </c>
      <c r="J1004" s="1354">
        <f>+K1004-I1004</f>
        <v>189</v>
      </c>
      <c r="K1004" s="1353">
        <v>43005</v>
      </c>
      <c r="L1004" s="1353" t="s">
        <v>41</v>
      </c>
      <c r="M1004" s="1353">
        <v>42992</v>
      </c>
      <c r="N1004" s="1354">
        <f t="shared" si="135"/>
        <v>-4</v>
      </c>
      <c r="O1004" s="1427">
        <v>43001</v>
      </c>
      <c r="P1004" s="1438">
        <v>43003</v>
      </c>
      <c r="Q1004" s="1355">
        <v>43021</v>
      </c>
      <c r="R1004" s="1354">
        <f t="shared" si="130"/>
        <v>205</v>
      </c>
      <c r="S1004" s="1437" t="s">
        <v>3152</v>
      </c>
      <c r="T1004" s="1370" t="s">
        <v>48</v>
      </c>
      <c r="U1004" s="1358" t="str">
        <f t="shared" si="128"/>
        <v>en término</v>
      </c>
      <c r="V1004" s="1130" t="str">
        <f t="shared" si="126"/>
        <v>Septiembre</v>
      </c>
      <c r="W1004" s="1128">
        <f t="shared" si="127"/>
        <v>1</v>
      </c>
    </row>
    <row r="1005" spans="1:23" ht="54.95" customHeight="1" thickBot="1" x14ac:dyDescent="0.25">
      <c r="A1005" s="1117">
        <v>2017</v>
      </c>
      <c r="B1005" s="1117">
        <v>2017</v>
      </c>
      <c r="C1005" s="1436" t="s">
        <v>36</v>
      </c>
      <c r="D1005" s="1363" t="s">
        <v>37</v>
      </c>
      <c r="E1005" s="1350" t="s">
        <v>3154</v>
      </c>
      <c r="F1005" s="1437">
        <v>4507842702</v>
      </c>
      <c r="G1005" s="1463">
        <v>17070001</v>
      </c>
      <c r="H1005" s="1352">
        <v>123000</v>
      </c>
      <c r="I1005" s="1353">
        <v>42926</v>
      </c>
      <c r="J1005" s="1354">
        <v>90</v>
      </c>
      <c r="K1005" s="1353">
        <f>+I1005+J1005</f>
        <v>43016</v>
      </c>
      <c r="L1005" s="1353" t="s">
        <v>41</v>
      </c>
      <c r="M1005" s="1353">
        <v>42992</v>
      </c>
      <c r="N1005" s="1354">
        <f t="shared" si="135"/>
        <v>-15</v>
      </c>
      <c r="O1005" s="1427">
        <v>43001</v>
      </c>
      <c r="P1005" s="1438">
        <v>43003</v>
      </c>
      <c r="Q1005" s="1355">
        <v>43021</v>
      </c>
      <c r="R1005" s="1354">
        <f t="shared" si="130"/>
        <v>95</v>
      </c>
      <c r="S1005" s="1437" t="s">
        <v>3155</v>
      </c>
      <c r="T1005" s="1370" t="s">
        <v>48</v>
      </c>
      <c r="U1005" s="1358" t="str">
        <f t="shared" si="128"/>
        <v>en término</v>
      </c>
      <c r="V1005" s="1130" t="str">
        <f t="shared" si="126"/>
        <v>Septiembre</v>
      </c>
      <c r="W1005" s="1128">
        <f t="shared" si="127"/>
        <v>1</v>
      </c>
    </row>
    <row r="1006" spans="1:23" ht="54.95" customHeight="1" thickBot="1" x14ac:dyDescent="0.25">
      <c r="A1006" s="1117">
        <v>2017</v>
      </c>
      <c r="B1006" s="1117">
        <v>2017</v>
      </c>
      <c r="C1006" s="1436" t="s">
        <v>36</v>
      </c>
      <c r="D1006" s="1363" t="s">
        <v>37</v>
      </c>
      <c r="E1006" s="1350" t="s">
        <v>3156</v>
      </c>
      <c r="F1006" s="1437">
        <v>4507855548</v>
      </c>
      <c r="G1006" s="1463">
        <v>17080001</v>
      </c>
      <c r="H1006" s="1352">
        <v>327707.24</v>
      </c>
      <c r="I1006" s="1353">
        <v>42934</v>
      </c>
      <c r="J1006" s="1354">
        <v>150</v>
      </c>
      <c r="K1006" s="1353">
        <f>+I1006+J1006</f>
        <v>43084</v>
      </c>
      <c r="L1006" s="1353" t="s">
        <v>41</v>
      </c>
      <c r="M1006" s="1353">
        <v>43020</v>
      </c>
      <c r="N1006" s="1354">
        <f t="shared" si="135"/>
        <v>-55</v>
      </c>
      <c r="O1006" s="1427">
        <v>43029</v>
      </c>
      <c r="P1006" s="1438">
        <v>43031</v>
      </c>
      <c r="Q1006" s="1355">
        <v>43048</v>
      </c>
      <c r="R1006" s="1354">
        <f t="shared" si="130"/>
        <v>114</v>
      </c>
      <c r="S1006" s="1437" t="s">
        <v>1691</v>
      </c>
      <c r="T1006" s="1370" t="s">
        <v>48</v>
      </c>
      <c r="U1006" s="1358" t="str">
        <f t="shared" si="128"/>
        <v>en término</v>
      </c>
      <c r="V1006" s="1130" t="str">
        <f t="shared" si="126"/>
        <v>Octubre</v>
      </c>
      <c r="W1006" s="1128">
        <f t="shared" si="127"/>
        <v>1</v>
      </c>
    </row>
    <row r="1007" spans="1:23" ht="54.95" customHeight="1" thickBot="1" x14ac:dyDescent="0.25">
      <c r="A1007" s="1117">
        <v>2017</v>
      </c>
      <c r="B1007" s="1117">
        <v>2017</v>
      </c>
      <c r="C1007" s="1436" t="s">
        <v>36</v>
      </c>
      <c r="D1007" s="1363" t="s">
        <v>37</v>
      </c>
      <c r="E1007" s="1350" t="s">
        <v>3159</v>
      </c>
      <c r="F1007" s="1437" t="s">
        <v>3160</v>
      </c>
      <c r="G1007" s="1463">
        <v>17080003</v>
      </c>
      <c r="H1007" s="1352">
        <v>3200</v>
      </c>
      <c r="I1007" s="1353">
        <v>42956</v>
      </c>
      <c r="J1007" s="1354">
        <v>75</v>
      </c>
      <c r="K1007" s="1353">
        <f>+I1007+J1007</f>
        <v>43031</v>
      </c>
      <c r="L1007" s="1353" t="s">
        <v>41</v>
      </c>
      <c r="M1007" s="1353">
        <v>43020</v>
      </c>
      <c r="N1007" s="1354">
        <f t="shared" si="135"/>
        <v>-2</v>
      </c>
      <c r="O1007" s="1427">
        <v>43029</v>
      </c>
      <c r="P1007" s="1438">
        <v>43031</v>
      </c>
      <c r="Q1007" s="1355">
        <v>43048</v>
      </c>
      <c r="R1007" s="1354">
        <f t="shared" si="130"/>
        <v>92</v>
      </c>
      <c r="S1007" s="1437" t="s">
        <v>3161</v>
      </c>
      <c r="T1007" s="1370" t="s">
        <v>3162</v>
      </c>
      <c r="U1007" s="1358" t="str">
        <f t="shared" si="128"/>
        <v>en término</v>
      </c>
      <c r="V1007" s="1130" t="str">
        <f t="shared" si="126"/>
        <v>Octubre</v>
      </c>
      <c r="W1007" s="1128">
        <f t="shared" si="127"/>
        <v>1</v>
      </c>
    </row>
    <row r="1008" spans="1:23" ht="54.95" customHeight="1" thickBot="1" x14ac:dyDescent="0.25">
      <c r="A1008" s="1117">
        <v>2017</v>
      </c>
      <c r="B1008" s="1117">
        <v>2017</v>
      </c>
      <c r="C1008" s="1436" t="s">
        <v>36</v>
      </c>
      <c r="D1008" s="1363" t="s">
        <v>37</v>
      </c>
      <c r="E1008" s="1350" t="s">
        <v>61</v>
      </c>
      <c r="F1008" s="1437">
        <v>4600543885</v>
      </c>
      <c r="G1008" s="1463">
        <v>17080004</v>
      </c>
      <c r="H1008" s="1352">
        <v>7373.5</v>
      </c>
      <c r="I1008" s="1353">
        <v>42961</v>
      </c>
      <c r="J1008" s="1354">
        <v>75</v>
      </c>
      <c r="K1008" s="1353">
        <f>+I1008+J1008</f>
        <v>43036</v>
      </c>
      <c r="L1008" s="1353" t="s">
        <v>41</v>
      </c>
      <c r="M1008" s="1353">
        <v>43020</v>
      </c>
      <c r="N1008" s="1354">
        <f t="shared" si="135"/>
        <v>-7</v>
      </c>
      <c r="O1008" s="1427">
        <v>43029</v>
      </c>
      <c r="P1008" s="1438">
        <v>43031</v>
      </c>
      <c r="Q1008" s="1355">
        <v>43048</v>
      </c>
      <c r="R1008" s="1354">
        <f t="shared" si="130"/>
        <v>87</v>
      </c>
      <c r="S1008" s="1437" t="s">
        <v>53</v>
      </c>
      <c r="T1008" s="1370" t="s">
        <v>48</v>
      </c>
      <c r="U1008" s="1358" t="str">
        <f t="shared" si="128"/>
        <v>en término</v>
      </c>
      <c r="V1008" s="1130" t="str">
        <f t="shared" si="126"/>
        <v>Octubre</v>
      </c>
      <c r="W1008" s="1128">
        <f t="shared" si="127"/>
        <v>1</v>
      </c>
    </row>
    <row r="1009" spans="1:23" ht="54.95" customHeight="1" thickBot="1" x14ac:dyDescent="0.25">
      <c r="A1009" s="1117">
        <v>2017</v>
      </c>
      <c r="B1009" s="1117">
        <v>2017</v>
      </c>
      <c r="C1009" s="1436" t="s">
        <v>36</v>
      </c>
      <c r="D1009" s="1363" t="s">
        <v>37</v>
      </c>
      <c r="E1009" s="1350" t="s">
        <v>3163</v>
      </c>
      <c r="F1009" s="1437">
        <v>4507947592</v>
      </c>
      <c r="G1009" s="1463">
        <v>17100001</v>
      </c>
      <c r="H1009" s="1352">
        <v>5238</v>
      </c>
      <c r="I1009" s="1353">
        <v>42991</v>
      </c>
      <c r="J1009" s="1354">
        <f>+K1009-I1009</f>
        <v>66</v>
      </c>
      <c r="K1009" s="1353">
        <v>43057</v>
      </c>
      <c r="L1009" s="1353" t="s">
        <v>41</v>
      </c>
      <c r="M1009" s="1353">
        <v>43020</v>
      </c>
      <c r="N1009" s="1354">
        <f t="shared" si="135"/>
        <v>-28</v>
      </c>
      <c r="O1009" s="1427">
        <v>43029</v>
      </c>
      <c r="P1009" s="1438">
        <v>43031</v>
      </c>
      <c r="Q1009" s="1355">
        <v>43048</v>
      </c>
      <c r="R1009" s="1354">
        <f t="shared" si="130"/>
        <v>57</v>
      </c>
      <c r="S1009" s="1437" t="s">
        <v>3164</v>
      </c>
      <c r="T1009" s="1370" t="s">
        <v>48</v>
      </c>
      <c r="U1009" s="1358" t="str">
        <f t="shared" si="128"/>
        <v>en término</v>
      </c>
      <c r="V1009" s="1130" t="str">
        <f t="shared" si="126"/>
        <v>Octubre</v>
      </c>
      <c r="W1009" s="1128">
        <f t="shared" si="127"/>
        <v>1</v>
      </c>
    </row>
    <row r="1010" spans="1:23" ht="54.95" customHeight="1" thickBot="1" x14ac:dyDescent="0.25">
      <c r="A1010" s="1117">
        <v>2017</v>
      </c>
      <c r="B1010" s="1117">
        <v>2017</v>
      </c>
      <c r="C1010" s="1436" t="s">
        <v>36</v>
      </c>
      <c r="D1010" s="1363" t="s">
        <v>37</v>
      </c>
      <c r="E1010" s="1350" t="s">
        <v>38</v>
      </c>
      <c r="F1010" s="1437">
        <v>4507979282</v>
      </c>
      <c r="G1010" s="1463">
        <v>17100002</v>
      </c>
      <c r="H1010" s="1352">
        <v>18312</v>
      </c>
      <c r="I1010" s="1353">
        <v>43007</v>
      </c>
      <c r="J1010" s="1354">
        <v>75</v>
      </c>
      <c r="K1010" s="1353">
        <f>+I1010+J1010</f>
        <v>43082</v>
      </c>
      <c r="L1010" s="1353" t="s">
        <v>41</v>
      </c>
      <c r="M1010" s="1353">
        <v>43063</v>
      </c>
      <c r="N1010" s="1354">
        <f t="shared" si="135"/>
        <v>-4</v>
      </c>
      <c r="O1010" s="1427">
        <v>43078</v>
      </c>
      <c r="P1010" s="1438">
        <v>43080</v>
      </c>
      <c r="Q1010" s="1355">
        <v>43098</v>
      </c>
      <c r="R1010" s="1354">
        <f t="shared" si="130"/>
        <v>91</v>
      </c>
      <c r="S1010" s="1437" t="s">
        <v>44</v>
      </c>
      <c r="T1010" s="1370" t="s">
        <v>48</v>
      </c>
      <c r="U1010" s="1358" t="str">
        <f t="shared" si="128"/>
        <v>en término</v>
      </c>
      <c r="V1010" s="1130" t="str">
        <f t="shared" si="126"/>
        <v>Noviembre</v>
      </c>
      <c r="W1010" s="1128">
        <f t="shared" si="127"/>
        <v>1</v>
      </c>
    </row>
    <row r="1011" spans="1:23" ht="54.95" customHeight="1" thickBot="1" x14ac:dyDescent="0.25">
      <c r="A1011" s="1117">
        <v>2017</v>
      </c>
      <c r="B1011" s="1117">
        <v>2017</v>
      </c>
      <c r="C1011" s="1436" t="s">
        <v>36</v>
      </c>
      <c r="D1011" s="1363" t="s">
        <v>37</v>
      </c>
      <c r="E1011" s="1350" t="s">
        <v>51</v>
      </c>
      <c r="F1011" s="1437">
        <v>4507970589</v>
      </c>
      <c r="G1011" s="1463">
        <v>17100003</v>
      </c>
      <c r="H1011" s="1352">
        <v>6626</v>
      </c>
      <c r="I1011" s="1353">
        <v>43019</v>
      </c>
      <c r="J1011" s="1354">
        <f>+K1011-I1011</f>
        <v>88</v>
      </c>
      <c r="K1011" s="1353">
        <v>43107</v>
      </c>
      <c r="L1011" s="1353" t="s">
        <v>41</v>
      </c>
      <c r="M1011" s="1353">
        <v>43063</v>
      </c>
      <c r="N1011" s="1354">
        <f t="shared" si="135"/>
        <v>-29</v>
      </c>
      <c r="O1011" s="1427">
        <v>43078</v>
      </c>
      <c r="P1011" s="1438">
        <v>43080</v>
      </c>
      <c r="Q1011" s="1355">
        <v>43098</v>
      </c>
      <c r="R1011" s="1354">
        <f t="shared" ref="R1011:R1042" si="136">IF(Q1011="","",+Q1011-I1011)</f>
        <v>79</v>
      </c>
      <c r="S1011" s="1437" t="s">
        <v>53</v>
      </c>
      <c r="T1011" s="1370" t="s">
        <v>48</v>
      </c>
      <c r="U1011" s="1358" t="str">
        <f t="shared" si="128"/>
        <v>en término</v>
      </c>
      <c r="V1011" s="1130" t="str">
        <f t="shared" si="126"/>
        <v>Noviembre</v>
      </c>
      <c r="W1011" s="1128">
        <f t="shared" si="127"/>
        <v>1</v>
      </c>
    </row>
    <row r="1012" spans="1:23" ht="54.95" customHeight="1" thickBot="1" x14ac:dyDescent="0.25">
      <c r="A1012" s="1117">
        <v>2017</v>
      </c>
      <c r="B1012" s="1117">
        <v>2017</v>
      </c>
      <c r="C1012" s="1436" t="s">
        <v>36</v>
      </c>
      <c r="D1012" s="1363" t="s">
        <v>37</v>
      </c>
      <c r="E1012" s="1350" t="s">
        <v>54</v>
      </c>
      <c r="F1012" s="1437">
        <v>4507965804</v>
      </c>
      <c r="G1012" s="1463">
        <v>17100005</v>
      </c>
      <c r="H1012" s="1352">
        <v>291826</v>
      </c>
      <c r="I1012" s="1353">
        <v>43019</v>
      </c>
      <c r="J1012" s="1354">
        <f>+K1012-I1012</f>
        <v>88</v>
      </c>
      <c r="K1012" s="1353">
        <v>43107</v>
      </c>
      <c r="L1012" s="1353" t="s">
        <v>41</v>
      </c>
      <c r="M1012" s="1353">
        <v>43090</v>
      </c>
      <c r="N1012" s="1354">
        <f t="shared" si="135"/>
        <v>-8</v>
      </c>
      <c r="O1012" s="1427">
        <v>43099</v>
      </c>
      <c r="P1012" s="1438">
        <v>43101</v>
      </c>
      <c r="Q1012" s="1355">
        <v>43119</v>
      </c>
      <c r="R1012" s="1354">
        <f t="shared" si="136"/>
        <v>100</v>
      </c>
      <c r="S1012" s="1437" t="s">
        <v>56</v>
      </c>
      <c r="T1012" s="1370" t="s">
        <v>48</v>
      </c>
      <c r="U1012" s="1358" t="str">
        <f t="shared" si="128"/>
        <v>en término</v>
      </c>
      <c r="V1012" s="1130" t="str">
        <f t="shared" si="126"/>
        <v>Diciembre</v>
      </c>
      <c r="W1012" s="1128">
        <f t="shared" si="127"/>
        <v>1</v>
      </c>
    </row>
    <row r="1013" spans="1:23" ht="54.95" customHeight="1" thickBot="1" x14ac:dyDescent="0.25">
      <c r="A1013" s="1117">
        <v>2017</v>
      </c>
      <c r="B1013" s="1117">
        <v>2017</v>
      </c>
      <c r="C1013" s="1436" t="s">
        <v>36</v>
      </c>
      <c r="D1013" s="1363" t="s">
        <v>37</v>
      </c>
      <c r="E1013" s="1350" t="s">
        <v>61</v>
      </c>
      <c r="F1013" s="1437">
        <v>4600543885</v>
      </c>
      <c r="G1013" s="1463">
        <v>17110001</v>
      </c>
      <c r="H1013" s="1352">
        <v>2470</v>
      </c>
      <c r="I1013" s="1353">
        <v>43062</v>
      </c>
      <c r="J1013" s="1354">
        <v>60</v>
      </c>
      <c r="K1013" s="1353">
        <f>+I1013+J1013</f>
        <v>43122</v>
      </c>
      <c r="L1013" s="1353" t="s">
        <v>41</v>
      </c>
      <c r="M1013" s="1353">
        <v>43090</v>
      </c>
      <c r="N1013" s="1354">
        <f t="shared" si="135"/>
        <v>-23</v>
      </c>
      <c r="O1013" s="1427">
        <v>43099</v>
      </c>
      <c r="P1013" s="1438">
        <v>43101</v>
      </c>
      <c r="Q1013" s="1355">
        <v>43119</v>
      </c>
      <c r="R1013" s="1354">
        <f t="shared" si="136"/>
        <v>57</v>
      </c>
      <c r="S1013" s="1437" t="s">
        <v>53</v>
      </c>
      <c r="T1013" s="1370" t="s">
        <v>48</v>
      </c>
      <c r="U1013" s="1358" t="str">
        <f t="shared" si="128"/>
        <v>en término</v>
      </c>
      <c r="V1013" s="1130" t="str">
        <f t="shared" si="126"/>
        <v>Diciembre</v>
      </c>
      <c r="W1013" s="1128">
        <f t="shared" si="127"/>
        <v>1</v>
      </c>
    </row>
    <row r="1014" spans="1:23" ht="54.95" customHeight="1" thickBot="1" x14ac:dyDescent="0.25">
      <c r="A1014" s="1117">
        <v>2017</v>
      </c>
      <c r="B1014" s="1117">
        <v>2017</v>
      </c>
      <c r="C1014" s="1436" t="s">
        <v>5433</v>
      </c>
      <c r="D1014" s="1363" t="s">
        <v>5456</v>
      </c>
      <c r="E1014" s="1350" t="s">
        <v>5688</v>
      </c>
      <c r="F1014" s="1437"/>
      <c r="G1014" s="1463">
        <v>4500234712</v>
      </c>
      <c r="H1014" s="1352">
        <v>6610</v>
      </c>
      <c r="I1014" s="1353">
        <v>42755</v>
      </c>
      <c r="J1014" s="1354">
        <f>+K1014-I1014</f>
        <v>76</v>
      </c>
      <c r="K1014" s="1353">
        <v>42831</v>
      </c>
      <c r="L1014" s="1353" t="s">
        <v>5436</v>
      </c>
      <c r="M1014" s="1353">
        <v>42822</v>
      </c>
      <c r="N1014" s="1354">
        <f>IF(P1014="","",+P1014-K1014)</f>
        <v>5</v>
      </c>
      <c r="O1014" s="1427">
        <v>42832</v>
      </c>
      <c r="P1014" s="1438">
        <v>42836</v>
      </c>
      <c r="Q1014" s="1355">
        <v>42842</v>
      </c>
      <c r="R1014" s="1354">
        <f t="shared" si="136"/>
        <v>87</v>
      </c>
      <c r="S1014" s="1437" t="s">
        <v>53</v>
      </c>
      <c r="T1014" s="1370"/>
      <c r="U1014" s="1358" t="str">
        <f t="shared" si="128"/>
        <v>atrasado</v>
      </c>
      <c r="V1014" s="1130" t="str">
        <f t="shared" si="126"/>
        <v>Marzo</v>
      </c>
      <c r="W1014" s="1128">
        <f t="shared" si="127"/>
        <v>0</v>
      </c>
    </row>
    <row r="1015" spans="1:23" ht="54.95" customHeight="1" thickBot="1" x14ac:dyDescent="0.25">
      <c r="A1015" s="1117">
        <v>2017</v>
      </c>
      <c r="B1015" s="1117">
        <v>2017</v>
      </c>
      <c r="C1015" s="1436" t="s">
        <v>5433</v>
      </c>
      <c r="D1015" s="1363" t="s">
        <v>5456</v>
      </c>
      <c r="E1015" s="1350" t="s">
        <v>5691</v>
      </c>
      <c r="F1015" s="1437"/>
      <c r="G1015" s="1463">
        <v>4500235319</v>
      </c>
      <c r="H1015" s="1352">
        <v>10400</v>
      </c>
      <c r="I1015" s="1353">
        <v>42766</v>
      </c>
      <c r="J1015" s="1354">
        <f>+K1015-I1015</f>
        <v>91</v>
      </c>
      <c r="K1015" s="1353">
        <v>42857</v>
      </c>
      <c r="L1015" s="1353" t="s">
        <v>5436</v>
      </c>
      <c r="M1015" s="1353">
        <v>42850</v>
      </c>
      <c r="N1015" s="1354">
        <f>IF(P1015="","",+P1015-K1015)</f>
        <v>2</v>
      </c>
      <c r="O1015" s="1427">
        <v>42857</v>
      </c>
      <c r="P1015" s="1438">
        <v>42859</v>
      </c>
      <c r="Q1015" s="1355">
        <v>42864</v>
      </c>
      <c r="R1015" s="1354">
        <f t="shared" si="136"/>
        <v>98</v>
      </c>
      <c r="S1015" s="1437" t="s">
        <v>752</v>
      </c>
      <c r="T1015" s="1370"/>
      <c r="U1015" s="1358" t="str">
        <f t="shared" si="128"/>
        <v>atrasado</v>
      </c>
      <c r="V1015" s="1130" t="str">
        <f t="shared" si="126"/>
        <v>Abril</v>
      </c>
      <c r="W1015" s="1128">
        <f t="shared" si="127"/>
        <v>0</v>
      </c>
    </row>
    <row r="1016" spans="1:23" ht="54.95" customHeight="1" thickBot="1" x14ac:dyDescent="0.25">
      <c r="A1016" s="1117">
        <v>2017</v>
      </c>
      <c r="B1016" s="1117">
        <v>2017</v>
      </c>
      <c r="C1016" s="1436" t="s">
        <v>5433</v>
      </c>
      <c r="D1016" s="1363" t="s">
        <v>5456</v>
      </c>
      <c r="E1016" s="1350" t="s">
        <v>5692</v>
      </c>
      <c r="F1016" s="1437"/>
      <c r="G1016" s="1463">
        <v>4500238884</v>
      </c>
      <c r="H1016" s="1352">
        <v>160</v>
      </c>
      <c r="I1016" s="1353">
        <v>42824</v>
      </c>
      <c r="J1016" s="1354">
        <f>+K1016-I1016</f>
        <v>33</v>
      </c>
      <c r="K1016" s="1353">
        <v>42857</v>
      </c>
      <c r="L1016" s="1353" t="s">
        <v>5436</v>
      </c>
      <c r="M1016" s="1353">
        <v>42850</v>
      </c>
      <c r="N1016" s="1354">
        <f>IF(Q1016="","",+Q1016-K1016)</f>
        <v>7</v>
      </c>
      <c r="O1016" s="1427">
        <v>42857</v>
      </c>
      <c r="P1016" s="1438">
        <v>42859</v>
      </c>
      <c r="Q1016" s="1355">
        <v>42864</v>
      </c>
      <c r="R1016" s="1354">
        <f t="shared" si="136"/>
        <v>40</v>
      </c>
      <c r="S1016" s="1437" t="s">
        <v>53</v>
      </c>
      <c r="T1016" s="1370"/>
      <c r="U1016" s="1358" t="str">
        <f t="shared" si="128"/>
        <v>atrasado</v>
      </c>
      <c r="V1016" s="1130" t="str">
        <f t="shared" si="126"/>
        <v>Abril</v>
      </c>
      <c r="W1016" s="1128">
        <f t="shared" si="127"/>
        <v>0</v>
      </c>
    </row>
    <row r="1017" spans="1:23" ht="54.95" customHeight="1" thickBot="1" x14ac:dyDescent="0.25">
      <c r="A1017" s="1117">
        <v>2017</v>
      </c>
      <c r="B1017" s="1117">
        <v>2017</v>
      </c>
      <c r="C1017" s="1436" t="s">
        <v>5433</v>
      </c>
      <c r="D1017" s="1363" t="s">
        <v>5434</v>
      </c>
      <c r="E1017" s="1350" t="s">
        <v>5694</v>
      </c>
      <c r="F1017" s="1437"/>
      <c r="G1017" s="1463">
        <v>4200000059</v>
      </c>
      <c r="H1017" s="1352">
        <v>28230</v>
      </c>
      <c r="I1017" s="1353">
        <v>42998</v>
      </c>
      <c r="J1017" s="1354">
        <v>75</v>
      </c>
      <c r="K1017" s="1353">
        <v>43080</v>
      </c>
      <c r="L1017" s="1353" t="s">
        <v>5436</v>
      </c>
      <c r="M1017" s="1353">
        <v>43063</v>
      </c>
      <c r="N1017" s="1354">
        <f>IF(P1017="","",+P1017-K1017)</f>
        <v>-17</v>
      </c>
      <c r="O1017" s="1427"/>
      <c r="P1017" s="1438">
        <v>43063</v>
      </c>
      <c r="Q1017" s="1355">
        <v>43065</v>
      </c>
      <c r="R1017" s="1354">
        <f t="shared" si="136"/>
        <v>67</v>
      </c>
      <c r="S1017" s="1437" t="s">
        <v>879</v>
      </c>
      <c r="T1017" s="1370"/>
      <c r="U1017" s="1358" t="str">
        <f t="shared" si="128"/>
        <v>en término</v>
      </c>
      <c r="V1017" s="1130" t="str">
        <f t="shared" si="126"/>
        <v>Noviembre</v>
      </c>
      <c r="W1017" s="1128">
        <f t="shared" si="127"/>
        <v>1</v>
      </c>
    </row>
    <row r="1018" spans="1:23" ht="54.95" customHeight="1" thickBot="1" x14ac:dyDescent="0.25">
      <c r="A1018" s="1117">
        <v>2017</v>
      </c>
      <c r="B1018" s="1117">
        <v>2017</v>
      </c>
      <c r="C1018" s="1436" t="s">
        <v>5433</v>
      </c>
      <c r="D1018" s="1363" t="s">
        <v>5434</v>
      </c>
      <c r="E1018" s="1350" t="s">
        <v>5696</v>
      </c>
      <c r="F1018" s="1437"/>
      <c r="G1018" s="1463">
        <v>4200000071</v>
      </c>
      <c r="H1018" s="1352">
        <v>2970</v>
      </c>
      <c r="I1018" s="1353">
        <v>43033</v>
      </c>
      <c r="J1018" s="1354">
        <v>75</v>
      </c>
      <c r="K1018" s="1353">
        <v>43070</v>
      </c>
      <c r="L1018" s="1353" t="s">
        <v>5436</v>
      </c>
      <c r="M1018" s="1353">
        <v>43063</v>
      </c>
      <c r="N1018" s="1354">
        <f>IF(P1018="","",+P1018-K1018)</f>
        <v>-7</v>
      </c>
      <c r="O1018" s="1427"/>
      <c r="P1018" s="1438">
        <v>43063</v>
      </c>
      <c r="Q1018" s="1355">
        <v>43065</v>
      </c>
      <c r="R1018" s="1354">
        <f t="shared" si="136"/>
        <v>32</v>
      </c>
      <c r="S1018" s="1437" t="s">
        <v>53</v>
      </c>
      <c r="T1018" s="1370"/>
      <c r="U1018" s="1358" t="str">
        <f t="shared" si="128"/>
        <v>en término</v>
      </c>
      <c r="V1018" s="1130" t="str">
        <f t="shared" si="126"/>
        <v>Noviembre</v>
      </c>
      <c r="W1018" s="1128">
        <f t="shared" si="127"/>
        <v>1</v>
      </c>
    </row>
    <row r="1019" spans="1:23" ht="54.95" customHeight="1" thickBot="1" x14ac:dyDescent="0.25">
      <c r="A1019" s="1117">
        <v>2017</v>
      </c>
      <c r="B1019" s="1117">
        <v>2017</v>
      </c>
      <c r="C1019" s="1436" t="s">
        <v>972</v>
      </c>
      <c r="D1019" s="1363" t="s">
        <v>6078</v>
      </c>
      <c r="E1019" s="1350" t="s">
        <v>6079</v>
      </c>
      <c r="F1019" s="1437"/>
      <c r="G1019" s="1463" t="s">
        <v>6080</v>
      </c>
      <c r="H1019" s="1352">
        <v>6183</v>
      </c>
      <c r="I1019" s="1353">
        <v>42759</v>
      </c>
      <c r="J1019" s="1354">
        <v>90</v>
      </c>
      <c r="K1019" s="1353">
        <f>+I1019+J1019</f>
        <v>42849</v>
      </c>
      <c r="L1019" s="1353" t="s">
        <v>6081</v>
      </c>
      <c r="M1019" s="1353">
        <v>42836</v>
      </c>
      <c r="N1019" s="1354">
        <f>IF(P1019="","",+P1019-K1019)</f>
        <v>-4</v>
      </c>
      <c r="O1019" s="1427"/>
      <c r="P1019" s="1438">
        <v>42845</v>
      </c>
      <c r="Q1019" s="1355">
        <v>42848</v>
      </c>
      <c r="R1019" s="1354">
        <f t="shared" si="136"/>
        <v>89</v>
      </c>
      <c r="S1019" s="1437" t="s">
        <v>5361</v>
      </c>
      <c r="T1019" s="1370" t="s">
        <v>6404</v>
      </c>
      <c r="U1019" s="1358" t="str">
        <f t="shared" si="128"/>
        <v>en término</v>
      </c>
      <c r="V1019" s="1130" t="str">
        <f t="shared" si="126"/>
        <v>Abril</v>
      </c>
      <c r="W1019" s="1128">
        <f t="shared" si="127"/>
        <v>1</v>
      </c>
    </row>
    <row r="1020" spans="1:23" ht="54.95" customHeight="1" thickBot="1" x14ac:dyDescent="0.25">
      <c r="A1020" s="1117">
        <v>2017</v>
      </c>
      <c r="B1020" s="1117">
        <v>2017</v>
      </c>
      <c r="C1020" s="1436" t="s">
        <v>120</v>
      </c>
      <c r="D1020" s="1363" t="s">
        <v>121</v>
      </c>
      <c r="E1020" s="1350" t="s">
        <v>5259</v>
      </c>
      <c r="F1020" s="1437"/>
      <c r="G1020" s="1463">
        <v>62720</v>
      </c>
      <c r="H1020" s="1352">
        <v>5348.8</v>
      </c>
      <c r="I1020" s="1353">
        <v>42811</v>
      </c>
      <c r="J1020" s="1354">
        <f>+K1020-I1020</f>
        <v>69</v>
      </c>
      <c r="K1020" s="1353">
        <v>42880</v>
      </c>
      <c r="L1020" s="1353" t="s">
        <v>124</v>
      </c>
      <c r="M1020" s="1353">
        <v>42870</v>
      </c>
      <c r="N1020" s="1354">
        <f>IF(Q1020="","",+Q1020-K1020)</f>
        <v>61</v>
      </c>
      <c r="O1020" s="1427">
        <v>42887</v>
      </c>
      <c r="P1020" s="1438">
        <v>42896</v>
      </c>
      <c r="Q1020" s="1355">
        <v>42941</v>
      </c>
      <c r="R1020" s="1354">
        <f t="shared" si="136"/>
        <v>130</v>
      </c>
      <c r="S1020" s="1437" t="s">
        <v>53</v>
      </c>
      <c r="T1020" s="1370"/>
      <c r="U1020" s="1358" t="str">
        <f t="shared" si="128"/>
        <v>atrasado</v>
      </c>
      <c r="V1020" s="1130" t="str">
        <f t="shared" si="126"/>
        <v>Mayo</v>
      </c>
      <c r="W1020" s="1128">
        <f t="shared" si="127"/>
        <v>0</v>
      </c>
    </row>
    <row r="1021" spans="1:23" ht="54.95" customHeight="1" thickBot="1" x14ac:dyDescent="0.25">
      <c r="A1021" s="1117">
        <v>2017</v>
      </c>
      <c r="B1021" s="1117">
        <v>2017</v>
      </c>
      <c r="C1021" s="1436" t="s">
        <v>120</v>
      </c>
      <c r="D1021" s="1363" t="s">
        <v>121</v>
      </c>
      <c r="E1021" s="1350" t="s">
        <v>5262</v>
      </c>
      <c r="F1021" s="1437"/>
      <c r="G1021" s="1463">
        <v>62998</v>
      </c>
      <c r="H1021" s="1352">
        <f>5394.65+1050</f>
        <v>6444.65</v>
      </c>
      <c r="I1021" s="1353">
        <v>42842</v>
      </c>
      <c r="J1021" s="1354">
        <v>75</v>
      </c>
      <c r="K1021" s="1353">
        <v>42880</v>
      </c>
      <c r="L1021" s="1353" t="s">
        <v>124</v>
      </c>
      <c r="M1021" s="1353">
        <v>42902</v>
      </c>
      <c r="N1021" s="1354">
        <f>IF(Q1021="","",+Q1021-K1021)</f>
        <v>89</v>
      </c>
      <c r="O1021" s="1427">
        <v>42917</v>
      </c>
      <c r="P1021" s="1438">
        <v>42924</v>
      </c>
      <c r="Q1021" s="1355">
        <v>42969</v>
      </c>
      <c r="R1021" s="1354">
        <f t="shared" si="136"/>
        <v>127</v>
      </c>
      <c r="S1021" s="1437" t="s">
        <v>53</v>
      </c>
      <c r="T1021" s="1370"/>
      <c r="U1021" s="1358" t="str">
        <f t="shared" si="128"/>
        <v>atrasado</v>
      </c>
      <c r="V1021" s="1130" t="str">
        <f t="shared" si="126"/>
        <v>Junio</v>
      </c>
      <c r="W1021" s="1128">
        <f t="shared" si="127"/>
        <v>0</v>
      </c>
    </row>
    <row r="1022" spans="1:23" ht="54.95" customHeight="1" thickBot="1" x14ac:dyDescent="0.25">
      <c r="A1022" s="1143">
        <v>2017</v>
      </c>
      <c r="B1022" s="1143">
        <v>2017</v>
      </c>
      <c r="C1022" s="1449" t="s">
        <v>5265</v>
      </c>
      <c r="D1022" s="1393" t="s">
        <v>5357</v>
      </c>
      <c r="E1022" s="1450" t="s">
        <v>5358</v>
      </c>
      <c r="F1022" s="1464"/>
      <c r="G1022" s="1471" t="s">
        <v>5359</v>
      </c>
      <c r="H1022" s="1453">
        <v>26113</v>
      </c>
      <c r="I1022" s="1454">
        <v>42821</v>
      </c>
      <c r="J1022" s="1455">
        <v>60</v>
      </c>
      <c r="K1022" s="1454">
        <f>+I1022+J1022</f>
        <v>42881</v>
      </c>
      <c r="L1022" s="1454" t="s">
        <v>124</v>
      </c>
      <c r="M1022" s="1454">
        <v>42876</v>
      </c>
      <c r="N1022" s="1455">
        <f>IF(Q1022="","",+Q1022-K1022)</f>
        <v>51</v>
      </c>
      <c r="O1022" s="1456">
        <v>42891</v>
      </c>
      <c r="P1022" s="1466">
        <v>42897</v>
      </c>
      <c r="Q1022" s="1457">
        <v>42932</v>
      </c>
      <c r="R1022" s="1455">
        <f t="shared" si="136"/>
        <v>111</v>
      </c>
      <c r="S1022" s="1464" t="s">
        <v>5361</v>
      </c>
      <c r="T1022" s="1467" t="s">
        <v>6405</v>
      </c>
      <c r="U1022" s="1459" t="str">
        <f t="shared" si="128"/>
        <v>atrasado</v>
      </c>
      <c r="V1022" s="1290" t="str">
        <f t="shared" si="126"/>
        <v>Mayo</v>
      </c>
      <c r="W1022" s="1323">
        <f t="shared" si="127"/>
        <v>0</v>
      </c>
    </row>
    <row r="1023" spans="1:23" ht="54.95" customHeight="1" thickTop="1" thickBot="1" x14ac:dyDescent="0.25">
      <c r="A1023" s="1117">
        <v>2018</v>
      </c>
      <c r="B1023" s="1117">
        <v>2018</v>
      </c>
      <c r="C1023" s="1436" t="s">
        <v>36</v>
      </c>
      <c r="D1023" s="1363" t="s">
        <v>37</v>
      </c>
      <c r="E1023" s="1350" t="s">
        <v>61</v>
      </c>
      <c r="F1023" s="1437">
        <v>4600543885</v>
      </c>
      <c r="G1023" s="1463">
        <v>18010001</v>
      </c>
      <c r="H1023" s="1352">
        <v>2052</v>
      </c>
      <c r="I1023" s="1353">
        <v>43097</v>
      </c>
      <c r="J1023" s="1354">
        <f t="shared" ref="J1023:J1061" si="137">+K1023-I1023</f>
        <v>71</v>
      </c>
      <c r="K1023" s="1353">
        <v>43168</v>
      </c>
      <c r="L1023" s="1353" t="s">
        <v>41</v>
      </c>
      <c r="M1023" s="1353">
        <v>43161</v>
      </c>
      <c r="N1023" s="1354">
        <f t="shared" ref="N1023:N1061" si="138">IF(O1023="","",+O1023-K1023)</f>
        <v>8</v>
      </c>
      <c r="O1023" s="1427">
        <v>43176</v>
      </c>
      <c r="P1023" s="1438">
        <v>43178</v>
      </c>
      <c r="Q1023" s="1355">
        <v>43196</v>
      </c>
      <c r="R1023" s="1354">
        <f t="shared" si="136"/>
        <v>99</v>
      </c>
      <c r="S1023" s="1437" t="s">
        <v>53</v>
      </c>
      <c r="T1023" s="1370" t="s">
        <v>64</v>
      </c>
      <c r="U1023" s="1358" t="str">
        <f t="shared" si="128"/>
        <v>atrasado</v>
      </c>
      <c r="V1023" s="1289" t="str">
        <f t="shared" si="126"/>
        <v>Marzo</v>
      </c>
      <c r="W1023" s="1128">
        <f t="shared" si="127"/>
        <v>0</v>
      </c>
    </row>
    <row r="1024" spans="1:23" ht="54.95" customHeight="1" thickBot="1" x14ac:dyDescent="0.25">
      <c r="A1024" s="1117">
        <v>2018</v>
      </c>
      <c r="B1024" s="1117">
        <v>2018</v>
      </c>
      <c r="C1024" s="1436" t="s">
        <v>36</v>
      </c>
      <c r="D1024" s="1363" t="s">
        <v>37</v>
      </c>
      <c r="E1024" s="1350" t="s">
        <v>65</v>
      </c>
      <c r="F1024" s="1437">
        <v>4600548677</v>
      </c>
      <c r="G1024" s="1463" t="s">
        <v>66</v>
      </c>
      <c r="H1024" s="1352">
        <v>11988</v>
      </c>
      <c r="I1024" s="1353">
        <v>43129</v>
      </c>
      <c r="J1024" s="1354">
        <f t="shared" si="137"/>
        <v>92</v>
      </c>
      <c r="K1024" s="1353">
        <v>43221</v>
      </c>
      <c r="L1024" s="1353" t="s">
        <v>41</v>
      </c>
      <c r="M1024" s="1353">
        <v>43181</v>
      </c>
      <c r="N1024" s="1354">
        <f t="shared" si="138"/>
        <v>-24</v>
      </c>
      <c r="O1024" s="1427">
        <v>43197</v>
      </c>
      <c r="P1024" s="1438">
        <v>43199</v>
      </c>
      <c r="Q1024" s="1355">
        <v>43217</v>
      </c>
      <c r="R1024" s="1354">
        <f t="shared" si="136"/>
        <v>88</v>
      </c>
      <c r="S1024" s="1437" t="s">
        <v>68</v>
      </c>
      <c r="T1024" s="1370" t="s">
        <v>48</v>
      </c>
      <c r="U1024" s="1358" t="str">
        <f t="shared" si="128"/>
        <v>en término</v>
      </c>
      <c r="V1024" s="1130" t="str">
        <f t="shared" si="126"/>
        <v>Marzo</v>
      </c>
      <c r="W1024" s="1128">
        <f t="shared" si="127"/>
        <v>1</v>
      </c>
    </row>
    <row r="1025" spans="1:23" ht="54.95" customHeight="1" thickBot="1" x14ac:dyDescent="0.25">
      <c r="A1025" s="1117">
        <v>2018</v>
      </c>
      <c r="B1025" s="1117">
        <v>2018</v>
      </c>
      <c r="C1025" s="1436" t="s">
        <v>36</v>
      </c>
      <c r="D1025" s="1363" t="s">
        <v>37</v>
      </c>
      <c r="E1025" s="1350" t="s">
        <v>69</v>
      </c>
      <c r="F1025" s="1437">
        <v>4508172681</v>
      </c>
      <c r="G1025" s="1463">
        <v>18020001</v>
      </c>
      <c r="H1025" s="1352">
        <v>25520</v>
      </c>
      <c r="I1025" s="1353">
        <v>43131</v>
      </c>
      <c r="J1025" s="1354">
        <f t="shared" si="137"/>
        <v>95</v>
      </c>
      <c r="K1025" s="1353">
        <v>43226</v>
      </c>
      <c r="L1025" s="1353" t="s">
        <v>41</v>
      </c>
      <c r="M1025" s="1353">
        <v>43181</v>
      </c>
      <c r="N1025" s="1354">
        <f t="shared" si="138"/>
        <v>-29</v>
      </c>
      <c r="O1025" s="1427">
        <v>43197</v>
      </c>
      <c r="P1025" s="1438">
        <v>43199</v>
      </c>
      <c r="Q1025" s="1355">
        <v>43217</v>
      </c>
      <c r="R1025" s="1354">
        <f t="shared" si="136"/>
        <v>86</v>
      </c>
      <c r="S1025" s="1437" t="s">
        <v>70</v>
      </c>
      <c r="T1025" s="1370" t="s">
        <v>48</v>
      </c>
      <c r="U1025" s="1358" t="str">
        <f t="shared" si="128"/>
        <v>en término</v>
      </c>
      <c r="V1025" s="1130" t="str">
        <f t="shared" si="126"/>
        <v>Marzo</v>
      </c>
      <c r="W1025" s="1128">
        <f t="shared" si="127"/>
        <v>1</v>
      </c>
    </row>
    <row r="1026" spans="1:23" ht="54.95" customHeight="1" thickBot="1" x14ac:dyDescent="0.25">
      <c r="A1026" s="1117">
        <v>2018</v>
      </c>
      <c r="B1026" s="1117">
        <v>2018</v>
      </c>
      <c r="C1026" s="1436" t="s">
        <v>36</v>
      </c>
      <c r="D1026" s="1363" t="s">
        <v>37</v>
      </c>
      <c r="E1026" s="1350" t="s">
        <v>71</v>
      </c>
      <c r="F1026" s="1437" t="s">
        <v>72</v>
      </c>
      <c r="G1026" s="1463">
        <v>18020002</v>
      </c>
      <c r="H1026" s="1352">
        <v>5545</v>
      </c>
      <c r="I1026" s="1353">
        <v>43150</v>
      </c>
      <c r="J1026" s="1354">
        <f t="shared" si="137"/>
        <v>13</v>
      </c>
      <c r="K1026" s="1353">
        <v>43163</v>
      </c>
      <c r="L1026" s="1353" t="s">
        <v>41</v>
      </c>
      <c r="M1026" s="1353">
        <v>43161</v>
      </c>
      <c r="N1026" s="1354">
        <f t="shared" si="138"/>
        <v>13</v>
      </c>
      <c r="O1026" s="1427">
        <v>43176</v>
      </c>
      <c r="P1026" s="1438">
        <v>43178</v>
      </c>
      <c r="Q1026" s="1355">
        <v>43196</v>
      </c>
      <c r="R1026" s="1354">
        <f t="shared" si="136"/>
        <v>46</v>
      </c>
      <c r="S1026" s="1437" t="s">
        <v>73</v>
      </c>
      <c r="T1026" s="1370" t="s">
        <v>48</v>
      </c>
      <c r="U1026" s="1358" t="str">
        <f t="shared" si="128"/>
        <v>atrasado</v>
      </c>
      <c r="V1026" s="1130" t="str">
        <f t="shared" ref="V1026:V1089" si="139">VLOOKUP(MONTH(M1026),$Y$66:$Z$77,2,FALSE)</f>
        <v>Marzo</v>
      </c>
      <c r="W1026" s="1128">
        <f t="shared" ref="W1026:W1089" si="140">+IF(U1026="atrasado",0)+IF(U1026="en término",1)</f>
        <v>0</v>
      </c>
    </row>
    <row r="1027" spans="1:23" ht="54.95" customHeight="1" thickBot="1" x14ac:dyDescent="0.25">
      <c r="A1027" s="1117">
        <v>2018</v>
      </c>
      <c r="B1027" s="1117">
        <v>2018</v>
      </c>
      <c r="C1027" s="1436" t="s">
        <v>36</v>
      </c>
      <c r="D1027" s="1363" t="s">
        <v>37</v>
      </c>
      <c r="E1027" s="1350" t="s">
        <v>65</v>
      </c>
      <c r="F1027" s="1437">
        <v>4600548677</v>
      </c>
      <c r="G1027" s="1463" t="s">
        <v>74</v>
      </c>
      <c r="H1027" s="1352">
        <v>59940</v>
      </c>
      <c r="I1027" s="1353">
        <v>43166</v>
      </c>
      <c r="J1027" s="1354">
        <f t="shared" si="137"/>
        <v>94</v>
      </c>
      <c r="K1027" s="1353">
        <v>43260</v>
      </c>
      <c r="L1027" s="1353" t="s">
        <v>41</v>
      </c>
      <c r="M1027" s="1353">
        <v>43244</v>
      </c>
      <c r="N1027" s="1354">
        <f t="shared" si="138"/>
        <v>-17</v>
      </c>
      <c r="O1027" s="1427">
        <v>43243</v>
      </c>
      <c r="P1027" s="1438">
        <v>43255</v>
      </c>
      <c r="Q1027" s="1355">
        <v>43273</v>
      </c>
      <c r="R1027" s="1354">
        <f t="shared" si="136"/>
        <v>107</v>
      </c>
      <c r="S1027" s="1437" t="s">
        <v>76</v>
      </c>
      <c r="T1027" s="1370" t="s">
        <v>48</v>
      </c>
      <c r="U1027" s="1358" t="str">
        <f t="shared" ref="U1027:U1090" si="141">IF(N1027="","",IF(N1027&lt;=0,"en término","atrasado"))</f>
        <v>en término</v>
      </c>
      <c r="V1027" s="1130" t="str">
        <f t="shared" si="139"/>
        <v>Mayo</v>
      </c>
      <c r="W1027" s="1128">
        <f t="shared" si="140"/>
        <v>1</v>
      </c>
    </row>
    <row r="1028" spans="1:23" ht="54.95" customHeight="1" thickBot="1" x14ac:dyDescent="0.25">
      <c r="A1028" s="1117">
        <v>2018</v>
      </c>
      <c r="B1028" s="1117">
        <v>2018</v>
      </c>
      <c r="C1028" s="1436" t="s">
        <v>36</v>
      </c>
      <c r="D1028" s="1363" t="s">
        <v>37</v>
      </c>
      <c r="E1028" s="1350" t="s">
        <v>6524</v>
      </c>
      <c r="F1028" s="1437">
        <v>27080</v>
      </c>
      <c r="G1028" s="1463">
        <v>18040001</v>
      </c>
      <c r="H1028" s="1352">
        <v>2200</v>
      </c>
      <c r="I1028" s="1353">
        <v>43193</v>
      </c>
      <c r="J1028" s="1354">
        <f t="shared" si="137"/>
        <v>63</v>
      </c>
      <c r="K1028" s="1353">
        <v>43256</v>
      </c>
      <c r="L1028" s="1353" t="s">
        <v>41</v>
      </c>
      <c r="M1028" s="1353">
        <v>43244</v>
      </c>
      <c r="N1028" s="1354">
        <f t="shared" si="138"/>
        <v>-13</v>
      </c>
      <c r="O1028" s="1427">
        <v>43243</v>
      </c>
      <c r="P1028" s="1438">
        <v>43255</v>
      </c>
      <c r="Q1028" s="1355">
        <v>43273</v>
      </c>
      <c r="R1028" s="1354">
        <f t="shared" si="136"/>
        <v>80</v>
      </c>
      <c r="S1028" s="1437" t="s">
        <v>1020</v>
      </c>
      <c r="T1028" s="1370" t="s">
        <v>48</v>
      </c>
      <c r="U1028" s="1358" t="str">
        <f t="shared" si="141"/>
        <v>en término</v>
      </c>
      <c r="V1028" s="1130" t="str">
        <f t="shared" si="139"/>
        <v>Mayo</v>
      </c>
      <c r="W1028" s="1128">
        <f t="shared" si="140"/>
        <v>1</v>
      </c>
    </row>
    <row r="1029" spans="1:23" ht="54.95" customHeight="1" thickBot="1" x14ac:dyDescent="0.25">
      <c r="A1029" s="1117">
        <v>2018</v>
      </c>
      <c r="B1029" s="1117">
        <v>2018</v>
      </c>
      <c r="C1029" s="1436" t="s">
        <v>36</v>
      </c>
      <c r="D1029" s="1363" t="s">
        <v>37</v>
      </c>
      <c r="E1029" s="1350" t="s">
        <v>6429</v>
      </c>
      <c r="F1029" s="1437">
        <v>4600558097</v>
      </c>
      <c r="G1029" s="1463" t="s">
        <v>6436</v>
      </c>
      <c r="H1029" s="1352">
        <v>176548.87</v>
      </c>
      <c r="I1029" s="1353">
        <v>43187</v>
      </c>
      <c r="J1029" s="1354">
        <f t="shared" si="137"/>
        <v>121</v>
      </c>
      <c r="K1029" s="1353">
        <v>43308</v>
      </c>
      <c r="L1029" s="1353" t="s">
        <v>41</v>
      </c>
      <c r="M1029" s="1353">
        <v>43264</v>
      </c>
      <c r="N1029" s="1354">
        <f t="shared" si="138"/>
        <v>-65</v>
      </c>
      <c r="O1029" s="1427">
        <v>43243</v>
      </c>
      <c r="P1029" s="1438">
        <v>43277</v>
      </c>
      <c r="Q1029" s="1355">
        <v>43293</v>
      </c>
      <c r="R1029" s="1354">
        <f t="shared" si="136"/>
        <v>106</v>
      </c>
      <c r="S1029" s="1437" t="s">
        <v>6435</v>
      </c>
      <c r="T1029" s="1370" t="s">
        <v>48</v>
      </c>
      <c r="U1029" s="1358" t="str">
        <f t="shared" si="141"/>
        <v>en término</v>
      </c>
      <c r="V1029" s="1130" t="str">
        <f t="shared" si="139"/>
        <v>Junio</v>
      </c>
      <c r="W1029" s="1128">
        <f t="shared" si="140"/>
        <v>1</v>
      </c>
    </row>
    <row r="1030" spans="1:23" ht="54.95" customHeight="1" thickBot="1" x14ac:dyDescent="0.25">
      <c r="A1030" s="1117">
        <v>2018</v>
      </c>
      <c r="B1030" s="1117">
        <v>2018</v>
      </c>
      <c r="C1030" s="1436" t="s">
        <v>36</v>
      </c>
      <c r="D1030" s="1363" t="s">
        <v>37</v>
      </c>
      <c r="E1030" s="1350" t="s">
        <v>61</v>
      </c>
      <c r="F1030" s="1437">
        <v>4600543885</v>
      </c>
      <c r="G1030" s="1463" t="s">
        <v>6549</v>
      </c>
      <c r="H1030" s="1352">
        <v>708</v>
      </c>
      <c r="I1030" s="1353">
        <v>43224</v>
      </c>
      <c r="J1030" s="1354">
        <f t="shared" si="137"/>
        <v>106</v>
      </c>
      <c r="K1030" s="1353">
        <v>43330</v>
      </c>
      <c r="L1030" s="1353" t="s">
        <v>41</v>
      </c>
      <c r="M1030" s="1353">
        <v>43264</v>
      </c>
      <c r="N1030" s="1354">
        <f t="shared" si="138"/>
        <v>-66</v>
      </c>
      <c r="O1030" s="1427">
        <v>43264</v>
      </c>
      <c r="P1030" s="1438">
        <v>43277</v>
      </c>
      <c r="Q1030" s="1355">
        <v>43293</v>
      </c>
      <c r="R1030" s="1354">
        <f t="shared" si="136"/>
        <v>69</v>
      </c>
      <c r="S1030" s="1437" t="s">
        <v>53</v>
      </c>
      <c r="T1030" s="1370" t="s">
        <v>48</v>
      </c>
      <c r="U1030" s="1358" t="str">
        <f t="shared" si="141"/>
        <v>en término</v>
      </c>
      <c r="V1030" s="1130" t="str">
        <f t="shared" si="139"/>
        <v>Junio</v>
      </c>
      <c r="W1030" s="1128">
        <f t="shared" si="140"/>
        <v>1</v>
      </c>
    </row>
    <row r="1031" spans="1:23" ht="54.95" customHeight="1" thickBot="1" x14ac:dyDescent="0.25">
      <c r="A1031" s="1117">
        <v>2018</v>
      </c>
      <c r="B1031" s="1117">
        <v>2018</v>
      </c>
      <c r="C1031" s="1436" t="s">
        <v>36</v>
      </c>
      <c r="D1031" s="1363" t="s">
        <v>37</v>
      </c>
      <c r="E1031" s="1350" t="s">
        <v>6429</v>
      </c>
      <c r="F1031" s="1437">
        <v>4600558097</v>
      </c>
      <c r="G1031" s="1463" t="s">
        <v>6470</v>
      </c>
      <c r="H1031" s="1352">
        <v>430671.53</v>
      </c>
      <c r="I1031" s="1353">
        <v>43207</v>
      </c>
      <c r="J1031" s="1354">
        <f t="shared" si="137"/>
        <v>153</v>
      </c>
      <c r="K1031" s="1353">
        <v>43360</v>
      </c>
      <c r="L1031" s="1353" t="s">
        <v>41</v>
      </c>
      <c r="M1031" s="1353">
        <v>43307</v>
      </c>
      <c r="N1031" s="1354">
        <f t="shared" si="138"/>
        <v>-43</v>
      </c>
      <c r="O1031" s="1427">
        <v>43317</v>
      </c>
      <c r="P1031" s="1438">
        <v>43318</v>
      </c>
      <c r="Q1031" s="1355">
        <v>43335</v>
      </c>
      <c r="R1031" s="1354">
        <f t="shared" si="136"/>
        <v>128</v>
      </c>
      <c r="S1031" s="1437" t="s">
        <v>6427</v>
      </c>
      <c r="T1031" s="1370" t="s">
        <v>48</v>
      </c>
      <c r="U1031" s="1358" t="str">
        <f t="shared" si="141"/>
        <v>en término</v>
      </c>
      <c r="V1031" s="1130" t="str">
        <f t="shared" si="139"/>
        <v>Julio</v>
      </c>
      <c r="W1031" s="1128">
        <f t="shared" si="140"/>
        <v>1</v>
      </c>
    </row>
    <row r="1032" spans="1:23" ht="54.95" customHeight="1" thickBot="1" x14ac:dyDescent="0.25">
      <c r="A1032" s="1117">
        <v>2018</v>
      </c>
      <c r="B1032" s="1117">
        <v>2018</v>
      </c>
      <c r="C1032" s="1436" t="s">
        <v>36</v>
      </c>
      <c r="D1032" s="1363" t="s">
        <v>37</v>
      </c>
      <c r="E1032" s="1350" t="s">
        <v>65</v>
      </c>
      <c r="F1032" s="1437">
        <v>4600548677</v>
      </c>
      <c r="G1032" s="1463" t="s">
        <v>6509</v>
      </c>
      <c r="H1032" s="1352">
        <v>3960</v>
      </c>
      <c r="I1032" s="1353">
        <v>43237</v>
      </c>
      <c r="J1032" s="1354">
        <f t="shared" si="137"/>
        <v>121</v>
      </c>
      <c r="K1032" s="1353">
        <v>43358</v>
      </c>
      <c r="L1032" s="1353" t="s">
        <v>41</v>
      </c>
      <c r="M1032" s="1353">
        <v>43307</v>
      </c>
      <c r="N1032" s="1354">
        <f t="shared" si="138"/>
        <v>-41</v>
      </c>
      <c r="O1032" s="1427">
        <v>43317</v>
      </c>
      <c r="P1032" s="1438">
        <v>43318</v>
      </c>
      <c r="Q1032" s="1355">
        <v>43335</v>
      </c>
      <c r="R1032" s="1354">
        <f t="shared" si="136"/>
        <v>98</v>
      </c>
      <c r="S1032" s="1437" t="s">
        <v>6438</v>
      </c>
      <c r="T1032" s="1370" t="s">
        <v>48</v>
      </c>
      <c r="U1032" s="1358" t="str">
        <f t="shared" si="141"/>
        <v>en término</v>
      </c>
      <c r="V1032" s="1130" t="str">
        <f t="shared" si="139"/>
        <v>Julio</v>
      </c>
      <c r="W1032" s="1128">
        <f t="shared" si="140"/>
        <v>1</v>
      </c>
    </row>
    <row r="1033" spans="1:23" ht="54.95" customHeight="1" thickBot="1" x14ac:dyDescent="0.25">
      <c r="A1033" s="1117">
        <v>2018</v>
      </c>
      <c r="B1033" s="1117">
        <v>2018</v>
      </c>
      <c r="C1033" s="1436" t="s">
        <v>36</v>
      </c>
      <c r="D1033" s="1363" t="s">
        <v>37</v>
      </c>
      <c r="E1033" s="1350" t="s">
        <v>6441</v>
      </c>
      <c r="F1033" s="1437">
        <v>4600557062</v>
      </c>
      <c r="G1033" s="1463" t="s">
        <v>6444</v>
      </c>
      <c r="H1033" s="1352">
        <v>333601.34000000003</v>
      </c>
      <c r="I1033" s="1353">
        <v>43236</v>
      </c>
      <c r="J1033" s="1354">
        <f t="shared" si="137"/>
        <v>94</v>
      </c>
      <c r="K1033" s="1353">
        <v>43330</v>
      </c>
      <c r="L1033" s="1353" t="s">
        <v>41</v>
      </c>
      <c r="M1033" s="1353">
        <v>43335</v>
      </c>
      <c r="N1033" s="1354">
        <f t="shared" si="138"/>
        <v>15</v>
      </c>
      <c r="O1033" s="1427">
        <v>43345</v>
      </c>
      <c r="P1033" s="1438">
        <v>43346</v>
      </c>
      <c r="Q1033" s="1355">
        <v>43364</v>
      </c>
      <c r="R1033" s="1354">
        <f t="shared" si="136"/>
        <v>128</v>
      </c>
      <c r="S1033" s="1437" t="s">
        <v>6477</v>
      </c>
      <c r="T1033" s="1370" t="s">
        <v>6463</v>
      </c>
      <c r="U1033" s="1358" t="str">
        <f t="shared" si="141"/>
        <v>atrasado</v>
      </c>
      <c r="V1033" s="1130" t="str">
        <f t="shared" si="139"/>
        <v>Agosto</v>
      </c>
      <c r="W1033" s="1128">
        <f t="shared" si="140"/>
        <v>0</v>
      </c>
    </row>
    <row r="1034" spans="1:23" ht="54.95" customHeight="1" thickBot="1" x14ac:dyDescent="0.25">
      <c r="A1034" s="1117">
        <v>2018</v>
      </c>
      <c r="B1034" s="1117">
        <v>2018</v>
      </c>
      <c r="C1034" s="1436" t="s">
        <v>36</v>
      </c>
      <c r="D1034" s="1363" t="s">
        <v>37</v>
      </c>
      <c r="E1034" s="1350" t="s">
        <v>6441</v>
      </c>
      <c r="F1034" s="1437">
        <v>4600557062</v>
      </c>
      <c r="G1034" s="1463" t="s">
        <v>6550</v>
      </c>
      <c r="H1034" s="1352">
        <v>153138.26</v>
      </c>
      <c r="I1034" s="1353">
        <v>43236</v>
      </c>
      <c r="J1034" s="1354">
        <f t="shared" si="137"/>
        <v>125</v>
      </c>
      <c r="K1034" s="1353">
        <v>43361</v>
      </c>
      <c r="L1034" s="1353" t="s">
        <v>41</v>
      </c>
      <c r="M1034" s="1353">
        <v>43363</v>
      </c>
      <c r="N1034" s="1354">
        <f t="shared" si="138"/>
        <v>12</v>
      </c>
      <c r="O1034" s="1427">
        <v>43373</v>
      </c>
      <c r="P1034" s="1438">
        <v>43375</v>
      </c>
      <c r="Q1034" s="1355">
        <f>+P1034+20</f>
        <v>43395</v>
      </c>
      <c r="R1034" s="1354">
        <f t="shared" si="136"/>
        <v>159</v>
      </c>
      <c r="S1034" s="1437" t="s">
        <v>6478</v>
      </c>
      <c r="T1034" s="1370" t="s">
        <v>6463</v>
      </c>
      <c r="U1034" s="1358" t="str">
        <f t="shared" si="141"/>
        <v>atrasado</v>
      </c>
      <c r="V1034" s="1130" t="str">
        <f t="shared" si="139"/>
        <v>Septiembre</v>
      </c>
      <c r="W1034" s="1128">
        <f t="shared" si="140"/>
        <v>0</v>
      </c>
    </row>
    <row r="1035" spans="1:23" ht="54.95" customHeight="1" thickBot="1" x14ac:dyDescent="0.25">
      <c r="A1035" s="1117">
        <v>2018</v>
      </c>
      <c r="B1035" s="1117">
        <v>2018</v>
      </c>
      <c r="C1035" s="1436" t="s">
        <v>36</v>
      </c>
      <c r="D1035" s="1363" t="s">
        <v>37</v>
      </c>
      <c r="E1035" s="1350" t="s">
        <v>6441</v>
      </c>
      <c r="F1035" s="1437">
        <v>4600557062</v>
      </c>
      <c r="G1035" s="1463" t="s">
        <v>6551</v>
      </c>
      <c r="H1035" s="1352">
        <v>135171</v>
      </c>
      <c r="I1035" s="1353">
        <v>43236</v>
      </c>
      <c r="J1035" s="1354">
        <f t="shared" si="137"/>
        <v>214</v>
      </c>
      <c r="K1035" s="1353">
        <v>43450</v>
      </c>
      <c r="L1035" s="1353" t="s">
        <v>41</v>
      </c>
      <c r="M1035" s="1353">
        <v>43384</v>
      </c>
      <c r="N1035" s="1354">
        <f t="shared" si="138"/>
        <v>-57</v>
      </c>
      <c r="O1035" s="1427">
        <v>43393</v>
      </c>
      <c r="P1035" s="1438">
        <v>43395</v>
      </c>
      <c r="Q1035" s="1355">
        <v>43413</v>
      </c>
      <c r="R1035" s="1354">
        <f t="shared" si="136"/>
        <v>177</v>
      </c>
      <c r="S1035" s="1437" t="s">
        <v>6481</v>
      </c>
      <c r="T1035" s="1370" t="s">
        <v>6463</v>
      </c>
      <c r="U1035" s="1358" t="str">
        <f t="shared" si="141"/>
        <v>en término</v>
      </c>
      <c r="V1035" s="1130" t="str">
        <f t="shared" si="139"/>
        <v>Octubre</v>
      </c>
      <c r="W1035" s="1128">
        <f t="shared" si="140"/>
        <v>1</v>
      </c>
    </row>
    <row r="1036" spans="1:23" ht="54.95" customHeight="1" thickBot="1" x14ac:dyDescent="0.25">
      <c r="A1036" s="1117">
        <v>2018</v>
      </c>
      <c r="B1036" s="1117">
        <v>2018</v>
      </c>
      <c r="C1036" s="1436" t="s">
        <v>36</v>
      </c>
      <c r="D1036" s="1363" t="s">
        <v>37</v>
      </c>
      <c r="E1036" s="1350" t="s">
        <v>6441</v>
      </c>
      <c r="F1036" s="1437">
        <v>4600557062</v>
      </c>
      <c r="G1036" s="1463" t="s">
        <v>6472</v>
      </c>
      <c r="H1036" s="1352">
        <v>35125.370000000003</v>
      </c>
      <c r="I1036" s="1353">
        <v>43236</v>
      </c>
      <c r="J1036" s="1354">
        <f t="shared" si="137"/>
        <v>90</v>
      </c>
      <c r="K1036" s="1353">
        <v>43326</v>
      </c>
      <c r="L1036" s="1353" t="s">
        <v>41</v>
      </c>
      <c r="M1036" s="1353">
        <v>43335</v>
      </c>
      <c r="N1036" s="1354">
        <f t="shared" si="138"/>
        <v>19</v>
      </c>
      <c r="O1036" s="1427">
        <v>43345</v>
      </c>
      <c r="P1036" s="1438">
        <v>43346</v>
      </c>
      <c r="Q1036" s="1355">
        <v>43364</v>
      </c>
      <c r="R1036" s="1354">
        <f t="shared" si="136"/>
        <v>128</v>
      </c>
      <c r="S1036" s="1437" t="s">
        <v>6475</v>
      </c>
      <c r="T1036" s="1370" t="s">
        <v>6463</v>
      </c>
      <c r="U1036" s="1358" t="str">
        <f t="shared" si="141"/>
        <v>atrasado</v>
      </c>
      <c r="V1036" s="1130" t="str">
        <f t="shared" si="139"/>
        <v>Agosto</v>
      </c>
      <c r="W1036" s="1128">
        <f t="shared" si="140"/>
        <v>0</v>
      </c>
    </row>
    <row r="1037" spans="1:23" ht="54.95" customHeight="1" thickBot="1" x14ac:dyDescent="0.25">
      <c r="A1037" s="1117">
        <v>2018</v>
      </c>
      <c r="B1037" s="1117">
        <v>2018</v>
      </c>
      <c r="C1037" s="1436" t="s">
        <v>36</v>
      </c>
      <c r="D1037" s="1363" t="s">
        <v>37</v>
      </c>
      <c r="E1037" s="1350" t="s">
        <v>6441</v>
      </c>
      <c r="F1037" s="1437">
        <v>4600557062</v>
      </c>
      <c r="G1037" s="1463" t="s">
        <v>6473</v>
      </c>
      <c r="H1037" s="1352">
        <v>14895.79</v>
      </c>
      <c r="I1037" s="1353">
        <v>43236</v>
      </c>
      <c r="J1037" s="1354">
        <f t="shared" si="137"/>
        <v>137</v>
      </c>
      <c r="K1037" s="1353">
        <v>43373</v>
      </c>
      <c r="L1037" s="1353" t="s">
        <v>41</v>
      </c>
      <c r="M1037" s="1353">
        <v>43384</v>
      </c>
      <c r="N1037" s="1354">
        <f t="shared" si="138"/>
        <v>20</v>
      </c>
      <c r="O1037" s="1427">
        <v>43393</v>
      </c>
      <c r="P1037" s="1438">
        <v>43395</v>
      </c>
      <c r="Q1037" s="1355">
        <v>43413</v>
      </c>
      <c r="R1037" s="1354">
        <f t="shared" si="136"/>
        <v>177</v>
      </c>
      <c r="S1037" s="1437" t="s">
        <v>6476</v>
      </c>
      <c r="T1037" s="1370" t="s">
        <v>6463</v>
      </c>
      <c r="U1037" s="1358" t="str">
        <f t="shared" si="141"/>
        <v>atrasado</v>
      </c>
      <c r="V1037" s="1130" t="str">
        <f t="shared" si="139"/>
        <v>Octubre</v>
      </c>
      <c r="W1037" s="1128">
        <f t="shared" si="140"/>
        <v>0</v>
      </c>
    </row>
    <row r="1038" spans="1:23" ht="54.95" customHeight="1" thickBot="1" x14ac:dyDescent="0.25">
      <c r="A1038" s="1117">
        <v>2018</v>
      </c>
      <c r="B1038" s="1117">
        <v>2018</v>
      </c>
      <c r="C1038" s="1436" t="s">
        <v>36</v>
      </c>
      <c r="D1038" s="1363" t="s">
        <v>37</v>
      </c>
      <c r="E1038" s="1350" t="s">
        <v>6441</v>
      </c>
      <c r="F1038" s="1437">
        <v>4600557062</v>
      </c>
      <c r="G1038" s="1463" t="s">
        <v>6488</v>
      </c>
      <c r="H1038" s="1352">
        <v>9895.82</v>
      </c>
      <c r="I1038" s="1353">
        <v>43244</v>
      </c>
      <c r="J1038" s="1354">
        <f t="shared" si="137"/>
        <v>156</v>
      </c>
      <c r="K1038" s="1353">
        <v>43400</v>
      </c>
      <c r="L1038" s="1353" t="s">
        <v>41</v>
      </c>
      <c r="M1038" s="1353">
        <v>43384</v>
      </c>
      <c r="N1038" s="1354">
        <f t="shared" si="138"/>
        <v>-7</v>
      </c>
      <c r="O1038" s="1427">
        <v>43393</v>
      </c>
      <c r="P1038" s="1438">
        <v>43395</v>
      </c>
      <c r="Q1038" s="1355">
        <v>43413</v>
      </c>
      <c r="R1038" s="1354">
        <f t="shared" si="136"/>
        <v>169</v>
      </c>
      <c r="S1038" s="1437" t="s">
        <v>6489</v>
      </c>
      <c r="T1038" s="1370" t="s">
        <v>6463</v>
      </c>
      <c r="U1038" s="1358" t="str">
        <f t="shared" si="141"/>
        <v>en término</v>
      </c>
      <c r="V1038" s="1130" t="str">
        <f t="shared" si="139"/>
        <v>Octubre</v>
      </c>
      <c r="W1038" s="1128">
        <f t="shared" si="140"/>
        <v>1</v>
      </c>
    </row>
    <row r="1039" spans="1:23" ht="54.95" customHeight="1" thickBot="1" x14ac:dyDescent="0.25">
      <c r="A1039" s="1117">
        <v>2018</v>
      </c>
      <c r="B1039" s="1117">
        <v>2018</v>
      </c>
      <c r="C1039" s="1436" t="s">
        <v>36</v>
      </c>
      <c r="D1039" s="1363" t="s">
        <v>37</v>
      </c>
      <c r="E1039" s="1350" t="s">
        <v>6441</v>
      </c>
      <c r="F1039" s="1437">
        <v>4600557062</v>
      </c>
      <c r="G1039" s="1463" t="s">
        <v>6482</v>
      </c>
      <c r="H1039" s="1352">
        <v>41842.25</v>
      </c>
      <c r="I1039" s="1353">
        <v>43243</v>
      </c>
      <c r="J1039" s="1354">
        <f t="shared" si="137"/>
        <v>94</v>
      </c>
      <c r="K1039" s="1353">
        <v>43337</v>
      </c>
      <c r="L1039" s="1353" t="s">
        <v>41</v>
      </c>
      <c r="M1039" s="1353">
        <v>43335</v>
      </c>
      <c r="N1039" s="1354">
        <f t="shared" si="138"/>
        <v>8</v>
      </c>
      <c r="O1039" s="1427">
        <v>43345</v>
      </c>
      <c r="P1039" s="1438">
        <v>43346</v>
      </c>
      <c r="Q1039" s="1355">
        <v>43364</v>
      </c>
      <c r="R1039" s="1354">
        <f t="shared" si="136"/>
        <v>121</v>
      </c>
      <c r="S1039" s="1437" t="s">
        <v>6483</v>
      </c>
      <c r="T1039" s="1370" t="s">
        <v>6463</v>
      </c>
      <c r="U1039" s="1358" t="str">
        <f t="shared" si="141"/>
        <v>atrasado</v>
      </c>
      <c r="V1039" s="1130" t="str">
        <f t="shared" si="139"/>
        <v>Agosto</v>
      </c>
      <c r="W1039" s="1128">
        <f t="shared" si="140"/>
        <v>0</v>
      </c>
    </row>
    <row r="1040" spans="1:23" ht="54.95" customHeight="1" thickBot="1" x14ac:dyDescent="0.25">
      <c r="A1040" s="1117">
        <v>2018</v>
      </c>
      <c r="B1040" s="1117">
        <v>2018</v>
      </c>
      <c r="C1040" s="1436" t="s">
        <v>36</v>
      </c>
      <c r="D1040" s="1363" t="s">
        <v>37</v>
      </c>
      <c r="E1040" s="1350" t="s">
        <v>6441</v>
      </c>
      <c r="F1040" s="1437">
        <v>4600557062</v>
      </c>
      <c r="G1040" s="1463" t="s">
        <v>6485</v>
      </c>
      <c r="H1040" s="1352">
        <v>95682.6</v>
      </c>
      <c r="I1040" s="1353">
        <v>43243</v>
      </c>
      <c r="J1040" s="1354">
        <f t="shared" si="137"/>
        <v>94</v>
      </c>
      <c r="K1040" s="1353">
        <v>43337</v>
      </c>
      <c r="L1040" s="1353" t="s">
        <v>41</v>
      </c>
      <c r="M1040" s="1353">
        <v>43363</v>
      </c>
      <c r="N1040" s="1354">
        <f t="shared" si="138"/>
        <v>36</v>
      </c>
      <c r="O1040" s="1427">
        <v>43373</v>
      </c>
      <c r="P1040" s="1438">
        <v>43375</v>
      </c>
      <c r="Q1040" s="1355">
        <v>43395</v>
      </c>
      <c r="R1040" s="1354">
        <f t="shared" si="136"/>
        <v>152</v>
      </c>
      <c r="S1040" s="1437" t="s">
        <v>6484</v>
      </c>
      <c r="T1040" s="1370" t="s">
        <v>6463</v>
      </c>
      <c r="U1040" s="1358" t="str">
        <f t="shared" si="141"/>
        <v>atrasado</v>
      </c>
      <c r="V1040" s="1130" t="str">
        <f t="shared" si="139"/>
        <v>Septiembre</v>
      </c>
      <c r="W1040" s="1128">
        <f t="shared" si="140"/>
        <v>0</v>
      </c>
    </row>
    <row r="1041" spans="1:23" ht="54.95" customHeight="1" thickBot="1" x14ac:dyDescent="0.25">
      <c r="A1041" s="1117">
        <v>2018</v>
      </c>
      <c r="B1041" s="1117">
        <v>2018</v>
      </c>
      <c r="C1041" s="1436" t="s">
        <v>36</v>
      </c>
      <c r="D1041" s="1363" t="s">
        <v>37</v>
      </c>
      <c r="E1041" s="1350" t="s">
        <v>6441</v>
      </c>
      <c r="F1041" s="1437">
        <v>4600557062</v>
      </c>
      <c r="G1041" s="1463" t="s">
        <v>6486</v>
      </c>
      <c r="H1041" s="1352">
        <v>95737</v>
      </c>
      <c r="I1041" s="1353">
        <v>43244</v>
      </c>
      <c r="J1041" s="1354">
        <f t="shared" si="137"/>
        <v>96</v>
      </c>
      <c r="K1041" s="1353">
        <v>43340</v>
      </c>
      <c r="L1041" s="1353" t="s">
        <v>41</v>
      </c>
      <c r="M1041" s="1353">
        <v>43335</v>
      </c>
      <c r="N1041" s="1354">
        <f t="shared" si="138"/>
        <v>5</v>
      </c>
      <c r="O1041" s="1427">
        <v>43345</v>
      </c>
      <c r="P1041" s="1438">
        <v>43346</v>
      </c>
      <c r="Q1041" s="1355">
        <v>43364</v>
      </c>
      <c r="R1041" s="1354">
        <f t="shared" si="136"/>
        <v>120</v>
      </c>
      <c r="S1041" s="1437" t="s">
        <v>1322</v>
      </c>
      <c r="T1041" s="1370" t="s">
        <v>6487</v>
      </c>
      <c r="U1041" s="1358" t="str">
        <f t="shared" si="141"/>
        <v>atrasado</v>
      </c>
      <c r="V1041" s="1130" t="str">
        <f t="shared" si="139"/>
        <v>Agosto</v>
      </c>
      <c r="W1041" s="1128">
        <f t="shared" si="140"/>
        <v>0</v>
      </c>
    </row>
    <row r="1042" spans="1:23" ht="54.95" customHeight="1" thickBot="1" x14ac:dyDescent="0.25">
      <c r="A1042" s="1117">
        <v>2018</v>
      </c>
      <c r="B1042" s="1117">
        <v>2018</v>
      </c>
      <c r="C1042" s="1436" t="s">
        <v>36</v>
      </c>
      <c r="D1042" s="1363" t="s">
        <v>37</v>
      </c>
      <c r="E1042" s="1350" t="s">
        <v>6429</v>
      </c>
      <c r="F1042" s="1437">
        <v>4600558097</v>
      </c>
      <c r="G1042" s="1463" t="s">
        <v>6471</v>
      </c>
      <c r="H1042" s="1352">
        <v>46610</v>
      </c>
      <c r="I1042" s="1353">
        <v>43243</v>
      </c>
      <c r="J1042" s="1354">
        <f t="shared" si="137"/>
        <v>155</v>
      </c>
      <c r="K1042" s="1353">
        <v>43398</v>
      </c>
      <c r="L1042" s="1353" t="s">
        <v>41</v>
      </c>
      <c r="M1042" s="1353">
        <v>43363</v>
      </c>
      <c r="N1042" s="1354">
        <f t="shared" si="138"/>
        <v>-26</v>
      </c>
      <c r="O1042" s="1427">
        <v>43372</v>
      </c>
      <c r="P1042" s="1438">
        <v>43375</v>
      </c>
      <c r="Q1042" s="1355">
        <v>43395</v>
      </c>
      <c r="R1042" s="1354">
        <f t="shared" si="136"/>
        <v>152</v>
      </c>
      <c r="S1042" s="1437" t="s">
        <v>955</v>
      </c>
      <c r="T1042" s="1370" t="s">
        <v>6465</v>
      </c>
      <c r="U1042" s="1358" t="str">
        <f t="shared" si="141"/>
        <v>en término</v>
      </c>
      <c r="V1042" s="1130" t="str">
        <f t="shared" si="139"/>
        <v>Septiembre</v>
      </c>
      <c r="W1042" s="1128">
        <f t="shared" si="140"/>
        <v>1</v>
      </c>
    </row>
    <row r="1043" spans="1:23" ht="54.95" customHeight="1" thickBot="1" x14ac:dyDescent="0.25">
      <c r="A1043" s="1117">
        <v>2018</v>
      </c>
      <c r="B1043" s="1117">
        <v>2018</v>
      </c>
      <c r="C1043" s="1436" t="s">
        <v>36</v>
      </c>
      <c r="D1043" s="1363" t="s">
        <v>37</v>
      </c>
      <c r="E1043" s="1350" t="s">
        <v>6441</v>
      </c>
      <c r="F1043" s="1437">
        <v>4600557062</v>
      </c>
      <c r="G1043" s="1463" t="s">
        <v>6494</v>
      </c>
      <c r="H1043" s="1352">
        <v>16874.68</v>
      </c>
      <c r="I1043" s="1353">
        <v>43256</v>
      </c>
      <c r="J1043" s="1354">
        <f t="shared" si="137"/>
        <v>93</v>
      </c>
      <c r="K1043" s="1353">
        <v>43349</v>
      </c>
      <c r="L1043" s="1353" t="s">
        <v>41</v>
      </c>
      <c r="M1043" s="1353">
        <v>43363</v>
      </c>
      <c r="N1043" s="1354">
        <f t="shared" si="138"/>
        <v>24</v>
      </c>
      <c r="O1043" s="1427">
        <v>43373</v>
      </c>
      <c r="P1043" s="1438">
        <v>43375</v>
      </c>
      <c r="Q1043" s="1355">
        <v>43395</v>
      </c>
      <c r="R1043" s="1354">
        <f t="shared" ref="R1043:R1074" si="142">IF(Q1043="","",+Q1043-I1043)</f>
        <v>139</v>
      </c>
      <c r="S1043" s="1437" t="s">
        <v>6496</v>
      </c>
      <c r="T1043" s="1370" t="s">
        <v>6465</v>
      </c>
      <c r="U1043" s="1358" t="str">
        <f t="shared" si="141"/>
        <v>atrasado</v>
      </c>
      <c r="V1043" s="1130" t="str">
        <f t="shared" si="139"/>
        <v>Septiembre</v>
      </c>
      <c r="W1043" s="1128">
        <f t="shared" si="140"/>
        <v>0</v>
      </c>
    </row>
    <row r="1044" spans="1:23" ht="54.95" customHeight="1" thickBot="1" x14ac:dyDescent="0.25">
      <c r="A1044" s="1117">
        <v>2018</v>
      </c>
      <c r="B1044" s="1117">
        <v>2018</v>
      </c>
      <c r="C1044" s="1436" t="s">
        <v>36</v>
      </c>
      <c r="D1044" s="1363" t="s">
        <v>37</v>
      </c>
      <c r="E1044" s="1350" t="s">
        <v>6441</v>
      </c>
      <c r="F1044" s="1437">
        <v>4600557062</v>
      </c>
      <c r="G1044" s="1463" t="s">
        <v>6495</v>
      </c>
      <c r="H1044" s="1352">
        <v>26620.400000000001</v>
      </c>
      <c r="I1044" s="1353">
        <v>43256</v>
      </c>
      <c r="J1044" s="1354">
        <f t="shared" si="137"/>
        <v>122</v>
      </c>
      <c r="K1044" s="1353">
        <v>43378</v>
      </c>
      <c r="L1044" s="1353" t="s">
        <v>41</v>
      </c>
      <c r="M1044" s="1353">
        <v>43384</v>
      </c>
      <c r="N1044" s="1354">
        <f t="shared" si="138"/>
        <v>15</v>
      </c>
      <c r="O1044" s="1427">
        <v>43393</v>
      </c>
      <c r="P1044" s="1438">
        <v>43395</v>
      </c>
      <c r="Q1044" s="1355">
        <v>43413</v>
      </c>
      <c r="R1044" s="1354">
        <f t="shared" si="142"/>
        <v>157</v>
      </c>
      <c r="S1044" s="1437" t="s">
        <v>6497</v>
      </c>
      <c r="T1044" s="1370" t="s">
        <v>6465</v>
      </c>
      <c r="U1044" s="1358" t="str">
        <f t="shared" si="141"/>
        <v>atrasado</v>
      </c>
      <c r="V1044" s="1130" t="str">
        <f t="shared" si="139"/>
        <v>Octubre</v>
      </c>
      <c r="W1044" s="1128">
        <f t="shared" si="140"/>
        <v>0</v>
      </c>
    </row>
    <row r="1045" spans="1:23" ht="54.95" customHeight="1" thickBot="1" x14ac:dyDescent="0.25">
      <c r="A1045" s="1117">
        <v>2018</v>
      </c>
      <c r="B1045" s="1117">
        <v>2018</v>
      </c>
      <c r="C1045" s="1436" t="s">
        <v>36</v>
      </c>
      <c r="D1045" s="1363" t="s">
        <v>37</v>
      </c>
      <c r="E1045" s="1350" t="s">
        <v>6441</v>
      </c>
      <c r="F1045" s="1437">
        <v>4600557062</v>
      </c>
      <c r="G1045" s="1463" t="s">
        <v>6499</v>
      </c>
      <c r="H1045" s="1352">
        <v>3646.97</v>
      </c>
      <c r="I1045" s="1353">
        <v>43284</v>
      </c>
      <c r="J1045" s="1354">
        <f t="shared" si="137"/>
        <v>105</v>
      </c>
      <c r="K1045" s="1353">
        <v>43389</v>
      </c>
      <c r="L1045" s="1353" t="s">
        <v>41</v>
      </c>
      <c r="M1045" s="1353">
        <v>43384</v>
      </c>
      <c r="N1045" s="1354">
        <f t="shared" si="138"/>
        <v>4</v>
      </c>
      <c r="O1045" s="1427">
        <v>43393</v>
      </c>
      <c r="P1045" s="1438">
        <v>43395</v>
      </c>
      <c r="Q1045" s="1355">
        <v>43413</v>
      </c>
      <c r="R1045" s="1354">
        <f t="shared" si="142"/>
        <v>129</v>
      </c>
      <c r="S1045" s="1437" t="s">
        <v>6464</v>
      </c>
      <c r="T1045" s="1370" t="s">
        <v>6465</v>
      </c>
      <c r="U1045" s="1358" t="str">
        <f t="shared" si="141"/>
        <v>atrasado</v>
      </c>
      <c r="V1045" s="1130" t="str">
        <f t="shared" si="139"/>
        <v>Octubre</v>
      </c>
      <c r="W1045" s="1128">
        <f t="shared" si="140"/>
        <v>0</v>
      </c>
    </row>
    <row r="1046" spans="1:23" ht="54.95" customHeight="1" thickBot="1" x14ac:dyDescent="0.25">
      <c r="A1046" s="1117">
        <v>2018</v>
      </c>
      <c r="B1046" s="1117">
        <v>2018</v>
      </c>
      <c r="C1046" s="1436" t="s">
        <v>36</v>
      </c>
      <c r="D1046" s="1363" t="s">
        <v>37</v>
      </c>
      <c r="E1046" s="1350" t="s">
        <v>6441</v>
      </c>
      <c r="F1046" s="1437">
        <v>4600557062</v>
      </c>
      <c r="G1046" s="1463" t="s">
        <v>6498</v>
      </c>
      <c r="H1046" s="1352">
        <v>38940.839999999997</v>
      </c>
      <c r="I1046" s="1353">
        <v>43285</v>
      </c>
      <c r="J1046" s="1354">
        <f t="shared" si="137"/>
        <v>93</v>
      </c>
      <c r="K1046" s="1353">
        <v>43378</v>
      </c>
      <c r="L1046" s="1353" t="s">
        <v>41</v>
      </c>
      <c r="M1046" s="1353">
        <v>43384</v>
      </c>
      <c r="N1046" s="1354">
        <f t="shared" si="138"/>
        <v>15</v>
      </c>
      <c r="O1046" s="1427">
        <v>43393</v>
      </c>
      <c r="P1046" s="1438">
        <v>43395</v>
      </c>
      <c r="Q1046" s="1355">
        <v>43413</v>
      </c>
      <c r="R1046" s="1354">
        <f t="shared" si="142"/>
        <v>128</v>
      </c>
      <c r="S1046" s="1437" t="s">
        <v>6457</v>
      </c>
      <c r="T1046" s="1370" t="s">
        <v>48</v>
      </c>
      <c r="U1046" s="1358" t="str">
        <f t="shared" si="141"/>
        <v>atrasado</v>
      </c>
      <c r="V1046" s="1130" t="str">
        <f t="shared" si="139"/>
        <v>Octubre</v>
      </c>
      <c r="W1046" s="1128">
        <f t="shared" si="140"/>
        <v>0</v>
      </c>
    </row>
    <row r="1047" spans="1:23" ht="54.95" customHeight="1" thickBot="1" x14ac:dyDescent="0.25">
      <c r="A1047" s="1117">
        <v>2018</v>
      </c>
      <c r="B1047" s="1117">
        <v>2018</v>
      </c>
      <c r="C1047" s="1436" t="s">
        <v>36</v>
      </c>
      <c r="D1047" s="1363" t="s">
        <v>37</v>
      </c>
      <c r="E1047" s="1350" t="s">
        <v>6441</v>
      </c>
      <c r="F1047" s="1437">
        <v>4600557062</v>
      </c>
      <c r="G1047" s="1463" t="s">
        <v>6500</v>
      </c>
      <c r="H1047" s="1352">
        <v>1364.36</v>
      </c>
      <c r="I1047" s="1353">
        <v>43299</v>
      </c>
      <c r="J1047" s="1354">
        <f t="shared" si="137"/>
        <v>95</v>
      </c>
      <c r="K1047" s="1353">
        <v>43394</v>
      </c>
      <c r="L1047" s="1353" t="s">
        <v>41</v>
      </c>
      <c r="M1047" s="1353">
        <v>43384</v>
      </c>
      <c r="N1047" s="1354">
        <f t="shared" si="138"/>
        <v>-1</v>
      </c>
      <c r="O1047" s="1427">
        <v>43393</v>
      </c>
      <c r="P1047" s="1438">
        <v>43395</v>
      </c>
      <c r="Q1047" s="1355">
        <v>43413</v>
      </c>
      <c r="R1047" s="1354">
        <f t="shared" si="142"/>
        <v>114</v>
      </c>
      <c r="S1047" s="1437" t="s">
        <v>6458</v>
      </c>
      <c r="T1047" s="1370" t="s">
        <v>48</v>
      </c>
      <c r="U1047" s="1358" t="str">
        <f t="shared" si="141"/>
        <v>en término</v>
      </c>
      <c r="V1047" s="1130" t="str">
        <f t="shared" si="139"/>
        <v>Octubre</v>
      </c>
      <c r="W1047" s="1128">
        <f t="shared" si="140"/>
        <v>1</v>
      </c>
    </row>
    <row r="1048" spans="1:23" ht="54.95" customHeight="1" thickBot="1" x14ac:dyDescent="0.25">
      <c r="A1048" s="1117">
        <v>2018</v>
      </c>
      <c r="B1048" s="1117">
        <v>2018</v>
      </c>
      <c r="C1048" s="1436" t="s">
        <v>36</v>
      </c>
      <c r="D1048" s="1363" t="s">
        <v>37</v>
      </c>
      <c r="E1048" s="1350" t="s">
        <v>6441</v>
      </c>
      <c r="F1048" s="1437">
        <v>4600557062</v>
      </c>
      <c r="G1048" s="1463" t="s">
        <v>6501</v>
      </c>
      <c r="H1048" s="1352">
        <v>7599.6</v>
      </c>
      <c r="I1048" s="1353">
        <v>43327</v>
      </c>
      <c r="J1048" s="1354">
        <f t="shared" si="137"/>
        <v>91</v>
      </c>
      <c r="K1048" s="1353">
        <v>43418</v>
      </c>
      <c r="L1048" s="1353" t="s">
        <v>41</v>
      </c>
      <c r="M1048" s="1353">
        <v>43384</v>
      </c>
      <c r="N1048" s="1354">
        <f t="shared" si="138"/>
        <v>-25</v>
      </c>
      <c r="O1048" s="1427">
        <v>43393</v>
      </c>
      <c r="P1048" s="1438">
        <v>43395</v>
      </c>
      <c r="Q1048" s="1355">
        <v>43413</v>
      </c>
      <c r="R1048" s="1354">
        <f t="shared" si="142"/>
        <v>86</v>
      </c>
      <c r="S1048" s="1437" t="s">
        <v>6504</v>
      </c>
      <c r="T1048" s="1370" t="s">
        <v>6462</v>
      </c>
      <c r="U1048" s="1358" t="str">
        <f t="shared" si="141"/>
        <v>en término</v>
      </c>
      <c r="V1048" s="1130" t="str">
        <f t="shared" si="139"/>
        <v>Octubre</v>
      </c>
      <c r="W1048" s="1128">
        <f t="shared" si="140"/>
        <v>1</v>
      </c>
    </row>
    <row r="1049" spans="1:23" ht="54.95" customHeight="1" thickBot="1" x14ac:dyDescent="0.25">
      <c r="A1049" s="1117">
        <v>2018</v>
      </c>
      <c r="B1049" s="1117">
        <v>2018</v>
      </c>
      <c r="C1049" s="1436" t="s">
        <v>36</v>
      </c>
      <c r="D1049" s="1363" t="s">
        <v>37</v>
      </c>
      <c r="E1049" s="1350" t="s">
        <v>6441</v>
      </c>
      <c r="F1049" s="1437">
        <v>4600557062</v>
      </c>
      <c r="G1049" s="1463" t="s">
        <v>6502</v>
      </c>
      <c r="H1049" s="1352">
        <v>22798.799999999999</v>
      </c>
      <c r="I1049" s="1353">
        <v>43327</v>
      </c>
      <c r="J1049" s="1354">
        <f t="shared" si="137"/>
        <v>91</v>
      </c>
      <c r="K1049" s="1353">
        <v>43418</v>
      </c>
      <c r="L1049" s="1353" t="s">
        <v>41</v>
      </c>
      <c r="M1049" s="1353">
        <v>43419</v>
      </c>
      <c r="N1049" s="1354">
        <f t="shared" si="138"/>
        <v>10</v>
      </c>
      <c r="O1049" s="1427">
        <v>43428</v>
      </c>
      <c r="P1049" s="1438">
        <v>43429</v>
      </c>
      <c r="Q1049" s="1355">
        <v>43448</v>
      </c>
      <c r="R1049" s="1354">
        <f t="shared" si="142"/>
        <v>121</v>
      </c>
      <c r="S1049" s="1437" t="s">
        <v>6570</v>
      </c>
      <c r="T1049" s="1370" t="s">
        <v>6542</v>
      </c>
      <c r="U1049" s="1358" t="str">
        <f t="shared" si="141"/>
        <v>atrasado</v>
      </c>
      <c r="V1049" s="1130" t="str">
        <f t="shared" si="139"/>
        <v>Noviembre</v>
      </c>
      <c r="W1049" s="1128">
        <f t="shared" si="140"/>
        <v>0</v>
      </c>
    </row>
    <row r="1050" spans="1:23" ht="54.95" customHeight="1" thickBot="1" x14ac:dyDescent="0.25">
      <c r="A1050" s="1117">
        <v>2018</v>
      </c>
      <c r="B1050" s="1117">
        <v>2018</v>
      </c>
      <c r="C1050" s="1436" t="s">
        <v>36</v>
      </c>
      <c r="D1050" s="1363" t="s">
        <v>37</v>
      </c>
      <c r="E1050" s="1350" t="s">
        <v>6441</v>
      </c>
      <c r="F1050" s="1437">
        <v>4600557062</v>
      </c>
      <c r="G1050" s="1463" t="s">
        <v>6503</v>
      </c>
      <c r="H1050" s="1352">
        <v>15199.2</v>
      </c>
      <c r="I1050" s="1353">
        <v>43327</v>
      </c>
      <c r="J1050" s="1354">
        <f t="shared" si="137"/>
        <v>91</v>
      </c>
      <c r="K1050" s="1353">
        <v>43418</v>
      </c>
      <c r="L1050" s="1353" t="s">
        <v>41</v>
      </c>
      <c r="M1050" s="1353">
        <v>43447</v>
      </c>
      <c r="N1050" s="1354">
        <f t="shared" si="138"/>
        <v>38</v>
      </c>
      <c r="O1050" s="1427">
        <v>43456</v>
      </c>
      <c r="P1050" s="1438">
        <v>43458</v>
      </c>
      <c r="Q1050" s="1355">
        <v>43476</v>
      </c>
      <c r="R1050" s="1354">
        <f t="shared" si="142"/>
        <v>149</v>
      </c>
      <c r="S1050" s="1437" t="s">
        <v>6571</v>
      </c>
      <c r="T1050" s="1370" t="s">
        <v>6560</v>
      </c>
      <c r="U1050" s="1358" t="str">
        <f t="shared" si="141"/>
        <v>atrasado</v>
      </c>
      <c r="V1050" s="1130" t="str">
        <f t="shared" si="139"/>
        <v>Diciembre</v>
      </c>
      <c r="W1050" s="1128">
        <f t="shared" si="140"/>
        <v>0</v>
      </c>
    </row>
    <row r="1051" spans="1:23" ht="54.95" customHeight="1" thickBot="1" x14ac:dyDescent="0.25">
      <c r="A1051" s="1117">
        <v>2018</v>
      </c>
      <c r="B1051" s="1117">
        <v>2018</v>
      </c>
      <c r="C1051" s="1436" t="s">
        <v>36</v>
      </c>
      <c r="D1051" s="1363" t="s">
        <v>37</v>
      </c>
      <c r="E1051" s="1350" t="s">
        <v>6508</v>
      </c>
      <c r="F1051" s="1437">
        <v>7002104668</v>
      </c>
      <c r="G1051" s="1463" t="s">
        <v>6507</v>
      </c>
      <c r="H1051" s="1352">
        <v>856</v>
      </c>
      <c r="I1051" s="1353">
        <v>43322</v>
      </c>
      <c r="J1051" s="1354">
        <f t="shared" si="137"/>
        <v>96</v>
      </c>
      <c r="K1051" s="1353">
        <v>43418</v>
      </c>
      <c r="L1051" s="1353" t="s">
        <v>41</v>
      </c>
      <c r="M1051" s="1353">
        <v>43419</v>
      </c>
      <c r="N1051" s="1354">
        <f t="shared" si="138"/>
        <v>10</v>
      </c>
      <c r="O1051" s="1427">
        <v>43428</v>
      </c>
      <c r="P1051" s="1438">
        <v>43429</v>
      </c>
      <c r="Q1051" s="1355">
        <v>43448</v>
      </c>
      <c r="R1051" s="1354">
        <f t="shared" si="142"/>
        <v>126</v>
      </c>
      <c r="S1051" s="1437" t="s">
        <v>6459</v>
      </c>
      <c r="T1051" s="1370" t="s">
        <v>6543</v>
      </c>
      <c r="U1051" s="1358" t="str">
        <f t="shared" si="141"/>
        <v>atrasado</v>
      </c>
      <c r="V1051" s="1130" t="str">
        <f t="shared" si="139"/>
        <v>Noviembre</v>
      </c>
      <c r="W1051" s="1128">
        <f t="shared" si="140"/>
        <v>0</v>
      </c>
    </row>
    <row r="1052" spans="1:23" ht="54.95" customHeight="1" thickBot="1" x14ac:dyDescent="0.25">
      <c r="A1052" s="1117">
        <v>2018</v>
      </c>
      <c r="B1052" s="1117">
        <v>2018</v>
      </c>
      <c r="C1052" s="1436" t="s">
        <v>36</v>
      </c>
      <c r="D1052" s="1363" t="s">
        <v>37</v>
      </c>
      <c r="E1052" s="1350" t="s">
        <v>6441</v>
      </c>
      <c r="F1052" s="1437">
        <v>4600557062</v>
      </c>
      <c r="G1052" s="1463" t="s">
        <v>6490</v>
      </c>
      <c r="H1052" s="1352">
        <v>34611.9</v>
      </c>
      <c r="I1052" s="1353">
        <v>43326</v>
      </c>
      <c r="J1052" s="1354">
        <f t="shared" si="137"/>
        <v>118</v>
      </c>
      <c r="K1052" s="1353">
        <v>43444</v>
      </c>
      <c r="L1052" s="1353" t="s">
        <v>41</v>
      </c>
      <c r="M1052" s="1353">
        <v>43419</v>
      </c>
      <c r="N1052" s="1354">
        <f t="shared" si="138"/>
        <v>-16</v>
      </c>
      <c r="O1052" s="1427">
        <v>43428</v>
      </c>
      <c r="P1052" s="1438">
        <v>43429</v>
      </c>
      <c r="Q1052" s="1355">
        <v>43448</v>
      </c>
      <c r="R1052" s="1354">
        <f t="shared" si="142"/>
        <v>122</v>
      </c>
      <c r="S1052" s="1437" t="s">
        <v>6460</v>
      </c>
      <c r="T1052" s="1370" t="s">
        <v>6546</v>
      </c>
      <c r="U1052" s="1358" t="str">
        <f t="shared" si="141"/>
        <v>en término</v>
      </c>
      <c r="V1052" s="1130" t="str">
        <f t="shared" si="139"/>
        <v>Noviembre</v>
      </c>
      <c r="W1052" s="1128">
        <f t="shared" si="140"/>
        <v>1</v>
      </c>
    </row>
    <row r="1053" spans="1:23" ht="54.95" customHeight="1" thickBot="1" x14ac:dyDescent="0.25">
      <c r="A1053" s="1117">
        <v>2018</v>
      </c>
      <c r="B1053" s="1117">
        <v>2018</v>
      </c>
      <c r="C1053" s="1436" t="s">
        <v>36</v>
      </c>
      <c r="D1053" s="1363" t="s">
        <v>37</v>
      </c>
      <c r="E1053" s="1350" t="s">
        <v>6441</v>
      </c>
      <c r="F1053" s="1437">
        <v>4600557062</v>
      </c>
      <c r="G1053" s="1463" t="s">
        <v>6491</v>
      </c>
      <c r="H1053" s="1352">
        <v>59662.62</v>
      </c>
      <c r="I1053" s="1353">
        <v>43327</v>
      </c>
      <c r="J1053" s="1354">
        <f t="shared" si="137"/>
        <v>95</v>
      </c>
      <c r="K1053" s="1353">
        <v>43422</v>
      </c>
      <c r="L1053" s="1353" t="s">
        <v>41</v>
      </c>
      <c r="M1053" s="1353">
        <v>43419</v>
      </c>
      <c r="N1053" s="1354">
        <f t="shared" si="138"/>
        <v>6</v>
      </c>
      <c r="O1053" s="1427">
        <v>43428</v>
      </c>
      <c r="P1053" s="1438">
        <v>43429</v>
      </c>
      <c r="Q1053" s="1355">
        <v>43448</v>
      </c>
      <c r="R1053" s="1354">
        <f t="shared" si="142"/>
        <v>121</v>
      </c>
      <c r="S1053" s="1437" t="s">
        <v>2116</v>
      </c>
      <c r="T1053" s="1370" t="s">
        <v>6545</v>
      </c>
      <c r="U1053" s="1358" t="str">
        <f t="shared" si="141"/>
        <v>atrasado</v>
      </c>
      <c r="V1053" s="1130" t="str">
        <f t="shared" si="139"/>
        <v>Noviembre</v>
      </c>
      <c r="W1053" s="1128">
        <f t="shared" si="140"/>
        <v>0</v>
      </c>
    </row>
    <row r="1054" spans="1:23" ht="54.95" customHeight="1" thickBot="1" x14ac:dyDescent="0.25">
      <c r="A1054" s="1117">
        <v>2018</v>
      </c>
      <c r="B1054" s="1117">
        <v>2018</v>
      </c>
      <c r="C1054" s="1436" t="s">
        <v>36</v>
      </c>
      <c r="D1054" s="1363" t="s">
        <v>37</v>
      </c>
      <c r="E1054" s="1350" t="s">
        <v>6456</v>
      </c>
      <c r="F1054" s="1437">
        <v>4600557062</v>
      </c>
      <c r="G1054" s="1463" t="s">
        <v>6492</v>
      </c>
      <c r="H1054" s="1352">
        <v>96821.97</v>
      </c>
      <c r="I1054" s="1353">
        <v>43327</v>
      </c>
      <c r="J1054" s="1354">
        <f t="shared" si="137"/>
        <v>95</v>
      </c>
      <c r="K1054" s="1353">
        <v>43422</v>
      </c>
      <c r="L1054" s="1353" t="s">
        <v>41</v>
      </c>
      <c r="M1054" s="1353">
        <v>43419</v>
      </c>
      <c r="N1054" s="1354">
        <f t="shared" si="138"/>
        <v>6</v>
      </c>
      <c r="O1054" s="1427">
        <v>43428</v>
      </c>
      <c r="P1054" s="1438">
        <v>43429</v>
      </c>
      <c r="Q1054" s="1355">
        <v>43448</v>
      </c>
      <c r="R1054" s="1354">
        <f t="shared" si="142"/>
        <v>121</v>
      </c>
      <c r="S1054" s="1437" t="s">
        <v>1330</v>
      </c>
      <c r="T1054" s="1370" t="s">
        <v>6545</v>
      </c>
      <c r="U1054" s="1358" t="str">
        <f t="shared" si="141"/>
        <v>atrasado</v>
      </c>
      <c r="V1054" s="1130" t="str">
        <f t="shared" si="139"/>
        <v>Noviembre</v>
      </c>
      <c r="W1054" s="1128">
        <f t="shared" si="140"/>
        <v>0</v>
      </c>
    </row>
    <row r="1055" spans="1:23" ht="54.95" customHeight="1" thickBot="1" x14ac:dyDescent="0.25">
      <c r="A1055" s="1117">
        <v>2018</v>
      </c>
      <c r="B1055" s="1117">
        <v>2018</v>
      </c>
      <c r="C1055" s="1436" t="s">
        <v>36</v>
      </c>
      <c r="D1055" s="1363" t="s">
        <v>37</v>
      </c>
      <c r="E1055" s="1350" t="s">
        <v>6441</v>
      </c>
      <c r="F1055" s="1437">
        <v>4600557062</v>
      </c>
      <c r="G1055" s="1463" t="s">
        <v>6493</v>
      </c>
      <c r="H1055" s="1352">
        <v>5260.31</v>
      </c>
      <c r="I1055" s="1353">
        <v>43327</v>
      </c>
      <c r="J1055" s="1354">
        <f t="shared" si="137"/>
        <v>92</v>
      </c>
      <c r="K1055" s="1353">
        <v>43419</v>
      </c>
      <c r="L1055" s="1353" t="s">
        <v>41</v>
      </c>
      <c r="M1055" s="1353">
        <v>43419</v>
      </c>
      <c r="N1055" s="1354">
        <f t="shared" si="138"/>
        <v>9</v>
      </c>
      <c r="O1055" s="1427">
        <v>43428</v>
      </c>
      <c r="P1055" s="1438">
        <v>43429</v>
      </c>
      <c r="Q1055" s="1355">
        <v>43448</v>
      </c>
      <c r="R1055" s="1354">
        <f t="shared" si="142"/>
        <v>121</v>
      </c>
      <c r="S1055" s="1437" t="s">
        <v>6461</v>
      </c>
      <c r="T1055" s="1370" t="s">
        <v>6544</v>
      </c>
      <c r="U1055" s="1358" t="str">
        <f t="shared" si="141"/>
        <v>atrasado</v>
      </c>
      <c r="V1055" s="1130" t="str">
        <f t="shared" si="139"/>
        <v>Noviembre</v>
      </c>
      <c r="W1055" s="1128">
        <f t="shared" si="140"/>
        <v>0</v>
      </c>
    </row>
    <row r="1056" spans="1:23" ht="54.95" customHeight="1" thickBot="1" x14ac:dyDescent="0.25">
      <c r="A1056" s="1117">
        <v>2018</v>
      </c>
      <c r="B1056" s="1117">
        <v>2018</v>
      </c>
      <c r="C1056" s="1436" t="s">
        <v>36</v>
      </c>
      <c r="D1056" s="1363" t="s">
        <v>37</v>
      </c>
      <c r="E1056" s="1350" t="s">
        <v>6456</v>
      </c>
      <c r="F1056" s="1437">
        <v>4600557062</v>
      </c>
      <c r="G1056" s="1463" t="s">
        <v>6505</v>
      </c>
      <c r="H1056" s="1352">
        <v>2513.3200000000002</v>
      </c>
      <c r="I1056" s="1353">
        <v>43356</v>
      </c>
      <c r="J1056" s="1354">
        <f t="shared" si="137"/>
        <v>90</v>
      </c>
      <c r="K1056" s="1353">
        <v>43446</v>
      </c>
      <c r="L1056" s="1353" t="s">
        <v>41</v>
      </c>
      <c r="M1056" s="1353">
        <v>43447</v>
      </c>
      <c r="N1056" s="1354">
        <f t="shared" si="138"/>
        <v>10</v>
      </c>
      <c r="O1056" s="1427">
        <v>43456</v>
      </c>
      <c r="P1056" s="1438">
        <v>43458</v>
      </c>
      <c r="Q1056" s="1355">
        <v>43476</v>
      </c>
      <c r="R1056" s="1354">
        <f t="shared" si="142"/>
        <v>120</v>
      </c>
      <c r="S1056" s="1437" t="s">
        <v>6572</v>
      </c>
      <c r="T1056" s="1370" t="s">
        <v>6561</v>
      </c>
      <c r="U1056" s="1358" t="str">
        <f t="shared" si="141"/>
        <v>atrasado</v>
      </c>
      <c r="V1056" s="1130" t="str">
        <f t="shared" si="139"/>
        <v>Diciembre</v>
      </c>
      <c r="W1056" s="1128">
        <f t="shared" si="140"/>
        <v>0</v>
      </c>
    </row>
    <row r="1057" spans="1:23" ht="54.95" customHeight="1" thickBot="1" x14ac:dyDescent="0.25">
      <c r="A1057" s="1117">
        <v>2018</v>
      </c>
      <c r="B1057" s="1117">
        <v>2018</v>
      </c>
      <c r="C1057" s="1436" t="s">
        <v>36</v>
      </c>
      <c r="D1057" s="1363" t="s">
        <v>37</v>
      </c>
      <c r="E1057" s="1350" t="s">
        <v>6441</v>
      </c>
      <c r="F1057" s="1437">
        <v>4600557062</v>
      </c>
      <c r="G1057" s="1463" t="s">
        <v>6506</v>
      </c>
      <c r="H1057" s="1352">
        <v>15213.6</v>
      </c>
      <c r="I1057" s="1353">
        <v>43355</v>
      </c>
      <c r="J1057" s="1354">
        <f t="shared" si="137"/>
        <v>92</v>
      </c>
      <c r="K1057" s="1353">
        <v>43447</v>
      </c>
      <c r="L1057" s="1353" t="s">
        <v>41</v>
      </c>
      <c r="M1057" s="1353">
        <v>43447</v>
      </c>
      <c r="N1057" s="1354">
        <f t="shared" si="138"/>
        <v>9</v>
      </c>
      <c r="O1057" s="1427">
        <v>43456</v>
      </c>
      <c r="P1057" s="1438">
        <v>43458</v>
      </c>
      <c r="Q1057" s="1355">
        <v>43476</v>
      </c>
      <c r="R1057" s="1354">
        <f t="shared" si="142"/>
        <v>121</v>
      </c>
      <c r="S1057" s="1437" t="s">
        <v>6573</v>
      </c>
      <c r="T1057" s="1370" t="s">
        <v>6562</v>
      </c>
      <c r="U1057" s="1358" t="str">
        <f t="shared" si="141"/>
        <v>atrasado</v>
      </c>
      <c r="V1057" s="1130" t="str">
        <f t="shared" si="139"/>
        <v>Diciembre</v>
      </c>
      <c r="W1057" s="1128">
        <f t="shared" si="140"/>
        <v>0</v>
      </c>
    </row>
    <row r="1058" spans="1:23" ht="54.95" customHeight="1" thickBot="1" x14ac:dyDescent="0.25">
      <c r="A1058" s="1117">
        <v>2018</v>
      </c>
      <c r="B1058" s="1117">
        <v>2018</v>
      </c>
      <c r="C1058" s="1436" t="s">
        <v>36</v>
      </c>
      <c r="D1058" s="1363" t="s">
        <v>37</v>
      </c>
      <c r="E1058" s="1350" t="s">
        <v>6429</v>
      </c>
      <c r="F1058" s="1437">
        <v>4600558097</v>
      </c>
      <c r="G1058" s="1463" t="s">
        <v>6537</v>
      </c>
      <c r="H1058" s="1352">
        <v>6367.01</v>
      </c>
      <c r="I1058" s="1353">
        <v>43339</v>
      </c>
      <c r="J1058" s="1354">
        <f t="shared" si="137"/>
        <v>151</v>
      </c>
      <c r="K1058" s="1353">
        <v>43490</v>
      </c>
      <c r="L1058" s="1353" t="s">
        <v>41</v>
      </c>
      <c r="M1058" s="1353">
        <v>43447</v>
      </c>
      <c r="N1058" s="1354">
        <f t="shared" si="138"/>
        <v>-34</v>
      </c>
      <c r="O1058" s="1427">
        <v>43456</v>
      </c>
      <c r="P1058" s="1438">
        <v>43458</v>
      </c>
      <c r="Q1058" s="1355">
        <v>43476</v>
      </c>
      <c r="R1058" s="1354">
        <f t="shared" si="142"/>
        <v>137</v>
      </c>
      <c r="S1058" s="1437" t="s">
        <v>6577</v>
      </c>
      <c r="T1058" s="1370" t="s">
        <v>6563</v>
      </c>
      <c r="U1058" s="1358" t="str">
        <f t="shared" si="141"/>
        <v>en término</v>
      </c>
      <c r="V1058" s="1130" t="str">
        <f t="shared" si="139"/>
        <v>Diciembre</v>
      </c>
      <c r="W1058" s="1128">
        <f t="shared" si="140"/>
        <v>1</v>
      </c>
    </row>
    <row r="1059" spans="1:23" ht="54.95" customHeight="1" thickBot="1" x14ac:dyDescent="0.25">
      <c r="A1059" s="1117">
        <v>2018</v>
      </c>
      <c r="B1059" s="1117">
        <v>2018</v>
      </c>
      <c r="C1059" s="1436" t="s">
        <v>36</v>
      </c>
      <c r="D1059" s="1363" t="s">
        <v>37</v>
      </c>
      <c r="E1059" s="1350" t="s">
        <v>6441</v>
      </c>
      <c r="F1059" s="1437">
        <v>4600557062</v>
      </c>
      <c r="G1059" s="1463" t="s">
        <v>6532</v>
      </c>
      <c r="H1059" s="1352">
        <v>105579.27</v>
      </c>
      <c r="I1059" s="1353">
        <v>43368</v>
      </c>
      <c r="J1059" s="1354">
        <f t="shared" si="137"/>
        <v>94</v>
      </c>
      <c r="K1059" s="1353">
        <v>43462</v>
      </c>
      <c r="L1059" s="1353" t="s">
        <v>41</v>
      </c>
      <c r="M1059" s="1353">
        <v>43447</v>
      </c>
      <c r="N1059" s="1354">
        <f t="shared" si="138"/>
        <v>-6</v>
      </c>
      <c r="O1059" s="1427">
        <v>43456</v>
      </c>
      <c r="P1059" s="1438">
        <v>43458</v>
      </c>
      <c r="Q1059" s="1355">
        <v>43476</v>
      </c>
      <c r="R1059" s="1354">
        <f t="shared" si="142"/>
        <v>108</v>
      </c>
      <c r="S1059" s="1437" t="s">
        <v>6574</v>
      </c>
      <c r="T1059" s="1370" t="s">
        <v>6563</v>
      </c>
      <c r="U1059" s="1358" t="str">
        <f t="shared" si="141"/>
        <v>en término</v>
      </c>
      <c r="V1059" s="1130" t="str">
        <f t="shared" si="139"/>
        <v>Diciembre</v>
      </c>
      <c r="W1059" s="1128">
        <f t="shared" si="140"/>
        <v>1</v>
      </c>
    </row>
    <row r="1060" spans="1:23" ht="54.95" customHeight="1" thickBot="1" x14ac:dyDescent="0.25">
      <c r="A1060" s="1117">
        <v>2018</v>
      </c>
      <c r="B1060" s="1117">
        <v>2018</v>
      </c>
      <c r="C1060" s="1436" t="s">
        <v>36</v>
      </c>
      <c r="D1060" s="1363" t="s">
        <v>37</v>
      </c>
      <c r="E1060" s="1350" t="s">
        <v>6441</v>
      </c>
      <c r="F1060" s="1437">
        <v>4600557062</v>
      </c>
      <c r="G1060" s="1463" t="s">
        <v>6541</v>
      </c>
      <c r="H1060" s="1352">
        <v>89.21</v>
      </c>
      <c r="I1060" s="1353">
        <v>43395</v>
      </c>
      <c r="J1060" s="1354">
        <f t="shared" si="137"/>
        <v>97</v>
      </c>
      <c r="K1060" s="1353">
        <v>43492</v>
      </c>
      <c r="L1060" s="1353" t="s">
        <v>41</v>
      </c>
      <c r="M1060" s="1353">
        <v>43447</v>
      </c>
      <c r="N1060" s="1354">
        <f t="shared" si="138"/>
        <v>-36</v>
      </c>
      <c r="O1060" s="1427">
        <v>43456</v>
      </c>
      <c r="P1060" s="1438">
        <v>43458</v>
      </c>
      <c r="Q1060" s="1355">
        <v>43476</v>
      </c>
      <c r="R1060" s="1354">
        <f t="shared" si="142"/>
        <v>81</v>
      </c>
      <c r="S1060" s="1437" t="s">
        <v>6567</v>
      </c>
      <c r="T1060" s="1370" t="s">
        <v>48</v>
      </c>
      <c r="U1060" s="1358" t="str">
        <f t="shared" si="141"/>
        <v>en término</v>
      </c>
      <c r="V1060" s="1130" t="str">
        <f t="shared" si="139"/>
        <v>Diciembre</v>
      </c>
      <c r="W1060" s="1128">
        <f t="shared" si="140"/>
        <v>1</v>
      </c>
    </row>
    <row r="1061" spans="1:23" ht="54.95" customHeight="1" thickBot="1" x14ac:dyDescent="0.25">
      <c r="A1061" s="1117">
        <v>2018</v>
      </c>
      <c r="B1061" s="1117">
        <v>2018</v>
      </c>
      <c r="C1061" s="1436" t="s">
        <v>36</v>
      </c>
      <c r="D1061" s="1363" t="s">
        <v>37</v>
      </c>
      <c r="E1061" s="1350" t="s">
        <v>6441</v>
      </c>
      <c r="F1061" s="1437">
        <v>4600557062</v>
      </c>
      <c r="G1061" s="1463" t="s">
        <v>6548</v>
      </c>
      <c r="H1061" s="1352">
        <v>51560.76</v>
      </c>
      <c r="I1061" s="1353">
        <v>43404</v>
      </c>
      <c r="J1061" s="1354">
        <f t="shared" si="137"/>
        <v>96</v>
      </c>
      <c r="K1061" s="1353">
        <v>43500</v>
      </c>
      <c r="L1061" s="1353" t="s">
        <v>41</v>
      </c>
      <c r="M1061" s="1353">
        <v>43447</v>
      </c>
      <c r="N1061" s="1354">
        <f t="shared" si="138"/>
        <v>-44</v>
      </c>
      <c r="O1061" s="1427">
        <v>43456</v>
      </c>
      <c r="P1061" s="1438">
        <v>43458</v>
      </c>
      <c r="Q1061" s="1355">
        <v>43476</v>
      </c>
      <c r="R1061" s="1354">
        <f t="shared" si="142"/>
        <v>72</v>
      </c>
      <c r="S1061" s="1437" t="s">
        <v>6576</v>
      </c>
      <c r="T1061" s="1370" t="s">
        <v>6563</v>
      </c>
      <c r="U1061" s="1358" t="str">
        <f t="shared" si="141"/>
        <v>en término</v>
      </c>
      <c r="V1061" s="1130" t="str">
        <f t="shared" si="139"/>
        <v>Diciembre</v>
      </c>
      <c r="W1061" s="1128">
        <f t="shared" si="140"/>
        <v>1</v>
      </c>
    </row>
    <row r="1062" spans="1:23" ht="54.95" customHeight="1" thickBot="1" x14ac:dyDescent="0.25">
      <c r="A1062" s="1117">
        <v>2018</v>
      </c>
      <c r="B1062" s="1117">
        <v>2018</v>
      </c>
      <c r="C1062" s="1436" t="s">
        <v>78</v>
      </c>
      <c r="D1062" s="1363" t="s">
        <v>79</v>
      </c>
      <c r="E1062" s="1350" t="s">
        <v>80</v>
      </c>
      <c r="F1062" s="1437" t="s">
        <v>81</v>
      </c>
      <c r="G1062" s="1463" t="s">
        <v>82</v>
      </c>
      <c r="H1062" s="1352">
        <v>47618</v>
      </c>
      <c r="I1062" s="1353">
        <v>43034</v>
      </c>
      <c r="J1062" s="1354">
        <v>90</v>
      </c>
      <c r="K1062" s="1353">
        <f>+I1062+J1062</f>
        <v>43124</v>
      </c>
      <c r="L1062" s="1353" t="s">
        <v>83</v>
      </c>
      <c r="M1062" s="1353">
        <v>43105</v>
      </c>
      <c r="N1062" s="1354">
        <f t="shared" ref="N1062:N1086" si="143">IF(P1062="","",+P1062-K1062)</f>
        <v>-4</v>
      </c>
      <c r="O1062" s="1427">
        <v>43112</v>
      </c>
      <c r="P1062" s="1438">
        <v>43120</v>
      </c>
      <c r="Q1062" s="1355">
        <f>+P1062+30</f>
        <v>43150</v>
      </c>
      <c r="R1062" s="1354">
        <f t="shared" si="142"/>
        <v>116</v>
      </c>
      <c r="S1062" s="1437" t="s">
        <v>53</v>
      </c>
      <c r="T1062" s="1370" t="s">
        <v>85</v>
      </c>
      <c r="U1062" s="1358" t="str">
        <f t="shared" si="141"/>
        <v>en término</v>
      </c>
      <c r="V1062" s="1130" t="str">
        <f t="shared" si="139"/>
        <v>Enero</v>
      </c>
      <c r="W1062" s="1128">
        <f t="shared" si="140"/>
        <v>1</v>
      </c>
    </row>
    <row r="1063" spans="1:23" ht="54.95" customHeight="1" thickBot="1" x14ac:dyDescent="0.25">
      <c r="A1063" s="1117">
        <v>2018</v>
      </c>
      <c r="B1063" s="1117">
        <v>2018</v>
      </c>
      <c r="C1063" s="1436" t="s">
        <v>78</v>
      </c>
      <c r="D1063" s="1363" t="s">
        <v>79</v>
      </c>
      <c r="E1063" s="1350" t="s">
        <v>88</v>
      </c>
      <c r="F1063" s="1437"/>
      <c r="G1063" s="1463" t="s">
        <v>89</v>
      </c>
      <c r="H1063" s="1352">
        <v>40774</v>
      </c>
      <c r="I1063" s="1353">
        <v>43034</v>
      </c>
      <c r="J1063" s="1354">
        <v>90</v>
      </c>
      <c r="K1063" s="1353">
        <f>+I1063+J1063</f>
        <v>43124</v>
      </c>
      <c r="L1063" s="1353" t="s">
        <v>83</v>
      </c>
      <c r="M1063" s="1353">
        <v>43105</v>
      </c>
      <c r="N1063" s="1354">
        <f t="shared" si="143"/>
        <v>-4</v>
      </c>
      <c r="O1063" s="1427">
        <v>43112</v>
      </c>
      <c r="P1063" s="1438">
        <v>43120</v>
      </c>
      <c r="Q1063" s="1355">
        <f>+P1063+30</f>
        <v>43150</v>
      </c>
      <c r="R1063" s="1354">
        <f t="shared" si="142"/>
        <v>116</v>
      </c>
      <c r="S1063" s="1437" t="s">
        <v>53</v>
      </c>
      <c r="T1063" s="1370" t="s">
        <v>85</v>
      </c>
      <c r="U1063" s="1358" t="str">
        <f t="shared" si="141"/>
        <v>en término</v>
      </c>
      <c r="V1063" s="1130" t="str">
        <f t="shared" si="139"/>
        <v>Enero</v>
      </c>
      <c r="W1063" s="1128">
        <f t="shared" si="140"/>
        <v>1</v>
      </c>
    </row>
    <row r="1064" spans="1:23" ht="54.95" customHeight="1" thickBot="1" x14ac:dyDescent="0.25">
      <c r="A1064" s="1117">
        <v>2018</v>
      </c>
      <c r="B1064" s="1117">
        <v>2018</v>
      </c>
      <c r="C1064" s="1436" t="s">
        <v>78</v>
      </c>
      <c r="D1064" s="1363" t="s">
        <v>79</v>
      </c>
      <c r="E1064" s="1350" t="s">
        <v>91</v>
      </c>
      <c r="F1064" s="1437"/>
      <c r="G1064" s="1463" t="s">
        <v>92</v>
      </c>
      <c r="H1064" s="1352">
        <v>73359</v>
      </c>
      <c r="I1064" s="1353">
        <v>43054</v>
      </c>
      <c r="J1064" s="1354">
        <v>90</v>
      </c>
      <c r="K1064" s="1353">
        <f>+I1064+J1064</f>
        <v>43144</v>
      </c>
      <c r="L1064" s="1353" t="s">
        <v>83</v>
      </c>
      <c r="M1064" s="1353">
        <v>43116</v>
      </c>
      <c r="N1064" s="1354">
        <f t="shared" si="143"/>
        <v>-10</v>
      </c>
      <c r="O1064" s="1427">
        <v>43126</v>
      </c>
      <c r="P1064" s="1438">
        <v>43134</v>
      </c>
      <c r="Q1064" s="1355">
        <f>+P1064+30</f>
        <v>43164</v>
      </c>
      <c r="R1064" s="1354">
        <f t="shared" si="142"/>
        <v>110</v>
      </c>
      <c r="S1064" s="1437" t="s">
        <v>93</v>
      </c>
      <c r="T1064" s="1370" t="s">
        <v>95</v>
      </c>
      <c r="U1064" s="1358" t="str">
        <f t="shared" si="141"/>
        <v>en término</v>
      </c>
      <c r="V1064" s="1130" t="str">
        <f t="shared" si="139"/>
        <v>Enero</v>
      </c>
      <c r="W1064" s="1128">
        <f t="shared" si="140"/>
        <v>1</v>
      </c>
    </row>
    <row r="1065" spans="1:23" ht="54.95" customHeight="1" thickBot="1" x14ac:dyDescent="0.25">
      <c r="A1065" s="1117">
        <v>2018</v>
      </c>
      <c r="B1065" s="1117">
        <v>2018</v>
      </c>
      <c r="C1065" s="1436" t="s">
        <v>78</v>
      </c>
      <c r="D1065" s="1363" t="s">
        <v>79</v>
      </c>
      <c r="E1065" s="1350" t="s">
        <v>97</v>
      </c>
      <c r="F1065" s="1437"/>
      <c r="G1065" s="1463" t="s">
        <v>98</v>
      </c>
      <c r="H1065" s="1352">
        <v>85739</v>
      </c>
      <c r="I1065" s="1353">
        <v>43087</v>
      </c>
      <c r="J1065" s="1354">
        <v>75</v>
      </c>
      <c r="K1065" s="1353">
        <f>+I1065+J1065</f>
        <v>43162</v>
      </c>
      <c r="L1065" s="1353" t="s">
        <v>83</v>
      </c>
      <c r="M1065" s="1353">
        <v>43154</v>
      </c>
      <c r="N1065" s="1354">
        <f t="shared" si="143"/>
        <v>7</v>
      </c>
      <c r="O1065" s="1427">
        <v>43160</v>
      </c>
      <c r="P1065" s="1438">
        <v>43169</v>
      </c>
      <c r="Q1065" s="1355">
        <f>+P1065+30</f>
        <v>43199</v>
      </c>
      <c r="R1065" s="1354">
        <f t="shared" si="142"/>
        <v>112</v>
      </c>
      <c r="S1065" s="1437" t="s">
        <v>99</v>
      </c>
      <c r="T1065" s="1370" t="s">
        <v>101</v>
      </c>
      <c r="U1065" s="1358" t="str">
        <f t="shared" si="141"/>
        <v>atrasado</v>
      </c>
      <c r="V1065" s="1130" t="str">
        <f t="shared" si="139"/>
        <v>Febrero</v>
      </c>
      <c r="W1065" s="1128">
        <f t="shared" si="140"/>
        <v>0</v>
      </c>
    </row>
    <row r="1066" spans="1:23" ht="54.95" customHeight="1" thickBot="1" x14ac:dyDescent="0.25">
      <c r="A1066" s="1117">
        <v>2018</v>
      </c>
      <c r="B1066" s="1117">
        <v>2018</v>
      </c>
      <c r="C1066" s="1436" t="s">
        <v>78</v>
      </c>
      <c r="D1066" s="1363" t="s">
        <v>108</v>
      </c>
      <c r="E1066" s="1350" t="s">
        <v>109</v>
      </c>
      <c r="F1066" s="1437"/>
      <c r="G1066" s="1463">
        <v>63000015775</v>
      </c>
      <c r="H1066" s="1352">
        <v>17750</v>
      </c>
      <c r="I1066" s="1353">
        <v>43159</v>
      </c>
      <c r="J1066" s="1354">
        <f>+K1066-I1066</f>
        <v>68</v>
      </c>
      <c r="K1066" s="1353">
        <v>43227</v>
      </c>
      <c r="L1066" s="1353" t="s">
        <v>83</v>
      </c>
      <c r="M1066" s="1353">
        <v>43210</v>
      </c>
      <c r="N1066" s="1354">
        <f t="shared" si="143"/>
        <v>-10</v>
      </c>
      <c r="O1066" s="1427">
        <v>43210</v>
      </c>
      <c r="P1066" s="1438">
        <v>43217</v>
      </c>
      <c r="Q1066" s="1355">
        <v>43219</v>
      </c>
      <c r="R1066" s="1354">
        <f t="shared" si="142"/>
        <v>60</v>
      </c>
      <c r="S1066" s="1437" t="s">
        <v>111</v>
      </c>
      <c r="T1066" s="1370"/>
      <c r="U1066" s="1358" t="str">
        <f t="shared" si="141"/>
        <v>en término</v>
      </c>
      <c r="V1066" s="1130" t="str">
        <f t="shared" si="139"/>
        <v>Abril</v>
      </c>
      <c r="W1066" s="1128">
        <f t="shared" si="140"/>
        <v>1</v>
      </c>
    </row>
    <row r="1067" spans="1:23" ht="54.95" customHeight="1" thickBot="1" x14ac:dyDescent="0.25">
      <c r="A1067" s="1117">
        <v>2018</v>
      </c>
      <c r="B1067" s="1117">
        <v>2018</v>
      </c>
      <c r="C1067" s="1436" t="s">
        <v>78</v>
      </c>
      <c r="D1067" s="1363" t="s">
        <v>79</v>
      </c>
      <c r="E1067" s="1350" t="s">
        <v>104</v>
      </c>
      <c r="F1067" s="1437" t="s">
        <v>105</v>
      </c>
      <c r="G1067" s="1463" t="s">
        <v>6525</v>
      </c>
      <c r="H1067" s="1352">
        <v>394899.5</v>
      </c>
      <c r="I1067" s="1353">
        <v>43147</v>
      </c>
      <c r="J1067" s="1354">
        <v>75</v>
      </c>
      <c r="K1067" s="1353">
        <f>+I1067+J1067</f>
        <v>43222</v>
      </c>
      <c r="L1067" s="1353" t="s">
        <v>83</v>
      </c>
      <c r="M1067" s="1353">
        <v>43210</v>
      </c>
      <c r="N1067" s="1354">
        <f t="shared" si="143"/>
        <v>18</v>
      </c>
      <c r="O1067" s="1427"/>
      <c r="P1067" s="1438">
        <v>43240</v>
      </c>
      <c r="Q1067" s="1355">
        <f>+P1067+30</f>
        <v>43270</v>
      </c>
      <c r="R1067" s="1354">
        <f t="shared" si="142"/>
        <v>123</v>
      </c>
      <c r="S1067" s="1437" t="s">
        <v>106</v>
      </c>
      <c r="T1067" s="1370"/>
      <c r="U1067" s="1358" t="str">
        <f t="shared" si="141"/>
        <v>atrasado</v>
      </c>
      <c r="V1067" s="1130" t="str">
        <f t="shared" si="139"/>
        <v>Abril</v>
      </c>
      <c r="W1067" s="1128">
        <f t="shared" si="140"/>
        <v>0</v>
      </c>
    </row>
    <row r="1068" spans="1:23" ht="54.95" customHeight="1" thickBot="1" x14ac:dyDescent="0.25">
      <c r="A1068" s="1117">
        <v>2018</v>
      </c>
      <c r="B1068" s="1117">
        <v>2018</v>
      </c>
      <c r="C1068" s="1436" t="s">
        <v>78</v>
      </c>
      <c r="D1068" s="1363" t="s">
        <v>79</v>
      </c>
      <c r="E1068" s="1350" t="s">
        <v>6527</v>
      </c>
      <c r="F1068" s="1437"/>
      <c r="G1068" s="1463" t="s">
        <v>6528</v>
      </c>
      <c r="H1068" s="1352">
        <v>54870</v>
      </c>
      <c r="I1068" s="1353">
        <v>43129</v>
      </c>
      <c r="J1068" s="1354">
        <v>90</v>
      </c>
      <c r="K1068" s="1353">
        <f>+I1068+J1068</f>
        <v>43219</v>
      </c>
      <c r="L1068" s="1353" t="s">
        <v>83</v>
      </c>
      <c r="M1068" s="1353">
        <v>43210</v>
      </c>
      <c r="N1068" s="1354">
        <f t="shared" si="143"/>
        <v>21</v>
      </c>
      <c r="O1068" s="1427"/>
      <c r="P1068" s="1438">
        <v>43240</v>
      </c>
      <c r="Q1068" s="1355">
        <f>+P1068+30</f>
        <v>43270</v>
      </c>
      <c r="R1068" s="1354">
        <f t="shared" si="142"/>
        <v>141</v>
      </c>
      <c r="S1068" s="1437" t="s">
        <v>6449</v>
      </c>
      <c r="T1068" s="1370"/>
      <c r="U1068" s="1358" t="str">
        <f t="shared" si="141"/>
        <v>atrasado</v>
      </c>
      <c r="V1068" s="1130" t="str">
        <f t="shared" si="139"/>
        <v>Abril</v>
      </c>
      <c r="W1068" s="1128">
        <f t="shared" si="140"/>
        <v>0</v>
      </c>
    </row>
    <row r="1069" spans="1:23" ht="54.95" customHeight="1" thickBot="1" x14ac:dyDescent="0.25">
      <c r="A1069" s="1117">
        <v>2018</v>
      </c>
      <c r="B1069" s="1117">
        <v>2018</v>
      </c>
      <c r="C1069" s="1436" t="s">
        <v>78</v>
      </c>
      <c r="D1069" s="1363" t="s">
        <v>79</v>
      </c>
      <c r="E1069" s="1350" t="s">
        <v>6529</v>
      </c>
      <c r="F1069" s="1437"/>
      <c r="G1069" s="1463" t="s">
        <v>6530</v>
      </c>
      <c r="H1069" s="1352">
        <v>80845</v>
      </c>
      <c r="I1069" s="1353">
        <v>43123</v>
      </c>
      <c r="J1069" s="1354">
        <v>90</v>
      </c>
      <c r="K1069" s="1353">
        <f>+I1069+J1069</f>
        <v>43213</v>
      </c>
      <c r="L1069" s="1353" t="s">
        <v>83</v>
      </c>
      <c r="M1069" s="1353">
        <v>43210</v>
      </c>
      <c r="N1069" s="1354">
        <f t="shared" si="143"/>
        <v>27</v>
      </c>
      <c r="O1069" s="1427"/>
      <c r="P1069" s="1438">
        <v>43240</v>
      </c>
      <c r="Q1069" s="1355">
        <f>+P1069+30</f>
        <v>43270</v>
      </c>
      <c r="R1069" s="1354">
        <f t="shared" si="142"/>
        <v>147</v>
      </c>
      <c r="S1069" s="1437" t="s">
        <v>6449</v>
      </c>
      <c r="T1069" s="1370"/>
      <c r="U1069" s="1358" t="str">
        <f t="shared" si="141"/>
        <v>atrasado</v>
      </c>
      <c r="V1069" s="1130" t="str">
        <f t="shared" si="139"/>
        <v>Abril</v>
      </c>
      <c r="W1069" s="1128">
        <f t="shared" si="140"/>
        <v>0</v>
      </c>
    </row>
    <row r="1070" spans="1:23" ht="54.95" customHeight="1" thickBot="1" x14ac:dyDescent="0.25">
      <c r="A1070" s="1117">
        <v>2018</v>
      </c>
      <c r="B1070" s="1117">
        <v>2018</v>
      </c>
      <c r="C1070" s="1436" t="s">
        <v>78</v>
      </c>
      <c r="D1070" s="1363" t="s">
        <v>108</v>
      </c>
      <c r="E1070" s="1350" t="s">
        <v>112</v>
      </c>
      <c r="F1070" s="1437"/>
      <c r="G1070" s="1463">
        <v>63000015850</v>
      </c>
      <c r="H1070" s="1352">
        <v>59500</v>
      </c>
      <c r="I1070" s="1353">
        <v>43171</v>
      </c>
      <c r="J1070" s="1354">
        <f>+K1070-I1070</f>
        <v>133</v>
      </c>
      <c r="K1070" s="1353">
        <v>43304</v>
      </c>
      <c r="L1070" s="1353" t="s">
        <v>83</v>
      </c>
      <c r="M1070" s="1353">
        <v>43294</v>
      </c>
      <c r="N1070" s="1354">
        <f t="shared" si="143"/>
        <v>0</v>
      </c>
      <c r="O1070" s="1427"/>
      <c r="P1070" s="1438">
        <v>43304</v>
      </c>
      <c r="Q1070" s="1355">
        <f>+P1070+5</f>
        <v>43309</v>
      </c>
      <c r="R1070" s="1354">
        <f t="shared" si="142"/>
        <v>138</v>
      </c>
      <c r="S1070" s="1437" t="s">
        <v>113</v>
      </c>
      <c r="T1070" s="1370"/>
      <c r="U1070" s="1358" t="str">
        <f t="shared" si="141"/>
        <v>en término</v>
      </c>
      <c r="V1070" s="1130" t="str">
        <f t="shared" si="139"/>
        <v>Julio</v>
      </c>
      <c r="W1070" s="1128">
        <f t="shared" si="140"/>
        <v>1</v>
      </c>
    </row>
    <row r="1071" spans="1:23" ht="54.95" customHeight="1" thickBot="1" x14ac:dyDescent="0.25">
      <c r="A1071" s="1117">
        <v>2018</v>
      </c>
      <c r="B1071" s="1117">
        <v>2018</v>
      </c>
      <c r="C1071" s="1436" t="s">
        <v>78</v>
      </c>
      <c r="D1071" s="1363" t="s">
        <v>79</v>
      </c>
      <c r="E1071" s="1350" t="s">
        <v>104</v>
      </c>
      <c r="F1071" s="1437" t="s">
        <v>105</v>
      </c>
      <c r="G1071" s="1463" t="s">
        <v>107</v>
      </c>
      <c r="H1071" s="1352">
        <v>146630.6</v>
      </c>
      <c r="I1071" s="1353">
        <v>43146</v>
      </c>
      <c r="J1071" s="1354">
        <v>150</v>
      </c>
      <c r="K1071" s="1353">
        <f>+I1071+J1071</f>
        <v>43296</v>
      </c>
      <c r="L1071" s="1353" t="s">
        <v>83</v>
      </c>
      <c r="M1071" s="1353">
        <v>43308</v>
      </c>
      <c r="N1071" s="1354">
        <f t="shared" si="143"/>
        <v>27</v>
      </c>
      <c r="O1071" s="1427"/>
      <c r="P1071" s="1438">
        <v>43323</v>
      </c>
      <c r="Q1071" s="1355">
        <f t="shared" ref="Q1071:Q1076" si="144">+P1071+30</f>
        <v>43353</v>
      </c>
      <c r="R1071" s="1354">
        <f t="shared" si="142"/>
        <v>207</v>
      </c>
      <c r="S1071" s="1437" t="s">
        <v>106</v>
      </c>
      <c r="T1071" s="1370"/>
      <c r="U1071" s="1358" t="str">
        <f t="shared" si="141"/>
        <v>atrasado</v>
      </c>
      <c r="V1071" s="1130" t="str">
        <f t="shared" si="139"/>
        <v>Julio</v>
      </c>
      <c r="W1071" s="1128">
        <f t="shared" si="140"/>
        <v>0</v>
      </c>
    </row>
    <row r="1072" spans="1:23" ht="54.95" customHeight="1" thickBot="1" x14ac:dyDescent="0.25">
      <c r="A1072" s="1117">
        <v>2018</v>
      </c>
      <c r="B1072" s="1117">
        <v>2018</v>
      </c>
      <c r="C1072" s="1436" t="s">
        <v>78</v>
      </c>
      <c r="D1072" s="1363" t="s">
        <v>79</v>
      </c>
      <c r="E1072" s="1350" t="s">
        <v>6442</v>
      </c>
      <c r="F1072" s="1437"/>
      <c r="G1072" s="1463" t="s">
        <v>6443</v>
      </c>
      <c r="H1072" s="1352">
        <v>10742</v>
      </c>
      <c r="I1072" s="1353">
        <v>43256</v>
      </c>
      <c r="J1072" s="1354">
        <f>+K1072-I1072</f>
        <v>48</v>
      </c>
      <c r="K1072" s="1353">
        <v>43304</v>
      </c>
      <c r="L1072" s="1353" t="s">
        <v>83</v>
      </c>
      <c r="M1072" s="1353">
        <v>43308</v>
      </c>
      <c r="N1072" s="1354">
        <f t="shared" si="143"/>
        <v>19</v>
      </c>
      <c r="O1072" s="1427"/>
      <c r="P1072" s="1438">
        <v>43323</v>
      </c>
      <c r="Q1072" s="1355">
        <f t="shared" si="144"/>
        <v>43353</v>
      </c>
      <c r="R1072" s="1354">
        <f t="shared" si="142"/>
        <v>97</v>
      </c>
      <c r="S1072" s="1437" t="s">
        <v>6449</v>
      </c>
      <c r="T1072" s="1370"/>
      <c r="U1072" s="1358" t="str">
        <f t="shared" si="141"/>
        <v>atrasado</v>
      </c>
      <c r="V1072" s="1130" t="str">
        <f t="shared" si="139"/>
        <v>Julio</v>
      </c>
      <c r="W1072" s="1128">
        <f t="shared" si="140"/>
        <v>0</v>
      </c>
    </row>
    <row r="1073" spans="1:23" ht="54.95" customHeight="1" thickBot="1" x14ac:dyDescent="0.25">
      <c r="A1073" s="1117">
        <v>2018</v>
      </c>
      <c r="B1073" s="1117">
        <v>2018</v>
      </c>
      <c r="C1073" s="1436" t="s">
        <v>78</v>
      </c>
      <c r="D1073" s="1363" t="s">
        <v>79</v>
      </c>
      <c r="E1073" s="1350" t="s">
        <v>6517</v>
      </c>
      <c r="F1073" s="1437"/>
      <c r="G1073" s="1463" t="s">
        <v>6425</v>
      </c>
      <c r="H1073" s="1352">
        <v>14870</v>
      </c>
      <c r="I1073" s="1353">
        <v>43243</v>
      </c>
      <c r="J1073" s="1354">
        <f>+K1073-I1073</f>
        <v>61</v>
      </c>
      <c r="K1073" s="1353">
        <v>43304</v>
      </c>
      <c r="L1073" s="1353" t="s">
        <v>83</v>
      </c>
      <c r="M1073" s="1353">
        <v>43308</v>
      </c>
      <c r="N1073" s="1354">
        <f t="shared" si="143"/>
        <v>19</v>
      </c>
      <c r="O1073" s="1427"/>
      <c r="P1073" s="1438">
        <v>43323</v>
      </c>
      <c r="Q1073" s="1355">
        <f t="shared" si="144"/>
        <v>43353</v>
      </c>
      <c r="R1073" s="1354">
        <f t="shared" si="142"/>
        <v>110</v>
      </c>
      <c r="S1073" s="1437" t="s">
        <v>6426</v>
      </c>
      <c r="T1073" s="1370"/>
      <c r="U1073" s="1358" t="str">
        <f t="shared" si="141"/>
        <v>atrasado</v>
      </c>
      <c r="V1073" s="1130" t="str">
        <f t="shared" si="139"/>
        <v>Julio</v>
      </c>
      <c r="W1073" s="1128">
        <f t="shared" si="140"/>
        <v>0</v>
      </c>
    </row>
    <row r="1074" spans="1:23" ht="54.95" customHeight="1" thickBot="1" x14ac:dyDescent="0.25">
      <c r="A1074" s="1117">
        <v>2018</v>
      </c>
      <c r="B1074" s="1117">
        <v>2018</v>
      </c>
      <c r="C1074" s="1436" t="s">
        <v>78</v>
      </c>
      <c r="D1074" s="1363" t="s">
        <v>79</v>
      </c>
      <c r="E1074" s="1350" t="s">
        <v>6445</v>
      </c>
      <c r="F1074" s="1437" t="s">
        <v>6510</v>
      </c>
      <c r="G1074" s="1463" t="s">
        <v>6446</v>
      </c>
      <c r="H1074" s="1352">
        <v>195169.22</v>
      </c>
      <c r="I1074" s="1353">
        <v>43269</v>
      </c>
      <c r="J1074" s="1354">
        <f>+K1074-I1074</f>
        <v>100</v>
      </c>
      <c r="K1074" s="1353">
        <v>43369</v>
      </c>
      <c r="L1074" s="1353" t="s">
        <v>83</v>
      </c>
      <c r="M1074" s="1353">
        <v>43377</v>
      </c>
      <c r="N1074" s="1354">
        <f t="shared" si="143"/>
        <v>31</v>
      </c>
      <c r="O1074" s="1427">
        <v>43382</v>
      </c>
      <c r="P1074" s="1438">
        <v>43400</v>
      </c>
      <c r="Q1074" s="1355">
        <f t="shared" si="144"/>
        <v>43430</v>
      </c>
      <c r="R1074" s="1354">
        <f t="shared" si="142"/>
        <v>161</v>
      </c>
      <c r="S1074" s="1437" t="s">
        <v>6449</v>
      </c>
      <c r="T1074" s="1370" t="s">
        <v>6534</v>
      </c>
      <c r="U1074" s="1358" t="str">
        <f t="shared" si="141"/>
        <v>atrasado</v>
      </c>
      <c r="V1074" s="1130" t="str">
        <f t="shared" si="139"/>
        <v>Octubre</v>
      </c>
      <c r="W1074" s="1128">
        <f t="shared" si="140"/>
        <v>0</v>
      </c>
    </row>
    <row r="1075" spans="1:23" ht="54.95" customHeight="1" thickBot="1" x14ac:dyDescent="0.25">
      <c r="A1075" s="1117">
        <v>2018</v>
      </c>
      <c r="B1075" s="1117">
        <v>2018</v>
      </c>
      <c r="C1075" s="1436" t="s">
        <v>78</v>
      </c>
      <c r="D1075" s="1363" t="s">
        <v>79</v>
      </c>
      <c r="E1075" s="1350" t="s">
        <v>6513</v>
      </c>
      <c r="F1075" s="1437" t="s">
        <v>6510</v>
      </c>
      <c r="G1075" s="1463" t="s">
        <v>6448</v>
      </c>
      <c r="H1075" s="1352">
        <v>294486.87</v>
      </c>
      <c r="I1075" s="1353">
        <v>43273</v>
      </c>
      <c r="J1075" s="1354">
        <f>+K1075-I1075</f>
        <v>100</v>
      </c>
      <c r="K1075" s="1353">
        <v>43373</v>
      </c>
      <c r="L1075" s="1353" t="s">
        <v>83</v>
      </c>
      <c r="M1075" s="1353">
        <v>43399</v>
      </c>
      <c r="N1075" s="1354">
        <f t="shared" si="143"/>
        <v>41</v>
      </c>
      <c r="O1075" s="1427">
        <v>43406</v>
      </c>
      <c r="P1075" s="1438">
        <v>43414</v>
      </c>
      <c r="Q1075" s="1355">
        <f t="shared" si="144"/>
        <v>43444</v>
      </c>
      <c r="R1075" s="1354">
        <f t="shared" ref="R1075:R1101" si="145">IF(Q1075="","",+Q1075-I1075)</f>
        <v>171</v>
      </c>
      <c r="S1075" s="1437" t="s">
        <v>6449</v>
      </c>
      <c r="T1075" s="1370" t="s">
        <v>3981</v>
      </c>
      <c r="U1075" s="1358" t="str">
        <f t="shared" si="141"/>
        <v>atrasado</v>
      </c>
      <c r="V1075" s="1130" t="str">
        <f t="shared" si="139"/>
        <v>Octubre</v>
      </c>
      <c r="W1075" s="1128">
        <f t="shared" si="140"/>
        <v>0</v>
      </c>
    </row>
    <row r="1076" spans="1:23" ht="54.95" customHeight="1" thickBot="1" x14ac:dyDescent="0.25">
      <c r="A1076" s="1117">
        <v>2018</v>
      </c>
      <c r="B1076" s="1117">
        <v>2018</v>
      </c>
      <c r="C1076" s="1436" t="s">
        <v>78</v>
      </c>
      <c r="D1076" s="1363" t="s">
        <v>79</v>
      </c>
      <c r="E1076" s="1350" t="s">
        <v>6512</v>
      </c>
      <c r="F1076" s="1437" t="s">
        <v>6510</v>
      </c>
      <c r="G1076" s="1463" t="s">
        <v>6450</v>
      </c>
      <c r="H1076" s="1352">
        <v>20494</v>
      </c>
      <c r="I1076" s="1353">
        <v>43333</v>
      </c>
      <c r="J1076" s="1354">
        <f>+K1076-I1076</f>
        <v>40</v>
      </c>
      <c r="K1076" s="1353">
        <v>43373</v>
      </c>
      <c r="L1076" s="1353" t="s">
        <v>83</v>
      </c>
      <c r="M1076" s="1353">
        <v>43399</v>
      </c>
      <c r="N1076" s="1354">
        <f t="shared" si="143"/>
        <v>41</v>
      </c>
      <c r="O1076" s="1427">
        <v>43406</v>
      </c>
      <c r="P1076" s="1438">
        <v>43414</v>
      </c>
      <c r="Q1076" s="1355">
        <f t="shared" si="144"/>
        <v>43444</v>
      </c>
      <c r="R1076" s="1354">
        <f t="shared" si="145"/>
        <v>111</v>
      </c>
      <c r="S1076" s="1437" t="s">
        <v>6449</v>
      </c>
      <c r="T1076" s="1370" t="s">
        <v>3981</v>
      </c>
      <c r="U1076" s="1358" t="str">
        <f t="shared" si="141"/>
        <v>atrasado</v>
      </c>
      <c r="V1076" s="1130" t="str">
        <f t="shared" si="139"/>
        <v>Octubre</v>
      </c>
      <c r="W1076" s="1128">
        <f t="shared" si="140"/>
        <v>0</v>
      </c>
    </row>
    <row r="1077" spans="1:23" ht="54.95" customHeight="1" thickBot="1" x14ac:dyDescent="0.25">
      <c r="A1077" s="1117">
        <v>2018</v>
      </c>
      <c r="B1077" s="1117">
        <v>2018</v>
      </c>
      <c r="C1077" s="1436" t="s">
        <v>78</v>
      </c>
      <c r="D1077" s="1363" t="s">
        <v>79</v>
      </c>
      <c r="E1077" s="1350" t="s">
        <v>6588</v>
      </c>
      <c r="F1077" s="1437" t="s">
        <v>6538</v>
      </c>
      <c r="G1077" s="1463" t="s">
        <v>6583</v>
      </c>
      <c r="H1077" s="1352">
        <v>3560</v>
      </c>
      <c r="I1077" s="1353">
        <v>43448</v>
      </c>
      <c r="J1077" s="1354">
        <v>15</v>
      </c>
      <c r="K1077" s="1353">
        <f>+I1077+J1077</f>
        <v>43463</v>
      </c>
      <c r="L1077" s="1353" t="s">
        <v>83</v>
      </c>
      <c r="M1077" s="1353">
        <v>43454</v>
      </c>
      <c r="N1077" s="1354">
        <f t="shared" si="143"/>
        <v>4</v>
      </c>
      <c r="O1077" s="1427"/>
      <c r="P1077" s="1438">
        <v>43467</v>
      </c>
      <c r="Q1077" s="1355">
        <f>+P1077+5</f>
        <v>43472</v>
      </c>
      <c r="R1077" s="1354">
        <f t="shared" si="145"/>
        <v>24</v>
      </c>
      <c r="S1077" s="1437" t="s">
        <v>6581</v>
      </c>
      <c r="T1077" s="1370"/>
      <c r="U1077" s="1358" t="str">
        <f t="shared" si="141"/>
        <v>atrasado</v>
      </c>
      <c r="V1077" s="1130" t="str">
        <f t="shared" si="139"/>
        <v>Diciembre</v>
      </c>
      <c r="W1077" s="1128">
        <f t="shared" si="140"/>
        <v>0</v>
      </c>
    </row>
    <row r="1078" spans="1:23" ht="54.95" customHeight="1" thickBot="1" x14ac:dyDescent="0.25">
      <c r="A1078" s="1117">
        <v>2018</v>
      </c>
      <c r="B1078" s="1117">
        <v>2018</v>
      </c>
      <c r="C1078" s="1436" t="s">
        <v>78</v>
      </c>
      <c r="D1078" s="1363" t="s">
        <v>79</v>
      </c>
      <c r="E1078" s="1350" t="s">
        <v>6511</v>
      </c>
      <c r="F1078" s="1437">
        <v>63000016929</v>
      </c>
      <c r="G1078" s="1463" t="s">
        <v>6467</v>
      </c>
      <c r="H1078" s="1352">
        <v>153448.5</v>
      </c>
      <c r="I1078" s="1353">
        <v>43364</v>
      </c>
      <c r="J1078" s="1354">
        <f>+K1078-I1078</f>
        <v>91</v>
      </c>
      <c r="K1078" s="1353">
        <v>43455</v>
      </c>
      <c r="L1078" s="1353" t="s">
        <v>83</v>
      </c>
      <c r="M1078" s="1353">
        <v>43454</v>
      </c>
      <c r="N1078" s="1354">
        <f t="shared" si="143"/>
        <v>24</v>
      </c>
      <c r="O1078" s="1427">
        <v>43468</v>
      </c>
      <c r="P1078" s="1438">
        <v>43479</v>
      </c>
      <c r="Q1078" s="1355">
        <v>43502</v>
      </c>
      <c r="R1078" s="1354">
        <f t="shared" si="145"/>
        <v>138</v>
      </c>
      <c r="S1078" s="1437" t="s">
        <v>6578</v>
      </c>
      <c r="T1078" s="1370" t="s">
        <v>6559</v>
      </c>
      <c r="U1078" s="1358" t="str">
        <f t="shared" si="141"/>
        <v>atrasado</v>
      </c>
      <c r="V1078" s="1130" t="str">
        <f t="shared" si="139"/>
        <v>Diciembre</v>
      </c>
      <c r="W1078" s="1128">
        <f t="shared" si="140"/>
        <v>0</v>
      </c>
    </row>
    <row r="1079" spans="1:23" ht="54.95" customHeight="1" thickBot="1" x14ac:dyDescent="0.25">
      <c r="A1079" s="1117">
        <v>2018</v>
      </c>
      <c r="B1079" s="1117">
        <v>2018</v>
      </c>
      <c r="C1079" s="1436" t="s">
        <v>78</v>
      </c>
      <c r="D1079" s="1363" t="s">
        <v>79</v>
      </c>
      <c r="E1079" s="1350" t="s">
        <v>3896</v>
      </c>
      <c r="F1079" s="1437" t="s">
        <v>6538</v>
      </c>
      <c r="G1079" s="1463" t="s">
        <v>6539</v>
      </c>
      <c r="H1079" s="1352">
        <v>15623.2</v>
      </c>
      <c r="I1079" s="1353">
        <v>43402</v>
      </c>
      <c r="J1079" s="1354">
        <v>60</v>
      </c>
      <c r="K1079" s="1353">
        <f>+I1079+J1079</f>
        <v>43462</v>
      </c>
      <c r="L1079" s="1353" t="s">
        <v>83</v>
      </c>
      <c r="M1079" s="1353">
        <v>43454</v>
      </c>
      <c r="N1079" s="1354">
        <f t="shared" si="143"/>
        <v>17</v>
      </c>
      <c r="O1079" s="1427">
        <v>43468</v>
      </c>
      <c r="P1079" s="1438">
        <v>43479</v>
      </c>
      <c r="Q1079" s="1355">
        <v>43502</v>
      </c>
      <c r="R1079" s="1354">
        <f t="shared" si="145"/>
        <v>100</v>
      </c>
      <c r="S1079" s="1437" t="s">
        <v>6579</v>
      </c>
      <c r="T1079" s="1370" t="s">
        <v>6559</v>
      </c>
      <c r="U1079" s="1358" t="str">
        <f t="shared" si="141"/>
        <v>atrasado</v>
      </c>
      <c r="V1079" s="1130" t="str">
        <f t="shared" si="139"/>
        <v>Diciembre</v>
      </c>
      <c r="W1079" s="1128">
        <f t="shared" si="140"/>
        <v>0</v>
      </c>
    </row>
    <row r="1080" spans="1:23" ht="54.95" customHeight="1" thickBot="1" x14ac:dyDescent="0.25">
      <c r="A1080" s="1117">
        <v>2018</v>
      </c>
      <c r="B1080" s="1117">
        <v>2018</v>
      </c>
      <c r="C1080" s="1436" t="s">
        <v>114</v>
      </c>
      <c r="D1080" s="1363" t="s">
        <v>115</v>
      </c>
      <c r="E1080" s="1350" t="s">
        <v>116</v>
      </c>
      <c r="F1080" s="1437"/>
      <c r="G1080" s="1463" t="s">
        <v>117</v>
      </c>
      <c r="H1080" s="1352">
        <v>10180</v>
      </c>
      <c r="I1080" s="1353">
        <v>43173</v>
      </c>
      <c r="J1080" s="1354">
        <f>+K1080-I1080</f>
        <v>108</v>
      </c>
      <c r="K1080" s="1353">
        <v>43281</v>
      </c>
      <c r="L1080" s="1353" t="s">
        <v>118</v>
      </c>
      <c r="M1080" s="1353">
        <v>43238</v>
      </c>
      <c r="N1080" s="1354">
        <f t="shared" si="143"/>
        <v>-10</v>
      </c>
      <c r="O1080" s="1427"/>
      <c r="P1080" s="1438">
        <v>43271</v>
      </c>
      <c r="Q1080" s="1355">
        <f>+P1080+30</f>
        <v>43301</v>
      </c>
      <c r="R1080" s="1354">
        <f t="shared" si="145"/>
        <v>128</v>
      </c>
      <c r="S1080" s="1437" t="s">
        <v>119</v>
      </c>
      <c r="T1080" s="1370"/>
      <c r="U1080" s="1358" t="str">
        <f t="shared" si="141"/>
        <v>en término</v>
      </c>
      <c r="V1080" s="1130" t="str">
        <f t="shared" si="139"/>
        <v>Mayo</v>
      </c>
      <c r="W1080" s="1128">
        <f t="shared" si="140"/>
        <v>1</v>
      </c>
    </row>
    <row r="1081" spans="1:23" ht="54.95" customHeight="1" thickBot="1" x14ac:dyDescent="0.25">
      <c r="A1081" s="1117">
        <v>2018</v>
      </c>
      <c r="B1081" s="1117">
        <v>2018</v>
      </c>
      <c r="C1081" s="1436" t="s">
        <v>114</v>
      </c>
      <c r="D1081" s="1363" t="s">
        <v>6430</v>
      </c>
      <c r="E1081" s="1350" t="s">
        <v>6520</v>
      </c>
      <c r="F1081" s="1437"/>
      <c r="G1081" s="1463">
        <v>58</v>
      </c>
      <c r="H1081" s="1352">
        <v>2040</v>
      </c>
      <c r="I1081" s="1353">
        <v>43201</v>
      </c>
      <c r="J1081" s="1354">
        <f>+K1081-I1081</f>
        <v>58</v>
      </c>
      <c r="K1081" s="1353">
        <v>43259</v>
      </c>
      <c r="L1081" s="1353" t="s">
        <v>118</v>
      </c>
      <c r="M1081" s="1353">
        <v>43251</v>
      </c>
      <c r="N1081" s="1354">
        <f t="shared" si="143"/>
        <v>38</v>
      </c>
      <c r="O1081" s="1427"/>
      <c r="P1081" s="1438">
        <v>43297</v>
      </c>
      <c r="Q1081" s="1355">
        <f>+P1081+30</f>
        <v>43327</v>
      </c>
      <c r="R1081" s="1354">
        <f t="shared" si="145"/>
        <v>126</v>
      </c>
      <c r="S1081" s="1437" t="s">
        <v>119</v>
      </c>
      <c r="T1081" s="1370"/>
      <c r="U1081" s="1358" t="str">
        <f t="shared" si="141"/>
        <v>atrasado</v>
      </c>
      <c r="V1081" s="1130" t="str">
        <f t="shared" si="139"/>
        <v>Mayo</v>
      </c>
      <c r="W1081" s="1128">
        <f t="shared" si="140"/>
        <v>0</v>
      </c>
    </row>
    <row r="1082" spans="1:23" ht="54.95" customHeight="1" thickBot="1" x14ac:dyDescent="0.25">
      <c r="A1082" s="1117">
        <v>2018</v>
      </c>
      <c r="B1082" s="1117">
        <v>2018</v>
      </c>
      <c r="C1082" s="1436" t="s">
        <v>120</v>
      </c>
      <c r="D1082" s="1363" t="s">
        <v>121</v>
      </c>
      <c r="E1082" s="1350" t="s">
        <v>122</v>
      </c>
      <c r="F1082" s="1437"/>
      <c r="G1082" s="1463">
        <v>66211</v>
      </c>
      <c r="H1082" s="1352">
        <v>6708.55</v>
      </c>
      <c r="I1082" s="1353">
        <v>43137</v>
      </c>
      <c r="J1082" s="1354">
        <v>60</v>
      </c>
      <c r="K1082" s="1353">
        <f>+I1082+J1082</f>
        <v>43197</v>
      </c>
      <c r="L1082" s="1353" t="s">
        <v>124</v>
      </c>
      <c r="M1082" s="1353">
        <v>43186</v>
      </c>
      <c r="N1082" s="1354">
        <f t="shared" si="143"/>
        <v>28</v>
      </c>
      <c r="O1082" s="1427">
        <v>43186</v>
      </c>
      <c r="P1082" s="1438">
        <v>43225</v>
      </c>
      <c r="Q1082" s="1355">
        <f>+P1082+30</f>
        <v>43255</v>
      </c>
      <c r="R1082" s="1354">
        <f t="shared" si="145"/>
        <v>118</v>
      </c>
      <c r="S1082" s="1437" t="s">
        <v>53</v>
      </c>
      <c r="T1082" s="1370"/>
      <c r="U1082" s="1358" t="str">
        <f t="shared" si="141"/>
        <v>atrasado</v>
      </c>
      <c r="V1082" s="1130" t="str">
        <f t="shared" si="139"/>
        <v>Marzo</v>
      </c>
      <c r="W1082" s="1128">
        <f t="shared" si="140"/>
        <v>0</v>
      </c>
    </row>
    <row r="1083" spans="1:23" ht="54.95" customHeight="1" thickBot="1" x14ac:dyDescent="0.25">
      <c r="A1083" s="1117">
        <v>2018</v>
      </c>
      <c r="B1083" s="1117">
        <v>2018</v>
      </c>
      <c r="C1083" s="1436" t="s">
        <v>120</v>
      </c>
      <c r="D1083" s="1363" t="s">
        <v>121</v>
      </c>
      <c r="E1083" s="1350" t="s">
        <v>125</v>
      </c>
      <c r="F1083" s="1437"/>
      <c r="G1083" s="1463">
        <v>66483</v>
      </c>
      <c r="H1083" s="1352">
        <v>23302.65</v>
      </c>
      <c r="I1083" s="1353">
        <v>43158</v>
      </c>
      <c r="J1083" s="1354">
        <f t="shared" ref="J1083:J1101" si="146">+K1083-I1083</f>
        <v>72</v>
      </c>
      <c r="K1083" s="1353">
        <v>43230</v>
      </c>
      <c r="L1083" s="1353" t="s">
        <v>124</v>
      </c>
      <c r="M1083" s="1353">
        <v>43217</v>
      </c>
      <c r="N1083" s="1354">
        <f t="shared" si="143"/>
        <v>13</v>
      </c>
      <c r="O1083" s="1427"/>
      <c r="P1083" s="1438">
        <v>43243</v>
      </c>
      <c r="Q1083" s="1355">
        <f>+P1083+45</f>
        <v>43288</v>
      </c>
      <c r="R1083" s="1354">
        <f t="shared" si="145"/>
        <v>130</v>
      </c>
      <c r="S1083" s="1437" t="s">
        <v>53</v>
      </c>
      <c r="T1083" s="1370"/>
      <c r="U1083" s="1358" t="str">
        <f t="shared" si="141"/>
        <v>atrasado</v>
      </c>
      <c r="V1083" s="1130" t="str">
        <f t="shared" si="139"/>
        <v>Abril</v>
      </c>
      <c r="W1083" s="1128">
        <f t="shared" si="140"/>
        <v>0</v>
      </c>
    </row>
    <row r="1084" spans="1:23" ht="54.95" customHeight="1" thickBot="1" x14ac:dyDescent="0.25">
      <c r="A1084" s="1117">
        <v>2018</v>
      </c>
      <c r="B1084" s="1117">
        <v>2018</v>
      </c>
      <c r="C1084" s="1436" t="s">
        <v>120</v>
      </c>
      <c r="D1084" s="1363" t="s">
        <v>121</v>
      </c>
      <c r="E1084" s="1350" t="s">
        <v>6428</v>
      </c>
      <c r="F1084" s="1437"/>
      <c r="G1084" s="1463">
        <v>66703</v>
      </c>
      <c r="H1084" s="1352">
        <v>2043</v>
      </c>
      <c r="I1084" s="1353">
        <v>43174</v>
      </c>
      <c r="J1084" s="1354">
        <f t="shared" si="146"/>
        <v>67</v>
      </c>
      <c r="K1084" s="1353">
        <v>43241</v>
      </c>
      <c r="L1084" s="1353" t="s">
        <v>124</v>
      </c>
      <c r="M1084" s="1353">
        <v>43217</v>
      </c>
      <c r="N1084" s="1354">
        <f t="shared" si="143"/>
        <v>2</v>
      </c>
      <c r="O1084" s="1427"/>
      <c r="P1084" s="1438">
        <v>43243</v>
      </c>
      <c r="Q1084" s="1355">
        <f>+P1084+45</f>
        <v>43288</v>
      </c>
      <c r="R1084" s="1354">
        <f t="shared" si="145"/>
        <v>114</v>
      </c>
      <c r="S1084" s="1437" t="s">
        <v>53</v>
      </c>
      <c r="T1084" s="1370"/>
      <c r="U1084" s="1358" t="str">
        <f t="shared" si="141"/>
        <v>atrasado</v>
      </c>
      <c r="V1084" s="1130" t="str">
        <f t="shared" si="139"/>
        <v>Abril</v>
      </c>
      <c r="W1084" s="1128">
        <f t="shared" si="140"/>
        <v>0</v>
      </c>
    </row>
    <row r="1085" spans="1:23" ht="54.95" customHeight="1" thickBot="1" x14ac:dyDescent="0.25">
      <c r="A1085" s="1117">
        <v>2018</v>
      </c>
      <c r="B1085" s="1117">
        <v>2018</v>
      </c>
      <c r="C1085" s="1436" t="s">
        <v>5433</v>
      </c>
      <c r="D1085" s="1363" t="s">
        <v>5434</v>
      </c>
      <c r="E1085" s="1350" t="s">
        <v>6431</v>
      </c>
      <c r="F1085" s="1437"/>
      <c r="G1085" s="1463">
        <v>4200000082</v>
      </c>
      <c r="H1085" s="1352">
        <v>5500</v>
      </c>
      <c r="I1085" s="1353">
        <v>43223</v>
      </c>
      <c r="J1085" s="1354">
        <f t="shared" si="146"/>
        <v>61</v>
      </c>
      <c r="K1085" s="1353">
        <v>43284</v>
      </c>
      <c r="L1085" s="1353" t="s">
        <v>6433</v>
      </c>
      <c r="M1085" s="1353">
        <v>43249</v>
      </c>
      <c r="N1085" s="1354">
        <f t="shared" si="143"/>
        <v>-25</v>
      </c>
      <c r="O1085" s="1427">
        <v>43251</v>
      </c>
      <c r="P1085" s="1438">
        <v>43259</v>
      </c>
      <c r="Q1085" s="1355">
        <v>43259</v>
      </c>
      <c r="R1085" s="1354">
        <f t="shared" si="145"/>
        <v>36</v>
      </c>
      <c r="S1085" s="1437"/>
      <c r="T1085" s="1370"/>
      <c r="U1085" s="1358" t="str">
        <f t="shared" si="141"/>
        <v>en término</v>
      </c>
      <c r="V1085" s="1130" t="str">
        <f t="shared" si="139"/>
        <v>Mayo</v>
      </c>
      <c r="W1085" s="1128">
        <f t="shared" si="140"/>
        <v>1</v>
      </c>
    </row>
    <row r="1086" spans="1:23" ht="54.95" customHeight="1" thickBot="1" x14ac:dyDescent="0.25">
      <c r="A1086" s="1143">
        <v>2018</v>
      </c>
      <c r="B1086" s="1143">
        <v>2018</v>
      </c>
      <c r="C1086" s="1449" t="s">
        <v>5433</v>
      </c>
      <c r="D1086" s="1393" t="s">
        <v>5434</v>
      </c>
      <c r="E1086" s="1450" t="s">
        <v>6468</v>
      </c>
      <c r="F1086" s="1464"/>
      <c r="G1086" s="1465">
        <v>420000096</v>
      </c>
      <c r="H1086" s="1453">
        <v>6000</v>
      </c>
      <c r="I1086" s="1454">
        <v>43374</v>
      </c>
      <c r="J1086" s="1455">
        <f t="shared" si="146"/>
        <v>60</v>
      </c>
      <c r="K1086" s="1454">
        <v>43434</v>
      </c>
      <c r="L1086" s="1454" t="s">
        <v>6433</v>
      </c>
      <c r="M1086" s="1454">
        <v>43430</v>
      </c>
      <c r="N1086" s="1455">
        <f t="shared" si="143"/>
        <v>-3</v>
      </c>
      <c r="O1086" s="1456"/>
      <c r="P1086" s="1466">
        <v>43431</v>
      </c>
      <c r="Q1086" s="1457">
        <f>+P1086+10</f>
        <v>43441</v>
      </c>
      <c r="R1086" s="1455">
        <f t="shared" si="145"/>
        <v>67</v>
      </c>
      <c r="S1086" s="1464" t="s">
        <v>53</v>
      </c>
      <c r="T1086" s="1467"/>
      <c r="U1086" s="1459" t="str">
        <f t="shared" si="141"/>
        <v>en término</v>
      </c>
      <c r="V1086" s="1290" t="str">
        <f t="shared" si="139"/>
        <v>Noviembre</v>
      </c>
      <c r="W1086" s="1323">
        <f t="shared" si="140"/>
        <v>1</v>
      </c>
    </row>
    <row r="1087" spans="1:23" ht="54.95" customHeight="1" thickTop="1" thickBot="1" x14ac:dyDescent="0.25">
      <c r="A1087" s="1117">
        <v>2019</v>
      </c>
      <c r="B1087" s="1117">
        <v>2019</v>
      </c>
      <c r="C1087" s="1436" t="s">
        <v>36</v>
      </c>
      <c r="D1087" s="1363" t="s">
        <v>37</v>
      </c>
      <c r="E1087" s="1350" t="s">
        <v>6429</v>
      </c>
      <c r="F1087" s="1437">
        <v>4600558097</v>
      </c>
      <c r="G1087" s="1463" t="s">
        <v>6540</v>
      </c>
      <c r="H1087" s="1352">
        <v>3529.84</v>
      </c>
      <c r="I1087" s="1353">
        <v>43398</v>
      </c>
      <c r="J1087" s="1354">
        <f t="shared" si="146"/>
        <v>123</v>
      </c>
      <c r="K1087" s="1353">
        <v>43521</v>
      </c>
      <c r="L1087" s="1353" t="s">
        <v>41</v>
      </c>
      <c r="M1087" s="1353">
        <v>43524</v>
      </c>
      <c r="N1087" s="1354">
        <f t="shared" ref="N1087:N1118" si="147">IF(O1087="","",+O1087-K1087)</f>
        <v>12</v>
      </c>
      <c r="O1087" s="1427">
        <v>43533</v>
      </c>
      <c r="P1087" s="1438">
        <v>43537</v>
      </c>
      <c r="Q1087" s="1355">
        <v>43553</v>
      </c>
      <c r="R1087" s="1354">
        <f t="shared" si="145"/>
        <v>155</v>
      </c>
      <c r="S1087" s="1437" t="s">
        <v>1020</v>
      </c>
      <c r="T1087" s="1370" t="s">
        <v>48</v>
      </c>
      <c r="U1087" s="1358" t="str">
        <f t="shared" si="141"/>
        <v>atrasado</v>
      </c>
      <c r="V1087" s="1289" t="str">
        <f t="shared" si="139"/>
        <v>Febrero</v>
      </c>
      <c r="W1087" s="1128">
        <f t="shared" si="140"/>
        <v>0</v>
      </c>
    </row>
    <row r="1088" spans="1:23" ht="54.95" customHeight="1" thickBot="1" x14ac:dyDescent="0.25">
      <c r="A1088" s="1117">
        <v>2019</v>
      </c>
      <c r="B1088" s="1117">
        <v>2019</v>
      </c>
      <c r="C1088" s="1436" t="s">
        <v>36</v>
      </c>
      <c r="D1088" s="1363" t="s">
        <v>37</v>
      </c>
      <c r="E1088" s="1350" t="s">
        <v>6441</v>
      </c>
      <c r="F1088" s="1437">
        <v>4600557062</v>
      </c>
      <c r="G1088" s="1463" t="s">
        <v>6541</v>
      </c>
      <c r="H1088" s="1352">
        <v>253483.4</v>
      </c>
      <c r="I1088" s="1353">
        <v>43395</v>
      </c>
      <c r="J1088" s="1354">
        <f t="shared" si="146"/>
        <v>97</v>
      </c>
      <c r="K1088" s="1353">
        <v>43492</v>
      </c>
      <c r="L1088" s="1353" t="s">
        <v>41</v>
      </c>
      <c r="M1088" s="1353">
        <v>43482</v>
      </c>
      <c r="N1088" s="1354">
        <f t="shared" si="147"/>
        <v>-1</v>
      </c>
      <c r="O1088" s="1427">
        <v>43491</v>
      </c>
      <c r="P1088" s="1438">
        <v>43493</v>
      </c>
      <c r="Q1088" s="1355">
        <v>43511</v>
      </c>
      <c r="R1088" s="1354">
        <f t="shared" si="145"/>
        <v>116</v>
      </c>
      <c r="S1088" s="1437" t="s">
        <v>6568</v>
      </c>
      <c r="T1088" s="1370" t="s">
        <v>6612</v>
      </c>
      <c r="U1088" s="1358" t="str">
        <f t="shared" si="141"/>
        <v>en término</v>
      </c>
      <c r="V1088" s="1130" t="str">
        <f t="shared" si="139"/>
        <v>Enero</v>
      </c>
      <c r="W1088" s="1128">
        <f t="shared" si="140"/>
        <v>1</v>
      </c>
    </row>
    <row r="1089" spans="1:23" ht="54.95" customHeight="1" thickBot="1" x14ac:dyDescent="0.25">
      <c r="A1089" s="1117">
        <v>2019</v>
      </c>
      <c r="B1089" s="1117">
        <v>2019</v>
      </c>
      <c r="C1089" s="1436" t="s">
        <v>36</v>
      </c>
      <c r="D1089" s="1363" t="s">
        <v>37</v>
      </c>
      <c r="E1089" s="1350" t="s">
        <v>6441</v>
      </c>
      <c r="F1089" s="1437">
        <v>4600557062</v>
      </c>
      <c r="G1089" s="1463" t="s">
        <v>6541</v>
      </c>
      <c r="H1089" s="1352">
        <v>152376.21</v>
      </c>
      <c r="I1089" s="1353">
        <v>43395</v>
      </c>
      <c r="J1089" s="1354">
        <f t="shared" si="146"/>
        <v>128</v>
      </c>
      <c r="K1089" s="1353">
        <v>43523</v>
      </c>
      <c r="L1089" s="1353" t="s">
        <v>41</v>
      </c>
      <c r="M1089" s="1353">
        <v>43524</v>
      </c>
      <c r="N1089" s="1354">
        <f t="shared" si="147"/>
        <v>10</v>
      </c>
      <c r="O1089" s="1427">
        <v>43533</v>
      </c>
      <c r="P1089" s="1438">
        <v>43537</v>
      </c>
      <c r="Q1089" s="1355">
        <v>43553</v>
      </c>
      <c r="R1089" s="1354">
        <f t="shared" si="145"/>
        <v>158</v>
      </c>
      <c r="S1089" s="1437" t="s">
        <v>6600</v>
      </c>
      <c r="T1089" s="1370" t="s">
        <v>48</v>
      </c>
      <c r="U1089" s="1358" t="str">
        <f t="shared" si="141"/>
        <v>atrasado</v>
      </c>
      <c r="V1089" s="1130" t="str">
        <f t="shared" si="139"/>
        <v>Febrero</v>
      </c>
      <c r="W1089" s="1128">
        <f t="shared" si="140"/>
        <v>0</v>
      </c>
    </row>
    <row r="1090" spans="1:23" ht="54.95" customHeight="1" thickBot="1" x14ac:dyDescent="0.25">
      <c r="A1090" s="1117">
        <v>2019</v>
      </c>
      <c r="B1090" s="1117">
        <v>2019</v>
      </c>
      <c r="C1090" s="1436" t="s">
        <v>36</v>
      </c>
      <c r="D1090" s="1363" t="s">
        <v>37</v>
      </c>
      <c r="E1090" s="1350" t="s">
        <v>6441</v>
      </c>
      <c r="F1090" s="1437">
        <v>4600557062</v>
      </c>
      <c r="G1090" s="1463" t="s">
        <v>6541</v>
      </c>
      <c r="H1090" s="1352">
        <v>26916.36</v>
      </c>
      <c r="I1090" s="1353">
        <v>43395</v>
      </c>
      <c r="J1090" s="1354">
        <f t="shared" si="146"/>
        <v>128</v>
      </c>
      <c r="K1090" s="1353">
        <v>43523</v>
      </c>
      <c r="L1090" s="1353" t="s">
        <v>41</v>
      </c>
      <c r="M1090" s="1353">
        <v>43545</v>
      </c>
      <c r="N1090" s="1354">
        <f t="shared" si="147"/>
        <v>31</v>
      </c>
      <c r="O1090" s="1427">
        <v>43554</v>
      </c>
      <c r="P1090" s="1438">
        <v>43556</v>
      </c>
      <c r="Q1090" s="1355">
        <v>43574</v>
      </c>
      <c r="R1090" s="1354">
        <f t="shared" si="145"/>
        <v>179</v>
      </c>
      <c r="S1090" s="1437" t="s">
        <v>6601</v>
      </c>
      <c r="T1090" s="1370" t="s">
        <v>48</v>
      </c>
      <c r="U1090" s="1358" t="str">
        <f t="shared" si="141"/>
        <v>atrasado</v>
      </c>
      <c r="V1090" s="1130" t="str">
        <f t="shared" ref="V1090:V1153" si="148">VLOOKUP(MONTH(M1090),$Y$66:$Z$77,2,FALSE)</f>
        <v>Marzo</v>
      </c>
      <c r="W1090" s="1128">
        <f t="shared" ref="W1090:W1153" si="149">+IF(U1090="atrasado",0)+IF(U1090="en término",1)</f>
        <v>0</v>
      </c>
    </row>
    <row r="1091" spans="1:23" ht="54.95" customHeight="1" thickBot="1" x14ac:dyDescent="0.25">
      <c r="A1091" s="1117">
        <v>2019</v>
      </c>
      <c r="B1091" s="1117">
        <v>2019</v>
      </c>
      <c r="C1091" s="1436" t="s">
        <v>36</v>
      </c>
      <c r="D1091" s="1363" t="s">
        <v>37</v>
      </c>
      <c r="E1091" s="1350" t="s">
        <v>6441</v>
      </c>
      <c r="F1091" s="1437">
        <v>4600557062</v>
      </c>
      <c r="G1091" s="1463" t="s">
        <v>6553</v>
      </c>
      <c r="H1091" s="1352">
        <v>1702.6</v>
      </c>
      <c r="I1091" s="1353">
        <v>43410</v>
      </c>
      <c r="J1091" s="1354">
        <f t="shared" si="146"/>
        <v>93</v>
      </c>
      <c r="K1091" s="1353">
        <v>43503</v>
      </c>
      <c r="L1091" s="1353" t="s">
        <v>41</v>
      </c>
      <c r="M1091" s="1353">
        <v>43482</v>
      </c>
      <c r="N1091" s="1354">
        <f t="shared" si="147"/>
        <v>-12</v>
      </c>
      <c r="O1091" s="1427">
        <v>43491</v>
      </c>
      <c r="P1091" s="1438">
        <v>43493</v>
      </c>
      <c r="Q1091" s="1355">
        <v>43511</v>
      </c>
      <c r="R1091" s="1354">
        <f t="shared" si="145"/>
        <v>101</v>
      </c>
      <c r="S1091" s="1437" t="s">
        <v>597</v>
      </c>
      <c r="T1091" s="1370" t="s">
        <v>6612</v>
      </c>
      <c r="U1091" s="1358" t="str">
        <f t="shared" ref="U1091:U1154" si="150">IF(N1091="","",IF(N1091&lt;=0,"en término","atrasado"))</f>
        <v>en término</v>
      </c>
      <c r="V1091" s="1130" t="str">
        <f t="shared" si="148"/>
        <v>Enero</v>
      </c>
      <c r="W1091" s="1128">
        <f t="shared" si="149"/>
        <v>1</v>
      </c>
    </row>
    <row r="1092" spans="1:23" ht="54.95" customHeight="1" thickBot="1" x14ac:dyDescent="0.25">
      <c r="A1092" s="1117">
        <v>2019</v>
      </c>
      <c r="B1092" s="1117">
        <v>2019</v>
      </c>
      <c r="C1092" s="1436" t="s">
        <v>36</v>
      </c>
      <c r="D1092" s="1363" t="s">
        <v>37</v>
      </c>
      <c r="E1092" s="1350" t="s">
        <v>6441</v>
      </c>
      <c r="F1092" s="1437">
        <v>4600557062</v>
      </c>
      <c r="G1092" s="1463" t="s">
        <v>6566</v>
      </c>
      <c r="H1092" s="1352">
        <v>687.12</v>
      </c>
      <c r="I1092" s="1353">
        <v>43437</v>
      </c>
      <c r="J1092" s="1354">
        <f t="shared" si="146"/>
        <v>88</v>
      </c>
      <c r="K1092" s="1353">
        <v>43525</v>
      </c>
      <c r="L1092" s="1353" t="s">
        <v>41</v>
      </c>
      <c r="M1092" s="1353">
        <v>43524</v>
      </c>
      <c r="N1092" s="1354">
        <f t="shared" si="147"/>
        <v>8</v>
      </c>
      <c r="O1092" s="1427">
        <v>43533</v>
      </c>
      <c r="P1092" s="1438">
        <v>43537</v>
      </c>
      <c r="Q1092" s="1355">
        <v>43553</v>
      </c>
      <c r="R1092" s="1354">
        <f t="shared" si="145"/>
        <v>116</v>
      </c>
      <c r="S1092" s="1437" t="s">
        <v>597</v>
      </c>
      <c r="T1092" s="1370" t="s">
        <v>48</v>
      </c>
      <c r="U1092" s="1358" t="str">
        <f t="shared" si="150"/>
        <v>atrasado</v>
      </c>
      <c r="V1092" s="1130" t="str">
        <f t="shared" si="148"/>
        <v>Febrero</v>
      </c>
      <c r="W1092" s="1128">
        <f t="shared" si="149"/>
        <v>0</v>
      </c>
    </row>
    <row r="1093" spans="1:23" ht="54.95" customHeight="1" thickBot="1" x14ac:dyDescent="0.25">
      <c r="A1093" s="1117">
        <v>2019</v>
      </c>
      <c r="B1093" s="1117">
        <v>2019</v>
      </c>
      <c r="C1093" s="1436" t="s">
        <v>36</v>
      </c>
      <c r="D1093" s="1363" t="s">
        <v>37</v>
      </c>
      <c r="E1093" s="1350" t="s">
        <v>6564</v>
      </c>
      <c r="F1093" s="1437" t="s">
        <v>6580</v>
      </c>
      <c r="G1093" s="1463">
        <v>18120004</v>
      </c>
      <c r="H1093" s="1352">
        <v>9726</v>
      </c>
      <c r="I1093" s="1353">
        <v>43427</v>
      </c>
      <c r="J1093" s="1354">
        <f t="shared" si="146"/>
        <v>110</v>
      </c>
      <c r="K1093" s="1353">
        <v>43537</v>
      </c>
      <c r="L1093" s="1353" t="s">
        <v>41</v>
      </c>
      <c r="M1093" s="1353">
        <v>43524</v>
      </c>
      <c r="N1093" s="1354">
        <f t="shared" si="147"/>
        <v>-4</v>
      </c>
      <c r="O1093" s="1427">
        <v>43533</v>
      </c>
      <c r="P1093" s="1438">
        <v>43537</v>
      </c>
      <c r="Q1093" s="1355">
        <v>43553</v>
      </c>
      <c r="R1093" s="1354">
        <f t="shared" si="145"/>
        <v>126</v>
      </c>
      <c r="S1093" s="1437" t="s">
        <v>6575</v>
      </c>
      <c r="T1093" s="1370" t="s">
        <v>48</v>
      </c>
      <c r="U1093" s="1358" t="str">
        <f t="shared" si="150"/>
        <v>en término</v>
      </c>
      <c r="V1093" s="1130" t="str">
        <f t="shared" si="148"/>
        <v>Febrero</v>
      </c>
      <c r="W1093" s="1128">
        <f t="shared" si="149"/>
        <v>1</v>
      </c>
    </row>
    <row r="1094" spans="1:23" ht="54.95" customHeight="1" thickBot="1" x14ac:dyDescent="0.25">
      <c r="A1094" s="1117">
        <v>2019</v>
      </c>
      <c r="B1094" s="1117">
        <v>2019</v>
      </c>
      <c r="C1094" s="1436" t="s">
        <v>36</v>
      </c>
      <c r="D1094" s="1363" t="s">
        <v>37</v>
      </c>
      <c r="E1094" s="1350" t="s">
        <v>6441</v>
      </c>
      <c r="F1094" s="1437">
        <v>4600557062</v>
      </c>
      <c r="G1094" s="1463" t="s">
        <v>6586</v>
      </c>
      <c r="H1094" s="1352">
        <v>126925.1</v>
      </c>
      <c r="I1094" s="1353">
        <v>43440</v>
      </c>
      <c r="J1094" s="1354">
        <f t="shared" si="146"/>
        <v>88</v>
      </c>
      <c r="K1094" s="1353">
        <v>43528</v>
      </c>
      <c r="L1094" s="1353" t="s">
        <v>41</v>
      </c>
      <c r="M1094" s="1353">
        <v>43524</v>
      </c>
      <c r="N1094" s="1354">
        <f t="shared" si="147"/>
        <v>5</v>
      </c>
      <c r="O1094" s="1427">
        <v>43533</v>
      </c>
      <c r="P1094" s="1438">
        <v>43537</v>
      </c>
      <c r="Q1094" s="1355">
        <v>43553</v>
      </c>
      <c r="R1094" s="1354">
        <f t="shared" si="145"/>
        <v>113</v>
      </c>
      <c r="S1094" s="1437" t="s">
        <v>6582</v>
      </c>
      <c r="T1094" s="1370" t="s">
        <v>48</v>
      </c>
      <c r="U1094" s="1358" t="str">
        <f t="shared" si="150"/>
        <v>atrasado</v>
      </c>
      <c r="V1094" s="1130" t="str">
        <f t="shared" si="148"/>
        <v>Febrero</v>
      </c>
      <c r="W1094" s="1128">
        <f t="shared" si="149"/>
        <v>0</v>
      </c>
    </row>
    <row r="1095" spans="1:23" ht="54.95" customHeight="1" thickBot="1" x14ac:dyDescent="0.25">
      <c r="A1095" s="1117">
        <v>2019</v>
      </c>
      <c r="B1095" s="1117">
        <v>2019</v>
      </c>
      <c r="C1095" s="1436" t="s">
        <v>36</v>
      </c>
      <c r="D1095" s="1363" t="s">
        <v>37</v>
      </c>
      <c r="E1095" s="1350" t="s">
        <v>6441</v>
      </c>
      <c r="F1095" s="1437">
        <v>4600557062</v>
      </c>
      <c r="G1095" s="1463" t="s">
        <v>6587</v>
      </c>
      <c r="H1095" s="1352">
        <v>1029.0999999999999</v>
      </c>
      <c r="I1095" s="1353">
        <v>43446</v>
      </c>
      <c r="J1095" s="1354">
        <f t="shared" si="146"/>
        <v>119</v>
      </c>
      <c r="K1095" s="1353">
        <v>43565</v>
      </c>
      <c r="L1095" s="1353" t="s">
        <v>41</v>
      </c>
      <c r="M1095" s="1353">
        <v>43524</v>
      </c>
      <c r="N1095" s="1354">
        <f t="shared" si="147"/>
        <v>-32</v>
      </c>
      <c r="O1095" s="1427">
        <v>43533</v>
      </c>
      <c r="P1095" s="1438">
        <v>43537</v>
      </c>
      <c r="Q1095" s="1355">
        <v>43553</v>
      </c>
      <c r="R1095" s="1354">
        <f t="shared" si="145"/>
        <v>107</v>
      </c>
      <c r="S1095" s="1437" t="s">
        <v>53</v>
      </c>
      <c r="T1095" s="1370" t="s">
        <v>48</v>
      </c>
      <c r="U1095" s="1358" t="str">
        <f t="shared" si="150"/>
        <v>en término</v>
      </c>
      <c r="V1095" s="1130" t="str">
        <f t="shared" si="148"/>
        <v>Febrero</v>
      </c>
      <c r="W1095" s="1128">
        <f t="shared" si="149"/>
        <v>1</v>
      </c>
    </row>
    <row r="1096" spans="1:23" ht="54.95" customHeight="1" thickBot="1" x14ac:dyDescent="0.25">
      <c r="A1096" s="1117">
        <v>2019</v>
      </c>
      <c r="B1096" s="1117">
        <v>2019</v>
      </c>
      <c r="C1096" s="1436" t="s">
        <v>36</v>
      </c>
      <c r="D1096" s="1363" t="s">
        <v>37</v>
      </c>
      <c r="E1096" s="1350" t="s">
        <v>6441</v>
      </c>
      <c r="F1096" s="1437">
        <v>4600557062</v>
      </c>
      <c r="G1096" s="1463" t="s">
        <v>6595</v>
      </c>
      <c r="H1096" s="1352">
        <v>34928</v>
      </c>
      <c r="I1096" s="1353">
        <v>43462</v>
      </c>
      <c r="J1096" s="1354">
        <f t="shared" si="146"/>
        <v>95</v>
      </c>
      <c r="K1096" s="1353">
        <v>43557</v>
      </c>
      <c r="L1096" s="1353" t="s">
        <v>41</v>
      </c>
      <c r="M1096" s="1353">
        <v>43545</v>
      </c>
      <c r="N1096" s="1354">
        <f t="shared" si="147"/>
        <v>-3</v>
      </c>
      <c r="O1096" s="1427">
        <v>43554</v>
      </c>
      <c r="P1096" s="1438">
        <v>43556</v>
      </c>
      <c r="Q1096" s="1355">
        <v>43574</v>
      </c>
      <c r="R1096" s="1354">
        <f t="shared" si="145"/>
        <v>112</v>
      </c>
      <c r="S1096" s="1437" t="s">
        <v>6591</v>
      </c>
      <c r="T1096" s="1370" t="s">
        <v>48</v>
      </c>
      <c r="U1096" s="1358" t="str">
        <f t="shared" si="150"/>
        <v>en término</v>
      </c>
      <c r="V1096" s="1130" t="str">
        <f t="shared" si="148"/>
        <v>Marzo</v>
      </c>
      <c r="W1096" s="1128">
        <f t="shared" si="149"/>
        <v>1</v>
      </c>
    </row>
    <row r="1097" spans="1:23" ht="54.95" customHeight="1" thickBot="1" x14ac:dyDescent="0.25">
      <c r="A1097" s="1117">
        <v>2019</v>
      </c>
      <c r="B1097" s="1117">
        <v>2019</v>
      </c>
      <c r="C1097" s="1436" t="s">
        <v>36</v>
      </c>
      <c r="D1097" s="1363" t="s">
        <v>37</v>
      </c>
      <c r="E1097" s="1350" t="s">
        <v>6441</v>
      </c>
      <c r="F1097" s="1437">
        <v>4600557062</v>
      </c>
      <c r="G1097" s="1463" t="s">
        <v>6616</v>
      </c>
      <c r="H1097" s="1352">
        <v>180442.13</v>
      </c>
      <c r="I1097" s="1353">
        <v>43469</v>
      </c>
      <c r="J1097" s="1354">
        <f t="shared" si="146"/>
        <v>89</v>
      </c>
      <c r="K1097" s="1353">
        <v>43558</v>
      </c>
      <c r="L1097" s="1353" t="s">
        <v>41</v>
      </c>
      <c r="M1097" s="1353">
        <v>43545</v>
      </c>
      <c r="N1097" s="1354">
        <f t="shared" si="147"/>
        <v>-4</v>
      </c>
      <c r="O1097" s="1427">
        <v>43554</v>
      </c>
      <c r="P1097" s="1438">
        <v>43556</v>
      </c>
      <c r="Q1097" s="1355">
        <v>43574</v>
      </c>
      <c r="R1097" s="1354">
        <f t="shared" si="145"/>
        <v>105</v>
      </c>
      <c r="S1097" s="1437" t="s">
        <v>6599</v>
      </c>
      <c r="T1097" s="1370" t="s">
        <v>48</v>
      </c>
      <c r="U1097" s="1358" t="str">
        <f t="shared" si="150"/>
        <v>en término</v>
      </c>
      <c r="V1097" s="1130" t="str">
        <f t="shared" si="148"/>
        <v>Marzo</v>
      </c>
      <c r="W1097" s="1128">
        <f t="shared" si="149"/>
        <v>1</v>
      </c>
    </row>
    <row r="1098" spans="1:23" ht="54.95" customHeight="1" thickBot="1" x14ac:dyDescent="0.25">
      <c r="A1098" s="1117">
        <v>2019</v>
      </c>
      <c r="B1098" s="1117">
        <v>2019</v>
      </c>
      <c r="C1098" s="1436" t="s">
        <v>36</v>
      </c>
      <c r="D1098" s="1363" t="s">
        <v>37</v>
      </c>
      <c r="E1098" s="1350" t="s">
        <v>6441</v>
      </c>
      <c r="F1098" s="1437">
        <v>4600557062</v>
      </c>
      <c r="G1098" s="1463" t="s">
        <v>6617</v>
      </c>
      <c r="H1098" s="1352">
        <v>170131</v>
      </c>
      <c r="I1098" s="1353">
        <v>43497</v>
      </c>
      <c r="J1098" s="1354">
        <f t="shared" si="146"/>
        <v>83</v>
      </c>
      <c r="K1098" s="1353">
        <v>43580</v>
      </c>
      <c r="L1098" s="1353" t="s">
        <v>41</v>
      </c>
      <c r="M1098" s="1353">
        <v>43572</v>
      </c>
      <c r="N1098" s="1354">
        <f t="shared" si="147"/>
        <v>2</v>
      </c>
      <c r="O1098" s="1427">
        <v>43582</v>
      </c>
      <c r="P1098" s="1438">
        <v>43583</v>
      </c>
      <c r="Q1098" s="1355">
        <v>43602</v>
      </c>
      <c r="R1098" s="1354">
        <f t="shared" si="145"/>
        <v>105</v>
      </c>
      <c r="S1098" s="1437" t="s">
        <v>6611</v>
      </c>
      <c r="T1098" s="1370" t="s">
        <v>48</v>
      </c>
      <c r="U1098" s="1358" t="str">
        <f t="shared" si="150"/>
        <v>atrasado</v>
      </c>
      <c r="V1098" s="1130" t="str">
        <f t="shared" si="148"/>
        <v>Abril</v>
      </c>
      <c r="W1098" s="1128">
        <f t="shared" si="149"/>
        <v>0</v>
      </c>
    </row>
    <row r="1099" spans="1:23" ht="54.95" customHeight="1" thickBot="1" x14ac:dyDescent="0.25">
      <c r="A1099" s="1117">
        <v>2019</v>
      </c>
      <c r="B1099" s="1117">
        <v>2019</v>
      </c>
      <c r="C1099" s="1436" t="s">
        <v>36</v>
      </c>
      <c r="D1099" s="1363" t="s">
        <v>37</v>
      </c>
      <c r="E1099" s="1350" t="s">
        <v>6619</v>
      </c>
      <c r="F1099" s="1437"/>
      <c r="G1099" s="1463" t="s">
        <v>6620</v>
      </c>
      <c r="H1099" s="1352">
        <v>350</v>
      </c>
      <c r="I1099" s="1353">
        <v>43511</v>
      </c>
      <c r="J1099" s="1354">
        <f t="shared" si="146"/>
        <v>88</v>
      </c>
      <c r="K1099" s="1353">
        <v>43599</v>
      </c>
      <c r="L1099" s="1353" t="s">
        <v>41</v>
      </c>
      <c r="M1099" s="1353">
        <v>43545</v>
      </c>
      <c r="N1099" s="1354">
        <f t="shared" si="147"/>
        <v>-45</v>
      </c>
      <c r="O1099" s="1427">
        <v>43554</v>
      </c>
      <c r="P1099" s="1438">
        <v>43556</v>
      </c>
      <c r="Q1099" s="1355">
        <v>43574</v>
      </c>
      <c r="R1099" s="1354">
        <f t="shared" si="145"/>
        <v>63</v>
      </c>
      <c r="S1099" s="1437" t="s">
        <v>6621</v>
      </c>
      <c r="T1099" s="1370" t="s">
        <v>48</v>
      </c>
      <c r="U1099" s="1358" t="str">
        <f t="shared" si="150"/>
        <v>en término</v>
      </c>
      <c r="V1099" s="1130" t="str">
        <f t="shared" si="148"/>
        <v>Marzo</v>
      </c>
      <c r="W1099" s="1128">
        <f t="shared" si="149"/>
        <v>1</v>
      </c>
    </row>
    <row r="1100" spans="1:23" ht="54.95" customHeight="1" thickBot="1" x14ac:dyDescent="0.25">
      <c r="A1100" s="1117">
        <v>2019</v>
      </c>
      <c r="B1100" s="1117">
        <v>2019</v>
      </c>
      <c r="C1100" s="1436" t="s">
        <v>36</v>
      </c>
      <c r="D1100" s="1363" t="s">
        <v>37</v>
      </c>
      <c r="E1100" s="1350" t="s">
        <v>6623</v>
      </c>
      <c r="F1100" s="1437"/>
      <c r="G1100" s="1463" t="s">
        <v>6627</v>
      </c>
      <c r="H1100" s="1352">
        <v>4280</v>
      </c>
      <c r="I1100" s="1353">
        <v>43508</v>
      </c>
      <c r="J1100" s="1354">
        <f t="shared" si="146"/>
        <v>101</v>
      </c>
      <c r="K1100" s="1353">
        <v>43609</v>
      </c>
      <c r="L1100" s="1353" t="s">
        <v>41</v>
      </c>
      <c r="M1100" s="1353">
        <v>43572</v>
      </c>
      <c r="N1100" s="1354">
        <f t="shared" si="147"/>
        <v>-27</v>
      </c>
      <c r="O1100" s="1427">
        <v>43582</v>
      </c>
      <c r="P1100" s="1438">
        <v>43583</v>
      </c>
      <c r="Q1100" s="1355">
        <v>43602</v>
      </c>
      <c r="R1100" s="1354">
        <f t="shared" si="145"/>
        <v>94</v>
      </c>
      <c r="S1100" s="1437" t="s">
        <v>73</v>
      </c>
      <c r="T1100" s="1370" t="s">
        <v>48</v>
      </c>
      <c r="U1100" s="1358" t="str">
        <f t="shared" si="150"/>
        <v>en término</v>
      </c>
      <c r="V1100" s="1130" t="str">
        <f t="shared" si="148"/>
        <v>Abril</v>
      </c>
      <c r="W1100" s="1128">
        <f t="shared" si="149"/>
        <v>1</v>
      </c>
    </row>
    <row r="1101" spans="1:23" ht="54.95" customHeight="1" thickBot="1" x14ac:dyDescent="0.25">
      <c r="A1101" s="1117">
        <v>2019</v>
      </c>
      <c r="B1101" s="1117">
        <v>2019</v>
      </c>
      <c r="C1101" s="1436" t="s">
        <v>36</v>
      </c>
      <c r="D1101" s="1363" t="s">
        <v>37</v>
      </c>
      <c r="E1101" s="1350" t="s">
        <v>6441</v>
      </c>
      <c r="F1101" s="1437">
        <v>4600557062</v>
      </c>
      <c r="G1101" s="1463" t="s">
        <v>6640</v>
      </c>
      <c r="H1101" s="1352">
        <v>1997.04</v>
      </c>
      <c r="I1101" s="1353">
        <v>43543</v>
      </c>
      <c r="J1101" s="1354">
        <f t="shared" si="146"/>
        <v>90</v>
      </c>
      <c r="K1101" s="1353">
        <v>43633</v>
      </c>
      <c r="L1101" s="1353" t="s">
        <v>41</v>
      </c>
      <c r="M1101" s="1353">
        <v>43572</v>
      </c>
      <c r="N1101" s="1354">
        <f t="shared" si="147"/>
        <v>-51</v>
      </c>
      <c r="O1101" s="1427">
        <v>43582</v>
      </c>
      <c r="P1101" s="1438">
        <v>43583</v>
      </c>
      <c r="Q1101" s="1355">
        <v>43602</v>
      </c>
      <c r="R1101" s="1354">
        <f t="shared" si="145"/>
        <v>59</v>
      </c>
      <c r="S1101" s="1437" t="s">
        <v>53</v>
      </c>
      <c r="T1101" s="1370" t="s">
        <v>48</v>
      </c>
      <c r="U1101" s="1358" t="str">
        <f t="shared" si="150"/>
        <v>en término</v>
      </c>
      <c r="V1101" s="1130" t="str">
        <f t="shared" si="148"/>
        <v>Abril</v>
      </c>
      <c r="W1101" s="1128">
        <f t="shared" si="149"/>
        <v>1</v>
      </c>
    </row>
    <row r="1102" spans="1:23" ht="54.95" customHeight="1" thickBot="1" x14ac:dyDescent="0.25">
      <c r="A1102" s="1117">
        <v>2019</v>
      </c>
      <c r="B1102" s="1117">
        <v>2019</v>
      </c>
      <c r="C1102" s="1436" t="s">
        <v>36</v>
      </c>
      <c r="D1102" s="1363" t="s">
        <v>37</v>
      </c>
      <c r="E1102" s="1350" t="s">
        <v>6429</v>
      </c>
      <c r="F1102" s="1437">
        <v>4600558097</v>
      </c>
      <c r="G1102" s="1463" t="s">
        <v>6626</v>
      </c>
      <c r="H1102" s="1352">
        <v>177278</v>
      </c>
      <c r="I1102" s="1353">
        <v>43508</v>
      </c>
      <c r="J1102" s="1354">
        <v>123</v>
      </c>
      <c r="K1102" s="1353">
        <v>43631</v>
      </c>
      <c r="L1102" s="1353" t="s">
        <v>41</v>
      </c>
      <c r="M1102" s="1353">
        <v>43637</v>
      </c>
      <c r="N1102" s="1354">
        <f t="shared" si="147"/>
        <v>14</v>
      </c>
      <c r="O1102" s="1427">
        <v>43645</v>
      </c>
      <c r="P1102" s="1438">
        <v>43647</v>
      </c>
      <c r="Q1102" s="1355">
        <v>43665</v>
      </c>
      <c r="R1102" s="1354" t="s">
        <v>6625</v>
      </c>
      <c r="S1102" s="1437" t="s">
        <v>6691</v>
      </c>
      <c r="T1102" s="1370" t="s">
        <v>6622</v>
      </c>
      <c r="U1102" s="1358" t="str">
        <f t="shared" si="150"/>
        <v>atrasado</v>
      </c>
      <c r="V1102" s="1130" t="str">
        <f t="shared" si="148"/>
        <v>Junio</v>
      </c>
      <c r="W1102" s="1128">
        <f t="shared" si="149"/>
        <v>0</v>
      </c>
    </row>
    <row r="1103" spans="1:23" ht="54.95" customHeight="1" thickBot="1" x14ac:dyDescent="0.25">
      <c r="A1103" s="1117">
        <v>2019</v>
      </c>
      <c r="B1103" s="1117">
        <v>2019</v>
      </c>
      <c r="C1103" s="1436" t="s">
        <v>36</v>
      </c>
      <c r="D1103" s="1363" t="s">
        <v>37</v>
      </c>
      <c r="E1103" s="1350" t="s">
        <v>6639</v>
      </c>
      <c r="F1103" s="1437"/>
      <c r="G1103" s="1463" t="s">
        <v>6646</v>
      </c>
      <c r="H1103" s="1352">
        <v>378</v>
      </c>
      <c r="I1103" s="1353">
        <v>43554</v>
      </c>
      <c r="J1103" s="1354">
        <f>+K1103-I1103</f>
        <v>97</v>
      </c>
      <c r="K1103" s="1353">
        <v>43651</v>
      </c>
      <c r="L1103" s="1353" t="s">
        <v>41</v>
      </c>
      <c r="M1103" s="1353">
        <v>43637</v>
      </c>
      <c r="N1103" s="1354">
        <f t="shared" si="147"/>
        <v>-6</v>
      </c>
      <c r="O1103" s="1427">
        <v>43645</v>
      </c>
      <c r="P1103" s="1438">
        <v>43647</v>
      </c>
      <c r="Q1103" s="1355">
        <v>43665</v>
      </c>
      <c r="R1103" s="1354">
        <f t="shared" ref="R1103:R1166" si="151">IF(Q1103="","",+Q1103-I1103)</f>
        <v>111</v>
      </c>
      <c r="S1103" s="1437" t="s">
        <v>53</v>
      </c>
      <c r="T1103" s="1370" t="s">
        <v>48</v>
      </c>
      <c r="U1103" s="1358" t="str">
        <f t="shared" si="150"/>
        <v>en término</v>
      </c>
      <c r="V1103" s="1130" t="str">
        <f t="shared" si="148"/>
        <v>Junio</v>
      </c>
      <c r="W1103" s="1128">
        <f t="shared" si="149"/>
        <v>1</v>
      </c>
    </row>
    <row r="1104" spans="1:23" ht="54.95" customHeight="1" thickBot="1" x14ac:dyDescent="0.25">
      <c r="A1104" s="1117">
        <v>2019</v>
      </c>
      <c r="B1104" s="1117">
        <v>2019</v>
      </c>
      <c r="C1104" s="1436" t="s">
        <v>36</v>
      </c>
      <c r="D1104" s="1363" t="s">
        <v>37</v>
      </c>
      <c r="E1104" s="1350" t="s">
        <v>6441</v>
      </c>
      <c r="F1104" s="1437">
        <v>4600557062</v>
      </c>
      <c r="G1104" s="1463" t="s">
        <v>6647</v>
      </c>
      <c r="H1104" s="1352">
        <v>182248.9</v>
      </c>
      <c r="I1104" s="1353">
        <v>43558</v>
      </c>
      <c r="J1104" s="1354">
        <f>+K1104-I1104</f>
        <v>89</v>
      </c>
      <c r="K1104" s="1353">
        <v>43647</v>
      </c>
      <c r="L1104" s="1353" t="s">
        <v>41</v>
      </c>
      <c r="M1104" s="1353">
        <v>43637</v>
      </c>
      <c r="N1104" s="1354">
        <f t="shared" si="147"/>
        <v>-2</v>
      </c>
      <c r="O1104" s="1427">
        <v>43645</v>
      </c>
      <c r="P1104" s="1438">
        <v>43647</v>
      </c>
      <c r="Q1104" s="1355">
        <v>43665</v>
      </c>
      <c r="R1104" s="1354">
        <f t="shared" si="151"/>
        <v>107</v>
      </c>
      <c r="S1104" s="1437" t="s">
        <v>2467</v>
      </c>
      <c r="T1104" s="1370" t="s">
        <v>48</v>
      </c>
      <c r="U1104" s="1358" t="str">
        <f t="shared" si="150"/>
        <v>en término</v>
      </c>
      <c r="V1104" s="1130" t="str">
        <f t="shared" si="148"/>
        <v>Junio</v>
      </c>
      <c r="W1104" s="1128">
        <f t="shared" si="149"/>
        <v>1</v>
      </c>
    </row>
    <row r="1105" spans="1:23" ht="54.95" customHeight="1" thickBot="1" x14ac:dyDescent="0.25">
      <c r="A1105" s="1117">
        <v>2019</v>
      </c>
      <c r="B1105" s="1117">
        <v>2019</v>
      </c>
      <c r="C1105" s="1436" t="s">
        <v>36</v>
      </c>
      <c r="D1105" s="1363" t="s">
        <v>37</v>
      </c>
      <c r="E1105" s="1350" t="s">
        <v>6643</v>
      </c>
      <c r="F1105" s="1437"/>
      <c r="G1105" s="1463" t="s">
        <v>6648</v>
      </c>
      <c r="H1105" s="1352">
        <v>2475</v>
      </c>
      <c r="I1105" s="1353">
        <v>43557</v>
      </c>
      <c r="J1105" s="1354">
        <f>+K1105-I1105</f>
        <v>76</v>
      </c>
      <c r="K1105" s="1353">
        <v>43633</v>
      </c>
      <c r="L1105" s="1353" t="s">
        <v>41</v>
      </c>
      <c r="M1105" s="1353">
        <v>43637</v>
      </c>
      <c r="N1105" s="1354">
        <f t="shared" si="147"/>
        <v>12</v>
      </c>
      <c r="O1105" s="1427">
        <v>43645</v>
      </c>
      <c r="P1105" s="1438">
        <v>43647</v>
      </c>
      <c r="Q1105" s="1355">
        <v>43665</v>
      </c>
      <c r="R1105" s="1354">
        <f t="shared" si="151"/>
        <v>108</v>
      </c>
      <c r="S1105" s="1437" t="s">
        <v>53</v>
      </c>
      <c r="T1105" s="1370" t="s">
        <v>48</v>
      </c>
      <c r="U1105" s="1358" t="str">
        <f t="shared" si="150"/>
        <v>atrasado</v>
      </c>
      <c r="V1105" s="1130" t="str">
        <f t="shared" si="148"/>
        <v>Junio</v>
      </c>
      <c r="W1105" s="1128">
        <f t="shared" si="149"/>
        <v>0</v>
      </c>
    </row>
    <row r="1106" spans="1:23" ht="54.95" customHeight="1" thickBot="1" x14ac:dyDescent="0.25">
      <c r="A1106" s="1117">
        <v>2019</v>
      </c>
      <c r="B1106" s="1117">
        <v>2019</v>
      </c>
      <c r="C1106" s="1436" t="s">
        <v>36</v>
      </c>
      <c r="D1106" s="1363" t="s">
        <v>37</v>
      </c>
      <c r="E1106" s="1350" t="s">
        <v>6645</v>
      </c>
      <c r="F1106" s="1437"/>
      <c r="G1106" s="1463" t="s">
        <v>6649</v>
      </c>
      <c r="H1106" s="1352">
        <v>1929.6</v>
      </c>
      <c r="I1106" s="1353">
        <v>43561</v>
      </c>
      <c r="J1106" s="1354">
        <f>+K1106-I1106</f>
        <v>91</v>
      </c>
      <c r="K1106" s="1353">
        <v>43652</v>
      </c>
      <c r="L1106" s="1353" t="s">
        <v>41</v>
      </c>
      <c r="M1106" s="1353">
        <v>43637</v>
      </c>
      <c r="N1106" s="1354">
        <f t="shared" si="147"/>
        <v>-7</v>
      </c>
      <c r="O1106" s="1427">
        <v>43645</v>
      </c>
      <c r="P1106" s="1438">
        <v>43647</v>
      </c>
      <c r="Q1106" s="1355">
        <v>43665</v>
      </c>
      <c r="R1106" s="1354">
        <f t="shared" si="151"/>
        <v>104</v>
      </c>
      <c r="S1106" s="1437" t="s">
        <v>53</v>
      </c>
      <c r="T1106" s="1370" t="s">
        <v>48</v>
      </c>
      <c r="U1106" s="1358" t="str">
        <f t="shared" si="150"/>
        <v>en término</v>
      </c>
      <c r="V1106" s="1130" t="str">
        <f t="shared" si="148"/>
        <v>Junio</v>
      </c>
      <c r="W1106" s="1128">
        <f t="shared" si="149"/>
        <v>1</v>
      </c>
    </row>
    <row r="1107" spans="1:23" ht="54.95" customHeight="1" thickBot="1" x14ac:dyDescent="0.25">
      <c r="A1107" s="1117">
        <v>2019</v>
      </c>
      <c r="B1107" s="1117">
        <v>2019</v>
      </c>
      <c r="C1107" s="1436" t="s">
        <v>36</v>
      </c>
      <c r="D1107" s="1363" t="s">
        <v>37</v>
      </c>
      <c r="E1107" s="1350" t="s">
        <v>6441</v>
      </c>
      <c r="F1107" s="1437">
        <v>4600557062</v>
      </c>
      <c r="G1107" s="1463" t="s">
        <v>6652</v>
      </c>
      <c r="H1107" s="1352">
        <v>2455.15</v>
      </c>
      <c r="I1107" s="1353">
        <v>43557</v>
      </c>
      <c r="J1107" s="1354">
        <f>+K1107-I1107</f>
        <v>90</v>
      </c>
      <c r="K1107" s="1353">
        <v>43647</v>
      </c>
      <c r="L1107" s="1353" t="s">
        <v>41</v>
      </c>
      <c r="M1107" s="1353">
        <v>43637</v>
      </c>
      <c r="N1107" s="1354">
        <f t="shared" si="147"/>
        <v>-2</v>
      </c>
      <c r="O1107" s="1427">
        <v>43645</v>
      </c>
      <c r="P1107" s="1438">
        <v>43647</v>
      </c>
      <c r="Q1107" s="1355">
        <v>43665</v>
      </c>
      <c r="R1107" s="1354">
        <f t="shared" si="151"/>
        <v>108</v>
      </c>
      <c r="S1107" s="1437" t="s">
        <v>53</v>
      </c>
      <c r="T1107" s="1370" t="s">
        <v>48</v>
      </c>
      <c r="U1107" s="1358" t="str">
        <f t="shared" si="150"/>
        <v>en término</v>
      </c>
      <c r="V1107" s="1130" t="str">
        <f t="shared" si="148"/>
        <v>Junio</v>
      </c>
      <c r="W1107" s="1128">
        <f t="shared" si="149"/>
        <v>1</v>
      </c>
    </row>
    <row r="1108" spans="1:23" ht="54.95" customHeight="1" thickBot="1" x14ac:dyDescent="0.25">
      <c r="A1108" s="1117">
        <v>2019</v>
      </c>
      <c r="B1108" s="1117">
        <v>2019</v>
      </c>
      <c r="C1108" s="1436" t="s">
        <v>36</v>
      </c>
      <c r="D1108" s="1363" t="s">
        <v>37</v>
      </c>
      <c r="E1108" s="1350" t="s">
        <v>6429</v>
      </c>
      <c r="F1108" s="1437">
        <v>4600558097</v>
      </c>
      <c r="G1108" s="1463" t="s">
        <v>6626</v>
      </c>
      <c r="H1108" s="1352">
        <v>194355</v>
      </c>
      <c r="I1108" s="1353">
        <v>43508</v>
      </c>
      <c r="J1108" s="1354">
        <v>123</v>
      </c>
      <c r="K1108" s="1353">
        <v>43661</v>
      </c>
      <c r="L1108" s="1353" t="s">
        <v>41</v>
      </c>
      <c r="M1108" s="1353">
        <v>43665</v>
      </c>
      <c r="N1108" s="1354">
        <f t="shared" si="147"/>
        <v>12</v>
      </c>
      <c r="O1108" s="1427">
        <v>43673</v>
      </c>
      <c r="P1108" s="1438">
        <v>43675</v>
      </c>
      <c r="Q1108" s="1355">
        <v>43693</v>
      </c>
      <c r="R1108" s="1354">
        <f t="shared" si="151"/>
        <v>185</v>
      </c>
      <c r="S1108" s="1437" t="s">
        <v>6722</v>
      </c>
      <c r="T1108" s="1370" t="s">
        <v>6622</v>
      </c>
      <c r="U1108" s="1358" t="str">
        <f t="shared" si="150"/>
        <v>atrasado</v>
      </c>
      <c r="V1108" s="1130" t="str">
        <f t="shared" si="148"/>
        <v>Julio</v>
      </c>
      <c r="W1108" s="1128">
        <f t="shared" si="149"/>
        <v>0</v>
      </c>
    </row>
    <row r="1109" spans="1:23" ht="54.95" customHeight="1" thickBot="1" x14ac:dyDescent="0.25">
      <c r="A1109" s="1117">
        <v>2019</v>
      </c>
      <c r="B1109" s="1117">
        <v>2019</v>
      </c>
      <c r="C1109" s="1436" t="s">
        <v>36</v>
      </c>
      <c r="D1109" s="1363" t="s">
        <v>37</v>
      </c>
      <c r="E1109" s="1350" t="s">
        <v>6441</v>
      </c>
      <c r="F1109" s="1437">
        <v>4600557062</v>
      </c>
      <c r="G1109" s="1463" t="s">
        <v>6658</v>
      </c>
      <c r="H1109" s="1352">
        <v>84296.44</v>
      </c>
      <c r="I1109" s="1353">
        <v>43585</v>
      </c>
      <c r="J1109" s="1354">
        <f>+K1109-I1109</f>
        <v>94</v>
      </c>
      <c r="K1109" s="1353">
        <v>43679</v>
      </c>
      <c r="L1109" s="1353" t="s">
        <v>41</v>
      </c>
      <c r="M1109" s="1353">
        <v>43665</v>
      </c>
      <c r="N1109" s="1354">
        <f t="shared" si="147"/>
        <v>-6</v>
      </c>
      <c r="O1109" s="1427">
        <v>43673</v>
      </c>
      <c r="P1109" s="1438">
        <v>43675</v>
      </c>
      <c r="Q1109" s="1355">
        <v>43693</v>
      </c>
      <c r="R1109" s="1354">
        <f t="shared" si="151"/>
        <v>108</v>
      </c>
      <c r="S1109" s="1437" t="s">
        <v>6718</v>
      </c>
      <c r="T1109" s="1370" t="s">
        <v>48</v>
      </c>
      <c r="U1109" s="1358" t="str">
        <f t="shared" si="150"/>
        <v>en término</v>
      </c>
      <c r="V1109" s="1130" t="str">
        <f t="shared" si="148"/>
        <v>Julio</v>
      </c>
      <c r="W1109" s="1128">
        <f t="shared" si="149"/>
        <v>1</v>
      </c>
    </row>
    <row r="1110" spans="1:23" ht="54.95" customHeight="1" thickBot="1" x14ac:dyDescent="0.25">
      <c r="A1110" s="1117">
        <v>2019</v>
      </c>
      <c r="B1110" s="1117">
        <v>2019</v>
      </c>
      <c r="C1110" s="1436" t="s">
        <v>36</v>
      </c>
      <c r="D1110" s="1363" t="s">
        <v>37</v>
      </c>
      <c r="E1110" s="1350" t="s">
        <v>65</v>
      </c>
      <c r="F1110" s="1437">
        <v>4600548677</v>
      </c>
      <c r="G1110" s="1463" t="s">
        <v>6659</v>
      </c>
      <c r="H1110" s="1352">
        <f>333*96</f>
        <v>31968</v>
      </c>
      <c r="I1110" s="1353">
        <v>43587</v>
      </c>
      <c r="J1110" s="1354">
        <f>+K1110-I1110</f>
        <v>92</v>
      </c>
      <c r="K1110" s="1353">
        <v>43679</v>
      </c>
      <c r="L1110" s="1353" t="s">
        <v>41</v>
      </c>
      <c r="M1110" s="1353">
        <v>43665</v>
      </c>
      <c r="N1110" s="1354">
        <f t="shared" si="147"/>
        <v>-6</v>
      </c>
      <c r="O1110" s="1427">
        <v>43673</v>
      </c>
      <c r="P1110" s="1438">
        <v>43675</v>
      </c>
      <c r="Q1110" s="1355">
        <v>43693</v>
      </c>
      <c r="R1110" s="1354">
        <f t="shared" si="151"/>
        <v>106</v>
      </c>
      <c r="S1110" s="1437" t="s">
        <v>6657</v>
      </c>
      <c r="T1110" s="1370" t="s">
        <v>48</v>
      </c>
      <c r="U1110" s="1358" t="str">
        <f t="shared" si="150"/>
        <v>en término</v>
      </c>
      <c r="V1110" s="1130" t="str">
        <f t="shared" si="148"/>
        <v>Julio</v>
      </c>
      <c r="W1110" s="1128">
        <f t="shared" si="149"/>
        <v>1</v>
      </c>
    </row>
    <row r="1111" spans="1:23" ht="54.95" customHeight="1" thickBot="1" x14ac:dyDescent="0.25">
      <c r="A1111" s="1117">
        <v>2019</v>
      </c>
      <c r="B1111" s="1117">
        <v>2019</v>
      </c>
      <c r="C1111" s="1436" t="s">
        <v>36</v>
      </c>
      <c r="D1111" s="1363" t="s">
        <v>37</v>
      </c>
      <c r="E1111" s="1350" t="s">
        <v>6441</v>
      </c>
      <c r="F1111" s="1437">
        <v>4600557062</v>
      </c>
      <c r="G1111" s="1463" t="s">
        <v>6660</v>
      </c>
      <c r="H1111" s="1352">
        <v>142725.20000000001</v>
      </c>
      <c r="I1111" s="1353">
        <v>43587</v>
      </c>
      <c r="J1111" s="1354">
        <f>+K1111-I1111</f>
        <v>92</v>
      </c>
      <c r="K1111" s="1353">
        <v>43679</v>
      </c>
      <c r="L1111" s="1353" t="s">
        <v>41</v>
      </c>
      <c r="M1111" s="1353">
        <v>43665</v>
      </c>
      <c r="N1111" s="1354">
        <f t="shared" si="147"/>
        <v>-6</v>
      </c>
      <c r="O1111" s="1427">
        <v>43673</v>
      </c>
      <c r="P1111" s="1438">
        <v>43675</v>
      </c>
      <c r="Q1111" s="1355">
        <v>43693</v>
      </c>
      <c r="R1111" s="1354">
        <f t="shared" si="151"/>
        <v>106</v>
      </c>
      <c r="S1111" s="1437" t="s">
        <v>6717</v>
      </c>
      <c r="T1111" s="1370" t="s">
        <v>48</v>
      </c>
      <c r="U1111" s="1358" t="str">
        <f t="shared" si="150"/>
        <v>en término</v>
      </c>
      <c r="V1111" s="1130" t="str">
        <f t="shared" si="148"/>
        <v>Julio</v>
      </c>
      <c r="W1111" s="1128">
        <f t="shared" si="149"/>
        <v>1</v>
      </c>
    </row>
    <row r="1112" spans="1:23" ht="54.95" customHeight="1" thickBot="1" x14ac:dyDescent="0.25">
      <c r="A1112" s="1117">
        <v>2019</v>
      </c>
      <c r="B1112" s="1117">
        <v>2019</v>
      </c>
      <c r="C1112" s="1436" t="s">
        <v>36</v>
      </c>
      <c r="D1112" s="1363" t="s">
        <v>37</v>
      </c>
      <c r="E1112" s="1350" t="s">
        <v>6441</v>
      </c>
      <c r="F1112" s="1437">
        <v>4600557062</v>
      </c>
      <c r="G1112" s="1463" t="s">
        <v>6662</v>
      </c>
      <c r="H1112" s="1352">
        <f>89000.7</f>
        <v>89000.7</v>
      </c>
      <c r="I1112" s="1353">
        <v>43588</v>
      </c>
      <c r="J1112" s="1354">
        <f>+K1112-I1112</f>
        <v>91</v>
      </c>
      <c r="K1112" s="1353">
        <v>43679</v>
      </c>
      <c r="L1112" s="1353" t="s">
        <v>41</v>
      </c>
      <c r="M1112" s="1353">
        <v>43665</v>
      </c>
      <c r="N1112" s="1354">
        <f t="shared" si="147"/>
        <v>-6</v>
      </c>
      <c r="O1112" s="1427">
        <v>43673</v>
      </c>
      <c r="P1112" s="1438">
        <v>43675</v>
      </c>
      <c r="Q1112" s="1355">
        <v>43693</v>
      </c>
      <c r="R1112" s="1354">
        <f t="shared" si="151"/>
        <v>105</v>
      </c>
      <c r="S1112" s="1437" t="s">
        <v>6726</v>
      </c>
      <c r="T1112" s="1370" t="s">
        <v>48</v>
      </c>
      <c r="U1112" s="1358" t="str">
        <f t="shared" si="150"/>
        <v>en término</v>
      </c>
      <c r="V1112" s="1130" t="str">
        <f t="shared" si="148"/>
        <v>Julio</v>
      </c>
      <c r="W1112" s="1128">
        <f t="shared" si="149"/>
        <v>1</v>
      </c>
    </row>
    <row r="1113" spans="1:23" ht="54.95" customHeight="1" thickBot="1" x14ac:dyDescent="0.25">
      <c r="A1113" s="1117">
        <v>2019</v>
      </c>
      <c r="B1113" s="1117">
        <v>2019</v>
      </c>
      <c r="C1113" s="1436" t="s">
        <v>36</v>
      </c>
      <c r="D1113" s="1363" t="s">
        <v>37</v>
      </c>
      <c r="E1113" s="1350" t="s">
        <v>6429</v>
      </c>
      <c r="F1113" s="1437">
        <v>4600558097</v>
      </c>
      <c r="G1113" s="1463" t="s">
        <v>6626</v>
      </c>
      <c r="H1113" s="1352">
        <v>195528</v>
      </c>
      <c r="I1113" s="1353">
        <v>43508</v>
      </c>
      <c r="J1113" s="1354">
        <v>123</v>
      </c>
      <c r="K1113" s="1353">
        <v>43692</v>
      </c>
      <c r="L1113" s="1353" t="s">
        <v>41</v>
      </c>
      <c r="M1113" s="1353">
        <v>43685</v>
      </c>
      <c r="N1113" s="1354">
        <f t="shared" si="147"/>
        <v>2</v>
      </c>
      <c r="O1113" s="1427">
        <v>43694</v>
      </c>
      <c r="P1113" s="1438">
        <v>43697</v>
      </c>
      <c r="Q1113" s="1355">
        <v>43714</v>
      </c>
      <c r="R1113" s="1354">
        <f t="shared" si="151"/>
        <v>206</v>
      </c>
      <c r="S1113" s="1437" t="s">
        <v>6721</v>
      </c>
      <c r="T1113" s="1370" t="s">
        <v>6622</v>
      </c>
      <c r="U1113" s="1358" t="str">
        <f t="shared" si="150"/>
        <v>atrasado</v>
      </c>
      <c r="V1113" s="1130" t="str">
        <f t="shared" si="148"/>
        <v>Agosto</v>
      </c>
      <c r="W1113" s="1128">
        <f t="shared" si="149"/>
        <v>0</v>
      </c>
    </row>
    <row r="1114" spans="1:23" ht="54.95" customHeight="1" thickBot="1" x14ac:dyDescent="0.25">
      <c r="A1114" s="1117">
        <v>2019</v>
      </c>
      <c r="B1114" s="1117">
        <v>2019</v>
      </c>
      <c r="C1114" s="1436" t="s">
        <v>36</v>
      </c>
      <c r="D1114" s="1363" t="s">
        <v>37</v>
      </c>
      <c r="E1114" s="1350" t="s">
        <v>6429</v>
      </c>
      <c r="F1114" s="1437">
        <v>4600558097</v>
      </c>
      <c r="G1114" s="1463" t="s">
        <v>6626</v>
      </c>
      <c r="H1114" s="1352">
        <v>196571</v>
      </c>
      <c r="I1114" s="1353">
        <v>43508</v>
      </c>
      <c r="J1114" s="1354">
        <v>123</v>
      </c>
      <c r="K1114" s="1353">
        <v>43723</v>
      </c>
      <c r="L1114" s="1353" t="s">
        <v>41</v>
      </c>
      <c r="M1114" s="1353">
        <v>43721</v>
      </c>
      <c r="N1114" s="1354">
        <f t="shared" si="147"/>
        <v>6</v>
      </c>
      <c r="O1114" s="1427">
        <v>43729</v>
      </c>
      <c r="P1114" s="1438">
        <v>43731</v>
      </c>
      <c r="Q1114" s="1355">
        <v>43749</v>
      </c>
      <c r="R1114" s="1354">
        <f t="shared" si="151"/>
        <v>241</v>
      </c>
      <c r="S1114" s="1437" t="s">
        <v>6720</v>
      </c>
      <c r="T1114" s="1370" t="s">
        <v>6622</v>
      </c>
      <c r="U1114" s="1358" t="str">
        <f t="shared" si="150"/>
        <v>atrasado</v>
      </c>
      <c r="V1114" s="1130" t="str">
        <f t="shared" si="148"/>
        <v>Septiembre</v>
      </c>
      <c r="W1114" s="1128">
        <f t="shared" si="149"/>
        <v>0</v>
      </c>
    </row>
    <row r="1115" spans="1:23" ht="54.95" customHeight="1" thickBot="1" x14ac:dyDescent="0.25">
      <c r="A1115" s="1117">
        <v>2019</v>
      </c>
      <c r="B1115" s="1117">
        <v>2019</v>
      </c>
      <c r="C1115" s="1436" t="s">
        <v>36</v>
      </c>
      <c r="D1115" s="1363" t="s">
        <v>37</v>
      </c>
      <c r="E1115" s="1350" t="s">
        <v>6441</v>
      </c>
      <c r="F1115" s="1437">
        <v>4600557062</v>
      </c>
      <c r="G1115" s="1463" t="s">
        <v>6661</v>
      </c>
      <c r="H1115" s="1352">
        <f>123309-34295.4</f>
        <v>89013.6</v>
      </c>
      <c r="I1115" s="1353">
        <v>43587</v>
      </c>
      <c r="J1115" s="1354">
        <f t="shared" ref="J1115:J1137" si="152">+K1115-I1115</f>
        <v>92</v>
      </c>
      <c r="K1115" s="1353">
        <v>43679</v>
      </c>
      <c r="L1115" s="1353" t="s">
        <v>41</v>
      </c>
      <c r="M1115" s="1353">
        <v>43685</v>
      </c>
      <c r="N1115" s="1354">
        <f t="shared" si="147"/>
        <v>15</v>
      </c>
      <c r="O1115" s="1427">
        <v>43694</v>
      </c>
      <c r="P1115" s="1438">
        <v>43697</v>
      </c>
      <c r="Q1115" s="1355">
        <v>43714</v>
      </c>
      <c r="R1115" s="1354">
        <f t="shared" si="151"/>
        <v>127</v>
      </c>
      <c r="S1115" s="1437" t="s">
        <v>6744</v>
      </c>
      <c r="T1115" s="1370" t="s">
        <v>48</v>
      </c>
      <c r="U1115" s="1358" t="str">
        <f t="shared" si="150"/>
        <v>atrasado</v>
      </c>
      <c r="V1115" s="1130" t="str">
        <f t="shared" si="148"/>
        <v>Agosto</v>
      </c>
      <c r="W1115" s="1128">
        <f t="shared" si="149"/>
        <v>0</v>
      </c>
    </row>
    <row r="1116" spans="1:23" ht="54.95" customHeight="1" thickBot="1" x14ac:dyDescent="0.25">
      <c r="A1116" s="1117">
        <v>2019</v>
      </c>
      <c r="B1116" s="1117">
        <v>2019</v>
      </c>
      <c r="C1116" s="1436" t="s">
        <v>36</v>
      </c>
      <c r="D1116" s="1363" t="s">
        <v>37</v>
      </c>
      <c r="E1116" s="1350" t="s">
        <v>6441</v>
      </c>
      <c r="F1116" s="1437">
        <v>4600557062</v>
      </c>
      <c r="G1116" s="1463" t="s">
        <v>6661</v>
      </c>
      <c r="H1116" s="1352">
        <v>34295.4</v>
      </c>
      <c r="I1116" s="1353">
        <v>43587</v>
      </c>
      <c r="J1116" s="1354">
        <f t="shared" si="152"/>
        <v>92</v>
      </c>
      <c r="K1116" s="1353">
        <v>43679</v>
      </c>
      <c r="L1116" s="1353" t="s">
        <v>41</v>
      </c>
      <c r="M1116" s="1353">
        <v>43742</v>
      </c>
      <c r="N1116" s="1354">
        <f t="shared" si="147"/>
        <v>71</v>
      </c>
      <c r="O1116" s="1427">
        <v>43750</v>
      </c>
      <c r="P1116" s="1438">
        <v>43753</v>
      </c>
      <c r="Q1116" s="1355">
        <v>43770</v>
      </c>
      <c r="R1116" s="1354">
        <f t="shared" si="151"/>
        <v>183</v>
      </c>
      <c r="S1116" s="1437" t="s">
        <v>6711</v>
      </c>
      <c r="T1116" s="1370" t="s">
        <v>48</v>
      </c>
      <c r="U1116" s="1358" t="str">
        <f t="shared" si="150"/>
        <v>atrasado</v>
      </c>
      <c r="V1116" s="1130" t="str">
        <f t="shared" si="148"/>
        <v>Octubre</v>
      </c>
      <c r="W1116" s="1128">
        <f t="shared" si="149"/>
        <v>0</v>
      </c>
    </row>
    <row r="1117" spans="1:23" ht="54.95" customHeight="1" thickBot="1" x14ac:dyDescent="0.25">
      <c r="A1117" s="1117">
        <v>2019</v>
      </c>
      <c r="B1117" s="1117">
        <v>2019</v>
      </c>
      <c r="C1117" s="1436" t="s">
        <v>36</v>
      </c>
      <c r="D1117" s="1363" t="s">
        <v>37</v>
      </c>
      <c r="E1117" s="1350" t="s">
        <v>6441</v>
      </c>
      <c r="F1117" s="1437">
        <v>4600557062</v>
      </c>
      <c r="G1117" s="1463" t="s">
        <v>6672</v>
      </c>
      <c r="H1117" s="1352">
        <v>51425.99</v>
      </c>
      <c r="I1117" s="1353">
        <v>43605</v>
      </c>
      <c r="J1117" s="1354">
        <f t="shared" si="152"/>
        <v>89</v>
      </c>
      <c r="K1117" s="1353">
        <v>43694</v>
      </c>
      <c r="L1117" s="1353" t="s">
        <v>41</v>
      </c>
      <c r="M1117" s="1353">
        <v>43685</v>
      </c>
      <c r="N1117" s="1354">
        <f t="shared" si="147"/>
        <v>0</v>
      </c>
      <c r="O1117" s="1427">
        <v>43694</v>
      </c>
      <c r="P1117" s="1438">
        <v>43697</v>
      </c>
      <c r="Q1117" s="1355">
        <v>43714</v>
      </c>
      <c r="R1117" s="1354">
        <f t="shared" si="151"/>
        <v>109</v>
      </c>
      <c r="S1117" s="1437" t="s">
        <v>6745</v>
      </c>
      <c r="T1117" s="1370" t="s">
        <v>48</v>
      </c>
      <c r="U1117" s="1358" t="str">
        <f t="shared" si="150"/>
        <v>en término</v>
      </c>
      <c r="V1117" s="1130" t="str">
        <f t="shared" si="148"/>
        <v>Agosto</v>
      </c>
      <c r="W1117" s="1128">
        <f t="shared" si="149"/>
        <v>1</v>
      </c>
    </row>
    <row r="1118" spans="1:23" ht="54.95" customHeight="1" thickBot="1" x14ac:dyDescent="0.25">
      <c r="A1118" s="1117">
        <v>2019</v>
      </c>
      <c r="B1118" s="1117">
        <v>2019</v>
      </c>
      <c r="C1118" s="1436" t="s">
        <v>36</v>
      </c>
      <c r="D1118" s="1363" t="s">
        <v>37</v>
      </c>
      <c r="E1118" s="1350" t="s">
        <v>6441</v>
      </c>
      <c r="F1118" s="1437">
        <v>4600557062</v>
      </c>
      <c r="G1118" s="1463" t="s">
        <v>6673</v>
      </c>
      <c r="H1118" s="1352">
        <v>278.3</v>
      </c>
      <c r="I1118" s="1353">
        <v>43605</v>
      </c>
      <c r="J1118" s="1354">
        <f t="shared" si="152"/>
        <v>89</v>
      </c>
      <c r="K1118" s="1353">
        <v>43694</v>
      </c>
      <c r="L1118" s="1353" t="s">
        <v>41</v>
      </c>
      <c r="M1118" s="1353">
        <v>43685</v>
      </c>
      <c r="N1118" s="1354">
        <f t="shared" si="147"/>
        <v>0</v>
      </c>
      <c r="O1118" s="1427">
        <v>43694</v>
      </c>
      <c r="P1118" s="1438">
        <v>43697</v>
      </c>
      <c r="Q1118" s="1355">
        <v>43714</v>
      </c>
      <c r="R1118" s="1354">
        <f t="shared" si="151"/>
        <v>109</v>
      </c>
      <c r="S1118" s="1437" t="s">
        <v>6746</v>
      </c>
      <c r="T1118" s="1370" t="s">
        <v>48</v>
      </c>
      <c r="U1118" s="1358" t="str">
        <f t="shared" si="150"/>
        <v>en término</v>
      </c>
      <c r="V1118" s="1130" t="str">
        <f t="shared" si="148"/>
        <v>Agosto</v>
      </c>
      <c r="W1118" s="1128">
        <f t="shared" si="149"/>
        <v>1</v>
      </c>
    </row>
    <row r="1119" spans="1:23" ht="54.95" customHeight="1" thickBot="1" x14ac:dyDescent="0.25">
      <c r="A1119" s="1117">
        <v>2019</v>
      </c>
      <c r="B1119" s="1117">
        <v>2019</v>
      </c>
      <c r="C1119" s="1436" t="s">
        <v>36</v>
      </c>
      <c r="D1119" s="1363" t="s">
        <v>37</v>
      </c>
      <c r="E1119" s="1350" t="s">
        <v>6441</v>
      </c>
      <c r="F1119" s="1437">
        <v>4600557062</v>
      </c>
      <c r="G1119" s="1463" t="s">
        <v>6670</v>
      </c>
      <c r="H1119" s="1352">
        <f>79711.6-5570.36</f>
        <v>74141.240000000005</v>
      </c>
      <c r="I1119" s="1353">
        <v>43614</v>
      </c>
      <c r="J1119" s="1354">
        <f t="shared" si="152"/>
        <v>89</v>
      </c>
      <c r="K1119" s="1353">
        <v>43703</v>
      </c>
      <c r="L1119" s="1353" t="s">
        <v>41</v>
      </c>
      <c r="M1119" s="1353">
        <v>43700</v>
      </c>
      <c r="N1119" s="1354">
        <f t="shared" ref="N1119:N1146" si="153">IF(O1119="","",+O1119-K1119)</f>
        <v>5</v>
      </c>
      <c r="O1119" s="1427">
        <v>43708</v>
      </c>
      <c r="P1119" s="1438">
        <v>43711</v>
      </c>
      <c r="Q1119" s="1355">
        <v>43728</v>
      </c>
      <c r="R1119" s="1354">
        <f t="shared" si="151"/>
        <v>114</v>
      </c>
      <c r="S1119" s="1437" t="s">
        <v>6709</v>
      </c>
      <c r="T1119" s="1370" t="s">
        <v>48</v>
      </c>
      <c r="U1119" s="1358" t="str">
        <f t="shared" si="150"/>
        <v>atrasado</v>
      </c>
      <c r="V1119" s="1130" t="str">
        <f t="shared" si="148"/>
        <v>Agosto</v>
      </c>
      <c r="W1119" s="1128">
        <f t="shared" si="149"/>
        <v>0</v>
      </c>
    </row>
    <row r="1120" spans="1:23" ht="54.95" customHeight="1" thickBot="1" x14ac:dyDescent="0.25">
      <c r="A1120" s="1117">
        <v>2019</v>
      </c>
      <c r="B1120" s="1117">
        <v>2019</v>
      </c>
      <c r="C1120" s="1436" t="s">
        <v>36</v>
      </c>
      <c r="D1120" s="1363" t="s">
        <v>37</v>
      </c>
      <c r="E1120" s="1350" t="s">
        <v>6441</v>
      </c>
      <c r="F1120" s="1437">
        <v>4600557062</v>
      </c>
      <c r="G1120" s="1463" t="s">
        <v>6670</v>
      </c>
      <c r="H1120" s="1352">
        <v>5570.36</v>
      </c>
      <c r="I1120" s="1353">
        <v>43614</v>
      </c>
      <c r="J1120" s="1354">
        <f t="shared" si="152"/>
        <v>89</v>
      </c>
      <c r="K1120" s="1353">
        <v>43703</v>
      </c>
      <c r="L1120" s="1353" t="s">
        <v>41</v>
      </c>
      <c r="M1120" s="1353">
        <v>43784</v>
      </c>
      <c r="N1120" s="1354">
        <f t="shared" si="153"/>
        <v>89</v>
      </c>
      <c r="O1120" s="1427">
        <v>43792</v>
      </c>
      <c r="P1120" s="1438">
        <v>43794</v>
      </c>
      <c r="Q1120" s="1355">
        <v>43812</v>
      </c>
      <c r="R1120" s="1354">
        <f t="shared" si="151"/>
        <v>198</v>
      </c>
      <c r="S1120" s="1437" t="s">
        <v>6710</v>
      </c>
      <c r="T1120" s="1370" t="s">
        <v>48</v>
      </c>
      <c r="U1120" s="1358" t="str">
        <f t="shared" si="150"/>
        <v>atrasado</v>
      </c>
      <c r="V1120" s="1130" t="str">
        <f t="shared" si="148"/>
        <v>Noviembre</v>
      </c>
      <c r="W1120" s="1128">
        <f t="shared" si="149"/>
        <v>0</v>
      </c>
    </row>
    <row r="1121" spans="1:23" ht="54.95" customHeight="1" thickBot="1" x14ac:dyDescent="0.25">
      <c r="A1121" s="1117">
        <v>2019</v>
      </c>
      <c r="B1121" s="1117">
        <v>2019</v>
      </c>
      <c r="C1121" s="1436" t="s">
        <v>36</v>
      </c>
      <c r="D1121" s="1363" t="s">
        <v>37</v>
      </c>
      <c r="E1121" s="1350" t="s">
        <v>6441</v>
      </c>
      <c r="F1121" s="1437">
        <v>4600557062</v>
      </c>
      <c r="G1121" s="1463" t="s">
        <v>6671</v>
      </c>
      <c r="H1121" s="1352">
        <v>323.45999999999998</v>
      </c>
      <c r="I1121" s="1353">
        <v>43614</v>
      </c>
      <c r="J1121" s="1354">
        <f t="shared" si="152"/>
        <v>89</v>
      </c>
      <c r="K1121" s="1353">
        <v>43703</v>
      </c>
      <c r="L1121" s="1353" t="s">
        <v>41</v>
      </c>
      <c r="M1121" s="1353">
        <v>43685</v>
      </c>
      <c r="N1121" s="1354">
        <f t="shared" si="153"/>
        <v>-9</v>
      </c>
      <c r="O1121" s="1427">
        <v>43694</v>
      </c>
      <c r="P1121" s="1438">
        <v>43697</v>
      </c>
      <c r="Q1121" s="1355">
        <v>43714</v>
      </c>
      <c r="R1121" s="1354">
        <f t="shared" si="151"/>
        <v>100</v>
      </c>
      <c r="S1121" s="1437" t="s">
        <v>53</v>
      </c>
      <c r="T1121" s="1370" t="s">
        <v>48</v>
      </c>
      <c r="U1121" s="1358" t="str">
        <f t="shared" si="150"/>
        <v>en término</v>
      </c>
      <c r="V1121" s="1130" t="str">
        <f t="shared" si="148"/>
        <v>Agosto</v>
      </c>
      <c r="W1121" s="1128">
        <f t="shared" si="149"/>
        <v>1</v>
      </c>
    </row>
    <row r="1122" spans="1:23" ht="54.95" customHeight="1" thickBot="1" x14ac:dyDescent="0.25">
      <c r="A1122" s="1117">
        <v>2019</v>
      </c>
      <c r="B1122" s="1117">
        <v>2019</v>
      </c>
      <c r="C1122" s="1436" t="s">
        <v>36</v>
      </c>
      <c r="D1122" s="1363" t="s">
        <v>37</v>
      </c>
      <c r="E1122" s="1350" t="s">
        <v>6441</v>
      </c>
      <c r="F1122" s="1437">
        <v>4600557062</v>
      </c>
      <c r="G1122" s="1463" t="s">
        <v>6685</v>
      </c>
      <c r="H1122" s="1352">
        <v>56538.38</v>
      </c>
      <c r="I1122" s="1353">
        <v>43614</v>
      </c>
      <c r="J1122" s="1354">
        <f t="shared" si="152"/>
        <v>89</v>
      </c>
      <c r="K1122" s="1353">
        <v>43703</v>
      </c>
      <c r="L1122" s="1353" t="s">
        <v>41</v>
      </c>
      <c r="M1122" s="1353">
        <v>43700</v>
      </c>
      <c r="N1122" s="1354">
        <f t="shared" si="153"/>
        <v>5</v>
      </c>
      <c r="O1122" s="1427">
        <v>43708</v>
      </c>
      <c r="P1122" s="1438">
        <v>43711</v>
      </c>
      <c r="Q1122" s="1355">
        <v>43728</v>
      </c>
      <c r="R1122" s="1354">
        <f t="shared" si="151"/>
        <v>114</v>
      </c>
      <c r="S1122" s="1437" t="s">
        <v>6667</v>
      </c>
      <c r="T1122" s="1370" t="s">
        <v>48</v>
      </c>
      <c r="U1122" s="1358" t="str">
        <f t="shared" si="150"/>
        <v>atrasado</v>
      </c>
      <c r="V1122" s="1130" t="str">
        <f t="shared" si="148"/>
        <v>Agosto</v>
      </c>
      <c r="W1122" s="1128">
        <f t="shared" si="149"/>
        <v>0</v>
      </c>
    </row>
    <row r="1123" spans="1:23" ht="54.95" customHeight="1" thickBot="1" x14ac:dyDescent="0.25">
      <c r="A1123" s="1117">
        <v>2019</v>
      </c>
      <c r="B1123" s="1117">
        <v>2019</v>
      </c>
      <c r="C1123" s="1436" t="s">
        <v>36</v>
      </c>
      <c r="D1123" s="1363" t="s">
        <v>37</v>
      </c>
      <c r="E1123" s="1350" t="s">
        <v>6441</v>
      </c>
      <c r="F1123" s="1437">
        <v>4600557062</v>
      </c>
      <c r="G1123" s="1463" t="s">
        <v>6686</v>
      </c>
      <c r="H1123" s="1352">
        <v>874</v>
      </c>
      <c r="I1123" s="1353">
        <v>43619</v>
      </c>
      <c r="J1123" s="1354">
        <f t="shared" si="152"/>
        <v>90</v>
      </c>
      <c r="K1123" s="1353">
        <v>43709</v>
      </c>
      <c r="L1123" s="1353" t="s">
        <v>41</v>
      </c>
      <c r="M1123" s="1353">
        <v>43700</v>
      </c>
      <c r="N1123" s="1354">
        <f t="shared" si="153"/>
        <v>-1</v>
      </c>
      <c r="O1123" s="1427">
        <v>43708</v>
      </c>
      <c r="P1123" s="1438">
        <v>43711</v>
      </c>
      <c r="Q1123" s="1355">
        <v>43728</v>
      </c>
      <c r="R1123" s="1354">
        <f t="shared" si="151"/>
        <v>109</v>
      </c>
      <c r="S1123" s="1437" t="s">
        <v>6702</v>
      </c>
      <c r="T1123" s="1370" t="s">
        <v>48</v>
      </c>
      <c r="U1123" s="1358" t="str">
        <f t="shared" si="150"/>
        <v>en término</v>
      </c>
      <c r="V1123" s="1130" t="str">
        <f t="shared" si="148"/>
        <v>Agosto</v>
      </c>
      <c r="W1123" s="1128">
        <f t="shared" si="149"/>
        <v>1</v>
      </c>
    </row>
    <row r="1124" spans="1:23" ht="54.95" customHeight="1" thickBot="1" x14ac:dyDescent="0.25">
      <c r="A1124" s="1117">
        <v>2019</v>
      </c>
      <c r="B1124" s="1117">
        <v>2019</v>
      </c>
      <c r="C1124" s="1436" t="s">
        <v>36</v>
      </c>
      <c r="D1124" s="1363" t="s">
        <v>37</v>
      </c>
      <c r="E1124" s="1350" t="s">
        <v>6441</v>
      </c>
      <c r="F1124" s="1437">
        <v>4600557062</v>
      </c>
      <c r="G1124" s="1463" t="s">
        <v>6704</v>
      </c>
      <c r="H1124" s="1352">
        <f>77021.57-3279.77</f>
        <v>73741.8</v>
      </c>
      <c r="I1124" s="1353">
        <v>43627</v>
      </c>
      <c r="J1124" s="1354">
        <f t="shared" si="152"/>
        <v>90</v>
      </c>
      <c r="K1124" s="1353">
        <v>43717</v>
      </c>
      <c r="L1124" s="1353" t="s">
        <v>41</v>
      </c>
      <c r="M1124" s="1353">
        <v>43700</v>
      </c>
      <c r="N1124" s="1354">
        <f t="shared" si="153"/>
        <v>-9</v>
      </c>
      <c r="O1124" s="1427">
        <v>43708</v>
      </c>
      <c r="P1124" s="1438">
        <v>43711</v>
      </c>
      <c r="Q1124" s="1355">
        <v>43728</v>
      </c>
      <c r="R1124" s="1354">
        <f t="shared" si="151"/>
        <v>101</v>
      </c>
      <c r="S1124" s="1437" t="s">
        <v>6760</v>
      </c>
      <c r="T1124" s="1370" t="s">
        <v>48</v>
      </c>
      <c r="U1124" s="1358" t="str">
        <f t="shared" si="150"/>
        <v>en término</v>
      </c>
      <c r="V1124" s="1130" t="str">
        <f t="shared" si="148"/>
        <v>Agosto</v>
      </c>
      <c r="W1124" s="1128">
        <f t="shared" si="149"/>
        <v>1</v>
      </c>
    </row>
    <row r="1125" spans="1:23" ht="54.95" customHeight="1" thickBot="1" x14ac:dyDescent="0.25">
      <c r="A1125" s="1117">
        <v>2019</v>
      </c>
      <c r="B1125" s="1117">
        <v>2019</v>
      </c>
      <c r="C1125" s="1436" t="s">
        <v>36</v>
      </c>
      <c r="D1125" s="1363" t="s">
        <v>37</v>
      </c>
      <c r="E1125" s="1350" t="s">
        <v>6441</v>
      </c>
      <c r="F1125" s="1437">
        <v>4600557062</v>
      </c>
      <c r="G1125" s="1463" t="s">
        <v>6704</v>
      </c>
      <c r="H1125" s="1352">
        <v>3279.77</v>
      </c>
      <c r="I1125" s="1353">
        <v>43627</v>
      </c>
      <c r="J1125" s="1354">
        <f t="shared" si="152"/>
        <v>90</v>
      </c>
      <c r="K1125" s="1353">
        <v>43717</v>
      </c>
      <c r="L1125" s="1353" t="s">
        <v>41</v>
      </c>
      <c r="M1125" s="1353">
        <v>43721</v>
      </c>
      <c r="N1125" s="1354">
        <f t="shared" si="153"/>
        <v>12</v>
      </c>
      <c r="O1125" s="1427">
        <v>43729</v>
      </c>
      <c r="P1125" s="1438">
        <v>43731</v>
      </c>
      <c r="Q1125" s="1355">
        <v>43749</v>
      </c>
      <c r="R1125" s="1354">
        <f t="shared" si="151"/>
        <v>122</v>
      </c>
      <c r="S1125" s="1437" t="s">
        <v>6759</v>
      </c>
      <c r="T1125" s="1370" t="s">
        <v>48</v>
      </c>
      <c r="U1125" s="1358" t="str">
        <f t="shared" si="150"/>
        <v>atrasado</v>
      </c>
      <c r="V1125" s="1130" t="str">
        <f t="shared" si="148"/>
        <v>Septiembre</v>
      </c>
      <c r="W1125" s="1128">
        <f t="shared" si="149"/>
        <v>0</v>
      </c>
    </row>
    <row r="1126" spans="1:23" ht="54.95" customHeight="1" thickBot="1" x14ac:dyDescent="0.25">
      <c r="A1126" s="1117">
        <v>2019</v>
      </c>
      <c r="B1126" s="1117">
        <v>2019</v>
      </c>
      <c r="C1126" s="1436" t="s">
        <v>36</v>
      </c>
      <c r="D1126" s="1363" t="s">
        <v>37</v>
      </c>
      <c r="E1126" s="1350" t="s">
        <v>6441</v>
      </c>
      <c r="F1126" s="1437">
        <v>4600557062</v>
      </c>
      <c r="G1126" s="1463" t="s">
        <v>6735</v>
      </c>
      <c r="H1126" s="1352">
        <v>17314.32</v>
      </c>
      <c r="I1126" s="1353">
        <v>43664</v>
      </c>
      <c r="J1126" s="1354">
        <f t="shared" si="152"/>
        <v>89</v>
      </c>
      <c r="K1126" s="1353">
        <v>43753</v>
      </c>
      <c r="L1126" s="1353" t="s">
        <v>41</v>
      </c>
      <c r="M1126" s="1353">
        <v>43742</v>
      </c>
      <c r="N1126" s="1354">
        <f t="shared" si="153"/>
        <v>-3</v>
      </c>
      <c r="O1126" s="1427">
        <v>43750</v>
      </c>
      <c r="P1126" s="1438">
        <v>43753</v>
      </c>
      <c r="Q1126" s="1355">
        <v>43770</v>
      </c>
      <c r="R1126" s="1354">
        <f t="shared" si="151"/>
        <v>106</v>
      </c>
      <c r="S1126" s="1437" t="s">
        <v>6730</v>
      </c>
      <c r="T1126" s="1370" t="s">
        <v>48</v>
      </c>
      <c r="U1126" s="1358" t="str">
        <f t="shared" si="150"/>
        <v>en término</v>
      </c>
      <c r="V1126" s="1130" t="str">
        <f t="shared" si="148"/>
        <v>Octubre</v>
      </c>
      <c r="W1126" s="1128">
        <f t="shared" si="149"/>
        <v>1</v>
      </c>
    </row>
    <row r="1127" spans="1:23" ht="54.95" customHeight="1" thickBot="1" x14ac:dyDescent="0.25">
      <c r="A1127" s="1117">
        <v>2019</v>
      </c>
      <c r="B1127" s="1117">
        <v>2019</v>
      </c>
      <c r="C1127" s="1436" t="s">
        <v>36</v>
      </c>
      <c r="D1127" s="1363" t="s">
        <v>37</v>
      </c>
      <c r="E1127" s="1350" t="s">
        <v>6441</v>
      </c>
      <c r="F1127" s="1437">
        <v>4600557062</v>
      </c>
      <c r="G1127" s="1463" t="s">
        <v>6734</v>
      </c>
      <c r="H1127" s="1352">
        <v>4421.9799999999996</v>
      </c>
      <c r="I1127" s="1353">
        <v>43664</v>
      </c>
      <c r="J1127" s="1354">
        <f t="shared" si="152"/>
        <v>89</v>
      </c>
      <c r="K1127" s="1353">
        <v>43753</v>
      </c>
      <c r="L1127" s="1353" t="s">
        <v>41</v>
      </c>
      <c r="M1127" s="1353">
        <v>43742</v>
      </c>
      <c r="N1127" s="1354">
        <f t="shared" si="153"/>
        <v>-3</v>
      </c>
      <c r="O1127" s="1427">
        <v>43750</v>
      </c>
      <c r="P1127" s="1438">
        <v>43753</v>
      </c>
      <c r="Q1127" s="1355">
        <v>43770</v>
      </c>
      <c r="R1127" s="1354">
        <f t="shared" si="151"/>
        <v>106</v>
      </c>
      <c r="S1127" s="1437" t="s">
        <v>53</v>
      </c>
      <c r="T1127" s="1370" t="s">
        <v>48</v>
      </c>
      <c r="U1127" s="1358" t="str">
        <f t="shared" si="150"/>
        <v>en término</v>
      </c>
      <c r="V1127" s="1130" t="str">
        <f t="shared" si="148"/>
        <v>Octubre</v>
      </c>
      <c r="W1127" s="1128">
        <f t="shared" si="149"/>
        <v>1</v>
      </c>
    </row>
    <row r="1128" spans="1:23" ht="54.95" customHeight="1" thickBot="1" x14ac:dyDescent="0.25">
      <c r="A1128" s="1117">
        <v>2019</v>
      </c>
      <c r="B1128" s="1117">
        <v>2019</v>
      </c>
      <c r="C1128" s="1436" t="s">
        <v>36</v>
      </c>
      <c r="D1128" s="1363" t="s">
        <v>37</v>
      </c>
      <c r="E1128" s="1350" t="s">
        <v>6441</v>
      </c>
      <c r="F1128" s="1437">
        <v>4600557062</v>
      </c>
      <c r="G1128" s="1463" t="s">
        <v>6736</v>
      </c>
      <c r="H1128" s="1352">
        <v>6652.17</v>
      </c>
      <c r="I1128" s="1353">
        <v>43664</v>
      </c>
      <c r="J1128" s="1354">
        <f t="shared" si="152"/>
        <v>89</v>
      </c>
      <c r="K1128" s="1353">
        <v>43753</v>
      </c>
      <c r="L1128" s="1353" t="s">
        <v>41</v>
      </c>
      <c r="M1128" s="1353">
        <v>43742</v>
      </c>
      <c r="N1128" s="1354">
        <f t="shared" si="153"/>
        <v>-3</v>
      </c>
      <c r="O1128" s="1427">
        <v>43750</v>
      </c>
      <c r="P1128" s="1438">
        <v>43753</v>
      </c>
      <c r="Q1128" s="1355">
        <v>43770</v>
      </c>
      <c r="R1128" s="1354">
        <f t="shared" si="151"/>
        <v>106</v>
      </c>
      <c r="S1128" s="1437" t="s">
        <v>53</v>
      </c>
      <c r="T1128" s="1370" t="s">
        <v>48</v>
      </c>
      <c r="U1128" s="1358" t="str">
        <f t="shared" si="150"/>
        <v>en término</v>
      </c>
      <c r="V1128" s="1130" t="str">
        <f t="shared" si="148"/>
        <v>Octubre</v>
      </c>
      <c r="W1128" s="1128">
        <f t="shared" si="149"/>
        <v>1</v>
      </c>
    </row>
    <row r="1129" spans="1:23" ht="54.95" customHeight="1" thickBot="1" x14ac:dyDescent="0.25">
      <c r="A1129" s="1117">
        <v>2019</v>
      </c>
      <c r="B1129" s="1117">
        <v>2019</v>
      </c>
      <c r="C1129" s="1436" t="s">
        <v>36</v>
      </c>
      <c r="D1129" s="1363" t="s">
        <v>37</v>
      </c>
      <c r="E1129" s="1350" t="s">
        <v>6441</v>
      </c>
      <c r="F1129" s="1437">
        <v>4600557062</v>
      </c>
      <c r="G1129" s="1463" t="s">
        <v>6747</v>
      </c>
      <c r="H1129" s="1352">
        <v>160285</v>
      </c>
      <c r="I1129" s="1353">
        <v>43646</v>
      </c>
      <c r="J1129" s="1354">
        <f t="shared" si="152"/>
        <v>121</v>
      </c>
      <c r="K1129" s="1353">
        <v>43767</v>
      </c>
      <c r="L1129" s="1353" t="s">
        <v>41</v>
      </c>
      <c r="M1129" s="1353">
        <v>43784</v>
      </c>
      <c r="N1129" s="1354">
        <f t="shared" si="153"/>
        <v>25</v>
      </c>
      <c r="O1129" s="1427">
        <v>43792</v>
      </c>
      <c r="P1129" s="1438">
        <v>43794</v>
      </c>
      <c r="Q1129" s="1355">
        <v>43812</v>
      </c>
      <c r="R1129" s="1354">
        <f t="shared" si="151"/>
        <v>166</v>
      </c>
      <c r="S1129" s="1437" t="s">
        <v>6821</v>
      </c>
      <c r="T1129" s="1370" t="s">
        <v>48</v>
      </c>
      <c r="U1129" s="1358" t="str">
        <f t="shared" si="150"/>
        <v>atrasado</v>
      </c>
      <c r="V1129" s="1130" t="str">
        <f t="shared" si="148"/>
        <v>Noviembre</v>
      </c>
      <c r="W1129" s="1128">
        <f t="shared" si="149"/>
        <v>0</v>
      </c>
    </row>
    <row r="1130" spans="1:23" ht="54.95" customHeight="1" thickBot="1" x14ac:dyDescent="0.25">
      <c r="A1130" s="1117">
        <v>2019</v>
      </c>
      <c r="B1130" s="1117">
        <v>2019</v>
      </c>
      <c r="C1130" s="1436" t="s">
        <v>36</v>
      </c>
      <c r="D1130" s="1363" t="s">
        <v>37</v>
      </c>
      <c r="E1130" s="1350" t="s">
        <v>6441</v>
      </c>
      <c r="F1130" s="1437">
        <v>4600557062</v>
      </c>
      <c r="G1130" s="1463" t="s">
        <v>6751</v>
      </c>
      <c r="H1130" s="1352">
        <v>77069.25</v>
      </c>
      <c r="I1130" s="1353">
        <v>43688</v>
      </c>
      <c r="J1130" s="1354">
        <f t="shared" si="152"/>
        <v>131</v>
      </c>
      <c r="K1130" s="1353">
        <v>43819</v>
      </c>
      <c r="L1130" s="1353" t="s">
        <v>41</v>
      </c>
      <c r="M1130" s="1353">
        <v>43805</v>
      </c>
      <c r="N1130" s="1354">
        <f t="shared" si="153"/>
        <v>-6</v>
      </c>
      <c r="O1130" s="1427">
        <v>43813</v>
      </c>
      <c r="P1130" s="1438">
        <v>43815</v>
      </c>
      <c r="Q1130" s="1355">
        <v>43833</v>
      </c>
      <c r="R1130" s="1354">
        <f t="shared" si="151"/>
        <v>145</v>
      </c>
      <c r="S1130" s="1437" t="s">
        <v>6743</v>
      </c>
      <c r="T1130" s="1370" t="s">
        <v>48</v>
      </c>
      <c r="U1130" s="1358" t="str">
        <f t="shared" si="150"/>
        <v>en término</v>
      </c>
      <c r="V1130" s="1130" t="str">
        <f t="shared" si="148"/>
        <v>Diciembre</v>
      </c>
      <c r="W1130" s="1128">
        <f t="shared" si="149"/>
        <v>1</v>
      </c>
    </row>
    <row r="1131" spans="1:23" ht="54.95" customHeight="1" thickBot="1" x14ac:dyDescent="0.25">
      <c r="A1131" s="1117">
        <v>2019</v>
      </c>
      <c r="B1131" s="1117">
        <v>2019</v>
      </c>
      <c r="C1131" s="1436" t="s">
        <v>36</v>
      </c>
      <c r="D1131" s="1363" t="s">
        <v>37</v>
      </c>
      <c r="E1131" s="1350" t="s">
        <v>6749</v>
      </c>
      <c r="F1131" s="1437"/>
      <c r="G1131" s="1463" t="s">
        <v>6764</v>
      </c>
      <c r="H1131" s="1352">
        <v>31200</v>
      </c>
      <c r="I1131" s="1353">
        <v>43684</v>
      </c>
      <c r="J1131" s="1354">
        <f t="shared" si="152"/>
        <v>135</v>
      </c>
      <c r="K1131" s="1353">
        <v>43819</v>
      </c>
      <c r="L1131" s="1353" t="s">
        <v>41</v>
      </c>
      <c r="M1131" s="1353">
        <v>43805</v>
      </c>
      <c r="N1131" s="1354">
        <f t="shared" si="153"/>
        <v>-6</v>
      </c>
      <c r="O1131" s="1427">
        <v>43813</v>
      </c>
      <c r="P1131" s="1438">
        <v>43815</v>
      </c>
      <c r="Q1131" s="1355">
        <v>43833</v>
      </c>
      <c r="R1131" s="1354">
        <f t="shared" si="151"/>
        <v>149</v>
      </c>
      <c r="S1131" s="1437" t="s">
        <v>6748</v>
      </c>
      <c r="T1131" s="1370" t="s">
        <v>48</v>
      </c>
      <c r="U1131" s="1358" t="str">
        <f t="shared" si="150"/>
        <v>en término</v>
      </c>
      <c r="V1131" s="1130" t="str">
        <f t="shared" si="148"/>
        <v>Diciembre</v>
      </c>
      <c r="W1131" s="1128">
        <f t="shared" si="149"/>
        <v>1</v>
      </c>
    </row>
    <row r="1132" spans="1:23" ht="54.95" customHeight="1" thickBot="1" x14ac:dyDescent="0.25">
      <c r="A1132" s="1117">
        <v>2019</v>
      </c>
      <c r="B1132" s="1117">
        <v>2019</v>
      </c>
      <c r="C1132" s="1436" t="s">
        <v>36</v>
      </c>
      <c r="D1132" s="1363" t="s">
        <v>37</v>
      </c>
      <c r="E1132" s="1350" t="s">
        <v>6750</v>
      </c>
      <c r="F1132" s="1437"/>
      <c r="G1132" s="1463" t="s">
        <v>6765</v>
      </c>
      <c r="H1132" s="1352">
        <v>3916</v>
      </c>
      <c r="I1132" s="1353">
        <v>43683</v>
      </c>
      <c r="J1132" s="1354">
        <f t="shared" si="152"/>
        <v>129</v>
      </c>
      <c r="K1132" s="1353">
        <v>43812</v>
      </c>
      <c r="L1132" s="1353" t="s">
        <v>41</v>
      </c>
      <c r="M1132" s="1353">
        <v>43805</v>
      </c>
      <c r="N1132" s="1354">
        <f t="shared" si="153"/>
        <v>1</v>
      </c>
      <c r="O1132" s="1427">
        <v>43813</v>
      </c>
      <c r="P1132" s="1438">
        <v>43815</v>
      </c>
      <c r="Q1132" s="1355">
        <v>43833</v>
      </c>
      <c r="R1132" s="1354">
        <f t="shared" si="151"/>
        <v>150</v>
      </c>
      <c r="S1132" s="1437" t="s">
        <v>53</v>
      </c>
      <c r="T1132" s="1370" t="s">
        <v>48</v>
      </c>
      <c r="U1132" s="1358" t="str">
        <f t="shared" si="150"/>
        <v>atrasado</v>
      </c>
      <c r="V1132" s="1130" t="str">
        <f t="shared" si="148"/>
        <v>Diciembre</v>
      </c>
      <c r="W1132" s="1128">
        <f t="shared" si="149"/>
        <v>0</v>
      </c>
    </row>
    <row r="1133" spans="1:23" ht="54.95" customHeight="1" thickBot="1" x14ac:dyDescent="0.25">
      <c r="A1133" s="1117">
        <v>2019</v>
      </c>
      <c r="B1133" s="1117">
        <v>2019</v>
      </c>
      <c r="C1133" s="1436" t="s">
        <v>36</v>
      </c>
      <c r="D1133" s="1363" t="s">
        <v>37</v>
      </c>
      <c r="E1133" s="1350" t="s">
        <v>65</v>
      </c>
      <c r="F1133" s="1437">
        <v>4600548677</v>
      </c>
      <c r="G1133" s="1463" t="s">
        <v>6763</v>
      </c>
      <c r="H1133" s="1352">
        <v>3330</v>
      </c>
      <c r="I1133" s="1353">
        <v>43703</v>
      </c>
      <c r="J1133" s="1354">
        <f t="shared" si="152"/>
        <v>78</v>
      </c>
      <c r="K1133" s="1353">
        <v>43781</v>
      </c>
      <c r="L1133" s="1353" t="s">
        <v>41</v>
      </c>
      <c r="M1133" s="1353">
        <v>43805</v>
      </c>
      <c r="N1133" s="1354">
        <f t="shared" si="153"/>
        <v>11</v>
      </c>
      <c r="O1133" s="1427">
        <v>43792</v>
      </c>
      <c r="P1133" s="1438">
        <v>43794</v>
      </c>
      <c r="Q1133" s="1355">
        <v>43812</v>
      </c>
      <c r="R1133" s="1354">
        <f t="shared" si="151"/>
        <v>109</v>
      </c>
      <c r="S1133" s="1437" t="s">
        <v>6754</v>
      </c>
      <c r="T1133" s="1370" t="s">
        <v>48</v>
      </c>
      <c r="U1133" s="1358" t="str">
        <f t="shared" si="150"/>
        <v>atrasado</v>
      </c>
      <c r="V1133" s="1130" t="str">
        <f t="shared" si="148"/>
        <v>Diciembre</v>
      </c>
      <c r="W1133" s="1128">
        <f t="shared" si="149"/>
        <v>0</v>
      </c>
    </row>
    <row r="1134" spans="1:23" ht="54.95" customHeight="1" thickBot="1" x14ac:dyDescent="0.25">
      <c r="A1134" s="1117">
        <v>2019</v>
      </c>
      <c r="B1134" s="1117">
        <v>2019</v>
      </c>
      <c r="C1134" s="1436" t="s">
        <v>36</v>
      </c>
      <c r="D1134" s="1363" t="s">
        <v>37</v>
      </c>
      <c r="E1134" s="1350" t="s">
        <v>6441</v>
      </c>
      <c r="F1134" s="1437">
        <v>4600557062</v>
      </c>
      <c r="G1134" s="1463" t="s">
        <v>6761</v>
      </c>
      <c r="H1134" s="1352">
        <v>31645.84</v>
      </c>
      <c r="I1134" s="1353">
        <v>43697</v>
      </c>
      <c r="J1134" s="1354">
        <f t="shared" si="152"/>
        <v>90</v>
      </c>
      <c r="K1134" s="1353">
        <v>43787</v>
      </c>
      <c r="L1134" s="1353" t="s">
        <v>41</v>
      </c>
      <c r="M1134" s="1353">
        <v>43784</v>
      </c>
      <c r="N1134" s="1354">
        <f t="shared" si="153"/>
        <v>5</v>
      </c>
      <c r="O1134" s="1427">
        <v>43792</v>
      </c>
      <c r="P1134" s="1438">
        <v>43794</v>
      </c>
      <c r="Q1134" s="1355">
        <v>43812</v>
      </c>
      <c r="R1134" s="1354">
        <f t="shared" si="151"/>
        <v>115</v>
      </c>
      <c r="S1134" s="1437" t="s">
        <v>6756</v>
      </c>
      <c r="T1134" s="1370" t="s">
        <v>48</v>
      </c>
      <c r="U1134" s="1358" t="str">
        <f t="shared" si="150"/>
        <v>atrasado</v>
      </c>
      <c r="V1134" s="1130" t="str">
        <f t="shared" si="148"/>
        <v>Noviembre</v>
      </c>
      <c r="W1134" s="1128">
        <f t="shared" si="149"/>
        <v>0</v>
      </c>
    </row>
    <row r="1135" spans="1:23" ht="54.95" customHeight="1" thickBot="1" x14ac:dyDescent="0.25">
      <c r="A1135" s="1117">
        <v>2019</v>
      </c>
      <c r="B1135" s="1117">
        <v>2019</v>
      </c>
      <c r="C1135" s="1436" t="s">
        <v>36</v>
      </c>
      <c r="D1135" s="1363" t="s">
        <v>37</v>
      </c>
      <c r="E1135" s="1350" t="s">
        <v>6441</v>
      </c>
      <c r="F1135" s="1437">
        <v>4600557062</v>
      </c>
      <c r="G1135" s="1463" t="s">
        <v>6762</v>
      </c>
      <c r="H1135" s="1352">
        <v>4901.57</v>
      </c>
      <c r="I1135" s="1353">
        <v>43697</v>
      </c>
      <c r="J1135" s="1354">
        <f t="shared" si="152"/>
        <v>90</v>
      </c>
      <c r="K1135" s="1353">
        <v>43787</v>
      </c>
      <c r="L1135" s="1353" t="s">
        <v>41</v>
      </c>
      <c r="M1135" s="1353">
        <v>43784</v>
      </c>
      <c r="N1135" s="1354">
        <f t="shared" si="153"/>
        <v>5</v>
      </c>
      <c r="O1135" s="1427">
        <v>43792</v>
      </c>
      <c r="P1135" s="1438">
        <v>43794</v>
      </c>
      <c r="Q1135" s="1355">
        <v>43812</v>
      </c>
      <c r="R1135" s="1354">
        <f t="shared" si="151"/>
        <v>115</v>
      </c>
      <c r="S1135" s="1437" t="s">
        <v>53</v>
      </c>
      <c r="T1135" s="1370" t="s">
        <v>48</v>
      </c>
      <c r="U1135" s="1358" t="str">
        <f t="shared" si="150"/>
        <v>atrasado</v>
      </c>
      <c r="V1135" s="1130" t="str">
        <f t="shared" si="148"/>
        <v>Noviembre</v>
      </c>
      <c r="W1135" s="1128">
        <f t="shared" si="149"/>
        <v>0</v>
      </c>
    </row>
    <row r="1136" spans="1:23" ht="54.95" customHeight="1" thickBot="1" x14ac:dyDescent="0.25">
      <c r="A1136" s="1117">
        <v>2019</v>
      </c>
      <c r="B1136" s="1117">
        <v>2019</v>
      </c>
      <c r="C1136" s="1436" t="s">
        <v>36</v>
      </c>
      <c r="D1136" s="1363" t="s">
        <v>37</v>
      </c>
      <c r="E1136" s="1350" t="s">
        <v>6441</v>
      </c>
      <c r="F1136" s="1437">
        <v>4600557062</v>
      </c>
      <c r="G1136" s="1463" t="s">
        <v>6770</v>
      </c>
      <c r="H1136" s="1352">
        <v>6908</v>
      </c>
      <c r="I1136" s="1353">
        <v>43707</v>
      </c>
      <c r="J1136" s="1354">
        <f t="shared" si="152"/>
        <v>93</v>
      </c>
      <c r="K1136" s="1353">
        <v>43800</v>
      </c>
      <c r="L1136" s="1353" t="s">
        <v>41</v>
      </c>
      <c r="M1136" s="1353">
        <v>43805</v>
      </c>
      <c r="N1136" s="1354">
        <f t="shared" si="153"/>
        <v>13</v>
      </c>
      <c r="O1136" s="1427">
        <v>43813</v>
      </c>
      <c r="P1136" s="1438">
        <v>43815</v>
      </c>
      <c r="Q1136" s="1355">
        <v>43833</v>
      </c>
      <c r="R1136" s="1354">
        <f t="shared" si="151"/>
        <v>126</v>
      </c>
      <c r="S1136" s="1437" t="s">
        <v>53</v>
      </c>
      <c r="T1136" s="1370" t="s">
        <v>6801</v>
      </c>
      <c r="U1136" s="1358" t="str">
        <f t="shared" si="150"/>
        <v>atrasado</v>
      </c>
      <c r="V1136" s="1130" t="str">
        <f t="shared" si="148"/>
        <v>Diciembre</v>
      </c>
      <c r="W1136" s="1128">
        <f t="shared" si="149"/>
        <v>0</v>
      </c>
    </row>
    <row r="1137" spans="1:23" ht="54.95" customHeight="1" thickBot="1" x14ac:dyDescent="0.25">
      <c r="A1137" s="1117">
        <v>2019</v>
      </c>
      <c r="B1137" s="1117">
        <v>2019</v>
      </c>
      <c r="C1137" s="1436" t="s">
        <v>36</v>
      </c>
      <c r="D1137" s="1363" t="s">
        <v>37</v>
      </c>
      <c r="E1137" s="1350" t="s">
        <v>6441</v>
      </c>
      <c r="F1137" s="1437">
        <v>4600557062</v>
      </c>
      <c r="G1137" s="1463" t="s">
        <v>6771</v>
      </c>
      <c r="H1137" s="1352">
        <v>33369.42</v>
      </c>
      <c r="I1137" s="1353">
        <v>43676</v>
      </c>
      <c r="J1137" s="1354">
        <f t="shared" si="152"/>
        <v>120</v>
      </c>
      <c r="K1137" s="1353">
        <v>43796</v>
      </c>
      <c r="L1137" s="1353" t="s">
        <v>41</v>
      </c>
      <c r="M1137" s="1353">
        <v>43784</v>
      </c>
      <c r="N1137" s="1354">
        <f t="shared" si="153"/>
        <v>-6</v>
      </c>
      <c r="O1137" s="1427">
        <v>43790</v>
      </c>
      <c r="P1137" s="1438">
        <v>43794</v>
      </c>
      <c r="Q1137" s="1355">
        <v>43812</v>
      </c>
      <c r="R1137" s="1354">
        <f t="shared" si="151"/>
        <v>136</v>
      </c>
      <c r="S1137" s="1437" t="s">
        <v>758</v>
      </c>
      <c r="T1137" s="1370" t="s">
        <v>6800</v>
      </c>
      <c r="U1137" s="1358" t="str">
        <f t="shared" si="150"/>
        <v>en término</v>
      </c>
      <c r="V1137" s="1130" t="str">
        <f t="shared" si="148"/>
        <v>Noviembre</v>
      </c>
      <c r="W1137" s="1128">
        <f t="shared" si="149"/>
        <v>1</v>
      </c>
    </row>
    <row r="1138" spans="1:23" ht="54.95" customHeight="1" thickBot="1" x14ac:dyDescent="0.25">
      <c r="A1138" s="1117">
        <v>2019</v>
      </c>
      <c r="B1138" s="1117">
        <v>2019</v>
      </c>
      <c r="C1138" s="1436" t="s">
        <v>36</v>
      </c>
      <c r="D1138" s="1363" t="s">
        <v>37</v>
      </c>
      <c r="E1138" s="1350" t="s">
        <v>6429</v>
      </c>
      <c r="F1138" s="1437">
        <v>4600558097</v>
      </c>
      <c r="G1138" s="1463" t="s">
        <v>6772</v>
      </c>
      <c r="H1138" s="1352">
        <v>6922</v>
      </c>
      <c r="I1138" s="1353">
        <v>43706</v>
      </c>
      <c r="J1138" s="1354">
        <v>123</v>
      </c>
      <c r="K1138" s="1353">
        <v>43826</v>
      </c>
      <c r="L1138" s="1353" t="s">
        <v>41</v>
      </c>
      <c r="M1138" s="1353">
        <v>43805</v>
      </c>
      <c r="N1138" s="1354">
        <f t="shared" si="153"/>
        <v>-13</v>
      </c>
      <c r="O1138" s="1427">
        <v>43813</v>
      </c>
      <c r="P1138" s="1438">
        <v>43815</v>
      </c>
      <c r="Q1138" s="1355">
        <v>43833</v>
      </c>
      <c r="R1138" s="1354">
        <f t="shared" si="151"/>
        <v>127</v>
      </c>
      <c r="S1138" s="1437" t="s">
        <v>6773</v>
      </c>
      <c r="T1138" s="1370" t="s">
        <v>6802</v>
      </c>
      <c r="U1138" s="1358" t="str">
        <f t="shared" si="150"/>
        <v>en término</v>
      </c>
      <c r="V1138" s="1130" t="str">
        <f t="shared" si="148"/>
        <v>Diciembre</v>
      </c>
      <c r="W1138" s="1128">
        <f t="shared" si="149"/>
        <v>1</v>
      </c>
    </row>
    <row r="1139" spans="1:23" ht="54.95" customHeight="1" thickBot="1" x14ac:dyDescent="0.25">
      <c r="A1139" s="1117">
        <v>2019</v>
      </c>
      <c r="B1139" s="1117">
        <v>2019</v>
      </c>
      <c r="C1139" s="1436" t="s">
        <v>36</v>
      </c>
      <c r="D1139" s="1363" t="s">
        <v>37</v>
      </c>
      <c r="E1139" s="1350" t="s">
        <v>65</v>
      </c>
      <c r="F1139" s="1437">
        <v>4600548677</v>
      </c>
      <c r="G1139" s="1463" t="s">
        <v>6774</v>
      </c>
      <c r="H1139" s="1352">
        <v>16650</v>
      </c>
      <c r="I1139" s="1353">
        <v>43710</v>
      </c>
      <c r="J1139" s="1354">
        <f t="shared" ref="J1139:J1146" si="154">+K1139-I1139</f>
        <v>90</v>
      </c>
      <c r="K1139" s="1353">
        <v>43800</v>
      </c>
      <c r="L1139" s="1353" t="s">
        <v>41</v>
      </c>
      <c r="M1139" s="1353">
        <v>43805</v>
      </c>
      <c r="N1139" s="1354">
        <f t="shared" si="153"/>
        <v>13</v>
      </c>
      <c r="O1139" s="1427">
        <v>43813</v>
      </c>
      <c r="P1139" s="1438">
        <v>43815</v>
      </c>
      <c r="Q1139" s="1355">
        <v>43833</v>
      </c>
      <c r="R1139" s="1354">
        <f t="shared" si="151"/>
        <v>123</v>
      </c>
      <c r="S1139" s="1437" t="s">
        <v>6775</v>
      </c>
      <c r="T1139" s="1370" t="s">
        <v>6783</v>
      </c>
      <c r="U1139" s="1358" t="str">
        <f t="shared" si="150"/>
        <v>atrasado</v>
      </c>
      <c r="V1139" s="1130" t="str">
        <f t="shared" si="148"/>
        <v>Diciembre</v>
      </c>
      <c r="W1139" s="1128">
        <f t="shared" si="149"/>
        <v>0</v>
      </c>
    </row>
    <row r="1140" spans="1:23" ht="54.95" customHeight="1" thickBot="1" x14ac:dyDescent="0.25">
      <c r="A1140" s="1117">
        <v>2019</v>
      </c>
      <c r="B1140" s="1117">
        <v>2019</v>
      </c>
      <c r="C1140" s="1436" t="s">
        <v>36</v>
      </c>
      <c r="D1140" s="1363" t="s">
        <v>37</v>
      </c>
      <c r="E1140" s="1350" t="s">
        <v>65</v>
      </c>
      <c r="F1140" s="1437">
        <v>4600548677</v>
      </c>
      <c r="G1140" s="1463" t="s">
        <v>6776</v>
      </c>
      <c r="H1140" s="1352">
        <v>46287</v>
      </c>
      <c r="I1140" s="1353">
        <v>43704</v>
      </c>
      <c r="J1140" s="1354">
        <f t="shared" si="154"/>
        <v>115</v>
      </c>
      <c r="K1140" s="1353">
        <v>43819</v>
      </c>
      <c r="L1140" s="1353" t="s">
        <v>41</v>
      </c>
      <c r="M1140" s="1353">
        <v>43805</v>
      </c>
      <c r="N1140" s="1354">
        <f t="shared" si="153"/>
        <v>-6</v>
      </c>
      <c r="O1140" s="1427">
        <v>43813</v>
      </c>
      <c r="P1140" s="1438">
        <v>43815</v>
      </c>
      <c r="Q1140" s="1355">
        <v>43833</v>
      </c>
      <c r="R1140" s="1354">
        <f t="shared" si="151"/>
        <v>129</v>
      </c>
      <c r="S1140" s="1437" t="s">
        <v>6777</v>
      </c>
      <c r="T1140" s="1370" t="s">
        <v>6801</v>
      </c>
      <c r="U1140" s="1358" t="str">
        <f t="shared" si="150"/>
        <v>en término</v>
      </c>
      <c r="V1140" s="1130" t="str">
        <f t="shared" si="148"/>
        <v>Diciembre</v>
      </c>
      <c r="W1140" s="1128">
        <f t="shared" si="149"/>
        <v>1</v>
      </c>
    </row>
    <row r="1141" spans="1:23" ht="54.95" customHeight="1" thickBot="1" x14ac:dyDescent="0.25">
      <c r="A1141" s="1117">
        <v>2019</v>
      </c>
      <c r="B1141" s="1117">
        <v>2019</v>
      </c>
      <c r="C1141" s="1436" t="s">
        <v>36</v>
      </c>
      <c r="D1141" s="1363" t="s">
        <v>37</v>
      </c>
      <c r="E1141" s="1350" t="s">
        <v>65</v>
      </c>
      <c r="F1141" s="1437">
        <v>4600548677</v>
      </c>
      <c r="G1141" s="1463" t="s">
        <v>6778</v>
      </c>
      <c r="H1141" s="1352">
        <v>333</v>
      </c>
      <c r="I1141" s="1353">
        <v>43711</v>
      </c>
      <c r="J1141" s="1354">
        <f t="shared" si="154"/>
        <v>89</v>
      </c>
      <c r="K1141" s="1353">
        <v>43800</v>
      </c>
      <c r="L1141" s="1353" t="s">
        <v>41</v>
      </c>
      <c r="M1141" s="1353">
        <v>43805</v>
      </c>
      <c r="N1141" s="1354">
        <f t="shared" si="153"/>
        <v>13</v>
      </c>
      <c r="O1141" s="1427">
        <v>43813</v>
      </c>
      <c r="P1141" s="1438">
        <v>43815</v>
      </c>
      <c r="Q1141" s="1355">
        <v>43833</v>
      </c>
      <c r="R1141" s="1354">
        <f t="shared" si="151"/>
        <v>122</v>
      </c>
      <c r="S1141" s="1437" t="s">
        <v>6779</v>
      </c>
      <c r="T1141" s="1370" t="s">
        <v>6801</v>
      </c>
      <c r="U1141" s="1358" t="str">
        <f t="shared" si="150"/>
        <v>atrasado</v>
      </c>
      <c r="V1141" s="1130" t="str">
        <f t="shared" si="148"/>
        <v>Diciembre</v>
      </c>
      <c r="W1141" s="1128">
        <f t="shared" si="149"/>
        <v>0</v>
      </c>
    </row>
    <row r="1142" spans="1:23" ht="54.95" customHeight="1" thickBot="1" x14ac:dyDescent="0.25">
      <c r="A1142" s="1117">
        <v>2019</v>
      </c>
      <c r="B1142" s="1117">
        <v>2019</v>
      </c>
      <c r="C1142" s="1436" t="s">
        <v>36</v>
      </c>
      <c r="D1142" s="1363" t="s">
        <v>37</v>
      </c>
      <c r="E1142" s="1350" t="s">
        <v>6441</v>
      </c>
      <c r="F1142" s="1437">
        <v>4600557062</v>
      </c>
      <c r="G1142" s="1463" t="s">
        <v>6785</v>
      </c>
      <c r="H1142" s="1352">
        <v>4516.8500000000004</v>
      </c>
      <c r="I1142" s="1353">
        <v>43721</v>
      </c>
      <c r="J1142" s="1354">
        <f t="shared" si="154"/>
        <v>91</v>
      </c>
      <c r="K1142" s="1353">
        <v>43812</v>
      </c>
      <c r="L1142" s="1353" t="s">
        <v>41</v>
      </c>
      <c r="M1142" s="1353">
        <v>43805</v>
      </c>
      <c r="N1142" s="1354">
        <f t="shared" si="153"/>
        <v>1</v>
      </c>
      <c r="O1142" s="1427">
        <v>43813</v>
      </c>
      <c r="P1142" s="1438">
        <v>43815</v>
      </c>
      <c r="Q1142" s="1355">
        <v>43833</v>
      </c>
      <c r="R1142" s="1354">
        <f t="shared" si="151"/>
        <v>112</v>
      </c>
      <c r="S1142" s="1437" t="s">
        <v>53</v>
      </c>
      <c r="T1142" s="1370" t="s">
        <v>6800</v>
      </c>
      <c r="U1142" s="1358" t="str">
        <f t="shared" si="150"/>
        <v>atrasado</v>
      </c>
      <c r="V1142" s="1130" t="str">
        <f t="shared" si="148"/>
        <v>Diciembre</v>
      </c>
      <c r="W1142" s="1128">
        <f t="shared" si="149"/>
        <v>0</v>
      </c>
    </row>
    <row r="1143" spans="1:23" ht="54.95" customHeight="1" thickBot="1" x14ac:dyDescent="0.25">
      <c r="A1143" s="1117">
        <v>2019</v>
      </c>
      <c r="B1143" s="1117">
        <v>2019</v>
      </c>
      <c r="C1143" s="1436" t="s">
        <v>36</v>
      </c>
      <c r="D1143" s="1363" t="s">
        <v>37</v>
      </c>
      <c r="E1143" s="1350" t="s">
        <v>6441</v>
      </c>
      <c r="F1143" s="1437">
        <v>4600557062</v>
      </c>
      <c r="G1143" s="1463" t="s">
        <v>6798</v>
      </c>
      <c r="H1143" s="1352">
        <v>3606.67</v>
      </c>
      <c r="I1143" s="1353">
        <v>43734</v>
      </c>
      <c r="J1143" s="1354">
        <f t="shared" si="154"/>
        <v>89</v>
      </c>
      <c r="K1143" s="1353">
        <v>43823</v>
      </c>
      <c r="L1143" s="1353" t="s">
        <v>41</v>
      </c>
      <c r="M1143" s="1353">
        <v>43805</v>
      </c>
      <c r="N1143" s="1354">
        <f t="shared" si="153"/>
        <v>-10</v>
      </c>
      <c r="O1143" s="1427">
        <v>43813</v>
      </c>
      <c r="P1143" s="1438">
        <v>43815</v>
      </c>
      <c r="Q1143" s="1355">
        <v>43833</v>
      </c>
      <c r="R1143" s="1354">
        <f t="shared" si="151"/>
        <v>99</v>
      </c>
      <c r="S1143" s="1437" t="s">
        <v>53</v>
      </c>
      <c r="T1143" s="1370" t="s">
        <v>6800</v>
      </c>
      <c r="U1143" s="1358" t="str">
        <f t="shared" si="150"/>
        <v>en término</v>
      </c>
      <c r="V1143" s="1130" t="str">
        <f t="shared" si="148"/>
        <v>Diciembre</v>
      </c>
      <c r="W1143" s="1128">
        <f t="shared" si="149"/>
        <v>1</v>
      </c>
    </row>
    <row r="1144" spans="1:23" ht="54.95" customHeight="1" thickBot="1" x14ac:dyDescent="0.25">
      <c r="A1144" s="1117">
        <v>2019</v>
      </c>
      <c r="B1144" s="1117">
        <v>2019</v>
      </c>
      <c r="C1144" s="1436" t="s">
        <v>36</v>
      </c>
      <c r="D1144" s="1363" t="s">
        <v>37</v>
      </c>
      <c r="E1144" s="1350" t="s">
        <v>6441</v>
      </c>
      <c r="F1144" s="1437">
        <v>4600557062</v>
      </c>
      <c r="G1144" s="1463" t="s">
        <v>6803</v>
      </c>
      <c r="H1144" s="1352">
        <v>6811.91</v>
      </c>
      <c r="I1144" s="1353">
        <v>43734</v>
      </c>
      <c r="J1144" s="1354">
        <f t="shared" si="154"/>
        <v>89</v>
      </c>
      <c r="K1144" s="1353">
        <v>43823</v>
      </c>
      <c r="L1144" s="1353" t="s">
        <v>41</v>
      </c>
      <c r="M1144" s="1353">
        <v>43805</v>
      </c>
      <c r="N1144" s="1354">
        <f t="shared" si="153"/>
        <v>-10</v>
      </c>
      <c r="O1144" s="1427">
        <v>43813</v>
      </c>
      <c r="P1144" s="1438">
        <v>43815</v>
      </c>
      <c r="Q1144" s="1355">
        <v>43833</v>
      </c>
      <c r="R1144" s="1354">
        <f t="shared" si="151"/>
        <v>99</v>
      </c>
      <c r="S1144" s="1437" t="s">
        <v>6799</v>
      </c>
      <c r="T1144" s="1370" t="s">
        <v>6800</v>
      </c>
      <c r="U1144" s="1358" t="str">
        <f t="shared" si="150"/>
        <v>en término</v>
      </c>
      <c r="V1144" s="1130" t="str">
        <f t="shared" si="148"/>
        <v>Diciembre</v>
      </c>
      <c r="W1144" s="1128">
        <f t="shared" si="149"/>
        <v>1</v>
      </c>
    </row>
    <row r="1145" spans="1:23" ht="54.95" customHeight="1" thickBot="1" x14ac:dyDescent="0.25">
      <c r="A1145" s="1117">
        <v>2019</v>
      </c>
      <c r="B1145" s="1117">
        <v>2019</v>
      </c>
      <c r="C1145" s="1436" t="s">
        <v>36</v>
      </c>
      <c r="D1145" s="1363" t="s">
        <v>37</v>
      </c>
      <c r="E1145" s="1350" t="s">
        <v>6441</v>
      </c>
      <c r="F1145" s="1437">
        <v>4600557062</v>
      </c>
      <c r="G1145" s="1463" t="s">
        <v>6812</v>
      </c>
      <c r="H1145" s="1352">
        <v>386.2</v>
      </c>
      <c r="I1145" s="1353">
        <v>43742</v>
      </c>
      <c r="J1145" s="1354">
        <f t="shared" si="154"/>
        <v>55</v>
      </c>
      <c r="K1145" s="1353">
        <v>43797</v>
      </c>
      <c r="L1145" s="1353" t="s">
        <v>41</v>
      </c>
      <c r="M1145" s="1353">
        <v>43742</v>
      </c>
      <c r="N1145" s="1354">
        <f t="shared" si="153"/>
        <v>-47</v>
      </c>
      <c r="O1145" s="1427">
        <v>43750</v>
      </c>
      <c r="P1145" s="1438">
        <v>43753</v>
      </c>
      <c r="Q1145" s="1355">
        <v>43770</v>
      </c>
      <c r="R1145" s="1354">
        <f t="shared" si="151"/>
        <v>28</v>
      </c>
      <c r="S1145" s="1437" t="s">
        <v>53</v>
      </c>
      <c r="T1145" s="1370" t="s">
        <v>6800</v>
      </c>
      <c r="U1145" s="1358" t="str">
        <f t="shared" si="150"/>
        <v>en término</v>
      </c>
      <c r="V1145" s="1130" t="str">
        <f t="shared" si="148"/>
        <v>Octubre</v>
      </c>
      <c r="W1145" s="1128">
        <f t="shared" si="149"/>
        <v>1</v>
      </c>
    </row>
    <row r="1146" spans="1:23" ht="54.95" customHeight="1" thickBot="1" x14ac:dyDescent="0.25">
      <c r="A1146" s="1117">
        <v>2019</v>
      </c>
      <c r="B1146" s="1117">
        <v>2019</v>
      </c>
      <c r="C1146" s="1436" t="s">
        <v>36</v>
      </c>
      <c r="D1146" s="1363" t="s">
        <v>37</v>
      </c>
      <c r="E1146" s="1350" t="s">
        <v>6441</v>
      </c>
      <c r="F1146" s="1437">
        <v>4600557062</v>
      </c>
      <c r="G1146" s="1463" t="s">
        <v>6770</v>
      </c>
      <c r="H1146" s="1352">
        <v>2268.56</v>
      </c>
      <c r="I1146" s="1353">
        <v>43707</v>
      </c>
      <c r="J1146" s="1354">
        <f t="shared" si="154"/>
        <v>93</v>
      </c>
      <c r="K1146" s="1353">
        <v>43800</v>
      </c>
      <c r="L1146" s="1353" t="s">
        <v>41</v>
      </c>
      <c r="M1146" s="1353">
        <v>43818</v>
      </c>
      <c r="N1146" s="1354" t="str">
        <f t="shared" si="153"/>
        <v/>
      </c>
      <c r="O1146" s="1427"/>
      <c r="P1146" s="1438">
        <v>43826</v>
      </c>
      <c r="Q1146" s="1355">
        <v>43832</v>
      </c>
      <c r="R1146" s="1354">
        <f t="shared" si="151"/>
        <v>125</v>
      </c>
      <c r="S1146" s="1437" t="s">
        <v>6876</v>
      </c>
      <c r="T1146" s="1370" t="s">
        <v>6883</v>
      </c>
      <c r="U1146" s="1358" t="str">
        <f t="shared" si="150"/>
        <v/>
      </c>
      <c r="V1146" s="1130" t="str">
        <f t="shared" si="148"/>
        <v>Diciembre</v>
      </c>
      <c r="W1146" s="1128">
        <f t="shared" si="149"/>
        <v>0</v>
      </c>
    </row>
    <row r="1147" spans="1:23" ht="54.95" customHeight="1" thickBot="1" x14ac:dyDescent="0.25">
      <c r="A1147" s="1117">
        <v>2019</v>
      </c>
      <c r="B1147" s="1117">
        <v>2019</v>
      </c>
      <c r="C1147" s="1436" t="s">
        <v>78</v>
      </c>
      <c r="D1147" s="1363" t="s">
        <v>79</v>
      </c>
      <c r="E1147" s="1350" t="s">
        <v>6556</v>
      </c>
      <c r="F1147" s="1437" t="s">
        <v>6538</v>
      </c>
      <c r="G1147" s="1463" t="s">
        <v>6557</v>
      </c>
      <c r="H1147" s="1352">
        <v>102326.3</v>
      </c>
      <c r="I1147" s="1353">
        <v>43432</v>
      </c>
      <c r="J1147" s="1354">
        <v>60</v>
      </c>
      <c r="K1147" s="1353">
        <v>43518</v>
      </c>
      <c r="L1147" s="1353" t="s">
        <v>83</v>
      </c>
      <c r="M1147" s="1353">
        <v>43487</v>
      </c>
      <c r="N1147" s="1354">
        <f t="shared" ref="N1147:N1180" si="155">IF(P1147="","",+P1147-K1147)</f>
        <v>-6</v>
      </c>
      <c r="O1147" s="1427">
        <v>43503</v>
      </c>
      <c r="P1147" s="1438">
        <v>43512</v>
      </c>
      <c r="Q1147" s="1355">
        <f>+P1147+20</f>
        <v>43532</v>
      </c>
      <c r="R1147" s="1354">
        <f t="shared" si="151"/>
        <v>100</v>
      </c>
      <c r="S1147" s="1437" t="s">
        <v>6579</v>
      </c>
      <c r="T1147" s="1370" t="s">
        <v>6602</v>
      </c>
      <c r="U1147" s="1358" t="str">
        <f t="shared" si="150"/>
        <v>en término</v>
      </c>
      <c r="V1147" s="1130" t="str">
        <f t="shared" si="148"/>
        <v>Enero</v>
      </c>
      <c r="W1147" s="1128">
        <f t="shared" si="149"/>
        <v>1</v>
      </c>
    </row>
    <row r="1148" spans="1:23" ht="54.95" customHeight="1" thickBot="1" x14ac:dyDescent="0.25">
      <c r="A1148" s="1117">
        <v>2019</v>
      </c>
      <c r="B1148" s="1117">
        <v>2019</v>
      </c>
      <c r="C1148" s="1436" t="s">
        <v>78</v>
      </c>
      <c r="D1148" s="1363" t="s">
        <v>79</v>
      </c>
      <c r="E1148" s="1350" t="s">
        <v>6556</v>
      </c>
      <c r="F1148" s="1437" t="s">
        <v>6538</v>
      </c>
      <c r="G1148" s="1463" t="s">
        <v>6558</v>
      </c>
      <c r="H1148" s="1352">
        <v>63797.5</v>
      </c>
      <c r="I1148" s="1353">
        <v>43432</v>
      </c>
      <c r="J1148" s="1354">
        <v>60</v>
      </c>
      <c r="K1148" s="1353">
        <v>43544</v>
      </c>
      <c r="L1148" s="1353" t="s">
        <v>83</v>
      </c>
      <c r="M1148" s="1353">
        <v>43544</v>
      </c>
      <c r="N1148" s="1354">
        <f t="shared" si="155"/>
        <v>19</v>
      </c>
      <c r="O1148" s="1427"/>
      <c r="P1148" s="1438">
        <v>43563</v>
      </c>
      <c r="Q1148" s="1355">
        <f>+P1148+30</f>
        <v>43593</v>
      </c>
      <c r="R1148" s="1354">
        <f t="shared" si="151"/>
        <v>161</v>
      </c>
      <c r="S1148" s="1437" t="s">
        <v>6581</v>
      </c>
      <c r="T1148" s="1370" t="s">
        <v>3981</v>
      </c>
      <c r="U1148" s="1358" t="str">
        <f t="shared" si="150"/>
        <v>atrasado</v>
      </c>
      <c r="V1148" s="1130" t="str">
        <f t="shared" si="148"/>
        <v>Marzo</v>
      </c>
      <c r="W1148" s="1128">
        <f t="shared" si="149"/>
        <v>0</v>
      </c>
    </row>
    <row r="1149" spans="1:23" ht="54.95" customHeight="1" thickBot="1" x14ac:dyDescent="0.25">
      <c r="A1149" s="1117">
        <v>2019</v>
      </c>
      <c r="B1149" s="1117">
        <v>2019</v>
      </c>
      <c r="C1149" s="1436" t="s">
        <v>78</v>
      </c>
      <c r="D1149" s="1363" t="s">
        <v>79</v>
      </c>
      <c r="E1149" s="1350" t="s">
        <v>6556</v>
      </c>
      <c r="F1149" s="1437" t="s">
        <v>6538</v>
      </c>
      <c r="G1149" s="1463" t="s">
        <v>6637</v>
      </c>
      <c r="H1149" s="1352">
        <v>2304</v>
      </c>
      <c r="I1149" s="1353">
        <v>43556</v>
      </c>
      <c r="J1149" s="1354">
        <v>10</v>
      </c>
      <c r="K1149" s="1353">
        <f t="shared" ref="K1149:K1169" si="156">+I1149+J1149</f>
        <v>43566</v>
      </c>
      <c r="L1149" s="1353" t="s">
        <v>83</v>
      </c>
      <c r="M1149" s="1353">
        <v>43558</v>
      </c>
      <c r="N1149" s="1354">
        <f t="shared" si="155"/>
        <v>1</v>
      </c>
      <c r="O1149" s="1427"/>
      <c r="P1149" s="1438">
        <v>43567</v>
      </c>
      <c r="Q1149" s="1355">
        <f>+P1149+5</f>
        <v>43572</v>
      </c>
      <c r="R1149" s="1354">
        <f t="shared" si="151"/>
        <v>16</v>
      </c>
      <c r="S1149" s="1437" t="s">
        <v>6581</v>
      </c>
      <c r="T1149" s="1370" t="s">
        <v>6638</v>
      </c>
      <c r="U1149" s="1358" t="str">
        <f t="shared" si="150"/>
        <v>atrasado</v>
      </c>
      <c r="V1149" s="1130" t="str">
        <f t="shared" si="148"/>
        <v>Abril</v>
      </c>
      <c r="W1149" s="1128">
        <f t="shared" si="149"/>
        <v>0</v>
      </c>
    </row>
    <row r="1150" spans="1:23" ht="54.95" customHeight="1" thickBot="1" x14ac:dyDescent="0.25">
      <c r="A1150" s="1117">
        <v>2019</v>
      </c>
      <c r="B1150" s="1117">
        <v>2019</v>
      </c>
      <c r="C1150" s="1436" t="s">
        <v>78</v>
      </c>
      <c r="D1150" s="1363" t="s">
        <v>6675</v>
      </c>
      <c r="E1150" s="1350" t="s">
        <v>6683</v>
      </c>
      <c r="F1150" s="1437" t="s">
        <v>81</v>
      </c>
      <c r="G1150" s="1463" t="s">
        <v>6684</v>
      </c>
      <c r="H1150" s="1352">
        <v>109965.5</v>
      </c>
      <c r="I1150" s="1353">
        <v>43600</v>
      </c>
      <c r="J1150" s="1354">
        <v>90</v>
      </c>
      <c r="K1150" s="1353">
        <f t="shared" si="156"/>
        <v>43690</v>
      </c>
      <c r="L1150" s="1353" t="s">
        <v>83</v>
      </c>
      <c r="M1150" s="1353">
        <v>43602</v>
      </c>
      <c r="N1150" s="1354">
        <f t="shared" si="155"/>
        <v>-69</v>
      </c>
      <c r="O1150" s="1427">
        <v>43615</v>
      </c>
      <c r="P1150" s="1438">
        <v>43621</v>
      </c>
      <c r="Q1150" s="1355">
        <v>43644</v>
      </c>
      <c r="R1150" s="1354">
        <f t="shared" si="151"/>
        <v>44</v>
      </c>
      <c r="S1150" s="1437" t="s">
        <v>6631</v>
      </c>
      <c r="T1150" s="1370"/>
      <c r="U1150" s="1358" t="str">
        <f t="shared" si="150"/>
        <v>en término</v>
      </c>
      <c r="V1150" s="1130" t="str">
        <f t="shared" si="148"/>
        <v>Mayo</v>
      </c>
      <c r="W1150" s="1128">
        <f t="shared" si="149"/>
        <v>1</v>
      </c>
    </row>
    <row r="1151" spans="1:23" ht="54.95" customHeight="1" thickBot="1" x14ac:dyDescent="0.25">
      <c r="A1151" s="1117">
        <v>2019</v>
      </c>
      <c r="B1151" s="1117">
        <v>2019</v>
      </c>
      <c r="C1151" s="1436" t="s">
        <v>78</v>
      </c>
      <c r="D1151" s="1363" t="s">
        <v>6675</v>
      </c>
      <c r="E1151" s="1350" t="s">
        <v>6681</v>
      </c>
      <c r="F1151" s="1437" t="s">
        <v>81</v>
      </c>
      <c r="G1151" s="1463" t="s">
        <v>6682</v>
      </c>
      <c r="H1151" s="1352">
        <v>79723.44</v>
      </c>
      <c r="I1151" s="1353">
        <v>43600</v>
      </c>
      <c r="J1151" s="1354">
        <v>90</v>
      </c>
      <c r="K1151" s="1353">
        <f t="shared" si="156"/>
        <v>43690</v>
      </c>
      <c r="L1151" s="1353" t="s">
        <v>83</v>
      </c>
      <c r="M1151" s="1353">
        <v>43602</v>
      </c>
      <c r="N1151" s="1354">
        <f t="shared" si="155"/>
        <v>-69</v>
      </c>
      <c r="O1151" s="1427">
        <v>43615</v>
      </c>
      <c r="P1151" s="1438">
        <v>43621</v>
      </c>
      <c r="Q1151" s="1355">
        <v>43644</v>
      </c>
      <c r="R1151" s="1354">
        <f t="shared" si="151"/>
        <v>44</v>
      </c>
      <c r="S1151" s="1437" t="s">
        <v>6631</v>
      </c>
      <c r="T1151" s="1370"/>
      <c r="U1151" s="1358" t="str">
        <f t="shared" si="150"/>
        <v>en término</v>
      </c>
      <c r="V1151" s="1130" t="str">
        <f t="shared" si="148"/>
        <v>Mayo</v>
      </c>
      <c r="W1151" s="1128">
        <f t="shared" si="149"/>
        <v>1</v>
      </c>
    </row>
    <row r="1152" spans="1:23" ht="54.95" customHeight="1" thickBot="1" x14ac:dyDescent="0.25">
      <c r="A1152" s="1117">
        <v>2019</v>
      </c>
      <c r="B1152" s="1117">
        <v>2019</v>
      </c>
      <c r="C1152" s="1436" t="s">
        <v>78</v>
      </c>
      <c r="D1152" s="1363" t="s">
        <v>6675</v>
      </c>
      <c r="E1152" s="1350" t="s">
        <v>6679</v>
      </c>
      <c r="F1152" s="1437" t="s">
        <v>81</v>
      </c>
      <c r="G1152" s="1463" t="s">
        <v>6680</v>
      </c>
      <c r="H1152" s="1352">
        <v>2349.6</v>
      </c>
      <c r="I1152" s="1353">
        <v>43600</v>
      </c>
      <c r="J1152" s="1354">
        <v>90</v>
      </c>
      <c r="K1152" s="1353">
        <f t="shared" si="156"/>
        <v>43690</v>
      </c>
      <c r="L1152" s="1353" t="s">
        <v>83</v>
      </c>
      <c r="M1152" s="1353">
        <v>43602</v>
      </c>
      <c r="N1152" s="1354">
        <f t="shared" si="155"/>
        <v>-69</v>
      </c>
      <c r="O1152" s="1427">
        <v>43615</v>
      </c>
      <c r="P1152" s="1438">
        <v>43621</v>
      </c>
      <c r="Q1152" s="1355">
        <v>43644</v>
      </c>
      <c r="R1152" s="1354">
        <f t="shared" si="151"/>
        <v>44</v>
      </c>
      <c r="S1152" s="1437" t="s">
        <v>6631</v>
      </c>
      <c r="T1152" s="1370"/>
      <c r="U1152" s="1358" t="str">
        <f t="shared" si="150"/>
        <v>en término</v>
      </c>
      <c r="V1152" s="1130" t="str">
        <f t="shared" si="148"/>
        <v>Mayo</v>
      </c>
      <c r="W1152" s="1128">
        <f t="shared" si="149"/>
        <v>1</v>
      </c>
    </row>
    <row r="1153" spans="1:23" ht="54.95" customHeight="1" thickBot="1" x14ac:dyDescent="0.25">
      <c r="A1153" s="1117">
        <v>2019</v>
      </c>
      <c r="B1153" s="1117">
        <v>2019</v>
      </c>
      <c r="C1153" s="1436" t="s">
        <v>78</v>
      </c>
      <c r="D1153" s="1363" t="s">
        <v>6675</v>
      </c>
      <c r="E1153" s="1350" t="s">
        <v>6677</v>
      </c>
      <c r="F1153" s="1437" t="s">
        <v>81</v>
      </c>
      <c r="G1153" s="1463" t="s">
        <v>6678</v>
      </c>
      <c r="H1153" s="1352">
        <v>35715.31</v>
      </c>
      <c r="I1153" s="1353">
        <v>43600</v>
      </c>
      <c r="J1153" s="1354">
        <v>90</v>
      </c>
      <c r="K1153" s="1353">
        <f t="shared" si="156"/>
        <v>43690</v>
      </c>
      <c r="L1153" s="1353" t="s">
        <v>83</v>
      </c>
      <c r="M1153" s="1353">
        <v>43602</v>
      </c>
      <c r="N1153" s="1354">
        <f t="shared" si="155"/>
        <v>-69</v>
      </c>
      <c r="O1153" s="1427">
        <v>43615</v>
      </c>
      <c r="P1153" s="1438">
        <v>43621</v>
      </c>
      <c r="Q1153" s="1355">
        <v>43644</v>
      </c>
      <c r="R1153" s="1354">
        <f t="shared" si="151"/>
        <v>44</v>
      </c>
      <c r="S1153" s="1437" t="s">
        <v>6631</v>
      </c>
      <c r="T1153" s="1370"/>
      <c r="U1153" s="1358" t="str">
        <f t="shared" si="150"/>
        <v>en término</v>
      </c>
      <c r="V1153" s="1130" t="str">
        <f t="shared" si="148"/>
        <v>Mayo</v>
      </c>
      <c r="W1153" s="1128">
        <f t="shared" si="149"/>
        <v>1</v>
      </c>
    </row>
    <row r="1154" spans="1:23" ht="54.95" customHeight="1" thickBot="1" x14ac:dyDescent="0.25">
      <c r="A1154" s="1117">
        <v>2019</v>
      </c>
      <c r="B1154" s="1117">
        <v>2019</v>
      </c>
      <c r="C1154" s="1436" t="s">
        <v>78</v>
      </c>
      <c r="D1154" s="1363" t="s">
        <v>6675</v>
      </c>
      <c r="E1154" s="1350" t="s">
        <v>6676</v>
      </c>
      <c r="F1154" s="1437" t="s">
        <v>6538</v>
      </c>
      <c r="G1154" s="1463" t="s">
        <v>6674</v>
      </c>
      <c r="H1154" s="1352">
        <v>873.5</v>
      </c>
      <c r="I1154" s="1353">
        <v>43600</v>
      </c>
      <c r="J1154" s="1354">
        <v>90</v>
      </c>
      <c r="K1154" s="1353">
        <f t="shared" si="156"/>
        <v>43690</v>
      </c>
      <c r="L1154" s="1353" t="s">
        <v>83</v>
      </c>
      <c r="M1154" s="1353">
        <v>43602</v>
      </c>
      <c r="N1154" s="1354">
        <f t="shared" si="155"/>
        <v>-69</v>
      </c>
      <c r="O1154" s="1427">
        <v>43615</v>
      </c>
      <c r="P1154" s="1438">
        <v>43621</v>
      </c>
      <c r="Q1154" s="1355">
        <v>43644</v>
      </c>
      <c r="R1154" s="1354">
        <f t="shared" si="151"/>
        <v>44</v>
      </c>
      <c r="S1154" s="1437" t="s">
        <v>6581</v>
      </c>
      <c r="T1154" s="1370"/>
      <c r="U1154" s="1358" t="str">
        <f t="shared" si="150"/>
        <v>en término</v>
      </c>
      <c r="V1154" s="1130" t="str">
        <f t="shared" ref="V1154:V1217" si="157">VLOOKUP(MONTH(M1154),$Y$66:$Z$77,2,FALSE)</f>
        <v>Mayo</v>
      </c>
      <c r="W1154" s="1128">
        <f t="shared" ref="W1154:W1217" si="158">+IF(U1154="atrasado",0)+IF(U1154="en término",1)</f>
        <v>1</v>
      </c>
    </row>
    <row r="1155" spans="1:23" ht="54.95" customHeight="1" thickBot="1" x14ac:dyDescent="0.25">
      <c r="A1155" s="1117">
        <v>2019</v>
      </c>
      <c r="B1155" s="1117">
        <v>2019</v>
      </c>
      <c r="C1155" s="1436" t="s">
        <v>78</v>
      </c>
      <c r="D1155" s="1363" t="s">
        <v>6675</v>
      </c>
      <c r="E1155" s="1350" t="s">
        <v>6683</v>
      </c>
      <c r="F1155" s="1437" t="s">
        <v>81</v>
      </c>
      <c r="G1155" s="1463" t="s">
        <v>6694</v>
      </c>
      <c r="H1155" s="1352">
        <v>203005.27</v>
      </c>
      <c r="I1155" s="1353">
        <v>43623</v>
      </c>
      <c r="J1155" s="1354">
        <v>120</v>
      </c>
      <c r="K1155" s="1353">
        <f t="shared" si="156"/>
        <v>43743</v>
      </c>
      <c r="L1155" s="1353" t="s">
        <v>83</v>
      </c>
      <c r="M1155" s="1353">
        <v>43630</v>
      </c>
      <c r="N1155" s="1354">
        <f t="shared" si="155"/>
        <v>-91</v>
      </c>
      <c r="O1155" s="1427">
        <v>43648</v>
      </c>
      <c r="P1155" s="1438">
        <v>43652</v>
      </c>
      <c r="Q1155" s="1355">
        <v>43673</v>
      </c>
      <c r="R1155" s="1354">
        <f t="shared" si="151"/>
        <v>50</v>
      </c>
      <c r="S1155" s="1437" t="s">
        <v>6630</v>
      </c>
      <c r="T1155" s="1370"/>
      <c r="U1155" s="1358" t="str">
        <f t="shared" ref="U1155:U1218" si="159">IF(N1155="","",IF(N1155&lt;=0,"en término","atrasado"))</f>
        <v>en término</v>
      </c>
      <c r="V1155" s="1130" t="str">
        <f t="shared" si="157"/>
        <v>Junio</v>
      </c>
      <c r="W1155" s="1128">
        <f t="shared" si="158"/>
        <v>1</v>
      </c>
    </row>
    <row r="1156" spans="1:23" ht="54.95" customHeight="1" thickBot="1" x14ac:dyDescent="0.25">
      <c r="A1156" s="1117">
        <v>2019</v>
      </c>
      <c r="B1156" s="1117">
        <v>2019</v>
      </c>
      <c r="C1156" s="1436" t="s">
        <v>78</v>
      </c>
      <c r="D1156" s="1363" t="s">
        <v>6675</v>
      </c>
      <c r="E1156" s="1350" t="s">
        <v>6681</v>
      </c>
      <c r="F1156" s="1437" t="s">
        <v>81</v>
      </c>
      <c r="G1156" s="1463" t="s">
        <v>6695</v>
      </c>
      <c r="H1156" s="1352">
        <v>193650.23</v>
      </c>
      <c r="I1156" s="1353">
        <v>43623</v>
      </c>
      <c r="J1156" s="1354">
        <v>120</v>
      </c>
      <c r="K1156" s="1353">
        <f t="shared" si="156"/>
        <v>43743</v>
      </c>
      <c r="L1156" s="1353" t="s">
        <v>83</v>
      </c>
      <c r="M1156" s="1353">
        <v>43630</v>
      </c>
      <c r="N1156" s="1354">
        <f t="shared" si="155"/>
        <v>-91</v>
      </c>
      <c r="O1156" s="1427">
        <v>43648</v>
      </c>
      <c r="P1156" s="1438">
        <v>43652</v>
      </c>
      <c r="Q1156" s="1355">
        <v>43673</v>
      </c>
      <c r="R1156" s="1354">
        <f t="shared" si="151"/>
        <v>50</v>
      </c>
      <c r="S1156" s="1437" t="s">
        <v>6630</v>
      </c>
      <c r="T1156" s="1370"/>
      <c r="U1156" s="1358" t="str">
        <f t="shared" si="159"/>
        <v>en término</v>
      </c>
      <c r="V1156" s="1130" t="str">
        <f t="shared" si="157"/>
        <v>Junio</v>
      </c>
      <c r="W1156" s="1128">
        <f t="shared" si="158"/>
        <v>1</v>
      </c>
    </row>
    <row r="1157" spans="1:23" ht="54.95" customHeight="1" thickBot="1" x14ac:dyDescent="0.25">
      <c r="A1157" s="1117">
        <v>2019</v>
      </c>
      <c r="B1157" s="1117">
        <v>2019</v>
      </c>
      <c r="C1157" s="1436" t="s">
        <v>78</v>
      </c>
      <c r="D1157" s="1363" t="s">
        <v>6675</v>
      </c>
      <c r="E1157" s="1350" t="s">
        <v>6677</v>
      </c>
      <c r="F1157" s="1437" t="s">
        <v>81</v>
      </c>
      <c r="G1157" s="1463" t="s">
        <v>6696</v>
      </c>
      <c r="H1157" s="1352">
        <v>49638.16</v>
      </c>
      <c r="I1157" s="1353">
        <v>43623</v>
      </c>
      <c r="J1157" s="1354">
        <v>120</v>
      </c>
      <c r="K1157" s="1353">
        <f t="shared" si="156"/>
        <v>43743</v>
      </c>
      <c r="L1157" s="1353" t="s">
        <v>83</v>
      </c>
      <c r="M1157" s="1353">
        <v>43630</v>
      </c>
      <c r="N1157" s="1354">
        <f t="shared" si="155"/>
        <v>-91</v>
      </c>
      <c r="O1157" s="1427">
        <v>43648</v>
      </c>
      <c r="P1157" s="1438">
        <v>43652</v>
      </c>
      <c r="Q1157" s="1355">
        <v>43673</v>
      </c>
      <c r="R1157" s="1354">
        <f t="shared" si="151"/>
        <v>50</v>
      </c>
      <c r="S1157" s="1437" t="s">
        <v>6630</v>
      </c>
      <c r="T1157" s="1370"/>
      <c r="U1157" s="1358" t="str">
        <f t="shared" si="159"/>
        <v>en término</v>
      </c>
      <c r="V1157" s="1130" t="str">
        <f t="shared" si="157"/>
        <v>Junio</v>
      </c>
      <c r="W1157" s="1128">
        <f t="shared" si="158"/>
        <v>1</v>
      </c>
    </row>
    <row r="1158" spans="1:23" ht="54.95" customHeight="1" thickBot="1" x14ac:dyDescent="0.25">
      <c r="A1158" s="1117">
        <v>2019</v>
      </c>
      <c r="B1158" s="1117">
        <v>2019</v>
      </c>
      <c r="C1158" s="1436" t="s">
        <v>78</v>
      </c>
      <c r="D1158" s="1363" t="s">
        <v>6675</v>
      </c>
      <c r="E1158" s="1350" t="s">
        <v>6688</v>
      </c>
      <c r="F1158" s="1437" t="s">
        <v>81</v>
      </c>
      <c r="G1158" s="1463" t="s">
        <v>6697</v>
      </c>
      <c r="H1158" s="1352">
        <v>13745.02</v>
      </c>
      <c r="I1158" s="1353">
        <v>43623</v>
      </c>
      <c r="J1158" s="1354">
        <v>90</v>
      </c>
      <c r="K1158" s="1353">
        <f t="shared" si="156"/>
        <v>43713</v>
      </c>
      <c r="L1158" s="1353" t="s">
        <v>83</v>
      </c>
      <c r="M1158" s="1353">
        <v>43630</v>
      </c>
      <c r="N1158" s="1354">
        <f t="shared" si="155"/>
        <v>-61</v>
      </c>
      <c r="O1158" s="1427">
        <v>43648</v>
      </c>
      <c r="P1158" s="1438">
        <v>43652</v>
      </c>
      <c r="Q1158" s="1355">
        <v>43673</v>
      </c>
      <c r="R1158" s="1354">
        <f t="shared" si="151"/>
        <v>50</v>
      </c>
      <c r="S1158" s="1437" t="s">
        <v>6581</v>
      </c>
      <c r="T1158" s="1370"/>
      <c r="U1158" s="1358" t="str">
        <f t="shared" si="159"/>
        <v>en término</v>
      </c>
      <c r="V1158" s="1130" t="str">
        <f t="shared" si="157"/>
        <v>Junio</v>
      </c>
      <c r="W1158" s="1128">
        <f t="shared" si="158"/>
        <v>1</v>
      </c>
    </row>
    <row r="1159" spans="1:23" ht="54.95" customHeight="1" thickBot="1" x14ac:dyDescent="0.25">
      <c r="A1159" s="1117">
        <v>2019</v>
      </c>
      <c r="B1159" s="1117">
        <v>2019</v>
      </c>
      <c r="C1159" s="1436" t="s">
        <v>78</v>
      </c>
      <c r="D1159" s="1363" t="s">
        <v>6675</v>
      </c>
      <c r="E1159" s="1350" t="s">
        <v>6689</v>
      </c>
      <c r="F1159" s="1437" t="s">
        <v>81</v>
      </c>
      <c r="G1159" s="1463" t="s">
        <v>6698</v>
      </c>
      <c r="H1159" s="1352">
        <v>4450.6099999999997</v>
      </c>
      <c r="I1159" s="1353">
        <v>43623</v>
      </c>
      <c r="J1159" s="1354">
        <v>90</v>
      </c>
      <c r="K1159" s="1353">
        <f t="shared" si="156"/>
        <v>43713</v>
      </c>
      <c r="L1159" s="1353" t="s">
        <v>83</v>
      </c>
      <c r="M1159" s="1353">
        <v>43630</v>
      </c>
      <c r="N1159" s="1354">
        <f t="shared" si="155"/>
        <v>-61</v>
      </c>
      <c r="O1159" s="1427">
        <v>43648</v>
      </c>
      <c r="P1159" s="1438">
        <v>43652</v>
      </c>
      <c r="Q1159" s="1355">
        <v>43673</v>
      </c>
      <c r="R1159" s="1354">
        <f t="shared" si="151"/>
        <v>50</v>
      </c>
      <c r="S1159" s="1437" t="s">
        <v>6581</v>
      </c>
      <c r="T1159" s="1370"/>
      <c r="U1159" s="1358" t="str">
        <f t="shared" si="159"/>
        <v>en término</v>
      </c>
      <c r="V1159" s="1130" t="str">
        <f t="shared" si="157"/>
        <v>Junio</v>
      </c>
      <c r="W1159" s="1128">
        <f t="shared" si="158"/>
        <v>1</v>
      </c>
    </row>
    <row r="1160" spans="1:23" ht="54.95" customHeight="1" thickBot="1" x14ac:dyDescent="0.25">
      <c r="A1160" s="1117">
        <v>2019</v>
      </c>
      <c r="B1160" s="1117">
        <v>2019</v>
      </c>
      <c r="C1160" s="1436" t="s">
        <v>78</v>
      </c>
      <c r="D1160" s="1363" t="s">
        <v>6675</v>
      </c>
      <c r="E1160" s="1350" t="s">
        <v>6683</v>
      </c>
      <c r="F1160" s="1437" t="s">
        <v>81</v>
      </c>
      <c r="G1160" s="1463" t="s">
        <v>6714</v>
      </c>
      <c r="H1160" s="1352">
        <v>143331.25</v>
      </c>
      <c r="I1160" s="1353">
        <v>43655</v>
      </c>
      <c r="J1160" s="1354">
        <v>150</v>
      </c>
      <c r="K1160" s="1353">
        <f t="shared" si="156"/>
        <v>43805</v>
      </c>
      <c r="L1160" s="1353" t="s">
        <v>83</v>
      </c>
      <c r="M1160" s="1353">
        <v>43672</v>
      </c>
      <c r="N1160" s="1354">
        <f t="shared" si="155"/>
        <v>-111</v>
      </c>
      <c r="O1160" s="1427">
        <v>43683</v>
      </c>
      <c r="P1160" s="1438">
        <v>43694</v>
      </c>
      <c r="Q1160" s="1355">
        <v>43708</v>
      </c>
      <c r="R1160" s="1354">
        <f t="shared" si="151"/>
        <v>53</v>
      </c>
      <c r="S1160" s="1437" t="s">
        <v>6629</v>
      </c>
      <c r="T1160" s="1370" t="s">
        <v>6755</v>
      </c>
      <c r="U1160" s="1358" t="str">
        <f t="shared" si="159"/>
        <v>en término</v>
      </c>
      <c r="V1160" s="1130" t="str">
        <f t="shared" si="157"/>
        <v>Julio</v>
      </c>
      <c r="W1160" s="1128">
        <f t="shared" si="158"/>
        <v>1</v>
      </c>
    </row>
    <row r="1161" spans="1:23" ht="54.95" customHeight="1" thickBot="1" x14ac:dyDescent="0.25">
      <c r="A1161" s="1117">
        <v>2019</v>
      </c>
      <c r="B1161" s="1117">
        <v>2019</v>
      </c>
      <c r="C1161" s="1436" t="s">
        <v>78</v>
      </c>
      <c r="D1161" s="1363" t="s">
        <v>6675</v>
      </c>
      <c r="E1161" s="1350" t="s">
        <v>6683</v>
      </c>
      <c r="F1161" s="1437" t="s">
        <v>81</v>
      </c>
      <c r="G1161" s="1463" t="s">
        <v>6739</v>
      </c>
      <c r="H1161" s="1352">
        <v>23670.67</v>
      </c>
      <c r="I1161" s="1353">
        <v>43678</v>
      </c>
      <c r="J1161" s="1354">
        <v>165</v>
      </c>
      <c r="K1161" s="1353">
        <f t="shared" si="156"/>
        <v>43843</v>
      </c>
      <c r="L1161" s="1353" t="s">
        <v>83</v>
      </c>
      <c r="M1161" s="1353">
        <v>43690</v>
      </c>
      <c r="N1161" s="1354">
        <f t="shared" si="155"/>
        <v>-121</v>
      </c>
      <c r="O1161" s="1427">
        <v>43714</v>
      </c>
      <c r="P1161" s="1438">
        <v>43722</v>
      </c>
      <c r="Q1161" s="1355">
        <f>+P1161+20</f>
        <v>43742</v>
      </c>
      <c r="R1161" s="1354">
        <f t="shared" si="151"/>
        <v>64</v>
      </c>
      <c r="S1161" s="1437" t="s">
        <v>6632</v>
      </c>
      <c r="T1161" s="1370"/>
      <c r="U1161" s="1358" t="str">
        <f t="shared" si="159"/>
        <v>en término</v>
      </c>
      <c r="V1161" s="1130" t="str">
        <f t="shared" si="157"/>
        <v>Agosto</v>
      </c>
      <c r="W1161" s="1128">
        <f t="shared" si="158"/>
        <v>1</v>
      </c>
    </row>
    <row r="1162" spans="1:23" ht="54.95" customHeight="1" thickBot="1" x14ac:dyDescent="0.25">
      <c r="A1162" s="1117">
        <v>2019</v>
      </c>
      <c r="B1162" s="1117">
        <v>2019</v>
      </c>
      <c r="C1162" s="1436" t="s">
        <v>78</v>
      </c>
      <c r="D1162" s="1363" t="s">
        <v>6675</v>
      </c>
      <c r="E1162" s="1350" t="s">
        <v>6683</v>
      </c>
      <c r="F1162" s="1437" t="s">
        <v>81</v>
      </c>
      <c r="G1162" s="1463" t="s">
        <v>6618</v>
      </c>
      <c r="H1162" s="1352">
        <v>369072</v>
      </c>
      <c r="I1162" s="1353">
        <v>43524</v>
      </c>
      <c r="J1162" s="1354">
        <v>165</v>
      </c>
      <c r="K1162" s="1353">
        <f t="shared" si="156"/>
        <v>43689</v>
      </c>
      <c r="L1162" s="1353" t="s">
        <v>83</v>
      </c>
      <c r="M1162" s="1353">
        <v>43767</v>
      </c>
      <c r="N1162" s="1354">
        <f t="shared" si="155"/>
        <v>89</v>
      </c>
      <c r="O1162" s="1427">
        <v>43775</v>
      </c>
      <c r="P1162" s="1438">
        <v>43778</v>
      </c>
      <c r="Q1162" s="1355">
        <v>43799</v>
      </c>
      <c r="R1162" s="1354">
        <f t="shared" si="151"/>
        <v>275</v>
      </c>
      <c r="S1162" s="1437" t="s">
        <v>6738</v>
      </c>
      <c r="T1162" s="1370"/>
      <c r="U1162" s="1358" t="str">
        <f t="shared" si="159"/>
        <v>atrasado</v>
      </c>
      <c r="V1162" s="1130" t="str">
        <f t="shared" si="157"/>
        <v>Octubre</v>
      </c>
      <c r="W1162" s="1128">
        <f t="shared" si="158"/>
        <v>0</v>
      </c>
    </row>
    <row r="1163" spans="1:23" ht="54.95" customHeight="1" thickBot="1" x14ac:dyDescent="0.25">
      <c r="A1163" s="1117">
        <v>2019</v>
      </c>
      <c r="B1163" s="1117">
        <v>2019</v>
      </c>
      <c r="C1163" s="1436" t="s">
        <v>78</v>
      </c>
      <c r="D1163" s="1363" t="s">
        <v>6675</v>
      </c>
      <c r="E1163" s="1350" t="s">
        <v>6681</v>
      </c>
      <c r="F1163" s="1437" t="s">
        <v>81</v>
      </c>
      <c r="G1163" s="1463" t="s">
        <v>6715</v>
      </c>
      <c r="H1163" s="1352">
        <v>95886.62</v>
      </c>
      <c r="I1163" s="1353">
        <v>43655</v>
      </c>
      <c r="J1163" s="1354">
        <v>150</v>
      </c>
      <c r="K1163" s="1353">
        <f t="shared" si="156"/>
        <v>43805</v>
      </c>
      <c r="L1163" s="1353" t="s">
        <v>83</v>
      </c>
      <c r="M1163" s="1353">
        <v>43672</v>
      </c>
      <c r="N1163" s="1354">
        <f t="shared" si="155"/>
        <v>-111</v>
      </c>
      <c r="O1163" s="1427">
        <v>43683</v>
      </c>
      <c r="P1163" s="1438">
        <v>43694</v>
      </c>
      <c r="Q1163" s="1355">
        <v>43708</v>
      </c>
      <c r="R1163" s="1354">
        <f t="shared" si="151"/>
        <v>53</v>
      </c>
      <c r="S1163" s="1437" t="s">
        <v>6629</v>
      </c>
      <c r="T1163" s="1370" t="s">
        <v>6755</v>
      </c>
      <c r="U1163" s="1358" t="str">
        <f t="shared" si="159"/>
        <v>en término</v>
      </c>
      <c r="V1163" s="1130" t="str">
        <f t="shared" si="157"/>
        <v>Julio</v>
      </c>
      <c r="W1163" s="1128">
        <f t="shared" si="158"/>
        <v>1</v>
      </c>
    </row>
    <row r="1164" spans="1:23" ht="54.95" customHeight="1" thickBot="1" x14ac:dyDescent="0.25">
      <c r="A1164" s="1117">
        <v>2019</v>
      </c>
      <c r="B1164" s="1117">
        <v>2019</v>
      </c>
      <c r="C1164" s="1436" t="s">
        <v>78</v>
      </c>
      <c r="D1164" s="1363" t="s">
        <v>6675</v>
      </c>
      <c r="E1164" s="1350" t="s">
        <v>6677</v>
      </c>
      <c r="F1164" s="1437" t="s">
        <v>81</v>
      </c>
      <c r="G1164" s="1463" t="s">
        <v>6716</v>
      </c>
      <c r="H1164" s="1352">
        <v>46886.12</v>
      </c>
      <c r="I1164" s="1353">
        <v>43655</v>
      </c>
      <c r="J1164" s="1354">
        <v>150</v>
      </c>
      <c r="K1164" s="1353">
        <f t="shared" si="156"/>
        <v>43805</v>
      </c>
      <c r="L1164" s="1353" t="s">
        <v>83</v>
      </c>
      <c r="M1164" s="1353">
        <v>43672</v>
      </c>
      <c r="N1164" s="1354">
        <f t="shared" si="155"/>
        <v>-111</v>
      </c>
      <c r="O1164" s="1427">
        <v>43683</v>
      </c>
      <c r="P1164" s="1438">
        <v>43694</v>
      </c>
      <c r="Q1164" s="1355">
        <v>43708</v>
      </c>
      <c r="R1164" s="1354">
        <f t="shared" si="151"/>
        <v>53</v>
      </c>
      <c r="S1164" s="1437" t="s">
        <v>6629</v>
      </c>
      <c r="T1164" s="1370" t="s">
        <v>6755</v>
      </c>
      <c r="U1164" s="1358" t="str">
        <f t="shared" si="159"/>
        <v>en término</v>
      </c>
      <c r="V1164" s="1130" t="str">
        <f t="shared" si="157"/>
        <v>Julio</v>
      </c>
      <c r="W1164" s="1128">
        <f t="shared" si="158"/>
        <v>1</v>
      </c>
    </row>
    <row r="1165" spans="1:23" ht="54.95" customHeight="1" thickBot="1" x14ac:dyDescent="0.25">
      <c r="A1165" s="1117">
        <v>2019</v>
      </c>
      <c r="B1165" s="1117">
        <v>2019</v>
      </c>
      <c r="C1165" s="1436" t="s">
        <v>78</v>
      </c>
      <c r="D1165" s="1363" t="s">
        <v>6675</v>
      </c>
      <c r="E1165" s="1350" t="s">
        <v>6690</v>
      </c>
      <c r="F1165" s="1437" t="s">
        <v>6538</v>
      </c>
      <c r="G1165" s="1463" t="s">
        <v>6740</v>
      </c>
      <c r="H1165" s="1352">
        <v>111746.11</v>
      </c>
      <c r="I1165" s="1353">
        <v>43672</v>
      </c>
      <c r="J1165" s="1354">
        <v>90</v>
      </c>
      <c r="K1165" s="1353">
        <f t="shared" si="156"/>
        <v>43762</v>
      </c>
      <c r="L1165" s="1353" t="s">
        <v>83</v>
      </c>
      <c r="M1165" s="1353">
        <v>43690</v>
      </c>
      <c r="N1165" s="1354">
        <f t="shared" si="155"/>
        <v>-40</v>
      </c>
      <c r="O1165" s="1427">
        <v>43714</v>
      </c>
      <c r="P1165" s="1438">
        <v>43722</v>
      </c>
      <c r="Q1165" s="1355">
        <f>+P1165+20</f>
        <v>43742</v>
      </c>
      <c r="R1165" s="1354">
        <f t="shared" si="151"/>
        <v>70</v>
      </c>
      <c r="S1165" s="1437" t="s">
        <v>6581</v>
      </c>
      <c r="T1165" s="1370"/>
      <c r="U1165" s="1358" t="str">
        <f t="shared" si="159"/>
        <v>en término</v>
      </c>
      <c r="V1165" s="1130" t="str">
        <f t="shared" si="157"/>
        <v>Agosto</v>
      </c>
      <c r="W1165" s="1128">
        <f t="shared" si="158"/>
        <v>1</v>
      </c>
    </row>
    <row r="1166" spans="1:23" ht="54.95" customHeight="1" thickBot="1" x14ac:dyDescent="0.25">
      <c r="A1166" s="1117">
        <v>2019</v>
      </c>
      <c r="B1166" s="1117">
        <v>2019</v>
      </c>
      <c r="C1166" s="1436" t="s">
        <v>78</v>
      </c>
      <c r="D1166" s="1363" t="s">
        <v>6675</v>
      </c>
      <c r="E1166" s="1350" t="s">
        <v>6727</v>
      </c>
      <c r="F1166" s="1437" t="s">
        <v>6538</v>
      </c>
      <c r="G1166" s="1463" t="s">
        <v>6741</v>
      </c>
      <c r="H1166" s="1352">
        <v>3890.73</v>
      </c>
      <c r="I1166" s="1353">
        <v>43672</v>
      </c>
      <c r="J1166" s="1354">
        <v>90</v>
      </c>
      <c r="K1166" s="1353">
        <f t="shared" si="156"/>
        <v>43762</v>
      </c>
      <c r="L1166" s="1353" t="s">
        <v>83</v>
      </c>
      <c r="M1166" s="1353">
        <v>43690</v>
      </c>
      <c r="N1166" s="1354">
        <f t="shared" si="155"/>
        <v>-40</v>
      </c>
      <c r="O1166" s="1427">
        <v>43714</v>
      </c>
      <c r="P1166" s="1438">
        <v>43722</v>
      </c>
      <c r="Q1166" s="1355">
        <f>+P1166+20</f>
        <v>43742</v>
      </c>
      <c r="R1166" s="1354">
        <f t="shared" si="151"/>
        <v>70</v>
      </c>
      <c r="S1166" s="1437" t="s">
        <v>6581</v>
      </c>
      <c r="T1166" s="1370"/>
      <c r="U1166" s="1358" t="str">
        <f t="shared" si="159"/>
        <v>en término</v>
      </c>
      <c r="V1166" s="1130" t="str">
        <f t="shared" si="157"/>
        <v>Agosto</v>
      </c>
      <c r="W1166" s="1128">
        <f t="shared" si="158"/>
        <v>1</v>
      </c>
    </row>
    <row r="1167" spans="1:23" ht="54.95" customHeight="1" thickBot="1" x14ac:dyDescent="0.25">
      <c r="A1167" s="1117">
        <v>2019</v>
      </c>
      <c r="B1167" s="1117">
        <v>2019</v>
      </c>
      <c r="C1167" s="1436" t="s">
        <v>78</v>
      </c>
      <c r="D1167" s="1363" t="s">
        <v>6675</v>
      </c>
      <c r="E1167" s="1350" t="s">
        <v>6791</v>
      </c>
      <c r="F1167" s="1437" t="s">
        <v>81</v>
      </c>
      <c r="G1167" s="1463" t="s">
        <v>6811</v>
      </c>
      <c r="H1167" s="1352">
        <v>1794.62</v>
      </c>
      <c r="I1167" s="1353">
        <v>43683</v>
      </c>
      <c r="J1167" s="1354">
        <v>75</v>
      </c>
      <c r="K1167" s="1353">
        <f t="shared" si="156"/>
        <v>43758</v>
      </c>
      <c r="L1167" s="1353" t="s">
        <v>83</v>
      </c>
      <c r="M1167" s="1353">
        <v>43767</v>
      </c>
      <c r="N1167" s="1354">
        <f t="shared" si="155"/>
        <v>20</v>
      </c>
      <c r="O1167" s="1427">
        <v>43775</v>
      </c>
      <c r="P1167" s="1438">
        <v>43778</v>
      </c>
      <c r="Q1167" s="1355">
        <v>43799</v>
      </c>
      <c r="R1167" s="1354">
        <f t="shared" ref="R1167:R1230" si="160">IF(Q1167="","",+Q1167-I1167)</f>
        <v>116</v>
      </c>
      <c r="S1167" s="1437" t="s">
        <v>6581</v>
      </c>
      <c r="T1167" s="1370" t="s">
        <v>6815</v>
      </c>
      <c r="U1167" s="1358" t="str">
        <f t="shared" si="159"/>
        <v>atrasado</v>
      </c>
      <c r="V1167" s="1130" t="str">
        <f t="shared" si="157"/>
        <v>Octubre</v>
      </c>
      <c r="W1167" s="1128">
        <f t="shared" si="158"/>
        <v>0</v>
      </c>
    </row>
    <row r="1168" spans="1:23" ht="54.95" customHeight="1" thickBot="1" x14ac:dyDescent="0.25">
      <c r="A1168" s="1117">
        <v>2019</v>
      </c>
      <c r="B1168" s="1117">
        <v>2019</v>
      </c>
      <c r="C1168" s="1436" t="s">
        <v>78</v>
      </c>
      <c r="D1168" s="1363" t="s">
        <v>6675</v>
      </c>
      <c r="E1168" s="1350" t="s">
        <v>6792</v>
      </c>
      <c r="F1168" s="1437" t="s">
        <v>6538</v>
      </c>
      <c r="G1168" s="1463" t="s">
        <v>6851</v>
      </c>
      <c r="H1168" s="1352">
        <v>44589.64</v>
      </c>
      <c r="I1168" s="1353">
        <v>43728</v>
      </c>
      <c r="J1168" s="1354">
        <v>75</v>
      </c>
      <c r="K1168" s="1353">
        <f t="shared" si="156"/>
        <v>43803</v>
      </c>
      <c r="L1168" s="1353" t="s">
        <v>83</v>
      </c>
      <c r="M1168" s="1353">
        <v>43809</v>
      </c>
      <c r="N1168" s="1354">
        <f t="shared" si="155"/>
        <v>17</v>
      </c>
      <c r="O1168" s="1427">
        <v>43812</v>
      </c>
      <c r="P1168" s="1438">
        <v>43820</v>
      </c>
      <c r="Q1168" s="1355">
        <v>43850</v>
      </c>
      <c r="R1168" s="1354">
        <f t="shared" si="160"/>
        <v>122</v>
      </c>
      <c r="S1168" s="1437" t="s">
        <v>6581</v>
      </c>
      <c r="T1168" s="1370"/>
      <c r="U1168" s="1358" t="str">
        <f t="shared" si="159"/>
        <v>atrasado</v>
      </c>
      <c r="V1168" s="1130" t="str">
        <f t="shared" si="157"/>
        <v>Diciembre</v>
      </c>
      <c r="W1168" s="1128">
        <f t="shared" si="158"/>
        <v>0</v>
      </c>
    </row>
    <row r="1169" spans="1:23" ht="54.95" customHeight="1" thickBot="1" x14ac:dyDescent="0.25">
      <c r="A1169" s="1117">
        <v>2019</v>
      </c>
      <c r="B1169" s="1117">
        <v>2019</v>
      </c>
      <c r="C1169" s="1436" t="s">
        <v>78</v>
      </c>
      <c r="D1169" s="1363" t="s">
        <v>6675</v>
      </c>
      <c r="E1169" s="1350" t="s">
        <v>6807</v>
      </c>
      <c r="F1169" s="1437" t="s">
        <v>81</v>
      </c>
      <c r="G1169" s="1463" t="s">
        <v>6852</v>
      </c>
      <c r="H1169" s="1352">
        <v>314.79000000000002</v>
      </c>
      <c r="I1169" s="1353">
        <v>43728</v>
      </c>
      <c r="J1169" s="1354">
        <v>75</v>
      </c>
      <c r="K1169" s="1353">
        <f t="shared" si="156"/>
        <v>43803</v>
      </c>
      <c r="L1169" s="1353" t="s">
        <v>83</v>
      </c>
      <c r="M1169" s="1353">
        <v>43784</v>
      </c>
      <c r="N1169" s="1354">
        <f t="shared" si="155"/>
        <v>17</v>
      </c>
      <c r="O1169" s="1427">
        <v>43812</v>
      </c>
      <c r="P1169" s="1438">
        <v>43820</v>
      </c>
      <c r="Q1169" s="1355">
        <v>43850</v>
      </c>
      <c r="R1169" s="1354">
        <f t="shared" si="160"/>
        <v>122</v>
      </c>
      <c r="S1169" s="1437" t="s">
        <v>6581</v>
      </c>
      <c r="T1169" s="1370"/>
      <c r="U1169" s="1358" t="str">
        <f t="shared" si="159"/>
        <v>atrasado</v>
      </c>
      <c r="V1169" s="1130" t="str">
        <f t="shared" si="157"/>
        <v>Noviembre</v>
      </c>
      <c r="W1169" s="1128">
        <f t="shared" si="158"/>
        <v>0</v>
      </c>
    </row>
    <row r="1170" spans="1:23" ht="54.95" customHeight="1" thickBot="1" x14ac:dyDescent="0.25">
      <c r="A1170" s="1117">
        <v>2019</v>
      </c>
      <c r="B1170" s="1117">
        <v>2019</v>
      </c>
      <c r="C1170" s="1436" t="s">
        <v>78</v>
      </c>
      <c r="D1170" s="1363" t="s">
        <v>6675</v>
      </c>
      <c r="E1170" s="1350" t="s">
        <v>6808</v>
      </c>
      <c r="F1170" s="1437" t="s">
        <v>6538</v>
      </c>
      <c r="G1170" s="1463" t="s">
        <v>6809</v>
      </c>
      <c r="H1170" s="1352">
        <v>3918.21</v>
      </c>
      <c r="I1170" s="1353">
        <v>43741</v>
      </c>
      <c r="J1170" s="1354">
        <v>30</v>
      </c>
      <c r="K1170" s="1353">
        <v>43751</v>
      </c>
      <c r="L1170" s="1353" t="s">
        <v>83</v>
      </c>
      <c r="M1170" s="1353">
        <v>43749</v>
      </c>
      <c r="N1170" s="1354">
        <f t="shared" si="155"/>
        <v>3</v>
      </c>
      <c r="O1170" s="1427"/>
      <c r="P1170" s="1438">
        <v>43754</v>
      </c>
      <c r="Q1170" s="1355">
        <f>+P1170+5</f>
        <v>43759</v>
      </c>
      <c r="R1170" s="1354">
        <f t="shared" si="160"/>
        <v>18</v>
      </c>
      <c r="S1170" s="1437" t="s">
        <v>6813</v>
      </c>
      <c r="T1170" s="1370"/>
      <c r="U1170" s="1358" t="str">
        <f t="shared" si="159"/>
        <v>atrasado</v>
      </c>
      <c r="V1170" s="1130" t="str">
        <f t="shared" si="157"/>
        <v>Octubre</v>
      </c>
      <c r="W1170" s="1128">
        <f t="shared" si="158"/>
        <v>0</v>
      </c>
    </row>
    <row r="1171" spans="1:23" ht="54.95" customHeight="1" thickBot="1" x14ac:dyDescent="0.25">
      <c r="A1171" s="1117">
        <v>2019</v>
      </c>
      <c r="B1171" s="1117">
        <v>2019</v>
      </c>
      <c r="C1171" s="1436" t="s">
        <v>114</v>
      </c>
      <c r="D1171" s="1363" t="s">
        <v>6430</v>
      </c>
      <c r="E1171" s="1350" t="s">
        <v>6635</v>
      </c>
      <c r="F1171" s="1437"/>
      <c r="G1171" s="1463">
        <v>122</v>
      </c>
      <c r="H1171" s="1352">
        <v>3400</v>
      </c>
      <c r="I1171" s="1353">
        <v>43533</v>
      </c>
      <c r="J1171" s="1354">
        <v>75</v>
      </c>
      <c r="K1171" s="1353">
        <f>+I1171+J1171</f>
        <v>43608</v>
      </c>
      <c r="L1171" s="1353" t="s">
        <v>124</v>
      </c>
      <c r="M1171" s="1353">
        <v>43602</v>
      </c>
      <c r="N1171" s="1354">
        <f t="shared" si="155"/>
        <v>16</v>
      </c>
      <c r="O1171" s="1427">
        <v>43609</v>
      </c>
      <c r="P1171" s="1438">
        <v>43624</v>
      </c>
      <c r="Q1171" s="1355">
        <v>43633</v>
      </c>
      <c r="R1171" s="1354">
        <f t="shared" si="160"/>
        <v>100</v>
      </c>
      <c r="S1171" s="1437" t="s">
        <v>2618</v>
      </c>
      <c r="T1171" s="1370"/>
      <c r="U1171" s="1358" t="str">
        <f t="shared" si="159"/>
        <v>atrasado</v>
      </c>
      <c r="V1171" s="1130" t="str">
        <f t="shared" si="157"/>
        <v>Mayo</v>
      </c>
      <c r="W1171" s="1128">
        <f t="shared" si="158"/>
        <v>0</v>
      </c>
    </row>
    <row r="1172" spans="1:23" ht="54.95" customHeight="1" thickBot="1" x14ac:dyDescent="0.25">
      <c r="A1172" s="1117">
        <v>2019</v>
      </c>
      <c r="B1172" s="1117">
        <v>2019</v>
      </c>
      <c r="C1172" s="1436" t="s">
        <v>120</v>
      </c>
      <c r="D1172" s="1363" t="s">
        <v>121</v>
      </c>
      <c r="E1172" s="1350" t="s">
        <v>6641</v>
      </c>
      <c r="F1172" s="1437"/>
      <c r="G1172" s="1463">
        <v>68836</v>
      </c>
      <c r="H1172" s="1352">
        <v>9871.06</v>
      </c>
      <c r="I1172" s="1353">
        <v>43385</v>
      </c>
      <c r="J1172" s="1354">
        <f>+K1172-I1172</f>
        <v>261</v>
      </c>
      <c r="K1172" s="1353">
        <v>43646</v>
      </c>
      <c r="L1172" s="1353" t="s">
        <v>124</v>
      </c>
      <c r="M1172" s="1353">
        <v>43637</v>
      </c>
      <c r="N1172" s="1354">
        <f t="shared" si="155"/>
        <v>41</v>
      </c>
      <c r="O1172" s="1427">
        <v>43678</v>
      </c>
      <c r="P1172" s="1438">
        <v>43687</v>
      </c>
      <c r="Q1172" s="1355">
        <v>43715</v>
      </c>
      <c r="R1172" s="1354">
        <f t="shared" si="160"/>
        <v>330</v>
      </c>
      <c r="S1172" s="1437" t="s">
        <v>6581</v>
      </c>
      <c r="T1172" s="1370"/>
      <c r="U1172" s="1358" t="str">
        <f t="shared" si="159"/>
        <v>atrasado</v>
      </c>
      <c r="V1172" s="1130" t="str">
        <f t="shared" si="157"/>
        <v>Junio</v>
      </c>
      <c r="W1172" s="1128">
        <f t="shared" si="158"/>
        <v>0</v>
      </c>
    </row>
    <row r="1173" spans="1:23" ht="54.95" customHeight="1" thickBot="1" x14ac:dyDescent="0.25">
      <c r="A1173" s="1117">
        <v>2019</v>
      </c>
      <c r="B1173" s="1117">
        <v>2019</v>
      </c>
      <c r="C1173" s="1436" t="s">
        <v>5433</v>
      </c>
      <c r="D1173" s="1363" t="s">
        <v>5456</v>
      </c>
      <c r="E1173" s="1350" t="s">
        <v>6598</v>
      </c>
      <c r="F1173" s="1437"/>
      <c r="G1173" s="1463">
        <v>4500271014</v>
      </c>
      <c r="H1173" s="1352">
        <v>2542</v>
      </c>
      <c r="I1173" s="1353">
        <v>43482</v>
      </c>
      <c r="J1173" s="1354">
        <f>+K1173-I1173</f>
        <v>57</v>
      </c>
      <c r="K1173" s="1353">
        <v>43539</v>
      </c>
      <c r="L1173" s="1353" t="s">
        <v>124</v>
      </c>
      <c r="M1173" s="1353">
        <v>43536</v>
      </c>
      <c r="N1173" s="1354">
        <f t="shared" si="155"/>
        <v>0</v>
      </c>
      <c r="O1173" s="1427"/>
      <c r="P1173" s="1438">
        <v>43539</v>
      </c>
      <c r="Q1173" s="1355">
        <v>43544</v>
      </c>
      <c r="R1173" s="1354">
        <f t="shared" si="160"/>
        <v>62</v>
      </c>
      <c r="S1173" s="1437" t="s">
        <v>6581</v>
      </c>
      <c r="T1173" s="1370"/>
      <c r="U1173" s="1358" t="str">
        <f t="shared" si="159"/>
        <v>en término</v>
      </c>
      <c r="V1173" s="1130" t="str">
        <f t="shared" si="157"/>
        <v>Marzo</v>
      </c>
      <c r="W1173" s="1128">
        <f t="shared" si="158"/>
        <v>1</v>
      </c>
    </row>
    <row r="1174" spans="1:23" ht="54.95" customHeight="1" thickBot="1" x14ac:dyDescent="0.25">
      <c r="A1174" s="1117">
        <v>2019</v>
      </c>
      <c r="B1174" s="1117">
        <v>2019</v>
      </c>
      <c r="C1174" s="1436" t="s">
        <v>5433</v>
      </c>
      <c r="D1174" s="1363" t="s">
        <v>5456</v>
      </c>
      <c r="E1174" s="1350" t="s">
        <v>6642</v>
      </c>
      <c r="F1174" s="1437"/>
      <c r="G1174" s="1463">
        <v>4500273958</v>
      </c>
      <c r="H1174" s="1352">
        <v>6950</v>
      </c>
      <c r="I1174" s="1353">
        <v>43559</v>
      </c>
      <c r="J1174" s="1354">
        <v>75</v>
      </c>
      <c r="K1174" s="1353">
        <f>+I1174+J1174</f>
        <v>43634</v>
      </c>
      <c r="L1174" s="1353" t="s">
        <v>124</v>
      </c>
      <c r="M1174" s="1353">
        <v>43627</v>
      </c>
      <c r="N1174" s="1354">
        <f t="shared" si="155"/>
        <v>-5</v>
      </c>
      <c r="O1174" s="1427"/>
      <c r="P1174" s="1438">
        <v>43629</v>
      </c>
      <c r="Q1174" s="1355">
        <v>43634</v>
      </c>
      <c r="R1174" s="1354">
        <f t="shared" si="160"/>
        <v>75</v>
      </c>
      <c r="S1174" s="1437" t="s">
        <v>6581</v>
      </c>
      <c r="T1174" s="1370"/>
      <c r="U1174" s="1358" t="str">
        <f t="shared" si="159"/>
        <v>en término</v>
      </c>
      <c r="V1174" s="1130" t="str">
        <f t="shared" si="157"/>
        <v>Junio</v>
      </c>
      <c r="W1174" s="1128">
        <f t="shared" si="158"/>
        <v>1</v>
      </c>
    </row>
    <row r="1175" spans="1:23" ht="54.95" customHeight="1" thickBot="1" x14ac:dyDescent="0.25">
      <c r="A1175" s="1117">
        <v>2019</v>
      </c>
      <c r="B1175" s="1117">
        <v>2019</v>
      </c>
      <c r="C1175" s="1436" t="s">
        <v>5433</v>
      </c>
      <c r="D1175" s="1363" t="s">
        <v>5456</v>
      </c>
      <c r="E1175" s="1350" t="s">
        <v>6655</v>
      </c>
      <c r="F1175" s="1437"/>
      <c r="G1175" s="1463">
        <v>4500274482</v>
      </c>
      <c r="H1175" s="1352">
        <v>430</v>
      </c>
      <c r="I1175" s="1353">
        <v>43573</v>
      </c>
      <c r="J1175" s="1354">
        <f>+K1175-I1175</f>
        <v>76</v>
      </c>
      <c r="K1175" s="1353">
        <v>43649</v>
      </c>
      <c r="L1175" s="1353" t="s">
        <v>124</v>
      </c>
      <c r="M1175" s="1353">
        <v>43627</v>
      </c>
      <c r="N1175" s="1354">
        <f t="shared" si="155"/>
        <v>-20</v>
      </c>
      <c r="O1175" s="1427"/>
      <c r="P1175" s="1438">
        <v>43629</v>
      </c>
      <c r="Q1175" s="1355">
        <f>+P1175+5</f>
        <v>43634</v>
      </c>
      <c r="R1175" s="1354">
        <f t="shared" si="160"/>
        <v>61</v>
      </c>
      <c r="S1175" s="1437" t="s">
        <v>6581</v>
      </c>
      <c r="T1175" s="1370"/>
      <c r="U1175" s="1358" t="str">
        <f t="shared" si="159"/>
        <v>en término</v>
      </c>
      <c r="V1175" s="1130" t="str">
        <f t="shared" si="157"/>
        <v>Junio</v>
      </c>
      <c r="W1175" s="1128">
        <f t="shared" si="158"/>
        <v>1</v>
      </c>
    </row>
    <row r="1176" spans="1:23" ht="54.95" customHeight="1" thickBot="1" x14ac:dyDescent="0.25">
      <c r="A1176" s="1117">
        <v>2019</v>
      </c>
      <c r="B1176" s="1117">
        <v>2019</v>
      </c>
      <c r="C1176" s="1436" t="s">
        <v>5433</v>
      </c>
      <c r="D1176" s="1363" t="s">
        <v>5434</v>
      </c>
      <c r="E1176" s="1350" t="s">
        <v>6724</v>
      </c>
      <c r="F1176" s="1437"/>
      <c r="G1176" s="1463">
        <v>4200000135</v>
      </c>
      <c r="H1176" s="1352">
        <v>3185</v>
      </c>
      <c r="I1176" s="1353">
        <v>43655</v>
      </c>
      <c r="J1176" s="1354">
        <f>+K1176-I1176</f>
        <v>20</v>
      </c>
      <c r="K1176" s="1353">
        <v>43675</v>
      </c>
      <c r="L1176" s="1353" t="s">
        <v>124</v>
      </c>
      <c r="M1176" s="1353">
        <v>43658</v>
      </c>
      <c r="N1176" s="1354">
        <f t="shared" si="155"/>
        <v>-11</v>
      </c>
      <c r="O1176" s="1427"/>
      <c r="P1176" s="1438">
        <v>43664</v>
      </c>
      <c r="Q1176" s="1355">
        <f>+P1176+7</f>
        <v>43671</v>
      </c>
      <c r="R1176" s="1354">
        <f t="shared" si="160"/>
        <v>16</v>
      </c>
      <c r="S1176" s="1437" t="s">
        <v>2618</v>
      </c>
      <c r="T1176" s="1370"/>
      <c r="U1176" s="1358" t="str">
        <f t="shared" si="159"/>
        <v>en término</v>
      </c>
      <c r="V1176" s="1130" t="str">
        <f t="shared" si="157"/>
        <v>Julio</v>
      </c>
      <c r="W1176" s="1128">
        <f t="shared" si="158"/>
        <v>1</v>
      </c>
    </row>
    <row r="1177" spans="1:23" ht="54.95" customHeight="1" thickBot="1" x14ac:dyDescent="0.25">
      <c r="A1177" s="1117">
        <v>2019</v>
      </c>
      <c r="B1177" s="1117">
        <v>2019</v>
      </c>
      <c r="C1177" s="1436" t="s">
        <v>5433</v>
      </c>
      <c r="D1177" s="1363" t="s">
        <v>5456</v>
      </c>
      <c r="E1177" s="1350" t="s">
        <v>6699</v>
      </c>
      <c r="F1177" s="1437"/>
      <c r="G1177" s="1463">
        <v>4500276274</v>
      </c>
      <c r="H1177" s="1352">
        <v>631</v>
      </c>
      <c r="I1177" s="1353">
        <v>43627</v>
      </c>
      <c r="J1177" s="1354">
        <f>+K1177-I1177</f>
        <v>48</v>
      </c>
      <c r="K1177" s="1353">
        <v>43675</v>
      </c>
      <c r="L1177" s="1353" t="s">
        <v>124</v>
      </c>
      <c r="M1177" s="1353">
        <v>43672</v>
      </c>
      <c r="N1177" s="1354">
        <f t="shared" si="155"/>
        <v>1</v>
      </c>
      <c r="O1177" s="1427"/>
      <c r="P1177" s="1438">
        <v>43676</v>
      </c>
      <c r="Q1177" s="1355">
        <f>+P1177+5</f>
        <v>43681</v>
      </c>
      <c r="R1177" s="1354">
        <f t="shared" si="160"/>
        <v>54</v>
      </c>
      <c r="S1177" s="1437" t="s">
        <v>6581</v>
      </c>
      <c r="T1177" s="1370"/>
      <c r="U1177" s="1358" t="str">
        <f t="shared" si="159"/>
        <v>atrasado</v>
      </c>
      <c r="V1177" s="1130" t="str">
        <f t="shared" si="157"/>
        <v>Julio</v>
      </c>
      <c r="W1177" s="1128">
        <f t="shared" si="158"/>
        <v>0</v>
      </c>
    </row>
    <row r="1178" spans="1:23" ht="54.95" customHeight="1" thickBot="1" x14ac:dyDescent="0.25">
      <c r="A1178" s="1117">
        <v>2019</v>
      </c>
      <c r="B1178" s="1117">
        <v>2019</v>
      </c>
      <c r="C1178" s="1436" t="s">
        <v>5433</v>
      </c>
      <c r="D1178" s="1363" t="s">
        <v>5434</v>
      </c>
      <c r="E1178" s="1350" t="s">
        <v>6708</v>
      </c>
      <c r="F1178" s="1437"/>
      <c r="G1178" s="1463">
        <v>4200000131</v>
      </c>
      <c r="H1178" s="1352">
        <v>12300</v>
      </c>
      <c r="I1178" s="1353">
        <v>43642</v>
      </c>
      <c r="J1178" s="1354">
        <v>100</v>
      </c>
      <c r="K1178" s="1353">
        <f>+I1178+J1178</f>
        <v>43742</v>
      </c>
      <c r="L1178" s="1353" t="s">
        <v>5458</v>
      </c>
      <c r="M1178" s="1353">
        <v>43749</v>
      </c>
      <c r="N1178" s="1354">
        <f t="shared" si="155"/>
        <v>7</v>
      </c>
      <c r="O1178" s="1427"/>
      <c r="P1178" s="1438">
        <v>43749</v>
      </c>
      <c r="Q1178" s="1355">
        <v>43752</v>
      </c>
      <c r="R1178" s="1354">
        <f t="shared" si="160"/>
        <v>110</v>
      </c>
      <c r="S1178" s="1437" t="s">
        <v>2618</v>
      </c>
      <c r="T1178" s="1370"/>
      <c r="U1178" s="1358" t="str">
        <f t="shared" si="159"/>
        <v>atrasado</v>
      </c>
      <c r="V1178" s="1130" t="str">
        <f t="shared" si="157"/>
        <v>Octubre</v>
      </c>
      <c r="W1178" s="1128">
        <f t="shared" si="158"/>
        <v>0</v>
      </c>
    </row>
    <row r="1179" spans="1:23" ht="54.95" customHeight="1" thickBot="1" x14ac:dyDescent="0.25">
      <c r="A1179" s="1117">
        <v>2019</v>
      </c>
      <c r="B1179" s="1117">
        <v>2019</v>
      </c>
      <c r="C1179" s="1436" t="s">
        <v>5433</v>
      </c>
      <c r="D1179" s="1363" t="s">
        <v>5456</v>
      </c>
      <c r="E1179" s="1350" t="s">
        <v>6805</v>
      </c>
      <c r="F1179" s="1437"/>
      <c r="G1179" s="1463">
        <v>4500280173</v>
      </c>
      <c r="H1179" s="1352">
        <v>355</v>
      </c>
      <c r="I1179" s="1353">
        <v>43737</v>
      </c>
      <c r="J1179" s="1354">
        <f>+K1179-I1179</f>
        <v>80</v>
      </c>
      <c r="K1179" s="1353">
        <v>43817</v>
      </c>
      <c r="L1179" s="1353" t="s">
        <v>124</v>
      </c>
      <c r="M1179" s="1353">
        <v>43798</v>
      </c>
      <c r="N1179" s="1354">
        <f t="shared" si="155"/>
        <v>-14</v>
      </c>
      <c r="O1179" s="1427"/>
      <c r="P1179" s="1438">
        <v>43803</v>
      </c>
      <c r="Q1179" s="1355">
        <v>43808</v>
      </c>
      <c r="R1179" s="1354">
        <f t="shared" si="160"/>
        <v>71</v>
      </c>
      <c r="S1179" s="1437" t="s">
        <v>2618</v>
      </c>
      <c r="T1179" s="1370"/>
      <c r="U1179" s="1358" t="str">
        <f t="shared" si="159"/>
        <v>en término</v>
      </c>
      <c r="V1179" s="1130" t="str">
        <f t="shared" si="157"/>
        <v>Noviembre</v>
      </c>
      <c r="W1179" s="1128">
        <f t="shared" si="158"/>
        <v>1</v>
      </c>
    </row>
    <row r="1180" spans="1:23" ht="54.95" customHeight="1" thickBot="1" x14ac:dyDescent="0.25">
      <c r="A1180" s="1143">
        <v>2019</v>
      </c>
      <c r="B1180" s="1143">
        <v>2019</v>
      </c>
      <c r="C1180" s="1449" t="s">
        <v>5433</v>
      </c>
      <c r="D1180" s="1393" t="s">
        <v>5434</v>
      </c>
      <c r="E1180" s="1450" t="s">
        <v>6830</v>
      </c>
      <c r="F1180" s="1464"/>
      <c r="G1180" s="1465">
        <v>4200000150</v>
      </c>
      <c r="H1180" s="1453">
        <v>3800</v>
      </c>
      <c r="I1180" s="1454">
        <v>43774</v>
      </c>
      <c r="J1180" s="1455">
        <f>+K1180-I1180</f>
        <v>66</v>
      </c>
      <c r="K1180" s="1454">
        <v>43840</v>
      </c>
      <c r="L1180" s="1454" t="s">
        <v>124</v>
      </c>
      <c r="M1180" s="1454">
        <v>43819</v>
      </c>
      <c r="N1180" s="1455">
        <f t="shared" si="155"/>
        <v>-15</v>
      </c>
      <c r="O1180" s="1456"/>
      <c r="P1180" s="1466">
        <v>43825</v>
      </c>
      <c r="Q1180" s="1457">
        <f>+P1180+5</f>
        <v>43830</v>
      </c>
      <c r="R1180" s="1455">
        <f t="shared" si="160"/>
        <v>56</v>
      </c>
      <c r="S1180" s="1464" t="s">
        <v>2618</v>
      </c>
      <c r="T1180" s="1467" t="s">
        <v>6837</v>
      </c>
      <c r="U1180" s="1459" t="str">
        <f t="shared" si="159"/>
        <v>en término</v>
      </c>
      <c r="V1180" s="1290" t="str">
        <f t="shared" si="157"/>
        <v>Diciembre</v>
      </c>
      <c r="W1180" s="1323">
        <f t="shared" si="158"/>
        <v>1</v>
      </c>
    </row>
    <row r="1181" spans="1:23" ht="54.95" customHeight="1" thickTop="1" thickBot="1" x14ac:dyDescent="0.25">
      <c r="A1181" s="1157">
        <v>2020</v>
      </c>
      <c r="B1181" s="1157">
        <v>2020</v>
      </c>
      <c r="C1181" s="1468" t="s">
        <v>36</v>
      </c>
      <c r="D1181" s="1408" t="s">
        <v>37</v>
      </c>
      <c r="E1181" s="1409" t="s">
        <v>6429</v>
      </c>
      <c r="F1181" s="1469">
        <v>4600558097</v>
      </c>
      <c r="G1181" s="1463" t="s">
        <v>6626</v>
      </c>
      <c r="H1181" s="1411">
        <v>200055</v>
      </c>
      <c r="I1181" s="1412">
        <v>43508</v>
      </c>
      <c r="J1181" s="1413">
        <v>123</v>
      </c>
      <c r="K1181" s="1412">
        <v>43845</v>
      </c>
      <c r="L1181" s="1412" t="s">
        <v>41</v>
      </c>
      <c r="M1181" s="1412">
        <v>43840</v>
      </c>
      <c r="N1181" s="1413">
        <f t="shared" ref="N1181:N1212" si="161">IF(O1181="","",+O1181-K1181)</f>
        <v>3</v>
      </c>
      <c r="O1181" s="1439">
        <v>43848</v>
      </c>
      <c r="P1181" s="1440">
        <v>43850</v>
      </c>
      <c r="Q1181" s="1414">
        <v>43870</v>
      </c>
      <c r="R1181" s="1413">
        <f t="shared" si="160"/>
        <v>362</v>
      </c>
      <c r="S1181" s="1469" t="s">
        <v>6719</v>
      </c>
      <c r="T1181" s="1470" t="s">
        <v>6622</v>
      </c>
      <c r="U1181" s="1417" t="str">
        <f t="shared" si="159"/>
        <v>atrasado</v>
      </c>
      <c r="V1181" s="1289" t="str">
        <f t="shared" si="157"/>
        <v>Enero</v>
      </c>
      <c r="W1181" s="1324">
        <f t="shared" si="158"/>
        <v>0</v>
      </c>
    </row>
    <row r="1182" spans="1:23" ht="54.95" customHeight="1" thickBot="1" x14ac:dyDescent="0.25">
      <c r="A1182" s="1117">
        <v>2020</v>
      </c>
      <c r="B1182" s="1117">
        <v>2020</v>
      </c>
      <c r="C1182" s="1436" t="s">
        <v>36</v>
      </c>
      <c r="D1182" s="1363" t="s">
        <v>37</v>
      </c>
      <c r="E1182" s="1350" t="s">
        <v>6429</v>
      </c>
      <c r="F1182" s="1437">
        <v>4600558097</v>
      </c>
      <c r="G1182" s="1463" t="s">
        <v>6626</v>
      </c>
      <c r="H1182" s="1352">
        <v>207314</v>
      </c>
      <c r="I1182" s="1353">
        <v>43508</v>
      </c>
      <c r="J1182" s="1354">
        <v>123</v>
      </c>
      <c r="K1182" s="1353">
        <v>43876</v>
      </c>
      <c r="L1182" s="1353" t="s">
        <v>41</v>
      </c>
      <c r="M1182" s="1353">
        <v>43875</v>
      </c>
      <c r="N1182" s="1354">
        <f t="shared" si="161"/>
        <v>7</v>
      </c>
      <c r="O1182" s="1427">
        <v>43883</v>
      </c>
      <c r="P1182" s="1438">
        <v>43884</v>
      </c>
      <c r="Q1182" s="1355">
        <v>43904</v>
      </c>
      <c r="R1182" s="1354">
        <f t="shared" si="160"/>
        <v>396</v>
      </c>
      <c r="S1182" s="1437" t="s">
        <v>6728</v>
      </c>
      <c r="T1182" s="1370" t="s">
        <v>6622</v>
      </c>
      <c r="U1182" s="1358" t="str">
        <f t="shared" si="159"/>
        <v>atrasado</v>
      </c>
      <c r="V1182" s="1130" t="str">
        <f t="shared" si="157"/>
        <v>Febrero</v>
      </c>
      <c r="W1182" s="1128">
        <f t="shared" si="158"/>
        <v>0</v>
      </c>
    </row>
    <row r="1183" spans="1:23" ht="54.95" customHeight="1" thickBot="1" x14ac:dyDescent="0.25">
      <c r="A1183" s="1117">
        <v>2020</v>
      </c>
      <c r="B1183" s="1117">
        <v>2020</v>
      </c>
      <c r="C1183" s="1436" t="s">
        <v>36</v>
      </c>
      <c r="D1183" s="1363" t="s">
        <v>37</v>
      </c>
      <c r="E1183" s="1350" t="s">
        <v>6793</v>
      </c>
      <c r="F1183" s="1437"/>
      <c r="G1183" s="1463" t="s">
        <v>6794</v>
      </c>
      <c r="H1183" s="1352">
        <v>1150</v>
      </c>
      <c r="I1183" s="1353">
        <v>43726</v>
      </c>
      <c r="J1183" s="1354">
        <f t="shared" ref="J1183:J1193" si="162">+K1183-I1183</f>
        <v>137</v>
      </c>
      <c r="K1183" s="1353">
        <v>43863</v>
      </c>
      <c r="L1183" s="1353" t="s">
        <v>41</v>
      </c>
      <c r="M1183" s="1353">
        <v>43839</v>
      </c>
      <c r="N1183" s="1354">
        <f t="shared" si="161"/>
        <v>-15</v>
      </c>
      <c r="O1183" s="1427">
        <v>43848</v>
      </c>
      <c r="P1183" s="1438">
        <v>43850</v>
      </c>
      <c r="Q1183" s="1355">
        <v>43870</v>
      </c>
      <c r="R1183" s="1354">
        <f t="shared" si="160"/>
        <v>144</v>
      </c>
      <c r="S1183" s="1437" t="s">
        <v>1020</v>
      </c>
      <c r="T1183" s="1370" t="s">
        <v>6800</v>
      </c>
      <c r="U1183" s="1358" t="str">
        <f t="shared" si="159"/>
        <v>en término</v>
      </c>
      <c r="V1183" s="1130" t="str">
        <f t="shared" si="157"/>
        <v>Enero</v>
      </c>
      <c r="W1183" s="1128">
        <f t="shared" si="158"/>
        <v>1</v>
      </c>
    </row>
    <row r="1184" spans="1:23" ht="54.95" customHeight="1" thickBot="1" x14ac:dyDescent="0.25">
      <c r="A1184" s="1117">
        <v>2020</v>
      </c>
      <c r="B1184" s="1117">
        <v>2020</v>
      </c>
      <c r="C1184" s="1436" t="s">
        <v>36</v>
      </c>
      <c r="D1184" s="1363" t="s">
        <v>37</v>
      </c>
      <c r="E1184" s="1350" t="s">
        <v>6441</v>
      </c>
      <c r="F1184" s="1437">
        <v>4600557062</v>
      </c>
      <c r="G1184" s="1463" t="s">
        <v>6825</v>
      </c>
      <c r="H1184" s="1352">
        <v>8337.58</v>
      </c>
      <c r="I1184" s="1353">
        <v>43773</v>
      </c>
      <c r="J1184" s="1354">
        <f t="shared" si="162"/>
        <v>91</v>
      </c>
      <c r="K1184" s="1353">
        <v>43864</v>
      </c>
      <c r="L1184" s="1353" t="s">
        <v>41</v>
      </c>
      <c r="M1184" s="1353">
        <v>43840</v>
      </c>
      <c r="N1184" s="1354">
        <f t="shared" si="161"/>
        <v>-17</v>
      </c>
      <c r="O1184" s="1427">
        <v>43847</v>
      </c>
      <c r="P1184" s="1438">
        <v>43849</v>
      </c>
      <c r="Q1184" s="1355">
        <f>+P1184+20</f>
        <v>43869</v>
      </c>
      <c r="R1184" s="1354">
        <f t="shared" si="160"/>
        <v>96</v>
      </c>
      <c r="S1184" s="1437" t="s">
        <v>6826</v>
      </c>
      <c r="T1184" s="1370" t="s">
        <v>6850</v>
      </c>
      <c r="U1184" s="1358" t="str">
        <f t="shared" si="159"/>
        <v>en término</v>
      </c>
      <c r="V1184" s="1130" t="str">
        <f t="shared" si="157"/>
        <v>Enero</v>
      </c>
      <c r="W1184" s="1128">
        <f t="shared" si="158"/>
        <v>1</v>
      </c>
    </row>
    <row r="1185" spans="1:23" ht="54.95" customHeight="1" thickBot="1" x14ac:dyDescent="0.25">
      <c r="A1185" s="1117">
        <v>2020</v>
      </c>
      <c r="B1185" s="1117">
        <v>2020</v>
      </c>
      <c r="C1185" s="1436" t="s">
        <v>36</v>
      </c>
      <c r="D1185" s="1363" t="s">
        <v>37</v>
      </c>
      <c r="E1185" s="1350" t="s">
        <v>6829</v>
      </c>
      <c r="F1185" s="1437" t="s">
        <v>6828</v>
      </c>
      <c r="G1185" s="1463" t="s">
        <v>6827</v>
      </c>
      <c r="H1185" s="1352">
        <v>1120</v>
      </c>
      <c r="I1185" s="1353">
        <v>43776</v>
      </c>
      <c r="J1185" s="1354">
        <f t="shared" si="162"/>
        <v>90</v>
      </c>
      <c r="K1185" s="1353">
        <v>43866</v>
      </c>
      <c r="L1185" s="1353" t="s">
        <v>41</v>
      </c>
      <c r="M1185" s="1353">
        <v>43840</v>
      </c>
      <c r="N1185" s="1354">
        <f t="shared" si="161"/>
        <v>-19</v>
      </c>
      <c r="O1185" s="1427">
        <v>43847</v>
      </c>
      <c r="P1185" s="1438">
        <v>43849</v>
      </c>
      <c r="Q1185" s="1355">
        <f>+P1185+20</f>
        <v>43869</v>
      </c>
      <c r="R1185" s="1354">
        <f t="shared" si="160"/>
        <v>93</v>
      </c>
      <c r="S1185" s="1437" t="s">
        <v>1020</v>
      </c>
      <c r="T1185" s="1370" t="s">
        <v>6800</v>
      </c>
      <c r="U1185" s="1358" t="str">
        <f t="shared" si="159"/>
        <v>en término</v>
      </c>
      <c r="V1185" s="1130" t="str">
        <f t="shared" si="157"/>
        <v>Enero</v>
      </c>
      <c r="W1185" s="1128">
        <f t="shared" si="158"/>
        <v>1</v>
      </c>
    </row>
    <row r="1186" spans="1:23" ht="54.95" customHeight="1" thickBot="1" x14ac:dyDescent="0.25">
      <c r="A1186" s="1117">
        <v>2020</v>
      </c>
      <c r="B1186" s="1117">
        <v>2020</v>
      </c>
      <c r="C1186" s="1436" t="s">
        <v>36</v>
      </c>
      <c r="D1186" s="1363" t="s">
        <v>37</v>
      </c>
      <c r="E1186" s="1350" t="s">
        <v>6866</v>
      </c>
      <c r="F1186" s="1437"/>
      <c r="G1186" s="1463" t="s">
        <v>6867</v>
      </c>
      <c r="H1186" s="1352">
        <v>59244.1</v>
      </c>
      <c r="I1186" s="1353">
        <v>43801</v>
      </c>
      <c r="J1186" s="1354">
        <f t="shared" si="162"/>
        <v>86</v>
      </c>
      <c r="K1186" s="1353">
        <v>43887</v>
      </c>
      <c r="L1186" s="1353" t="s">
        <v>41</v>
      </c>
      <c r="M1186" s="1353">
        <v>43875</v>
      </c>
      <c r="N1186" s="1354">
        <f t="shared" si="161"/>
        <v>-4</v>
      </c>
      <c r="O1186" s="1427">
        <v>43883</v>
      </c>
      <c r="P1186" s="1438">
        <v>43884</v>
      </c>
      <c r="Q1186" s="1355">
        <v>43904</v>
      </c>
      <c r="R1186" s="1354">
        <f t="shared" si="160"/>
        <v>103</v>
      </c>
      <c r="S1186" s="1437" t="s">
        <v>53</v>
      </c>
      <c r="T1186" s="1370" t="s">
        <v>6875</v>
      </c>
      <c r="U1186" s="1358" t="str">
        <f t="shared" si="159"/>
        <v>en término</v>
      </c>
      <c r="V1186" s="1130" t="str">
        <f t="shared" si="157"/>
        <v>Febrero</v>
      </c>
      <c r="W1186" s="1128">
        <f t="shared" si="158"/>
        <v>1</v>
      </c>
    </row>
    <row r="1187" spans="1:23" ht="54.95" customHeight="1" thickBot="1" x14ac:dyDescent="0.25">
      <c r="A1187" s="1117">
        <v>2020</v>
      </c>
      <c r="B1187" s="1117">
        <v>2020</v>
      </c>
      <c r="C1187" s="1436" t="s">
        <v>36</v>
      </c>
      <c r="D1187" s="1363" t="s">
        <v>37</v>
      </c>
      <c r="E1187" s="1350" t="s">
        <v>6868</v>
      </c>
      <c r="F1187" s="1437"/>
      <c r="G1187" s="1463" t="s">
        <v>6869</v>
      </c>
      <c r="H1187" s="1352">
        <v>15220</v>
      </c>
      <c r="I1187" s="1353">
        <v>43801</v>
      </c>
      <c r="J1187" s="1354">
        <f t="shared" si="162"/>
        <v>86</v>
      </c>
      <c r="K1187" s="1353">
        <v>43887</v>
      </c>
      <c r="L1187" s="1353" t="s">
        <v>41</v>
      </c>
      <c r="M1187" s="1353">
        <v>43875</v>
      </c>
      <c r="N1187" s="1354">
        <f t="shared" si="161"/>
        <v>-4</v>
      </c>
      <c r="O1187" s="1427">
        <v>43883</v>
      </c>
      <c r="P1187" s="1438">
        <v>43884</v>
      </c>
      <c r="Q1187" s="1355">
        <v>43904</v>
      </c>
      <c r="R1187" s="1354">
        <f t="shared" si="160"/>
        <v>103</v>
      </c>
      <c r="S1187" s="1437" t="s">
        <v>53</v>
      </c>
      <c r="T1187" s="1370" t="s">
        <v>6874</v>
      </c>
      <c r="U1187" s="1358" t="str">
        <f t="shared" si="159"/>
        <v>en término</v>
      </c>
      <c r="V1187" s="1130" t="str">
        <f t="shared" si="157"/>
        <v>Febrero</v>
      </c>
      <c r="W1187" s="1128">
        <f t="shared" si="158"/>
        <v>1</v>
      </c>
    </row>
    <row r="1188" spans="1:23" ht="54.95" customHeight="1" thickBot="1" x14ac:dyDescent="0.25">
      <c r="A1188" s="1117">
        <v>2020</v>
      </c>
      <c r="B1188" s="1117">
        <v>2020</v>
      </c>
      <c r="C1188" s="1436" t="s">
        <v>36</v>
      </c>
      <c r="D1188" s="1363" t="s">
        <v>37</v>
      </c>
      <c r="E1188" s="1350" t="s">
        <v>6870</v>
      </c>
      <c r="F1188" s="1437"/>
      <c r="G1188" s="1463" t="s">
        <v>6871</v>
      </c>
      <c r="H1188" s="1352">
        <v>3918.8</v>
      </c>
      <c r="I1188" s="1353">
        <v>43801</v>
      </c>
      <c r="J1188" s="1354">
        <f t="shared" si="162"/>
        <v>86</v>
      </c>
      <c r="K1188" s="1353">
        <v>43887</v>
      </c>
      <c r="L1188" s="1353" t="s">
        <v>41</v>
      </c>
      <c r="M1188" s="1353">
        <v>43875</v>
      </c>
      <c r="N1188" s="1354">
        <f t="shared" si="161"/>
        <v>-4</v>
      </c>
      <c r="O1188" s="1427">
        <v>43883</v>
      </c>
      <c r="P1188" s="1438">
        <v>43884</v>
      </c>
      <c r="Q1188" s="1355">
        <v>43904</v>
      </c>
      <c r="R1188" s="1354">
        <f t="shared" si="160"/>
        <v>103</v>
      </c>
      <c r="S1188" s="1437" t="s">
        <v>53</v>
      </c>
      <c r="T1188" s="1370" t="s">
        <v>6873</v>
      </c>
      <c r="U1188" s="1358" t="str">
        <f t="shared" si="159"/>
        <v>en término</v>
      </c>
      <c r="V1188" s="1130" t="str">
        <f t="shared" si="157"/>
        <v>Febrero</v>
      </c>
      <c r="W1188" s="1128">
        <f t="shared" si="158"/>
        <v>1</v>
      </c>
    </row>
    <row r="1189" spans="1:23" ht="54.95" customHeight="1" thickBot="1" x14ac:dyDescent="0.25">
      <c r="A1189" s="1117">
        <v>2020</v>
      </c>
      <c r="B1189" s="1117">
        <v>2020</v>
      </c>
      <c r="C1189" s="1436" t="s">
        <v>36</v>
      </c>
      <c r="D1189" s="1363" t="s">
        <v>37</v>
      </c>
      <c r="E1189" s="1350" t="s">
        <v>6441</v>
      </c>
      <c r="F1189" s="1437">
        <v>4600557062</v>
      </c>
      <c r="G1189" s="1463" t="s">
        <v>6889</v>
      </c>
      <c r="H1189" s="1352">
        <v>358.32</v>
      </c>
      <c r="I1189" s="1353">
        <v>43815</v>
      </c>
      <c r="J1189" s="1354">
        <f t="shared" si="162"/>
        <v>82</v>
      </c>
      <c r="K1189" s="1353">
        <v>43897</v>
      </c>
      <c r="L1189" s="1353" t="s">
        <v>41</v>
      </c>
      <c r="M1189" s="1353">
        <v>43875</v>
      </c>
      <c r="N1189" s="1354">
        <f t="shared" si="161"/>
        <v>-14</v>
      </c>
      <c r="O1189" s="1427">
        <v>43883</v>
      </c>
      <c r="P1189" s="1438">
        <v>43884</v>
      </c>
      <c r="Q1189" s="1355">
        <v>43904</v>
      </c>
      <c r="R1189" s="1354">
        <f t="shared" si="160"/>
        <v>89</v>
      </c>
      <c r="S1189" s="1437" t="s">
        <v>53</v>
      </c>
      <c r="T1189" s="1370" t="s">
        <v>6891</v>
      </c>
      <c r="U1189" s="1358" t="str">
        <f t="shared" si="159"/>
        <v>en término</v>
      </c>
      <c r="V1189" s="1130" t="str">
        <f t="shared" si="157"/>
        <v>Febrero</v>
      </c>
      <c r="W1189" s="1128">
        <f t="shared" si="158"/>
        <v>1</v>
      </c>
    </row>
    <row r="1190" spans="1:23" ht="54.95" customHeight="1" thickBot="1" x14ac:dyDescent="0.25">
      <c r="A1190" s="1117">
        <v>2020</v>
      </c>
      <c r="B1190" s="1117">
        <v>2020</v>
      </c>
      <c r="C1190" s="1436" t="s">
        <v>36</v>
      </c>
      <c r="D1190" s="1363" t="s">
        <v>37</v>
      </c>
      <c r="E1190" s="1350" t="s">
        <v>6441</v>
      </c>
      <c r="F1190" s="1437">
        <v>4600557062</v>
      </c>
      <c r="G1190" s="1463" t="s">
        <v>6890</v>
      </c>
      <c r="H1190" s="1352">
        <v>8797.4599999999991</v>
      </c>
      <c r="I1190" s="1353">
        <v>43815</v>
      </c>
      <c r="J1190" s="1354">
        <f t="shared" si="162"/>
        <v>82</v>
      </c>
      <c r="K1190" s="1353">
        <v>43897</v>
      </c>
      <c r="L1190" s="1353" t="s">
        <v>41</v>
      </c>
      <c r="M1190" s="1353">
        <v>43875</v>
      </c>
      <c r="N1190" s="1354">
        <f t="shared" si="161"/>
        <v>-14</v>
      </c>
      <c r="O1190" s="1427">
        <v>43883</v>
      </c>
      <c r="P1190" s="1438">
        <v>43884</v>
      </c>
      <c r="Q1190" s="1355">
        <v>43904</v>
      </c>
      <c r="R1190" s="1354">
        <f t="shared" si="160"/>
        <v>89</v>
      </c>
      <c r="S1190" s="1437" t="s">
        <v>53</v>
      </c>
      <c r="T1190" s="1370" t="s">
        <v>6892</v>
      </c>
      <c r="U1190" s="1358" t="str">
        <f t="shared" si="159"/>
        <v>en término</v>
      </c>
      <c r="V1190" s="1130" t="str">
        <f t="shared" si="157"/>
        <v>Febrero</v>
      </c>
      <c r="W1190" s="1128">
        <f t="shared" si="158"/>
        <v>1</v>
      </c>
    </row>
    <row r="1191" spans="1:23" ht="54.95" customHeight="1" thickBot="1" x14ac:dyDescent="0.25">
      <c r="A1191" s="1117">
        <v>2020</v>
      </c>
      <c r="B1191" s="1117">
        <v>2020</v>
      </c>
      <c r="C1191" s="1436" t="s">
        <v>36</v>
      </c>
      <c r="D1191" s="1363" t="s">
        <v>37</v>
      </c>
      <c r="E1191" s="1350" t="s">
        <v>6441</v>
      </c>
      <c r="F1191" s="1437">
        <v>4600557062</v>
      </c>
      <c r="G1191" s="1463" t="s">
        <v>6893</v>
      </c>
      <c r="H1191" s="1352">
        <v>4552.17</v>
      </c>
      <c r="I1191" s="1353">
        <v>43816</v>
      </c>
      <c r="J1191" s="1354">
        <f t="shared" si="162"/>
        <v>83</v>
      </c>
      <c r="K1191" s="1353">
        <v>43899</v>
      </c>
      <c r="L1191" s="1353" t="s">
        <v>41</v>
      </c>
      <c r="M1191" s="1353">
        <v>43903</v>
      </c>
      <c r="N1191" s="1354">
        <f t="shared" si="161"/>
        <v>12</v>
      </c>
      <c r="O1191" s="1427">
        <v>43911</v>
      </c>
      <c r="P1191" s="1438">
        <v>43913</v>
      </c>
      <c r="Q1191" s="1355">
        <v>43934</v>
      </c>
      <c r="R1191" s="1354">
        <f t="shared" si="160"/>
        <v>118</v>
      </c>
      <c r="S1191" s="1437" t="s">
        <v>53</v>
      </c>
      <c r="T1191" s="1370" t="s">
        <v>6894</v>
      </c>
      <c r="U1191" s="1358" t="str">
        <f t="shared" si="159"/>
        <v>atrasado</v>
      </c>
      <c r="V1191" s="1130" t="str">
        <f t="shared" si="157"/>
        <v>Marzo</v>
      </c>
      <c r="W1191" s="1128">
        <f t="shared" si="158"/>
        <v>0</v>
      </c>
    </row>
    <row r="1192" spans="1:23" ht="54.95" customHeight="1" thickBot="1" x14ac:dyDescent="0.25">
      <c r="A1192" s="1117">
        <v>2020</v>
      </c>
      <c r="B1192" s="1117">
        <v>2020</v>
      </c>
      <c r="C1192" s="1436" t="s">
        <v>36</v>
      </c>
      <c r="D1192" s="1363" t="s">
        <v>37</v>
      </c>
      <c r="E1192" s="1350" t="s">
        <v>6441</v>
      </c>
      <c r="F1192" s="1437">
        <v>4600557062</v>
      </c>
      <c r="G1192" s="1463" t="s">
        <v>6900</v>
      </c>
      <c r="H1192" s="1352">
        <v>32295.17</v>
      </c>
      <c r="I1192" s="1353">
        <v>43822</v>
      </c>
      <c r="J1192" s="1354">
        <f t="shared" si="162"/>
        <v>84</v>
      </c>
      <c r="K1192" s="1353">
        <v>43906</v>
      </c>
      <c r="L1192" s="1353" t="s">
        <v>41</v>
      </c>
      <c r="M1192" s="1353">
        <v>43903</v>
      </c>
      <c r="N1192" s="1354">
        <f t="shared" si="161"/>
        <v>5</v>
      </c>
      <c r="O1192" s="1427">
        <v>43911</v>
      </c>
      <c r="P1192" s="1438">
        <v>43913</v>
      </c>
      <c r="Q1192" s="1355">
        <v>43934</v>
      </c>
      <c r="R1192" s="1354">
        <f t="shared" si="160"/>
        <v>112</v>
      </c>
      <c r="S1192" s="1437" t="s">
        <v>53</v>
      </c>
      <c r="T1192" s="1370" t="s">
        <v>6901</v>
      </c>
      <c r="U1192" s="1358" t="str">
        <f t="shared" si="159"/>
        <v>atrasado</v>
      </c>
      <c r="V1192" s="1130" t="str">
        <f t="shared" si="157"/>
        <v>Marzo</v>
      </c>
      <c r="W1192" s="1128">
        <f t="shared" si="158"/>
        <v>0</v>
      </c>
    </row>
    <row r="1193" spans="1:23" ht="54.95" customHeight="1" thickBot="1" x14ac:dyDescent="0.25">
      <c r="A1193" s="1117">
        <v>2020</v>
      </c>
      <c r="B1193" s="1117">
        <v>2020</v>
      </c>
      <c r="C1193" s="1436" t="s">
        <v>36</v>
      </c>
      <c r="D1193" s="1363" t="s">
        <v>37</v>
      </c>
      <c r="E1193" s="1350" t="s">
        <v>6441</v>
      </c>
      <c r="F1193" s="1437">
        <v>4600557062</v>
      </c>
      <c r="G1193" s="1463" t="s">
        <v>6904</v>
      </c>
      <c r="H1193" s="1352">
        <v>3939.37</v>
      </c>
      <c r="I1193" s="1353">
        <v>43837</v>
      </c>
      <c r="J1193" s="1354">
        <f t="shared" si="162"/>
        <v>90</v>
      </c>
      <c r="K1193" s="1353">
        <v>43927</v>
      </c>
      <c r="L1193" s="1353" t="s">
        <v>41</v>
      </c>
      <c r="M1193" s="1353">
        <v>43903</v>
      </c>
      <c r="N1193" s="1354">
        <f t="shared" si="161"/>
        <v>-16</v>
      </c>
      <c r="O1193" s="1427">
        <v>43911</v>
      </c>
      <c r="P1193" s="1438">
        <v>43913</v>
      </c>
      <c r="Q1193" s="1355">
        <v>43934</v>
      </c>
      <c r="R1193" s="1354">
        <f t="shared" si="160"/>
        <v>97</v>
      </c>
      <c r="S1193" s="1437" t="s">
        <v>53</v>
      </c>
      <c r="T1193" s="1370" t="s">
        <v>6905</v>
      </c>
      <c r="U1193" s="1358" t="str">
        <f t="shared" si="159"/>
        <v>en término</v>
      </c>
      <c r="V1193" s="1130" t="str">
        <f t="shared" si="157"/>
        <v>Marzo</v>
      </c>
      <c r="W1193" s="1128">
        <f t="shared" si="158"/>
        <v>1</v>
      </c>
    </row>
    <row r="1194" spans="1:23" ht="54.95" customHeight="1" thickBot="1" x14ac:dyDescent="0.25">
      <c r="A1194" s="1117">
        <v>2020</v>
      </c>
      <c r="B1194" s="1117">
        <v>2020</v>
      </c>
      <c r="C1194" s="1436" t="s">
        <v>36</v>
      </c>
      <c r="D1194" s="1363" t="s">
        <v>37</v>
      </c>
      <c r="E1194" s="1350" t="s">
        <v>6441</v>
      </c>
      <c r="F1194" s="1437">
        <v>4600557062</v>
      </c>
      <c r="G1194" s="1463" t="s">
        <v>6917</v>
      </c>
      <c r="H1194" s="1352">
        <v>1436.48</v>
      </c>
      <c r="I1194" s="1353">
        <v>43846</v>
      </c>
      <c r="J1194" s="1354">
        <v>90</v>
      </c>
      <c r="K1194" s="1353">
        <v>43936</v>
      </c>
      <c r="L1194" s="1353" t="s">
        <v>41</v>
      </c>
      <c r="M1194" s="1353">
        <v>43903</v>
      </c>
      <c r="N1194" s="1354">
        <f t="shared" si="161"/>
        <v>-25</v>
      </c>
      <c r="O1194" s="1427">
        <v>43911</v>
      </c>
      <c r="P1194" s="1438">
        <v>43913</v>
      </c>
      <c r="Q1194" s="1355">
        <v>43934</v>
      </c>
      <c r="R1194" s="1354">
        <f t="shared" si="160"/>
        <v>88</v>
      </c>
      <c r="S1194" s="1437" t="s">
        <v>53</v>
      </c>
      <c r="T1194" s="1370" t="s">
        <v>6918</v>
      </c>
      <c r="U1194" s="1358" t="str">
        <f t="shared" si="159"/>
        <v>en término</v>
      </c>
      <c r="V1194" s="1130" t="str">
        <f t="shared" si="157"/>
        <v>Marzo</v>
      </c>
      <c r="W1194" s="1128">
        <f t="shared" si="158"/>
        <v>1</v>
      </c>
    </row>
    <row r="1195" spans="1:23" ht="54.95" customHeight="1" thickBot="1" x14ac:dyDescent="0.25">
      <c r="A1195" s="1117">
        <v>2020</v>
      </c>
      <c r="B1195" s="1117">
        <v>2020</v>
      </c>
      <c r="C1195" s="1436" t="s">
        <v>36</v>
      </c>
      <c r="D1195" s="1363" t="s">
        <v>37</v>
      </c>
      <c r="E1195" s="1350" t="s">
        <v>6441</v>
      </c>
      <c r="F1195" s="1437">
        <v>4600557062</v>
      </c>
      <c r="G1195" s="1463" t="s">
        <v>6919</v>
      </c>
      <c r="H1195" s="1352">
        <v>33242.97</v>
      </c>
      <c r="I1195" s="1353">
        <v>43865</v>
      </c>
      <c r="J1195" s="1354">
        <v>88</v>
      </c>
      <c r="K1195" s="1353">
        <v>43953</v>
      </c>
      <c r="L1195" s="1353" t="s">
        <v>41</v>
      </c>
      <c r="M1195" s="1353">
        <v>43929</v>
      </c>
      <c r="N1195" s="1354">
        <f t="shared" si="161"/>
        <v>-11</v>
      </c>
      <c r="O1195" s="1427">
        <v>43942</v>
      </c>
      <c r="P1195" s="1438">
        <v>43950</v>
      </c>
      <c r="Q1195" s="1355">
        <v>43970</v>
      </c>
      <c r="R1195" s="1354">
        <f t="shared" si="160"/>
        <v>105</v>
      </c>
      <c r="S1195" s="1437" t="s">
        <v>6920</v>
      </c>
      <c r="T1195" s="1370" t="s">
        <v>6921</v>
      </c>
      <c r="U1195" s="1358" t="str">
        <f t="shared" si="159"/>
        <v>en término</v>
      </c>
      <c r="V1195" s="1130" t="str">
        <f t="shared" si="157"/>
        <v>Abril</v>
      </c>
      <c r="W1195" s="1128">
        <f t="shared" si="158"/>
        <v>1</v>
      </c>
    </row>
    <row r="1196" spans="1:23" ht="54.95" customHeight="1" thickBot="1" x14ac:dyDescent="0.25">
      <c r="A1196" s="1117">
        <v>2020</v>
      </c>
      <c r="B1196" s="1117">
        <v>2020</v>
      </c>
      <c r="C1196" s="1436" t="s">
        <v>7010</v>
      </c>
      <c r="D1196" s="1363" t="s">
        <v>37</v>
      </c>
      <c r="E1196" s="1350" t="s">
        <v>6934</v>
      </c>
      <c r="F1196" s="1437"/>
      <c r="G1196" s="1463" t="s">
        <v>6935</v>
      </c>
      <c r="H1196" s="1352">
        <v>1280</v>
      </c>
      <c r="I1196" s="1353">
        <v>43888</v>
      </c>
      <c r="J1196" s="1354">
        <v>79</v>
      </c>
      <c r="K1196" s="1353">
        <v>43967</v>
      </c>
      <c r="L1196" s="1353" t="s">
        <v>41</v>
      </c>
      <c r="M1196" s="1353">
        <v>43929</v>
      </c>
      <c r="N1196" s="1354">
        <f t="shared" si="161"/>
        <v>-25</v>
      </c>
      <c r="O1196" s="1427">
        <v>43942</v>
      </c>
      <c r="P1196" s="1438">
        <v>43950</v>
      </c>
      <c r="Q1196" s="1355">
        <v>43970</v>
      </c>
      <c r="R1196" s="1354">
        <f t="shared" si="160"/>
        <v>82</v>
      </c>
      <c r="S1196" s="1437" t="s">
        <v>1020</v>
      </c>
      <c r="T1196" s="1370" t="s">
        <v>6936</v>
      </c>
      <c r="U1196" s="1358" t="str">
        <f t="shared" si="159"/>
        <v>en término</v>
      </c>
      <c r="V1196" s="1130" t="str">
        <f t="shared" si="157"/>
        <v>Abril</v>
      </c>
      <c r="W1196" s="1128">
        <f t="shared" si="158"/>
        <v>1</v>
      </c>
    </row>
    <row r="1197" spans="1:23" ht="54.95" customHeight="1" thickBot="1" x14ac:dyDescent="0.25">
      <c r="A1197" s="1117">
        <v>2020</v>
      </c>
      <c r="B1197" s="1117">
        <v>2020</v>
      </c>
      <c r="C1197" s="1436" t="s">
        <v>36</v>
      </c>
      <c r="D1197" s="1363" t="s">
        <v>37</v>
      </c>
      <c r="E1197" s="1350" t="s">
        <v>6441</v>
      </c>
      <c r="F1197" s="1437">
        <v>4600557062</v>
      </c>
      <c r="G1197" s="1463" t="s">
        <v>6941</v>
      </c>
      <c r="H1197" s="1352">
        <v>2224.62</v>
      </c>
      <c r="I1197" s="1353">
        <v>43903</v>
      </c>
      <c r="J1197" s="1354">
        <v>86</v>
      </c>
      <c r="K1197" s="1353">
        <v>43989</v>
      </c>
      <c r="L1197" s="1353" t="s">
        <v>41</v>
      </c>
      <c r="M1197" s="1353">
        <v>43973</v>
      </c>
      <c r="N1197" s="1354">
        <f t="shared" si="161"/>
        <v>0</v>
      </c>
      <c r="O1197" s="1427">
        <v>43989</v>
      </c>
      <c r="P1197" s="1438">
        <v>43990</v>
      </c>
      <c r="Q1197" s="1355">
        <v>44008</v>
      </c>
      <c r="R1197" s="1354">
        <f t="shared" si="160"/>
        <v>105</v>
      </c>
      <c r="S1197" s="1437" t="s">
        <v>53</v>
      </c>
      <c r="T1197" s="1370" t="s">
        <v>6942</v>
      </c>
      <c r="U1197" s="1358" t="str">
        <f t="shared" si="159"/>
        <v>en término</v>
      </c>
      <c r="V1197" s="1130" t="str">
        <f t="shared" si="157"/>
        <v>Mayo</v>
      </c>
      <c r="W1197" s="1128">
        <f t="shared" si="158"/>
        <v>1</v>
      </c>
    </row>
    <row r="1198" spans="1:23" ht="54.95" customHeight="1" thickBot="1" x14ac:dyDescent="0.25">
      <c r="A1198" s="1117">
        <v>2020</v>
      </c>
      <c r="B1198" s="1117">
        <v>2020</v>
      </c>
      <c r="C1198" s="1436" t="s">
        <v>36</v>
      </c>
      <c r="D1198" s="1363" t="s">
        <v>37</v>
      </c>
      <c r="E1198" s="1350" t="s">
        <v>6441</v>
      </c>
      <c r="F1198" s="1437">
        <v>4600557062</v>
      </c>
      <c r="G1198" s="1463" t="s">
        <v>6943</v>
      </c>
      <c r="H1198" s="1352">
        <v>729.06</v>
      </c>
      <c r="I1198" s="1353">
        <v>43902</v>
      </c>
      <c r="J1198" s="1354">
        <v>87</v>
      </c>
      <c r="K1198" s="1353">
        <v>43989</v>
      </c>
      <c r="L1198" s="1353" t="s">
        <v>41</v>
      </c>
      <c r="M1198" s="1353">
        <v>43973</v>
      </c>
      <c r="N1198" s="1354">
        <f t="shared" si="161"/>
        <v>0</v>
      </c>
      <c r="O1198" s="1427">
        <v>43989</v>
      </c>
      <c r="P1198" s="1438">
        <v>43990</v>
      </c>
      <c r="Q1198" s="1355">
        <v>44008</v>
      </c>
      <c r="R1198" s="1354">
        <f t="shared" si="160"/>
        <v>106</v>
      </c>
      <c r="S1198" s="1437" t="s">
        <v>53</v>
      </c>
      <c r="T1198" s="1370" t="s">
        <v>6944</v>
      </c>
      <c r="U1198" s="1358" t="str">
        <f t="shared" si="159"/>
        <v>en término</v>
      </c>
      <c r="V1198" s="1130" t="str">
        <f t="shared" si="157"/>
        <v>Mayo</v>
      </c>
      <c r="W1198" s="1128">
        <f t="shared" si="158"/>
        <v>1</v>
      </c>
    </row>
    <row r="1199" spans="1:23" ht="54.95" customHeight="1" thickBot="1" x14ac:dyDescent="0.25">
      <c r="A1199" s="1117">
        <v>2020</v>
      </c>
      <c r="B1199" s="1117">
        <v>2020</v>
      </c>
      <c r="C1199" s="1436" t="s">
        <v>36</v>
      </c>
      <c r="D1199" s="1363" t="s">
        <v>37</v>
      </c>
      <c r="E1199" s="1350" t="s">
        <v>6441</v>
      </c>
      <c r="F1199" s="1437">
        <v>4600557062</v>
      </c>
      <c r="G1199" s="1463" t="s">
        <v>6945</v>
      </c>
      <c r="H1199" s="1352">
        <v>48497.14</v>
      </c>
      <c r="I1199" s="1353">
        <v>43903</v>
      </c>
      <c r="J1199" s="1354">
        <v>86</v>
      </c>
      <c r="K1199" s="1353">
        <v>43989</v>
      </c>
      <c r="L1199" s="1353" t="s">
        <v>41</v>
      </c>
      <c r="M1199" s="1353">
        <v>43973</v>
      </c>
      <c r="N1199" s="1354">
        <f t="shared" si="161"/>
        <v>0</v>
      </c>
      <c r="O1199" s="1427">
        <v>43989</v>
      </c>
      <c r="P1199" s="1438">
        <v>43990</v>
      </c>
      <c r="Q1199" s="1355">
        <v>44008</v>
      </c>
      <c r="R1199" s="1354">
        <f t="shared" si="160"/>
        <v>105</v>
      </c>
      <c r="S1199" s="1437" t="s">
        <v>2497</v>
      </c>
      <c r="T1199" s="1370" t="s">
        <v>6946</v>
      </c>
      <c r="U1199" s="1358" t="str">
        <f t="shared" si="159"/>
        <v>en término</v>
      </c>
      <c r="V1199" s="1130" t="str">
        <f t="shared" si="157"/>
        <v>Mayo</v>
      </c>
      <c r="W1199" s="1128">
        <f t="shared" si="158"/>
        <v>1</v>
      </c>
    </row>
    <row r="1200" spans="1:23" ht="54.95" customHeight="1" thickBot="1" x14ac:dyDescent="0.25">
      <c r="A1200" s="1117">
        <v>2020</v>
      </c>
      <c r="B1200" s="1117">
        <v>2020</v>
      </c>
      <c r="C1200" s="1436" t="s">
        <v>36</v>
      </c>
      <c r="D1200" s="1363" t="s">
        <v>37</v>
      </c>
      <c r="E1200" s="1350" t="s">
        <v>6441</v>
      </c>
      <c r="F1200" s="1437">
        <v>4600557062</v>
      </c>
      <c r="G1200" s="1463" t="s">
        <v>6948</v>
      </c>
      <c r="H1200" s="1352">
        <v>2080.62</v>
      </c>
      <c r="I1200" s="1353">
        <v>43913</v>
      </c>
      <c r="J1200" s="1354">
        <v>85</v>
      </c>
      <c r="K1200" s="1353">
        <v>43998</v>
      </c>
      <c r="L1200" s="1353" t="s">
        <v>41</v>
      </c>
      <c r="M1200" s="1353">
        <v>43973</v>
      </c>
      <c r="N1200" s="1354">
        <f t="shared" si="161"/>
        <v>-9</v>
      </c>
      <c r="O1200" s="1427">
        <v>43989</v>
      </c>
      <c r="P1200" s="1438">
        <v>43990</v>
      </c>
      <c r="Q1200" s="1355">
        <v>44008</v>
      </c>
      <c r="R1200" s="1354">
        <f t="shared" si="160"/>
        <v>95</v>
      </c>
      <c r="S1200" s="1437" t="s">
        <v>53</v>
      </c>
      <c r="T1200" s="1370" t="s">
        <v>6950</v>
      </c>
      <c r="U1200" s="1358" t="str">
        <f t="shared" si="159"/>
        <v>en término</v>
      </c>
      <c r="V1200" s="1130" t="str">
        <f t="shared" si="157"/>
        <v>Mayo</v>
      </c>
      <c r="W1200" s="1128">
        <f t="shared" si="158"/>
        <v>1</v>
      </c>
    </row>
    <row r="1201" spans="1:23" ht="54.95" customHeight="1" thickBot="1" x14ac:dyDescent="0.25">
      <c r="A1201" s="1117">
        <v>2020</v>
      </c>
      <c r="B1201" s="1117">
        <v>2020</v>
      </c>
      <c r="C1201" s="1436" t="s">
        <v>36</v>
      </c>
      <c r="D1201" s="1363" t="s">
        <v>37</v>
      </c>
      <c r="E1201" s="1350" t="s">
        <v>6441</v>
      </c>
      <c r="F1201" s="1437">
        <v>4600557062</v>
      </c>
      <c r="G1201" s="1463" t="s">
        <v>6949</v>
      </c>
      <c r="H1201" s="1352">
        <v>3798.08</v>
      </c>
      <c r="I1201" s="1353">
        <v>43913</v>
      </c>
      <c r="J1201" s="1354">
        <v>85</v>
      </c>
      <c r="K1201" s="1353">
        <v>43998</v>
      </c>
      <c r="L1201" s="1353" t="s">
        <v>41</v>
      </c>
      <c r="M1201" s="1353">
        <v>43973</v>
      </c>
      <c r="N1201" s="1354">
        <f t="shared" si="161"/>
        <v>-9</v>
      </c>
      <c r="O1201" s="1427">
        <v>43989</v>
      </c>
      <c r="P1201" s="1438">
        <v>43990</v>
      </c>
      <c r="Q1201" s="1355">
        <v>44008</v>
      </c>
      <c r="R1201" s="1354">
        <f t="shared" si="160"/>
        <v>95</v>
      </c>
      <c r="S1201" s="1437" t="s">
        <v>53</v>
      </c>
      <c r="T1201" s="1370" t="s">
        <v>6951</v>
      </c>
      <c r="U1201" s="1358" t="str">
        <f t="shared" si="159"/>
        <v>en término</v>
      </c>
      <c r="V1201" s="1130" t="str">
        <f t="shared" si="157"/>
        <v>Mayo</v>
      </c>
      <c r="W1201" s="1128">
        <f t="shared" si="158"/>
        <v>1</v>
      </c>
    </row>
    <row r="1202" spans="1:23" ht="54.95" customHeight="1" thickBot="1" x14ac:dyDescent="0.25">
      <c r="A1202" s="1117">
        <v>2020</v>
      </c>
      <c r="B1202" s="1117">
        <v>2020</v>
      </c>
      <c r="C1202" s="1436" t="s">
        <v>36</v>
      </c>
      <c r="D1202" s="1363" t="s">
        <v>37</v>
      </c>
      <c r="E1202" s="1350" t="s">
        <v>6441</v>
      </c>
      <c r="F1202" s="1437">
        <v>4600557062</v>
      </c>
      <c r="G1202" s="1463" t="s">
        <v>6952</v>
      </c>
      <c r="H1202" s="1352">
        <v>47062.7</v>
      </c>
      <c r="I1202" s="1353">
        <v>43916</v>
      </c>
      <c r="J1202" s="1354">
        <v>89</v>
      </c>
      <c r="K1202" s="1353">
        <v>44005</v>
      </c>
      <c r="L1202" s="1353" t="s">
        <v>41</v>
      </c>
      <c r="M1202" s="1353">
        <v>44001</v>
      </c>
      <c r="N1202" s="1354">
        <f t="shared" si="161"/>
        <v>4</v>
      </c>
      <c r="O1202" s="1427">
        <v>44009</v>
      </c>
      <c r="P1202" s="1438">
        <v>44011</v>
      </c>
      <c r="Q1202" s="1355">
        <v>44029</v>
      </c>
      <c r="R1202" s="1354">
        <f t="shared" si="160"/>
        <v>113</v>
      </c>
      <c r="S1202" s="1437" t="s">
        <v>1402</v>
      </c>
      <c r="T1202" s="1370" t="s">
        <v>6953</v>
      </c>
      <c r="U1202" s="1358" t="str">
        <f t="shared" si="159"/>
        <v>atrasado</v>
      </c>
      <c r="V1202" s="1130" t="str">
        <f t="shared" si="157"/>
        <v>Junio</v>
      </c>
      <c r="W1202" s="1128">
        <f t="shared" si="158"/>
        <v>0</v>
      </c>
    </row>
    <row r="1203" spans="1:23" ht="54.95" customHeight="1" thickBot="1" x14ac:dyDescent="0.25">
      <c r="A1203" s="1117">
        <v>2020</v>
      </c>
      <c r="B1203" s="1117">
        <v>2020</v>
      </c>
      <c r="C1203" s="1436" t="s">
        <v>36</v>
      </c>
      <c r="D1203" s="1363" t="s">
        <v>37</v>
      </c>
      <c r="E1203" s="1350" t="s">
        <v>6441</v>
      </c>
      <c r="F1203" s="1437">
        <v>4600557062</v>
      </c>
      <c r="G1203" s="1463" t="s">
        <v>6956</v>
      </c>
      <c r="H1203" s="1352">
        <v>46551.23</v>
      </c>
      <c r="I1203" s="1353">
        <v>43916</v>
      </c>
      <c r="J1203" s="1354">
        <v>89</v>
      </c>
      <c r="K1203" s="1353">
        <v>44005</v>
      </c>
      <c r="L1203" s="1353" t="s">
        <v>41</v>
      </c>
      <c r="M1203" s="1353">
        <v>44001</v>
      </c>
      <c r="N1203" s="1354">
        <f t="shared" si="161"/>
        <v>4</v>
      </c>
      <c r="O1203" s="1427">
        <v>44009</v>
      </c>
      <c r="P1203" s="1438">
        <v>44011</v>
      </c>
      <c r="Q1203" s="1355">
        <v>44029</v>
      </c>
      <c r="R1203" s="1354">
        <f t="shared" si="160"/>
        <v>113</v>
      </c>
      <c r="S1203" s="1437" t="s">
        <v>6955</v>
      </c>
      <c r="T1203" s="1370" t="s">
        <v>6954</v>
      </c>
      <c r="U1203" s="1358" t="str">
        <f t="shared" si="159"/>
        <v>atrasado</v>
      </c>
      <c r="V1203" s="1130" t="str">
        <f t="shared" si="157"/>
        <v>Junio</v>
      </c>
      <c r="W1203" s="1128">
        <f t="shared" si="158"/>
        <v>0</v>
      </c>
    </row>
    <row r="1204" spans="1:23" ht="54.95" customHeight="1" thickBot="1" x14ac:dyDescent="0.25">
      <c r="A1204" s="1117">
        <v>2020</v>
      </c>
      <c r="B1204" s="1117">
        <v>2020</v>
      </c>
      <c r="C1204" s="1436" t="s">
        <v>36</v>
      </c>
      <c r="D1204" s="1363" t="s">
        <v>37</v>
      </c>
      <c r="E1204" s="1350" t="s">
        <v>6441</v>
      </c>
      <c r="F1204" s="1437">
        <v>4600557062</v>
      </c>
      <c r="G1204" s="1463" t="s">
        <v>6957</v>
      </c>
      <c r="H1204" s="1352">
        <v>43846.53</v>
      </c>
      <c r="I1204" s="1353">
        <v>43921</v>
      </c>
      <c r="J1204" s="1354">
        <v>88</v>
      </c>
      <c r="K1204" s="1353">
        <v>44009</v>
      </c>
      <c r="L1204" s="1353" t="s">
        <v>41</v>
      </c>
      <c r="M1204" s="1353">
        <v>44001</v>
      </c>
      <c r="N1204" s="1354">
        <f t="shared" si="161"/>
        <v>0</v>
      </c>
      <c r="O1204" s="1427">
        <v>44009</v>
      </c>
      <c r="P1204" s="1438">
        <v>44011</v>
      </c>
      <c r="Q1204" s="1355">
        <v>44029</v>
      </c>
      <c r="R1204" s="1354">
        <f t="shared" si="160"/>
        <v>108</v>
      </c>
      <c r="S1204" s="1437" t="s">
        <v>6958</v>
      </c>
      <c r="T1204" s="1370" t="s">
        <v>6961</v>
      </c>
      <c r="U1204" s="1358" t="str">
        <f t="shared" si="159"/>
        <v>en término</v>
      </c>
      <c r="V1204" s="1130" t="str">
        <f t="shared" si="157"/>
        <v>Junio</v>
      </c>
      <c r="W1204" s="1128">
        <f t="shared" si="158"/>
        <v>1</v>
      </c>
    </row>
    <row r="1205" spans="1:23" ht="54.95" customHeight="1" thickBot="1" x14ac:dyDescent="0.25">
      <c r="A1205" s="1117">
        <v>2020</v>
      </c>
      <c r="B1205" s="1117">
        <v>2020</v>
      </c>
      <c r="C1205" s="1436" t="s">
        <v>36</v>
      </c>
      <c r="D1205" s="1363" t="s">
        <v>37</v>
      </c>
      <c r="E1205" s="1350" t="s">
        <v>6441</v>
      </c>
      <c r="F1205" s="1437">
        <v>4600557062</v>
      </c>
      <c r="G1205" s="1463" t="s">
        <v>6957</v>
      </c>
      <c r="H1205" s="1352">
        <v>56357.1</v>
      </c>
      <c r="I1205" s="1353">
        <v>43921</v>
      </c>
      <c r="J1205" s="1354">
        <v>210</v>
      </c>
      <c r="K1205" s="1353">
        <v>44131</v>
      </c>
      <c r="L1205" s="1353" t="s">
        <v>41</v>
      </c>
      <c r="M1205" s="1353">
        <v>44113</v>
      </c>
      <c r="N1205" s="1354">
        <f t="shared" si="161"/>
        <v>-10</v>
      </c>
      <c r="O1205" s="1427">
        <v>44121</v>
      </c>
      <c r="P1205" s="1438">
        <v>44123</v>
      </c>
      <c r="Q1205" s="1355">
        <v>44141</v>
      </c>
      <c r="R1205" s="1354">
        <f t="shared" si="160"/>
        <v>220</v>
      </c>
      <c r="S1205" s="1437" t="s">
        <v>6959</v>
      </c>
      <c r="T1205" s="1370" t="s">
        <v>6962</v>
      </c>
      <c r="U1205" s="1358" t="str">
        <f t="shared" si="159"/>
        <v>en término</v>
      </c>
      <c r="V1205" s="1130" t="str">
        <f t="shared" si="157"/>
        <v>Octubre</v>
      </c>
      <c r="W1205" s="1128">
        <f t="shared" si="158"/>
        <v>1</v>
      </c>
    </row>
    <row r="1206" spans="1:23" ht="54.95" customHeight="1" thickBot="1" x14ac:dyDescent="0.25">
      <c r="A1206" s="1117">
        <v>2020</v>
      </c>
      <c r="B1206" s="1117">
        <v>2020</v>
      </c>
      <c r="C1206" s="1436" t="s">
        <v>36</v>
      </c>
      <c r="D1206" s="1363" t="s">
        <v>37</v>
      </c>
      <c r="E1206" s="1350" t="s">
        <v>6441</v>
      </c>
      <c r="F1206" s="1437">
        <v>4600557062</v>
      </c>
      <c r="G1206" s="1463" t="s">
        <v>6968</v>
      </c>
      <c r="H1206" s="1352">
        <v>25878.86</v>
      </c>
      <c r="I1206" s="1353">
        <v>43927</v>
      </c>
      <c r="J1206" s="1354">
        <v>84</v>
      </c>
      <c r="K1206" s="1353">
        <v>44011</v>
      </c>
      <c r="L1206" s="1353" t="s">
        <v>41</v>
      </c>
      <c r="M1206" s="1353">
        <v>44001</v>
      </c>
      <c r="N1206" s="1354">
        <f t="shared" si="161"/>
        <v>-2</v>
      </c>
      <c r="O1206" s="1427">
        <v>44009</v>
      </c>
      <c r="P1206" s="1438">
        <v>44011</v>
      </c>
      <c r="Q1206" s="1355">
        <v>44029</v>
      </c>
      <c r="R1206" s="1354">
        <f t="shared" si="160"/>
        <v>102</v>
      </c>
      <c r="S1206" s="1437" t="s">
        <v>53</v>
      </c>
      <c r="T1206" s="1370" t="s">
        <v>6969</v>
      </c>
      <c r="U1206" s="1358" t="str">
        <f t="shared" si="159"/>
        <v>en término</v>
      </c>
      <c r="V1206" s="1130" t="str">
        <f t="shared" si="157"/>
        <v>Junio</v>
      </c>
      <c r="W1206" s="1128">
        <f t="shared" si="158"/>
        <v>1</v>
      </c>
    </row>
    <row r="1207" spans="1:23" ht="54.95" customHeight="1" thickBot="1" x14ac:dyDescent="0.25">
      <c r="A1207" s="1117">
        <v>2020</v>
      </c>
      <c r="B1207" s="1117">
        <v>2020</v>
      </c>
      <c r="C1207" s="1436" t="s">
        <v>36</v>
      </c>
      <c r="D1207" s="1363" t="s">
        <v>37</v>
      </c>
      <c r="E1207" s="1350" t="s">
        <v>6441</v>
      </c>
      <c r="F1207" s="1437">
        <v>4600557062</v>
      </c>
      <c r="G1207" s="1463" t="s">
        <v>7033</v>
      </c>
      <c r="H1207" s="1352">
        <v>30326.959999999999</v>
      </c>
      <c r="I1207" s="1353">
        <v>43990</v>
      </c>
      <c r="J1207" s="1354">
        <v>78</v>
      </c>
      <c r="K1207" s="1353">
        <v>44068</v>
      </c>
      <c r="L1207" s="1353" t="s">
        <v>41</v>
      </c>
      <c r="M1207" s="1353">
        <v>44050</v>
      </c>
      <c r="N1207" s="1354">
        <f t="shared" si="161"/>
        <v>-10</v>
      </c>
      <c r="O1207" s="1427">
        <v>44058</v>
      </c>
      <c r="P1207" s="1438">
        <v>44060</v>
      </c>
      <c r="Q1207" s="1355">
        <v>44078</v>
      </c>
      <c r="R1207" s="1354">
        <f t="shared" si="160"/>
        <v>88</v>
      </c>
      <c r="S1207" s="1437" t="s">
        <v>7000</v>
      </c>
      <c r="T1207" s="1370" t="s">
        <v>6999</v>
      </c>
      <c r="U1207" s="1358" t="str">
        <f t="shared" si="159"/>
        <v>en término</v>
      </c>
      <c r="V1207" s="1130" t="str">
        <f t="shared" si="157"/>
        <v>Agosto</v>
      </c>
      <c r="W1207" s="1128">
        <f t="shared" si="158"/>
        <v>1</v>
      </c>
    </row>
    <row r="1208" spans="1:23" ht="54.95" customHeight="1" thickBot="1" x14ac:dyDescent="0.25">
      <c r="A1208" s="1117">
        <v>2020</v>
      </c>
      <c r="B1208" s="1117">
        <v>2020</v>
      </c>
      <c r="C1208" s="1436" t="s">
        <v>36</v>
      </c>
      <c r="D1208" s="1363" t="s">
        <v>37</v>
      </c>
      <c r="E1208" s="1350" t="s">
        <v>6441</v>
      </c>
      <c r="F1208" s="1437">
        <v>4600557062</v>
      </c>
      <c r="G1208" s="1463" t="s">
        <v>7035</v>
      </c>
      <c r="H1208" s="1352">
        <v>911</v>
      </c>
      <c r="I1208" s="1353">
        <v>44026</v>
      </c>
      <c r="J1208" s="1354">
        <f t="shared" ref="J1208:J1238" si="163">+K1208-I1208</f>
        <v>8</v>
      </c>
      <c r="K1208" s="1353">
        <v>44034</v>
      </c>
      <c r="L1208" s="1353" t="s">
        <v>41</v>
      </c>
      <c r="M1208" s="1353">
        <v>44026</v>
      </c>
      <c r="N1208" s="1354">
        <f t="shared" si="161"/>
        <v>-4</v>
      </c>
      <c r="O1208" s="1427">
        <v>44030</v>
      </c>
      <c r="P1208" s="1438">
        <v>44033</v>
      </c>
      <c r="Q1208" s="1355">
        <f>+P1208+10</f>
        <v>44043</v>
      </c>
      <c r="R1208" s="1354">
        <f t="shared" si="160"/>
        <v>17</v>
      </c>
      <c r="S1208" s="1437" t="s">
        <v>53</v>
      </c>
      <c r="T1208" s="1370" t="s">
        <v>7036</v>
      </c>
      <c r="U1208" s="1358" t="str">
        <f t="shared" si="159"/>
        <v>en término</v>
      </c>
      <c r="V1208" s="1130" t="str">
        <f t="shared" si="157"/>
        <v>Julio</v>
      </c>
      <c r="W1208" s="1128">
        <f t="shared" si="158"/>
        <v>1</v>
      </c>
    </row>
    <row r="1209" spans="1:23" ht="54.95" customHeight="1" thickBot="1" x14ac:dyDescent="0.25">
      <c r="A1209" s="1117">
        <v>2020</v>
      </c>
      <c r="B1209" s="1117">
        <v>2020</v>
      </c>
      <c r="C1209" s="1436" t="s">
        <v>36</v>
      </c>
      <c r="D1209" s="1363" t="s">
        <v>37</v>
      </c>
      <c r="E1209" s="1350" t="s">
        <v>6441</v>
      </c>
      <c r="F1209" s="1437">
        <v>4600557062</v>
      </c>
      <c r="G1209" s="1463" t="s">
        <v>7061</v>
      </c>
      <c r="H1209" s="1352">
        <v>89.26</v>
      </c>
      <c r="I1209" s="1353">
        <v>44048</v>
      </c>
      <c r="J1209" s="1354">
        <f t="shared" si="163"/>
        <v>26</v>
      </c>
      <c r="K1209" s="1353">
        <v>44074</v>
      </c>
      <c r="L1209" s="1353" t="s">
        <v>41</v>
      </c>
      <c r="M1209" s="1353">
        <v>44050</v>
      </c>
      <c r="N1209" s="1354">
        <f t="shared" si="161"/>
        <v>-16</v>
      </c>
      <c r="O1209" s="1427">
        <v>44058</v>
      </c>
      <c r="P1209" s="1438">
        <v>44060</v>
      </c>
      <c r="Q1209" s="1355">
        <v>44078</v>
      </c>
      <c r="R1209" s="1354">
        <f t="shared" si="160"/>
        <v>30</v>
      </c>
      <c r="S1209" s="1437" t="s">
        <v>53</v>
      </c>
      <c r="T1209" s="1370" t="s">
        <v>7062</v>
      </c>
      <c r="U1209" s="1358" t="str">
        <f t="shared" si="159"/>
        <v>en término</v>
      </c>
      <c r="V1209" s="1130" t="str">
        <f t="shared" si="157"/>
        <v>Agosto</v>
      </c>
      <c r="W1209" s="1128">
        <f t="shared" si="158"/>
        <v>1</v>
      </c>
    </row>
    <row r="1210" spans="1:23" ht="54.95" customHeight="1" thickBot="1" x14ac:dyDescent="0.25">
      <c r="A1210" s="1117">
        <v>2020</v>
      </c>
      <c r="B1210" s="1117">
        <v>2020</v>
      </c>
      <c r="C1210" s="1436" t="s">
        <v>36</v>
      </c>
      <c r="D1210" s="1363" t="s">
        <v>37</v>
      </c>
      <c r="E1210" s="1350" t="s">
        <v>6441</v>
      </c>
      <c r="F1210" s="1437">
        <v>4600557062</v>
      </c>
      <c r="G1210" s="1463" t="s">
        <v>7023</v>
      </c>
      <c r="H1210" s="1352">
        <v>8897.94</v>
      </c>
      <c r="I1210" s="1353">
        <v>44021</v>
      </c>
      <c r="J1210" s="1354">
        <f t="shared" si="163"/>
        <v>68</v>
      </c>
      <c r="K1210" s="1353">
        <v>44089</v>
      </c>
      <c r="L1210" s="1353" t="s">
        <v>41</v>
      </c>
      <c r="M1210" s="1353">
        <v>44067</v>
      </c>
      <c r="N1210" s="1354">
        <f t="shared" si="161"/>
        <v>-10</v>
      </c>
      <c r="O1210" s="1427">
        <v>44079</v>
      </c>
      <c r="P1210" s="1438">
        <v>44081</v>
      </c>
      <c r="Q1210" s="1355">
        <v>44099</v>
      </c>
      <c r="R1210" s="1354">
        <f t="shared" si="160"/>
        <v>78</v>
      </c>
      <c r="S1210" s="1437" t="s">
        <v>53</v>
      </c>
      <c r="T1210" s="1370" t="s">
        <v>7024</v>
      </c>
      <c r="U1210" s="1358" t="str">
        <f t="shared" si="159"/>
        <v>en término</v>
      </c>
      <c r="V1210" s="1130" t="str">
        <f t="shared" si="157"/>
        <v>Agosto</v>
      </c>
      <c r="W1210" s="1128">
        <f t="shared" si="158"/>
        <v>1</v>
      </c>
    </row>
    <row r="1211" spans="1:23" ht="54.95" customHeight="1" thickBot="1" x14ac:dyDescent="0.25">
      <c r="A1211" s="1117">
        <v>2020</v>
      </c>
      <c r="B1211" s="1117">
        <v>2020</v>
      </c>
      <c r="C1211" s="1436" t="s">
        <v>36</v>
      </c>
      <c r="D1211" s="1363" t="s">
        <v>37</v>
      </c>
      <c r="E1211" s="1350" t="s">
        <v>6441</v>
      </c>
      <c r="F1211" s="1437">
        <v>4600557062</v>
      </c>
      <c r="G1211" s="1463" t="s">
        <v>7025</v>
      </c>
      <c r="H1211" s="1352">
        <v>3515.3</v>
      </c>
      <c r="I1211" s="1353">
        <v>44021</v>
      </c>
      <c r="J1211" s="1354">
        <f t="shared" si="163"/>
        <v>76</v>
      </c>
      <c r="K1211" s="1353">
        <v>44097</v>
      </c>
      <c r="L1211" s="1353" t="s">
        <v>41</v>
      </c>
      <c r="M1211" s="1353">
        <v>44067</v>
      </c>
      <c r="N1211" s="1354">
        <f t="shared" si="161"/>
        <v>-18</v>
      </c>
      <c r="O1211" s="1427">
        <v>44079</v>
      </c>
      <c r="P1211" s="1438">
        <v>44081</v>
      </c>
      <c r="Q1211" s="1355">
        <v>44099</v>
      </c>
      <c r="R1211" s="1354">
        <f t="shared" si="160"/>
        <v>78</v>
      </c>
      <c r="S1211" s="1437" t="s">
        <v>53</v>
      </c>
      <c r="T1211" s="1370" t="s">
        <v>7026</v>
      </c>
      <c r="U1211" s="1358" t="str">
        <f t="shared" si="159"/>
        <v>en término</v>
      </c>
      <c r="V1211" s="1130" t="str">
        <f t="shared" si="157"/>
        <v>Agosto</v>
      </c>
      <c r="W1211" s="1128">
        <f t="shared" si="158"/>
        <v>1</v>
      </c>
    </row>
    <row r="1212" spans="1:23" ht="54.95" customHeight="1" thickBot="1" x14ac:dyDescent="0.25">
      <c r="A1212" s="1117">
        <v>2020</v>
      </c>
      <c r="B1212" s="1117">
        <v>2020</v>
      </c>
      <c r="C1212" s="1436" t="s">
        <v>36</v>
      </c>
      <c r="D1212" s="1363" t="s">
        <v>37</v>
      </c>
      <c r="E1212" s="1350" t="s">
        <v>7028</v>
      </c>
      <c r="F1212" s="1437"/>
      <c r="G1212" s="1463" t="s">
        <v>7027</v>
      </c>
      <c r="H1212" s="1352">
        <v>20795</v>
      </c>
      <c r="I1212" s="1353">
        <v>44021</v>
      </c>
      <c r="J1212" s="1354">
        <f t="shared" si="163"/>
        <v>82</v>
      </c>
      <c r="K1212" s="1353">
        <v>44103</v>
      </c>
      <c r="L1212" s="1353" t="s">
        <v>41</v>
      </c>
      <c r="M1212" s="1353">
        <v>44067</v>
      </c>
      <c r="N1212" s="1354">
        <f t="shared" si="161"/>
        <v>-24</v>
      </c>
      <c r="O1212" s="1427">
        <v>44079</v>
      </c>
      <c r="P1212" s="1438">
        <v>44081</v>
      </c>
      <c r="Q1212" s="1355">
        <v>44099</v>
      </c>
      <c r="R1212" s="1354">
        <f t="shared" si="160"/>
        <v>78</v>
      </c>
      <c r="S1212" s="1437" t="s">
        <v>53</v>
      </c>
      <c r="T1212" s="1370" t="s">
        <v>7029</v>
      </c>
      <c r="U1212" s="1358" t="str">
        <f t="shared" si="159"/>
        <v>en término</v>
      </c>
      <c r="V1212" s="1130" t="str">
        <f t="shared" si="157"/>
        <v>Agosto</v>
      </c>
      <c r="W1212" s="1128">
        <f t="shared" si="158"/>
        <v>1</v>
      </c>
    </row>
    <row r="1213" spans="1:23" ht="54.95" customHeight="1" thickBot="1" x14ac:dyDescent="0.25">
      <c r="A1213" s="1117">
        <v>2020</v>
      </c>
      <c r="B1213" s="1117">
        <v>2020</v>
      </c>
      <c r="C1213" s="1436" t="s">
        <v>36</v>
      </c>
      <c r="D1213" s="1363" t="s">
        <v>37</v>
      </c>
      <c r="E1213" s="1350" t="s">
        <v>7030</v>
      </c>
      <c r="F1213" s="1437"/>
      <c r="G1213" s="1463" t="s">
        <v>7031</v>
      </c>
      <c r="H1213" s="1352">
        <v>1344</v>
      </c>
      <c r="I1213" s="1353">
        <v>44025</v>
      </c>
      <c r="J1213" s="1354">
        <f t="shared" si="163"/>
        <v>62</v>
      </c>
      <c r="K1213" s="1353">
        <v>44087</v>
      </c>
      <c r="L1213" s="1353" t="s">
        <v>41</v>
      </c>
      <c r="M1213" s="1353">
        <v>44067</v>
      </c>
      <c r="N1213" s="1354">
        <f t="shared" ref="N1213:N1244" si="164">IF(O1213="","",+O1213-K1213)</f>
        <v>-8</v>
      </c>
      <c r="O1213" s="1427">
        <v>44079</v>
      </c>
      <c r="P1213" s="1438">
        <v>44081</v>
      </c>
      <c r="Q1213" s="1355">
        <v>44099</v>
      </c>
      <c r="R1213" s="1354">
        <f t="shared" si="160"/>
        <v>74</v>
      </c>
      <c r="S1213" s="1437" t="s">
        <v>53</v>
      </c>
      <c r="T1213" s="1370" t="s">
        <v>7032</v>
      </c>
      <c r="U1213" s="1358" t="str">
        <f t="shared" si="159"/>
        <v>en término</v>
      </c>
      <c r="V1213" s="1130" t="str">
        <f t="shared" si="157"/>
        <v>Agosto</v>
      </c>
      <c r="W1213" s="1128">
        <f t="shared" si="158"/>
        <v>1</v>
      </c>
    </row>
    <row r="1214" spans="1:23" ht="54.95" customHeight="1" thickBot="1" x14ac:dyDescent="0.25">
      <c r="A1214" s="1117">
        <v>2020</v>
      </c>
      <c r="B1214" s="1117">
        <v>2020</v>
      </c>
      <c r="C1214" s="1436" t="s">
        <v>36</v>
      </c>
      <c r="D1214" s="1363" t="s">
        <v>37</v>
      </c>
      <c r="E1214" s="1350" t="s">
        <v>7045</v>
      </c>
      <c r="F1214" s="1437"/>
      <c r="G1214" s="1463" t="s">
        <v>7046</v>
      </c>
      <c r="H1214" s="1352">
        <v>1829</v>
      </c>
      <c r="I1214" s="1353">
        <v>44035</v>
      </c>
      <c r="J1214" s="1354">
        <f t="shared" si="163"/>
        <v>71</v>
      </c>
      <c r="K1214" s="1353">
        <v>44106</v>
      </c>
      <c r="L1214" s="1353" t="s">
        <v>41</v>
      </c>
      <c r="M1214" s="1353">
        <v>44067</v>
      </c>
      <c r="N1214" s="1354">
        <f t="shared" si="164"/>
        <v>-27</v>
      </c>
      <c r="O1214" s="1427">
        <v>44079</v>
      </c>
      <c r="P1214" s="1438">
        <v>44081</v>
      </c>
      <c r="Q1214" s="1355">
        <v>44099</v>
      </c>
      <c r="R1214" s="1354">
        <f t="shared" si="160"/>
        <v>64</v>
      </c>
      <c r="S1214" s="1437" t="s">
        <v>53</v>
      </c>
      <c r="T1214" s="1370" t="s">
        <v>7047</v>
      </c>
      <c r="U1214" s="1358" t="str">
        <f t="shared" si="159"/>
        <v>en término</v>
      </c>
      <c r="V1214" s="1130" t="str">
        <f t="shared" si="157"/>
        <v>Agosto</v>
      </c>
      <c r="W1214" s="1128">
        <f t="shared" si="158"/>
        <v>1</v>
      </c>
    </row>
    <row r="1215" spans="1:23" ht="54.95" customHeight="1" thickBot="1" x14ac:dyDescent="0.25">
      <c r="A1215" s="1117">
        <v>2020</v>
      </c>
      <c r="B1215" s="1117">
        <v>2020</v>
      </c>
      <c r="C1215" s="1436" t="s">
        <v>36</v>
      </c>
      <c r="D1215" s="1363" t="s">
        <v>37</v>
      </c>
      <c r="E1215" s="1350" t="s">
        <v>7050</v>
      </c>
      <c r="F1215" s="1437">
        <v>4600611934</v>
      </c>
      <c r="G1215" s="1463" t="s">
        <v>7048</v>
      </c>
      <c r="H1215" s="1352">
        <v>4346.09</v>
      </c>
      <c r="I1215" s="1353">
        <v>44035</v>
      </c>
      <c r="J1215" s="1354">
        <f t="shared" si="163"/>
        <v>86</v>
      </c>
      <c r="K1215" s="1353">
        <v>44121</v>
      </c>
      <c r="L1215" s="1353" t="s">
        <v>41</v>
      </c>
      <c r="M1215" s="1353">
        <v>44113</v>
      </c>
      <c r="N1215" s="1354">
        <f t="shared" si="164"/>
        <v>0</v>
      </c>
      <c r="O1215" s="1427">
        <v>44121</v>
      </c>
      <c r="P1215" s="1438">
        <v>44123</v>
      </c>
      <c r="Q1215" s="1355">
        <v>44141</v>
      </c>
      <c r="R1215" s="1354">
        <f t="shared" si="160"/>
        <v>106</v>
      </c>
      <c r="S1215" s="1437" t="s">
        <v>53</v>
      </c>
      <c r="T1215" s="1370" t="s">
        <v>7049</v>
      </c>
      <c r="U1215" s="1358" t="str">
        <f t="shared" si="159"/>
        <v>en término</v>
      </c>
      <c r="V1215" s="1130" t="str">
        <f t="shared" si="157"/>
        <v>Octubre</v>
      </c>
      <c r="W1215" s="1128">
        <f t="shared" si="158"/>
        <v>1</v>
      </c>
    </row>
    <row r="1216" spans="1:23" ht="54.95" customHeight="1" thickBot="1" x14ac:dyDescent="0.25">
      <c r="A1216" s="1117">
        <v>2020</v>
      </c>
      <c r="B1216" s="1117">
        <v>2020</v>
      </c>
      <c r="C1216" s="1436" t="s">
        <v>36</v>
      </c>
      <c r="D1216" s="1363" t="s">
        <v>37</v>
      </c>
      <c r="E1216" s="1350" t="s">
        <v>7050</v>
      </c>
      <c r="F1216" s="1437">
        <v>4600611934</v>
      </c>
      <c r="G1216" s="1463" t="s">
        <v>7051</v>
      </c>
      <c r="H1216" s="1352">
        <v>6165.2</v>
      </c>
      <c r="I1216" s="1353">
        <v>44038</v>
      </c>
      <c r="J1216" s="1354">
        <f t="shared" si="163"/>
        <v>86</v>
      </c>
      <c r="K1216" s="1353">
        <v>44124</v>
      </c>
      <c r="L1216" s="1353" t="s">
        <v>41</v>
      </c>
      <c r="M1216" s="1353">
        <v>44113</v>
      </c>
      <c r="N1216" s="1354">
        <f t="shared" si="164"/>
        <v>-3</v>
      </c>
      <c r="O1216" s="1427">
        <v>44121</v>
      </c>
      <c r="P1216" s="1438">
        <v>44123</v>
      </c>
      <c r="Q1216" s="1355">
        <v>44141</v>
      </c>
      <c r="R1216" s="1354">
        <f t="shared" si="160"/>
        <v>103</v>
      </c>
      <c r="S1216" s="1437" t="s">
        <v>53</v>
      </c>
      <c r="T1216" s="1370" t="s">
        <v>7053</v>
      </c>
      <c r="U1216" s="1358" t="str">
        <f t="shared" si="159"/>
        <v>en término</v>
      </c>
      <c r="V1216" s="1130" t="str">
        <f t="shared" si="157"/>
        <v>Octubre</v>
      </c>
      <c r="W1216" s="1128">
        <f t="shared" si="158"/>
        <v>1</v>
      </c>
    </row>
    <row r="1217" spans="1:23" ht="54.95" customHeight="1" thickBot="1" x14ac:dyDescent="0.25">
      <c r="A1217" s="1117">
        <v>2020</v>
      </c>
      <c r="B1217" s="1117">
        <v>2020</v>
      </c>
      <c r="C1217" s="1436" t="s">
        <v>36</v>
      </c>
      <c r="D1217" s="1363" t="s">
        <v>37</v>
      </c>
      <c r="E1217" s="1350" t="s">
        <v>7050</v>
      </c>
      <c r="F1217" s="1437">
        <v>4600611934</v>
      </c>
      <c r="G1217" s="1463" t="s">
        <v>7052</v>
      </c>
      <c r="H1217" s="1352">
        <v>1696.8</v>
      </c>
      <c r="I1217" s="1353">
        <v>44038</v>
      </c>
      <c r="J1217" s="1354">
        <f t="shared" si="163"/>
        <v>86</v>
      </c>
      <c r="K1217" s="1353">
        <v>44124</v>
      </c>
      <c r="L1217" s="1353" t="s">
        <v>41</v>
      </c>
      <c r="M1217" s="1353">
        <v>44113</v>
      </c>
      <c r="N1217" s="1354">
        <f t="shared" si="164"/>
        <v>-3</v>
      </c>
      <c r="O1217" s="1427">
        <v>44121</v>
      </c>
      <c r="P1217" s="1438">
        <v>44123</v>
      </c>
      <c r="Q1217" s="1355">
        <v>44141</v>
      </c>
      <c r="R1217" s="1354">
        <f t="shared" si="160"/>
        <v>103</v>
      </c>
      <c r="S1217" s="1437" t="s">
        <v>53</v>
      </c>
      <c r="T1217" s="1370" t="s">
        <v>7054</v>
      </c>
      <c r="U1217" s="1358" t="str">
        <f t="shared" si="159"/>
        <v>en término</v>
      </c>
      <c r="V1217" s="1130" t="str">
        <f t="shared" si="157"/>
        <v>Octubre</v>
      </c>
      <c r="W1217" s="1128">
        <f t="shared" si="158"/>
        <v>1</v>
      </c>
    </row>
    <row r="1218" spans="1:23" ht="54.95" customHeight="1" thickBot="1" x14ac:dyDescent="0.25">
      <c r="A1218" s="1117">
        <v>2020</v>
      </c>
      <c r="B1218" s="1117">
        <v>2020</v>
      </c>
      <c r="C1218" s="1436" t="s">
        <v>36</v>
      </c>
      <c r="D1218" s="1363" t="s">
        <v>37</v>
      </c>
      <c r="E1218" s="1350" t="s">
        <v>7050</v>
      </c>
      <c r="F1218" s="1437">
        <v>4600611934</v>
      </c>
      <c r="G1218" s="1463" t="s">
        <v>7063</v>
      </c>
      <c r="H1218" s="1352">
        <v>5422.34</v>
      </c>
      <c r="I1218" s="1353">
        <v>44050</v>
      </c>
      <c r="J1218" s="1354">
        <f t="shared" si="163"/>
        <v>84</v>
      </c>
      <c r="K1218" s="1353">
        <v>44134</v>
      </c>
      <c r="L1218" s="1353" t="s">
        <v>41</v>
      </c>
      <c r="M1218" s="1353">
        <v>44113</v>
      </c>
      <c r="N1218" s="1354">
        <f t="shared" si="164"/>
        <v>-13</v>
      </c>
      <c r="O1218" s="1427">
        <v>44121</v>
      </c>
      <c r="P1218" s="1438">
        <v>44123</v>
      </c>
      <c r="Q1218" s="1355">
        <v>44141</v>
      </c>
      <c r="R1218" s="1354">
        <f t="shared" si="160"/>
        <v>91</v>
      </c>
      <c r="S1218" s="1437" t="s">
        <v>7064</v>
      </c>
      <c r="T1218" s="1370" t="s">
        <v>7065</v>
      </c>
      <c r="U1218" s="1358" t="str">
        <f t="shared" si="159"/>
        <v>en término</v>
      </c>
      <c r="V1218" s="1130" t="str">
        <f t="shared" ref="V1218:V1262" si="165">VLOOKUP(MONTH(M1218),$Y$66:$Z$77,2,FALSE)</f>
        <v>Octubre</v>
      </c>
      <c r="W1218" s="1128">
        <f t="shared" ref="W1218:W1261" si="166">+IF(U1218="atrasado",0)+IF(U1218="en término",1)</f>
        <v>1</v>
      </c>
    </row>
    <row r="1219" spans="1:23" ht="54.95" customHeight="1" thickBot="1" x14ac:dyDescent="0.25">
      <c r="A1219" s="1117">
        <v>2020</v>
      </c>
      <c r="B1219" s="1117">
        <v>2020</v>
      </c>
      <c r="C1219" s="1436" t="s">
        <v>36</v>
      </c>
      <c r="D1219" s="1363" t="s">
        <v>37</v>
      </c>
      <c r="E1219" s="1350" t="s">
        <v>7050</v>
      </c>
      <c r="F1219" s="1437">
        <v>4600611934</v>
      </c>
      <c r="G1219" s="1463" t="s">
        <v>7066</v>
      </c>
      <c r="H1219" s="1352">
        <v>363.6</v>
      </c>
      <c r="I1219" s="1353">
        <v>44050</v>
      </c>
      <c r="J1219" s="1354">
        <f t="shared" si="163"/>
        <v>84</v>
      </c>
      <c r="K1219" s="1353">
        <v>44134</v>
      </c>
      <c r="L1219" s="1353" t="s">
        <v>41</v>
      </c>
      <c r="M1219" s="1353">
        <v>44113</v>
      </c>
      <c r="N1219" s="1354">
        <f t="shared" si="164"/>
        <v>-13</v>
      </c>
      <c r="O1219" s="1427">
        <v>44121</v>
      </c>
      <c r="P1219" s="1438">
        <v>44123</v>
      </c>
      <c r="Q1219" s="1355">
        <v>44141</v>
      </c>
      <c r="R1219" s="1354">
        <f t="shared" si="160"/>
        <v>91</v>
      </c>
      <c r="S1219" s="1437" t="s">
        <v>53</v>
      </c>
      <c r="T1219" s="1370" t="s">
        <v>7067</v>
      </c>
      <c r="U1219" s="1358" t="str">
        <f t="shared" ref="U1219:U1282" si="167">IF(N1219="","",IF(N1219&lt;=0,"en término","atrasado"))</f>
        <v>en término</v>
      </c>
      <c r="V1219" s="1130" t="str">
        <f t="shared" si="165"/>
        <v>Octubre</v>
      </c>
      <c r="W1219" s="1128">
        <f t="shared" si="166"/>
        <v>1</v>
      </c>
    </row>
    <row r="1220" spans="1:23" ht="54.95" customHeight="1" thickBot="1" x14ac:dyDescent="0.25">
      <c r="A1220" s="1117">
        <v>2020</v>
      </c>
      <c r="B1220" s="1117">
        <v>2020</v>
      </c>
      <c r="C1220" s="1436" t="s">
        <v>36</v>
      </c>
      <c r="D1220" s="1363" t="s">
        <v>37</v>
      </c>
      <c r="E1220" s="1350" t="s">
        <v>7050</v>
      </c>
      <c r="F1220" s="1437">
        <v>4600611934</v>
      </c>
      <c r="G1220" s="1463" t="s">
        <v>7068</v>
      </c>
      <c r="H1220" s="1352">
        <v>7817.28</v>
      </c>
      <c r="I1220" s="1353">
        <v>44050</v>
      </c>
      <c r="J1220" s="1354">
        <f t="shared" si="163"/>
        <v>84</v>
      </c>
      <c r="K1220" s="1353">
        <v>44134</v>
      </c>
      <c r="L1220" s="1353" t="s">
        <v>41</v>
      </c>
      <c r="M1220" s="1353">
        <v>44113</v>
      </c>
      <c r="N1220" s="1354">
        <f t="shared" si="164"/>
        <v>-13</v>
      </c>
      <c r="O1220" s="1427">
        <v>44121</v>
      </c>
      <c r="P1220" s="1438">
        <v>44123</v>
      </c>
      <c r="Q1220" s="1355">
        <v>44141</v>
      </c>
      <c r="R1220" s="1354">
        <f t="shared" si="160"/>
        <v>91</v>
      </c>
      <c r="S1220" s="1437" t="s">
        <v>7069</v>
      </c>
      <c r="T1220" s="1370" t="s">
        <v>7070</v>
      </c>
      <c r="U1220" s="1358" t="str">
        <f t="shared" si="167"/>
        <v>en término</v>
      </c>
      <c r="V1220" s="1130" t="str">
        <f t="shared" si="165"/>
        <v>Octubre</v>
      </c>
      <c r="W1220" s="1128">
        <f t="shared" si="166"/>
        <v>1</v>
      </c>
    </row>
    <row r="1221" spans="1:23" ht="54.95" customHeight="1" thickBot="1" x14ac:dyDescent="0.25">
      <c r="A1221" s="1117">
        <v>2020</v>
      </c>
      <c r="B1221" s="1117">
        <v>2020</v>
      </c>
      <c r="C1221" s="1436" t="s">
        <v>36</v>
      </c>
      <c r="D1221" s="1363" t="s">
        <v>37</v>
      </c>
      <c r="E1221" s="1350" t="s">
        <v>6441</v>
      </c>
      <c r="F1221" s="1437">
        <v>4600557062</v>
      </c>
      <c r="G1221" s="1463" t="s">
        <v>7073</v>
      </c>
      <c r="H1221" s="1352">
        <v>1833.5</v>
      </c>
      <c r="I1221" s="1353">
        <v>44055</v>
      </c>
      <c r="J1221" s="1354">
        <f t="shared" si="163"/>
        <v>47</v>
      </c>
      <c r="K1221" s="1353">
        <v>44102</v>
      </c>
      <c r="L1221" s="1353" t="s">
        <v>41</v>
      </c>
      <c r="M1221" s="1353">
        <v>44067</v>
      </c>
      <c r="N1221" s="1354">
        <f t="shared" si="164"/>
        <v>-23</v>
      </c>
      <c r="O1221" s="1427">
        <v>44079</v>
      </c>
      <c r="P1221" s="1438">
        <v>44081</v>
      </c>
      <c r="Q1221" s="1355">
        <v>44099</v>
      </c>
      <c r="R1221" s="1354">
        <f t="shared" si="160"/>
        <v>44</v>
      </c>
      <c r="S1221" s="1437" t="s">
        <v>53</v>
      </c>
      <c r="T1221" s="1370" t="s">
        <v>7072</v>
      </c>
      <c r="U1221" s="1358" t="str">
        <f t="shared" si="167"/>
        <v>en término</v>
      </c>
      <c r="V1221" s="1130" t="str">
        <f t="shared" si="165"/>
        <v>Agosto</v>
      </c>
      <c r="W1221" s="1128">
        <f t="shared" si="166"/>
        <v>1</v>
      </c>
    </row>
    <row r="1222" spans="1:23" ht="54.95" customHeight="1" thickBot="1" x14ac:dyDescent="0.25">
      <c r="A1222" s="1117">
        <v>2020</v>
      </c>
      <c r="B1222" s="1117">
        <v>2020</v>
      </c>
      <c r="C1222" s="1436" t="s">
        <v>36</v>
      </c>
      <c r="D1222" s="1363" t="s">
        <v>37</v>
      </c>
      <c r="E1222" s="1350" t="s">
        <v>7078</v>
      </c>
      <c r="F1222" s="1437" t="s">
        <v>7075</v>
      </c>
      <c r="G1222" s="1463" t="s">
        <v>7076</v>
      </c>
      <c r="H1222" s="1352">
        <v>30580</v>
      </c>
      <c r="I1222" s="1353">
        <v>44060</v>
      </c>
      <c r="J1222" s="1354">
        <f t="shared" si="163"/>
        <v>27</v>
      </c>
      <c r="K1222" s="1353">
        <v>44087</v>
      </c>
      <c r="L1222" s="1353" t="s">
        <v>41</v>
      </c>
      <c r="M1222" s="1353">
        <v>44099</v>
      </c>
      <c r="N1222" s="1354">
        <f t="shared" si="164"/>
        <v>20</v>
      </c>
      <c r="O1222" s="1427">
        <v>44107</v>
      </c>
      <c r="P1222" s="1438">
        <v>44107</v>
      </c>
      <c r="Q1222" s="1355">
        <f>+P1222+10</f>
        <v>44117</v>
      </c>
      <c r="R1222" s="1354">
        <f t="shared" si="160"/>
        <v>57</v>
      </c>
      <c r="S1222" s="1437" t="s">
        <v>7087</v>
      </c>
      <c r="T1222" s="1370" t="s">
        <v>7077</v>
      </c>
      <c r="U1222" s="1358" t="str">
        <f t="shared" si="167"/>
        <v>atrasado</v>
      </c>
      <c r="V1222" s="1130" t="str">
        <f t="shared" si="165"/>
        <v>Septiembre</v>
      </c>
      <c r="W1222" s="1128">
        <f t="shared" si="166"/>
        <v>0</v>
      </c>
    </row>
    <row r="1223" spans="1:23" ht="54.95" customHeight="1" thickBot="1" x14ac:dyDescent="0.25">
      <c r="A1223" s="1117">
        <v>2020</v>
      </c>
      <c r="B1223" s="1117">
        <v>2020</v>
      </c>
      <c r="C1223" s="1436" t="s">
        <v>36</v>
      </c>
      <c r="D1223" s="1363" t="s">
        <v>37</v>
      </c>
      <c r="E1223" s="1350" t="s">
        <v>6441</v>
      </c>
      <c r="F1223" s="1437">
        <v>4600557062</v>
      </c>
      <c r="G1223" s="1463" t="s">
        <v>7079</v>
      </c>
      <c r="H1223" s="1352">
        <v>119395.8</v>
      </c>
      <c r="I1223" s="1353">
        <v>44062</v>
      </c>
      <c r="J1223" s="1354">
        <f t="shared" si="163"/>
        <v>89</v>
      </c>
      <c r="K1223" s="1353">
        <v>44151</v>
      </c>
      <c r="L1223" s="1353" t="s">
        <v>41</v>
      </c>
      <c r="M1223" s="1353">
        <v>44148</v>
      </c>
      <c r="N1223" s="1354">
        <f t="shared" si="164"/>
        <v>5</v>
      </c>
      <c r="O1223" s="1427">
        <v>44156</v>
      </c>
      <c r="P1223" s="1438">
        <v>44158</v>
      </c>
      <c r="Q1223" s="1355">
        <v>44176</v>
      </c>
      <c r="R1223" s="1354">
        <f t="shared" si="160"/>
        <v>114</v>
      </c>
      <c r="S1223" s="1437" t="s">
        <v>53</v>
      </c>
      <c r="T1223" s="1370" t="s">
        <v>7080</v>
      </c>
      <c r="U1223" s="1358" t="str">
        <f t="shared" si="167"/>
        <v>atrasado</v>
      </c>
      <c r="V1223" s="1130" t="str">
        <f t="shared" si="165"/>
        <v>Noviembre</v>
      </c>
      <c r="W1223" s="1128">
        <f t="shared" si="166"/>
        <v>0</v>
      </c>
    </row>
    <row r="1224" spans="1:23" ht="54.95" customHeight="1" thickBot="1" x14ac:dyDescent="0.25">
      <c r="A1224" s="1117">
        <v>2020</v>
      </c>
      <c r="B1224" s="1117">
        <v>2020</v>
      </c>
      <c r="C1224" s="1436" t="s">
        <v>36</v>
      </c>
      <c r="D1224" s="1363" t="s">
        <v>37</v>
      </c>
      <c r="E1224" s="1350" t="s">
        <v>6441</v>
      </c>
      <c r="F1224" s="1437">
        <v>4600557062</v>
      </c>
      <c r="G1224" s="1463" t="s">
        <v>7081</v>
      </c>
      <c r="H1224" s="1352">
        <v>145786</v>
      </c>
      <c r="I1224" s="1353">
        <v>44062</v>
      </c>
      <c r="J1224" s="1354">
        <f t="shared" si="163"/>
        <v>89</v>
      </c>
      <c r="K1224" s="1353">
        <v>44151</v>
      </c>
      <c r="L1224" s="1353" t="s">
        <v>41</v>
      </c>
      <c r="M1224" s="1353">
        <v>44148</v>
      </c>
      <c r="N1224" s="1354">
        <f t="shared" si="164"/>
        <v>5</v>
      </c>
      <c r="O1224" s="1427">
        <v>44156</v>
      </c>
      <c r="P1224" s="1438">
        <v>44158</v>
      </c>
      <c r="Q1224" s="1355">
        <v>44176</v>
      </c>
      <c r="R1224" s="1354">
        <f t="shared" si="160"/>
        <v>114</v>
      </c>
      <c r="S1224" s="1437" t="s">
        <v>53</v>
      </c>
      <c r="T1224" s="1370" t="s">
        <v>7082</v>
      </c>
      <c r="U1224" s="1358" t="str">
        <f t="shared" si="167"/>
        <v>atrasado</v>
      </c>
      <c r="V1224" s="1130" t="str">
        <f t="shared" si="165"/>
        <v>Noviembre</v>
      </c>
      <c r="W1224" s="1128">
        <f t="shared" si="166"/>
        <v>0</v>
      </c>
    </row>
    <row r="1225" spans="1:23" ht="54.95" customHeight="1" thickBot="1" x14ac:dyDescent="0.25">
      <c r="A1225" s="1117">
        <v>2020</v>
      </c>
      <c r="B1225" s="1117">
        <v>2020</v>
      </c>
      <c r="C1225" s="1436" t="s">
        <v>36</v>
      </c>
      <c r="D1225" s="1363" t="s">
        <v>37</v>
      </c>
      <c r="E1225" s="1350" t="s">
        <v>6441</v>
      </c>
      <c r="F1225" s="1437">
        <v>4600557062</v>
      </c>
      <c r="G1225" s="1463" t="s">
        <v>7083</v>
      </c>
      <c r="H1225" s="1352">
        <v>9702</v>
      </c>
      <c r="I1225" s="1353">
        <v>44062</v>
      </c>
      <c r="J1225" s="1354">
        <f t="shared" si="163"/>
        <v>89</v>
      </c>
      <c r="K1225" s="1353">
        <v>44151</v>
      </c>
      <c r="L1225" s="1353" t="s">
        <v>41</v>
      </c>
      <c r="M1225" s="1353">
        <v>44148</v>
      </c>
      <c r="N1225" s="1354">
        <f t="shared" si="164"/>
        <v>5</v>
      </c>
      <c r="O1225" s="1427">
        <v>44156</v>
      </c>
      <c r="P1225" s="1438">
        <v>44158</v>
      </c>
      <c r="Q1225" s="1355">
        <v>44176</v>
      </c>
      <c r="R1225" s="1354">
        <f t="shared" si="160"/>
        <v>114</v>
      </c>
      <c r="S1225" s="1437" t="s">
        <v>53</v>
      </c>
      <c r="T1225" s="1370" t="s">
        <v>7084</v>
      </c>
      <c r="U1225" s="1358" t="str">
        <f t="shared" si="167"/>
        <v>atrasado</v>
      </c>
      <c r="V1225" s="1130" t="str">
        <f t="shared" si="165"/>
        <v>Noviembre</v>
      </c>
      <c r="W1225" s="1128">
        <f t="shared" si="166"/>
        <v>0</v>
      </c>
    </row>
    <row r="1226" spans="1:23" ht="54.95" customHeight="1" thickBot="1" x14ac:dyDescent="0.25">
      <c r="A1226" s="1117">
        <v>2020</v>
      </c>
      <c r="B1226" s="1117">
        <v>2020</v>
      </c>
      <c r="C1226" s="1436" t="s">
        <v>36</v>
      </c>
      <c r="D1226" s="1363" t="s">
        <v>37</v>
      </c>
      <c r="E1226" s="1350" t="s">
        <v>6441</v>
      </c>
      <c r="F1226" s="1437">
        <v>4600557062</v>
      </c>
      <c r="G1226" s="1463" t="s">
        <v>7085</v>
      </c>
      <c r="H1226" s="1352">
        <v>5352.64</v>
      </c>
      <c r="I1226" s="1353">
        <v>44062</v>
      </c>
      <c r="J1226" s="1354">
        <f t="shared" si="163"/>
        <v>89</v>
      </c>
      <c r="K1226" s="1353">
        <v>44151</v>
      </c>
      <c r="L1226" s="1353" t="s">
        <v>41</v>
      </c>
      <c r="M1226" s="1353">
        <v>44148</v>
      </c>
      <c r="N1226" s="1354">
        <f t="shared" si="164"/>
        <v>5</v>
      </c>
      <c r="O1226" s="1427">
        <v>44156</v>
      </c>
      <c r="P1226" s="1438">
        <v>44158</v>
      </c>
      <c r="Q1226" s="1355">
        <v>44176</v>
      </c>
      <c r="R1226" s="1354">
        <f t="shared" si="160"/>
        <v>114</v>
      </c>
      <c r="S1226" s="1437" t="s">
        <v>53</v>
      </c>
      <c r="T1226" s="1370" t="s">
        <v>7086</v>
      </c>
      <c r="U1226" s="1358" t="str">
        <f t="shared" si="167"/>
        <v>atrasado</v>
      </c>
      <c r="V1226" s="1130" t="str">
        <f t="shared" si="165"/>
        <v>Noviembre</v>
      </c>
      <c r="W1226" s="1128">
        <f t="shared" si="166"/>
        <v>0</v>
      </c>
    </row>
    <row r="1227" spans="1:23" ht="54.95" customHeight="1" thickBot="1" x14ac:dyDescent="0.25">
      <c r="A1227" s="1117">
        <v>2020</v>
      </c>
      <c r="B1227" s="1117">
        <v>2020</v>
      </c>
      <c r="C1227" s="1436" t="s">
        <v>36</v>
      </c>
      <c r="D1227" s="1363" t="s">
        <v>37</v>
      </c>
      <c r="E1227" s="1350" t="s">
        <v>7089</v>
      </c>
      <c r="F1227" s="1437">
        <v>94698</v>
      </c>
      <c r="G1227" s="1463" t="s">
        <v>7088</v>
      </c>
      <c r="H1227" s="1352">
        <v>13974</v>
      </c>
      <c r="I1227" s="1353">
        <v>44064</v>
      </c>
      <c r="J1227" s="1354">
        <f t="shared" si="163"/>
        <v>90</v>
      </c>
      <c r="K1227" s="1353">
        <v>44154</v>
      </c>
      <c r="L1227" s="1353" t="s">
        <v>41</v>
      </c>
      <c r="M1227" s="1353">
        <v>44148</v>
      </c>
      <c r="N1227" s="1354">
        <f t="shared" si="164"/>
        <v>2</v>
      </c>
      <c r="O1227" s="1427">
        <v>44156</v>
      </c>
      <c r="P1227" s="1438">
        <v>44158</v>
      </c>
      <c r="Q1227" s="1355">
        <v>44176</v>
      </c>
      <c r="R1227" s="1354">
        <f t="shared" si="160"/>
        <v>112</v>
      </c>
      <c r="S1227" s="1437" t="s">
        <v>7090</v>
      </c>
      <c r="T1227" s="1370" t="s">
        <v>7091</v>
      </c>
      <c r="U1227" s="1358" t="str">
        <f t="shared" si="167"/>
        <v>atrasado</v>
      </c>
      <c r="V1227" s="1130" t="str">
        <f t="shared" si="165"/>
        <v>Noviembre</v>
      </c>
      <c r="W1227" s="1128">
        <f t="shared" si="166"/>
        <v>0</v>
      </c>
    </row>
    <row r="1228" spans="1:23" ht="54.95" customHeight="1" thickBot="1" x14ac:dyDescent="0.25">
      <c r="A1228" s="1117">
        <v>2020</v>
      </c>
      <c r="B1228" s="1117">
        <v>2020</v>
      </c>
      <c r="C1228" s="1436" t="s">
        <v>36</v>
      </c>
      <c r="D1228" s="1363" t="s">
        <v>37</v>
      </c>
      <c r="E1228" s="1350" t="s">
        <v>6441</v>
      </c>
      <c r="F1228" s="1437">
        <v>4600557062</v>
      </c>
      <c r="G1228" s="1463" t="s">
        <v>7092</v>
      </c>
      <c r="H1228" s="1352">
        <v>32476</v>
      </c>
      <c r="I1228" s="1353">
        <v>44075</v>
      </c>
      <c r="J1228" s="1354">
        <f t="shared" si="163"/>
        <v>88</v>
      </c>
      <c r="K1228" s="1353">
        <v>44163</v>
      </c>
      <c r="L1228" s="1353" t="s">
        <v>41</v>
      </c>
      <c r="M1228" s="1353">
        <v>44148</v>
      </c>
      <c r="N1228" s="1354">
        <f t="shared" si="164"/>
        <v>-7</v>
      </c>
      <c r="O1228" s="1427">
        <v>44156</v>
      </c>
      <c r="P1228" s="1438">
        <v>44158</v>
      </c>
      <c r="Q1228" s="1355">
        <v>44176</v>
      </c>
      <c r="R1228" s="1354">
        <f t="shared" si="160"/>
        <v>101</v>
      </c>
      <c r="S1228" s="1437" t="s">
        <v>7093</v>
      </c>
      <c r="T1228" s="1370" t="s">
        <v>7099</v>
      </c>
      <c r="U1228" s="1358" t="str">
        <f t="shared" si="167"/>
        <v>en término</v>
      </c>
      <c r="V1228" s="1130" t="str">
        <f t="shared" si="165"/>
        <v>Noviembre</v>
      </c>
      <c r="W1228" s="1128">
        <f t="shared" si="166"/>
        <v>1</v>
      </c>
    </row>
    <row r="1229" spans="1:23" ht="54.95" customHeight="1" thickBot="1" x14ac:dyDescent="0.25">
      <c r="A1229" s="1117">
        <v>2020</v>
      </c>
      <c r="B1229" s="1117">
        <v>2020</v>
      </c>
      <c r="C1229" s="1436" t="s">
        <v>36</v>
      </c>
      <c r="D1229" s="1363" t="s">
        <v>37</v>
      </c>
      <c r="E1229" s="1350" t="s">
        <v>6441</v>
      </c>
      <c r="F1229" s="1437">
        <v>4600557062</v>
      </c>
      <c r="G1229" s="1463" t="s">
        <v>7094</v>
      </c>
      <c r="H1229" s="1352">
        <v>44329</v>
      </c>
      <c r="I1229" s="1353">
        <v>44075</v>
      </c>
      <c r="J1229" s="1354">
        <f t="shared" si="163"/>
        <v>110</v>
      </c>
      <c r="K1229" s="1353">
        <v>44185</v>
      </c>
      <c r="L1229" s="1353" t="s">
        <v>41</v>
      </c>
      <c r="M1229" s="1353">
        <v>44148</v>
      </c>
      <c r="N1229" s="1354">
        <f t="shared" si="164"/>
        <v>-29</v>
      </c>
      <c r="O1229" s="1427">
        <v>44156</v>
      </c>
      <c r="P1229" s="1438">
        <v>44158</v>
      </c>
      <c r="Q1229" s="1355">
        <v>44176</v>
      </c>
      <c r="R1229" s="1354">
        <f t="shared" si="160"/>
        <v>101</v>
      </c>
      <c r="S1229" s="1437" t="s">
        <v>780</v>
      </c>
      <c r="T1229" s="1370" t="s">
        <v>7095</v>
      </c>
      <c r="U1229" s="1358" t="str">
        <f t="shared" si="167"/>
        <v>en término</v>
      </c>
      <c r="V1229" s="1130" t="str">
        <f t="shared" si="165"/>
        <v>Noviembre</v>
      </c>
      <c r="W1229" s="1128">
        <f t="shared" si="166"/>
        <v>1</v>
      </c>
    </row>
    <row r="1230" spans="1:23" ht="54.95" customHeight="1" thickBot="1" x14ac:dyDescent="0.25">
      <c r="A1230" s="1117">
        <v>2020</v>
      </c>
      <c r="B1230" s="1117">
        <v>2020</v>
      </c>
      <c r="C1230" s="1436" t="s">
        <v>36</v>
      </c>
      <c r="D1230" s="1363" t="s">
        <v>37</v>
      </c>
      <c r="E1230" s="1350" t="s">
        <v>7097</v>
      </c>
      <c r="F1230" s="1437">
        <v>95456</v>
      </c>
      <c r="G1230" s="1463" t="s">
        <v>7096</v>
      </c>
      <c r="H1230" s="1352">
        <v>1112</v>
      </c>
      <c r="I1230" s="1353">
        <v>44083</v>
      </c>
      <c r="J1230" s="1354">
        <f t="shared" si="163"/>
        <v>82</v>
      </c>
      <c r="K1230" s="1353">
        <v>44165</v>
      </c>
      <c r="L1230" s="1353" t="s">
        <v>41</v>
      </c>
      <c r="M1230" s="1353">
        <v>44148</v>
      </c>
      <c r="N1230" s="1354">
        <f t="shared" si="164"/>
        <v>-9</v>
      </c>
      <c r="O1230" s="1427">
        <v>44156</v>
      </c>
      <c r="P1230" s="1438">
        <v>44158</v>
      </c>
      <c r="Q1230" s="1355">
        <v>44176</v>
      </c>
      <c r="R1230" s="1354">
        <f t="shared" si="160"/>
        <v>93</v>
      </c>
      <c r="S1230" s="1437" t="s">
        <v>7090</v>
      </c>
      <c r="T1230" s="1370" t="s">
        <v>7098</v>
      </c>
      <c r="U1230" s="1358" t="str">
        <f t="shared" si="167"/>
        <v>en término</v>
      </c>
      <c r="V1230" s="1130" t="str">
        <f t="shared" si="165"/>
        <v>Noviembre</v>
      </c>
      <c r="W1230" s="1128">
        <f t="shared" si="166"/>
        <v>1</v>
      </c>
    </row>
    <row r="1231" spans="1:23" ht="54.95" customHeight="1" thickBot="1" x14ac:dyDescent="0.25">
      <c r="A1231" s="1117">
        <v>2020</v>
      </c>
      <c r="B1231" s="1117">
        <v>2020</v>
      </c>
      <c r="C1231" s="1436" t="s">
        <v>36</v>
      </c>
      <c r="D1231" s="1363" t="s">
        <v>37</v>
      </c>
      <c r="E1231" s="1350" t="s">
        <v>6441</v>
      </c>
      <c r="F1231" s="1437">
        <v>4600557062</v>
      </c>
      <c r="G1231" s="1463" t="s">
        <v>7116</v>
      </c>
      <c r="H1231" s="1352">
        <v>19103.400000000001</v>
      </c>
      <c r="I1231" s="1353">
        <v>44119</v>
      </c>
      <c r="J1231" s="1354">
        <f t="shared" si="163"/>
        <v>54</v>
      </c>
      <c r="K1231" s="1353">
        <v>44173</v>
      </c>
      <c r="L1231" s="1353" t="s">
        <v>41</v>
      </c>
      <c r="M1231" s="1353">
        <v>44174</v>
      </c>
      <c r="N1231" s="1354" t="str">
        <f t="shared" si="164"/>
        <v/>
      </c>
      <c r="O1231" s="1427"/>
      <c r="P1231" s="1438"/>
      <c r="Q1231" s="1355"/>
      <c r="R1231" s="1354" t="str">
        <f t="shared" ref="R1231:R1294" si="168">IF(Q1231="","",+Q1231-I1231)</f>
        <v/>
      </c>
      <c r="S1231" s="1437" t="s">
        <v>944</v>
      </c>
      <c r="T1231" s="1370" t="s">
        <v>7123</v>
      </c>
      <c r="U1231" s="1358" t="str">
        <f t="shared" si="167"/>
        <v/>
      </c>
      <c r="V1231" s="1130" t="str">
        <f t="shared" si="165"/>
        <v>Diciembre</v>
      </c>
      <c r="W1231" s="1128">
        <f t="shared" si="166"/>
        <v>0</v>
      </c>
    </row>
    <row r="1232" spans="1:23" ht="54.95" customHeight="1" thickBot="1" x14ac:dyDescent="0.25">
      <c r="A1232" s="1117">
        <v>2020</v>
      </c>
      <c r="B1232" s="1117">
        <v>2020</v>
      </c>
      <c r="C1232" s="1436" t="s">
        <v>36</v>
      </c>
      <c r="D1232" s="1363" t="s">
        <v>37</v>
      </c>
      <c r="E1232" s="1350" t="s">
        <v>6441</v>
      </c>
      <c r="F1232" s="1437">
        <v>4600557062</v>
      </c>
      <c r="G1232" s="1463" t="s">
        <v>7117</v>
      </c>
      <c r="H1232" s="1352">
        <v>7146.98</v>
      </c>
      <c r="I1232" s="1353">
        <v>44119</v>
      </c>
      <c r="J1232" s="1354">
        <f t="shared" si="163"/>
        <v>60</v>
      </c>
      <c r="K1232" s="1353">
        <v>44179</v>
      </c>
      <c r="L1232" s="1353" t="s">
        <v>41</v>
      </c>
      <c r="M1232" s="1353">
        <v>44174</v>
      </c>
      <c r="N1232" s="1354" t="str">
        <f t="shared" si="164"/>
        <v/>
      </c>
      <c r="O1232" s="1427"/>
      <c r="P1232" s="1438"/>
      <c r="Q1232" s="1355"/>
      <c r="R1232" s="1354" t="str">
        <f t="shared" si="168"/>
        <v/>
      </c>
      <c r="S1232" s="1437" t="s">
        <v>7118</v>
      </c>
      <c r="T1232" s="1370" t="s">
        <v>7124</v>
      </c>
      <c r="U1232" s="1358" t="str">
        <f t="shared" si="167"/>
        <v/>
      </c>
      <c r="V1232" s="1130" t="str">
        <f t="shared" si="165"/>
        <v>Diciembre</v>
      </c>
      <c r="W1232" s="1128">
        <f t="shared" si="166"/>
        <v>0</v>
      </c>
    </row>
    <row r="1233" spans="1:23" ht="54.95" customHeight="1" thickBot="1" x14ac:dyDescent="0.25">
      <c r="A1233" s="1117">
        <v>2020</v>
      </c>
      <c r="B1233" s="1117">
        <v>2020</v>
      </c>
      <c r="C1233" s="1436" t="s">
        <v>36</v>
      </c>
      <c r="D1233" s="1363" t="s">
        <v>37</v>
      </c>
      <c r="E1233" s="1350" t="s">
        <v>6441</v>
      </c>
      <c r="F1233" s="1437">
        <v>4600557062</v>
      </c>
      <c r="G1233" s="1463" t="s">
        <v>7119</v>
      </c>
      <c r="H1233" s="1352">
        <v>27646.6</v>
      </c>
      <c r="I1233" s="1353">
        <v>44119</v>
      </c>
      <c r="J1233" s="1354">
        <f t="shared" si="163"/>
        <v>66</v>
      </c>
      <c r="K1233" s="1353">
        <v>44185</v>
      </c>
      <c r="L1233" s="1353" t="s">
        <v>41</v>
      </c>
      <c r="M1233" s="1353">
        <v>44174</v>
      </c>
      <c r="N1233" s="1354" t="str">
        <f t="shared" si="164"/>
        <v/>
      </c>
      <c r="O1233" s="1427"/>
      <c r="P1233" s="1438"/>
      <c r="Q1233" s="1355"/>
      <c r="R1233" s="1354" t="str">
        <f t="shared" si="168"/>
        <v/>
      </c>
      <c r="S1233" s="1437" t="s">
        <v>7120</v>
      </c>
      <c r="T1233" s="1370" t="s">
        <v>7125</v>
      </c>
      <c r="U1233" s="1358" t="str">
        <f t="shared" si="167"/>
        <v/>
      </c>
      <c r="V1233" s="1130" t="str">
        <f t="shared" si="165"/>
        <v>Diciembre</v>
      </c>
      <c r="W1233" s="1128">
        <f t="shared" si="166"/>
        <v>0</v>
      </c>
    </row>
    <row r="1234" spans="1:23" ht="54.95" customHeight="1" thickBot="1" x14ac:dyDescent="0.25">
      <c r="A1234" s="1117">
        <v>2020</v>
      </c>
      <c r="B1234" s="1117">
        <v>2020</v>
      </c>
      <c r="C1234" s="1436" t="s">
        <v>36</v>
      </c>
      <c r="D1234" s="1363" t="s">
        <v>37</v>
      </c>
      <c r="E1234" s="1350" t="s">
        <v>6441</v>
      </c>
      <c r="F1234" s="1437">
        <v>4600557062</v>
      </c>
      <c r="G1234" s="1463" t="s">
        <v>7121</v>
      </c>
      <c r="H1234" s="1352">
        <v>12225.02</v>
      </c>
      <c r="I1234" s="1353">
        <v>44119</v>
      </c>
      <c r="J1234" s="1354">
        <f t="shared" si="163"/>
        <v>81</v>
      </c>
      <c r="K1234" s="1353">
        <v>44200</v>
      </c>
      <c r="L1234" s="1353" t="s">
        <v>41</v>
      </c>
      <c r="M1234" s="1353">
        <v>44174</v>
      </c>
      <c r="N1234" s="1354" t="str">
        <f t="shared" si="164"/>
        <v/>
      </c>
      <c r="O1234" s="1427"/>
      <c r="P1234" s="1438"/>
      <c r="Q1234" s="1355"/>
      <c r="R1234" s="1354" t="str">
        <f t="shared" si="168"/>
        <v/>
      </c>
      <c r="S1234" s="1437" t="s">
        <v>7122</v>
      </c>
      <c r="T1234" s="1370" t="s">
        <v>7126</v>
      </c>
      <c r="U1234" s="1358" t="str">
        <f t="shared" si="167"/>
        <v/>
      </c>
      <c r="V1234" s="1130" t="str">
        <f t="shared" si="165"/>
        <v>Diciembre</v>
      </c>
      <c r="W1234" s="1128">
        <f t="shared" si="166"/>
        <v>0</v>
      </c>
    </row>
    <row r="1235" spans="1:23" ht="54.95" customHeight="1" thickBot="1" x14ac:dyDescent="0.25">
      <c r="A1235" s="1117">
        <v>2020</v>
      </c>
      <c r="B1235" s="1117">
        <v>2020</v>
      </c>
      <c r="C1235" s="1436" t="s">
        <v>36</v>
      </c>
      <c r="D1235" s="1363" t="s">
        <v>37</v>
      </c>
      <c r="E1235" s="1350" t="s">
        <v>6441</v>
      </c>
      <c r="F1235" s="1437">
        <v>4600557062</v>
      </c>
      <c r="G1235" s="1463" t="s">
        <v>7139</v>
      </c>
      <c r="H1235" s="1352">
        <v>46017.1</v>
      </c>
      <c r="I1235" s="1353">
        <v>44125</v>
      </c>
      <c r="J1235" s="1354">
        <f t="shared" si="163"/>
        <v>86</v>
      </c>
      <c r="K1235" s="1353">
        <v>44211</v>
      </c>
      <c r="L1235" s="1353" t="s">
        <v>41</v>
      </c>
      <c r="M1235" s="1353">
        <v>44194</v>
      </c>
      <c r="N1235" s="1354" t="str">
        <f t="shared" si="164"/>
        <v/>
      </c>
      <c r="O1235" s="1427"/>
      <c r="P1235" s="1438"/>
      <c r="Q1235" s="1355"/>
      <c r="R1235" s="1354" t="str">
        <f t="shared" si="168"/>
        <v/>
      </c>
      <c r="S1235" s="1437" t="s">
        <v>7138</v>
      </c>
      <c r="T1235" s="1370" t="s">
        <v>7137</v>
      </c>
      <c r="U1235" s="1358" t="str">
        <f t="shared" si="167"/>
        <v/>
      </c>
      <c r="V1235" s="1130" t="str">
        <f t="shared" si="165"/>
        <v>Diciembre</v>
      </c>
      <c r="W1235" s="1128">
        <f t="shared" si="166"/>
        <v>0</v>
      </c>
    </row>
    <row r="1236" spans="1:23" ht="54.95" customHeight="1" thickBot="1" x14ac:dyDescent="0.25">
      <c r="A1236" s="1117">
        <v>2020</v>
      </c>
      <c r="B1236" s="1117">
        <v>2020</v>
      </c>
      <c r="C1236" s="1436" t="s">
        <v>78</v>
      </c>
      <c r="D1236" s="1363" t="s">
        <v>6675</v>
      </c>
      <c r="E1236" s="1350" t="s">
        <v>6863</v>
      </c>
      <c r="F1236" s="1437" t="s">
        <v>81</v>
      </c>
      <c r="G1236" s="1463" t="s">
        <v>6947</v>
      </c>
      <c r="H1236" s="1352">
        <v>6372</v>
      </c>
      <c r="I1236" s="1353">
        <v>43798</v>
      </c>
      <c r="J1236" s="1354">
        <f t="shared" si="163"/>
        <v>50</v>
      </c>
      <c r="K1236" s="1353">
        <v>43848</v>
      </c>
      <c r="L1236" s="1353" t="s">
        <v>83</v>
      </c>
      <c r="M1236" s="1353">
        <v>43889</v>
      </c>
      <c r="N1236" s="1354">
        <f t="shared" si="164"/>
        <v>48</v>
      </c>
      <c r="O1236" s="1427">
        <v>43896</v>
      </c>
      <c r="P1236" s="1438">
        <v>43904</v>
      </c>
      <c r="Q1236" s="1355">
        <v>43934</v>
      </c>
      <c r="R1236" s="1354">
        <f t="shared" si="168"/>
        <v>136</v>
      </c>
      <c r="S1236" s="1437" t="s">
        <v>6864</v>
      </c>
      <c r="T1236" s="1370"/>
      <c r="U1236" s="1358" t="str">
        <f t="shared" si="167"/>
        <v>atrasado</v>
      </c>
      <c r="V1236" s="1130" t="str">
        <f t="shared" si="165"/>
        <v>Febrero</v>
      </c>
      <c r="W1236" s="1128">
        <f t="shared" si="166"/>
        <v>0</v>
      </c>
    </row>
    <row r="1237" spans="1:23" ht="54.95" customHeight="1" thickBot="1" x14ac:dyDescent="0.25">
      <c r="A1237" s="1117">
        <v>2020</v>
      </c>
      <c r="B1237" s="1117">
        <v>2020</v>
      </c>
      <c r="C1237" s="1436" t="s">
        <v>78</v>
      </c>
      <c r="D1237" s="1363" t="s">
        <v>6675</v>
      </c>
      <c r="E1237" s="1350" t="s">
        <v>6886</v>
      </c>
      <c r="F1237" s="1437" t="s">
        <v>81</v>
      </c>
      <c r="G1237" s="1435" t="s">
        <v>6903</v>
      </c>
      <c r="H1237" s="1352">
        <v>8275</v>
      </c>
      <c r="I1237" s="1353">
        <v>43809</v>
      </c>
      <c r="J1237" s="1354">
        <f t="shared" si="163"/>
        <v>35</v>
      </c>
      <c r="K1237" s="1353">
        <v>43844</v>
      </c>
      <c r="L1237" s="1353" t="s">
        <v>83</v>
      </c>
      <c r="M1237" s="1353">
        <v>43847</v>
      </c>
      <c r="N1237" s="1354">
        <f t="shared" si="164"/>
        <v>6</v>
      </c>
      <c r="O1237" s="1427">
        <v>43850</v>
      </c>
      <c r="P1237" s="1438">
        <v>43853</v>
      </c>
      <c r="Q1237" s="1355">
        <v>43860</v>
      </c>
      <c r="R1237" s="1354">
        <f t="shared" si="168"/>
        <v>51</v>
      </c>
      <c r="S1237" s="1437" t="s">
        <v>6864</v>
      </c>
      <c r="T1237" s="1370" t="s">
        <v>6887</v>
      </c>
      <c r="U1237" s="1358" t="str">
        <f t="shared" si="167"/>
        <v>atrasado</v>
      </c>
      <c r="V1237" s="1130" t="str">
        <f t="shared" si="165"/>
        <v>Enero</v>
      </c>
      <c r="W1237" s="1128">
        <f t="shared" si="166"/>
        <v>0</v>
      </c>
    </row>
    <row r="1238" spans="1:23" ht="54.95" customHeight="1" thickBot="1" x14ac:dyDescent="0.25">
      <c r="A1238" s="1117">
        <v>2020</v>
      </c>
      <c r="B1238" s="1117">
        <v>2020</v>
      </c>
      <c r="C1238" s="1436" t="s">
        <v>78</v>
      </c>
      <c r="D1238" s="1363" t="s">
        <v>6675</v>
      </c>
      <c r="E1238" s="1350" t="s">
        <v>6888</v>
      </c>
      <c r="F1238" s="1437" t="s">
        <v>81</v>
      </c>
      <c r="G1238" s="1463" t="s">
        <v>6927</v>
      </c>
      <c r="H1238" s="1352">
        <v>27876</v>
      </c>
      <c r="I1238" s="1353">
        <v>43815</v>
      </c>
      <c r="J1238" s="1354">
        <f t="shared" si="163"/>
        <v>74</v>
      </c>
      <c r="K1238" s="1353">
        <v>43889</v>
      </c>
      <c r="L1238" s="1353" t="s">
        <v>83</v>
      </c>
      <c r="M1238" s="1353">
        <v>43889</v>
      </c>
      <c r="N1238" s="1354">
        <f t="shared" si="164"/>
        <v>7</v>
      </c>
      <c r="O1238" s="1427">
        <v>43896</v>
      </c>
      <c r="P1238" s="1438">
        <v>43904</v>
      </c>
      <c r="Q1238" s="1355">
        <v>43934</v>
      </c>
      <c r="R1238" s="1354">
        <f t="shared" si="168"/>
        <v>119</v>
      </c>
      <c r="S1238" s="1437" t="s">
        <v>6864</v>
      </c>
      <c r="T1238" s="1370"/>
      <c r="U1238" s="1358" t="str">
        <f t="shared" si="167"/>
        <v>atrasado</v>
      </c>
      <c r="V1238" s="1130" t="str">
        <f t="shared" si="165"/>
        <v>Febrero</v>
      </c>
      <c r="W1238" s="1128">
        <f t="shared" si="166"/>
        <v>0</v>
      </c>
    </row>
    <row r="1239" spans="1:23" ht="54.95" customHeight="1" thickBot="1" x14ac:dyDescent="0.25">
      <c r="A1239" s="1117">
        <v>2020</v>
      </c>
      <c r="B1239" s="1117">
        <v>2020</v>
      </c>
      <c r="C1239" s="1436" t="s">
        <v>78</v>
      </c>
      <c r="D1239" s="1363" t="s">
        <v>6929</v>
      </c>
      <c r="E1239" s="1350" t="s">
        <v>6930</v>
      </c>
      <c r="F1239" s="1437" t="s">
        <v>81</v>
      </c>
      <c r="G1239" s="1463" t="s">
        <v>6964</v>
      </c>
      <c r="H1239" s="1352">
        <v>106400</v>
      </c>
      <c r="I1239" s="1353">
        <v>43921</v>
      </c>
      <c r="J1239" s="1354">
        <v>30</v>
      </c>
      <c r="K1239" s="1353">
        <v>43951</v>
      </c>
      <c r="L1239" s="1353" t="s">
        <v>83</v>
      </c>
      <c r="M1239" s="1353">
        <v>43966</v>
      </c>
      <c r="N1239" s="1354">
        <f t="shared" si="164"/>
        <v>39</v>
      </c>
      <c r="O1239" s="1427">
        <v>43990</v>
      </c>
      <c r="P1239" s="1438">
        <v>43994</v>
      </c>
      <c r="Q1239" s="1355">
        <v>44014</v>
      </c>
      <c r="R1239" s="1354">
        <f t="shared" si="168"/>
        <v>93</v>
      </c>
      <c r="S1239" s="1437" t="s">
        <v>6864</v>
      </c>
      <c r="T1239" s="1370" t="s">
        <v>6965</v>
      </c>
      <c r="U1239" s="1358" t="str">
        <f t="shared" si="167"/>
        <v>atrasado</v>
      </c>
      <c r="V1239" s="1130" t="str">
        <f t="shared" si="165"/>
        <v>Mayo</v>
      </c>
      <c r="W1239" s="1128">
        <f t="shared" si="166"/>
        <v>0</v>
      </c>
    </row>
    <row r="1240" spans="1:23" ht="54.95" customHeight="1" thickBot="1" x14ac:dyDescent="0.25">
      <c r="A1240" s="1117">
        <v>2020</v>
      </c>
      <c r="B1240" s="1117">
        <v>2020</v>
      </c>
      <c r="C1240" s="1436" t="s">
        <v>78</v>
      </c>
      <c r="D1240" s="1363" t="s">
        <v>6929</v>
      </c>
      <c r="E1240" s="1350" t="s">
        <v>6930</v>
      </c>
      <c r="F1240" s="1437" t="s">
        <v>81</v>
      </c>
      <c r="G1240" s="1463" t="s">
        <v>6964</v>
      </c>
      <c r="H1240" s="1352">
        <v>1215.4000000000001</v>
      </c>
      <c r="I1240" s="1353">
        <v>43921</v>
      </c>
      <c r="J1240" s="1354">
        <v>30</v>
      </c>
      <c r="K1240" s="1353">
        <v>43951</v>
      </c>
      <c r="L1240" s="1353" t="s">
        <v>83</v>
      </c>
      <c r="M1240" s="1353">
        <v>44029</v>
      </c>
      <c r="N1240" s="1354">
        <f t="shared" si="164"/>
        <v>85</v>
      </c>
      <c r="O1240" s="1427">
        <v>44036</v>
      </c>
      <c r="P1240" s="1438">
        <v>44044</v>
      </c>
      <c r="Q1240" s="1355">
        <v>44065</v>
      </c>
      <c r="R1240" s="1354">
        <f t="shared" si="168"/>
        <v>144</v>
      </c>
      <c r="S1240" s="1437" t="s">
        <v>6986</v>
      </c>
      <c r="T1240" s="1370" t="s">
        <v>6988</v>
      </c>
      <c r="U1240" s="1358" t="str">
        <f t="shared" si="167"/>
        <v>atrasado</v>
      </c>
      <c r="V1240" s="1130" t="str">
        <f t="shared" si="165"/>
        <v>Julio</v>
      </c>
      <c r="W1240" s="1128">
        <f t="shared" si="166"/>
        <v>0</v>
      </c>
    </row>
    <row r="1241" spans="1:23" ht="54.95" customHeight="1" thickBot="1" x14ac:dyDescent="0.25">
      <c r="A1241" s="1117">
        <v>2020</v>
      </c>
      <c r="B1241" s="1117">
        <v>2020</v>
      </c>
      <c r="C1241" s="1436" t="s">
        <v>78</v>
      </c>
      <c r="D1241" s="1363" t="s">
        <v>6929</v>
      </c>
      <c r="E1241" s="1350" t="s">
        <v>6966</v>
      </c>
      <c r="F1241" s="1437" t="s">
        <v>81</v>
      </c>
      <c r="G1241" s="1463" t="s">
        <v>6963</v>
      </c>
      <c r="H1241" s="1352">
        <v>41462.25</v>
      </c>
      <c r="I1241" s="1353">
        <v>43921</v>
      </c>
      <c r="J1241" s="1354">
        <v>38</v>
      </c>
      <c r="K1241" s="1353">
        <v>43959</v>
      </c>
      <c r="L1241" s="1353" t="s">
        <v>83</v>
      </c>
      <c r="M1241" s="1353">
        <v>43966</v>
      </c>
      <c r="N1241" s="1354">
        <f t="shared" si="164"/>
        <v>31</v>
      </c>
      <c r="O1241" s="1427">
        <v>43990</v>
      </c>
      <c r="P1241" s="1438">
        <v>43994</v>
      </c>
      <c r="Q1241" s="1355">
        <v>44014</v>
      </c>
      <c r="R1241" s="1354">
        <f t="shared" si="168"/>
        <v>93</v>
      </c>
      <c r="S1241" s="1437" t="s">
        <v>6864</v>
      </c>
      <c r="T1241" s="1370" t="s">
        <v>6967</v>
      </c>
      <c r="U1241" s="1358" t="str">
        <f t="shared" si="167"/>
        <v>atrasado</v>
      </c>
      <c r="V1241" s="1130" t="str">
        <f t="shared" si="165"/>
        <v>Mayo</v>
      </c>
      <c r="W1241" s="1128">
        <f t="shared" si="166"/>
        <v>0</v>
      </c>
    </row>
    <row r="1242" spans="1:23" ht="54.95" customHeight="1" thickBot="1" x14ac:dyDescent="0.25">
      <c r="A1242" s="1117">
        <v>2020</v>
      </c>
      <c r="B1242" s="1117">
        <v>2020</v>
      </c>
      <c r="C1242" s="1436" t="s">
        <v>78</v>
      </c>
      <c r="D1242" s="1363" t="s">
        <v>6929</v>
      </c>
      <c r="E1242" s="1350" t="s">
        <v>6972</v>
      </c>
      <c r="F1242" s="1437" t="s">
        <v>81</v>
      </c>
      <c r="G1242" s="1463" t="s">
        <v>6976</v>
      </c>
      <c r="H1242" s="1352">
        <v>297074.12</v>
      </c>
      <c r="I1242" s="1353">
        <v>43944</v>
      </c>
      <c r="J1242" s="1354">
        <v>15</v>
      </c>
      <c r="K1242" s="1353">
        <v>43959</v>
      </c>
      <c r="L1242" s="1353" t="s">
        <v>83</v>
      </c>
      <c r="M1242" s="1353">
        <v>43966</v>
      </c>
      <c r="N1242" s="1354">
        <f t="shared" si="164"/>
        <v>31</v>
      </c>
      <c r="O1242" s="1427">
        <v>43990</v>
      </c>
      <c r="P1242" s="1438">
        <v>43994</v>
      </c>
      <c r="Q1242" s="1355">
        <v>44014</v>
      </c>
      <c r="R1242" s="1354">
        <f t="shared" si="168"/>
        <v>70</v>
      </c>
      <c r="S1242" s="1437" t="s">
        <v>6864</v>
      </c>
      <c r="T1242" s="1370" t="s">
        <v>6978</v>
      </c>
      <c r="U1242" s="1358" t="str">
        <f t="shared" si="167"/>
        <v>atrasado</v>
      </c>
      <c r="V1242" s="1130" t="str">
        <f t="shared" si="165"/>
        <v>Mayo</v>
      </c>
      <c r="W1242" s="1128">
        <f t="shared" si="166"/>
        <v>0</v>
      </c>
    </row>
    <row r="1243" spans="1:23" ht="54.95" customHeight="1" thickBot="1" x14ac:dyDescent="0.25">
      <c r="A1243" s="1117">
        <v>2020</v>
      </c>
      <c r="B1243" s="1117">
        <v>2020</v>
      </c>
      <c r="C1243" s="1436" t="s">
        <v>78</v>
      </c>
      <c r="D1243" s="1363" t="s">
        <v>6929</v>
      </c>
      <c r="E1243" s="1350" t="s">
        <v>6972</v>
      </c>
      <c r="F1243" s="1437" t="s">
        <v>81</v>
      </c>
      <c r="G1243" s="1463" t="s">
        <v>6976</v>
      </c>
      <c r="H1243" s="1352">
        <v>1085.58</v>
      </c>
      <c r="I1243" s="1353">
        <v>43944</v>
      </c>
      <c r="J1243" s="1354">
        <v>15</v>
      </c>
      <c r="K1243" s="1353">
        <v>43959</v>
      </c>
      <c r="L1243" s="1353" t="s">
        <v>83</v>
      </c>
      <c r="M1243" s="1353">
        <v>43994</v>
      </c>
      <c r="N1243" s="1354">
        <f t="shared" si="164"/>
        <v>53</v>
      </c>
      <c r="O1243" s="1427">
        <v>44012</v>
      </c>
      <c r="P1243" s="1438">
        <v>44015</v>
      </c>
      <c r="Q1243" s="1355">
        <v>44035</v>
      </c>
      <c r="R1243" s="1354">
        <f t="shared" si="168"/>
        <v>91</v>
      </c>
      <c r="S1243" s="1437" t="s">
        <v>6985</v>
      </c>
      <c r="T1243" s="1370" t="s">
        <v>6987</v>
      </c>
      <c r="U1243" s="1358" t="str">
        <f t="shared" si="167"/>
        <v>atrasado</v>
      </c>
      <c r="V1243" s="1130" t="str">
        <f t="shared" si="165"/>
        <v>Junio</v>
      </c>
      <c r="W1243" s="1128">
        <f t="shared" si="166"/>
        <v>0</v>
      </c>
    </row>
    <row r="1244" spans="1:23" ht="54.95" customHeight="1" thickBot="1" x14ac:dyDescent="0.25">
      <c r="A1244" s="1117">
        <v>2020</v>
      </c>
      <c r="B1244" s="1117">
        <v>2020</v>
      </c>
      <c r="C1244" s="1436" t="s">
        <v>78</v>
      </c>
      <c r="D1244" s="1363" t="s">
        <v>6929</v>
      </c>
      <c r="E1244" s="1350" t="s">
        <v>6973</v>
      </c>
      <c r="F1244" s="1437" t="s">
        <v>81</v>
      </c>
      <c r="G1244" s="1463" t="s">
        <v>6975</v>
      </c>
      <c r="H1244" s="1352">
        <v>242161.09</v>
      </c>
      <c r="I1244" s="1353">
        <v>43944</v>
      </c>
      <c r="J1244" s="1354">
        <v>43</v>
      </c>
      <c r="K1244" s="1353">
        <v>43987</v>
      </c>
      <c r="L1244" s="1353" t="s">
        <v>83</v>
      </c>
      <c r="M1244" s="1353">
        <v>43994</v>
      </c>
      <c r="N1244" s="1354">
        <f t="shared" si="164"/>
        <v>25</v>
      </c>
      <c r="O1244" s="1427">
        <v>44012</v>
      </c>
      <c r="P1244" s="1438">
        <v>44015</v>
      </c>
      <c r="Q1244" s="1355">
        <v>44035</v>
      </c>
      <c r="R1244" s="1354">
        <f t="shared" si="168"/>
        <v>91</v>
      </c>
      <c r="S1244" s="1437" t="s">
        <v>6992</v>
      </c>
      <c r="T1244" s="1370" t="s">
        <v>6979</v>
      </c>
      <c r="U1244" s="1358" t="str">
        <f t="shared" si="167"/>
        <v>atrasado</v>
      </c>
      <c r="V1244" s="1130" t="str">
        <f t="shared" si="165"/>
        <v>Junio</v>
      </c>
      <c r="W1244" s="1128">
        <f t="shared" si="166"/>
        <v>0</v>
      </c>
    </row>
    <row r="1245" spans="1:23" ht="54.95" customHeight="1" thickBot="1" x14ac:dyDescent="0.25">
      <c r="A1245" s="1117">
        <v>2020</v>
      </c>
      <c r="B1245" s="1117">
        <v>2020</v>
      </c>
      <c r="C1245" s="1436" t="s">
        <v>78</v>
      </c>
      <c r="D1245" s="1363" t="s">
        <v>6929</v>
      </c>
      <c r="E1245" s="1350" t="s">
        <v>6973</v>
      </c>
      <c r="F1245" s="1437" t="s">
        <v>81</v>
      </c>
      <c r="G1245" s="1463" t="s">
        <v>6975</v>
      </c>
      <c r="H1245" s="1352">
        <v>11611.9</v>
      </c>
      <c r="I1245" s="1353">
        <v>43944</v>
      </c>
      <c r="J1245" s="1354">
        <v>43</v>
      </c>
      <c r="K1245" s="1353">
        <v>43987</v>
      </c>
      <c r="L1245" s="1353" t="s">
        <v>83</v>
      </c>
      <c r="M1245" s="1353">
        <v>44029</v>
      </c>
      <c r="N1245" s="1354">
        <f t="shared" ref="N1245:N1249" si="169">IF(O1245="","",+O1245-K1245)</f>
        <v>49</v>
      </c>
      <c r="O1245" s="1427">
        <v>44036</v>
      </c>
      <c r="P1245" s="1438">
        <v>44044</v>
      </c>
      <c r="Q1245" s="1355">
        <v>44065</v>
      </c>
      <c r="R1245" s="1354">
        <f t="shared" si="168"/>
        <v>121</v>
      </c>
      <c r="S1245" s="1437" t="s">
        <v>6993</v>
      </c>
      <c r="T1245" s="1370" t="s">
        <v>6994</v>
      </c>
      <c r="U1245" s="1358" t="str">
        <f t="shared" si="167"/>
        <v>atrasado</v>
      </c>
      <c r="V1245" s="1130" t="str">
        <f t="shared" si="165"/>
        <v>Julio</v>
      </c>
      <c r="W1245" s="1128">
        <f t="shared" si="166"/>
        <v>0</v>
      </c>
    </row>
    <row r="1246" spans="1:23" ht="54.95" customHeight="1" thickBot="1" x14ac:dyDescent="0.25">
      <c r="A1246" s="1117">
        <v>2020</v>
      </c>
      <c r="B1246" s="1117">
        <v>2020</v>
      </c>
      <c r="C1246" s="1436" t="s">
        <v>78</v>
      </c>
      <c r="D1246" s="1363" t="s">
        <v>6929</v>
      </c>
      <c r="E1246" s="1350" t="s">
        <v>6974</v>
      </c>
      <c r="F1246" s="1437" t="s">
        <v>81</v>
      </c>
      <c r="G1246" s="1463" t="s">
        <v>6977</v>
      </c>
      <c r="H1246" s="1352">
        <v>156705</v>
      </c>
      <c r="I1246" s="1353">
        <v>43944</v>
      </c>
      <c r="J1246" s="1354">
        <v>71</v>
      </c>
      <c r="K1246" s="1353">
        <v>44015</v>
      </c>
      <c r="L1246" s="1353" t="s">
        <v>83</v>
      </c>
      <c r="M1246" s="1353">
        <v>44029</v>
      </c>
      <c r="N1246" s="1354">
        <f t="shared" si="169"/>
        <v>21</v>
      </c>
      <c r="O1246" s="1427">
        <v>44036</v>
      </c>
      <c r="P1246" s="1438">
        <v>44044</v>
      </c>
      <c r="Q1246" s="1355">
        <v>44065</v>
      </c>
      <c r="R1246" s="1354">
        <f t="shared" si="168"/>
        <v>121</v>
      </c>
      <c r="S1246" s="1437" t="s">
        <v>6864</v>
      </c>
      <c r="T1246" s="1370" t="s">
        <v>6980</v>
      </c>
      <c r="U1246" s="1358" t="str">
        <f t="shared" si="167"/>
        <v>atrasado</v>
      </c>
      <c r="V1246" s="1130" t="str">
        <f t="shared" si="165"/>
        <v>Julio</v>
      </c>
      <c r="W1246" s="1128">
        <f t="shared" si="166"/>
        <v>0</v>
      </c>
    </row>
    <row r="1247" spans="1:23" ht="54.95" customHeight="1" thickBot="1" x14ac:dyDescent="0.25">
      <c r="A1247" s="1117">
        <v>2020</v>
      </c>
      <c r="B1247" s="1117">
        <v>2020</v>
      </c>
      <c r="C1247" s="1436" t="s">
        <v>78</v>
      </c>
      <c r="D1247" s="1363" t="s">
        <v>6929</v>
      </c>
      <c r="E1247" s="1350" t="s">
        <v>6996</v>
      </c>
      <c r="F1247" s="1437" t="s">
        <v>81</v>
      </c>
      <c r="G1247" s="1463" t="s">
        <v>6995</v>
      </c>
      <c r="H1247" s="1352">
        <v>54862.9</v>
      </c>
      <c r="I1247" s="1353">
        <v>43984</v>
      </c>
      <c r="J1247" s="1354">
        <v>11</v>
      </c>
      <c r="K1247" s="1353">
        <v>43995</v>
      </c>
      <c r="L1247" s="1353" t="s">
        <v>83</v>
      </c>
      <c r="M1247" s="1353">
        <v>43994</v>
      </c>
      <c r="N1247" s="1354">
        <f t="shared" si="169"/>
        <v>17</v>
      </c>
      <c r="O1247" s="1427">
        <v>44012</v>
      </c>
      <c r="P1247" s="1438">
        <v>44015</v>
      </c>
      <c r="Q1247" s="1355">
        <v>44035</v>
      </c>
      <c r="R1247" s="1354">
        <f t="shared" si="168"/>
        <v>51</v>
      </c>
      <c r="S1247" s="1437" t="s">
        <v>6864</v>
      </c>
      <c r="T1247" s="1370" t="s">
        <v>6997</v>
      </c>
      <c r="U1247" s="1358" t="str">
        <f t="shared" si="167"/>
        <v>atrasado</v>
      </c>
      <c r="V1247" s="1130" t="str">
        <f t="shared" si="165"/>
        <v>Junio</v>
      </c>
      <c r="W1247" s="1128">
        <f t="shared" si="166"/>
        <v>0</v>
      </c>
    </row>
    <row r="1248" spans="1:23" ht="54.95" customHeight="1" thickBot="1" x14ac:dyDescent="0.25">
      <c r="A1248" s="1117">
        <v>2020</v>
      </c>
      <c r="B1248" s="1117">
        <v>2020</v>
      </c>
      <c r="C1248" s="1436" t="s">
        <v>78</v>
      </c>
      <c r="D1248" s="1363" t="s">
        <v>6929</v>
      </c>
      <c r="E1248" s="1350" t="s">
        <v>7004</v>
      </c>
      <c r="F1248" s="1437" t="s">
        <v>81</v>
      </c>
      <c r="G1248" s="1463" t="s">
        <v>7002</v>
      </c>
      <c r="H1248" s="1352">
        <v>1379.8</v>
      </c>
      <c r="I1248" s="1353">
        <v>43992</v>
      </c>
      <c r="J1248" s="1354">
        <v>23</v>
      </c>
      <c r="K1248" s="1353">
        <v>44015</v>
      </c>
      <c r="L1248" s="1353" t="s">
        <v>83</v>
      </c>
      <c r="M1248" s="1353">
        <v>44029</v>
      </c>
      <c r="N1248" s="1354">
        <f t="shared" si="169"/>
        <v>21</v>
      </c>
      <c r="O1248" s="1427">
        <v>44036</v>
      </c>
      <c r="P1248" s="1438">
        <v>44044</v>
      </c>
      <c r="Q1248" s="1355">
        <v>44065</v>
      </c>
      <c r="R1248" s="1354">
        <f t="shared" si="168"/>
        <v>73</v>
      </c>
      <c r="S1248" s="1437" t="s">
        <v>6864</v>
      </c>
      <c r="T1248" s="1370" t="s">
        <v>7003</v>
      </c>
      <c r="U1248" s="1358" t="str">
        <f t="shared" si="167"/>
        <v>atrasado</v>
      </c>
      <c r="V1248" s="1130" t="str">
        <f t="shared" si="165"/>
        <v>Julio</v>
      </c>
      <c r="W1248" s="1128">
        <f t="shared" si="166"/>
        <v>0</v>
      </c>
    </row>
    <row r="1249" spans="1:33" ht="54.95" customHeight="1" thickBot="1" x14ac:dyDescent="0.25">
      <c r="A1249" s="1117">
        <v>2020</v>
      </c>
      <c r="B1249" s="1117">
        <v>2020</v>
      </c>
      <c r="C1249" s="1436" t="s">
        <v>78</v>
      </c>
      <c r="D1249" s="1363" t="s">
        <v>6929</v>
      </c>
      <c r="E1249" s="1350" t="s">
        <v>7005</v>
      </c>
      <c r="F1249" s="1437" t="s">
        <v>81</v>
      </c>
      <c r="G1249" s="1463" t="s">
        <v>7006</v>
      </c>
      <c r="H1249" s="1352">
        <v>604</v>
      </c>
      <c r="I1249" s="1353">
        <v>43992</v>
      </c>
      <c r="J1249" s="1354">
        <v>23</v>
      </c>
      <c r="K1249" s="1353">
        <v>44015</v>
      </c>
      <c r="L1249" s="1353" t="s">
        <v>83</v>
      </c>
      <c r="M1249" s="1353">
        <v>44029</v>
      </c>
      <c r="N1249" s="1354">
        <f t="shared" si="169"/>
        <v>21</v>
      </c>
      <c r="O1249" s="1427">
        <v>44036</v>
      </c>
      <c r="P1249" s="1438">
        <v>44044</v>
      </c>
      <c r="Q1249" s="1355">
        <v>44065</v>
      </c>
      <c r="R1249" s="1354">
        <f t="shared" si="168"/>
        <v>73</v>
      </c>
      <c r="S1249" s="1437" t="s">
        <v>6864</v>
      </c>
      <c r="T1249" s="1370" t="s">
        <v>7007</v>
      </c>
      <c r="U1249" s="1358" t="str">
        <f t="shared" si="167"/>
        <v>atrasado</v>
      </c>
      <c r="V1249" s="1130" t="str">
        <f t="shared" si="165"/>
        <v>Julio</v>
      </c>
      <c r="W1249" s="1128">
        <f t="shared" si="166"/>
        <v>0</v>
      </c>
    </row>
    <row r="1250" spans="1:33" ht="54.95" customHeight="1" thickBot="1" x14ac:dyDescent="0.25">
      <c r="A1250" s="1117">
        <v>2020</v>
      </c>
      <c r="B1250" s="1117">
        <v>2020</v>
      </c>
      <c r="C1250" s="1436" t="s">
        <v>78</v>
      </c>
      <c r="D1250" s="1363" t="s">
        <v>6929</v>
      </c>
      <c r="E1250" s="1350" t="s">
        <v>7058</v>
      </c>
      <c r="F1250" s="1437" t="s">
        <v>81</v>
      </c>
      <c r="G1250" s="1463" t="s">
        <v>7055</v>
      </c>
      <c r="H1250" s="1352">
        <v>14655.71</v>
      </c>
      <c r="I1250" s="1353">
        <v>44041</v>
      </c>
      <c r="J1250" s="1354">
        <f t="shared" ref="J1250:J1259" si="170">+K1250-I1250</f>
        <v>65</v>
      </c>
      <c r="K1250" s="1353">
        <v>44106</v>
      </c>
      <c r="L1250" s="1353" t="s">
        <v>83</v>
      </c>
      <c r="M1250" s="1353">
        <v>44127</v>
      </c>
      <c r="N1250" s="1354">
        <f t="shared" ref="N1250:N1257" si="171">IF(P1250="","",+P1250-K1250)</f>
        <v>40</v>
      </c>
      <c r="O1250" s="1427">
        <v>44130</v>
      </c>
      <c r="P1250" s="1438">
        <v>44146</v>
      </c>
      <c r="Q1250" s="1355">
        <v>44162</v>
      </c>
      <c r="R1250" s="1354">
        <f t="shared" si="168"/>
        <v>121</v>
      </c>
      <c r="S1250" s="1437" t="s">
        <v>6864</v>
      </c>
      <c r="T1250" s="1370" t="s">
        <v>7155</v>
      </c>
      <c r="U1250" s="1358" t="str">
        <f t="shared" si="167"/>
        <v>atrasado</v>
      </c>
      <c r="V1250" s="1130" t="str">
        <f t="shared" si="165"/>
        <v>Octubre</v>
      </c>
      <c r="W1250" s="1128">
        <f t="shared" si="166"/>
        <v>0</v>
      </c>
    </row>
    <row r="1251" spans="1:33" ht="54.95" customHeight="1" thickBot="1" x14ac:dyDescent="0.25">
      <c r="A1251" s="1117">
        <v>2020</v>
      </c>
      <c r="B1251" s="1117">
        <v>2020</v>
      </c>
      <c r="C1251" s="1436" t="s">
        <v>78</v>
      </c>
      <c r="D1251" s="1363" t="s">
        <v>6929</v>
      </c>
      <c r="E1251" s="1350" t="s">
        <v>7059</v>
      </c>
      <c r="F1251" s="1437" t="s">
        <v>81</v>
      </c>
      <c r="G1251" s="1463" t="s">
        <v>7056</v>
      </c>
      <c r="H1251" s="1352">
        <v>63280.24</v>
      </c>
      <c r="I1251" s="1353">
        <v>44041</v>
      </c>
      <c r="J1251" s="1354">
        <f t="shared" si="170"/>
        <v>65</v>
      </c>
      <c r="K1251" s="1353">
        <v>44106</v>
      </c>
      <c r="L1251" s="1353" t="s">
        <v>83</v>
      </c>
      <c r="M1251" s="1353">
        <v>44127</v>
      </c>
      <c r="N1251" s="1354">
        <f t="shared" si="171"/>
        <v>40</v>
      </c>
      <c r="O1251" s="1427">
        <v>44130</v>
      </c>
      <c r="P1251" s="1438">
        <v>44146</v>
      </c>
      <c r="Q1251" s="1355">
        <v>44162</v>
      </c>
      <c r="R1251" s="1354">
        <f t="shared" si="168"/>
        <v>121</v>
      </c>
      <c r="S1251" s="1437" t="s">
        <v>6864</v>
      </c>
      <c r="T1251" s="1370" t="s">
        <v>7154</v>
      </c>
      <c r="U1251" s="1358" t="str">
        <f t="shared" si="167"/>
        <v>atrasado</v>
      </c>
      <c r="V1251" s="1130" t="str">
        <f t="shared" si="165"/>
        <v>Octubre</v>
      </c>
      <c r="W1251" s="1128">
        <f t="shared" si="166"/>
        <v>0</v>
      </c>
    </row>
    <row r="1252" spans="1:33" ht="54.95" customHeight="1" thickBot="1" x14ac:dyDescent="0.25">
      <c r="A1252" s="1117">
        <v>2020</v>
      </c>
      <c r="B1252" s="1117">
        <v>2020</v>
      </c>
      <c r="C1252" s="1436" t="s">
        <v>78</v>
      </c>
      <c r="D1252" s="1363" t="s">
        <v>6929</v>
      </c>
      <c r="E1252" s="1350" t="s">
        <v>7060</v>
      </c>
      <c r="F1252" s="1437" t="s">
        <v>6538</v>
      </c>
      <c r="G1252" s="1463" t="s">
        <v>7057</v>
      </c>
      <c r="H1252" s="1352">
        <v>1409.05</v>
      </c>
      <c r="I1252" s="1353">
        <v>44041</v>
      </c>
      <c r="J1252" s="1354">
        <f t="shared" si="170"/>
        <v>65</v>
      </c>
      <c r="K1252" s="1353">
        <v>44106</v>
      </c>
      <c r="L1252" s="1353" t="s">
        <v>83</v>
      </c>
      <c r="M1252" s="1353">
        <v>44127</v>
      </c>
      <c r="N1252" s="1354">
        <f t="shared" si="171"/>
        <v>40</v>
      </c>
      <c r="O1252" s="1427">
        <v>44130</v>
      </c>
      <c r="P1252" s="1438">
        <v>44146</v>
      </c>
      <c r="Q1252" s="1355">
        <v>44162</v>
      </c>
      <c r="R1252" s="1354">
        <f t="shared" si="168"/>
        <v>121</v>
      </c>
      <c r="S1252" s="1437" t="s">
        <v>6864</v>
      </c>
      <c r="T1252" s="1370" t="s">
        <v>7153</v>
      </c>
      <c r="U1252" s="1358" t="str">
        <f t="shared" si="167"/>
        <v>atrasado</v>
      </c>
      <c r="V1252" s="1130" t="str">
        <f t="shared" si="165"/>
        <v>Octubre</v>
      </c>
      <c r="W1252" s="1128">
        <f t="shared" si="166"/>
        <v>0</v>
      </c>
    </row>
    <row r="1253" spans="1:33" ht="54.95" customHeight="1" thickBot="1" x14ac:dyDescent="0.25">
      <c r="A1253" s="1117">
        <v>2020</v>
      </c>
      <c r="B1253" s="1117">
        <v>2020</v>
      </c>
      <c r="C1253" s="1436" t="s">
        <v>78</v>
      </c>
      <c r="D1253" s="1363" t="s">
        <v>6929</v>
      </c>
      <c r="E1253" s="1350" t="s">
        <v>7104</v>
      </c>
      <c r="F1253" s="1437" t="s">
        <v>81</v>
      </c>
      <c r="G1253" s="1463" t="s">
        <v>7107</v>
      </c>
      <c r="H1253" s="1352">
        <v>4498.76</v>
      </c>
      <c r="I1253" s="1353">
        <v>44041</v>
      </c>
      <c r="J1253" s="1354">
        <f t="shared" si="170"/>
        <v>65</v>
      </c>
      <c r="K1253" s="1353">
        <v>44106</v>
      </c>
      <c r="L1253" s="1353" t="s">
        <v>83</v>
      </c>
      <c r="M1253" s="1353">
        <v>44127</v>
      </c>
      <c r="N1253" s="1354">
        <f t="shared" si="171"/>
        <v>40</v>
      </c>
      <c r="O1253" s="1427">
        <v>44130</v>
      </c>
      <c r="P1253" s="1438">
        <v>44146</v>
      </c>
      <c r="Q1253" s="1355">
        <v>44162</v>
      </c>
      <c r="R1253" s="1354">
        <f t="shared" si="168"/>
        <v>121</v>
      </c>
      <c r="S1253" s="1437" t="s">
        <v>6864</v>
      </c>
      <c r="T1253" s="1370" t="s">
        <v>7152</v>
      </c>
      <c r="U1253" s="1358" t="str">
        <f t="shared" si="167"/>
        <v>atrasado</v>
      </c>
      <c r="V1253" s="1130" t="str">
        <f t="shared" si="165"/>
        <v>Octubre</v>
      </c>
      <c r="W1253" s="1128">
        <f t="shared" si="166"/>
        <v>0</v>
      </c>
    </row>
    <row r="1254" spans="1:33" ht="54.95" customHeight="1" thickBot="1" x14ac:dyDescent="0.25">
      <c r="A1254" s="1117">
        <v>2020</v>
      </c>
      <c r="B1254" s="1117">
        <v>2020</v>
      </c>
      <c r="C1254" s="1436" t="s">
        <v>78</v>
      </c>
      <c r="D1254" s="1363" t="s">
        <v>6929</v>
      </c>
      <c r="E1254" s="1350" t="s">
        <v>7105</v>
      </c>
      <c r="F1254" s="1437" t="s">
        <v>81</v>
      </c>
      <c r="G1254" s="1463" t="s">
        <v>7129</v>
      </c>
      <c r="H1254" s="1352">
        <v>10291.68</v>
      </c>
      <c r="I1254" s="1353">
        <v>44102</v>
      </c>
      <c r="J1254" s="1354">
        <f t="shared" si="170"/>
        <v>25</v>
      </c>
      <c r="K1254" s="1353">
        <v>44127</v>
      </c>
      <c r="L1254" s="1353" t="s">
        <v>83</v>
      </c>
      <c r="M1254" s="1353">
        <v>44127</v>
      </c>
      <c r="N1254" s="1354">
        <f t="shared" si="171"/>
        <v>19</v>
      </c>
      <c r="O1254" s="1427">
        <v>44130</v>
      </c>
      <c r="P1254" s="1438">
        <v>44146</v>
      </c>
      <c r="Q1254" s="1355">
        <v>44162</v>
      </c>
      <c r="R1254" s="1354">
        <f t="shared" si="168"/>
        <v>60</v>
      </c>
      <c r="S1254" s="1437" t="s">
        <v>6864</v>
      </c>
      <c r="T1254" s="1370" t="s">
        <v>7151</v>
      </c>
      <c r="U1254" s="1358" t="str">
        <f t="shared" si="167"/>
        <v>atrasado</v>
      </c>
      <c r="V1254" s="1130" t="str">
        <f t="shared" si="165"/>
        <v>Octubre</v>
      </c>
      <c r="W1254" s="1128">
        <f t="shared" si="166"/>
        <v>0</v>
      </c>
    </row>
    <row r="1255" spans="1:33" ht="54.95" customHeight="1" thickBot="1" x14ac:dyDescent="0.25">
      <c r="A1255" s="1117">
        <v>2020</v>
      </c>
      <c r="B1255" s="1117">
        <v>2020</v>
      </c>
      <c r="C1255" s="1436" t="s">
        <v>78</v>
      </c>
      <c r="D1255" s="1363" t="s">
        <v>6929</v>
      </c>
      <c r="E1255" s="1350" t="s">
        <v>7130</v>
      </c>
      <c r="F1255" s="1437" t="s">
        <v>81</v>
      </c>
      <c r="G1255" s="1463" t="s">
        <v>7132</v>
      </c>
      <c r="H1255" s="1352">
        <v>27330.400000000001</v>
      </c>
      <c r="I1255" s="1353">
        <v>44124</v>
      </c>
      <c r="J1255" s="1354">
        <f t="shared" si="170"/>
        <v>34</v>
      </c>
      <c r="K1255" s="1353">
        <v>44158</v>
      </c>
      <c r="L1255" s="1353" t="s">
        <v>83</v>
      </c>
      <c r="M1255" s="1353">
        <v>44162</v>
      </c>
      <c r="N1255" s="1354">
        <f t="shared" si="171"/>
        <v>19</v>
      </c>
      <c r="O1255" s="1427">
        <v>44169</v>
      </c>
      <c r="P1255" s="1438">
        <v>44177</v>
      </c>
      <c r="Q1255" s="1355">
        <f>+P1255+30</f>
        <v>44207</v>
      </c>
      <c r="R1255" s="1354">
        <f t="shared" si="168"/>
        <v>83</v>
      </c>
      <c r="S1255" s="1437" t="s">
        <v>6864</v>
      </c>
      <c r="T1255" s="1370" t="s">
        <v>7135</v>
      </c>
      <c r="U1255" s="1358" t="str">
        <f t="shared" si="167"/>
        <v>atrasado</v>
      </c>
      <c r="V1255" s="1130" t="str">
        <f t="shared" si="165"/>
        <v>Noviembre</v>
      </c>
      <c r="W1255" s="1128">
        <f t="shared" si="166"/>
        <v>0</v>
      </c>
    </row>
    <row r="1256" spans="1:33" ht="54.95" customHeight="1" thickBot="1" x14ac:dyDescent="0.25">
      <c r="A1256" s="1117">
        <v>2020</v>
      </c>
      <c r="B1256" s="1117">
        <v>2020</v>
      </c>
      <c r="C1256" s="1436" t="s">
        <v>78</v>
      </c>
      <c r="D1256" s="1363" t="s">
        <v>6929</v>
      </c>
      <c r="E1256" s="1350" t="s">
        <v>7131</v>
      </c>
      <c r="F1256" s="1437" t="s">
        <v>81</v>
      </c>
      <c r="G1256" s="1463" t="s">
        <v>7133</v>
      </c>
      <c r="H1256" s="1352">
        <v>1075.56</v>
      </c>
      <c r="I1256" s="1353">
        <v>44124</v>
      </c>
      <c r="J1256" s="1354">
        <f t="shared" si="170"/>
        <v>34</v>
      </c>
      <c r="K1256" s="1353">
        <v>44158</v>
      </c>
      <c r="L1256" s="1353" t="s">
        <v>83</v>
      </c>
      <c r="M1256" s="1353">
        <v>44162</v>
      </c>
      <c r="N1256" s="1354">
        <f t="shared" si="171"/>
        <v>19</v>
      </c>
      <c r="O1256" s="1427">
        <v>44169</v>
      </c>
      <c r="P1256" s="1438">
        <v>44177</v>
      </c>
      <c r="Q1256" s="1355">
        <f>+P1256+30</f>
        <v>44207</v>
      </c>
      <c r="R1256" s="1354">
        <f t="shared" si="168"/>
        <v>83</v>
      </c>
      <c r="S1256" s="1437" t="s">
        <v>6864</v>
      </c>
      <c r="T1256" s="1370" t="s">
        <v>7136</v>
      </c>
      <c r="U1256" s="1358" t="str">
        <f t="shared" si="167"/>
        <v>atrasado</v>
      </c>
      <c r="V1256" s="1130" t="str">
        <f t="shared" si="165"/>
        <v>Noviembre</v>
      </c>
      <c r="W1256" s="1128">
        <f t="shared" si="166"/>
        <v>0</v>
      </c>
    </row>
    <row r="1257" spans="1:33" ht="54.95" customHeight="1" thickBot="1" x14ac:dyDescent="0.25">
      <c r="A1257" s="1117">
        <v>2020</v>
      </c>
      <c r="B1257" s="1117">
        <v>2020</v>
      </c>
      <c r="C1257" s="1436" t="s">
        <v>78</v>
      </c>
      <c r="D1257" s="1363" t="s">
        <v>6929</v>
      </c>
      <c r="E1257" s="1350" t="s">
        <v>7059</v>
      </c>
      <c r="F1257" s="1437" t="s">
        <v>81</v>
      </c>
      <c r="G1257" s="1463" t="s">
        <v>7056</v>
      </c>
      <c r="H1257" s="1352">
        <v>1825.4</v>
      </c>
      <c r="I1257" s="1353">
        <v>44041</v>
      </c>
      <c r="J1257" s="1354">
        <f t="shared" si="170"/>
        <v>65</v>
      </c>
      <c r="K1257" s="1353">
        <v>44106</v>
      </c>
      <c r="L1257" s="1353" t="s">
        <v>83</v>
      </c>
      <c r="M1257" s="1353">
        <v>44148</v>
      </c>
      <c r="N1257" s="1354">
        <f t="shared" si="171"/>
        <v>54</v>
      </c>
      <c r="O1257" s="1427">
        <v>44155</v>
      </c>
      <c r="P1257" s="1438">
        <v>44160</v>
      </c>
      <c r="Q1257" s="1355">
        <v>44161</v>
      </c>
      <c r="R1257" s="1354">
        <f t="shared" si="168"/>
        <v>120</v>
      </c>
      <c r="S1257" s="1437" t="s">
        <v>6864</v>
      </c>
      <c r="T1257" s="1370" t="s">
        <v>7134</v>
      </c>
      <c r="U1257" s="1358" t="str">
        <f t="shared" si="167"/>
        <v>atrasado</v>
      </c>
      <c r="V1257" s="1130" t="str">
        <f t="shared" si="165"/>
        <v>Noviembre</v>
      </c>
      <c r="W1257" s="1128">
        <f t="shared" si="166"/>
        <v>0</v>
      </c>
    </row>
    <row r="1258" spans="1:33" ht="54.95" customHeight="1" thickBot="1" x14ac:dyDescent="0.25">
      <c r="A1258" s="1117">
        <v>2020</v>
      </c>
      <c r="B1258" s="1117">
        <v>2020</v>
      </c>
      <c r="C1258" s="1436" t="s">
        <v>5433</v>
      </c>
      <c r="D1258" s="1363" t="s">
        <v>5434</v>
      </c>
      <c r="E1258" s="1350" t="s">
        <v>6895</v>
      </c>
      <c r="F1258" s="1437"/>
      <c r="G1258" s="1463">
        <v>4200000156</v>
      </c>
      <c r="H1258" s="1352">
        <v>23270</v>
      </c>
      <c r="I1258" s="1353">
        <v>43817</v>
      </c>
      <c r="J1258" s="1354">
        <f t="shared" si="170"/>
        <v>72</v>
      </c>
      <c r="K1258" s="1353">
        <v>43889</v>
      </c>
      <c r="L1258" s="1353" t="s">
        <v>124</v>
      </c>
      <c r="M1258" s="1353">
        <v>43889</v>
      </c>
      <c r="N1258" s="1354">
        <f>IF(O1258="","",+O1258-K1258)</f>
        <v>5</v>
      </c>
      <c r="O1258" s="1427">
        <v>43894</v>
      </c>
      <c r="P1258" s="1438">
        <v>43896</v>
      </c>
      <c r="Q1258" s="1355">
        <v>43906</v>
      </c>
      <c r="R1258" s="1354">
        <f t="shared" si="168"/>
        <v>89</v>
      </c>
      <c r="S1258" s="1437" t="s">
        <v>2618</v>
      </c>
      <c r="T1258" s="1370" t="s">
        <v>6896</v>
      </c>
      <c r="U1258" s="1358" t="str">
        <f t="shared" si="167"/>
        <v>atrasado</v>
      </c>
      <c r="V1258" s="1130" t="str">
        <f t="shared" si="165"/>
        <v>Febrero</v>
      </c>
      <c r="W1258" s="1128">
        <f t="shared" si="166"/>
        <v>0</v>
      </c>
    </row>
    <row r="1259" spans="1:33" ht="54.95" customHeight="1" thickBot="1" x14ac:dyDescent="0.25">
      <c r="A1259" s="1117">
        <v>2020</v>
      </c>
      <c r="B1259" s="1117">
        <v>2020</v>
      </c>
      <c r="C1259" s="1436" t="s">
        <v>5433</v>
      </c>
      <c r="D1259" s="1363" t="s">
        <v>5456</v>
      </c>
      <c r="E1259" s="1350" t="s">
        <v>6805</v>
      </c>
      <c r="F1259" s="1437"/>
      <c r="G1259" s="1463">
        <v>4500280173</v>
      </c>
      <c r="H1259" s="1352">
        <v>355</v>
      </c>
      <c r="I1259" s="1353">
        <v>43737</v>
      </c>
      <c r="J1259" s="1354">
        <f t="shared" si="170"/>
        <v>80</v>
      </c>
      <c r="K1259" s="1353">
        <v>43817</v>
      </c>
      <c r="L1259" s="1353" t="s">
        <v>124</v>
      </c>
      <c r="M1259" s="1353">
        <v>43798</v>
      </c>
      <c r="N1259" s="1354">
        <f>IF(P1259="","",+P1259-K1259)</f>
        <v>-14</v>
      </c>
      <c r="O1259" s="1427">
        <v>43803</v>
      </c>
      <c r="P1259" s="1438">
        <v>43803</v>
      </c>
      <c r="Q1259" s="1355">
        <f>+P1259+5</f>
        <v>43808</v>
      </c>
      <c r="R1259" s="1354">
        <f t="shared" si="168"/>
        <v>71</v>
      </c>
      <c r="S1259" s="1437" t="s">
        <v>2618</v>
      </c>
      <c r="T1259" s="1370" t="s">
        <v>6836</v>
      </c>
      <c r="U1259" s="1358" t="str">
        <f t="shared" si="167"/>
        <v>en término</v>
      </c>
      <c r="V1259" s="1130" t="str">
        <f t="shared" si="165"/>
        <v>Noviembre</v>
      </c>
      <c r="W1259" s="1128">
        <f t="shared" si="166"/>
        <v>1</v>
      </c>
    </row>
    <row r="1260" spans="1:33" ht="54.95" customHeight="1" thickBot="1" x14ac:dyDescent="0.25">
      <c r="A1260" s="1117">
        <v>2020</v>
      </c>
      <c r="B1260" s="1117">
        <v>2020</v>
      </c>
      <c r="C1260" s="1436" t="s">
        <v>5697</v>
      </c>
      <c r="D1260" s="1363" t="s">
        <v>5698</v>
      </c>
      <c r="E1260" s="1350" t="s">
        <v>7111</v>
      </c>
      <c r="F1260" s="1437"/>
      <c r="G1260" s="1463" t="s">
        <v>7109</v>
      </c>
      <c r="H1260" s="1352">
        <v>2175</v>
      </c>
      <c r="I1260" s="1353">
        <v>44110</v>
      </c>
      <c r="J1260" s="1354">
        <v>60</v>
      </c>
      <c r="K1260" s="1353">
        <f>+I1260+J1260</f>
        <v>44170</v>
      </c>
      <c r="L1260" s="1353" t="s">
        <v>124</v>
      </c>
      <c r="M1260" s="1353">
        <v>44183</v>
      </c>
      <c r="N1260" s="1354">
        <f>IF(P1260="","",+P1260-K1260)</f>
        <v>18</v>
      </c>
      <c r="O1260" s="1427"/>
      <c r="P1260" s="1438">
        <v>44188</v>
      </c>
      <c r="Q1260" s="1355">
        <v>44192</v>
      </c>
      <c r="R1260" s="1354">
        <f t="shared" si="168"/>
        <v>82</v>
      </c>
      <c r="S1260" s="1437" t="s">
        <v>7141</v>
      </c>
      <c r="T1260" s="1370" t="s">
        <v>7110</v>
      </c>
      <c r="U1260" s="1358" t="str">
        <f t="shared" si="167"/>
        <v>atrasado</v>
      </c>
      <c r="V1260" s="1130" t="str">
        <f t="shared" si="165"/>
        <v>Diciembre</v>
      </c>
      <c r="W1260" s="1128">
        <f t="shared" si="166"/>
        <v>0</v>
      </c>
      <c r="AE1260" s="1110" t="str">
        <f>IF(N1260="","",IF(N1260&lt;=0,"en término","atrasado"))</f>
        <v>atrasado</v>
      </c>
      <c r="AF1260" s="1110" t="s">
        <v>6909</v>
      </c>
      <c r="AG1260" s="1110" t="s">
        <v>3082</v>
      </c>
    </row>
    <row r="1261" spans="1:33" ht="54.95" customHeight="1" thickBot="1" x14ac:dyDescent="0.25">
      <c r="A1261" s="1143">
        <v>2020</v>
      </c>
      <c r="B1261" s="1143">
        <v>2020</v>
      </c>
      <c r="C1261" s="1449" t="s">
        <v>7112</v>
      </c>
      <c r="D1261" s="1393" t="s">
        <v>6138</v>
      </c>
      <c r="E1261" s="1450" t="s">
        <v>7113</v>
      </c>
      <c r="F1261" s="1464"/>
      <c r="G1261" s="1465" t="s">
        <v>7140</v>
      </c>
      <c r="H1261" s="1453">
        <v>48345</v>
      </c>
      <c r="I1261" s="1454">
        <v>44492</v>
      </c>
      <c r="J1261" s="1455">
        <v>90</v>
      </c>
      <c r="K1261" s="1454">
        <f>+I1261+J1261</f>
        <v>44582</v>
      </c>
      <c r="L1261" s="1454" t="s">
        <v>124</v>
      </c>
      <c r="M1261" s="1454">
        <v>44218</v>
      </c>
      <c r="N1261" s="1455">
        <f>IF(P1261="","",+P1261-K1261)</f>
        <v>-262</v>
      </c>
      <c r="O1261" s="1456">
        <v>44284</v>
      </c>
      <c r="P1261" s="1466">
        <v>44320</v>
      </c>
      <c r="Q1261" s="1457">
        <v>44319</v>
      </c>
      <c r="R1261" s="1455">
        <f t="shared" si="168"/>
        <v>-173</v>
      </c>
      <c r="S1261" s="1464" t="s">
        <v>7142</v>
      </c>
      <c r="T1261" s="1467" t="s">
        <v>7286</v>
      </c>
      <c r="U1261" s="1459" t="str">
        <f t="shared" si="167"/>
        <v>en término</v>
      </c>
      <c r="V1261" s="1290" t="str">
        <f t="shared" si="165"/>
        <v>Enero</v>
      </c>
      <c r="W1261" s="1323">
        <f t="shared" si="166"/>
        <v>1</v>
      </c>
      <c r="AE1261" s="1110" t="str">
        <f>IF(N1261="","",IF(N1261&lt;=0,"en término","atrasado"))</f>
        <v>en término</v>
      </c>
      <c r="AF1261" s="1110" t="s">
        <v>6909</v>
      </c>
      <c r="AG1261" s="1110" t="s">
        <v>3082</v>
      </c>
    </row>
    <row r="1262" spans="1:33" ht="54.95" customHeight="1" thickTop="1" thickBot="1" x14ac:dyDescent="0.25">
      <c r="A1262" s="1117">
        <v>2021</v>
      </c>
      <c r="B1262" s="1117">
        <v>2021</v>
      </c>
      <c r="C1262" s="1436" t="s">
        <v>36</v>
      </c>
      <c r="D1262" s="1363" t="s">
        <v>37</v>
      </c>
      <c r="E1262" s="1350" t="s">
        <v>6441</v>
      </c>
      <c r="F1262" s="1437">
        <v>4600557062</v>
      </c>
      <c r="G1262" s="1463" t="s">
        <v>7146</v>
      </c>
      <c r="H1262" s="1352">
        <v>64089.66</v>
      </c>
      <c r="I1262" s="1353">
        <v>44139</v>
      </c>
      <c r="J1262" s="1354">
        <f t="shared" ref="J1262:J1325" si="172">+K1262-I1262</f>
        <v>91</v>
      </c>
      <c r="K1262" s="1353">
        <v>44230</v>
      </c>
      <c r="L1262" s="1353" t="s">
        <v>41</v>
      </c>
      <c r="M1262" s="1353">
        <v>44211</v>
      </c>
      <c r="N1262" s="1354">
        <f t="shared" ref="N1262:N1293" si="173">IF(O1262="","",+O1262-K1262)</f>
        <v>-11</v>
      </c>
      <c r="O1262" s="1427">
        <v>44219</v>
      </c>
      <c r="P1262" s="1438">
        <v>44221</v>
      </c>
      <c r="Q1262" s="1355">
        <v>44238</v>
      </c>
      <c r="R1262" s="1354">
        <f t="shared" si="168"/>
        <v>99</v>
      </c>
      <c r="S1262" s="1437" t="s">
        <v>2914</v>
      </c>
      <c r="T1262" s="1370" t="s">
        <v>7212</v>
      </c>
      <c r="U1262" s="1358" t="str">
        <f t="shared" si="167"/>
        <v>en término</v>
      </c>
      <c r="V1262" s="1300" t="str">
        <f t="shared" si="165"/>
        <v>Enero</v>
      </c>
      <c r="W1262" s="1169">
        <f t="shared" ref="W1262:W1325" si="174">+IF(U1262="atrasado",0)+IF(U1262="en término",1)</f>
        <v>1</v>
      </c>
    </row>
    <row r="1263" spans="1:33" ht="54.95" customHeight="1" thickBot="1" x14ac:dyDescent="0.25">
      <c r="A1263" s="1117">
        <v>2021</v>
      </c>
      <c r="B1263" s="1117">
        <v>2021</v>
      </c>
      <c r="C1263" s="1436" t="s">
        <v>36</v>
      </c>
      <c r="D1263" s="1363" t="s">
        <v>37</v>
      </c>
      <c r="E1263" s="1350" t="s">
        <v>6441</v>
      </c>
      <c r="F1263" s="1437">
        <v>4600557062</v>
      </c>
      <c r="G1263" s="1463" t="s">
        <v>7147</v>
      </c>
      <c r="H1263" s="1352">
        <v>1777.88</v>
      </c>
      <c r="I1263" s="1353">
        <v>44141</v>
      </c>
      <c r="J1263" s="1354">
        <f t="shared" si="172"/>
        <v>90</v>
      </c>
      <c r="K1263" s="1353">
        <v>44231</v>
      </c>
      <c r="L1263" s="1353" t="s">
        <v>41</v>
      </c>
      <c r="M1263" s="1353">
        <v>44211</v>
      </c>
      <c r="N1263" s="1354">
        <f t="shared" si="173"/>
        <v>-12</v>
      </c>
      <c r="O1263" s="1427">
        <v>44219</v>
      </c>
      <c r="P1263" s="1438">
        <v>44221</v>
      </c>
      <c r="Q1263" s="1355">
        <v>44238</v>
      </c>
      <c r="R1263" s="1354">
        <f t="shared" si="168"/>
        <v>97</v>
      </c>
      <c r="S1263" s="1437" t="s">
        <v>1020</v>
      </c>
      <c r="T1263" s="1370" t="s">
        <v>7222</v>
      </c>
      <c r="U1263" s="1358" t="str">
        <f t="shared" si="167"/>
        <v>en término</v>
      </c>
      <c r="V1263" s="1130" t="str">
        <f t="shared" ref="V1263:V1264" si="175">VLOOKUP(MONTH(M1263),$Y$66:$Z$77,2,FALSE)</f>
        <v>Enero</v>
      </c>
      <c r="W1263" s="1128">
        <f t="shared" si="174"/>
        <v>1</v>
      </c>
    </row>
    <row r="1264" spans="1:33" ht="54.95" customHeight="1" thickBot="1" x14ac:dyDescent="0.25">
      <c r="A1264" s="1117">
        <v>2021</v>
      </c>
      <c r="B1264" s="1117">
        <v>2021</v>
      </c>
      <c r="C1264" s="1436" t="s">
        <v>36</v>
      </c>
      <c r="D1264" s="1363" t="s">
        <v>37</v>
      </c>
      <c r="E1264" s="1350" t="s">
        <v>6441</v>
      </c>
      <c r="F1264" s="1437">
        <v>4600557062</v>
      </c>
      <c r="G1264" s="1463" t="s">
        <v>7156</v>
      </c>
      <c r="H1264" s="1352">
        <v>76922.100000000006</v>
      </c>
      <c r="I1264" s="1353">
        <v>44151</v>
      </c>
      <c r="J1264" s="1354">
        <f t="shared" si="172"/>
        <v>91</v>
      </c>
      <c r="K1264" s="1353">
        <v>44242</v>
      </c>
      <c r="L1264" s="1353" t="s">
        <v>41</v>
      </c>
      <c r="M1264" s="1353">
        <v>44211</v>
      </c>
      <c r="N1264" s="1354">
        <f t="shared" si="173"/>
        <v>-23</v>
      </c>
      <c r="O1264" s="1427">
        <v>44219</v>
      </c>
      <c r="P1264" s="1438">
        <v>44221</v>
      </c>
      <c r="Q1264" s="1355">
        <v>44238</v>
      </c>
      <c r="R1264" s="1354">
        <f t="shared" si="168"/>
        <v>87</v>
      </c>
      <c r="S1264" s="1437" t="s">
        <v>7157</v>
      </c>
      <c r="T1264" s="1370" t="s">
        <v>7213</v>
      </c>
      <c r="U1264" s="1358" t="str">
        <f t="shared" si="167"/>
        <v>en término</v>
      </c>
      <c r="V1264" s="1130" t="str">
        <f t="shared" si="175"/>
        <v>Enero</v>
      </c>
      <c r="W1264" s="1128">
        <f t="shared" si="174"/>
        <v>1</v>
      </c>
    </row>
    <row r="1265" spans="1:23" ht="54.95" customHeight="1" thickBot="1" x14ac:dyDescent="0.25">
      <c r="A1265" s="1117">
        <v>2021</v>
      </c>
      <c r="B1265" s="1117">
        <v>2021</v>
      </c>
      <c r="C1265" s="1436" t="s">
        <v>36</v>
      </c>
      <c r="D1265" s="1363" t="s">
        <v>37</v>
      </c>
      <c r="E1265" s="1350" t="s">
        <v>7050</v>
      </c>
      <c r="F1265" s="1437">
        <v>4600611934</v>
      </c>
      <c r="G1265" s="1463" t="s">
        <v>7161</v>
      </c>
      <c r="H1265" s="1352">
        <v>20540</v>
      </c>
      <c r="I1265" s="1353">
        <v>44159</v>
      </c>
      <c r="J1265" s="1354">
        <f t="shared" si="172"/>
        <v>91</v>
      </c>
      <c r="K1265" s="1353">
        <v>44250</v>
      </c>
      <c r="L1265" s="1353" t="s">
        <v>41</v>
      </c>
      <c r="M1265" s="1353">
        <v>44246</v>
      </c>
      <c r="N1265" s="1354">
        <f t="shared" si="173"/>
        <v>4</v>
      </c>
      <c r="O1265" s="1427">
        <v>44254</v>
      </c>
      <c r="P1265" s="1438">
        <v>44257</v>
      </c>
      <c r="Q1265" s="1355">
        <v>44274</v>
      </c>
      <c r="R1265" s="1354">
        <f t="shared" si="168"/>
        <v>115</v>
      </c>
      <c r="S1265" s="1437" t="s">
        <v>7258</v>
      </c>
      <c r="T1265" s="1370" t="s">
        <v>7290</v>
      </c>
      <c r="U1265" s="1358" t="str">
        <f t="shared" si="167"/>
        <v>atrasado</v>
      </c>
      <c r="V1265" s="1130" t="str">
        <f>VLOOKUP(MONTH(M1265),$Y$66:$Z$77,2,FALSE)</f>
        <v>Febrero</v>
      </c>
      <c r="W1265" s="1128">
        <f t="shared" si="174"/>
        <v>0</v>
      </c>
    </row>
    <row r="1266" spans="1:23" ht="54.95" customHeight="1" thickBot="1" x14ac:dyDescent="0.25">
      <c r="A1266" s="1117">
        <v>2021</v>
      </c>
      <c r="B1266" s="1117">
        <v>2021</v>
      </c>
      <c r="C1266" s="1436" t="s">
        <v>36</v>
      </c>
      <c r="D1266" s="1363" t="s">
        <v>37</v>
      </c>
      <c r="E1266" s="1350" t="s">
        <v>6441</v>
      </c>
      <c r="F1266" s="1437">
        <v>4600557062</v>
      </c>
      <c r="G1266" s="1463" t="s">
        <v>7164</v>
      </c>
      <c r="H1266" s="1352">
        <v>31894.2</v>
      </c>
      <c r="I1266" s="1353">
        <v>44161</v>
      </c>
      <c r="J1266" s="1354">
        <f t="shared" si="172"/>
        <v>92</v>
      </c>
      <c r="K1266" s="1353">
        <v>44253</v>
      </c>
      <c r="L1266" s="1353" t="s">
        <v>41</v>
      </c>
      <c r="M1266" s="1353">
        <v>44246</v>
      </c>
      <c r="N1266" s="1354">
        <f t="shared" si="173"/>
        <v>1</v>
      </c>
      <c r="O1266" s="1427">
        <v>44254</v>
      </c>
      <c r="P1266" s="1438">
        <v>44257</v>
      </c>
      <c r="Q1266" s="1355">
        <v>44274</v>
      </c>
      <c r="R1266" s="1354">
        <f t="shared" si="168"/>
        <v>113</v>
      </c>
      <c r="S1266" s="1437" t="s">
        <v>879</v>
      </c>
      <c r="T1266" s="1370" t="s">
        <v>7291</v>
      </c>
      <c r="U1266" s="1358" t="str">
        <f t="shared" si="167"/>
        <v>atrasado</v>
      </c>
      <c r="V1266" s="1289" t="str">
        <f>VLOOKUP(MONTH(M1266),$Y$66:$Z$77,2,FALSE)</f>
        <v>Febrero</v>
      </c>
      <c r="W1266" s="1324">
        <f t="shared" si="174"/>
        <v>0</v>
      </c>
    </row>
    <row r="1267" spans="1:23" ht="54.95" customHeight="1" thickBot="1" x14ac:dyDescent="0.25">
      <c r="A1267" s="1117">
        <v>2021</v>
      </c>
      <c r="B1267" s="1117">
        <v>2021</v>
      </c>
      <c r="C1267" s="1436" t="s">
        <v>36</v>
      </c>
      <c r="D1267" s="1363" t="s">
        <v>37</v>
      </c>
      <c r="E1267" s="1350" t="s">
        <v>7050</v>
      </c>
      <c r="F1267" s="1437">
        <v>4600611934</v>
      </c>
      <c r="G1267" s="1463" t="s">
        <v>7165</v>
      </c>
      <c r="H1267" s="1352">
        <v>925.76</v>
      </c>
      <c r="I1267" s="1353">
        <v>44173</v>
      </c>
      <c r="J1267" s="1354">
        <f t="shared" si="172"/>
        <v>87</v>
      </c>
      <c r="K1267" s="1353">
        <v>44260</v>
      </c>
      <c r="L1267" s="1353" t="s">
        <v>41</v>
      </c>
      <c r="M1267" s="1353">
        <v>44253</v>
      </c>
      <c r="N1267" s="1354">
        <f t="shared" si="173"/>
        <v>1</v>
      </c>
      <c r="O1267" s="1427">
        <v>44261</v>
      </c>
      <c r="P1267" s="1438">
        <v>44263</v>
      </c>
      <c r="Q1267" s="1355">
        <v>44281</v>
      </c>
      <c r="R1267" s="1354">
        <f t="shared" si="168"/>
        <v>108</v>
      </c>
      <c r="S1267" s="1437" t="s">
        <v>7166</v>
      </c>
      <c r="T1267" s="1370" t="s">
        <v>7219</v>
      </c>
      <c r="U1267" s="1358" t="str">
        <f t="shared" si="167"/>
        <v>atrasado</v>
      </c>
      <c r="V1267" s="1130" t="str">
        <f t="shared" ref="V1267:V1341" si="176">VLOOKUP(MONTH(M1267),$Y$66:$Z$77,2,FALSE)</f>
        <v>Febrero</v>
      </c>
      <c r="W1267" s="1128">
        <f t="shared" si="174"/>
        <v>0</v>
      </c>
    </row>
    <row r="1268" spans="1:23" ht="54.95" customHeight="1" thickBot="1" x14ac:dyDescent="0.25">
      <c r="A1268" s="1117">
        <v>2021</v>
      </c>
      <c r="B1268" s="1117">
        <v>2021</v>
      </c>
      <c r="C1268" s="1436" t="s">
        <v>36</v>
      </c>
      <c r="D1268" s="1363" t="s">
        <v>37</v>
      </c>
      <c r="E1268" s="1350" t="s">
        <v>6441</v>
      </c>
      <c r="F1268" s="1437">
        <v>4600557062</v>
      </c>
      <c r="G1268" s="1463" t="s">
        <v>7167</v>
      </c>
      <c r="H1268" s="1352">
        <v>40528.69</v>
      </c>
      <c r="I1268" s="1353">
        <v>44173</v>
      </c>
      <c r="J1268" s="1354">
        <f t="shared" si="172"/>
        <v>84</v>
      </c>
      <c r="K1268" s="1353">
        <v>44257</v>
      </c>
      <c r="L1268" s="1353" t="s">
        <v>41</v>
      </c>
      <c r="M1268" s="1353">
        <v>44253</v>
      </c>
      <c r="N1268" s="1354">
        <f t="shared" si="173"/>
        <v>4</v>
      </c>
      <c r="O1268" s="1427">
        <v>44261</v>
      </c>
      <c r="P1268" s="1438">
        <v>44263</v>
      </c>
      <c r="Q1268" s="1355">
        <v>44281</v>
      </c>
      <c r="R1268" s="1354">
        <f t="shared" si="168"/>
        <v>108</v>
      </c>
      <c r="S1268" s="1437" t="s">
        <v>7168</v>
      </c>
      <c r="T1268" s="1370" t="s">
        <v>7223</v>
      </c>
      <c r="U1268" s="1358" t="str">
        <f t="shared" si="167"/>
        <v>atrasado</v>
      </c>
      <c r="V1268" s="1130" t="str">
        <f>VLOOKUP(MONTH(M1268),$Y$66:$Z$77,2,FALSE)</f>
        <v>Febrero</v>
      </c>
      <c r="W1268" s="1128">
        <f t="shared" si="174"/>
        <v>0</v>
      </c>
    </row>
    <row r="1269" spans="1:23" ht="54.95" customHeight="1" thickBot="1" x14ac:dyDescent="0.25">
      <c r="A1269" s="1117">
        <v>2021</v>
      </c>
      <c r="B1269" s="1117">
        <v>2021</v>
      </c>
      <c r="C1269" s="1436" t="s">
        <v>36</v>
      </c>
      <c r="D1269" s="1363" t="s">
        <v>37</v>
      </c>
      <c r="E1269" s="1350" t="s">
        <v>7171</v>
      </c>
      <c r="F1269" s="1437"/>
      <c r="G1269" s="1463" t="s">
        <v>7172</v>
      </c>
      <c r="H1269" s="1352">
        <v>13000</v>
      </c>
      <c r="I1269" s="1353">
        <v>44187</v>
      </c>
      <c r="J1269" s="1354">
        <f t="shared" si="172"/>
        <v>66</v>
      </c>
      <c r="K1269" s="1353">
        <v>44253</v>
      </c>
      <c r="L1269" s="1353" t="s">
        <v>41</v>
      </c>
      <c r="M1269" s="1353">
        <v>44253</v>
      </c>
      <c r="N1269" s="1354">
        <f t="shared" si="173"/>
        <v>8</v>
      </c>
      <c r="O1269" s="1427">
        <v>44261</v>
      </c>
      <c r="P1269" s="1438">
        <v>44263</v>
      </c>
      <c r="Q1269" s="1355">
        <v>44281</v>
      </c>
      <c r="R1269" s="1354">
        <f t="shared" si="168"/>
        <v>94</v>
      </c>
      <c r="S1269" s="1437" t="s">
        <v>1717</v>
      </c>
      <c r="T1269" s="1370" t="s">
        <v>7224</v>
      </c>
      <c r="U1269" s="1358" t="str">
        <f t="shared" si="167"/>
        <v>atrasado</v>
      </c>
      <c r="V1269" s="1130" t="str">
        <f>VLOOKUP(MONTH(M1269),$Y$66:$Z$77,2,FALSE)</f>
        <v>Febrero</v>
      </c>
      <c r="W1269" s="1128">
        <f t="shared" si="174"/>
        <v>0</v>
      </c>
    </row>
    <row r="1270" spans="1:23" ht="54.95" customHeight="1" thickBot="1" x14ac:dyDescent="0.25">
      <c r="A1270" s="1117">
        <v>2021</v>
      </c>
      <c r="B1270" s="1117">
        <v>2021</v>
      </c>
      <c r="C1270" s="1436" t="s">
        <v>36</v>
      </c>
      <c r="D1270" s="1363" t="s">
        <v>37</v>
      </c>
      <c r="E1270" s="1350" t="s">
        <v>7175</v>
      </c>
      <c r="F1270" s="1437"/>
      <c r="G1270" s="1463" t="s">
        <v>7173</v>
      </c>
      <c r="H1270" s="1352">
        <v>3180</v>
      </c>
      <c r="I1270" s="1353">
        <v>44187</v>
      </c>
      <c r="J1270" s="1354">
        <f t="shared" si="172"/>
        <v>66</v>
      </c>
      <c r="K1270" s="1353">
        <v>44253</v>
      </c>
      <c r="L1270" s="1353" t="s">
        <v>41</v>
      </c>
      <c r="M1270" s="1353">
        <v>44253</v>
      </c>
      <c r="N1270" s="1354">
        <f t="shared" si="173"/>
        <v>8</v>
      </c>
      <c r="O1270" s="1427">
        <v>44261</v>
      </c>
      <c r="P1270" s="1438">
        <v>44263</v>
      </c>
      <c r="Q1270" s="1355">
        <v>44281</v>
      </c>
      <c r="R1270" s="1354">
        <f t="shared" si="168"/>
        <v>94</v>
      </c>
      <c r="S1270" s="1437" t="s">
        <v>53</v>
      </c>
      <c r="T1270" s="1370" t="s">
        <v>7225</v>
      </c>
      <c r="U1270" s="1358" t="str">
        <f t="shared" si="167"/>
        <v>atrasado</v>
      </c>
      <c r="V1270" s="1130" t="str">
        <f>VLOOKUP(MONTH(M1270),$Y$66:$Z$77,2,FALSE)</f>
        <v>Febrero</v>
      </c>
      <c r="W1270" s="1128">
        <f t="shared" si="174"/>
        <v>0</v>
      </c>
    </row>
    <row r="1271" spans="1:23" ht="54.95" customHeight="1" thickBot="1" x14ac:dyDescent="0.25">
      <c r="A1271" s="1117">
        <v>2021</v>
      </c>
      <c r="B1271" s="1117">
        <v>2021</v>
      </c>
      <c r="C1271" s="1436" t="s">
        <v>36</v>
      </c>
      <c r="D1271" s="1363" t="s">
        <v>37</v>
      </c>
      <c r="E1271" s="1350" t="s">
        <v>7176</v>
      </c>
      <c r="F1271" s="1437"/>
      <c r="G1271" s="1463" t="s">
        <v>7174</v>
      </c>
      <c r="H1271" s="1352">
        <v>4460</v>
      </c>
      <c r="I1271" s="1353">
        <v>44187</v>
      </c>
      <c r="J1271" s="1354">
        <f t="shared" si="172"/>
        <v>66</v>
      </c>
      <c r="K1271" s="1353">
        <v>44253</v>
      </c>
      <c r="L1271" s="1353" t="s">
        <v>41</v>
      </c>
      <c r="M1271" s="1353">
        <v>44253</v>
      </c>
      <c r="N1271" s="1354">
        <f t="shared" si="173"/>
        <v>8</v>
      </c>
      <c r="O1271" s="1427">
        <v>44261</v>
      </c>
      <c r="P1271" s="1438">
        <v>44263</v>
      </c>
      <c r="Q1271" s="1355">
        <v>44281</v>
      </c>
      <c r="R1271" s="1354">
        <f t="shared" si="168"/>
        <v>94</v>
      </c>
      <c r="S1271" s="1437" t="s">
        <v>989</v>
      </c>
      <c r="T1271" s="1370" t="s">
        <v>7221</v>
      </c>
      <c r="U1271" s="1358" t="str">
        <f t="shared" si="167"/>
        <v>atrasado</v>
      </c>
      <c r="V1271" s="1130" t="str">
        <f>VLOOKUP(MONTH(M1271),$Y$66:$Z$77,2,FALSE)</f>
        <v>Febrero</v>
      </c>
      <c r="W1271" s="1128">
        <f t="shared" si="174"/>
        <v>0</v>
      </c>
    </row>
    <row r="1272" spans="1:23" ht="54.95" customHeight="1" thickBot="1" x14ac:dyDescent="0.25">
      <c r="A1272" s="1117">
        <v>2021</v>
      </c>
      <c r="B1272" s="1117">
        <v>2021</v>
      </c>
      <c r="C1272" s="1436" t="s">
        <v>36</v>
      </c>
      <c r="D1272" s="1363" t="s">
        <v>37</v>
      </c>
      <c r="E1272" s="1350" t="s">
        <v>7237</v>
      </c>
      <c r="F1272" s="1437"/>
      <c r="G1272" s="1463" t="s">
        <v>7238</v>
      </c>
      <c r="H1272" s="1352">
        <v>60</v>
      </c>
      <c r="I1272" s="1353">
        <v>44232</v>
      </c>
      <c r="J1272" s="1354">
        <f t="shared" si="172"/>
        <v>32</v>
      </c>
      <c r="K1272" s="1353">
        <v>44264</v>
      </c>
      <c r="L1272" s="1353" t="s">
        <v>41</v>
      </c>
      <c r="M1272" s="1353">
        <v>44253</v>
      </c>
      <c r="N1272" s="1354">
        <f t="shared" si="173"/>
        <v>-3</v>
      </c>
      <c r="O1272" s="1427">
        <v>44261</v>
      </c>
      <c r="P1272" s="1438">
        <v>44263</v>
      </c>
      <c r="Q1272" s="1355">
        <v>44281</v>
      </c>
      <c r="R1272" s="1354">
        <f t="shared" si="168"/>
        <v>49</v>
      </c>
      <c r="S1272" s="1437" t="s">
        <v>7239</v>
      </c>
      <c r="T1272" s="1370" t="s">
        <v>7240</v>
      </c>
      <c r="U1272" s="1358" t="str">
        <f t="shared" si="167"/>
        <v>en término</v>
      </c>
      <c r="V1272" s="1130" t="str">
        <f t="shared" si="176"/>
        <v>Febrero</v>
      </c>
      <c r="W1272" s="1128">
        <f t="shared" si="174"/>
        <v>1</v>
      </c>
    </row>
    <row r="1273" spans="1:23" ht="54.95" customHeight="1" thickBot="1" x14ac:dyDescent="0.25">
      <c r="A1273" s="1117">
        <v>2021</v>
      </c>
      <c r="B1273" s="1117">
        <v>2021</v>
      </c>
      <c r="C1273" s="1436" t="s">
        <v>36</v>
      </c>
      <c r="D1273" s="1363" t="s">
        <v>37</v>
      </c>
      <c r="E1273" s="1350" t="s">
        <v>7050</v>
      </c>
      <c r="F1273" s="1437">
        <v>4600611934</v>
      </c>
      <c r="G1273" s="1463" t="s">
        <v>7160</v>
      </c>
      <c r="H1273" s="1352">
        <v>6250</v>
      </c>
      <c r="I1273" s="1353">
        <v>44159</v>
      </c>
      <c r="J1273" s="1354">
        <f t="shared" si="172"/>
        <v>91</v>
      </c>
      <c r="K1273" s="1353">
        <v>44250</v>
      </c>
      <c r="L1273" s="1353" t="s">
        <v>41</v>
      </c>
      <c r="M1273" s="1353">
        <v>44260</v>
      </c>
      <c r="N1273" s="1354">
        <f t="shared" si="173"/>
        <v>18</v>
      </c>
      <c r="O1273" s="1427">
        <v>44268</v>
      </c>
      <c r="P1273" s="1438">
        <v>44272</v>
      </c>
      <c r="Q1273" s="1355">
        <v>44288</v>
      </c>
      <c r="R1273" s="1354">
        <f t="shared" si="168"/>
        <v>129</v>
      </c>
      <c r="S1273" s="1437" t="s">
        <v>53</v>
      </c>
      <c r="T1273" s="1370" t="s">
        <v>7220</v>
      </c>
      <c r="U1273" s="1358" t="str">
        <f t="shared" si="167"/>
        <v>atrasado</v>
      </c>
      <c r="V1273" s="1130" t="str">
        <f t="shared" si="176"/>
        <v>Marzo</v>
      </c>
      <c r="W1273" s="1128">
        <f t="shared" si="174"/>
        <v>0</v>
      </c>
    </row>
    <row r="1274" spans="1:23" ht="54.95" customHeight="1" thickBot="1" x14ac:dyDescent="0.25">
      <c r="A1274" s="1117">
        <v>2021</v>
      </c>
      <c r="B1274" s="1117">
        <v>2021</v>
      </c>
      <c r="C1274" s="1436" t="s">
        <v>36</v>
      </c>
      <c r="D1274" s="1363" t="s">
        <v>37</v>
      </c>
      <c r="E1274" s="1350" t="s">
        <v>6441</v>
      </c>
      <c r="F1274" s="1437">
        <v>4600557062</v>
      </c>
      <c r="G1274" s="1463" t="s">
        <v>7177</v>
      </c>
      <c r="H1274" s="1352">
        <v>3308.73</v>
      </c>
      <c r="I1274" s="1353">
        <v>44187</v>
      </c>
      <c r="J1274" s="1354">
        <f t="shared" si="172"/>
        <v>83</v>
      </c>
      <c r="K1274" s="1353">
        <v>44270</v>
      </c>
      <c r="L1274" s="1353" t="s">
        <v>41</v>
      </c>
      <c r="M1274" s="1353">
        <v>44260</v>
      </c>
      <c r="N1274" s="1354">
        <f t="shared" si="173"/>
        <v>-2</v>
      </c>
      <c r="O1274" s="1427">
        <v>44268</v>
      </c>
      <c r="P1274" s="1438">
        <v>44272</v>
      </c>
      <c r="Q1274" s="1355">
        <v>44288</v>
      </c>
      <c r="R1274" s="1354">
        <f t="shared" si="168"/>
        <v>101</v>
      </c>
      <c r="S1274" s="1437" t="s">
        <v>119</v>
      </c>
      <c r="T1274" s="1370" t="s">
        <v>7217</v>
      </c>
      <c r="U1274" s="1358" t="str">
        <f t="shared" si="167"/>
        <v>en término</v>
      </c>
      <c r="V1274" s="1130" t="str">
        <f t="shared" si="176"/>
        <v>Marzo</v>
      </c>
      <c r="W1274" s="1128">
        <f t="shared" si="174"/>
        <v>1</v>
      </c>
    </row>
    <row r="1275" spans="1:23" ht="54.95" customHeight="1" thickBot="1" x14ac:dyDescent="0.25">
      <c r="A1275" s="1117">
        <v>2021</v>
      </c>
      <c r="B1275" s="1117">
        <v>2021</v>
      </c>
      <c r="C1275" s="1436" t="s">
        <v>36</v>
      </c>
      <c r="D1275" s="1363" t="s">
        <v>37</v>
      </c>
      <c r="E1275" s="1350" t="s">
        <v>6441</v>
      </c>
      <c r="F1275" s="1437">
        <v>4600557062</v>
      </c>
      <c r="G1275" s="1463" t="s">
        <v>7197</v>
      </c>
      <c r="H1275" s="1352">
        <v>2679.78</v>
      </c>
      <c r="I1275" s="1353">
        <v>44208</v>
      </c>
      <c r="J1275" s="1354">
        <f t="shared" si="172"/>
        <v>67</v>
      </c>
      <c r="K1275" s="1353">
        <v>44275</v>
      </c>
      <c r="L1275" s="1353" t="s">
        <v>41</v>
      </c>
      <c r="M1275" s="1353">
        <v>44260</v>
      </c>
      <c r="N1275" s="1354">
        <f t="shared" si="173"/>
        <v>-7</v>
      </c>
      <c r="O1275" s="1427">
        <v>44268</v>
      </c>
      <c r="P1275" s="1438">
        <v>44272</v>
      </c>
      <c r="Q1275" s="1355">
        <v>44288</v>
      </c>
      <c r="R1275" s="1354">
        <f t="shared" si="168"/>
        <v>80</v>
      </c>
      <c r="S1275" s="1437" t="s">
        <v>53</v>
      </c>
      <c r="T1275" s="1370" t="s">
        <v>7214</v>
      </c>
      <c r="U1275" s="1358" t="str">
        <f t="shared" si="167"/>
        <v>en término</v>
      </c>
      <c r="V1275" s="1130" t="str">
        <f t="shared" si="176"/>
        <v>Marzo</v>
      </c>
      <c r="W1275" s="1128">
        <f t="shared" si="174"/>
        <v>1</v>
      </c>
    </row>
    <row r="1276" spans="1:23" ht="54.95" customHeight="1" thickBot="1" x14ac:dyDescent="0.25">
      <c r="A1276" s="1117">
        <v>2021</v>
      </c>
      <c r="B1276" s="1117">
        <v>2021</v>
      </c>
      <c r="C1276" s="1436" t="s">
        <v>36</v>
      </c>
      <c r="D1276" s="1363" t="s">
        <v>37</v>
      </c>
      <c r="E1276" s="1350" t="s">
        <v>6441</v>
      </c>
      <c r="F1276" s="1437">
        <v>4600557062</v>
      </c>
      <c r="G1276" s="1463" t="s">
        <v>7198</v>
      </c>
      <c r="H1276" s="1352">
        <v>426.11</v>
      </c>
      <c r="I1276" s="1353">
        <v>44208</v>
      </c>
      <c r="J1276" s="1354">
        <f t="shared" si="172"/>
        <v>75</v>
      </c>
      <c r="K1276" s="1353">
        <v>44283</v>
      </c>
      <c r="L1276" s="1353" t="s">
        <v>41</v>
      </c>
      <c r="M1276" s="1353">
        <v>44260</v>
      </c>
      <c r="N1276" s="1354">
        <f t="shared" si="173"/>
        <v>-15</v>
      </c>
      <c r="O1276" s="1427">
        <v>44268</v>
      </c>
      <c r="P1276" s="1438">
        <v>44272</v>
      </c>
      <c r="Q1276" s="1355">
        <v>44288</v>
      </c>
      <c r="R1276" s="1354">
        <f t="shared" si="168"/>
        <v>80</v>
      </c>
      <c r="S1276" s="1437" t="s">
        <v>53</v>
      </c>
      <c r="T1276" s="1370" t="s">
        <v>7215</v>
      </c>
      <c r="U1276" s="1358" t="str">
        <f t="shared" si="167"/>
        <v>en término</v>
      </c>
      <c r="V1276" s="1130" t="str">
        <f t="shared" si="176"/>
        <v>Marzo</v>
      </c>
      <c r="W1276" s="1128">
        <f t="shared" si="174"/>
        <v>1</v>
      </c>
    </row>
    <row r="1277" spans="1:23" ht="54.95" customHeight="1" thickBot="1" x14ac:dyDescent="0.25">
      <c r="A1277" s="1117">
        <v>2021</v>
      </c>
      <c r="B1277" s="1117">
        <v>2021</v>
      </c>
      <c r="C1277" s="1436" t="s">
        <v>36</v>
      </c>
      <c r="D1277" s="1363" t="s">
        <v>37</v>
      </c>
      <c r="E1277" s="1350" t="s">
        <v>6441</v>
      </c>
      <c r="F1277" s="1437">
        <v>4600557062</v>
      </c>
      <c r="G1277" s="1463" t="s">
        <v>7199</v>
      </c>
      <c r="H1277" s="1352">
        <v>1536.74</v>
      </c>
      <c r="I1277" s="1353">
        <v>44208</v>
      </c>
      <c r="J1277" s="1354">
        <f t="shared" si="172"/>
        <v>75</v>
      </c>
      <c r="K1277" s="1353">
        <v>44283</v>
      </c>
      <c r="L1277" s="1353" t="s">
        <v>41</v>
      </c>
      <c r="M1277" s="1353">
        <v>44260</v>
      </c>
      <c r="N1277" s="1354">
        <f t="shared" si="173"/>
        <v>-15</v>
      </c>
      <c r="O1277" s="1427">
        <v>44268</v>
      </c>
      <c r="P1277" s="1438">
        <v>44272</v>
      </c>
      <c r="Q1277" s="1355">
        <v>44288</v>
      </c>
      <c r="R1277" s="1354">
        <f t="shared" si="168"/>
        <v>80</v>
      </c>
      <c r="S1277" s="1437" t="s">
        <v>53</v>
      </c>
      <c r="T1277" s="1370" t="s">
        <v>7216</v>
      </c>
      <c r="U1277" s="1358" t="str">
        <f t="shared" si="167"/>
        <v>en término</v>
      </c>
      <c r="V1277" s="1130" t="str">
        <f t="shared" si="176"/>
        <v>Marzo</v>
      </c>
      <c r="W1277" s="1128">
        <f t="shared" si="174"/>
        <v>1</v>
      </c>
    </row>
    <row r="1278" spans="1:23" ht="54.95" customHeight="1" thickBot="1" x14ac:dyDescent="0.25">
      <c r="A1278" s="1117">
        <v>2021</v>
      </c>
      <c r="B1278" s="1117">
        <v>2021</v>
      </c>
      <c r="C1278" s="1436" t="s">
        <v>36</v>
      </c>
      <c r="D1278" s="1363" t="s">
        <v>37</v>
      </c>
      <c r="E1278" s="1350" t="s">
        <v>7050</v>
      </c>
      <c r="F1278" s="1437">
        <v>4600611934</v>
      </c>
      <c r="G1278" s="1463" t="s">
        <v>7227</v>
      </c>
      <c r="H1278" s="1352">
        <v>255.2</v>
      </c>
      <c r="I1278" s="1353">
        <v>44218</v>
      </c>
      <c r="J1278" s="1354">
        <f t="shared" si="172"/>
        <v>39</v>
      </c>
      <c r="K1278" s="1353">
        <v>44257</v>
      </c>
      <c r="L1278" s="1353" t="s">
        <v>41</v>
      </c>
      <c r="M1278" s="1353">
        <v>44260</v>
      </c>
      <c r="N1278" s="1354">
        <f t="shared" si="173"/>
        <v>11</v>
      </c>
      <c r="O1278" s="1427">
        <v>44268</v>
      </c>
      <c r="P1278" s="1438">
        <v>44272</v>
      </c>
      <c r="Q1278" s="1355">
        <v>44288</v>
      </c>
      <c r="R1278" s="1354">
        <f t="shared" si="168"/>
        <v>70</v>
      </c>
      <c r="S1278" s="1437" t="s">
        <v>53</v>
      </c>
      <c r="T1278" s="1370" t="s">
        <v>7229</v>
      </c>
      <c r="U1278" s="1358" t="str">
        <f t="shared" si="167"/>
        <v>atrasado</v>
      </c>
      <c r="V1278" s="1130" t="str">
        <f t="shared" si="176"/>
        <v>Marzo</v>
      </c>
      <c r="W1278" s="1128">
        <f t="shared" si="174"/>
        <v>0</v>
      </c>
    </row>
    <row r="1279" spans="1:23" ht="54.95" customHeight="1" thickBot="1" x14ac:dyDescent="0.25">
      <c r="A1279" s="1117">
        <v>2021</v>
      </c>
      <c r="B1279" s="1117">
        <v>2021</v>
      </c>
      <c r="C1279" s="1436" t="s">
        <v>36</v>
      </c>
      <c r="D1279" s="1363" t="s">
        <v>37</v>
      </c>
      <c r="E1279" s="1350" t="s">
        <v>6441</v>
      </c>
      <c r="F1279" s="1437">
        <v>4600557062</v>
      </c>
      <c r="G1279" s="1463" t="s">
        <v>7200</v>
      </c>
      <c r="H1279" s="1352">
        <v>104441.3</v>
      </c>
      <c r="I1279" s="1353">
        <v>44208</v>
      </c>
      <c r="J1279" s="1354">
        <f t="shared" si="172"/>
        <v>88</v>
      </c>
      <c r="K1279" s="1353">
        <v>44296</v>
      </c>
      <c r="L1279" s="1353" t="s">
        <v>41</v>
      </c>
      <c r="M1279" s="1353">
        <v>44285</v>
      </c>
      <c r="N1279" s="1354">
        <f t="shared" si="173"/>
        <v>14</v>
      </c>
      <c r="O1279" s="1427">
        <v>44310</v>
      </c>
      <c r="P1279" s="1438">
        <v>44312</v>
      </c>
      <c r="Q1279" s="1355">
        <v>44330</v>
      </c>
      <c r="R1279" s="1354">
        <f t="shared" si="168"/>
        <v>122</v>
      </c>
      <c r="S1279" s="1437" t="s">
        <v>7397</v>
      </c>
      <c r="T1279" s="1370" t="s">
        <v>7337</v>
      </c>
      <c r="U1279" s="1358" t="str">
        <f t="shared" si="167"/>
        <v>atrasado</v>
      </c>
      <c r="V1279" s="1130" t="str">
        <f t="shared" si="176"/>
        <v>Marzo</v>
      </c>
      <c r="W1279" s="1128">
        <f t="shared" si="174"/>
        <v>0</v>
      </c>
    </row>
    <row r="1280" spans="1:23" ht="54.95" customHeight="1" thickBot="1" x14ac:dyDescent="0.25">
      <c r="A1280" s="1117">
        <v>2021</v>
      </c>
      <c r="B1280" s="1117">
        <v>2021</v>
      </c>
      <c r="C1280" s="1436" t="s">
        <v>36</v>
      </c>
      <c r="D1280" s="1363" t="s">
        <v>37</v>
      </c>
      <c r="E1280" s="1350" t="s">
        <v>6441</v>
      </c>
      <c r="F1280" s="1437">
        <v>4600557062</v>
      </c>
      <c r="G1280" s="1463" t="s">
        <v>7201</v>
      </c>
      <c r="H1280" s="1352">
        <v>4530.12</v>
      </c>
      <c r="I1280" s="1353">
        <v>44208</v>
      </c>
      <c r="J1280" s="1354">
        <f t="shared" si="172"/>
        <v>88</v>
      </c>
      <c r="K1280" s="1353">
        <v>44296</v>
      </c>
      <c r="L1280" s="1353" t="s">
        <v>41</v>
      </c>
      <c r="M1280" s="1353">
        <v>44285</v>
      </c>
      <c r="N1280" s="1354">
        <f t="shared" si="173"/>
        <v>14</v>
      </c>
      <c r="O1280" s="1427">
        <v>44310</v>
      </c>
      <c r="P1280" s="1438">
        <v>44312</v>
      </c>
      <c r="Q1280" s="1355">
        <v>44330</v>
      </c>
      <c r="R1280" s="1354">
        <f t="shared" si="168"/>
        <v>122</v>
      </c>
      <c r="S1280" s="1437" t="s">
        <v>119</v>
      </c>
      <c r="T1280" s="1370" t="s">
        <v>7338</v>
      </c>
      <c r="U1280" s="1358" t="str">
        <f t="shared" si="167"/>
        <v>atrasado</v>
      </c>
      <c r="V1280" s="1130" t="str">
        <f t="shared" si="176"/>
        <v>Marzo</v>
      </c>
      <c r="W1280" s="1128">
        <f t="shared" si="174"/>
        <v>0</v>
      </c>
    </row>
    <row r="1281" spans="1:23" ht="54.95" customHeight="1" thickBot="1" x14ac:dyDescent="0.25">
      <c r="A1281" s="1117">
        <v>2021</v>
      </c>
      <c r="B1281" s="1117">
        <v>2021</v>
      </c>
      <c r="C1281" s="1436" t="s">
        <v>36</v>
      </c>
      <c r="D1281" s="1363" t="s">
        <v>37</v>
      </c>
      <c r="E1281" s="1350" t="s">
        <v>6441</v>
      </c>
      <c r="F1281" s="1437">
        <v>4600557062</v>
      </c>
      <c r="G1281" s="1463" t="s">
        <v>7202</v>
      </c>
      <c r="H1281" s="1352">
        <v>2594.5100000000002</v>
      </c>
      <c r="I1281" s="1353">
        <v>44208</v>
      </c>
      <c r="J1281" s="1354">
        <f t="shared" si="172"/>
        <v>115</v>
      </c>
      <c r="K1281" s="1353">
        <v>44323</v>
      </c>
      <c r="L1281" s="1353" t="s">
        <v>41</v>
      </c>
      <c r="M1281" s="1353">
        <v>44285</v>
      </c>
      <c r="N1281" s="1354">
        <f t="shared" si="173"/>
        <v>-13</v>
      </c>
      <c r="O1281" s="1427">
        <v>44310</v>
      </c>
      <c r="P1281" s="1438">
        <v>44312</v>
      </c>
      <c r="Q1281" s="1355">
        <v>44330</v>
      </c>
      <c r="R1281" s="1354">
        <f t="shared" si="168"/>
        <v>122</v>
      </c>
      <c r="S1281" s="1437" t="s">
        <v>53</v>
      </c>
      <c r="T1281" s="1370" t="s">
        <v>7339</v>
      </c>
      <c r="U1281" s="1358" t="str">
        <f t="shared" si="167"/>
        <v>en término</v>
      </c>
      <c r="V1281" s="1130" t="str">
        <f t="shared" si="176"/>
        <v>Marzo</v>
      </c>
      <c r="W1281" s="1128">
        <f t="shared" si="174"/>
        <v>1</v>
      </c>
    </row>
    <row r="1282" spans="1:23" ht="54.95" customHeight="1" thickBot="1" x14ac:dyDescent="0.25">
      <c r="A1282" s="1117">
        <v>2021</v>
      </c>
      <c r="B1282" s="1117">
        <v>2021</v>
      </c>
      <c r="C1282" s="1436" t="s">
        <v>36</v>
      </c>
      <c r="D1282" s="1363" t="s">
        <v>37</v>
      </c>
      <c r="E1282" s="1350" t="s">
        <v>6441</v>
      </c>
      <c r="F1282" s="1437">
        <v>4600557062</v>
      </c>
      <c r="G1282" s="1463" t="s">
        <v>7226</v>
      </c>
      <c r="H1282" s="1352">
        <v>1958.24</v>
      </c>
      <c r="I1282" s="1353">
        <v>44218</v>
      </c>
      <c r="J1282" s="1354">
        <f t="shared" si="172"/>
        <v>89</v>
      </c>
      <c r="K1282" s="1353">
        <v>44307</v>
      </c>
      <c r="L1282" s="1353" t="s">
        <v>41</v>
      </c>
      <c r="M1282" s="1353">
        <v>44302</v>
      </c>
      <c r="N1282" s="1354">
        <f t="shared" si="173"/>
        <v>3</v>
      </c>
      <c r="O1282" s="1427">
        <v>44310</v>
      </c>
      <c r="P1282" s="1438">
        <v>44312</v>
      </c>
      <c r="Q1282" s="1355">
        <v>44330</v>
      </c>
      <c r="R1282" s="1354">
        <f t="shared" si="168"/>
        <v>112</v>
      </c>
      <c r="S1282" s="1437" t="s">
        <v>1020</v>
      </c>
      <c r="T1282" s="1370" t="s">
        <v>7228</v>
      </c>
      <c r="U1282" s="1358" t="str">
        <f t="shared" si="167"/>
        <v>atrasado</v>
      </c>
      <c r="V1282" s="1130" t="str">
        <f t="shared" si="176"/>
        <v>Abril</v>
      </c>
      <c r="W1282" s="1128">
        <f t="shared" si="174"/>
        <v>0</v>
      </c>
    </row>
    <row r="1283" spans="1:23" ht="54.95" customHeight="1" thickBot="1" x14ac:dyDescent="0.25">
      <c r="A1283" s="1117">
        <v>2021</v>
      </c>
      <c r="B1283" s="1117">
        <v>2021</v>
      </c>
      <c r="C1283" s="1436" t="s">
        <v>36</v>
      </c>
      <c r="D1283" s="1363" t="s">
        <v>37</v>
      </c>
      <c r="E1283" s="1350" t="s">
        <v>6441</v>
      </c>
      <c r="F1283" s="1437">
        <v>4600557062</v>
      </c>
      <c r="G1283" s="1463" t="s">
        <v>7241</v>
      </c>
      <c r="H1283" s="1352">
        <v>13340.58</v>
      </c>
      <c r="I1283" s="1353">
        <v>44229</v>
      </c>
      <c r="J1283" s="1354">
        <f t="shared" si="172"/>
        <v>88</v>
      </c>
      <c r="K1283" s="1353">
        <v>44317</v>
      </c>
      <c r="L1283" s="1353" t="s">
        <v>41</v>
      </c>
      <c r="M1283" s="1353">
        <v>44302</v>
      </c>
      <c r="N1283" s="1354">
        <f t="shared" si="173"/>
        <v>-7</v>
      </c>
      <c r="O1283" s="1427">
        <v>44310</v>
      </c>
      <c r="P1283" s="1438">
        <v>44312</v>
      </c>
      <c r="Q1283" s="1355">
        <v>44330</v>
      </c>
      <c r="R1283" s="1354">
        <f t="shared" si="168"/>
        <v>101</v>
      </c>
      <c r="S1283" s="1437" t="s">
        <v>7234</v>
      </c>
      <c r="T1283" s="1370" t="s">
        <v>7235</v>
      </c>
      <c r="U1283" s="1358" t="str">
        <f t="shared" ref="U1283:U1309" si="177">IF(N1283="","",IF(N1283&lt;=0,"en término","atrasado"))</f>
        <v>en término</v>
      </c>
      <c r="V1283" s="1130" t="str">
        <f t="shared" si="176"/>
        <v>Abril</v>
      </c>
      <c r="W1283" s="1128">
        <f t="shared" si="174"/>
        <v>1</v>
      </c>
    </row>
    <row r="1284" spans="1:23" ht="54.95" customHeight="1" thickBot="1" x14ac:dyDescent="0.25">
      <c r="A1284" s="1117">
        <v>2021</v>
      </c>
      <c r="B1284" s="1117">
        <v>2021</v>
      </c>
      <c r="C1284" s="1436" t="s">
        <v>36</v>
      </c>
      <c r="D1284" s="1363" t="s">
        <v>37</v>
      </c>
      <c r="E1284" s="1350" t="s">
        <v>6441</v>
      </c>
      <c r="F1284" s="1437">
        <v>4600557062</v>
      </c>
      <c r="G1284" s="1463" t="s">
        <v>7242</v>
      </c>
      <c r="H1284" s="1352">
        <v>43220.65</v>
      </c>
      <c r="I1284" s="1353">
        <v>44229</v>
      </c>
      <c r="J1284" s="1354">
        <f t="shared" si="172"/>
        <v>88</v>
      </c>
      <c r="K1284" s="1353">
        <v>44317</v>
      </c>
      <c r="L1284" s="1353" t="s">
        <v>41</v>
      </c>
      <c r="M1284" s="1353">
        <v>44302</v>
      </c>
      <c r="N1284" s="1354">
        <f t="shared" si="173"/>
        <v>-7</v>
      </c>
      <c r="O1284" s="1427">
        <v>44310</v>
      </c>
      <c r="P1284" s="1438">
        <v>44312</v>
      </c>
      <c r="Q1284" s="1355">
        <v>44330</v>
      </c>
      <c r="R1284" s="1354">
        <f t="shared" si="168"/>
        <v>101</v>
      </c>
      <c r="S1284" s="1437" t="s">
        <v>1250</v>
      </c>
      <c r="T1284" s="1370" t="s">
        <v>7236</v>
      </c>
      <c r="U1284" s="1358" t="str">
        <f t="shared" si="177"/>
        <v>en término</v>
      </c>
      <c r="V1284" s="1130" t="str">
        <f t="shared" si="176"/>
        <v>Abril</v>
      </c>
      <c r="W1284" s="1128">
        <f t="shared" si="174"/>
        <v>1</v>
      </c>
    </row>
    <row r="1285" spans="1:23" ht="54.95" customHeight="1" thickBot="1" x14ac:dyDescent="0.25">
      <c r="A1285" s="1117">
        <v>2021</v>
      </c>
      <c r="B1285" s="1117">
        <v>2021</v>
      </c>
      <c r="C1285" s="1436" t="s">
        <v>36</v>
      </c>
      <c r="D1285" s="1363" t="s">
        <v>37</v>
      </c>
      <c r="E1285" s="1350" t="s">
        <v>6441</v>
      </c>
      <c r="F1285" s="1437">
        <v>4600557062</v>
      </c>
      <c r="G1285" s="1463" t="s">
        <v>7200</v>
      </c>
      <c r="H1285" s="1352">
        <v>17263.8</v>
      </c>
      <c r="I1285" s="1353">
        <v>44208</v>
      </c>
      <c r="J1285" s="1354">
        <f t="shared" si="172"/>
        <v>88</v>
      </c>
      <c r="K1285" s="1353">
        <v>44296</v>
      </c>
      <c r="L1285" s="1353" t="s">
        <v>41</v>
      </c>
      <c r="M1285" s="1353">
        <v>44309</v>
      </c>
      <c r="N1285" s="1354">
        <f t="shared" si="173"/>
        <v>21</v>
      </c>
      <c r="O1285" s="1427">
        <v>44317</v>
      </c>
      <c r="P1285" s="1438">
        <v>44319</v>
      </c>
      <c r="Q1285" s="1355">
        <v>44337</v>
      </c>
      <c r="R1285" s="1354">
        <f t="shared" si="168"/>
        <v>129</v>
      </c>
      <c r="S1285" s="1437" t="s">
        <v>7398</v>
      </c>
      <c r="T1285" s="1370" t="s">
        <v>7279</v>
      </c>
      <c r="U1285" s="1358" t="str">
        <f t="shared" si="177"/>
        <v>atrasado</v>
      </c>
      <c r="V1285" s="1130" t="str">
        <f t="shared" si="176"/>
        <v>Abril</v>
      </c>
      <c r="W1285" s="1128">
        <f t="shared" si="174"/>
        <v>0</v>
      </c>
    </row>
    <row r="1286" spans="1:23" ht="54.95" customHeight="1" thickBot="1" x14ac:dyDescent="0.25">
      <c r="A1286" s="1117">
        <v>2021</v>
      </c>
      <c r="B1286" s="1117">
        <v>2021</v>
      </c>
      <c r="C1286" s="1436" t="s">
        <v>36</v>
      </c>
      <c r="D1286" s="1363" t="s">
        <v>37</v>
      </c>
      <c r="E1286" s="1350" t="s">
        <v>6441</v>
      </c>
      <c r="F1286" s="1437">
        <v>4600557062</v>
      </c>
      <c r="G1286" s="1463" t="s">
        <v>7243</v>
      </c>
      <c r="H1286" s="1352">
        <v>2275.0300000000002</v>
      </c>
      <c r="I1286" s="1353">
        <v>44239</v>
      </c>
      <c r="J1286" s="1354">
        <f t="shared" si="172"/>
        <v>81</v>
      </c>
      <c r="K1286" s="1353">
        <v>44320</v>
      </c>
      <c r="L1286" s="1353" t="s">
        <v>41</v>
      </c>
      <c r="M1286" s="1353">
        <v>44309</v>
      </c>
      <c r="N1286" s="1354">
        <f t="shared" si="173"/>
        <v>-3</v>
      </c>
      <c r="O1286" s="1427">
        <v>44317</v>
      </c>
      <c r="P1286" s="1438">
        <v>44319</v>
      </c>
      <c r="Q1286" s="1355">
        <v>44337</v>
      </c>
      <c r="R1286" s="1354">
        <f t="shared" si="168"/>
        <v>98</v>
      </c>
      <c r="S1286" s="1437" t="s">
        <v>53</v>
      </c>
      <c r="T1286" s="1370" t="s">
        <v>7249</v>
      </c>
      <c r="U1286" s="1358" t="str">
        <f t="shared" si="177"/>
        <v>en término</v>
      </c>
      <c r="V1286" s="1130" t="str">
        <f t="shared" si="176"/>
        <v>Abril</v>
      </c>
      <c r="W1286" s="1128">
        <f t="shared" si="174"/>
        <v>1</v>
      </c>
    </row>
    <row r="1287" spans="1:23" ht="54.95" customHeight="1" thickBot="1" x14ac:dyDescent="0.25">
      <c r="A1287" s="1117">
        <v>2021</v>
      </c>
      <c r="B1287" s="1117">
        <v>2021</v>
      </c>
      <c r="C1287" s="1436" t="s">
        <v>36</v>
      </c>
      <c r="D1287" s="1363" t="s">
        <v>37</v>
      </c>
      <c r="E1287" s="1350" t="s">
        <v>6441</v>
      </c>
      <c r="F1287" s="1437">
        <v>4600557062</v>
      </c>
      <c r="G1287" s="1463" t="s">
        <v>7244</v>
      </c>
      <c r="H1287" s="1352">
        <v>3531.96</v>
      </c>
      <c r="I1287" s="1353">
        <v>44239</v>
      </c>
      <c r="J1287" s="1354">
        <f t="shared" si="172"/>
        <v>81</v>
      </c>
      <c r="K1287" s="1353">
        <v>44320</v>
      </c>
      <c r="L1287" s="1353" t="s">
        <v>41</v>
      </c>
      <c r="M1287" s="1353">
        <v>44309</v>
      </c>
      <c r="N1287" s="1354">
        <f t="shared" si="173"/>
        <v>-3</v>
      </c>
      <c r="O1287" s="1427">
        <v>44317</v>
      </c>
      <c r="P1287" s="1438">
        <v>44319</v>
      </c>
      <c r="Q1287" s="1355">
        <v>44337</v>
      </c>
      <c r="R1287" s="1354">
        <f t="shared" si="168"/>
        <v>98</v>
      </c>
      <c r="S1287" s="1437" t="s">
        <v>53</v>
      </c>
      <c r="T1287" s="1370" t="s">
        <v>7250</v>
      </c>
      <c r="U1287" s="1358" t="str">
        <f t="shared" si="177"/>
        <v>en término</v>
      </c>
      <c r="V1287" s="1130" t="str">
        <f t="shared" si="176"/>
        <v>Abril</v>
      </c>
      <c r="W1287" s="1128">
        <f t="shared" si="174"/>
        <v>1</v>
      </c>
    </row>
    <row r="1288" spans="1:23" ht="54.95" customHeight="1" thickBot="1" x14ac:dyDescent="0.25">
      <c r="A1288" s="1117">
        <v>2021</v>
      </c>
      <c r="B1288" s="1117">
        <v>2021</v>
      </c>
      <c r="C1288" s="1436" t="s">
        <v>36</v>
      </c>
      <c r="D1288" s="1363" t="s">
        <v>37</v>
      </c>
      <c r="E1288" s="1350" t="s">
        <v>6441</v>
      </c>
      <c r="F1288" s="1437">
        <v>4600557062</v>
      </c>
      <c r="G1288" s="1463" t="s">
        <v>7245</v>
      </c>
      <c r="H1288" s="1352">
        <f>59795.4+3306.2</f>
        <v>63101.599999999999</v>
      </c>
      <c r="I1288" s="1353">
        <v>44239</v>
      </c>
      <c r="J1288" s="1354">
        <f t="shared" si="172"/>
        <v>84</v>
      </c>
      <c r="K1288" s="1353">
        <v>44323</v>
      </c>
      <c r="L1288" s="1353" t="s">
        <v>41</v>
      </c>
      <c r="M1288" s="1353">
        <v>44309</v>
      </c>
      <c r="N1288" s="1354">
        <f t="shared" si="173"/>
        <v>-6</v>
      </c>
      <c r="O1288" s="1427">
        <v>44317</v>
      </c>
      <c r="P1288" s="1438">
        <v>44319</v>
      </c>
      <c r="Q1288" s="1355">
        <v>44337</v>
      </c>
      <c r="R1288" s="1354">
        <f t="shared" si="168"/>
        <v>98</v>
      </c>
      <c r="S1288" s="1437" t="s">
        <v>7246</v>
      </c>
      <c r="T1288" s="1370" t="s">
        <v>7260</v>
      </c>
      <c r="U1288" s="1358" t="str">
        <f t="shared" si="177"/>
        <v>en término</v>
      </c>
      <c r="V1288" s="1130" t="str">
        <f t="shared" si="176"/>
        <v>Abril</v>
      </c>
      <c r="W1288" s="1128">
        <f t="shared" si="174"/>
        <v>1</v>
      </c>
    </row>
    <row r="1289" spans="1:23" ht="54.95" customHeight="1" thickBot="1" x14ac:dyDescent="0.25">
      <c r="A1289" s="1117">
        <v>2021</v>
      </c>
      <c r="B1289" s="1117">
        <v>2021</v>
      </c>
      <c r="C1289" s="1436" t="s">
        <v>36</v>
      </c>
      <c r="D1289" s="1363" t="s">
        <v>37</v>
      </c>
      <c r="E1289" s="1350" t="s">
        <v>6429</v>
      </c>
      <c r="F1289" s="1437">
        <v>4600558097</v>
      </c>
      <c r="G1289" s="1463" t="s">
        <v>7251</v>
      </c>
      <c r="H1289" s="1352">
        <v>61209</v>
      </c>
      <c r="I1289" s="1353">
        <v>44239</v>
      </c>
      <c r="J1289" s="1354">
        <f t="shared" si="172"/>
        <v>113</v>
      </c>
      <c r="K1289" s="1353">
        <v>44352</v>
      </c>
      <c r="L1289" s="1353" t="s">
        <v>41</v>
      </c>
      <c r="M1289" s="1353">
        <v>44351</v>
      </c>
      <c r="N1289" s="1354">
        <f t="shared" si="173"/>
        <v>7</v>
      </c>
      <c r="O1289" s="1427">
        <v>44359</v>
      </c>
      <c r="P1289" s="1438">
        <v>44361</v>
      </c>
      <c r="Q1289" s="1355">
        <v>44378</v>
      </c>
      <c r="R1289" s="1354">
        <f t="shared" si="168"/>
        <v>139</v>
      </c>
      <c r="S1289" s="1437" t="s">
        <v>7252</v>
      </c>
      <c r="T1289" s="1370" t="s">
        <v>7257</v>
      </c>
      <c r="U1289" s="1358" t="str">
        <f t="shared" si="177"/>
        <v>atrasado</v>
      </c>
      <c r="V1289" s="1130" t="str">
        <f t="shared" si="176"/>
        <v>Junio</v>
      </c>
      <c r="W1289" s="1128">
        <f t="shared" si="174"/>
        <v>0</v>
      </c>
    </row>
    <row r="1290" spans="1:23" ht="54.95" customHeight="1" thickBot="1" x14ac:dyDescent="0.25">
      <c r="A1290" s="1117">
        <v>2021</v>
      </c>
      <c r="B1290" s="1117">
        <v>2021</v>
      </c>
      <c r="C1290" s="1436" t="s">
        <v>36</v>
      </c>
      <c r="D1290" s="1363" t="s">
        <v>37</v>
      </c>
      <c r="E1290" s="1350" t="s">
        <v>6429</v>
      </c>
      <c r="F1290" s="1437">
        <v>4600558097</v>
      </c>
      <c r="G1290" s="1463" t="s">
        <v>7254</v>
      </c>
      <c r="H1290" s="1352">
        <v>170663.23</v>
      </c>
      <c r="I1290" s="1353">
        <v>44239</v>
      </c>
      <c r="J1290" s="1354">
        <f t="shared" si="172"/>
        <v>113</v>
      </c>
      <c r="K1290" s="1353">
        <v>44352</v>
      </c>
      <c r="L1290" s="1353" t="s">
        <v>41</v>
      </c>
      <c r="M1290" s="1353">
        <v>44351</v>
      </c>
      <c r="N1290" s="1354">
        <f t="shared" si="173"/>
        <v>7</v>
      </c>
      <c r="O1290" s="1427">
        <v>44359</v>
      </c>
      <c r="P1290" s="1438">
        <v>44361</v>
      </c>
      <c r="Q1290" s="1355">
        <v>44378</v>
      </c>
      <c r="R1290" s="1354">
        <f t="shared" si="168"/>
        <v>139</v>
      </c>
      <c r="S1290" s="1437" t="s">
        <v>7255</v>
      </c>
      <c r="T1290" s="1370" t="s">
        <v>7262</v>
      </c>
      <c r="U1290" s="1358" t="str">
        <f t="shared" si="177"/>
        <v>atrasado</v>
      </c>
      <c r="V1290" s="1130" t="str">
        <f t="shared" si="176"/>
        <v>Junio</v>
      </c>
      <c r="W1290" s="1128">
        <f t="shared" si="174"/>
        <v>0</v>
      </c>
    </row>
    <row r="1291" spans="1:23" ht="54.95" customHeight="1" thickBot="1" x14ac:dyDescent="0.25">
      <c r="A1291" s="1117">
        <v>2021</v>
      </c>
      <c r="B1291" s="1117">
        <v>2021</v>
      </c>
      <c r="C1291" s="1436" t="s">
        <v>36</v>
      </c>
      <c r="D1291" s="1363" t="s">
        <v>37</v>
      </c>
      <c r="E1291" s="1350" t="s">
        <v>6441</v>
      </c>
      <c r="F1291" s="1437">
        <v>4600557062</v>
      </c>
      <c r="G1291" s="1463" t="s">
        <v>7280</v>
      </c>
      <c r="H1291" s="1352">
        <v>1873.41</v>
      </c>
      <c r="I1291" s="1353">
        <v>44272</v>
      </c>
      <c r="J1291" s="1354">
        <f t="shared" si="172"/>
        <v>81</v>
      </c>
      <c r="K1291" s="1353">
        <v>44353</v>
      </c>
      <c r="L1291" s="1353" t="s">
        <v>41</v>
      </c>
      <c r="M1291" s="1353">
        <v>44351</v>
      </c>
      <c r="N1291" s="1354">
        <f t="shared" si="173"/>
        <v>6</v>
      </c>
      <c r="O1291" s="1427">
        <v>44359</v>
      </c>
      <c r="P1291" s="1438">
        <v>44361</v>
      </c>
      <c r="Q1291" s="1355">
        <v>44378</v>
      </c>
      <c r="R1291" s="1354">
        <f t="shared" si="168"/>
        <v>106</v>
      </c>
      <c r="S1291" s="1437" t="s">
        <v>7281</v>
      </c>
      <c r="T1291" s="1370" t="s">
        <v>7282</v>
      </c>
      <c r="U1291" s="1358" t="str">
        <f t="shared" si="177"/>
        <v>atrasado</v>
      </c>
      <c r="V1291" s="1130" t="str">
        <f t="shared" si="176"/>
        <v>Junio</v>
      </c>
      <c r="W1291" s="1128">
        <f t="shared" si="174"/>
        <v>0</v>
      </c>
    </row>
    <row r="1292" spans="1:23" ht="54.95" customHeight="1" thickBot="1" x14ac:dyDescent="0.25">
      <c r="A1292" s="1117">
        <v>2021</v>
      </c>
      <c r="B1292" s="1117">
        <v>2021</v>
      </c>
      <c r="C1292" s="1436" t="s">
        <v>36</v>
      </c>
      <c r="D1292" s="1363" t="s">
        <v>37</v>
      </c>
      <c r="E1292" s="1350" t="s">
        <v>6441</v>
      </c>
      <c r="F1292" s="1437">
        <v>4600557062</v>
      </c>
      <c r="G1292" s="1463" t="s">
        <v>7283</v>
      </c>
      <c r="H1292" s="1352">
        <v>24267.66</v>
      </c>
      <c r="I1292" s="1353">
        <v>44272</v>
      </c>
      <c r="J1292" s="1354">
        <f t="shared" si="172"/>
        <v>81</v>
      </c>
      <c r="K1292" s="1353">
        <v>44353</v>
      </c>
      <c r="L1292" s="1353" t="s">
        <v>41</v>
      </c>
      <c r="M1292" s="1353">
        <v>44351</v>
      </c>
      <c r="N1292" s="1354">
        <f t="shared" si="173"/>
        <v>6</v>
      </c>
      <c r="O1292" s="1427">
        <v>44359</v>
      </c>
      <c r="P1292" s="1438">
        <v>44361</v>
      </c>
      <c r="Q1292" s="1355">
        <v>44378</v>
      </c>
      <c r="R1292" s="1354">
        <f t="shared" si="168"/>
        <v>106</v>
      </c>
      <c r="S1292" s="1437" t="s">
        <v>7284</v>
      </c>
      <c r="T1292" s="1370" t="s">
        <v>7285</v>
      </c>
      <c r="U1292" s="1358" t="str">
        <f t="shared" si="177"/>
        <v>atrasado</v>
      </c>
      <c r="V1292" s="1130" t="str">
        <f t="shared" si="176"/>
        <v>Junio</v>
      </c>
      <c r="W1292" s="1128">
        <f t="shared" si="174"/>
        <v>0</v>
      </c>
    </row>
    <row r="1293" spans="1:23" ht="54.95" customHeight="1" thickBot="1" x14ac:dyDescent="0.25">
      <c r="A1293" s="1117">
        <v>2021</v>
      </c>
      <c r="B1293" s="1117">
        <v>2021</v>
      </c>
      <c r="C1293" s="1436" t="s">
        <v>36</v>
      </c>
      <c r="D1293" s="1363" t="s">
        <v>37</v>
      </c>
      <c r="E1293" s="1350" t="s">
        <v>7050</v>
      </c>
      <c r="F1293" s="1437">
        <v>4600611934</v>
      </c>
      <c r="G1293" s="1463" t="s">
        <v>7287</v>
      </c>
      <c r="H1293" s="1352">
        <v>153.78</v>
      </c>
      <c r="I1293" s="1353">
        <v>44279</v>
      </c>
      <c r="J1293" s="1354">
        <f t="shared" si="172"/>
        <v>77</v>
      </c>
      <c r="K1293" s="1353">
        <v>44356</v>
      </c>
      <c r="L1293" s="1353" t="s">
        <v>41</v>
      </c>
      <c r="M1293" s="1353">
        <v>44351</v>
      </c>
      <c r="N1293" s="1354">
        <f t="shared" si="173"/>
        <v>3</v>
      </c>
      <c r="O1293" s="1427">
        <v>44359</v>
      </c>
      <c r="P1293" s="1438">
        <v>44361</v>
      </c>
      <c r="Q1293" s="1355">
        <v>44378</v>
      </c>
      <c r="R1293" s="1354">
        <f t="shared" si="168"/>
        <v>99</v>
      </c>
      <c r="S1293" s="1437" t="s">
        <v>53</v>
      </c>
      <c r="T1293" s="1370" t="s">
        <v>7288</v>
      </c>
      <c r="U1293" s="1358" t="str">
        <f t="shared" si="177"/>
        <v>atrasado</v>
      </c>
      <c r="V1293" s="1130" t="str">
        <f t="shared" si="176"/>
        <v>Junio</v>
      </c>
      <c r="W1293" s="1128">
        <f t="shared" si="174"/>
        <v>0</v>
      </c>
    </row>
    <row r="1294" spans="1:23" ht="54.95" customHeight="1" thickBot="1" x14ac:dyDescent="0.25">
      <c r="A1294" s="1117">
        <v>2021</v>
      </c>
      <c r="B1294" s="1117">
        <v>2021</v>
      </c>
      <c r="C1294" s="1436" t="s">
        <v>36</v>
      </c>
      <c r="D1294" s="1363" t="s">
        <v>37</v>
      </c>
      <c r="E1294" s="1350" t="s">
        <v>7319</v>
      </c>
      <c r="F1294" s="1437" t="s">
        <v>7320</v>
      </c>
      <c r="G1294" s="1463" t="s">
        <v>7321</v>
      </c>
      <c r="H1294" s="1352">
        <v>3806</v>
      </c>
      <c r="I1294" s="1353">
        <v>44295</v>
      </c>
      <c r="J1294" s="1354">
        <f t="shared" si="172"/>
        <v>77</v>
      </c>
      <c r="K1294" s="1353">
        <v>44372</v>
      </c>
      <c r="L1294" s="1353" t="s">
        <v>41</v>
      </c>
      <c r="M1294" s="1353">
        <v>44365</v>
      </c>
      <c r="N1294" s="1354">
        <f t="shared" ref="N1294:N1325" si="178">IF(O1294="","",+O1294-K1294)</f>
        <v>8</v>
      </c>
      <c r="O1294" s="1427">
        <v>44380</v>
      </c>
      <c r="P1294" s="1438">
        <v>44381</v>
      </c>
      <c r="Q1294" s="1355">
        <v>44400</v>
      </c>
      <c r="R1294" s="1354">
        <f t="shared" si="168"/>
        <v>105</v>
      </c>
      <c r="S1294" s="1437" t="s">
        <v>53</v>
      </c>
      <c r="T1294" s="1370" t="s">
        <v>7428</v>
      </c>
      <c r="U1294" s="1358" t="str">
        <f t="shared" si="177"/>
        <v>atrasado</v>
      </c>
      <c r="V1294" s="1130" t="str">
        <f t="shared" si="176"/>
        <v>Junio</v>
      </c>
      <c r="W1294" s="1128">
        <f t="shared" si="174"/>
        <v>0</v>
      </c>
    </row>
    <row r="1295" spans="1:23" ht="54.95" customHeight="1" thickBot="1" x14ac:dyDescent="0.25">
      <c r="A1295" s="1117">
        <v>2021</v>
      </c>
      <c r="B1295" s="1117">
        <v>2021</v>
      </c>
      <c r="C1295" s="1436" t="s">
        <v>36</v>
      </c>
      <c r="D1295" s="1363" t="s">
        <v>37</v>
      </c>
      <c r="E1295" s="1350" t="s">
        <v>6441</v>
      </c>
      <c r="F1295" s="1437">
        <v>4600557062</v>
      </c>
      <c r="G1295" s="1463" t="s">
        <v>7298</v>
      </c>
      <c r="H1295" s="1352">
        <v>34730.92</v>
      </c>
      <c r="I1295" s="1353">
        <v>44292</v>
      </c>
      <c r="J1295" s="1354">
        <f t="shared" si="172"/>
        <v>81</v>
      </c>
      <c r="K1295" s="1353">
        <v>44373</v>
      </c>
      <c r="L1295" s="1353" t="s">
        <v>41</v>
      </c>
      <c r="M1295" s="1353">
        <v>44365</v>
      </c>
      <c r="N1295" s="1354">
        <f t="shared" si="178"/>
        <v>7</v>
      </c>
      <c r="O1295" s="1427">
        <v>44380</v>
      </c>
      <c r="P1295" s="1438">
        <v>44381</v>
      </c>
      <c r="Q1295" s="1355">
        <v>44400</v>
      </c>
      <c r="R1295" s="1354">
        <f t="shared" ref="R1295:R1355" si="179">IF(Q1295="","",+Q1295-I1295)</f>
        <v>108</v>
      </c>
      <c r="S1295" s="1437" t="s">
        <v>1038</v>
      </c>
      <c r="T1295" s="1370" t="s">
        <v>7403</v>
      </c>
      <c r="U1295" s="1358" t="str">
        <f t="shared" si="177"/>
        <v>atrasado</v>
      </c>
      <c r="V1295" s="1130" t="str">
        <f t="shared" si="176"/>
        <v>Junio</v>
      </c>
      <c r="W1295" s="1128">
        <f t="shared" si="174"/>
        <v>0</v>
      </c>
    </row>
    <row r="1296" spans="1:23" ht="54.95" customHeight="1" thickBot="1" x14ac:dyDescent="0.25">
      <c r="A1296" s="1117">
        <v>2021</v>
      </c>
      <c r="B1296" s="1117">
        <v>2021</v>
      </c>
      <c r="C1296" s="1436" t="s">
        <v>36</v>
      </c>
      <c r="D1296" s="1363" t="s">
        <v>37</v>
      </c>
      <c r="E1296" s="1350" t="s">
        <v>6441</v>
      </c>
      <c r="F1296" s="1437">
        <v>4600557062</v>
      </c>
      <c r="G1296" s="1463" t="s">
        <v>7300</v>
      </c>
      <c r="H1296" s="1352">
        <v>84373.35</v>
      </c>
      <c r="I1296" s="1353">
        <v>44292</v>
      </c>
      <c r="J1296" s="1354">
        <f t="shared" si="172"/>
        <v>83</v>
      </c>
      <c r="K1296" s="1353">
        <v>44375</v>
      </c>
      <c r="L1296" s="1353" t="s">
        <v>41</v>
      </c>
      <c r="M1296" s="1353">
        <v>44379</v>
      </c>
      <c r="N1296" s="1354">
        <f t="shared" si="178"/>
        <v>12</v>
      </c>
      <c r="O1296" s="1427">
        <v>44387</v>
      </c>
      <c r="P1296" s="1438">
        <v>44389</v>
      </c>
      <c r="Q1296" s="1355">
        <v>44407</v>
      </c>
      <c r="R1296" s="1354">
        <f t="shared" si="179"/>
        <v>115</v>
      </c>
      <c r="S1296" s="1437" t="s">
        <v>7299</v>
      </c>
      <c r="T1296" s="1370" t="s">
        <v>7301</v>
      </c>
      <c r="U1296" s="1358" t="str">
        <f t="shared" si="177"/>
        <v>atrasado</v>
      </c>
      <c r="V1296" s="1130" t="str">
        <f t="shared" si="176"/>
        <v>Julio</v>
      </c>
      <c r="W1296" s="1128">
        <f t="shared" si="174"/>
        <v>0</v>
      </c>
    </row>
    <row r="1297" spans="1:23" ht="54.95" customHeight="1" thickBot="1" x14ac:dyDescent="0.25">
      <c r="A1297" s="1117">
        <v>2021</v>
      </c>
      <c r="B1297" s="1117">
        <v>2021</v>
      </c>
      <c r="C1297" s="1436" t="s">
        <v>36</v>
      </c>
      <c r="D1297" s="1363" t="s">
        <v>37</v>
      </c>
      <c r="E1297" s="1350" t="s">
        <v>6441</v>
      </c>
      <c r="F1297" s="1437">
        <v>4600557062</v>
      </c>
      <c r="G1297" s="1463" t="s">
        <v>7327</v>
      </c>
      <c r="H1297" s="1352">
        <v>11424.1</v>
      </c>
      <c r="I1297" s="1353">
        <v>44308</v>
      </c>
      <c r="J1297" s="1354">
        <f t="shared" si="172"/>
        <v>89</v>
      </c>
      <c r="K1297" s="1353">
        <v>44397</v>
      </c>
      <c r="L1297" s="1353" t="s">
        <v>41</v>
      </c>
      <c r="M1297" s="1353">
        <v>44379</v>
      </c>
      <c r="N1297" s="1354">
        <f t="shared" si="178"/>
        <v>-10</v>
      </c>
      <c r="O1297" s="1427">
        <v>44387</v>
      </c>
      <c r="P1297" s="1438">
        <v>44389</v>
      </c>
      <c r="Q1297" s="1355">
        <v>44407</v>
      </c>
      <c r="R1297" s="1354">
        <f t="shared" si="179"/>
        <v>99</v>
      </c>
      <c r="S1297" s="1437" t="s">
        <v>1832</v>
      </c>
      <c r="T1297" s="1370" t="s">
        <v>7328</v>
      </c>
      <c r="U1297" s="1358" t="str">
        <f t="shared" si="177"/>
        <v>en término</v>
      </c>
      <c r="V1297" s="1130" t="str">
        <f t="shared" si="176"/>
        <v>Julio</v>
      </c>
      <c r="W1297" s="1128">
        <f t="shared" si="174"/>
        <v>1</v>
      </c>
    </row>
    <row r="1298" spans="1:23" ht="54.95" customHeight="1" thickBot="1" x14ac:dyDescent="0.25">
      <c r="A1298" s="1117">
        <v>2021</v>
      </c>
      <c r="B1298" s="1117">
        <v>2021</v>
      </c>
      <c r="C1298" s="1436" t="s">
        <v>36</v>
      </c>
      <c r="D1298" s="1363" t="s">
        <v>37</v>
      </c>
      <c r="E1298" s="1350" t="s">
        <v>6441</v>
      </c>
      <c r="F1298" s="1437">
        <v>4600557062</v>
      </c>
      <c r="G1298" s="1463" t="s">
        <v>7334</v>
      </c>
      <c r="H1298" s="1352">
        <v>9384.51</v>
      </c>
      <c r="I1298" s="1353">
        <v>44316</v>
      </c>
      <c r="J1298" s="1354">
        <f t="shared" si="172"/>
        <v>91</v>
      </c>
      <c r="K1298" s="1353">
        <v>44407</v>
      </c>
      <c r="L1298" s="1353" t="s">
        <v>41</v>
      </c>
      <c r="M1298" s="1353">
        <v>44379</v>
      </c>
      <c r="N1298" s="1354">
        <f t="shared" si="178"/>
        <v>-20</v>
      </c>
      <c r="O1298" s="1427">
        <v>44387</v>
      </c>
      <c r="P1298" s="1438">
        <v>44389</v>
      </c>
      <c r="Q1298" s="1355">
        <v>44407</v>
      </c>
      <c r="R1298" s="1354">
        <f t="shared" si="179"/>
        <v>91</v>
      </c>
      <c r="S1298" s="1437" t="s">
        <v>1808</v>
      </c>
      <c r="T1298" s="1370" t="s">
        <v>7340</v>
      </c>
      <c r="U1298" s="1358" t="str">
        <f t="shared" si="177"/>
        <v>en término</v>
      </c>
      <c r="V1298" s="1130" t="str">
        <f t="shared" si="176"/>
        <v>Julio</v>
      </c>
      <c r="W1298" s="1128">
        <f t="shared" si="174"/>
        <v>1</v>
      </c>
    </row>
    <row r="1299" spans="1:23" ht="54.95" customHeight="1" thickBot="1" x14ac:dyDescent="0.25">
      <c r="A1299" s="1117">
        <v>2021</v>
      </c>
      <c r="B1299" s="1117">
        <v>2021</v>
      </c>
      <c r="C1299" s="1436" t="s">
        <v>36</v>
      </c>
      <c r="D1299" s="1363" t="s">
        <v>37</v>
      </c>
      <c r="E1299" s="1350" t="s">
        <v>7050</v>
      </c>
      <c r="F1299" s="1437">
        <v>4600611934</v>
      </c>
      <c r="G1299" s="1463" t="s">
        <v>7335</v>
      </c>
      <c r="H1299" s="1352">
        <v>207.76</v>
      </c>
      <c r="I1299" s="1353">
        <v>44316</v>
      </c>
      <c r="J1299" s="1354">
        <f t="shared" si="172"/>
        <v>91</v>
      </c>
      <c r="K1299" s="1353">
        <v>44407</v>
      </c>
      <c r="L1299" s="1353" t="s">
        <v>41</v>
      </c>
      <c r="M1299" s="1353">
        <v>44379</v>
      </c>
      <c r="N1299" s="1354">
        <f t="shared" si="178"/>
        <v>-20</v>
      </c>
      <c r="O1299" s="1427">
        <v>44387</v>
      </c>
      <c r="P1299" s="1438">
        <v>44389</v>
      </c>
      <c r="Q1299" s="1355">
        <v>44407</v>
      </c>
      <c r="R1299" s="1354">
        <f t="shared" si="179"/>
        <v>91</v>
      </c>
      <c r="S1299" s="1437" t="s">
        <v>53</v>
      </c>
      <c r="T1299" s="1370" t="s">
        <v>7341</v>
      </c>
      <c r="U1299" s="1358" t="str">
        <f t="shared" si="177"/>
        <v>en término</v>
      </c>
      <c r="V1299" s="1130" t="str">
        <f t="shared" si="176"/>
        <v>Julio</v>
      </c>
      <c r="W1299" s="1128">
        <f t="shared" si="174"/>
        <v>1</v>
      </c>
    </row>
    <row r="1300" spans="1:23" ht="54.95" customHeight="1" thickBot="1" x14ac:dyDescent="0.25">
      <c r="A1300" s="1117">
        <v>2021</v>
      </c>
      <c r="B1300" s="1117">
        <v>2021</v>
      </c>
      <c r="C1300" s="1436" t="s">
        <v>36</v>
      </c>
      <c r="D1300" s="1363" t="s">
        <v>37</v>
      </c>
      <c r="E1300" s="1350" t="s">
        <v>7050</v>
      </c>
      <c r="F1300" s="1437">
        <v>4600611934</v>
      </c>
      <c r="G1300" s="1463" t="s">
        <v>7161</v>
      </c>
      <c r="H1300" s="1352">
        <v>18486</v>
      </c>
      <c r="I1300" s="1353">
        <v>44159</v>
      </c>
      <c r="J1300" s="1354">
        <f t="shared" si="172"/>
        <v>91</v>
      </c>
      <c r="K1300" s="1353">
        <v>44250</v>
      </c>
      <c r="L1300" s="1353" t="s">
        <v>41</v>
      </c>
      <c r="M1300" s="1353">
        <v>44400</v>
      </c>
      <c r="N1300" s="1354">
        <f t="shared" si="178"/>
        <v>158</v>
      </c>
      <c r="O1300" s="1427">
        <v>44408</v>
      </c>
      <c r="P1300" s="1438">
        <v>44410</v>
      </c>
      <c r="Q1300" s="1355">
        <v>44428</v>
      </c>
      <c r="R1300" s="1354">
        <f t="shared" si="179"/>
        <v>269</v>
      </c>
      <c r="S1300" s="1437" t="s">
        <v>7259</v>
      </c>
      <c r="T1300" s="1370" t="s">
        <v>7218</v>
      </c>
      <c r="U1300" s="1358" t="str">
        <f t="shared" si="177"/>
        <v>atrasado</v>
      </c>
      <c r="V1300" s="1130" t="str">
        <f t="shared" si="176"/>
        <v>Julio</v>
      </c>
      <c r="W1300" s="1128">
        <f t="shared" si="174"/>
        <v>0</v>
      </c>
    </row>
    <row r="1301" spans="1:23" ht="54.95" customHeight="1" thickBot="1" x14ac:dyDescent="0.25">
      <c r="A1301" s="1117">
        <v>2021</v>
      </c>
      <c r="B1301" s="1117">
        <v>2021</v>
      </c>
      <c r="C1301" s="1436" t="s">
        <v>36</v>
      </c>
      <c r="D1301" s="1363" t="s">
        <v>37</v>
      </c>
      <c r="E1301" s="1350" t="s">
        <v>6441</v>
      </c>
      <c r="F1301" s="1437">
        <v>4600557062</v>
      </c>
      <c r="G1301" s="1463" t="s">
        <v>7348</v>
      </c>
      <c r="H1301" s="1352">
        <v>2424.5</v>
      </c>
      <c r="I1301" s="1353">
        <v>44329</v>
      </c>
      <c r="J1301" s="1354">
        <f t="shared" si="172"/>
        <v>87</v>
      </c>
      <c r="K1301" s="1353">
        <v>44416</v>
      </c>
      <c r="L1301" s="1353" t="s">
        <v>41</v>
      </c>
      <c r="M1301" s="1353">
        <v>44400</v>
      </c>
      <c r="N1301" s="1354">
        <f t="shared" si="178"/>
        <v>-8</v>
      </c>
      <c r="O1301" s="1427">
        <v>44408</v>
      </c>
      <c r="P1301" s="1438">
        <v>44410</v>
      </c>
      <c r="Q1301" s="1355">
        <v>44428</v>
      </c>
      <c r="R1301" s="1354">
        <f t="shared" si="179"/>
        <v>99</v>
      </c>
      <c r="S1301" s="1437" t="s">
        <v>1020</v>
      </c>
      <c r="T1301" s="1370" t="s">
        <v>7373</v>
      </c>
      <c r="U1301" s="1358" t="str">
        <f t="shared" si="177"/>
        <v>en término</v>
      </c>
      <c r="V1301" s="1130" t="str">
        <f t="shared" si="176"/>
        <v>Julio</v>
      </c>
      <c r="W1301" s="1128">
        <f t="shared" si="174"/>
        <v>1</v>
      </c>
    </row>
    <row r="1302" spans="1:23" ht="54.95" customHeight="1" thickBot="1" x14ac:dyDescent="0.25">
      <c r="A1302" s="1117">
        <v>2021</v>
      </c>
      <c r="B1302" s="1117">
        <v>2021</v>
      </c>
      <c r="C1302" s="1436" t="s">
        <v>36</v>
      </c>
      <c r="D1302" s="1363" t="s">
        <v>37</v>
      </c>
      <c r="E1302" s="1350" t="s">
        <v>6441</v>
      </c>
      <c r="F1302" s="1437">
        <v>4600557062</v>
      </c>
      <c r="G1302" s="1463" t="s">
        <v>7356</v>
      </c>
      <c r="H1302" s="1352">
        <v>4849.0600000000004</v>
      </c>
      <c r="I1302" s="1353">
        <v>44330</v>
      </c>
      <c r="J1302" s="1354">
        <f t="shared" si="172"/>
        <v>81</v>
      </c>
      <c r="K1302" s="1353">
        <v>44411</v>
      </c>
      <c r="L1302" s="1353" t="s">
        <v>41</v>
      </c>
      <c r="M1302" s="1353">
        <v>44400</v>
      </c>
      <c r="N1302" s="1354">
        <f t="shared" si="178"/>
        <v>-3</v>
      </c>
      <c r="O1302" s="1427">
        <v>44408</v>
      </c>
      <c r="P1302" s="1438">
        <v>44410</v>
      </c>
      <c r="Q1302" s="1355">
        <v>44428</v>
      </c>
      <c r="R1302" s="1354">
        <f t="shared" si="179"/>
        <v>98</v>
      </c>
      <c r="S1302" s="1437" t="s">
        <v>3161</v>
      </c>
      <c r="T1302" s="1370" t="s">
        <v>7374</v>
      </c>
      <c r="U1302" s="1358" t="str">
        <f t="shared" si="177"/>
        <v>en término</v>
      </c>
      <c r="V1302" s="1130" t="str">
        <f t="shared" si="176"/>
        <v>Julio</v>
      </c>
      <c r="W1302" s="1128">
        <f t="shared" si="174"/>
        <v>1</v>
      </c>
    </row>
    <row r="1303" spans="1:23" ht="54.95" customHeight="1" thickBot="1" x14ac:dyDescent="0.25">
      <c r="A1303" s="1117">
        <v>2021</v>
      </c>
      <c r="B1303" s="1117">
        <v>2021</v>
      </c>
      <c r="C1303" s="1436" t="s">
        <v>36</v>
      </c>
      <c r="D1303" s="1363" t="s">
        <v>37</v>
      </c>
      <c r="E1303" s="1350" t="s">
        <v>7050</v>
      </c>
      <c r="F1303" s="1437">
        <v>4600611934</v>
      </c>
      <c r="G1303" s="1463" t="s">
        <v>7357</v>
      </c>
      <c r="H1303" s="1352">
        <v>1845.88</v>
      </c>
      <c r="I1303" s="1353">
        <v>44330</v>
      </c>
      <c r="J1303" s="1354">
        <f t="shared" si="172"/>
        <v>91</v>
      </c>
      <c r="K1303" s="1353">
        <v>44421</v>
      </c>
      <c r="L1303" s="1353" t="s">
        <v>41</v>
      </c>
      <c r="M1303" s="1353">
        <v>44400</v>
      </c>
      <c r="N1303" s="1354">
        <f t="shared" si="178"/>
        <v>-13</v>
      </c>
      <c r="O1303" s="1427">
        <v>44408</v>
      </c>
      <c r="P1303" s="1438">
        <v>44410</v>
      </c>
      <c r="Q1303" s="1355">
        <v>44428</v>
      </c>
      <c r="R1303" s="1354">
        <f t="shared" si="179"/>
        <v>98</v>
      </c>
      <c r="S1303" s="1437" t="s">
        <v>7358</v>
      </c>
      <c r="T1303" s="1370" t="s">
        <v>7359</v>
      </c>
      <c r="U1303" s="1358" t="str">
        <f t="shared" si="177"/>
        <v>en término</v>
      </c>
      <c r="V1303" s="1130" t="str">
        <f t="shared" si="176"/>
        <v>Julio</v>
      </c>
      <c r="W1303" s="1128">
        <f t="shared" si="174"/>
        <v>1</v>
      </c>
    </row>
    <row r="1304" spans="1:23" ht="54.95" customHeight="1" thickBot="1" x14ac:dyDescent="0.25">
      <c r="A1304" s="1117">
        <v>2021</v>
      </c>
      <c r="B1304" s="1117">
        <v>2021</v>
      </c>
      <c r="C1304" s="1436" t="s">
        <v>36</v>
      </c>
      <c r="D1304" s="1363" t="s">
        <v>37</v>
      </c>
      <c r="E1304" s="1350" t="s">
        <v>7050</v>
      </c>
      <c r="F1304" s="1437">
        <v>4600611934</v>
      </c>
      <c r="G1304" s="1463" t="s">
        <v>7360</v>
      </c>
      <c r="H1304" s="1352">
        <v>608.34</v>
      </c>
      <c r="I1304" s="1353">
        <v>44330</v>
      </c>
      <c r="J1304" s="1354">
        <f t="shared" si="172"/>
        <v>88</v>
      </c>
      <c r="K1304" s="1353">
        <v>44418</v>
      </c>
      <c r="L1304" s="1353" t="s">
        <v>41</v>
      </c>
      <c r="M1304" s="1353">
        <v>44400</v>
      </c>
      <c r="N1304" s="1354">
        <f t="shared" si="178"/>
        <v>-10</v>
      </c>
      <c r="O1304" s="1427">
        <v>44408</v>
      </c>
      <c r="P1304" s="1438">
        <v>44410</v>
      </c>
      <c r="Q1304" s="1355">
        <v>44428</v>
      </c>
      <c r="R1304" s="1354">
        <f t="shared" si="179"/>
        <v>98</v>
      </c>
      <c r="S1304" s="1437" t="s">
        <v>7361</v>
      </c>
      <c r="T1304" s="1370" t="s">
        <v>7362</v>
      </c>
      <c r="U1304" s="1358" t="str">
        <f t="shared" si="177"/>
        <v>en término</v>
      </c>
      <c r="V1304" s="1130" t="str">
        <f t="shared" si="176"/>
        <v>Julio</v>
      </c>
      <c r="W1304" s="1128">
        <f t="shared" si="174"/>
        <v>1</v>
      </c>
    </row>
    <row r="1305" spans="1:23" ht="54.95" customHeight="1" thickBot="1" x14ac:dyDescent="0.25">
      <c r="A1305" s="1117">
        <v>2021</v>
      </c>
      <c r="B1305" s="1117">
        <v>2021</v>
      </c>
      <c r="C1305" s="1436" t="s">
        <v>36</v>
      </c>
      <c r="D1305" s="1363" t="s">
        <v>37</v>
      </c>
      <c r="E1305" s="1350" t="s">
        <v>6441</v>
      </c>
      <c r="F1305" s="1437">
        <v>4600557062</v>
      </c>
      <c r="G1305" s="1463" t="s">
        <v>7368</v>
      </c>
      <c r="H1305" s="1352">
        <v>3192.6</v>
      </c>
      <c r="I1305" s="1353">
        <v>44330</v>
      </c>
      <c r="J1305" s="1354">
        <f t="shared" si="172"/>
        <v>87</v>
      </c>
      <c r="K1305" s="1353">
        <v>44417</v>
      </c>
      <c r="L1305" s="1353" t="s">
        <v>41</v>
      </c>
      <c r="M1305" s="1353">
        <v>44400</v>
      </c>
      <c r="N1305" s="1354">
        <f t="shared" si="178"/>
        <v>-9</v>
      </c>
      <c r="O1305" s="1427">
        <v>44408</v>
      </c>
      <c r="P1305" s="1438">
        <v>44410</v>
      </c>
      <c r="Q1305" s="1355">
        <v>44428</v>
      </c>
      <c r="R1305" s="1354">
        <f t="shared" si="179"/>
        <v>98</v>
      </c>
      <c r="S1305" s="1437" t="s">
        <v>53</v>
      </c>
      <c r="T1305" s="1370" t="s">
        <v>7369</v>
      </c>
      <c r="U1305" s="1358" t="str">
        <f t="shared" si="177"/>
        <v>en término</v>
      </c>
      <c r="V1305" s="1130" t="str">
        <f t="shared" si="176"/>
        <v>Julio</v>
      </c>
      <c r="W1305" s="1128">
        <f t="shared" si="174"/>
        <v>1</v>
      </c>
    </row>
    <row r="1306" spans="1:23" ht="54.95" customHeight="1" thickBot="1" x14ac:dyDescent="0.25">
      <c r="A1306" s="1117">
        <v>2021</v>
      </c>
      <c r="B1306" s="1117">
        <v>2021</v>
      </c>
      <c r="C1306" s="1436" t="s">
        <v>36</v>
      </c>
      <c r="D1306" s="1363" t="s">
        <v>37</v>
      </c>
      <c r="E1306" s="1350" t="s">
        <v>6441</v>
      </c>
      <c r="F1306" s="1437">
        <v>4600557062</v>
      </c>
      <c r="G1306" s="1463" t="s">
        <v>7370</v>
      </c>
      <c r="H1306" s="1352">
        <v>1784.21</v>
      </c>
      <c r="I1306" s="1353">
        <v>44333</v>
      </c>
      <c r="J1306" s="1354">
        <f t="shared" si="172"/>
        <v>89</v>
      </c>
      <c r="K1306" s="1353">
        <v>44422</v>
      </c>
      <c r="L1306" s="1353" t="s">
        <v>41</v>
      </c>
      <c r="M1306" s="1353">
        <v>44400</v>
      </c>
      <c r="N1306" s="1354">
        <f t="shared" si="178"/>
        <v>-14</v>
      </c>
      <c r="O1306" s="1427">
        <v>44408</v>
      </c>
      <c r="P1306" s="1438">
        <v>44410</v>
      </c>
      <c r="Q1306" s="1355">
        <v>44428</v>
      </c>
      <c r="R1306" s="1354">
        <f t="shared" si="179"/>
        <v>95</v>
      </c>
      <c r="S1306" s="1437" t="s">
        <v>7371</v>
      </c>
      <c r="T1306" s="1370" t="s">
        <v>7372</v>
      </c>
      <c r="U1306" s="1358" t="str">
        <f t="shared" si="177"/>
        <v>en término</v>
      </c>
      <c r="V1306" s="1130" t="str">
        <f t="shared" si="176"/>
        <v>Julio</v>
      </c>
      <c r="W1306" s="1128">
        <f t="shared" si="174"/>
        <v>1</v>
      </c>
    </row>
    <row r="1307" spans="1:23" ht="54.95" customHeight="1" thickBot="1" x14ac:dyDescent="0.25">
      <c r="A1307" s="1117">
        <v>2021</v>
      </c>
      <c r="B1307" s="1117">
        <v>2021</v>
      </c>
      <c r="C1307" s="1436" t="s">
        <v>36</v>
      </c>
      <c r="D1307" s="1363" t="s">
        <v>37</v>
      </c>
      <c r="E1307" s="1350" t="s">
        <v>7050</v>
      </c>
      <c r="F1307" s="1437">
        <v>4600611934</v>
      </c>
      <c r="G1307" s="1463" t="s">
        <v>7378</v>
      </c>
      <c r="H1307" s="1352">
        <v>134.80000000000001</v>
      </c>
      <c r="I1307" s="1353">
        <v>44340</v>
      </c>
      <c r="J1307" s="1354">
        <f t="shared" si="172"/>
        <v>89</v>
      </c>
      <c r="K1307" s="1353">
        <v>44429</v>
      </c>
      <c r="L1307" s="1353" t="s">
        <v>41</v>
      </c>
      <c r="M1307" s="1353">
        <v>44400</v>
      </c>
      <c r="N1307" s="1354">
        <f t="shared" si="178"/>
        <v>-21</v>
      </c>
      <c r="O1307" s="1427">
        <v>44408</v>
      </c>
      <c r="P1307" s="1438">
        <v>44410</v>
      </c>
      <c r="Q1307" s="1355">
        <v>44428</v>
      </c>
      <c r="R1307" s="1354">
        <f t="shared" si="179"/>
        <v>88</v>
      </c>
      <c r="S1307" s="1437" t="s">
        <v>53</v>
      </c>
      <c r="T1307" s="1370" t="s">
        <v>7381</v>
      </c>
      <c r="U1307" s="1358" t="str">
        <f t="shared" si="177"/>
        <v>en término</v>
      </c>
      <c r="V1307" s="1130" t="str">
        <f t="shared" si="176"/>
        <v>Julio</v>
      </c>
      <c r="W1307" s="1128">
        <f t="shared" si="174"/>
        <v>1</v>
      </c>
    </row>
    <row r="1308" spans="1:23" ht="54.95" customHeight="1" thickBot="1" x14ac:dyDescent="0.25">
      <c r="A1308" s="1117">
        <v>2021</v>
      </c>
      <c r="B1308" s="1117">
        <v>2021</v>
      </c>
      <c r="C1308" s="1436" t="s">
        <v>36</v>
      </c>
      <c r="D1308" s="1363" t="s">
        <v>37</v>
      </c>
      <c r="E1308" s="1350" t="s">
        <v>7050</v>
      </c>
      <c r="F1308" s="1437">
        <v>4600611934</v>
      </c>
      <c r="G1308" s="1463" t="s">
        <v>7379</v>
      </c>
      <c r="H1308" s="1352">
        <v>67.400000000000006</v>
      </c>
      <c r="I1308" s="1353">
        <v>44340</v>
      </c>
      <c r="J1308" s="1354">
        <f t="shared" si="172"/>
        <v>89</v>
      </c>
      <c r="K1308" s="1353">
        <v>44429</v>
      </c>
      <c r="L1308" s="1353" t="s">
        <v>41</v>
      </c>
      <c r="M1308" s="1353">
        <v>44400</v>
      </c>
      <c r="N1308" s="1354">
        <f t="shared" si="178"/>
        <v>-21</v>
      </c>
      <c r="O1308" s="1427">
        <v>44408</v>
      </c>
      <c r="P1308" s="1438">
        <v>44410</v>
      </c>
      <c r="Q1308" s="1355">
        <v>44428</v>
      </c>
      <c r="R1308" s="1354">
        <f t="shared" si="179"/>
        <v>88</v>
      </c>
      <c r="S1308" s="1437" t="s">
        <v>53</v>
      </c>
      <c r="T1308" s="1370" t="s">
        <v>7380</v>
      </c>
      <c r="U1308" s="1358" t="str">
        <f t="shared" si="177"/>
        <v>en término</v>
      </c>
      <c r="V1308" s="1130" t="str">
        <f t="shared" si="176"/>
        <v>Julio</v>
      </c>
      <c r="W1308" s="1128">
        <f t="shared" si="174"/>
        <v>1</v>
      </c>
    </row>
    <row r="1309" spans="1:23" ht="54.95" customHeight="1" thickBot="1" x14ac:dyDescent="0.25">
      <c r="A1309" s="1117">
        <v>2021</v>
      </c>
      <c r="B1309" s="1117">
        <v>2021</v>
      </c>
      <c r="C1309" s="1436" t="s">
        <v>36</v>
      </c>
      <c r="D1309" s="1363" t="s">
        <v>37</v>
      </c>
      <c r="E1309" s="1350" t="s">
        <v>7292</v>
      </c>
      <c r="F1309" s="1437" t="s">
        <v>7302</v>
      </c>
      <c r="G1309" s="1463" t="s">
        <v>7293</v>
      </c>
      <c r="H1309" s="1352">
        <v>10000</v>
      </c>
      <c r="I1309" s="1353">
        <v>44280</v>
      </c>
      <c r="J1309" s="1354">
        <f t="shared" si="172"/>
        <v>109</v>
      </c>
      <c r="K1309" s="1353">
        <v>44389</v>
      </c>
      <c r="L1309" s="1353" t="s">
        <v>41</v>
      </c>
      <c r="M1309" s="1353">
        <v>44407</v>
      </c>
      <c r="N1309" s="1354">
        <f t="shared" si="178"/>
        <v>26</v>
      </c>
      <c r="O1309" s="1427">
        <v>44415</v>
      </c>
      <c r="P1309" s="1438">
        <v>44417</v>
      </c>
      <c r="Q1309" s="1355">
        <v>44435</v>
      </c>
      <c r="R1309" s="1354">
        <f t="shared" si="179"/>
        <v>155</v>
      </c>
      <c r="S1309" s="1437" t="s">
        <v>53</v>
      </c>
      <c r="T1309" s="1370" t="s">
        <v>7294</v>
      </c>
      <c r="U1309" s="1358" t="str">
        <f t="shared" si="177"/>
        <v>atrasado</v>
      </c>
      <c r="V1309" s="1130" t="str">
        <f t="shared" si="176"/>
        <v>Julio</v>
      </c>
      <c r="W1309" s="1128">
        <f t="shared" si="174"/>
        <v>0</v>
      </c>
    </row>
    <row r="1310" spans="1:23" ht="54.95" customHeight="1" thickBot="1" x14ac:dyDescent="0.25">
      <c r="A1310" s="1117">
        <v>2021</v>
      </c>
      <c r="B1310" s="1117">
        <v>2021</v>
      </c>
      <c r="C1310" s="1436" t="s">
        <v>36</v>
      </c>
      <c r="D1310" s="1363" t="s">
        <v>37</v>
      </c>
      <c r="E1310" s="1350" t="s">
        <v>6441</v>
      </c>
      <c r="F1310" s="1437">
        <v>4600557062</v>
      </c>
      <c r="G1310" s="1463" t="s">
        <v>7346</v>
      </c>
      <c r="H1310" s="1352">
        <v>27063.15</v>
      </c>
      <c r="I1310" s="1353">
        <v>44328</v>
      </c>
      <c r="J1310" s="1354">
        <f t="shared" si="172"/>
        <v>83</v>
      </c>
      <c r="K1310" s="1353">
        <v>44411</v>
      </c>
      <c r="L1310" s="1353" t="s">
        <v>41</v>
      </c>
      <c r="M1310" s="1353">
        <v>44407</v>
      </c>
      <c r="N1310" s="1354">
        <f t="shared" si="178"/>
        <v>4</v>
      </c>
      <c r="O1310" s="1427">
        <v>44415</v>
      </c>
      <c r="P1310" s="1438">
        <v>44417</v>
      </c>
      <c r="Q1310" s="1355">
        <v>44435</v>
      </c>
      <c r="R1310" s="1354">
        <f t="shared" si="179"/>
        <v>107</v>
      </c>
      <c r="S1310" s="1437" t="s">
        <v>1269</v>
      </c>
      <c r="T1310" s="1370" t="s">
        <v>7347</v>
      </c>
      <c r="U1310" s="1358" t="str">
        <f t="shared" ref="U1310:U1327" si="180">IF(N1310="","",IF(N1310&lt;=0,"en término","atrasado"))</f>
        <v>atrasado</v>
      </c>
      <c r="V1310" s="1130" t="str">
        <f t="shared" si="176"/>
        <v>Julio</v>
      </c>
      <c r="W1310" s="1128">
        <f t="shared" si="174"/>
        <v>0</v>
      </c>
    </row>
    <row r="1311" spans="1:23" ht="54.95" customHeight="1" thickBot="1" x14ac:dyDescent="0.25">
      <c r="A1311" s="1117">
        <v>2021</v>
      </c>
      <c r="B1311" s="1117">
        <v>2021</v>
      </c>
      <c r="C1311" s="1436" t="s">
        <v>36</v>
      </c>
      <c r="D1311" s="1363" t="s">
        <v>37</v>
      </c>
      <c r="E1311" s="1350" t="s">
        <v>6441</v>
      </c>
      <c r="F1311" s="1437">
        <v>4600557062</v>
      </c>
      <c r="G1311" s="1463" t="s">
        <v>7350</v>
      </c>
      <c r="H1311" s="1352">
        <v>19630.55</v>
      </c>
      <c r="I1311" s="1353">
        <v>44329</v>
      </c>
      <c r="J1311" s="1354">
        <f t="shared" si="172"/>
        <v>86</v>
      </c>
      <c r="K1311" s="1353">
        <v>44415</v>
      </c>
      <c r="L1311" s="1353" t="s">
        <v>41</v>
      </c>
      <c r="M1311" s="1353">
        <v>44407</v>
      </c>
      <c r="N1311" s="1354">
        <f t="shared" si="178"/>
        <v>0</v>
      </c>
      <c r="O1311" s="1427">
        <v>44415</v>
      </c>
      <c r="P1311" s="1438">
        <v>44417</v>
      </c>
      <c r="Q1311" s="1355">
        <v>44435</v>
      </c>
      <c r="R1311" s="1354">
        <f t="shared" si="179"/>
        <v>106</v>
      </c>
      <c r="S1311" s="1437" t="s">
        <v>7351</v>
      </c>
      <c r="T1311" s="1370" t="s">
        <v>7352</v>
      </c>
      <c r="U1311" s="1358" t="str">
        <f t="shared" si="180"/>
        <v>en término</v>
      </c>
      <c r="V1311" s="1130" t="str">
        <f t="shared" si="176"/>
        <v>Julio</v>
      </c>
      <c r="W1311" s="1128">
        <f t="shared" si="174"/>
        <v>1</v>
      </c>
    </row>
    <row r="1312" spans="1:23" ht="54.95" customHeight="1" thickBot="1" x14ac:dyDescent="0.25">
      <c r="A1312" s="1117">
        <v>2021</v>
      </c>
      <c r="B1312" s="1117">
        <v>2021</v>
      </c>
      <c r="C1312" s="1436" t="s">
        <v>36</v>
      </c>
      <c r="D1312" s="1363" t="s">
        <v>37</v>
      </c>
      <c r="E1312" s="1350" t="s">
        <v>6441</v>
      </c>
      <c r="F1312" s="1437">
        <v>4600557062</v>
      </c>
      <c r="G1312" s="1463" t="s">
        <v>7353</v>
      </c>
      <c r="H1312" s="1352">
        <v>19136.52</v>
      </c>
      <c r="I1312" s="1353">
        <v>44329</v>
      </c>
      <c r="J1312" s="1354">
        <f t="shared" si="172"/>
        <v>87</v>
      </c>
      <c r="K1312" s="1353">
        <v>44416</v>
      </c>
      <c r="L1312" s="1353" t="s">
        <v>41</v>
      </c>
      <c r="M1312" s="1353">
        <v>44428</v>
      </c>
      <c r="N1312" s="1354">
        <f t="shared" si="178"/>
        <v>20</v>
      </c>
      <c r="O1312" s="1427">
        <v>44436</v>
      </c>
      <c r="P1312" s="1438">
        <v>44438</v>
      </c>
      <c r="Q1312" s="1355">
        <v>44456</v>
      </c>
      <c r="R1312" s="1354">
        <f t="shared" si="179"/>
        <v>127</v>
      </c>
      <c r="S1312" s="1437" t="s">
        <v>7354</v>
      </c>
      <c r="T1312" s="1370" t="s">
        <v>7355</v>
      </c>
      <c r="U1312" s="1358" t="str">
        <f t="shared" si="180"/>
        <v>atrasado</v>
      </c>
      <c r="V1312" s="1130" t="str">
        <f t="shared" si="176"/>
        <v>Agosto</v>
      </c>
      <c r="W1312" s="1128">
        <f t="shared" si="174"/>
        <v>0</v>
      </c>
    </row>
    <row r="1313" spans="1:23" ht="54.95" customHeight="1" thickBot="1" x14ac:dyDescent="0.25">
      <c r="A1313" s="1117">
        <v>2021</v>
      </c>
      <c r="B1313" s="1117">
        <v>2021</v>
      </c>
      <c r="C1313" s="1436" t="s">
        <v>36</v>
      </c>
      <c r="D1313" s="1363" t="s">
        <v>37</v>
      </c>
      <c r="E1313" s="1350" t="s">
        <v>6441</v>
      </c>
      <c r="F1313" s="1437">
        <v>4600557062</v>
      </c>
      <c r="G1313" s="1463" t="s">
        <v>7363</v>
      </c>
      <c r="H1313" s="1352">
        <v>11454.92</v>
      </c>
      <c r="I1313" s="1353">
        <v>44330</v>
      </c>
      <c r="J1313" s="1354">
        <f t="shared" si="172"/>
        <v>90</v>
      </c>
      <c r="K1313" s="1353">
        <v>44420</v>
      </c>
      <c r="L1313" s="1353" t="s">
        <v>41</v>
      </c>
      <c r="M1313" s="1353">
        <v>44428</v>
      </c>
      <c r="N1313" s="1354">
        <f t="shared" si="178"/>
        <v>16</v>
      </c>
      <c r="O1313" s="1427">
        <v>44436</v>
      </c>
      <c r="P1313" s="1438">
        <v>44438</v>
      </c>
      <c r="Q1313" s="1355">
        <v>44456</v>
      </c>
      <c r="R1313" s="1354">
        <f t="shared" si="179"/>
        <v>126</v>
      </c>
      <c r="S1313" s="1437" t="s">
        <v>7354</v>
      </c>
      <c r="T1313" s="1370" t="s">
        <v>7364</v>
      </c>
      <c r="U1313" s="1358" t="str">
        <f t="shared" si="180"/>
        <v>atrasado</v>
      </c>
      <c r="V1313" s="1130" t="str">
        <f t="shared" si="176"/>
        <v>Agosto</v>
      </c>
      <c r="W1313" s="1128">
        <f t="shared" si="174"/>
        <v>0</v>
      </c>
    </row>
    <row r="1314" spans="1:23" ht="54.95" customHeight="1" thickBot="1" x14ac:dyDescent="0.25">
      <c r="A1314" s="1117">
        <v>2021</v>
      </c>
      <c r="B1314" s="1117">
        <v>2021</v>
      </c>
      <c r="C1314" s="1436" t="s">
        <v>36</v>
      </c>
      <c r="D1314" s="1363" t="s">
        <v>37</v>
      </c>
      <c r="E1314" s="1350" t="s">
        <v>6441</v>
      </c>
      <c r="F1314" s="1437">
        <v>4600557062</v>
      </c>
      <c r="G1314" s="1463" t="s">
        <v>7365</v>
      </c>
      <c r="H1314" s="1352">
        <v>15947.1</v>
      </c>
      <c r="I1314" s="1353">
        <v>44330</v>
      </c>
      <c r="J1314" s="1354">
        <f t="shared" si="172"/>
        <v>90</v>
      </c>
      <c r="K1314" s="1353">
        <v>44420</v>
      </c>
      <c r="L1314" s="1353" t="s">
        <v>41</v>
      </c>
      <c r="M1314" s="1353">
        <v>44428</v>
      </c>
      <c r="N1314" s="1354">
        <f t="shared" si="178"/>
        <v>16</v>
      </c>
      <c r="O1314" s="1427">
        <v>44436</v>
      </c>
      <c r="P1314" s="1438">
        <v>44438</v>
      </c>
      <c r="Q1314" s="1355">
        <v>44456</v>
      </c>
      <c r="R1314" s="1354">
        <f t="shared" si="179"/>
        <v>126</v>
      </c>
      <c r="S1314" s="1437" t="s">
        <v>7366</v>
      </c>
      <c r="T1314" s="1370" t="s">
        <v>7367</v>
      </c>
      <c r="U1314" s="1358" t="str">
        <f t="shared" si="180"/>
        <v>atrasado</v>
      </c>
      <c r="V1314" s="1130" t="str">
        <f t="shared" si="176"/>
        <v>Agosto</v>
      </c>
      <c r="W1314" s="1128">
        <f t="shared" si="174"/>
        <v>0</v>
      </c>
    </row>
    <row r="1315" spans="1:23" ht="54.95" customHeight="1" thickBot="1" x14ac:dyDescent="0.25">
      <c r="A1315" s="1117">
        <v>2021</v>
      </c>
      <c r="B1315" s="1117">
        <v>2021</v>
      </c>
      <c r="C1315" s="1436" t="s">
        <v>36</v>
      </c>
      <c r="D1315" s="1363" t="s">
        <v>37</v>
      </c>
      <c r="E1315" s="1350" t="s">
        <v>6441</v>
      </c>
      <c r="F1315" s="1437">
        <v>4600557062</v>
      </c>
      <c r="G1315" s="1463" t="s">
        <v>7375</v>
      </c>
      <c r="H1315" s="1352">
        <v>4933.8599999999997</v>
      </c>
      <c r="I1315" s="1353">
        <v>44334</v>
      </c>
      <c r="J1315" s="1354">
        <f t="shared" si="172"/>
        <v>88</v>
      </c>
      <c r="K1315" s="1353">
        <v>44422</v>
      </c>
      <c r="L1315" s="1353" t="s">
        <v>41</v>
      </c>
      <c r="M1315" s="1353">
        <v>44407</v>
      </c>
      <c r="N1315" s="1354">
        <f t="shared" si="178"/>
        <v>-7</v>
      </c>
      <c r="O1315" s="1427">
        <v>44415</v>
      </c>
      <c r="P1315" s="1438">
        <v>44417</v>
      </c>
      <c r="Q1315" s="1355">
        <v>44435</v>
      </c>
      <c r="R1315" s="1354">
        <f t="shared" si="179"/>
        <v>101</v>
      </c>
      <c r="S1315" s="1437" t="s">
        <v>2633</v>
      </c>
      <c r="T1315" s="1370" t="s">
        <v>7376</v>
      </c>
      <c r="U1315" s="1358" t="str">
        <f t="shared" si="180"/>
        <v>en término</v>
      </c>
      <c r="V1315" s="1130" t="str">
        <f t="shared" si="176"/>
        <v>Julio</v>
      </c>
      <c r="W1315" s="1128">
        <f t="shared" si="174"/>
        <v>1</v>
      </c>
    </row>
    <row r="1316" spans="1:23" ht="54.95" customHeight="1" thickBot="1" x14ac:dyDescent="0.25">
      <c r="A1316" s="1117">
        <v>2021</v>
      </c>
      <c r="B1316" s="1117">
        <v>2021</v>
      </c>
      <c r="C1316" s="1436" t="s">
        <v>36</v>
      </c>
      <c r="D1316" s="1363" t="s">
        <v>37</v>
      </c>
      <c r="E1316" s="1350" t="s">
        <v>6441</v>
      </c>
      <c r="F1316" s="1437">
        <v>4600557062</v>
      </c>
      <c r="G1316" s="1463" t="s">
        <v>7382</v>
      </c>
      <c r="H1316" s="1352">
        <v>1591.95</v>
      </c>
      <c r="I1316" s="1353">
        <v>44343</v>
      </c>
      <c r="J1316" s="1354">
        <f t="shared" si="172"/>
        <v>86</v>
      </c>
      <c r="K1316" s="1353">
        <v>44429</v>
      </c>
      <c r="L1316" s="1353" t="s">
        <v>41</v>
      </c>
      <c r="M1316" s="1353">
        <v>44407</v>
      </c>
      <c r="N1316" s="1354">
        <f t="shared" si="178"/>
        <v>-14</v>
      </c>
      <c r="O1316" s="1427">
        <v>44415</v>
      </c>
      <c r="P1316" s="1438">
        <v>44417</v>
      </c>
      <c r="Q1316" s="1355">
        <v>44435</v>
      </c>
      <c r="R1316" s="1354">
        <f t="shared" si="179"/>
        <v>92</v>
      </c>
      <c r="S1316" s="1437" t="s">
        <v>1020</v>
      </c>
      <c r="T1316" s="1370" t="s">
        <v>7386</v>
      </c>
      <c r="U1316" s="1358" t="str">
        <f t="shared" si="180"/>
        <v>en término</v>
      </c>
      <c r="V1316" s="1130" t="str">
        <f t="shared" si="176"/>
        <v>Julio</v>
      </c>
      <c r="W1316" s="1128">
        <f t="shared" si="174"/>
        <v>1</v>
      </c>
    </row>
    <row r="1317" spans="1:23" ht="54.95" customHeight="1" thickBot="1" x14ac:dyDescent="0.25">
      <c r="A1317" s="1117">
        <v>2021</v>
      </c>
      <c r="B1317" s="1117">
        <v>2021</v>
      </c>
      <c r="C1317" s="1436" t="s">
        <v>36</v>
      </c>
      <c r="D1317" s="1363" t="s">
        <v>37</v>
      </c>
      <c r="E1317" s="1350" t="s">
        <v>7385</v>
      </c>
      <c r="F1317" s="1437" t="s">
        <v>7383</v>
      </c>
      <c r="G1317" s="1463" t="s">
        <v>7384</v>
      </c>
      <c r="H1317" s="1352">
        <v>2183</v>
      </c>
      <c r="I1317" s="1353">
        <v>44343</v>
      </c>
      <c r="J1317" s="1354">
        <f t="shared" si="172"/>
        <v>71</v>
      </c>
      <c r="K1317" s="1353">
        <v>44414</v>
      </c>
      <c r="L1317" s="1353" t="s">
        <v>41</v>
      </c>
      <c r="M1317" s="1353">
        <v>44407</v>
      </c>
      <c r="N1317" s="1354">
        <f t="shared" si="178"/>
        <v>1</v>
      </c>
      <c r="O1317" s="1427">
        <v>44415</v>
      </c>
      <c r="P1317" s="1438">
        <v>44417</v>
      </c>
      <c r="Q1317" s="1355">
        <v>44435</v>
      </c>
      <c r="R1317" s="1354">
        <f t="shared" si="179"/>
        <v>92</v>
      </c>
      <c r="S1317" s="1437" t="s">
        <v>1020</v>
      </c>
      <c r="T1317" s="1370" t="s">
        <v>7387</v>
      </c>
      <c r="U1317" s="1358" t="str">
        <f t="shared" si="180"/>
        <v>atrasado</v>
      </c>
      <c r="V1317" s="1130" t="str">
        <f t="shared" si="176"/>
        <v>Julio</v>
      </c>
      <c r="W1317" s="1128">
        <f t="shared" si="174"/>
        <v>0</v>
      </c>
    </row>
    <row r="1318" spans="1:23" ht="54.95" customHeight="1" thickBot="1" x14ac:dyDescent="0.25">
      <c r="A1318" s="1117">
        <v>2021</v>
      </c>
      <c r="B1318" s="1117">
        <v>2021</v>
      </c>
      <c r="C1318" s="1436" t="s">
        <v>36</v>
      </c>
      <c r="D1318" s="1363" t="s">
        <v>37</v>
      </c>
      <c r="E1318" s="1350" t="s">
        <v>6441</v>
      </c>
      <c r="F1318" s="1437">
        <v>4600557062</v>
      </c>
      <c r="G1318" s="1463" t="s">
        <v>7389</v>
      </c>
      <c r="H1318" s="1352">
        <v>15476.72</v>
      </c>
      <c r="I1318" s="1353">
        <v>44350</v>
      </c>
      <c r="J1318" s="1354">
        <f t="shared" si="172"/>
        <v>90</v>
      </c>
      <c r="K1318" s="1353">
        <v>44440</v>
      </c>
      <c r="L1318" s="1353" t="s">
        <v>41</v>
      </c>
      <c r="M1318" s="1353">
        <v>44435</v>
      </c>
      <c r="N1318" s="1354">
        <f t="shared" si="178"/>
        <v>3</v>
      </c>
      <c r="O1318" s="1427">
        <v>44443</v>
      </c>
      <c r="P1318" s="1438">
        <v>44445</v>
      </c>
      <c r="Q1318" s="1355">
        <v>44463</v>
      </c>
      <c r="R1318" s="1354">
        <f t="shared" si="179"/>
        <v>113</v>
      </c>
      <c r="S1318" s="1437" t="s">
        <v>7394</v>
      </c>
      <c r="T1318" s="1370" t="s">
        <v>7391</v>
      </c>
      <c r="U1318" s="1358" t="str">
        <f>IF(N1318="","",IF(N1318&lt;=0,"en término","atrasado"))</f>
        <v>atrasado</v>
      </c>
      <c r="V1318" s="1130" t="str">
        <f t="shared" si="176"/>
        <v>Agosto</v>
      </c>
      <c r="W1318" s="1128">
        <f t="shared" si="174"/>
        <v>0</v>
      </c>
    </row>
    <row r="1319" spans="1:23" ht="54.95" customHeight="1" thickBot="1" x14ac:dyDescent="0.25">
      <c r="A1319" s="1117">
        <v>2021</v>
      </c>
      <c r="B1319" s="1117">
        <v>2021</v>
      </c>
      <c r="C1319" s="1436" t="s">
        <v>36</v>
      </c>
      <c r="D1319" s="1363" t="s">
        <v>37</v>
      </c>
      <c r="E1319" s="1350" t="s">
        <v>6441</v>
      </c>
      <c r="F1319" s="1437">
        <v>4600557062</v>
      </c>
      <c r="G1319" s="1463" t="s">
        <v>7390</v>
      </c>
      <c r="H1319" s="1352">
        <v>26828.15</v>
      </c>
      <c r="I1319" s="1353">
        <v>44350</v>
      </c>
      <c r="J1319" s="1354">
        <f t="shared" si="172"/>
        <v>90</v>
      </c>
      <c r="K1319" s="1353">
        <v>44440</v>
      </c>
      <c r="L1319" s="1353" t="s">
        <v>41</v>
      </c>
      <c r="M1319" s="1353">
        <v>44435</v>
      </c>
      <c r="N1319" s="1354">
        <f t="shared" si="178"/>
        <v>3</v>
      </c>
      <c r="O1319" s="1427">
        <v>44443</v>
      </c>
      <c r="P1319" s="1438">
        <v>44445</v>
      </c>
      <c r="Q1319" s="1355">
        <v>44463</v>
      </c>
      <c r="R1319" s="1354">
        <f t="shared" si="179"/>
        <v>113</v>
      </c>
      <c r="S1319" s="1437" t="s">
        <v>921</v>
      </c>
      <c r="T1319" s="1370" t="s">
        <v>7392</v>
      </c>
      <c r="U1319" s="1358" t="str">
        <f t="shared" si="180"/>
        <v>atrasado</v>
      </c>
      <c r="V1319" s="1130" t="str">
        <f t="shared" si="176"/>
        <v>Agosto</v>
      </c>
      <c r="W1319" s="1128">
        <f t="shared" si="174"/>
        <v>0</v>
      </c>
    </row>
    <row r="1320" spans="1:23" ht="54.95" customHeight="1" thickBot="1" x14ac:dyDescent="0.25">
      <c r="A1320" s="1117">
        <v>2021</v>
      </c>
      <c r="B1320" s="1117">
        <v>2021</v>
      </c>
      <c r="C1320" s="1436" t="s">
        <v>36</v>
      </c>
      <c r="D1320" s="1363" t="s">
        <v>37</v>
      </c>
      <c r="E1320" s="1350" t="s">
        <v>6441</v>
      </c>
      <c r="F1320" s="1437">
        <v>4600557062</v>
      </c>
      <c r="G1320" s="1463" t="s">
        <v>7411</v>
      </c>
      <c r="H1320" s="1352">
        <v>10865.88</v>
      </c>
      <c r="I1320" s="1353">
        <v>44383</v>
      </c>
      <c r="J1320" s="1354">
        <f t="shared" si="172"/>
        <v>89</v>
      </c>
      <c r="K1320" s="1353">
        <v>44472</v>
      </c>
      <c r="L1320" s="1353" t="s">
        <v>41</v>
      </c>
      <c r="M1320" s="1353">
        <v>44453</v>
      </c>
      <c r="N1320" s="1354">
        <f t="shared" si="178"/>
        <v>-8</v>
      </c>
      <c r="O1320" s="1427">
        <v>44464</v>
      </c>
      <c r="P1320" s="1438">
        <v>44480</v>
      </c>
      <c r="Q1320" s="1355">
        <v>44519</v>
      </c>
      <c r="R1320" s="1354">
        <f t="shared" si="179"/>
        <v>136</v>
      </c>
      <c r="S1320" s="1437" t="s">
        <v>378</v>
      </c>
      <c r="T1320" s="1370" t="s">
        <v>7413</v>
      </c>
      <c r="U1320" s="1358" t="str">
        <f t="shared" si="180"/>
        <v>en término</v>
      </c>
      <c r="V1320" s="1130" t="str">
        <f t="shared" si="176"/>
        <v>Septiembre</v>
      </c>
      <c r="W1320" s="1128">
        <f t="shared" si="174"/>
        <v>1</v>
      </c>
    </row>
    <row r="1321" spans="1:23" ht="54.95" customHeight="1" thickBot="1" x14ac:dyDescent="0.25">
      <c r="A1321" s="1117">
        <v>2021</v>
      </c>
      <c r="B1321" s="1117">
        <v>2021</v>
      </c>
      <c r="C1321" s="1436" t="s">
        <v>36</v>
      </c>
      <c r="D1321" s="1363" t="s">
        <v>37</v>
      </c>
      <c r="E1321" s="1350" t="s">
        <v>6441</v>
      </c>
      <c r="F1321" s="1437">
        <v>4600557062</v>
      </c>
      <c r="G1321" s="1463" t="s">
        <v>7412</v>
      </c>
      <c r="H1321" s="1352">
        <v>22287.3</v>
      </c>
      <c r="I1321" s="1353">
        <v>44383</v>
      </c>
      <c r="J1321" s="1354">
        <f t="shared" si="172"/>
        <v>89</v>
      </c>
      <c r="K1321" s="1353">
        <v>44472</v>
      </c>
      <c r="L1321" s="1353" t="s">
        <v>41</v>
      </c>
      <c r="M1321" s="1353">
        <v>44453</v>
      </c>
      <c r="N1321" s="1354">
        <f t="shared" si="178"/>
        <v>-8</v>
      </c>
      <c r="O1321" s="1427">
        <v>44464</v>
      </c>
      <c r="P1321" s="1438">
        <v>44480</v>
      </c>
      <c r="Q1321" s="1355">
        <v>44519</v>
      </c>
      <c r="R1321" s="1354">
        <f t="shared" si="179"/>
        <v>136</v>
      </c>
      <c r="S1321" s="1437" t="s">
        <v>925</v>
      </c>
      <c r="T1321" s="1370" t="s">
        <v>7414</v>
      </c>
      <c r="U1321" s="1358" t="str">
        <f t="shared" si="180"/>
        <v>en término</v>
      </c>
      <c r="V1321" s="1130" t="str">
        <f t="shared" si="176"/>
        <v>Septiembre</v>
      </c>
      <c r="W1321" s="1128">
        <f t="shared" si="174"/>
        <v>1</v>
      </c>
    </row>
    <row r="1322" spans="1:23" ht="54.95" customHeight="1" thickBot="1" x14ac:dyDescent="0.25">
      <c r="A1322" s="1117">
        <v>2021</v>
      </c>
      <c r="B1322" s="1117">
        <v>2021</v>
      </c>
      <c r="C1322" s="1436" t="s">
        <v>36</v>
      </c>
      <c r="D1322" s="1363" t="s">
        <v>37</v>
      </c>
      <c r="E1322" s="1350" t="s">
        <v>6441</v>
      </c>
      <c r="F1322" s="1437">
        <v>4600557062</v>
      </c>
      <c r="G1322" s="1463" t="s">
        <v>7419</v>
      </c>
      <c r="H1322" s="1352">
        <v>26647.11</v>
      </c>
      <c r="I1322" s="1353">
        <v>44389</v>
      </c>
      <c r="J1322" s="1354">
        <f t="shared" si="172"/>
        <v>90</v>
      </c>
      <c r="K1322" s="1353">
        <v>44479</v>
      </c>
      <c r="L1322" s="1353" t="s">
        <v>41</v>
      </c>
      <c r="M1322" s="1353">
        <v>44453</v>
      </c>
      <c r="N1322" s="1354">
        <f t="shared" si="178"/>
        <v>-15</v>
      </c>
      <c r="O1322" s="1427">
        <v>44464</v>
      </c>
      <c r="P1322" s="1438">
        <v>44480</v>
      </c>
      <c r="Q1322" s="1355">
        <v>44519</v>
      </c>
      <c r="R1322" s="1354">
        <f t="shared" si="179"/>
        <v>130</v>
      </c>
      <c r="S1322" s="1437" t="s">
        <v>1193</v>
      </c>
      <c r="T1322" s="1370" t="s">
        <v>7420</v>
      </c>
      <c r="U1322" s="1358" t="str">
        <f t="shared" si="180"/>
        <v>en término</v>
      </c>
      <c r="V1322" s="1130" t="str">
        <f t="shared" si="176"/>
        <v>Septiembre</v>
      </c>
      <c r="W1322" s="1128">
        <f t="shared" si="174"/>
        <v>1</v>
      </c>
    </row>
    <row r="1323" spans="1:23" ht="54.95" customHeight="1" thickBot="1" x14ac:dyDescent="0.25">
      <c r="A1323" s="1117">
        <v>2021</v>
      </c>
      <c r="B1323" s="1117">
        <v>2021</v>
      </c>
      <c r="C1323" s="1436" t="s">
        <v>36</v>
      </c>
      <c r="D1323" s="1363" t="s">
        <v>37</v>
      </c>
      <c r="E1323" s="1350" t="s">
        <v>6441</v>
      </c>
      <c r="F1323" s="1437">
        <v>4600557062</v>
      </c>
      <c r="G1323" s="1463" t="s">
        <v>7426</v>
      </c>
      <c r="H1323" s="1352">
        <v>15100.4</v>
      </c>
      <c r="I1323" s="1353">
        <v>44398</v>
      </c>
      <c r="J1323" s="1354">
        <f t="shared" si="172"/>
        <v>90</v>
      </c>
      <c r="K1323" s="1353">
        <v>44488</v>
      </c>
      <c r="L1323" s="1353" t="s">
        <v>41</v>
      </c>
      <c r="M1323" s="1353">
        <v>44453</v>
      </c>
      <c r="N1323" s="1354">
        <f t="shared" si="178"/>
        <v>-24</v>
      </c>
      <c r="O1323" s="1427">
        <v>44464</v>
      </c>
      <c r="P1323" s="1438">
        <v>44480</v>
      </c>
      <c r="Q1323" s="1355">
        <v>44519</v>
      </c>
      <c r="R1323" s="1354">
        <f t="shared" si="179"/>
        <v>121</v>
      </c>
      <c r="S1323" s="1437" t="s">
        <v>879</v>
      </c>
      <c r="T1323" s="1370" t="s">
        <v>7427</v>
      </c>
      <c r="U1323" s="1358" t="str">
        <f t="shared" si="180"/>
        <v>en término</v>
      </c>
      <c r="V1323" s="1130" t="str">
        <f t="shared" si="176"/>
        <v>Septiembre</v>
      </c>
      <c r="W1323" s="1128">
        <f t="shared" si="174"/>
        <v>1</v>
      </c>
    </row>
    <row r="1324" spans="1:23" ht="54.95" customHeight="1" thickBot="1" x14ac:dyDescent="0.25">
      <c r="A1324" s="1117">
        <v>2021</v>
      </c>
      <c r="B1324" s="1117">
        <v>2021</v>
      </c>
      <c r="C1324" s="1436" t="s">
        <v>36</v>
      </c>
      <c r="D1324" s="1363" t="s">
        <v>37</v>
      </c>
      <c r="E1324" s="1350" t="s">
        <v>6441</v>
      </c>
      <c r="F1324" s="1437">
        <v>4600557062</v>
      </c>
      <c r="G1324" s="1463" t="s">
        <v>7434</v>
      </c>
      <c r="H1324" s="1352">
        <v>19136.46</v>
      </c>
      <c r="I1324" s="1353">
        <v>44403</v>
      </c>
      <c r="J1324" s="1354">
        <f t="shared" si="172"/>
        <v>90</v>
      </c>
      <c r="K1324" s="1353">
        <v>44493</v>
      </c>
      <c r="L1324" s="1353" t="s">
        <v>41</v>
      </c>
      <c r="M1324" s="1353">
        <v>44453</v>
      </c>
      <c r="N1324" s="1354">
        <f t="shared" si="178"/>
        <v>-29</v>
      </c>
      <c r="O1324" s="1427">
        <v>44464</v>
      </c>
      <c r="P1324" s="1438">
        <v>44480</v>
      </c>
      <c r="Q1324" s="1355">
        <v>44519</v>
      </c>
      <c r="R1324" s="1354">
        <f t="shared" si="179"/>
        <v>116</v>
      </c>
      <c r="S1324" s="1437" t="s">
        <v>378</v>
      </c>
      <c r="T1324" s="1370" t="s">
        <v>7435</v>
      </c>
      <c r="U1324" s="1358" t="str">
        <f t="shared" si="180"/>
        <v>en término</v>
      </c>
      <c r="V1324" s="1130" t="str">
        <f t="shared" si="176"/>
        <v>Septiembre</v>
      </c>
      <c r="W1324" s="1128">
        <f t="shared" si="174"/>
        <v>1</v>
      </c>
    </row>
    <row r="1325" spans="1:23" ht="54.95" customHeight="1" thickBot="1" x14ac:dyDescent="0.25">
      <c r="A1325" s="1117">
        <v>2021</v>
      </c>
      <c r="B1325" s="1117">
        <v>2021</v>
      </c>
      <c r="C1325" s="1436" t="s">
        <v>36</v>
      </c>
      <c r="D1325" s="1363" t="s">
        <v>37</v>
      </c>
      <c r="E1325" s="1350" t="s">
        <v>7449</v>
      </c>
      <c r="F1325" s="1437" t="s">
        <v>7451</v>
      </c>
      <c r="G1325" s="1463" t="s">
        <v>7450</v>
      </c>
      <c r="H1325" s="1352">
        <v>189</v>
      </c>
      <c r="I1325" s="1353">
        <v>44419</v>
      </c>
      <c r="J1325" s="1354">
        <f t="shared" si="172"/>
        <v>90</v>
      </c>
      <c r="K1325" s="1353">
        <v>44509</v>
      </c>
      <c r="L1325" s="1353" t="s">
        <v>41</v>
      </c>
      <c r="M1325" s="1353">
        <v>44484</v>
      </c>
      <c r="N1325" s="1354">
        <f t="shared" si="178"/>
        <v>-17</v>
      </c>
      <c r="O1325" s="1427">
        <v>44492</v>
      </c>
      <c r="P1325" s="1438">
        <v>44507</v>
      </c>
      <c r="Q1325" s="1355">
        <v>44526</v>
      </c>
      <c r="R1325" s="1354">
        <f t="shared" si="179"/>
        <v>107</v>
      </c>
      <c r="S1325" s="1437" t="s">
        <v>53</v>
      </c>
      <c r="T1325" s="1370" t="s">
        <v>7453</v>
      </c>
      <c r="U1325" s="1358" t="str">
        <f t="shared" si="180"/>
        <v>en término</v>
      </c>
      <c r="V1325" s="1130" t="str">
        <f t="shared" si="176"/>
        <v>Octubre</v>
      </c>
      <c r="W1325" s="1128">
        <f t="shared" si="174"/>
        <v>1</v>
      </c>
    </row>
    <row r="1326" spans="1:23" ht="54.95" customHeight="1" thickBot="1" x14ac:dyDescent="0.25">
      <c r="A1326" s="1117">
        <v>2021</v>
      </c>
      <c r="B1326" s="1117">
        <v>2021</v>
      </c>
      <c r="C1326" s="1436" t="s">
        <v>36</v>
      </c>
      <c r="D1326" s="1363" t="s">
        <v>37</v>
      </c>
      <c r="E1326" s="1350" t="s">
        <v>6441</v>
      </c>
      <c r="F1326" s="1437">
        <v>4600557062</v>
      </c>
      <c r="G1326" s="1463" t="s">
        <v>7454</v>
      </c>
      <c r="H1326" s="1352">
        <v>5213.91</v>
      </c>
      <c r="I1326" s="1353">
        <v>44420</v>
      </c>
      <c r="J1326" s="1354">
        <f t="shared" ref="J1326:J1345" si="181">+K1326-I1326</f>
        <v>90</v>
      </c>
      <c r="K1326" s="1353">
        <v>44510</v>
      </c>
      <c r="L1326" s="1353" t="s">
        <v>41</v>
      </c>
      <c r="M1326" s="1353">
        <v>44484</v>
      </c>
      <c r="N1326" s="1354">
        <f t="shared" ref="N1326:N1327" si="182">IF(O1326="","",+O1326-K1326)</f>
        <v>-18</v>
      </c>
      <c r="O1326" s="1427">
        <v>44492</v>
      </c>
      <c r="P1326" s="1438">
        <v>44507</v>
      </c>
      <c r="Q1326" s="1355">
        <v>44526</v>
      </c>
      <c r="R1326" s="1354">
        <f t="shared" si="179"/>
        <v>106</v>
      </c>
      <c r="S1326" s="1437" t="s">
        <v>119</v>
      </c>
      <c r="T1326" s="1370" t="s">
        <v>7455</v>
      </c>
      <c r="U1326" s="1358" t="str">
        <f t="shared" si="180"/>
        <v>en término</v>
      </c>
      <c r="V1326" s="1130" t="str">
        <f t="shared" si="176"/>
        <v>Octubre</v>
      </c>
      <c r="W1326" s="1128">
        <f t="shared" ref="W1326:W1355" si="183">+IF(U1326="atrasado",0)+IF(U1326="en término",1)</f>
        <v>1</v>
      </c>
    </row>
    <row r="1327" spans="1:23" ht="54.95" customHeight="1" thickBot="1" x14ac:dyDescent="0.25">
      <c r="A1327" s="1117">
        <v>2021</v>
      </c>
      <c r="B1327" s="1117">
        <v>2021</v>
      </c>
      <c r="C1327" s="1436" t="s">
        <v>36</v>
      </c>
      <c r="D1327" s="1363" t="s">
        <v>37</v>
      </c>
      <c r="E1327" s="1350" t="s">
        <v>6441</v>
      </c>
      <c r="F1327" s="1437">
        <v>4600557062</v>
      </c>
      <c r="G1327" s="1463" t="s">
        <v>7456</v>
      </c>
      <c r="H1327" s="1352">
        <v>2875.18</v>
      </c>
      <c r="I1327" s="1353">
        <v>44420</v>
      </c>
      <c r="J1327" s="1354">
        <f t="shared" si="181"/>
        <v>90</v>
      </c>
      <c r="K1327" s="1353">
        <v>44510</v>
      </c>
      <c r="L1327" s="1353" t="s">
        <v>41</v>
      </c>
      <c r="M1327" s="1353">
        <v>44484</v>
      </c>
      <c r="N1327" s="1354">
        <f t="shared" si="182"/>
        <v>-18</v>
      </c>
      <c r="O1327" s="1427">
        <v>44492</v>
      </c>
      <c r="P1327" s="1438">
        <v>44507</v>
      </c>
      <c r="Q1327" s="1355">
        <v>44526</v>
      </c>
      <c r="R1327" s="1354">
        <f t="shared" si="179"/>
        <v>106</v>
      </c>
      <c r="S1327" s="1437" t="s">
        <v>1988</v>
      </c>
      <c r="T1327" s="1370" t="s">
        <v>7457</v>
      </c>
      <c r="U1327" s="1358" t="str">
        <f t="shared" si="180"/>
        <v>en término</v>
      </c>
      <c r="V1327" s="1130" t="str">
        <f t="shared" si="176"/>
        <v>Octubre</v>
      </c>
      <c r="W1327" s="1128">
        <f t="shared" si="183"/>
        <v>1</v>
      </c>
    </row>
    <row r="1328" spans="1:23" ht="54.95" customHeight="1" thickBot="1" x14ac:dyDescent="0.25">
      <c r="A1328" s="1117">
        <v>2021</v>
      </c>
      <c r="B1328" s="1117">
        <v>2021</v>
      </c>
      <c r="C1328" s="1436" t="s">
        <v>36</v>
      </c>
      <c r="D1328" s="1363" t="s">
        <v>7534</v>
      </c>
      <c r="E1328" s="1350" t="s">
        <v>6441</v>
      </c>
      <c r="F1328" s="1437">
        <v>4600557062</v>
      </c>
      <c r="G1328" s="1463" t="s">
        <v>7349</v>
      </c>
      <c r="H1328" s="1352">
        <v>3189.42</v>
      </c>
      <c r="I1328" s="1353">
        <v>44329</v>
      </c>
      <c r="J1328" s="1354">
        <f t="shared" ref="J1328:J1334" si="184">+K1328-I1328</f>
        <v>82</v>
      </c>
      <c r="K1328" s="1353">
        <v>44411</v>
      </c>
      <c r="L1328" s="1353" t="s">
        <v>41</v>
      </c>
      <c r="M1328" s="1353">
        <v>44428</v>
      </c>
      <c r="N1328" s="1354">
        <f t="shared" ref="N1328:N1334" si="185">IF(O1328="","",+O1328-K1328)</f>
        <v>25</v>
      </c>
      <c r="O1328" s="1427">
        <v>44436</v>
      </c>
      <c r="P1328" s="1438">
        <v>44438</v>
      </c>
      <c r="Q1328" s="1355">
        <v>44456</v>
      </c>
      <c r="R1328" s="1354">
        <f t="shared" ref="R1328:R1334" si="186">IF(Q1328="","",+Q1328-I1328)</f>
        <v>127</v>
      </c>
      <c r="S1328" s="1437" t="s">
        <v>1020</v>
      </c>
      <c r="T1328" s="1370" t="s">
        <v>7475</v>
      </c>
      <c r="U1328" s="1358" t="str">
        <f t="shared" ref="U1328:U1338" si="187">IF(N1328="","",IF(N1328&lt;=0,"en término","atrasado"))</f>
        <v>atrasado</v>
      </c>
      <c r="V1328" s="1130" t="str">
        <f t="shared" ref="V1328:V1334" si="188">VLOOKUP(MONTH(M1328),$Y$66:$Z$77,2,FALSE)</f>
        <v>Agosto</v>
      </c>
      <c r="W1328" s="1128">
        <f t="shared" ref="W1328:W1334" si="189">+IF(U1328="atrasado",0)+IF(U1328="en término",1)</f>
        <v>0</v>
      </c>
    </row>
    <row r="1329" spans="1:23" ht="54.95" customHeight="1" thickBot="1" x14ac:dyDescent="0.25">
      <c r="A1329" s="1117">
        <v>2021</v>
      </c>
      <c r="B1329" s="1117">
        <v>2021</v>
      </c>
      <c r="C1329" s="1436" t="s">
        <v>36</v>
      </c>
      <c r="D1329" s="1363" t="s">
        <v>7534</v>
      </c>
      <c r="E1329" s="1350" t="s">
        <v>7441</v>
      </c>
      <c r="F1329" s="1437" t="s">
        <v>7442</v>
      </c>
      <c r="G1329" s="1463" t="s">
        <v>7443</v>
      </c>
      <c r="H1329" s="1352">
        <v>37542</v>
      </c>
      <c r="I1329" s="1353">
        <v>44414</v>
      </c>
      <c r="J1329" s="1354">
        <f t="shared" si="184"/>
        <v>139</v>
      </c>
      <c r="K1329" s="1353">
        <v>44553</v>
      </c>
      <c r="L1329" s="1353" t="s">
        <v>41</v>
      </c>
      <c r="M1329" s="1353">
        <v>44505</v>
      </c>
      <c r="N1329" s="1354">
        <f t="shared" si="185"/>
        <v>-40</v>
      </c>
      <c r="O1329" s="1427">
        <v>44513</v>
      </c>
      <c r="P1329" s="1438">
        <v>44515</v>
      </c>
      <c r="Q1329" s="1355">
        <v>44533</v>
      </c>
      <c r="R1329" s="1354">
        <f t="shared" si="186"/>
        <v>119</v>
      </c>
      <c r="S1329" s="1437" t="s">
        <v>758</v>
      </c>
      <c r="T1329" s="1370" t="s">
        <v>7452</v>
      </c>
      <c r="U1329" s="1358" t="str">
        <f t="shared" si="187"/>
        <v>en término</v>
      </c>
      <c r="V1329" s="1130" t="str">
        <f t="shared" si="188"/>
        <v>Noviembre</v>
      </c>
      <c r="W1329" s="1128">
        <f t="shared" si="189"/>
        <v>1</v>
      </c>
    </row>
    <row r="1330" spans="1:23" ht="54.95" customHeight="1" thickBot="1" x14ac:dyDescent="0.25">
      <c r="A1330" s="1117">
        <v>2021</v>
      </c>
      <c r="B1330" s="1117">
        <v>2021</v>
      </c>
      <c r="C1330" s="1436" t="s">
        <v>36</v>
      </c>
      <c r="D1330" s="1363" t="s">
        <v>7534</v>
      </c>
      <c r="E1330" s="1350" t="s">
        <v>6441</v>
      </c>
      <c r="F1330" s="1437">
        <v>4600557062</v>
      </c>
      <c r="G1330" s="1463" t="s">
        <v>7461</v>
      </c>
      <c r="H1330" s="1352">
        <v>51626.7</v>
      </c>
      <c r="I1330" s="1353">
        <v>44426</v>
      </c>
      <c r="J1330" s="1354">
        <f t="shared" si="184"/>
        <v>90</v>
      </c>
      <c r="K1330" s="1353">
        <v>44516</v>
      </c>
      <c r="L1330" s="1353" t="s">
        <v>41</v>
      </c>
      <c r="M1330" s="1353">
        <v>44505</v>
      </c>
      <c r="N1330" s="1354">
        <f t="shared" si="185"/>
        <v>-3</v>
      </c>
      <c r="O1330" s="1427">
        <v>44513</v>
      </c>
      <c r="P1330" s="1438">
        <v>44515</v>
      </c>
      <c r="Q1330" s="1355">
        <v>44533</v>
      </c>
      <c r="R1330" s="1354">
        <f t="shared" si="186"/>
        <v>107</v>
      </c>
      <c r="S1330" s="1437" t="s">
        <v>7462</v>
      </c>
      <c r="T1330" s="1370" t="s">
        <v>7463</v>
      </c>
      <c r="U1330" s="1358" t="str">
        <f t="shared" si="187"/>
        <v>en término</v>
      </c>
      <c r="V1330" s="1130" t="str">
        <f t="shared" si="188"/>
        <v>Noviembre</v>
      </c>
      <c r="W1330" s="1128">
        <f t="shared" si="189"/>
        <v>1</v>
      </c>
    </row>
    <row r="1331" spans="1:23" ht="54.95" customHeight="1" thickBot="1" x14ac:dyDescent="0.25">
      <c r="A1331" s="1117">
        <v>2021</v>
      </c>
      <c r="B1331" s="1117">
        <v>2021</v>
      </c>
      <c r="C1331" s="1436" t="s">
        <v>36</v>
      </c>
      <c r="D1331" s="1363" t="s">
        <v>7534</v>
      </c>
      <c r="E1331" s="1350" t="s">
        <v>6441</v>
      </c>
      <c r="F1331" s="1437">
        <v>4600557062</v>
      </c>
      <c r="G1331" s="1463" t="s">
        <v>7464</v>
      </c>
      <c r="H1331" s="1352">
        <v>18894.310000000001</v>
      </c>
      <c r="I1331" s="1353">
        <v>44428</v>
      </c>
      <c r="J1331" s="1354">
        <f t="shared" si="184"/>
        <v>90</v>
      </c>
      <c r="K1331" s="1353">
        <v>44518</v>
      </c>
      <c r="L1331" s="1353" t="s">
        <v>41</v>
      </c>
      <c r="M1331" s="1353">
        <v>44505</v>
      </c>
      <c r="N1331" s="1354">
        <f t="shared" si="185"/>
        <v>-5</v>
      </c>
      <c r="O1331" s="1427">
        <v>44513</v>
      </c>
      <c r="P1331" s="1438">
        <v>44515</v>
      </c>
      <c r="Q1331" s="1355">
        <v>44533</v>
      </c>
      <c r="R1331" s="1354">
        <f t="shared" si="186"/>
        <v>105</v>
      </c>
      <c r="S1331" s="1437" t="s">
        <v>7465</v>
      </c>
      <c r="T1331" s="1370" t="s">
        <v>7466</v>
      </c>
      <c r="U1331" s="1358" t="str">
        <f t="shared" si="187"/>
        <v>en término</v>
      </c>
      <c r="V1331" s="1130" t="str">
        <f t="shared" si="188"/>
        <v>Noviembre</v>
      </c>
      <c r="W1331" s="1128">
        <f t="shared" si="189"/>
        <v>1</v>
      </c>
    </row>
    <row r="1332" spans="1:23" ht="54.95" customHeight="1" thickBot="1" x14ac:dyDescent="0.25">
      <c r="A1332" s="1117">
        <v>2021</v>
      </c>
      <c r="B1332" s="1117">
        <v>2021</v>
      </c>
      <c r="C1332" s="1436" t="s">
        <v>36</v>
      </c>
      <c r="D1332" s="1363" t="s">
        <v>7534</v>
      </c>
      <c r="E1332" s="1350" t="s">
        <v>6441</v>
      </c>
      <c r="F1332" s="1437">
        <v>4600557062</v>
      </c>
      <c r="G1332" s="1463" t="s">
        <v>7467</v>
      </c>
      <c r="H1332" s="1352">
        <v>7548.83</v>
      </c>
      <c r="I1332" s="1353">
        <v>44432</v>
      </c>
      <c r="J1332" s="1354">
        <f t="shared" si="184"/>
        <v>90</v>
      </c>
      <c r="K1332" s="1353">
        <v>44522</v>
      </c>
      <c r="L1332" s="1353" t="s">
        <v>41</v>
      </c>
      <c r="M1332" s="1353">
        <v>44505</v>
      </c>
      <c r="N1332" s="1354">
        <f t="shared" si="185"/>
        <v>-9</v>
      </c>
      <c r="O1332" s="1427">
        <v>44513</v>
      </c>
      <c r="P1332" s="1438">
        <v>44515</v>
      </c>
      <c r="Q1332" s="1355">
        <v>44533</v>
      </c>
      <c r="R1332" s="1354">
        <f t="shared" si="186"/>
        <v>101</v>
      </c>
      <c r="S1332" s="1437" t="s">
        <v>7472</v>
      </c>
      <c r="T1332" s="1370" t="s">
        <v>7469</v>
      </c>
      <c r="U1332" s="1358" t="str">
        <f t="shared" si="187"/>
        <v>en término</v>
      </c>
      <c r="V1332" s="1130" t="str">
        <f t="shared" si="188"/>
        <v>Noviembre</v>
      </c>
      <c r="W1332" s="1128">
        <f t="shared" si="189"/>
        <v>1</v>
      </c>
    </row>
    <row r="1333" spans="1:23" ht="54.95" customHeight="1" thickBot="1" x14ac:dyDescent="0.25">
      <c r="A1333" s="1117">
        <v>2021</v>
      </c>
      <c r="B1333" s="1117">
        <v>2021</v>
      </c>
      <c r="C1333" s="1436" t="s">
        <v>36</v>
      </c>
      <c r="D1333" s="1363" t="s">
        <v>37</v>
      </c>
      <c r="E1333" s="1350" t="s">
        <v>6441</v>
      </c>
      <c r="F1333" s="1437">
        <v>4600557062</v>
      </c>
      <c r="G1333" s="1463" t="s">
        <v>7389</v>
      </c>
      <c r="H1333" s="1352">
        <v>19898.64</v>
      </c>
      <c r="I1333" s="1353">
        <v>44350</v>
      </c>
      <c r="J1333" s="1354">
        <f t="shared" si="184"/>
        <v>90</v>
      </c>
      <c r="K1333" s="1353">
        <v>44440</v>
      </c>
      <c r="L1333" s="1353" t="s">
        <v>41</v>
      </c>
      <c r="M1333" s="1353">
        <v>44526</v>
      </c>
      <c r="N1333" s="1354">
        <f t="shared" si="185"/>
        <v>94</v>
      </c>
      <c r="O1333" s="1427">
        <v>44534</v>
      </c>
      <c r="P1333" s="1438">
        <v>44536</v>
      </c>
      <c r="Q1333" s="1355">
        <v>44554</v>
      </c>
      <c r="R1333" s="1354">
        <f t="shared" si="186"/>
        <v>204</v>
      </c>
      <c r="S1333" s="1437" t="s">
        <v>7395</v>
      </c>
      <c r="T1333" s="1370" t="s">
        <v>7468</v>
      </c>
      <c r="U1333" s="1358" t="str">
        <f t="shared" si="187"/>
        <v>atrasado</v>
      </c>
      <c r="V1333" s="1130" t="str">
        <f t="shared" si="188"/>
        <v>Noviembre</v>
      </c>
      <c r="W1333" s="1128">
        <f t="shared" si="189"/>
        <v>0</v>
      </c>
    </row>
    <row r="1334" spans="1:23" ht="54.95" customHeight="1" thickBot="1" x14ac:dyDescent="0.25">
      <c r="A1334" s="1117">
        <v>2021</v>
      </c>
      <c r="B1334" s="1117">
        <v>2021</v>
      </c>
      <c r="C1334" s="1436" t="s">
        <v>36</v>
      </c>
      <c r="D1334" s="1363" t="s">
        <v>7534</v>
      </c>
      <c r="E1334" s="1350" t="s">
        <v>6441</v>
      </c>
      <c r="F1334" s="1437">
        <v>4600557062</v>
      </c>
      <c r="G1334" s="1463" t="s">
        <v>7470</v>
      </c>
      <c r="H1334" s="1352">
        <v>17212.32</v>
      </c>
      <c r="I1334" s="1353">
        <v>44435</v>
      </c>
      <c r="J1334" s="1354">
        <f t="shared" si="184"/>
        <v>92</v>
      </c>
      <c r="K1334" s="1353">
        <v>44527</v>
      </c>
      <c r="L1334" s="1353" t="s">
        <v>41</v>
      </c>
      <c r="M1334" s="1353">
        <v>44526</v>
      </c>
      <c r="N1334" s="1354">
        <f t="shared" si="185"/>
        <v>7</v>
      </c>
      <c r="O1334" s="1427">
        <v>44534</v>
      </c>
      <c r="P1334" s="1438">
        <v>44536</v>
      </c>
      <c r="Q1334" s="1355">
        <v>44554</v>
      </c>
      <c r="R1334" s="1354">
        <f t="shared" si="186"/>
        <v>119</v>
      </c>
      <c r="S1334" s="1437" t="s">
        <v>70</v>
      </c>
      <c r="T1334" s="1370" t="s">
        <v>7471</v>
      </c>
      <c r="U1334" s="1358" t="str">
        <f t="shared" si="187"/>
        <v>atrasado</v>
      </c>
      <c r="V1334" s="1130" t="str">
        <f t="shared" si="188"/>
        <v>Noviembre</v>
      </c>
      <c r="W1334" s="1128">
        <f t="shared" si="189"/>
        <v>0</v>
      </c>
    </row>
    <row r="1335" spans="1:23" ht="54.95" customHeight="1" thickBot="1" x14ac:dyDescent="0.25">
      <c r="A1335" s="1117">
        <v>2021</v>
      </c>
      <c r="B1335" s="1117">
        <v>2021</v>
      </c>
      <c r="C1335" s="1436" t="s">
        <v>36</v>
      </c>
      <c r="D1335" s="1363" t="s">
        <v>7534</v>
      </c>
      <c r="E1335" s="1350" t="s">
        <v>6441</v>
      </c>
      <c r="F1335" s="1437">
        <v>4600557062</v>
      </c>
      <c r="G1335" s="1463" t="s">
        <v>7353</v>
      </c>
      <c r="H1335" s="1352">
        <v>19136.52</v>
      </c>
      <c r="I1335" s="1353">
        <v>44329</v>
      </c>
      <c r="J1335" s="1354">
        <f>+K1335-I1335</f>
        <v>87</v>
      </c>
      <c r="K1335" s="1353">
        <v>44416</v>
      </c>
      <c r="L1335" s="1353" t="s">
        <v>41</v>
      </c>
      <c r="M1335" s="1353">
        <v>44428</v>
      </c>
      <c r="N1335" s="1354">
        <f>IF(O1335="","",+O1335-K1335)</f>
        <v>20</v>
      </c>
      <c r="O1335" s="1427">
        <v>44436</v>
      </c>
      <c r="P1335" s="1438">
        <v>44438</v>
      </c>
      <c r="Q1335" s="1355">
        <v>44456</v>
      </c>
      <c r="R1335" s="1354">
        <f>IF(Q1335="","",+Q1335-I1335)</f>
        <v>127</v>
      </c>
      <c r="S1335" s="1437" t="s">
        <v>7354</v>
      </c>
      <c r="T1335" s="1370" t="s">
        <v>7355</v>
      </c>
      <c r="U1335" s="1358" t="str">
        <f t="shared" si="187"/>
        <v>atrasado</v>
      </c>
      <c r="V1335" s="1130" t="str">
        <f t="shared" ref="V1335:V1338" si="190">VLOOKUP(MONTH(M1335),$Y$66:$Z$77,2,FALSE)</f>
        <v>Agosto</v>
      </c>
      <c r="W1335" s="1128">
        <f t="shared" ref="W1335:W1338" si="191">+IF(U1335="atrasado",0)+IF(U1335="en término",1)</f>
        <v>0</v>
      </c>
    </row>
    <row r="1336" spans="1:23" ht="54.95" customHeight="1" thickBot="1" x14ac:dyDescent="0.25">
      <c r="A1336" s="1117">
        <v>2021</v>
      </c>
      <c r="B1336" s="1117">
        <v>2021</v>
      </c>
      <c r="C1336" s="1436" t="s">
        <v>36</v>
      </c>
      <c r="D1336" s="1363" t="s">
        <v>7534</v>
      </c>
      <c r="E1336" s="1350" t="s">
        <v>6441</v>
      </c>
      <c r="F1336" s="1437">
        <v>4600557062</v>
      </c>
      <c r="G1336" s="1463" t="s">
        <v>7495</v>
      </c>
      <c r="H1336" s="1352">
        <v>28655.1</v>
      </c>
      <c r="I1336" s="1353">
        <v>44463</v>
      </c>
      <c r="J1336" s="1354">
        <f t="shared" ref="J1336:J1338" si="192">+K1336-I1336</f>
        <v>94</v>
      </c>
      <c r="K1336" s="1353">
        <v>44557</v>
      </c>
      <c r="L1336" s="1353" t="s">
        <v>41</v>
      </c>
      <c r="M1336" s="1353">
        <v>44540</v>
      </c>
      <c r="N1336" s="1354">
        <f>IF(O1336="","",+O1336-K1336)</f>
        <v>11</v>
      </c>
      <c r="O1336" s="1427">
        <v>44568</v>
      </c>
      <c r="P1336" s="1438">
        <v>44573</v>
      </c>
      <c r="Q1336" s="1355">
        <f>+P1336+20</f>
        <v>44593</v>
      </c>
      <c r="R1336" s="1354">
        <f>IF(Q1336="","",+Q1336-I1336)</f>
        <v>130</v>
      </c>
      <c r="S1336" s="1437" t="s">
        <v>7497</v>
      </c>
      <c r="T1336" s="1370" t="s">
        <v>7594</v>
      </c>
      <c r="U1336" s="1358" t="str">
        <f t="shared" si="187"/>
        <v>atrasado</v>
      </c>
      <c r="V1336" s="1130" t="str">
        <f t="shared" si="190"/>
        <v>Diciembre</v>
      </c>
      <c r="W1336" s="1128">
        <f t="shared" si="191"/>
        <v>0</v>
      </c>
    </row>
    <row r="1337" spans="1:23" ht="54.95" customHeight="1" thickBot="1" x14ac:dyDescent="0.25">
      <c r="A1337" s="1117">
        <v>2021</v>
      </c>
      <c r="B1337" s="1117">
        <v>2021</v>
      </c>
      <c r="C1337" s="1436" t="s">
        <v>36</v>
      </c>
      <c r="D1337" s="1363" t="s">
        <v>7534</v>
      </c>
      <c r="E1337" s="1350" t="s">
        <v>6441</v>
      </c>
      <c r="F1337" s="1437">
        <v>4600557062</v>
      </c>
      <c r="G1337" s="1463" t="s">
        <v>7496</v>
      </c>
      <c r="H1337" s="1352">
        <v>43027.839999999997</v>
      </c>
      <c r="I1337" s="1353">
        <v>44463</v>
      </c>
      <c r="J1337" s="1354">
        <f t="shared" si="192"/>
        <v>94</v>
      </c>
      <c r="K1337" s="1353">
        <v>44557</v>
      </c>
      <c r="L1337" s="1353" t="s">
        <v>41</v>
      </c>
      <c r="M1337" s="1353">
        <v>44540</v>
      </c>
      <c r="N1337" s="1354">
        <f>IF(O1337="","",+O1337-K1337)</f>
        <v>11</v>
      </c>
      <c r="O1337" s="1427">
        <v>44568</v>
      </c>
      <c r="P1337" s="1438">
        <v>44573</v>
      </c>
      <c r="Q1337" s="1355">
        <f>+P1337+20</f>
        <v>44593</v>
      </c>
      <c r="R1337" s="1354">
        <f>IF(Q1337="","",+Q1337-I1337)</f>
        <v>130</v>
      </c>
      <c r="S1337" s="1437" t="s">
        <v>750</v>
      </c>
      <c r="T1337" s="1370" t="s">
        <v>7595</v>
      </c>
      <c r="U1337" s="1358" t="str">
        <f t="shared" si="187"/>
        <v>atrasado</v>
      </c>
      <c r="V1337" s="1130" t="str">
        <f t="shared" si="190"/>
        <v>Diciembre</v>
      </c>
      <c r="W1337" s="1128">
        <f t="shared" si="191"/>
        <v>0</v>
      </c>
    </row>
    <row r="1338" spans="1:23" ht="54.95" customHeight="1" thickBot="1" x14ac:dyDescent="0.25">
      <c r="A1338" s="1117">
        <v>2021</v>
      </c>
      <c r="B1338" s="1117">
        <v>2021</v>
      </c>
      <c r="C1338" s="1436" t="s">
        <v>36</v>
      </c>
      <c r="D1338" s="1363" t="s">
        <v>7534</v>
      </c>
      <c r="E1338" s="1350" t="s">
        <v>6441</v>
      </c>
      <c r="F1338" s="1437">
        <v>4600557062</v>
      </c>
      <c r="G1338" s="1463" t="s">
        <v>7509</v>
      </c>
      <c r="H1338" s="1352">
        <v>6618.7</v>
      </c>
      <c r="I1338" s="1353">
        <v>44488</v>
      </c>
      <c r="J1338" s="1354">
        <f t="shared" si="192"/>
        <v>90</v>
      </c>
      <c r="K1338" s="1353">
        <v>44578</v>
      </c>
      <c r="L1338" s="1353" t="s">
        <v>41</v>
      </c>
      <c r="M1338" s="1353">
        <v>44540</v>
      </c>
      <c r="N1338" s="1354">
        <f>IF(O1338="","",+O1338-K1338)</f>
        <v>-10</v>
      </c>
      <c r="O1338" s="1427">
        <v>44568</v>
      </c>
      <c r="P1338" s="1438">
        <v>44573</v>
      </c>
      <c r="Q1338" s="1355">
        <f>+P1338+20</f>
        <v>44593</v>
      </c>
      <c r="R1338" s="1354">
        <f>IF(Q1338="","",+Q1338-I1338)</f>
        <v>105</v>
      </c>
      <c r="S1338" s="1437" t="s">
        <v>419</v>
      </c>
      <c r="T1338" s="1370" t="s">
        <v>7596</v>
      </c>
      <c r="U1338" s="1358" t="str">
        <f t="shared" si="187"/>
        <v>en término</v>
      </c>
      <c r="V1338" s="1130" t="str">
        <f t="shared" si="190"/>
        <v>Diciembre</v>
      </c>
      <c r="W1338" s="1128">
        <f t="shared" si="191"/>
        <v>1</v>
      </c>
    </row>
    <row r="1339" spans="1:23" ht="54.95" customHeight="1" thickBot="1" x14ac:dyDescent="0.25">
      <c r="A1339" s="1117">
        <v>2021</v>
      </c>
      <c r="B1339" s="1117">
        <v>2021</v>
      </c>
      <c r="C1339" s="1436" t="s">
        <v>78</v>
      </c>
      <c r="D1339" s="1363" t="s">
        <v>6929</v>
      </c>
      <c r="E1339" s="1350" t="s">
        <v>6974</v>
      </c>
      <c r="F1339" s="1437" t="s">
        <v>81</v>
      </c>
      <c r="G1339" s="1463" t="s">
        <v>6977</v>
      </c>
      <c r="H1339" s="1352">
        <v>25082.5</v>
      </c>
      <c r="I1339" s="1353">
        <v>43944</v>
      </c>
      <c r="J1339" s="1354">
        <f t="shared" si="181"/>
        <v>71</v>
      </c>
      <c r="K1339" s="1353">
        <v>44015</v>
      </c>
      <c r="L1339" s="1353" t="s">
        <v>83</v>
      </c>
      <c r="M1339" s="1353">
        <v>44211</v>
      </c>
      <c r="N1339" s="1354">
        <f t="shared" ref="N1339:N1355" si="193">IF(P1339="","",+P1339-K1339)</f>
        <v>218</v>
      </c>
      <c r="O1339" s="1427"/>
      <c r="P1339" s="1438">
        <v>44233</v>
      </c>
      <c r="Q1339" s="1355">
        <v>44253</v>
      </c>
      <c r="R1339" s="1354">
        <f t="shared" si="179"/>
        <v>309</v>
      </c>
      <c r="S1339" s="1437" t="s">
        <v>7016</v>
      </c>
      <c r="T1339" s="1370" t="s">
        <v>7211</v>
      </c>
      <c r="U1339" s="1358" t="str">
        <f t="shared" ref="U1339:U1355" si="194">IF(N1339="","",IF(N1339&lt;=0,"en término","atrasado"))</f>
        <v>atrasado</v>
      </c>
      <c r="V1339" s="1130" t="str">
        <f t="shared" si="176"/>
        <v>Enero</v>
      </c>
      <c r="W1339" s="1128">
        <f t="shared" si="183"/>
        <v>0</v>
      </c>
    </row>
    <row r="1340" spans="1:23" ht="54.95" customHeight="1" thickBot="1" x14ac:dyDescent="0.25">
      <c r="A1340" s="1117">
        <v>2021</v>
      </c>
      <c r="B1340" s="1117">
        <v>2021</v>
      </c>
      <c r="C1340" s="1436" t="s">
        <v>78</v>
      </c>
      <c r="D1340" s="1363" t="s">
        <v>6929</v>
      </c>
      <c r="E1340" s="1350" t="s">
        <v>7203</v>
      </c>
      <c r="F1340" s="1437" t="s">
        <v>6538</v>
      </c>
      <c r="G1340" s="1463" t="s">
        <v>7204</v>
      </c>
      <c r="H1340" s="1352">
        <v>2694.53</v>
      </c>
      <c r="I1340" s="1353">
        <v>44209</v>
      </c>
      <c r="J1340" s="1354">
        <f t="shared" si="181"/>
        <v>2</v>
      </c>
      <c r="K1340" s="1353">
        <v>44211</v>
      </c>
      <c r="L1340" s="1353" t="s">
        <v>83</v>
      </c>
      <c r="M1340" s="1353">
        <v>44211</v>
      </c>
      <c r="N1340" s="1354">
        <f t="shared" si="193"/>
        <v>22</v>
      </c>
      <c r="O1340" s="1427"/>
      <c r="P1340" s="1438">
        <v>44233</v>
      </c>
      <c r="Q1340" s="1355">
        <v>44253</v>
      </c>
      <c r="R1340" s="1354">
        <f t="shared" si="179"/>
        <v>44</v>
      </c>
      <c r="S1340" s="1437" t="s">
        <v>6864</v>
      </c>
      <c r="T1340" s="1370" t="s">
        <v>7210</v>
      </c>
      <c r="U1340" s="1358" t="str">
        <f t="shared" si="194"/>
        <v>atrasado</v>
      </c>
      <c r="V1340" s="1130" t="str">
        <f t="shared" si="176"/>
        <v>Enero</v>
      </c>
      <c r="W1340" s="1128">
        <f t="shared" si="183"/>
        <v>0</v>
      </c>
    </row>
    <row r="1341" spans="1:23" ht="54.95" customHeight="1" thickBot="1" x14ac:dyDescent="0.25">
      <c r="A1341" s="1117">
        <v>2021</v>
      </c>
      <c r="B1341" s="1117">
        <v>2021</v>
      </c>
      <c r="C1341" s="1436" t="s">
        <v>78</v>
      </c>
      <c r="D1341" s="1363" t="s">
        <v>6929</v>
      </c>
      <c r="E1341" s="1350" t="s">
        <v>7206</v>
      </c>
      <c r="F1341" s="1437" t="s">
        <v>81</v>
      </c>
      <c r="G1341" s="1463" t="s">
        <v>7205</v>
      </c>
      <c r="H1341" s="1352">
        <v>11753.23</v>
      </c>
      <c r="I1341" s="1353">
        <v>44209</v>
      </c>
      <c r="J1341" s="1354">
        <f t="shared" si="181"/>
        <v>72</v>
      </c>
      <c r="K1341" s="1353">
        <v>44281</v>
      </c>
      <c r="L1341" s="1353" t="s">
        <v>83</v>
      </c>
      <c r="M1341" s="1353">
        <v>44292</v>
      </c>
      <c r="N1341" s="1354">
        <f t="shared" si="193"/>
        <v>25</v>
      </c>
      <c r="O1341" s="1427">
        <v>44299</v>
      </c>
      <c r="P1341" s="1438">
        <v>44306</v>
      </c>
      <c r="Q1341" s="1355">
        <f>+P1341+5</f>
        <v>44311</v>
      </c>
      <c r="R1341" s="1354">
        <f t="shared" si="179"/>
        <v>102</v>
      </c>
      <c r="S1341" s="1437" t="s">
        <v>7307</v>
      </c>
      <c r="T1341" s="1370" t="s">
        <v>7297</v>
      </c>
      <c r="U1341" s="1358" t="str">
        <f t="shared" si="194"/>
        <v>atrasado</v>
      </c>
      <c r="V1341" s="1130" t="str">
        <f t="shared" si="176"/>
        <v>Abril</v>
      </c>
      <c r="W1341" s="1128">
        <f t="shared" si="183"/>
        <v>0</v>
      </c>
    </row>
    <row r="1342" spans="1:23" ht="54.95" customHeight="1" thickBot="1" x14ac:dyDescent="0.25">
      <c r="A1342" s="1117">
        <v>2021</v>
      </c>
      <c r="B1342" s="1117">
        <v>2021</v>
      </c>
      <c r="C1342" s="1436" t="s">
        <v>78</v>
      </c>
      <c r="D1342" s="1363" t="s">
        <v>6929</v>
      </c>
      <c r="E1342" s="1350" t="s">
        <v>7208</v>
      </c>
      <c r="F1342" s="1437" t="s">
        <v>6538</v>
      </c>
      <c r="G1342" s="1463" t="s">
        <v>7207</v>
      </c>
      <c r="H1342" s="1352">
        <v>52364.4</v>
      </c>
      <c r="I1342" s="1353">
        <v>44209</v>
      </c>
      <c r="J1342" s="1354">
        <f t="shared" si="181"/>
        <v>86</v>
      </c>
      <c r="K1342" s="1353">
        <v>44295</v>
      </c>
      <c r="L1342" s="1353" t="s">
        <v>83</v>
      </c>
      <c r="M1342" s="1353">
        <v>44302</v>
      </c>
      <c r="N1342" s="1354">
        <f t="shared" si="193"/>
        <v>28</v>
      </c>
      <c r="O1342" s="1427">
        <v>44321</v>
      </c>
      <c r="P1342" s="1438">
        <v>44323</v>
      </c>
      <c r="Q1342" s="1355">
        <v>44345</v>
      </c>
      <c r="R1342" s="1354">
        <f t="shared" si="179"/>
        <v>136</v>
      </c>
      <c r="S1342" s="1437" t="s">
        <v>6864</v>
      </c>
      <c r="T1342" s="1370" t="s">
        <v>7324</v>
      </c>
      <c r="U1342" s="1358" t="str">
        <f t="shared" si="194"/>
        <v>atrasado</v>
      </c>
      <c r="V1342" s="1130" t="str">
        <f t="shared" ref="V1342:V1355" si="195">VLOOKUP(MONTH(M1342),$Y$66:$Z$77,2,FALSE)</f>
        <v>Abril</v>
      </c>
      <c r="W1342" s="1128">
        <f t="shared" si="183"/>
        <v>0</v>
      </c>
    </row>
    <row r="1343" spans="1:23" ht="54.95" customHeight="1" thickBot="1" x14ac:dyDescent="0.25">
      <c r="A1343" s="1117">
        <v>2021</v>
      </c>
      <c r="B1343" s="1117">
        <v>2021</v>
      </c>
      <c r="C1343" s="1436" t="s">
        <v>78</v>
      </c>
      <c r="D1343" s="1363" t="s">
        <v>6929</v>
      </c>
      <c r="E1343" s="1350" t="s">
        <v>7276</v>
      </c>
      <c r="F1343" s="1437" t="s">
        <v>81</v>
      </c>
      <c r="G1343" s="1463" t="s">
        <v>7277</v>
      </c>
      <c r="H1343" s="1352">
        <v>8021.95</v>
      </c>
      <c r="I1343" s="1353">
        <v>44265</v>
      </c>
      <c r="J1343" s="1354">
        <f t="shared" si="181"/>
        <v>30</v>
      </c>
      <c r="K1343" s="1353">
        <v>44295</v>
      </c>
      <c r="L1343" s="1353" t="s">
        <v>83</v>
      </c>
      <c r="M1343" s="1353">
        <v>44302</v>
      </c>
      <c r="N1343" s="1354">
        <f t="shared" si="193"/>
        <v>28</v>
      </c>
      <c r="O1343" s="1427">
        <v>44321</v>
      </c>
      <c r="P1343" s="1438">
        <v>44323</v>
      </c>
      <c r="Q1343" s="1355">
        <v>44345</v>
      </c>
      <c r="R1343" s="1354">
        <f t="shared" si="179"/>
        <v>80</v>
      </c>
      <c r="S1343" s="1437" t="s">
        <v>6864</v>
      </c>
      <c r="T1343" s="1370" t="s">
        <v>7325</v>
      </c>
      <c r="U1343" s="1358" t="str">
        <f t="shared" si="194"/>
        <v>atrasado</v>
      </c>
      <c r="V1343" s="1130" t="str">
        <f t="shared" si="195"/>
        <v>Abril</v>
      </c>
      <c r="W1343" s="1128">
        <f t="shared" si="183"/>
        <v>0</v>
      </c>
    </row>
    <row r="1344" spans="1:23" ht="54.95" customHeight="1" thickBot="1" x14ac:dyDescent="0.25">
      <c r="A1344" s="1117">
        <v>2021</v>
      </c>
      <c r="B1344" s="1117">
        <v>2021</v>
      </c>
      <c r="C1344" s="1436" t="s">
        <v>78</v>
      </c>
      <c r="D1344" s="1363" t="s">
        <v>6929</v>
      </c>
      <c r="E1344" s="1350" t="s">
        <v>7304</v>
      </c>
      <c r="F1344" s="1437" t="s">
        <v>81</v>
      </c>
      <c r="G1344" s="1463" t="s">
        <v>7312</v>
      </c>
      <c r="H1344" s="1352">
        <v>222649.55</v>
      </c>
      <c r="I1344" s="1353">
        <v>44293</v>
      </c>
      <c r="J1344" s="1354">
        <f t="shared" si="181"/>
        <v>9</v>
      </c>
      <c r="K1344" s="1353">
        <v>44302</v>
      </c>
      <c r="L1344" s="1353" t="s">
        <v>83</v>
      </c>
      <c r="M1344" s="1353">
        <v>44302</v>
      </c>
      <c r="N1344" s="1354">
        <f t="shared" si="193"/>
        <v>21</v>
      </c>
      <c r="O1344" s="1427">
        <v>44321</v>
      </c>
      <c r="P1344" s="1438">
        <v>44323</v>
      </c>
      <c r="Q1344" s="1355">
        <v>44345</v>
      </c>
      <c r="R1344" s="1354">
        <f t="shared" si="179"/>
        <v>52</v>
      </c>
      <c r="S1344" s="1437" t="s">
        <v>7311</v>
      </c>
      <c r="T1344" s="1370" t="s">
        <v>7326</v>
      </c>
      <c r="U1344" s="1358" t="str">
        <f t="shared" si="194"/>
        <v>atrasado</v>
      </c>
      <c r="V1344" s="1130" t="str">
        <f t="shared" si="195"/>
        <v>Abril</v>
      </c>
      <c r="W1344" s="1128">
        <f t="shared" si="183"/>
        <v>0</v>
      </c>
    </row>
    <row r="1345" spans="1:23" ht="54.95" customHeight="1" thickBot="1" x14ac:dyDescent="0.25">
      <c r="A1345" s="1117">
        <v>2021</v>
      </c>
      <c r="B1345" s="1117">
        <v>2021</v>
      </c>
      <c r="C1345" s="1436" t="s">
        <v>78</v>
      </c>
      <c r="D1345" s="1363" t="s">
        <v>6929</v>
      </c>
      <c r="E1345" s="1350" t="s">
        <v>7305</v>
      </c>
      <c r="F1345" s="1437" t="s">
        <v>81</v>
      </c>
      <c r="G1345" s="1463" t="s">
        <v>7313</v>
      </c>
      <c r="H1345" s="1352">
        <v>184385.12</v>
      </c>
      <c r="I1345" s="1353">
        <v>44293</v>
      </c>
      <c r="J1345" s="1354">
        <f t="shared" si="181"/>
        <v>38</v>
      </c>
      <c r="K1345" s="1353">
        <v>44331</v>
      </c>
      <c r="L1345" s="1353" t="s">
        <v>83</v>
      </c>
      <c r="M1345" s="1353">
        <v>44344</v>
      </c>
      <c r="N1345" s="1354">
        <f t="shared" si="193"/>
        <v>71</v>
      </c>
      <c r="O1345" s="1427">
        <v>44378</v>
      </c>
      <c r="P1345" s="1438">
        <v>44402</v>
      </c>
      <c r="Q1345" s="1355">
        <v>44416</v>
      </c>
      <c r="R1345" s="1354">
        <f t="shared" si="179"/>
        <v>123</v>
      </c>
      <c r="S1345" s="1437" t="s">
        <v>6864</v>
      </c>
      <c r="T1345" s="1370" t="s">
        <v>7409</v>
      </c>
      <c r="U1345" s="1358" t="str">
        <f t="shared" si="194"/>
        <v>atrasado</v>
      </c>
      <c r="V1345" s="1130" t="str">
        <f t="shared" si="195"/>
        <v>Mayo</v>
      </c>
      <c r="W1345" s="1128">
        <f t="shared" si="183"/>
        <v>0</v>
      </c>
    </row>
    <row r="1346" spans="1:23" ht="54.95" customHeight="1" thickBot="1" x14ac:dyDescent="0.25">
      <c r="A1346" s="1117">
        <v>2021</v>
      </c>
      <c r="B1346" s="1117">
        <v>2021</v>
      </c>
      <c r="C1346" s="1436" t="s">
        <v>78</v>
      </c>
      <c r="D1346" s="1363" t="s">
        <v>6929</v>
      </c>
      <c r="E1346" s="1350" t="s">
        <v>7306</v>
      </c>
      <c r="F1346" s="1437" t="s">
        <v>81</v>
      </c>
      <c r="G1346" s="1463" t="s">
        <v>7314</v>
      </c>
      <c r="H1346" s="1352">
        <v>154704.65</v>
      </c>
      <c r="I1346" s="1353">
        <v>44293</v>
      </c>
      <c r="J1346" s="1354">
        <f>+K1346-I1346</f>
        <v>79</v>
      </c>
      <c r="K1346" s="1353">
        <v>44372</v>
      </c>
      <c r="L1346" s="1353" t="s">
        <v>83</v>
      </c>
      <c r="M1346" s="1353">
        <v>44379</v>
      </c>
      <c r="N1346" s="1354">
        <f t="shared" si="193"/>
        <v>60</v>
      </c>
      <c r="O1346" s="1427">
        <v>44429</v>
      </c>
      <c r="P1346" s="1438">
        <v>44432</v>
      </c>
      <c r="Q1346" s="1355">
        <v>44452</v>
      </c>
      <c r="R1346" s="1354">
        <f t="shared" si="179"/>
        <v>159</v>
      </c>
      <c r="S1346" s="1437" t="s">
        <v>7406</v>
      </c>
      <c r="T1346" s="1370" t="s">
        <v>7446</v>
      </c>
      <c r="U1346" s="1358" t="str">
        <f t="shared" si="194"/>
        <v>atrasado</v>
      </c>
      <c r="V1346" s="1130" t="str">
        <f t="shared" si="195"/>
        <v>Julio</v>
      </c>
      <c r="W1346" s="1128">
        <f t="shared" si="183"/>
        <v>0</v>
      </c>
    </row>
    <row r="1347" spans="1:23" ht="54.95" customHeight="1" thickBot="1" x14ac:dyDescent="0.25">
      <c r="A1347" s="1117">
        <v>2021</v>
      </c>
      <c r="B1347" s="1117">
        <v>2021</v>
      </c>
      <c r="C1347" s="1436" t="s">
        <v>78</v>
      </c>
      <c r="D1347" s="1363" t="s">
        <v>6929</v>
      </c>
      <c r="E1347" s="1350" t="s">
        <v>7342</v>
      </c>
      <c r="F1347" s="1437" t="s">
        <v>81</v>
      </c>
      <c r="G1347" s="1463" t="s">
        <v>7343</v>
      </c>
      <c r="H1347" s="1352">
        <v>15733.32</v>
      </c>
      <c r="I1347" s="1353">
        <v>44295</v>
      </c>
      <c r="J1347" s="1354">
        <f>+K1347-I1347</f>
        <v>77</v>
      </c>
      <c r="K1347" s="1353">
        <v>44372</v>
      </c>
      <c r="L1347" s="1353" t="s">
        <v>83</v>
      </c>
      <c r="M1347" s="1353">
        <v>44379</v>
      </c>
      <c r="N1347" s="1354">
        <f t="shared" si="193"/>
        <v>60</v>
      </c>
      <c r="O1347" s="1427">
        <v>44429</v>
      </c>
      <c r="P1347" s="1438">
        <v>44432</v>
      </c>
      <c r="Q1347" s="1355">
        <v>44452</v>
      </c>
      <c r="R1347" s="1354">
        <f t="shared" si="179"/>
        <v>157</v>
      </c>
      <c r="S1347" s="1437" t="s">
        <v>6864</v>
      </c>
      <c r="T1347" s="1370" t="s">
        <v>7447</v>
      </c>
      <c r="U1347" s="1358" t="str">
        <f t="shared" si="194"/>
        <v>atrasado</v>
      </c>
      <c r="V1347" s="1130" t="str">
        <f t="shared" si="195"/>
        <v>Julio</v>
      </c>
      <c r="W1347" s="1128">
        <f t="shared" si="183"/>
        <v>0</v>
      </c>
    </row>
    <row r="1348" spans="1:23" ht="54.95" customHeight="1" thickBot="1" x14ac:dyDescent="0.25">
      <c r="A1348" s="1117">
        <v>2021</v>
      </c>
      <c r="B1348" s="1117">
        <v>2021</v>
      </c>
      <c r="C1348" s="1436" t="s">
        <v>78</v>
      </c>
      <c r="D1348" s="1363" t="s">
        <v>6929</v>
      </c>
      <c r="E1348" s="1350" t="s">
        <v>7415</v>
      </c>
      <c r="F1348" s="1437" t="s">
        <v>81</v>
      </c>
      <c r="G1348" s="1463" t="s">
        <v>7488</v>
      </c>
      <c r="H1348" s="1352">
        <v>5365.91</v>
      </c>
      <c r="I1348" s="1353">
        <v>44314</v>
      </c>
      <c r="J1348" s="1354">
        <f t="shared" ref="J1348:J1353" si="196">+K1348-I1348</f>
        <v>79</v>
      </c>
      <c r="K1348" s="1353">
        <v>44393</v>
      </c>
      <c r="L1348" s="1353" t="s">
        <v>83</v>
      </c>
      <c r="M1348" s="1353">
        <v>44404</v>
      </c>
      <c r="N1348" s="1354">
        <f t="shared" si="193"/>
        <v>19</v>
      </c>
      <c r="O1348" s="1427">
        <v>44410</v>
      </c>
      <c r="P1348" s="1438">
        <v>44412</v>
      </c>
      <c r="Q1348" s="1355">
        <f>+P1348+5</f>
        <v>44417</v>
      </c>
      <c r="R1348" s="1354">
        <f t="shared" si="179"/>
        <v>103</v>
      </c>
      <c r="S1348" s="1437" t="s">
        <v>6864</v>
      </c>
      <c r="T1348" s="1370" t="s">
        <v>7431</v>
      </c>
      <c r="U1348" s="1358" t="str">
        <f t="shared" si="194"/>
        <v>atrasado</v>
      </c>
      <c r="V1348" s="1130" t="str">
        <f t="shared" si="195"/>
        <v>Julio</v>
      </c>
      <c r="W1348" s="1128">
        <f t="shared" si="183"/>
        <v>0</v>
      </c>
    </row>
    <row r="1349" spans="1:23" ht="54.95" customHeight="1" thickBot="1" x14ac:dyDescent="0.25">
      <c r="A1349" s="1117">
        <v>2021</v>
      </c>
      <c r="B1349" s="1117">
        <v>2021</v>
      </c>
      <c r="C1349" s="1436" t="s">
        <v>78</v>
      </c>
      <c r="D1349" s="1363" t="s">
        <v>6929</v>
      </c>
      <c r="E1349" s="1350" t="s">
        <v>7416</v>
      </c>
      <c r="F1349" s="1437" t="s">
        <v>81</v>
      </c>
      <c r="G1349" s="1463" t="s">
        <v>7417</v>
      </c>
      <c r="H1349" s="1352">
        <v>137260.18</v>
      </c>
      <c r="I1349" s="1353">
        <v>44314</v>
      </c>
      <c r="J1349" s="1354">
        <f t="shared" si="196"/>
        <v>93</v>
      </c>
      <c r="K1349" s="1353">
        <v>44407</v>
      </c>
      <c r="L1349" s="1353" t="s">
        <v>83</v>
      </c>
      <c r="M1349" s="1353">
        <v>44421</v>
      </c>
      <c r="N1349" s="1354">
        <f t="shared" si="193"/>
        <v>84</v>
      </c>
      <c r="O1349" s="1427">
        <v>44483</v>
      </c>
      <c r="P1349" s="1438">
        <v>44491</v>
      </c>
      <c r="Q1349" s="1355">
        <v>44505</v>
      </c>
      <c r="R1349" s="1354">
        <f t="shared" si="179"/>
        <v>191</v>
      </c>
      <c r="S1349" s="1437" t="s">
        <v>6864</v>
      </c>
      <c r="T1349" s="1370" t="s">
        <v>7484</v>
      </c>
      <c r="U1349" s="1358" t="str">
        <f t="shared" si="194"/>
        <v>atrasado</v>
      </c>
      <c r="V1349" s="1130" t="str">
        <f t="shared" si="195"/>
        <v>Agosto</v>
      </c>
      <c r="W1349" s="1128">
        <f t="shared" si="183"/>
        <v>0</v>
      </c>
    </row>
    <row r="1350" spans="1:23" ht="54.95" customHeight="1" thickBot="1" x14ac:dyDescent="0.25">
      <c r="A1350" s="1117">
        <v>2021</v>
      </c>
      <c r="B1350" s="1117">
        <v>2021</v>
      </c>
      <c r="C1350" s="1436" t="s">
        <v>78</v>
      </c>
      <c r="D1350" s="1363" t="s">
        <v>6929</v>
      </c>
      <c r="E1350" s="1350" t="s">
        <v>7418</v>
      </c>
      <c r="F1350" s="1437" t="s">
        <v>81</v>
      </c>
      <c r="G1350" s="1463" t="s">
        <v>7489</v>
      </c>
      <c r="H1350" s="1352">
        <v>56773.25</v>
      </c>
      <c r="I1350" s="1353">
        <v>44370</v>
      </c>
      <c r="J1350" s="1354">
        <f t="shared" si="196"/>
        <v>65</v>
      </c>
      <c r="K1350" s="1353">
        <v>44435</v>
      </c>
      <c r="L1350" s="1353" t="s">
        <v>83</v>
      </c>
      <c r="M1350" s="1353">
        <v>44449</v>
      </c>
      <c r="N1350" s="1354">
        <f t="shared" si="193"/>
        <v>56</v>
      </c>
      <c r="O1350" s="1427">
        <v>44483</v>
      </c>
      <c r="P1350" s="1438">
        <v>44491</v>
      </c>
      <c r="Q1350" s="1355">
        <v>44505</v>
      </c>
      <c r="R1350" s="1354">
        <f t="shared" si="179"/>
        <v>135</v>
      </c>
      <c r="S1350" s="1437" t="s">
        <v>6864</v>
      </c>
      <c r="T1350" s="1370" t="s">
        <v>7504</v>
      </c>
      <c r="U1350" s="1358" t="str">
        <f t="shared" si="194"/>
        <v>atrasado</v>
      </c>
      <c r="V1350" s="1130" t="str">
        <f t="shared" si="195"/>
        <v>Septiembre</v>
      </c>
      <c r="W1350" s="1128">
        <f t="shared" si="183"/>
        <v>0</v>
      </c>
    </row>
    <row r="1351" spans="1:23" ht="54.95" customHeight="1" thickBot="1" x14ac:dyDescent="0.25">
      <c r="A1351" s="1117">
        <v>2021</v>
      </c>
      <c r="B1351" s="1117">
        <v>2021</v>
      </c>
      <c r="C1351" s="1436" t="s">
        <v>78</v>
      </c>
      <c r="D1351" s="1363" t="s">
        <v>6929</v>
      </c>
      <c r="E1351" s="1350" t="s">
        <v>7491</v>
      </c>
      <c r="F1351" s="1437" t="s">
        <v>81</v>
      </c>
      <c r="G1351" s="1463" t="s">
        <v>7498</v>
      </c>
      <c r="H1351" s="1352">
        <v>70148.81</v>
      </c>
      <c r="I1351" s="1353">
        <v>44420</v>
      </c>
      <c r="J1351" s="1354">
        <f t="shared" si="196"/>
        <v>81</v>
      </c>
      <c r="K1351" s="1353">
        <v>44501</v>
      </c>
      <c r="L1351" s="1353" t="s">
        <v>83</v>
      </c>
      <c r="M1351" s="1353">
        <v>44484</v>
      </c>
      <c r="N1351" s="1354">
        <f>IF(P1351="","",+P1351-K1351)</f>
        <v>19</v>
      </c>
      <c r="O1351" s="1427">
        <v>44512</v>
      </c>
      <c r="P1351" s="1438">
        <v>44520</v>
      </c>
      <c r="Q1351" s="1355">
        <f>+P1351+20</f>
        <v>44540</v>
      </c>
      <c r="R1351" s="1354">
        <f>IF(Q1351="","",+Q1351-I1351)</f>
        <v>120</v>
      </c>
      <c r="S1351" s="1437" t="s">
        <v>7490</v>
      </c>
      <c r="T1351" s="1370" t="s">
        <v>7530</v>
      </c>
      <c r="U1351" s="1358" t="str">
        <f t="shared" si="194"/>
        <v>atrasado</v>
      </c>
      <c r="V1351" s="1130" t="str">
        <f t="shared" ref="V1351:V1352" si="197">VLOOKUP(MONTH(M1351),$Y$66:$Z$77,2,FALSE)</f>
        <v>Octubre</v>
      </c>
      <c r="W1351" s="1128">
        <f t="shared" ref="W1351:W1352" si="198">+IF(U1351="atrasado",0)+IF(U1351="en término",1)</f>
        <v>0</v>
      </c>
    </row>
    <row r="1352" spans="1:23" ht="54.95" customHeight="1" thickBot="1" x14ac:dyDescent="0.25">
      <c r="A1352" s="1117">
        <v>2021</v>
      </c>
      <c r="B1352" s="1117">
        <v>2021</v>
      </c>
      <c r="C1352" s="1436" t="s">
        <v>78</v>
      </c>
      <c r="D1352" s="1363" t="s">
        <v>6929</v>
      </c>
      <c r="E1352" s="1350" t="s">
        <v>7492</v>
      </c>
      <c r="F1352" s="1437" t="s">
        <v>81</v>
      </c>
      <c r="G1352" s="1463" t="s">
        <v>7499</v>
      </c>
      <c r="H1352" s="1352">
        <f>108741.14</f>
        <v>108741.14</v>
      </c>
      <c r="I1352" s="1353">
        <v>44452</v>
      </c>
      <c r="J1352" s="1354">
        <f t="shared" si="196"/>
        <v>64</v>
      </c>
      <c r="K1352" s="1353">
        <v>44516</v>
      </c>
      <c r="L1352" s="1353" t="s">
        <v>83</v>
      </c>
      <c r="M1352" s="1353">
        <v>44505</v>
      </c>
      <c r="N1352" s="1354">
        <f>IF(P1352="","",+P1352-K1352)</f>
        <v>10</v>
      </c>
      <c r="O1352" s="1427"/>
      <c r="P1352" s="1438">
        <v>44526</v>
      </c>
      <c r="Q1352" s="1355">
        <f>+P1352+20</f>
        <v>44546</v>
      </c>
      <c r="R1352" s="1354">
        <f>IF(Q1352="","",+Q1352-I1352)</f>
        <v>94</v>
      </c>
      <c r="S1352" s="1437" t="s">
        <v>6864</v>
      </c>
      <c r="T1352" s="1370" t="s">
        <v>7501</v>
      </c>
      <c r="U1352" s="1358" t="str">
        <f t="shared" si="194"/>
        <v>atrasado</v>
      </c>
      <c r="V1352" s="1130" t="str">
        <f t="shared" si="197"/>
        <v>Noviembre</v>
      </c>
      <c r="W1352" s="1128">
        <f t="shared" si="198"/>
        <v>0</v>
      </c>
    </row>
    <row r="1353" spans="1:23" ht="54.95" customHeight="1" thickBot="1" x14ac:dyDescent="0.25">
      <c r="A1353" s="1117">
        <v>2021</v>
      </c>
      <c r="B1353" s="1117">
        <v>2021</v>
      </c>
      <c r="C1353" s="1436" t="s">
        <v>78</v>
      </c>
      <c r="D1353" s="1363" t="s">
        <v>6929</v>
      </c>
      <c r="E1353" s="1350" t="s">
        <v>7502</v>
      </c>
      <c r="F1353" s="1437" t="s">
        <v>81</v>
      </c>
      <c r="G1353" s="1463" t="s">
        <v>7507</v>
      </c>
      <c r="H1353" s="1352">
        <v>59687.85</v>
      </c>
      <c r="I1353" s="1353">
        <v>44467</v>
      </c>
      <c r="J1353" s="1354">
        <f t="shared" si="196"/>
        <v>49</v>
      </c>
      <c r="K1353" s="1353">
        <v>44516</v>
      </c>
      <c r="L1353" s="1353" t="s">
        <v>83</v>
      </c>
      <c r="M1353" s="1353">
        <v>44519</v>
      </c>
      <c r="N1353" s="1354">
        <f>IF(P1353="","",+P1353-K1353)</f>
        <v>47</v>
      </c>
      <c r="O1353" s="1427">
        <v>44551</v>
      </c>
      <c r="P1353" s="1438">
        <v>44563</v>
      </c>
      <c r="Q1353" s="1355">
        <v>44589</v>
      </c>
      <c r="R1353" s="1354">
        <f>IF(Q1353="","",+Q1353-I1353)</f>
        <v>122</v>
      </c>
      <c r="S1353" s="1437" t="s">
        <v>7500</v>
      </c>
      <c r="T1353" s="1370" t="s">
        <v>7503</v>
      </c>
      <c r="U1353" s="1358" t="str">
        <f>IF(N1353="","",IF(N1353&lt;=0,"en término","atrasado"))</f>
        <v>atrasado</v>
      </c>
      <c r="V1353" s="1130" t="str">
        <f t="shared" ref="V1353:V1354" si="199">VLOOKUP(MONTH(M1353),$Y$66:$Z$77,2,FALSE)</f>
        <v>Noviembre</v>
      </c>
      <c r="W1353" s="1128">
        <f t="shared" ref="W1353:W1354" si="200">+IF(U1353="atrasado",0)+IF(U1353="en término",1)</f>
        <v>0</v>
      </c>
    </row>
    <row r="1354" spans="1:23" ht="54.95" customHeight="1" thickBot="1" x14ac:dyDescent="0.25">
      <c r="A1354" s="1117">
        <v>2021</v>
      </c>
      <c r="B1354" s="1117">
        <v>2021</v>
      </c>
      <c r="C1354" s="1436" t="s">
        <v>78</v>
      </c>
      <c r="D1354" s="1363" t="s">
        <v>6929</v>
      </c>
      <c r="E1354" s="1350" t="s">
        <v>7493</v>
      </c>
      <c r="F1354" s="1437" t="s">
        <v>81</v>
      </c>
      <c r="G1354" s="1463" t="s">
        <v>7584</v>
      </c>
      <c r="H1354" s="1352">
        <v>14401.19</v>
      </c>
      <c r="I1354" s="1353">
        <v>44452</v>
      </c>
      <c r="J1354" s="1354">
        <f t="shared" ref="J1354" si="201">+K1354-I1354</f>
        <v>98</v>
      </c>
      <c r="K1354" s="1353">
        <v>44550</v>
      </c>
      <c r="L1354" s="1353" t="s">
        <v>83</v>
      </c>
      <c r="M1354" s="1353">
        <v>44550</v>
      </c>
      <c r="N1354" s="1354">
        <f>IF(P1354="","",+P1354-K1354)</f>
        <v>11</v>
      </c>
      <c r="O1354" s="1427"/>
      <c r="P1354" s="1438">
        <v>44561</v>
      </c>
      <c r="Q1354" s="1355">
        <v>44564</v>
      </c>
      <c r="R1354" s="1354">
        <f>IF(Q1354="","",+Q1354-I1354)</f>
        <v>112</v>
      </c>
      <c r="S1354" s="1437" t="s">
        <v>6864</v>
      </c>
      <c r="T1354" s="1370" t="s">
        <v>7614</v>
      </c>
      <c r="U1354" s="1358" t="str">
        <f t="shared" ref="U1354" si="202">IF(N1354="","",IF(N1354&lt;=0,"en término","atrasado"))</f>
        <v>atrasado</v>
      </c>
      <c r="V1354" s="1130" t="str">
        <f t="shared" si="199"/>
        <v>Diciembre</v>
      </c>
      <c r="W1354" s="1128">
        <f t="shared" si="200"/>
        <v>0</v>
      </c>
    </row>
    <row r="1355" spans="1:23" ht="54.95" customHeight="1" thickBot="1" x14ac:dyDescent="0.25">
      <c r="A1355" s="1117">
        <v>2021</v>
      </c>
      <c r="B1355" s="1117">
        <v>2021</v>
      </c>
      <c r="C1355" s="1436" t="s">
        <v>7112</v>
      </c>
      <c r="D1355" s="1363" t="s">
        <v>6138</v>
      </c>
      <c r="E1355" s="1350" t="s">
        <v>7113</v>
      </c>
      <c r="F1355" s="1437"/>
      <c r="G1355" s="1463" t="s">
        <v>7140</v>
      </c>
      <c r="H1355" s="1352">
        <v>48345</v>
      </c>
      <c r="I1355" s="1353">
        <v>44492</v>
      </c>
      <c r="J1355" s="1354">
        <v>90</v>
      </c>
      <c r="K1355" s="1353">
        <f>+I1355+J1355</f>
        <v>44582</v>
      </c>
      <c r="L1355" s="1353" t="s">
        <v>124</v>
      </c>
      <c r="M1355" s="1353">
        <v>44218</v>
      </c>
      <c r="N1355" s="1354">
        <f t="shared" si="193"/>
        <v>-280</v>
      </c>
      <c r="O1355" s="1427">
        <v>44284</v>
      </c>
      <c r="P1355" s="1438">
        <v>44302</v>
      </c>
      <c r="Q1355" s="1355">
        <v>44327</v>
      </c>
      <c r="R1355" s="1354">
        <f t="shared" si="179"/>
        <v>-165</v>
      </c>
      <c r="S1355" s="1437" t="s">
        <v>7142</v>
      </c>
      <c r="T1355" s="1370" t="s">
        <v>7303</v>
      </c>
      <c r="U1355" s="1358" t="str">
        <f t="shared" si="194"/>
        <v>en término</v>
      </c>
      <c r="V1355" s="1130" t="str">
        <f t="shared" si="195"/>
        <v>Enero</v>
      </c>
      <c r="W1355" s="1128">
        <f t="shared" si="183"/>
        <v>1</v>
      </c>
    </row>
    <row r="1356" spans="1:23" ht="79.5" customHeight="1" thickBot="1" x14ac:dyDescent="0.25">
      <c r="A1356" s="1143">
        <v>2021</v>
      </c>
      <c r="B1356" s="1143">
        <v>2021</v>
      </c>
      <c r="C1356" s="1449" t="s">
        <v>5697</v>
      </c>
      <c r="D1356" s="1393" t="s">
        <v>5698</v>
      </c>
      <c r="E1356" s="1450" t="s">
        <v>7318</v>
      </c>
      <c r="F1356" s="1464"/>
      <c r="G1356" s="1465" t="s">
        <v>7317</v>
      </c>
      <c r="H1356" s="1453">
        <v>9767</v>
      </c>
      <c r="I1356" s="1454">
        <v>44300</v>
      </c>
      <c r="J1356" s="1455">
        <v>110</v>
      </c>
      <c r="K1356" s="1454">
        <f>+I1356+J1356</f>
        <v>44410</v>
      </c>
      <c r="L1356" s="1454" t="s">
        <v>124</v>
      </c>
      <c r="M1356" s="1454">
        <v>44439</v>
      </c>
      <c r="N1356" s="1455">
        <f>IF(P1356="","",+P1356-K1356)</f>
        <v>129</v>
      </c>
      <c r="O1356" s="1456">
        <v>44519</v>
      </c>
      <c r="P1356" s="1466">
        <v>44539</v>
      </c>
      <c r="Q1356" s="1457">
        <f>+P1356+5</f>
        <v>44544</v>
      </c>
      <c r="R1356" s="1455">
        <f t="shared" ref="R1356" si="203">IF(Q1356="","",+Q1356-I1356)</f>
        <v>244</v>
      </c>
      <c r="S1356" s="1464" t="s">
        <v>7316</v>
      </c>
      <c r="T1356" s="1467" t="s">
        <v>7696</v>
      </c>
      <c r="U1356" s="1459" t="str">
        <f t="shared" ref="U1356" si="204">IF(N1356="","",IF(N1356&lt;=0,"en término","atrasado"))</f>
        <v>atrasado</v>
      </c>
      <c r="V1356" s="1290" t="str">
        <f t="shared" ref="V1356" si="205">VLOOKUP(MONTH(M1356),$Y$66:$Z$77,2,FALSE)</f>
        <v>Agosto</v>
      </c>
      <c r="W1356" s="1323">
        <f t="shared" ref="W1356" si="206">+IF(U1356="atrasado",0)+IF(U1356="en término",1)</f>
        <v>0</v>
      </c>
    </row>
    <row r="1357" spans="1:23" ht="54.95" customHeight="1" thickTop="1" thickBot="1" x14ac:dyDescent="0.25">
      <c r="A1357" s="1157">
        <v>2022</v>
      </c>
      <c r="B1357" s="1157">
        <v>2022</v>
      </c>
      <c r="C1357" s="1468" t="s">
        <v>36</v>
      </c>
      <c r="D1357" s="1408" t="s">
        <v>7534</v>
      </c>
      <c r="E1357" s="1409" t="s">
        <v>7515</v>
      </c>
      <c r="F1357" s="1469" t="s">
        <v>7516</v>
      </c>
      <c r="G1357" s="1463" t="s">
        <v>7517</v>
      </c>
      <c r="H1357" s="1411">
        <v>15259</v>
      </c>
      <c r="I1357" s="1412">
        <v>44494</v>
      </c>
      <c r="J1357" s="1413">
        <f t="shared" ref="J1357:J1406" si="207">+K1357-I1357</f>
        <v>120</v>
      </c>
      <c r="K1357" s="1412">
        <v>44614</v>
      </c>
      <c r="L1357" s="1412" t="s">
        <v>41</v>
      </c>
      <c r="M1357" s="1412">
        <v>44575</v>
      </c>
      <c r="N1357" s="1413">
        <f t="shared" ref="N1357:N1403" si="208">IF(O1357="","",+O1357-K1357)</f>
        <v>-24</v>
      </c>
      <c r="O1357" s="1439">
        <v>44590</v>
      </c>
      <c r="P1357" s="1440">
        <v>44592</v>
      </c>
      <c r="Q1357" s="1414">
        <v>44610</v>
      </c>
      <c r="R1357" s="1413">
        <f t="shared" ref="R1357:R1388" si="209">IF(Q1357="","",+Q1357-I1357)</f>
        <v>116</v>
      </c>
      <c r="S1357" s="1469" t="s">
        <v>419</v>
      </c>
      <c r="T1357" s="1470" t="s">
        <v>7704</v>
      </c>
      <c r="U1357" s="1534" t="str">
        <f t="shared" ref="U1357:U1388" si="210">IF(N1357="","",IF(N1357&lt;=0,"en término","atrasado"))</f>
        <v>en término</v>
      </c>
      <c r="V1357" s="1289" t="str">
        <f t="shared" ref="V1357:V1420" si="211">VLOOKUP(MONTH(M1357),$Y$66:$Z$77,2,FALSE)</f>
        <v>Enero</v>
      </c>
      <c r="W1357" s="1324">
        <f t="shared" ref="W1357:W1420" si="212">+IF(U1357="atrasado",0)+IF(U1357="en término",1)</f>
        <v>1</v>
      </c>
    </row>
    <row r="1358" spans="1:23" ht="54.95" customHeight="1" thickBot="1" x14ac:dyDescent="0.25">
      <c r="A1358" s="1157">
        <v>2022</v>
      </c>
      <c r="B1358" s="1157">
        <v>2022</v>
      </c>
      <c r="C1358" s="1468" t="s">
        <v>36</v>
      </c>
      <c r="D1358" s="1408" t="s">
        <v>7534</v>
      </c>
      <c r="E1358" s="1409" t="s">
        <v>7519</v>
      </c>
      <c r="F1358" s="1469" t="s">
        <v>7524</v>
      </c>
      <c r="G1358" s="1463" t="s">
        <v>7521</v>
      </c>
      <c r="H1358" s="1411">
        <v>427</v>
      </c>
      <c r="I1358" s="1412">
        <v>44498</v>
      </c>
      <c r="J1358" s="1413">
        <f t="shared" si="207"/>
        <v>120</v>
      </c>
      <c r="K1358" s="1412">
        <v>44618</v>
      </c>
      <c r="L1358" s="1412" t="s">
        <v>41</v>
      </c>
      <c r="M1358" s="1412">
        <v>44575</v>
      </c>
      <c r="N1358" s="1413">
        <f t="shared" si="208"/>
        <v>-28</v>
      </c>
      <c r="O1358" s="1439">
        <v>44590</v>
      </c>
      <c r="P1358" s="1440">
        <v>44592</v>
      </c>
      <c r="Q1358" s="1414">
        <v>44610</v>
      </c>
      <c r="R1358" s="1413">
        <f t="shared" si="209"/>
        <v>112</v>
      </c>
      <c r="S1358" s="1469" t="s">
        <v>53</v>
      </c>
      <c r="T1358" s="1470" t="s">
        <v>7703</v>
      </c>
      <c r="U1358" s="1534" t="str">
        <f t="shared" si="210"/>
        <v>en término</v>
      </c>
      <c r="V1358" s="1130" t="str">
        <f t="shared" si="211"/>
        <v>Enero</v>
      </c>
      <c r="W1358" s="1128">
        <f t="shared" si="212"/>
        <v>1</v>
      </c>
    </row>
    <row r="1359" spans="1:23" ht="54.95" customHeight="1" thickBot="1" x14ac:dyDescent="0.25">
      <c r="A1359" s="1157">
        <v>2022</v>
      </c>
      <c r="B1359" s="1157">
        <v>2022</v>
      </c>
      <c r="C1359" s="1468" t="s">
        <v>36</v>
      </c>
      <c r="D1359" s="1408" t="s">
        <v>7534</v>
      </c>
      <c r="E1359" s="1409" t="s">
        <v>7520</v>
      </c>
      <c r="F1359" s="1469" t="s">
        <v>7523</v>
      </c>
      <c r="G1359" s="1463" t="s">
        <v>7522</v>
      </c>
      <c r="H1359" s="1411">
        <v>2780</v>
      </c>
      <c r="I1359" s="1412">
        <v>44498</v>
      </c>
      <c r="J1359" s="1413">
        <f t="shared" si="207"/>
        <v>120</v>
      </c>
      <c r="K1359" s="1412">
        <v>44618</v>
      </c>
      <c r="L1359" s="1412" t="s">
        <v>41</v>
      </c>
      <c r="M1359" s="1412">
        <v>44575</v>
      </c>
      <c r="N1359" s="1413">
        <f t="shared" si="208"/>
        <v>-28</v>
      </c>
      <c r="O1359" s="1439">
        <v>44590</v>
      </c>
      <c r="P1359" s="1440">
        <v>44592</v>
      </c>
      <c r="Q1359" s="1414">
        <v>44610</v>
      </c>
      <c r="R1359" s="1413">
        <f t="shared" si="209"/>
        <v>112</v>
      </c>
      <c r="S1359" s="1469" t="s">
        <v>53</v>
      </c>
      <c r="T1359" s="1470" t="s">
        <v>7702</v>
      </c>
      <c r="U1359" s="1534" t="str">
        <f t="shared" si="210"/>
        <v>en término</v>
      </c>
      <c r="V1359" s="1130" t="str">
        <f t="shared" si="211"/>
        <v>Enero</v>
      </c>
      <c r="W1359" s="1128">
        <f t="shared" si="212"/>
        <v>1</v>
      </c>
    </row>
    <row r="1360" spans="1:23" ht="54.95" customHeight="1" thickBot="1" x14ac:dyDescent="0.25">
      <c r="A1360" s="1157">
        <v>2022</v>
      </c>
      <c r="B1360" s="1157">
        <v>2022</v>
      </c>
      <c r="C1360" s="1468" t="s">
        <v>36</v>
      </c>
      <c r="D1360" s="1408" t="s">
        <v>7534</v>
      </c>
      <c r="E1360" s="1409" t="s">
        <v>6441</v>
      </c>
      <c r="F1360" s="1469">
        <v>4600557062</v>
      </c>
      <c r="G1360" s="1463" t="s">
        <v>7550</v>
      </c>
      <c r="H1360" s="1411">
        <v>93740.11</v>
      </c>
      <c r="I1360" s="1412">
        <v>44517</v>
      </c>
      <c r="J1360" s="1413">
        <f t="shared" si="207"/>
        <v>83</v>
      </c>
      <c r="K1360" s="1412">
        <v>44600</v>
      </c>
      <c r="L1360" s="1412" t="s">
        <v>41</v>
      </c>
      <c r="M1360" s="1412">
        <v>44582</v>
      </c>
      <c r="N1360" s="1413">
        <f t="shared" si="208"/>
        <v>-10</v>
      </c>
      <c r="O1360" s="1439">
        <v>44590</v>
      </c>
      <c r="P1360" s="1440">
        <v>44592</v>
      </c>
      <c r="Q1360" s="1414">
        <v>44610</v>
      </c>
      <c r="R1360" s="1413">
        <f t="shared" si="209"/>
        <v>93</v>
      </c>
      <c r="S1360" s="1469" t="s">
        <v>7555</v>
      </c>
      <c r="T1360" s="1470" t="s">
        <v>7701</v>
      </c>
      <c r="U1360" s="1534" t="str">
        <f t="shared" si="210"/>
        <v>en término</v>
      </c>
      <c r="V1360" s="1130" t="str">
        <f t="shared" si="211"/>
        <v>Enero</v>
      </c>
      <c r="W1360" s="1128">
        <f t="shared" si="212"/>
        <v>1</v>
      </c>
    </row>
    <row r="1361" spans="1:23" ht="54.95" customHeight="1" thickBot="1" x14ac:dyDescent="0.25">
      <c r="A1361" s="1157">
        <v>2022</v>
      </c>
      <c r="B1361" s="1157">
        <v>2022</v>
      </c>
      <c r="C1361" s="1468" t="s">
        <v>36</v>
      </c>
      <c r="D1361" s="1408" t="s">
        <v>7534</v>
      </c>
      <c r="E1361" s="1409" t="s">
        <v>6441</v>
      </c>
      <c r="F1361" s="1469">
        <v>4600557062</v>
      </c>
      <c r="G1361" s="1463" t="s">
        <v>7551</v>
      </c>
      <c r="H1361" s="1411">
        <v>17593.240000000002</v>
      </c>
      <c r="I1361" s="1412">
        <v>44517</v>
      </c>
      <c r="J1361" s="1413">
        <f t="shared" si="207"/>
        <v>91</v>
      </c>
      <c r="K1361" s="1412">
        <v>44608</v>
      </c>
      <c r="L1361" s="1412" t="s">
        <v>41</v>
      </c>
      <c r="M1361" s="1412">
        <v>44575</v>
      </c>
      <c r="N1361" s="1413">
        <f t="shared" si="208"/>
        <v>-18</v>
      </c>
      <c r="O1361" s="1439">
        <v>44590</v>
      </c>
      <c r="P1361" s="1440">
        <v>44592</v>
      </c>
      <c r="Q1361" s="1414">
        <v>44610</v>
      </c>
      <c r="R1361" s="1413">
        <f t="shared" si="209"/>
        <v>93</v>
      </c>
      <c r="S1361" s="1469" t="s">
        <v>925</v>
      </c>
      <c r="T1361" s="1470" t="s">
        <v>7700</v>
      </c>
      <c r="U1361" s="1534" t="str">
        <f t="shared" si="210"/>
        <v>en término</v>
      </c>
      <c r="V1361" s="1130" t="str">
        <f t="shared" si="211"/>
        <v>Enero</v>
      </c>
      <c r="W1361" s="1128">
        <f t="shared" si="212"/>
        <v>1</v>
      </c>
    </row>
    <row r="1362" spans="1:23" ht="54.95" customHeight="1" thickBot="1" x14ac:dyDescent="0.25">
      <c r="A1362" s="1157">
        <v>2022</v>
      </c>
      <c r="B1362" s="1157">
        <v>2022</v>
      </c>
      <c r="C1362" s="1468" t="s">
        <v>36</v>
      </c>
      <c r="D1362" s="1408" t="s">
        <v>7534</v>
      </c>
      <c r="E1362" s="1409" t="s">
        <v>6441</v>
      </c>
      <c r="F1362" s="1469">
        <v>4600557062</v>
      </c>
      <c r="G1362" s="1463" t="s">
        <v>7552</v>
      </c>
      <c r="H1362" s="1411">
        <v>25264.18</v>
      </c>
      <c r="I1362" s="1412">
        <v>44517</v>
      </c>
      <c r="J1362" s="1413">
        <f t="shared" si="207"/>
        <v>91</v>
      </c>
      <c r="K1362" s="1412">
        <v>44608</v>
      </c>
      <c r="L1362" s="1412" t="s">
        <v>41</v>
      </c>
      <c r="M1362" s="1412">
        <v>44575</v>
      </c>
      <c r="N1362" s="1413">
        <f t="shared" si="208"/>
        <v>-18</v>
      </c>
      <c r="O1362" s="1439">
        <v>44590</v>
      </c>
      <c r="P1362" s="1440">
        <v>44592</v>
      </c>
      <c r="Q1362" s="1414">
        <v>44610</v>
      </c>
      <c r="R1362" s="1413">
        <f t="shared" si="209"/>
        <v>93</v>
      </c>
      <c r="S1362" s="1469" t="s">
        <v>965</v>
      </c>
      <c r="T1362" s="1470" t="s">
        <v>7699</v>
      </c>
      <c r="U1362" s="1534" t="str">
        <f t="shared" si="210"/>
        <v>en término</v>
      </c>
      <c r="V1362" s="1130" t="str">
        <f t="shared" si="211"/>
        <v>Enero</v>
      </c>
      <c r="W1362" s="1128">
        <f t="shared" si="212"/>
        <v>1</v>
      </c>
    </row>
    <row r="1363" spans="1:23" ht="54.95" customHeight="1" thickBot="1" x14ac:dyDescent="0.25">
      <c r="A1363" s="1157">
        <v>2022</v>
      </c>
      <c r="B1363" s="1157">
        <v>2022</v>
      </c>
      <c r="C1363" s="1468" t="s">
        <v>36</v>
      </c>
      <c r="D1363" s="1408" t="s">
        <v>7534</v>
      </c>
      <c r="E1363" s="1409" t="s">
        <v>6441</v>
      </c>
      <c r="F1363" s="1469">
        <v>4600557062</v>
      </c>
      <c r="G1363" s="1463" t="s">
        <v>7553</v>
      </c>
      <c r="H1363" s="1411">
        <v>15100.4</v>
      </c>
      <c r="I1363" s="1412">
        <v>44517</v>
      </c>
      <c r="J1363" s="1413">
        <f t="shared" si="207"/>
        <v>91</v>
      </c>
      <c r="K1363" s="1412">
        <v>44608</v>
      </c>
      <c r="L1363" s="1412" t="s">
        <v>41</v>
      </c>
      <c r="M1363" s="1412">
        <v>44575</v>
      </c>
      <c r="N1363" s="1413">
        <f t="shared" si="208"/>
        <v>-18</v>
      </c>
      <c r="O1363" s="1439">
        <v>44590</v>
      </c>
      <c r="P1363" s="1440">
        <v>44592</v>
      </c>
      <c r="Q1363" s="1414">
        <v>44610</v>
      </c>
      <c r="R1363" s="1413">
        <f t="shared" si="209"/>
        <v>93</v>
      </c>
      <c r="S1363" s="1469" t="s">
        <v>879</v>
      </c>
      <c r="T1363" s="1470" t="s">
        <v>7698</v>
      </c>
      <c r="U1363" s="1534" t="str">
        <f t="shared" si="210"/>
        <v>en término</v>
      </c>
      <c r="V1363" s="1130" t="str">
        <f t="shared" si="211"/>
        <v>Enero</v>
      </c>
      <c r="W1363" s="1128">
        <f t="shared" si="212"/>
        <v>1</v>
      </c>
    </row>
    <row r="1364" spans="1:23" ht="54.95" customHeight="1" thickBot="1" x14ac:dyDescent="0.25">
      <c r="A1364" s="1157">
        <v>2022</v>
      </c>
      <c r="B1364" s="1157">
        <v>2022</v>
      </c>
      <c r="C1364" s="1468" t="s">
        <v>36</v>
      </c>
      <c r="D1364" s="1408" t="s">
        <v>7534</v>
      </c>
      <c r="E1364" s="1409" t="s">
        <v>6441</v>
      </c>
      <c r="F1364" s="1469">
        <v>4600557062</v>
      </c>
      <c r="G1364" s="1463" t="s">
        <v>7558</v>
      </c>
      <c r="H1364" s="1411">
        <v>19833.95</v>
      </c>
      <c r="I1364" s="1412">
        <v>44522</v>
      </c>
      <c r="J1364" s="1413">
        <f t="shared" si="207"/>
        <v>92</v>
      </c>
      <c r="K1364" s="1412">
        <v>44614</v>
      </c>
      <c r="L1364" s="1412" t="s">
        <v>41</v>
      </c>
      <c r="M1364" s="1412">
        <v>44607</v>
      </c>
      <c r="N1364" s="1413">
        <f t="shared" si="208"/>
        <v>4</v>
      </c>
      <c r="O1364" s="1439">
        <v>44618</v>
      </c>
      <c r="P1364" s="1440">
        <v>44620</v>
      </c>
      <c r="Q1364" s="1414">
        <f>+P1364+20</f>
        <v>44640</v>
      </c>
      <c r="R1364" s="1413">
        <f t="shared" si="209"/>
        <v>118</v>
      </c>
      <c r="S1364" s="1469" t="s">
        <v>7559</v>
      </c>
      <c r="T1364" s="1470" t="s">
        <v>7562</v>
      </c>
      <c r="U1364" s="1534" t="str">
        <f t="shared" si="210"/>
        <v>atrasado</v>
      </c>
      <c r="V1364" s="1130" t="str">
        <f t="shared" si="211"/>
        <v>Febrero</v>
      </c>
      <c r="W1364" s="1128">
        <f t="shared" si="212"/>
        <v>0</v>
      </c>
    </row>
    <row r="1365" spans="1:23" ht="54.95" customHeight="1" thickBot="1" x14ac:dyDescent="0.25">
      <c r="A1365" s="1157">
        <v>2022</v>
      </c>
      <c r="B1365" s="1157">
        <v>2022</v>
      </c>
      <c r="C1365" s="1468" t="s">
        <v>36</v>
      </c>
      <c r="D1365" s="1408" t="s">
        <v>7534</v>
      </c>
      <c r="E1365" s="1409" t="s">
        <v>7050</v>
      </c>
      <c r="F1365" s="1469">
        <v>4600611934</v>
      </c>
      <c r="G1365" s="1463" t="s">
        <v>7560</v>
      </c>
      <c r="H1365" s="1411">
        <v>15405.17</v>
      </c>
      <c r="I1365" s="1412">
        <v>44522</v>
      </c>
      <c r="J1365" s="1413">
        <f t="shared" si="207"/>
        <v>92</v>
      </c>
      <c r="K1365" s="1412">
        <v>44614</v>
      </c>
      <c r="L1365" s="1412" t="s">
        <v>41</v>
      </c>
      <c r="M1365" s="1412">
        <v>44607</v>
      </c>
      <c r="N1365" s="1413">
        <f t="shared" si="208"/>
        <v>4</v>
      </c>
      <c r="O1365" s="1439">
        <v>44618</v>
      </c>
      <c r="P1365" s="1440">
        <v>44620</v>
      </c>
      <c r="Q1365" s="1414">
        <f>+P1365+20</f>
        <v>44640</v>
      </c>
      <c r="R1365" s="1413">
        <f t="shared" si="209"/>
        <v>118</v>
      </c>
      <c r="S1365" s="1469" t="s">
        <v>7561</v>
      </c>
      <c r="T1365" s="1470" t="s">
        <v>7563</v>
      </c>
      <c r="U1365" s="1534" t="str">
        <f t="shared" si="210"/>
        <v>atrasado</v>
      </c>
      <c r="V1365" s="1130" t="str">
        <f t="shared" si="211"/>
        <v>Febrero</v>
      </c>
      <c r="W1365" s="1128">
        <f t="shared" si="212"/>
        <v>0</v>
      </c>
    </row>
    <row r="1366" spans="1:23" ht="54.95" customHeight="1" thickBot="1" x14ac:dyDescent="0.25">
      <c r="A1366" s="1157">
        <v>2022</v>
      </c>
      <c r="B1366" s="1157">
        <v>2022</v>
      </c>
      <c r="C1366" s="1468" t="s">
        <v>36</v>
      </c>
      <c r="D1366" s="1408" t="s">
        <v>7534</v>
      </c>
      <c r="E1366" s="1409" t="s">
        <v>6441</v>
      </c>
      <c r="F1366" s="1469">
        <v>4600557062</v>
      </c>
      <c r="G1366" s="1463" t="s">
        <v>7565</v>
      </c>
      <c r="H1366" s="1411">
        <v>19700.09</v>
      </c>
      <c r="I1366" s="1412">
        <v>44518</v>
      </c>
      <c r="J1366" s="1413">
        <f t="shared" si="207"/>
        <v>92</v>
      </c>
      <c r="K1366" s="1412">
        <v>44610</v>
      </c>
      <c r="L1366" s="1412" t="s">
        <v>41</v>
      </c>
      <c r="M1366" s="1412">
        <v>44607</v>
      </c>
      <c r="N1366" s="1413">
        <f t="shared" si="208"/>
        <v>8</v>
      </c>
      <c r="O1366" s="1439">
        <v>44618</v>
      </c>
      <c r="P1366" s="1440">
        <v>44620</v>
      </c>
      <c r="Q1366" s="1414">
        <f>+P1366+20</f>
        <v>44640</v>
      </c>
      <c r="R1366" s="1413">
        <f t="shared" si="209"/>
        <v>122</v>
      </c>
      <c r="S1366" s="1469" t="s">
        <v>1087</v>
      </c>
      <c r="T1366" s="1470" t="s">
        <v>7567</v>
      </c>
      <c r="U1366" s="1534" t="str">
        <f t="shared" si="210"/>
        <v>atrasado</v>
      </c>
      <c r="V1366" s="1130" t="str">
        <f t="shared" si="211"/>
        <v>Febrero</v>
      </c>
      <c r="W1366" s="1128">
        <f t="shared" si="212"/>
        <v>0</v>
      </c>
    </row>
    <row r="1367" spans="1:23" ht="54.95" customHeight="1" thickBot="1" x14ac:dyDescent="0.25">
      <c r="A1367" s="1157">
        <v>2022</v>
      </c>
      <c r="B1367" s="1157">
        <v>2022</v>
      </c>
      <c r="C1367" s="1468" t="s">
        <v>36</v>
      </c>
      <c r="D1367" s="1408" t="s">
        <v>7534</v>
      </c>
      <c r="E1367" s="1409" t="s">
        <v>6441</v>
      </c>
      <c r="F1367" s="1469">
        <v>4600557062</v>
      </c>
      <c r="G1367" s="1463" t="s">
        <v>7566</v>
      </c>
      <c r="H1367" s="1411">
        <v>15947.09</v>
      </c>
      <c r="I1367" s="1412">
        <v>44518</v>
      </c>
      <c r="J1367" s="1413">
        <f t="shared" si="207"/>
        <v>92</v>
      </c>
      <c r="K1367" s="1412">
        <v>44610</v>
      </c>
      <c r="L1367" s="1412" t="s">
        <v>41</v>
      </c>
      <c r="M1367" s="1412">
        <v>44607</v>
      </c>
      <c r="N1367" s="1413">
        <f t="shared" si="208"/>
        <v>8</v>
      </c>
      <c r="O1367" s="1439">
        <v>44618</v>
      </c>
      <c r="P1367" s="1440">
        <v>44620</v>
      </c>
      <c r="Q1367" s="1414">
        <f>+P1367+20</f>
        <v>44640</v>
      </c>
      <c r="R1367" s="1413">
        <f t="shared" si="209"/>
        <v>122</v>
      </c>
      <c r="S1367" s="1469" t="s">
        <v>419</v>
      </c>
      <c r="T1367" s="1470" t="s">
        <v>7568</v>
      </c>
      <c r="U1367" s="1534" t="str">
        <f t="shared" si="210"/>
        <v>atrasado</v>
      </c>
      <c r="V1367" s="1130" t="str">
        <f t="shared" si="211"/>
        <v>Febrero</v>
      </c>
      <c r="W1367" s="1128">
        <f t="shared" si="212"/>
        <v>0</v>
      </c>
    </row>
    <row r="1368" spans="1:23" ht="54.95" customHeight="1" thickBot="1" x14ac:dyDescent="0.25">
      <c r="A1368" s="1157">
        <v>2022</v>
      </c>
      <c r="B1368" s="1157">
        <v>2022</v>
      </c>
      <c r="C1368" s="1468" t="s">
        <v>36</v>
      </c>
      <c r="D1368" s="1408" t="s">
        <v>7534</v>
      </c>
      <c r="E1368" s="1409" t="s">
        <v>6441</v>
      </c>
      <c r="F1368" s="1469">
        <v>4600557062</v>
      </c>
      <c r="G1368" s="1463" t="s">
        <v>7550</v>
      </c>
      <c r="H1368" s="1411">
        <v>109478.48</v>
      </c>
      <c r="I1368" s="1412">
        <v>44517</v>
      </c>
      <c r="J1368" s="1413">
        <f t="shared" si="207"/>
        <v>114</v>
      </c>
      <c r="K1368" s="1412">
        <v>44631</v>
      </c>
      <c r="L1368" s="1412" t="s">
        <v>41</v>
      </c>
      <c r="M1368" s="1412">
        <v>44631</v>
      </c>
      <c r="N1368" s="1413">
        <f t="shared" si="208"/>
        <v>15</v>
      </c>
      <c r="O1368" s="1439">
        <v>44646</v>
      </c>
      <c r="P1368" s="1440">
        <v>44647</v>
      </c>
      <c r="Q1368" s="1414">
        <v>44666</v>
      </c>
      <c r="R1368" s="1413">
        <f t="shared" si="209"/>
        <v>149</v>
      </c>
      <c r="S1368" s="1469" t="s">
        <v>7556</v>
      </c>
      <c r="T1368" s="1470" t="s">
        <v>7626</v>
      </c>
      <c r="U1368" s="1534" t="str">
        <f t="shared" si="210"/>
        <v>atrasado</v>
      </c>
      <c r="V1368" s="1130" t="str">
        <f t="shared" si="211"/>
        <v>Marzo</v>
      </c>
      <c r="W1368" s="1128">
        <f t="shared" si="212"/>
        <v>0</v>
      </c>
    </row>
    <row r="1369" spans="1:23" ht="54.95" customHeight="1" thickBot="1" x14ac:dyDescent="0.25">
      <c r="A1369" s="1157">
        <v>2022</v>
      </c>
      <c r="B1369" s="1157">
        <v>2022</v>
      </c>
      <c r="C1369" s="1468" t="s">
        <v>36</v>
      </c>
      <c r="D1369" s="1408" t="s">
        <v>7534</v>
      </c>
      <c r="E1369" s="1409" t="s">
        <v>6441</v>
      </c>
      <c r="F1369" s="1469">
        <v>4600557062</v>
      </c>
      <c r="G1369" s="1463" t="s">
        <v>7576</v>
      </c>
      <c r="H1369" s="1411">
        <v>20956.7</v>
      </c>
      <c r="I1369" s="1412">
        <v>44538</v>
      </c>
      <c r="J1369" s="1413">
        <f t="shared" si="207"/>
        <v>88</v>
      </c>
      <c r="K1369" s="1412">
        <v>44626</v>
      </c>
      <c r="L1369" s="1412" t="s">
        <v>41</v>
      </c>
      <c r="M1369" s="1412">
        <v>44631</v>
      </c>
      <c r="N1369" s="1413">
        <f t="shared" si="208"/>
        <v>20</v>
      </c>
      <c r="O1369" s="1439">
        <v>44646</v>
      </c>
      <c r="P1369" s="1440">
        <v>44647</v>
      </c>
      <c r="Q1369" s="1414">
        <v>44666</v>
      </c>
      <c r="R1369" s="1413">
        <f t="shared" si="209"/>
        <v>128</v>
      </c>
      <c r="S1369" s="1469" t="s">
        <v>921</v>
      </c>
      <c r="T1369" s="1470" t="s">
        <v>7627</v>
      </c>
      <c r="U1369" s="1534" t="str">
        <f t="shared" si="210"/>
        <v>atrasado</v>
      </c>
      <c r="V1369" s="1130" t="str">
        <f t="shared" si="211"/>
        <v>Marzo</v>
      </c>
      <c r="W1369" s="1128">
        <f t="shared" si="212"/>
        <v>0</v>
      </c>
    </row>
    <row r="1370" spans="1:23" ht="54.95" customHeight="1" thickBot="1" x14ac:dyDescent="0.25">
      <c r="A1370" s="1157">
        <v>2022</v>
      </c>
      <c r="B1370" s="1157">
        <v>2022</v>
      </c>
      <c r="C1370" s="1468" t="s">
        <v>36</v>
      </c>
      <c r="D1370" s="1408" t="s">
        <v>7534</v>
      </c>
      <c r="E1370" s="1409" t="s">
        <v>6441</v>
      </c>
      <c r="F1370" s="1469">
        <v>4600557062</v>
      </c>
      <c r="G1370" s="1463" t="s">
        <v>7577</v>
      </c>
      <c r="H1370" s="1411">
        <v>7243.92</v>
      </c>
      <c r="I1370" s="1412">
        <v>44538</v>
      </c>
      <c r="J1370" s="1413">
        <f t="shared" si="207"/>
        <v>88</v>
      </c>
      <c r="K1370" s="1412">
        <v>44626</v>
      </c>
      <c r="L1370" s="1412" t="s">
        <v>41</v>
      </c>
      <c r="M1370" s="1412">
        <v>44631</v>
      </c>
      <c r="N1370" s="1413">
        <f t="shared" si="208"/>
        <v>20</v>
      </c>
      <c r="O1370" s="1439">
        <v>44646</v>
      </c>
      <c r="P1370" s="1440">
        <v>44647</v>
      </c>
      <c r="Q1370" s="1414">
        <v>44666</v>
      </c>
      <c r="R1370" s="1413">
        <f t="shared" si="209"/>
        <v>128</v>
      </c>
      <c r="S1370" s="1469" t="s">
        <v>752</v>
      </c>
      <c r="T1370" s="1470" t="s">
        <v>7628</v>
      </c>
      <c r="U1370" s="1534" t="str">
        <f t="shared" si="210"/>
        <v>atrasado</v>
      </c>
      <c r="V1370" s="1130" t="str">
        <f t="shared" si="211"/>
        <v>Marzo</v>
      </c>
      <c r="W1370" s="1128">
        <f t="shared" si="212"/>
        <v>0</v>
      </c>
    </row>
    <row r="1371" spans="1:23" ht="54.95" customHeight="1" thickBot="1" x14ac:dyDescent="0.25">
      <c r="A1371" s="1157">
        <v>2022</v>
      </c>
      <c r="B1371" s="1157">
        <v>2022</v>
      </c>
      <c r="C1371" s="1468" t="s">
        <v>36</v>
      </c>
      <c r="D1371" s="1408" t="s">
        <v>7534</v>
      </c>
      <c r="E1371" s="1409" t="s">
        <v>6441</v>
      </c>
      <c r="F1371" s="1469">
        <v>4600557062</v>
      </c>
      <c r="G1371" s="1463" t="s">
        <v>7578</v>
      </c>
      <c r="H1371" s="1411">
        <v>34264.32</v>
      </c>
      <c r="I1371" s="1412">
        <v>44538</v>
      </c>
      <c r="J1371" s="1413">
        <f t="shared" si="207"/>
        <v>88</v>
      </c>
      <c r="K1371" s="1412">
        <v>44626</v>
      </c>
      <c r="L1371" s="1412" t="s">
        <v>41</v>
      </c>
      <c r="M1371" s="1412">
        <v>44631</v>
      </c>
      <c r="N1371" s="1413">
        <f t="shared" si="208"/>
        <v>20</v>
      </c>
      <c r="O1371" s="1439">
        <v>44646</v>
      </c>
      <c r="P1371" s="1440">
        <v>44647</v>
      </c>
      <c r="Q1371" s="1414">
        <v>44666</v>
      </c>
      <c r="R1371" s="1413">
        <f t="shared" si="209"/>
        <v>128</v>
      </c>
      <c r="S1371" s="1469" t="s">
        <v>7575</v>
      </c>
      <c r="T1371" s="1470" t="s">
        <v>7629</v>
      </c>
      <c r="U1371" s="1534" t="str">
        <f t="shared" si="210"/>
        <v>atrasado</v>
      </c>
      <c r="V1371" s="1130" t="str">
        <f t="shared" si="211"/>
        <v>Marzo</v>
      </c>
      <c r="W1371" s="1128">
        <f t="shared" si="212"/>
        <v>0</v>
      </c>
    </row>
    <row r="1372" spans="1:23" ht="54.95" customHeight="1" thickBot="1" x14ac:dyDescent="0.25">
      <c r="A1372" s="1157">
        <v>2022</v>
      </c>
      <c r="B1372" s="1157">
        <v>2022</v>
      </c>
      <c r="C1372" s="1468" t="s">
        <v>36</v>
      </c>
      <c r="D1372" s="1408" t="s">
        <v>7534</v>
      </c>
      <c r="E1372" s="1409" t="s">
        <v>6441</v>
      </c>
      <c r="F1372" s="1469">
        <v>4600557062</v>
      </c>
      <c r="G1372" s="1463" t="s">
        <v>7579</v>
      </c>
      <c r="H1372" s="1411">
        <v>86114.07</v>
      </c>
      <c r="I1372" s="1412">
        <v>44539</v>
      </c>
      <c r="J1372" s="1413">
        <f t="shared" si="207"/>
        <v>88</v>
      </c>
      <c r="K1372" s="1412">
        <v>44627</v>
      </c>
      <c r="L1372" s="1412" t="s">
        <v>41</v>
      </c>
      <c r="M1372" s="1412">
        <v>44631</v>
      </c>
      <c r="N1372" s="1413">
        <f t="shared" si="208"/>
        <v>19</v>
      </c>
      <c r="O1372" s="1439">
        <v>44646</v>
      </c>
      <c r="P1372" s="1440">
        <v>44647</v>
      </c>
      <c r="Q1372" s="1414">
        <v>44666</v>
      </c>
      <c r="R1372" s="1413">
        <f t="shared" si="209"/>
        <v>127</v>
      </c>
      <c r="S1372" s="1469" t="s">
        <v>1250</v>
      </c>
      <c r="T1372" s="1470" t="s">
        <v>7630</v>
      </c>
      <c r="U1372" s="1534" t="str">
        <f t="shared" si="210"/>
        <v>atrasado</v>
      </c>
      <c r="V1372" s="1130" t="str">
        <f t="shared" si="211"/>
        <v>Marzo</v>
      </c>
      <c r="W1372" s="1128">
        <f t="shared" si="212"/>
        <v>0</v>
      </c>
    </row>
    <row r="1373" spans="1:23" ht="54.95" customHeight="1" thickBot="1" x14ac:dyDescent="0.25">
      <c r="A1373" s="1157">
        <v>2022</v>
      </c>
      <c r="B1373" s="1157">
        <v>2022</v>
      </c>
      <c r="C1373" s="1468" t="s">
        <v>36</v>
      </c>
      <c r="D1373" s="1408" t="s">
        <v>7534</v>
      </c>
      <c r="E1373" s="1409" t="s">
        <v>6441</v>
      </c>
      <c r="F1373" s="1469">
        <v>4600557062</v>
      </c>
      <c r="G1373" s="1463" t="s">
        <v>7573</v>
      </c>
      <c r="H1373" s="1411">
        <v>9054.9</v>
      </c>
      <c r="I1373" s="1412">
        <v>44543</v>
      </c>
      <c r="J1373" s="1413">
        <f t="shared" si="207"/>
        <v>90</v>
      </c>
      <c r="K1373" s="1412">
        <v>44633</v>
      </c>
      <c r="L1373" s="1412" t="s">
        <v>41</v>
      </c>
      <c r="M1373" s="1412">
        <v>44631</v>
      </c>
      <c r="N1373" s="1413">
        <f t="shared" si="208"/>
        <v>13</v>
      </c>
      <c r="O1373" s="1439">
        <v>44646</v>
      </c>
      <c r="P1373" s="1440">
        <v>44647</v>
      </c>
      <c r="Q1373" s="1414">
        <v>44666</v>
      </c>
      <c r="R1373" s="1413">
        <f t="shared" si="209"/>
        <v>123</v>
      </c>
      <c r="S1373" s="1469" t="s">
        <v>419</v>
      </c>
      <c r="T1373" s="1470" t="s">
        <v>7580</v>
      </c>
      <c r="U1373" s="1534" t="str">
        <f t="shared" si="210"/>
        <v>atrasado</v>
      </c>
      <c r="V1373" s="1130" t="str">
        <f t="shared" si="211"/>
        <v>Marzo</v>
      </c>
      <c r="W1373" s="1128">
        <f t="shared" si="212"/>
        <v>0</v>
      </c>
    </row>
    <row r="1374" spans="1:23" ht="54.95" customHeight="1" thickBot="1" x14ac:dyDescent="0.25">
      <c r="A1374" s="1157">
        <v>2022</v>
      </c>
      <c r="B1374" s="1157">
        <v>2022</v>
      </c>
      <c r="C1374" s="1468" t="s">
        <v>36</v>
      </c>
      <c r="D1374" s="1408" t="s">
        <v>7534</v>
      </c>
      <c r="E1374" s="1409" t="s">
        <v>6441</v>
      </c>
      <c r="F1374" s="1469">
        <v>4600557062</v>
      </c>
      <c r="G1374" s="1463" t="s">
        <v>7574</v>
      </c>
      <c r="H1374" s="1411">
        <v>18120.48</v>
      </c>
      <c r="I1374" s="1412">
        <v>44543</v>
      </c>
      <c r="J1374" s="1413">
        <f t="shared" si="207"/>
        <v>90</v>
      </c>
      <c r="K1374" s="1412">
        <v>44633</v>
      </c>
      <c r="L1374" s="1412" t="s">
        <v>41</v>
      </c>
      <c r="M1374" s="1412">
        <v>44631</v>
      </c>
      <c r="N1374" s="1413">
        <f t="shared" si="208"/>
        <v>13</v>
      </c>
      <c r="O1374" s="1439">
        <v>44646</v>
      </c>
      <c r="P1374" s="1440">
        <v>44647</v>
      </c>
      <c r="Q1374" s="1414">
        <v>44666</v>
      </c>
      <c r="R1374" s="1413">
        <f t="shared" si="209"/>
        <v>123</v>
      </c>
      <c r="S1374" s="1469" t="s">
        <v>944</v>
      </c>
      <c r="T1374" s="1470" t="s">
        <v>7581</v>
      </c>
      <c r="U1374" s="1534" t="str">
        <f t="shared" si="210"/>
        <v>atrasado</v>
      </c>
      <c r="V1374" s="1130" t="str">
        <f t="shared" si="211"/>
        <v>Marzo</v>
      </c>
      <c r="W1374" s="1128">
        <f t="shared" si="212"/>
        <v>0</v>
      </c>
    </row>
    <row r="1375" spans="1:23" ht="54.95" customHeight="1" thickBot="1" x14ac:dyDescent="0.25">
      <c r="A1375" s="1157">
        <v>2022</v>
      </c>
      <c r="B1375" s="1157">
        <v>2022</v>
      </c>
      <c r="C1375" s="1468" t="s">
        <v>36</v>
      </c>
      <c r="D1375" s="1408" t="s">
        <v>7534</v>
      </c>
      <c r="E1375" s="1409" t="s">
        <v>6441</v>
      </c>
      <c r="F1375" s="1469">
        <v>4600557062</v>
      </c>
      <c r="G1375" s="1463" t="s">
        <v>7586</v>
      </c>
      <c r="H1375" s="1411">
        <v>25471.200000000001</v>
      </c>
      <c r="I1375" s="1412">
        <v>44546</v>
      </c>
      <c r="J1375" s="1413">
        <f t="shared" si="207"/>
        <v>90</v>
      </c>
      <c r="K1375" s="1412">
        <v>44636</v>
      </c>
      <c r="L1375" s="1412" t="s">
        <v>41</v>
      </c>
      <c r="M1375" s="1412">
        <v>44631</v>
      </c>
      <c r="N1375" s="1413">
        <f t="shared" si="208"/>
        <v>10</v>
      </c>
      <c r="O1375" s="1439">
        <v>44646</v>
      </c>
      <c r="P1375" s="1440">
        <v>44647</v>
      </c>
      <c r="Q1375" s="1414">
        <v>44666</v>
      </c>
      <c r="R1375" s="1413">
        <f t="shared" si="209"/>
        <v>120</v>
      </c>
      <c r="S1375" s="1469" t="s">
        <v>921</v>
      </c>
      <c r="T1375" s="1470" t="s">
        <v>7588</v>
      </c>
      <c r="U1375" s="1534" t="str">
        <f t="shared" si="210"/>
        <v>atrasado</v>
      </c>
      <c r="V1375" s="1130" t="str">
        <f t="shared" si="211"/>
        <v>Marzo</v>
      </c>
      <c r="W1375" s="1128">
        <f t="shared" si="212"/>
        <v>0</v>
      </c>
    </row>
    <row r="1376" spans="1:23" ht="54.95" customHeight="1" thickBot="1" x14ac:dyDescent="0.25">
      <c r="A1376" s="1157">
        <v>2022</v>
      </c>
      <c r="B1376" s="1157">
        <v>2022</v>
      </c>
      <c r="C1376" s="1468" t="s">
        <v>36</v>
      </c>
      <c r="D1376" s="1408" t="s">
        <v>7534</v>
      </c>
      <c r="E1376" s="1409" t="s">
        <v>6441</v>
      </c>
      <c r="F1376" s="1469">
        <v>4600557062</v>
      </c>
      <c r="G1376" s="1463" t="s">
        <v>7587</v>
      </c>
      <c r="H1376" s="1411">
        <v>8098.27</v>
      </c>
      <c r="I1376" s="1412">
        <v>44546</v>
      </c>
      <c r="J1376" s="1413">
        <f t="shared" si="207"/>
        <v>90</v>
      </c>
      <c r="K1376" s="1412">
        <v>44636</v>
      </c>
      <c r="L1376" s="1412" t="s">
        <v>41</v>
      </c>
      <c r="M1376" s="1412">
        <v>44631</v>
      </c>
      <c r="N1376" s="1413">
        <f t="shared" si="208"/>
        <v>10</v>
      </c>
      <c r="O1376" s="1439">
        <v>44646</v>
      </c>
      <c r="P1376" s="1440">
        <v>44647</v>
      </c>
      <c r="Q1376" s="1414">
        <v>44666</v>
      </c>
      <c r="R1376" s="1413">
        <f t="shared" si="209"/>
        <v>120</v>
      </c>
      <c r="S1376" s="1469" t="s">
        <v>752</v>
      </c>
      <c r="T1376" s="1470" t="s">
        <v>7589</v>
      </c>
      <c r="U1376" s="1534" t="str">
        <f t="shared" si="210"/>
        <v>atrasado</v>
      </c>
      <c r="V1376" s="1130" t="str">
        <f t="shared" si="211"/>
        <v>Marzo</v>
      </c>
      <c r="W1376" s="1128">
        <f t="shared" si="212"/>
        <v>0</v>
      </c>
    </row>
    <row r="1377" spans="1:23" ht="54.95" customHeight="1" thickBot="1" x14ac:dyDescent="0.25">
      <c r="A1377" s="1157">
        <v>2022</v>
      </c>
      <c r="B1377" s="1157">
        <v>2022</v>
      </c>
      <c r="C1377" s="1468" t="s">
        <v>36</v>
      </c>
      <c r="D1377" s="1408" t="s">
        <v>7534</v>
      </c>
      <c r="E1377" s="1409" t="s">
        <v>6441</v>
      </c>
      <c r="F1377" s="1469">
        <v>4600557062</v>
      </c>
      <c r="G1377" s="1463" t="s">
        <v>7633</v>
      </c>
      <c r="H1377" s="1411">
        <v>58461.760000000002</v>
      </c>
      <c r="I1377" s="1412">
        <v>44608</v>
      </c>
      <c r="J1377" s="1413">
        <f t="shared" si="207"/>
        <v>89</v>
      </c>
      <c r="K1377" s="1412">
        <v>44697</v>
      </c>
      <c r="L1377" s="1412" t="s">
        <v>41</v>
      </c>
      <c r="M1377" s="1412">
        <v>44686</v>
      </c>
      <c r="N1377" s="1413">
        <f t="shared" si="208"/>
        <v>-2</v>
      </c>
      <c r="O1377" s="1439">
        <v>44695</v>
      </c>
      <c r="P1377" s="1440">
        <v>44698</v>
      </c>
      <c r="Q1377" s="1414">
        <v>44715</v>
      </c>
      <c r="R1377" s="1413">
        <f t="shared" si="209"/>
        <v>107</v>
      </c>
      <c r="S1377" s="1469" t="s">
        <v>780</v>
      </c>
      <c r="T1377" s="1470" t="s">
        <v>7639</v>
      </c>
      <c r="U1377" s="1534" t="str">
        <f t="shared" si="210"/>
        <v>en término</v>
      </c>
      <c r="V1377" s="1130" t="str">
        <f t="shared" si="211"/>
        <v>Mayo</v>
      </c>
      <c r="W1377" s="1128">
        <f t="shared" si="212"/>
        <v>1</v>
      </c>
    </row>
    <row r="1378" spans="1:23" ht="54.95" customHeight="1" thickBot="1" x14ac:dyDescent="0.25">
      <c r="A1378" s="1157">
        <v>2022</v>
      </c>
      <c r="B1378" s="1157">
        <v>2022</v>
      </c>
      <c r="C1378" s="1468" t="s">
        <v>36</v>
      </c>
      <c r="D1378" s="1408" t="s">
        <v>7534</v>
      </c>
      <c r="E1378" s="1409" t="s">
        <v>6441</v>
      </c>
      <c r="F1378" s="1469">
        <v>4600557062</v>
      </c>
      <c r="G1378" s="1463" t="s">
        <v>7634</v>
      </c>
      <c r="H1378" s="1411">
        <v>9940.48</v>
      </c>
      <c r="I1378" s="1412">
        <v>44608</v>
      </c>
      <c r="J1378" s="1413">
        <f t="shared" si="207"/>
        <v>89</v>
      </c>
      <c r="K1378" s="1412">
        <v>44697</v>
      </c>
      <c r="L1378" s="1412" t="s">
        <v>41</v>
      </c>
      <c r="M1378" s="1412">
        <v>44686</v>
      </c>
      <c r="N1378" s="1413">
        <f t="shared" si="208"/>
        <v>-2</v>
      </c>
      <c r="O1378" s="1439">
        <v>44695</v>
      </c>
      <c r="P1378" s="1440">
        <v>44698</v>
      </c>
      <c r="Q1378" s="1414">
        <v>44715</v>
      </c>
      <c r="R1378" s="1413">
        <f t="shared" si="209"/>
        <v>107</v>
      </c>
      <c r="S1378" s="1469" t="s">
        <v>2239</v>
      </c>
      <c r="T1378" s="1470" t="s">
        <v>7640</v>
      </c>
      <c r="U1378" s="1534" t="str">
        <f t="shared" si="210"/>
        <v>en término</v>
      </c>
      <c r="V1378" s="1130" t="str">
        <f t="shared" si="211"/>
        <v>Mayo</v>
      </c>
      <c r="W1378" s="1128">
        <f t="shared" si="212"/>
        <v>1</v>
      </c>
    </row>
    <row r="1379" spans="1:23" ht="54.95" customHeight="1" thickBot="1" x14ac:dyDescent="0.25">
      <c r="A1379" s="1157">
        <v>2022</v>
      </c>
      <c r="B1379" s="1157">
        <v>2022</v>
      </c>
      <c r="C1379" s="1468" t="s">
        <v>36</v>
      </c>
      <c r="D1379" s="1408" t="s">
        <v>7534</v>
      </c>
      <c r="E1379" s="1409" t="s">
        <v>6441</v>
      </c>
      <c r="F1379" s="1469">
        <v>4600557062</v>
      </c>
      <c r="G1379" s="1463" t="s">
        <v>7637</v>
      </c>
      <c r="H1379" s="1411">
        <v>11959.08</v>
      </c>
      <c r="I1379" s="1412">
        <v>44610</v>
      </c>
      <c r="J1379" s="1413">
        <f t="shared" si="207"/>
        <v>91</v>
      </c>
      <c r="K1379" s="1412">
        <v>44701</v>
      </c>
      <c r="L1379" s="1412" t="s">
        <v>41</v>
      </c>
      <c r="M1379" s="1412">
        <v>44686</v>
      </c>
      <c r="N1379" s="1413">
        <f t="shared" si="208"/>
        <v>-6</v>
      </c>
      <c r="O1379" s="1439">
        <v>44695</v>
      </c>
      <c r="P1379" s="1440">
        <v>44698</v>
      </c>
      <c r="Q1379" s="1414">
        <v>44715</v>
      </c>
      <c r="R1379" s="1413">
        <f t="shared" si="209"/>
        <v>105</v>
      </c>
      <c r="S1379" s="1469" t="s">
        <v>752</v>
      </c>
      <c r="T1379" s="1470" t="s">
        <v>7641</v>
      </c>
      <c r="U1379" s="1534" t="str">
        <f t="shared" si="210"/>
        <v>en término</v>
      </c>
      <c r="V1379" s="1130" t="str">
        <f t="shared" si="211"/>
        <v>Mayo</v>
      </c>
      <c r="W1379" s="1128">
        <f t="shared" si="212"/>
        <v>1</v>
      </c>
    </row>
    <row r="1380" spans="1:23" ht="54.95" customHeight="1" thickBot="1" x14ac:dyDescent="0.25">
      <c r="A1380" s="1157">
        <v>2022</v>
      </c>
      <c r="B1380" s="1157">
        <v>2022</v>
      </c>
      <c r="C1380" s="1468" t="s">
        <v>36</v>
      </c>
      <c r="D1380" s="1408" t="s">
        <v>7534</v>
      </c>
      <c r="E1380" s="1409" t="s">
        <v>6441</v>
      </c>
      <c r="F1380" s="1469">
        <v>4600557062</v>
      </c>
      <c r="G1380" s="1463" t="s">
        <v>7645</v>
      </c>
      <c r="H1380" s="1411">
        <v>25599.8</v>
      </c>
      <c r="I1380" s="1412">
        <v>44629</v>
      </c>
      <c r="J1380" s="1413">
        <f t="shared" si="207"/>
        <v>79</v>
      </c>
      <c r="K1380" s="1412">
        <v>44708</v>
      </c>
      <c r="L1380" s="1412" t="s">
        <v>41</v>
      </c>
      <c r="M1380" s="1412">
        <v>44686</v>
      </c>
      <c r="N1380" s="1413">
        <f t="shared" si="208"/>
        <v>-13</v>
      </c>
      <c r="O1380" s="1439">
        <v>44695</v>
      </c>
      <c r="P1380" s="1440">
        <v>44698</v>
      </c>
      <c r="Q1380" s="1414">
        <v>44715</v>
      </c>
      <c r="R1380" s="1413">
        <f t="shared" si="209"/>
        <v>86</v>
      </c>
      <c r="S1380" s="1469" t="s">
        <v>7646</v>
      </c>
      <c r="T1380" s="1470" t="s">
        <v>7647</v>
      </c>
      <c r="U1380" s="1534" t="str">
        <f t="shared" si="210"/>
        <v>en término</v>
      </c>
      <c r="V1380" s="1130" t="str">
        <f t="shared" si="211"/>
        <v>Mayo</v>
      </c>
      <c r="W1380" s="1128">
        <f t="shared" si="212"/>
        <v>1</v>
      </c>
    </row>
    <row r="1381" spans="1:23" ht="54.95" customHeight="1" thickBot="1" x14ac:dyDescent="0.25">
      <c r="A1381" s="1157">
        <v>2022</v>
      </c>
      <c r="B1381" s="1157">
        <v>2022</v>
      </c>
      <c r="C1381" s="1468" t="s">
        <v>36</v>
      </c>
      <c r="D1381" s="1408" t="s">
        <v>7534</v>
      </c>
      <c r="E1381" s="1409" t="s">
        <v>7657</v>
      </c>
      <c r="F1381" s="1469"/>
      <c r="G1381" s="1463" t="s">
        <v>7658</v>
      </c>
      <c r="H1381" s="1411">
        <v>24058</v>
      </c>
      <c r="I1381" s="1412">
        <v>44635</v>
      </c>
      <c r="J1381" s="1413">
        <f t="shared" si="207"/>
        <v>15</v>
      </c>
      <c r="K1381" s="1412">
        <v>44650</v>
      </c>
      <c r="L1381" s="1412" t="s">
        <v>41</v>
      </c>
      <c r="M1381" s="1412">
        <v>44686</v>
      </c>
      <c r="N1381" s="1413">
        <f t="shared" si="208"/>
        <v>45</v>
      </c>
      <c r="O1381" s="1439">
        <v>44695</v>
      </c>
      <c r="P1381" s="1440">
        <v>44698</v>
      </c>
      <c r="Q1381" s="1414">
        <v>44715</v>
      </c>
      <c r="R1381" s="1413">
        <f t="shared" si="209"/>
        <v>80</v>
      </c>
      <c r="S1381" s="1469" t="s">
        <v>7659</v>
      </c>
      <c r="T1381" s="1470" t="s">
        <v>7660</v>
      </c>
      <c r="U1381" s="1534" t="str">
        <f t="shared" si="210"/>
        <v>atrasado</v>
      </c>
      <c r="V1381" s="1130" t="str">
        <f t="shared" si="211"/>
        <v>Mayo</v>
      </c>
      <c r="W1381" s="1128">
        <f t="shared" si="212"/>
        <v>0</v>
      </c>
    </row>
    <row r="1382" spans="1:23" ht="54.95" customHeight="1" thickBot="1" x14ac:dyDescent="0.25">
      <c r="A1382" s="1157">
        <v>2022</v>
      </c>
      <c r="B1382" s="1157">
        <v>2022</v>
      </c>
      <c r="C1382" s="1468" t="s">
        <v>36</v>
      </c>
      <c r="D1382" s="1408" t="s">
        <v>7534</v>
      </c>
      <c r="E1382" s="1409" t="s">
        <v>7664</v>
      </c>
      <c r="F1382" s="1469"/>
      <c r="G1382" s="1463" t="s">
        <v>7663</v>
      </c>
      <c r="H1382" s="1411">
        <v>9848</v>
      </c>
      <c r="I1382" s="1412">
        <v>44635</v>
      </c>
      <c r="J1382" s="1413">
        <f t="shared" si="207"/>
        <v>15</v>
      </c>
      <c r="K1382" s="1412">
        <v>44650</v>
      </c>
      <c r="L1382" s="1412" t="s">
        <v>41</v>
      </c>
      <c r="M1382" s="1412">
        <v>44686</v>
      </c>
      <c r="N1382" s="1413">
        <f t="shared" si="208"/>
        <v>45</v>
      </c>
      <c r="O1382" s="1439">
        <v>44695</v>
      </c>
      <c r="P1382" s="1440">
        <v>44698</v>
      </c>
      <c r="Q1382" s="1414">
        <v>44715</v>
      </c>
      <c r="R1382" s="1413">
        <f t="shared" si="209"/>
        <v>80</v>
      </c>
      <c r="S1382" s="1469" t="s">
        <v>7662</v>
      </c>
      <c r="T1382" s="1470" t="s">
        <v>7661</v>
      </c>
      <c r="U1382" s="1534" t="str">
        <f t="shared" si="210"/>
        <v>atrasado</v>
      </c>
      <c r="V1382" s="1130" t="str">
        <f t="shared" si="211"/>
        <v>Mayo</v>
      </c>
      <c r="W1382" s="1128">
        <f t="shared" si="212"/>
        <v>0</v>
      </c>
    </row>
    <row r="1383" spans="1:23" ht="54.95" customHeight="1" thickBot="1" x14ac:dyDescent="0.25">
      <c r="A1383" s="1157">
        <v>2022</v>
      </c>
      <c r="B1383" s="1157">
        <v>2022</v>
      </c>
      <c r="C1383" s="1468" t="s">
        <v>36</v>
      </c>
      <c r="D1383" s="1408" t="s">
        <v>7534</v>
      </c>
      <c r="E1383" s="1409" t="s">
        <v>6441</v>
      </c>
      <c r="F1383" s="1469">
        <v>4600557062</v>
      </c>
      <c r="G1383" s="1463" t="s">
        <v>7550</v>
      </c>
      <c r="H1383" s="1411">
        <v>47953.2</v>
      </c>
      <c r="I1383" s="1412">
        <v>44517</v>
      </c>
      <c r="J1383" s="1413">
        <f t="shared" si="207"/>
        <v>156</v>
      </c>
      <c r="K1383" s="1412">
        <v>44673</v>
      </c>
      <c r="L1383" s="1412" t="s">
        <v>41</v>
      </c>
      <c r="M1383" s="1412">
        <v>44659</v>
      </c>
      <c r="N1383" s="1413">
        <f t="shared" si="208"/>
        <v>-6</v>
      </c>
      <c r="O1383" s="1439">
        <v>44667</v>
      </c>
      <c r="P1383" s="1440">
        <v>44669</v>
      </c>
      <c r="Q1383" s="1414">
        <v>44687</v>
      </c>
      <c r="R1383" s="1413">
        <f t="shared" si="209"/>
        <v>170</v>
      </c>
      <c r="S1383" s="1469" t="s">
        <v>7582</v>
      </c>
      <c r="T1383" s="1470" t="s">
        <v>7557</v>
      </c>
      <c r="U1383" s="1534" t="str">
        <f t="shared" si="210"/>
        <v>en término</v>
      </c>
      <c r="V1383" s="1130" t="str">
        <f t="shared" si="211"/>
        <v>Abril</v>
      </c>
      <c r="W1383" s="1128">
        <f t="shared" si="212"/>
        <v>1</v>
      </c>
    </row>
    <row r="1384" spans="1:23" ht="54.95" customHeight="1" thickBot="1" x14ac:dyDescent="0.25">
      <c r="A1384" s="1157">
        <v>2022</v>
      </c>
      <c r="B1384" s="1157">
        <v>2022</v>
      </c>
      <c r="C1384" s="1468" t="s">
        <v>36</v>
      </c>
      <c r="D1384" s="1408" t="s">
        <v>7534</v>
      </c>
      <c r="E1384" s="1409" t="s">
        <v>6441</v>
      </c>
      <c r="F1384" s="1469">
        <v>4600557062</v>
      </c>
      <c r="G1384" s="1463" t="s">
        <v>7550</v>
      </c>
      <c r="H1384" s="1411">
        <v>63940</v>
      </c>
      <c r="I1384" s="1412">
        <v>44517</v>
      </c>
      <c r="J1384" s="1413">
        <f t="shared" si="207"/>
        <v>177</v>
      </c>
      <c r="K1384" s="1412">
        <v>44694</v>
      </c>
      <c r="L1384" s="1412" t="s">
        <v>41</v>
      </c>
      <c r="M1384" s="1412">
        <v>44722</v>
      </c>
      <c r="N1384" s="1413">
        <f t="shared" si="208"/>
        <v>36</v>
      </c>
      <c r="O1384" s="1439">
        <v>44730</v>
      </c>
      <c r="P1384" s="1440">
        <v>44732</v>
      </c>
      <c r="Q1384" s="1414">
        <v>44750</v>
      </c>
      <c r="R1384" s="1413">
        <f t="shared" si="209"/>
        <v>233</v>
      </c>
      <c r="S1384" s="1469" t="s">
        <v>7583</v>
      </c>
      <c r="T1384" s="1470" t="s">
        <v>7678</v>
      </c>
      <c r="U1384" s="1534" t="str">
        <f t="shared" si="210"/>
        <v>atrasado</v>
      </c>
      <c r="V1384" s="1130" t="str">
        <f t="shared" si="211"/>
        <v>Junio</v>
      </c>
      <c r="W1384" s="1128">
        <f t="shared" si="212"/>
        <v>0</v>
      </c>
    </row>
    <row r="1385" spans="1:23" ht="54.95" customHeight="1" thickBot="1" x14ac:dyDescent="0.25">
      <c r="A1385" s="1157">
        <v>2022</v>
      </c>
      <c r="B1385" s="1157">
        <v>2022</v>
      </c>
      <c r="C1385" s="1468" t="s">
        <v>36</v>
      </c>
      <c r="D1385" s="1408" t="s">
        <v>7534</v>
      </c>
      <c r="E1385" s="1409" t="s">
        <v>7599</v>
      </c>
      <c r="F1385" s="1469" t="s">
        <v>7600</v>
      </c>
      <c r="G1385" s="1463" t="s">
        <v>7601</v>
      </c>
      <c r="H1385" s="1411">
        <v>29231</v>
      </c>
      <c r="I1385" s="1412">
        <v>44560</v>
      </c>
      <c r="J1385" s="1413">
        <f t="shared" si="207"/>
        <v>120</v>
      </c>
      <c r="K1385" s="1412">
        <v>44680</v>
      </c>
      <c r="L1385" s="1412" t="s">
        <v>41</v>
      </c>
      <c r="M1385" s="1412">
        <v>44659</v>
      </c>
      <c r="N1385" s="1413">
        <f t="shared" si="208"/>
        <v>-13</v>
      </c>
      <c r="O1385" s="1439">
        <v>44667</v>
      </c>
      <c r="P1385" s="1440">
        <v>44669</v>
      </c>
      <c r="Q1385" s="1414">
        <v>44687</v>
      </c>
      <c r="R1385" s="1413">
        <f t="shared" si="209"/>
        <v>127</v>
      </c>
      <c r="S1385" s="1469" t="s">
        <v>7000</v>
      </c>
      <c r="T1385" s="1470" t="s">
        <v>7603</v>
      </c>
      <c r="U1385" s="1534" t="str">
        <f t="shared" si="210"/>
        <v>en término</v>
      </c>
      <c r="V1385" s="1130" t="str">
        <f t="shared" si="211"/>
        <v>Abril</v>
      </c>
      <c r="W1385" s="1128">
        <f t="shared" si="212"/>
        <v>1</v>
      </c>
    </row>
    <row r="1386" spans="1:23" ht="54.95" customHeight="1" thickBot="1" x14ac:dyDescent="0.25">
      <c r="A1386" s="1157">
        <v>2022</v>
      </c>
      <c r="B1386" s="1157">
        <v>2022</v>
      </c>
      <c r="C1386" s="1468" t="s">
        <v>36</v>
      </c>
      <c r="D1386" s="1408" t="s">
        <v>7534</v>
      </c>
      <c r="E1386" s="1409" t="s">
        <v>6441</v>
      </c>
      <c r="F1386" s="1469">
        <v>4600557062</v>
      </c>
      <c r="G1386" s="1463" t="s">
        <v>7609</v>
      </c>
      <c r="H1386" s="1411">
        <v>21246.73</v>
      </c>
      <c r="I1386" s="1412">
        <v>44572</v>
      </c>
      <c r="J1386" s="1413">
        <f t="shared" si="207"/>
        <v>90</v>
      </c>
      <c r="K1386" s="1412">
        <v>44662</v>
      </c>
      <c r="L1386" s="1412" t="s">
        <v>41</v>
      </c>
      <c r="M1386" s="1412">
        <v>44659</v>
      </c>
      <c r="N1386" s="1413">
        <f t="shared" si="208"/>
        <v>5</v>
      </c>
      <c r="O1386" s="1439">
        <v>44667</v>
      </c>
      <c r="P1386" s="1440">
        <v>44669</v>
      </c>
      <c r="Q1386" s="1414">
        <v>44687</v>
      </c>
      <c r="R1386" s="1413">
        <f t="shared" si="209"/>
        <v>115</v>
      </c>
      <c r="S1386" s="1469" t="s">
        <v>7610</v>
      </c>
      <c r="T1386" s="1470" t="s">
        <v>7656</v>
      </c>
      <c r="U1386" s="1534" t="str">
        <f t="shared" si="210"/>
        <v>atrasado</v>
      </c>
      <c r="V1386" s="1130" t="str">
        <f t="shared" si="211"/>
        <v>Abril</v>
      </c>
      <c r="W1386" s="1128">
        <f t="shared" si="212"/>
        <v>0</v>
      </c>
    </row>
    <row r="1387" spans="1:23" ht="54.95" customHeight="1" thickBot="1" x14ac:dyDescent="0.25">
      <c r="A1387" s="1157">
        <v>2022</v>
      </c>
      <c r="B1387" s="1157">
        <v>2022</v>
      </c>
      <c r="C1387" s="1468" t="s">
        <v>36</v>
      </c>
      <c r="D1387" s="1408" t="s">
        <v>7534</v>
      </c>
      <c r="E1387" s="1409" t="s">
        <v>6441</v>
      </c>
      <c r="F1387" s="1469">
        <v>4600557062</v>
      </c>
      <c r="G1387" s="1463" t="s">
        <v>7620</v>
      </c>
      <c r="H1387" s="1411">
        <v>16298.9</v>
      </c>
      <c r="I1387" s="1412">
        <v>44588</v>
      </c>
      <c r="J1387" s="1413">
        <f t="shared" si="207"/>
        <v>90</v>
      </c>
      <c r="K1387" s="1412">
        <v>44678</v>
      </c>
      <c r="L1387" s="1412" t="s">
        <v>41</v>
      </c>
      <c r="M1387" s="1412">
        <v>44659</v>
      </c>
      <c r="N1387" s="1413">
        <f t="shared" si="208"/>
        <v>-11</v>
      </c>
      <c r="O1387" s="1439">
        <v>44667</v>
      </c>
      <c r="P1387" s="1440">
        <v>44669</v>
      </c>
      <c r="Q1387" s="1414">
        <v>44687</v>
      </c>
      <c r="R1387" s="1413">
        <f t="shared" si="209"/>
        <v>99</v>
      </c>
      <c r="S1387" s="1469" t="s">
        <v>950</v>
      </c>
      <c r="T1387" s="1470" t="s">
        <v>7621</v>
      </c>
      <c r="U1387" s="1534" t="str">
        <f t="shared" si="210"/>
        <v>en término</v>
      </c>
      <c r="V1387" s="1130" t="str">
        <f t="shared" si="211"/>
        <v>Abril</v>
      </c>
      <c r="W1387" s="1128">
        <f t="shared" si="212"/>
        <v>1</v>
      </c>
    </row>
    <row r="1388" spans="1:23" ht="54.95" customHeight="1" thickBot="1" x14ac:dyDescent="0.25">
      <c r="A1388" s="1157">
        <v>2022</v>
      </c>
      <c r="B1388" s="1157">
        <v>2022</v>
      </c>
      <c r="C1388" s="1468" t="s">
        <v>36</v>
      </c>
      <c r="D1388" s="1408" t="s">
        <v>7534</v>
      </c>
      <c r="E1388" s="1409" t="s">
        <v>6441</v>
      </c>
      <c r="F1388" s="1469">
        <v>4600557062</v>
      </c>
      <c r="G1388" s="1463" t="s">
        <v>7632</v>
      </c>
      <c r="H1388" s="1411">
        <v>5768.08</v>
      </c>
      <c r="I1388" s="1412">
        <v>44608</v>
      </c>
      <c r="J1388" s="1413">
        <f t="shared" si="207"/>
        <v>89</v>
      </c>
      <c r="K1388" s="1412">
        <v>44697</v>
      </c>
      <c r="L1388" s="1412" t="s">
        <v>41</v>
      </c>
      <c r="M1388" s="1412">
        <v>44659</v>
      </c>
      <c r="N1388" s="1413">
        <f t="shared" si="208"/>
        <v>-30</v>
      </c>
      <c r="O1388" s="1439">
        <v>44667</v>
      </c>
      <c r="P1388" s="1440">
        <v>44669</v>
      </c>
      <c r="Q1388" s="1414">
        <v>44687</v>
      </c>
      <c r="R1388" s="1413">
        <f t="shared" si="209"/>
        <v>79</v>
      </c>
      <c r="S1388" s="1469" t="s">
        <v>7631</v>
      </c>
      <c r="T1388" s="1470" t="s">
        <v>7638</v>
      </c>
      <c r="U1388" s="1534" t="str">
        <f t="shared" si="210"/>
        <v>en término</v>
      </c>
      <c r="V1388" s="1130" t="str">
        <f t="shared" si="211"/>
        <v>Abril</v>
      </c>
      <c r="W1388" s="1128">
        <f t="shared" si="212"/>
        <v>1</v>
      </c>
    </row>
    <row r="1389" spans="1:23" ht="54.95" customHeight="1" thickBot="1" x14ac:dyDescent="0.25">
      <c r="A1389" s="1157">
        <v>2022</v>
      </c>
      <c r="B1389" s="1157">
        <v>2022</v>
      </c>
      <c r="C1389" s="1468" t="s">
        <v>36</v>
      </c>
      <c r="D1389" s="1408" t="s">
        <v>7534</v>
      </c>
      <c r="E1389" s="1409" t="s">
        <v>6441</v>
      </c>
      <c r="F1389" s="1469">
        <v>4600557062</v>
      </c>
      <c r="G1389" s="1463" t="s">
        <v>7636</v>
      </c>
      <c r="H1389" s="1411">
        <v>392.52</v>
      </c>
      <c r="I1389" s="1412">
        <v>44606</v>
      </c>
      <c r="J1389" s="1413">
        <f t="shared" si="207"/>
        <v>72</v>
      </c>
      <c r="K1389" s="1412">
        <v>44678</v>
      </c>
      <c r="L1389" s="1412" t="s">
        <v>41</v>
      </c>
      <c r="M1389" s="1412">
        <v>44659</v>
      </c>
      <c r="N1389" s="1413">
        <f t="shared" si="208"/>
        <v>-11</v>
      </c>
      <c r="O1389" s="1439">
        <v>44667</v>
      </c>
      <c r="P1389" s="1440">
        <v>44669</v>
      </c>
      <c r="Q1389" s="1414">
        <v>44687</v>
      </c>
      <c r="R1389" s="1413">
        <f t="shared" ref="R1389:R1420" si="213">IF(Q1389="","",+Q1389-I1389)</f>
        <v>81</v>
      </c>
      <c r="S1389" s="1469" t="s">
        <v>7635</v>
      </c>
      <c r="T1389" s="1470" t="s">
        <v>7642</v>
      </c>
      <c r="U1389" s="1534" t="str">
        <f t="shared" ref="U1389:U1413" si="214">IF(N1389="","",IF(N1389&lt;=0,"en término","atrasado"))</f>
        <v>en término</v>
      </c>
      <c r="V1389" s="1130" t="str">
        <f t="shared" si="211"/>
        <v>Abril</v>
      </c>
      <c r="W1389" s="1128">
        <f t="shared" si="212"/>
        <v>1</v>
      </c>
    </row>
    <row r="1390" spans="1:23" ht="54.95" customHeight="1" thickBot="1" x14ac:dyDescent="0.25">
      <c r="A1390" s="1157">
        <v>2022</v>
      </c>
      <c r="B1390" s="1157">
        <v>2022</v>
      </c>
      <c r="C1390" s="1468" t="s">
        <v>36</v>
      </c>
      <c r="D1390" s="1408" t="s">
        <v>7534</v>
      </c>
      <c r="E1390" s="1409" t="s">
        <v>7650</v>
      </c>
      <c r="F1390" s="1469" t="s">
        <v>7648</v>
      </c>
      <c r="G1390" s="1463" t="s">
        <v>7649</v>
      </c>
      <c r="H1390" s="1411">
        <v>61800</v>
      </c>
      <c r="I1390" s="1412">
        <v>44629</v>
      </c>
      <c r="J1390" s="1413">
        <f t="shared" si="207"/>
        <v>98</v>
      </c>
      <c r="K1390" s="1412">
        <v>44727</v>
      </c>
      <c r="L1390" s="1412" t="s">
        <v>41</v>
      </c>
      <c r="M1390" s="1412">
        <v>44708</v>
      </c>
      <c r="N1390" s="1413">
        <f t="shared" si="208"/>
        <v>-11</v>
      </c>
      <c r="O1390" s="1439">
        <v>44716</v>
      </c>
      <c r="P1390" s="1440">
        <v>44719</v>
      </c>
      <c r="Q1390" s="1414">
        <v>44736</v>
      </c>
      <c r="R1390" s="1413">
        <f t="shared" si="213"/>
        <v>107</v>
      </c>
      <c r="S1390" s="1469" t="s">
        <v>750</v>
      </c>
      <c r="T1390" s="1470" t="s">
        <v>7651</v>
      </c>
      <c r="U1390" s="1534" t="str">
        <f t="shared" si="214"/>
        <v>en término</v>
      </c>
      <c r="V1390" s="1130" t="str">
        <f t="shared" si="211"/>
        <v>Mayo</v>
      </c>
      <c r="W1390" s="1128">
        <f t="shared" si="212"/>
        <v>1</v>
      </c>
    </row>
    <row r="1391" spans="1:23" ht="54.95" customHeight="1" thickBot="1" x14ac:dyDescent="0.25">
      <c r="A1391" s="1157">
        <v>2022</v>
      </c>
      <c r="B1391" s="1157">
        <v>2022</v>
      </c>
      <c r="C1391" s="1468" t="s">
        <v>36</v>
      </c>
      <c r="D1391" s="1408" t="s">
        <v>7534</v>
      </c>
      <c r="E1391" s="1409" t="s">
        <v>6441</v>
      </c>
      <c r="F1391" s="1469">
        <v>4600557062</v>
      </c>
      <c r="G1391" s="1463" t="s">
        <v>7653</v>
      </c>
      <c r="H1391" s="1411">
        <v>18536</v>
      </c>
      <c r="I1391" s="1412">
        <v>44630</v>
      </c>
      <c r="J1391" s="1413">
        <f t="shared" si="207"/>
        <v>89</v>
      </c>
      <c r="K1391" s="1412">
        <v>44719</v>
      </c>
      <c r="L1391" s="1412" t="s">
        <v>41</v>
      </c>
      <c r="M1391" s="1412">
        <v>44708</v>
      </c>
      <c r="N1391" s="1413">
        <f t="shared" si="208"/>
        <v>-3</v>
      </c>
      <c r="O1391" s="1439">
        <v>44716</v>
      </c>
      <c r="P1391" s="1440">
        <v>44719</v>
      </c>
      <c r="Q1391" s="1414">
        <v>44736</v>
      </c>
      <c r="R1391" s="1413">
        <f t="shared" si="213"/>
        <v>106</v>
      </c>
      <c r="S1391" s="1469" t="s">
        <v>925</v>
      </c>
      <c r="T1391" s="1470" t="s">
        <v>7654</v>
      </c>
      <c r="U1391" s="1534" t="str">
        <f t="shared" si="214"/>
        <v>en término</v>
      </c>
      <c r="V1391" s="1130" t="str">
        <f t="shared" si="211"/>
        <v>Mayo</v>
      </c>
      <c r="W1391" s="1128">
        <f t="shared" si="212"/>
        <v>1</v>
      </c>
    </row>
    <row r="1392" spans="1:23" ht="54.95" customHeight="1" thickBot="1" x14ac:dyDescent="0.25">
      <c r="A1392" s="1157">
        <v>2022</v>
      </c>
      <c r="B1392" s="1157">
        <v>2022</v>
      </c>
      <c r="C1392" s="1468" t="s">
        <v>36</v>
      </c>
      <c r="D1392" s="1408" t="s">
        <v>7534</v>
      </c>
      <c r="E1392" s="1409" t="s">
        <v>6441</v>
      </c>
      <c r="F1392" s="1469">
        <v>4600557062</v>
      </c>
      <c r="G1392" s="1463" t="s">
        <v>7669</v>
      </c>
      <c r="H1392" s="1411">
        <v>13590</v>
      </c>
      <c r="I1392" s="1412">
        <v>44651</v>
      </c>
      <c r="J1392" s="1413">
        <f t="shared" si="207"/>
        <v>89</v>
      </c>
      <c r="K1392" s="1412">
        <v>44740</v>
      </c>
      <c r="L1392" s="1412" t="s">
        <v>41</v>
      </c>
      <c r="M1392" s="1412">
        <v>44722</v>
      </c>
      <c r="N1392" s="1413">
        <f t="shared" si="208"/>
        <v>-10</v>
      </c>
      <c r="O1392" s="1439">
        <v>44730</v>
      </c>
      <c r="P1392" s="1440">
        <v>44732</v>
      </c>
      <c r="Q1392" s="1414">
        <v>44750</v>
      </c>
      <c r="R1392" s="1413">
        <f t="shared" si="213"/>
        <v>99</v>
      </c>
      <c r="S1392" s="1469" t="s">
        <v>950</v>
      </c>
      <c r="T1392" s="1470" t="s">
        <v>7670</v>
      </c>
      <c r="U1392" s="1534" t="str">
        <f t="shared" si="214"/>
        <v>en término</v>
      </c>
      <c r="V1392" s="1130" t="str">
        <f t="shared" si="211"/>
        <v>Junio</v>
      </c>
      <c r="W1392" s="1128">
        <f t="shared" si="212"/>
        <v>1</v>
      </c>
    </row>
    <row r="1393" spans="1:23" ht="54.95" customHeight="1" thickBot="1" x14ac:dyDescent="0.25">
      <c r="A1393" s="1157">
        <v>2022</v>
      </c>
      <c r="B1393" s="1157">
        <v>2022</v>
      </c>
      <c r="C1393" s="1468" t="s">
        <v>36</v>
      </c>
      <c r="D1393" s="1408" t="s">
        <v>7534</v>
      </c>
      <c r="E1393" s="1409" t="s">
        <v>6441</v>
      </c>
      <c r="F1393" s="1469">
        <v>4600557062</v>
      </c>
      <c r="G1393" s="1463" t="s">
        <v>7672</v>
      </c>
      <c r="H1393" s="1411">
        <v>5836.36</v>
      </c>
      <c r="I1393" s="1412">
        <v>44658</v>
      </c>
      <c r="J1393" s="1413">
        <f t="shared" si="207"/>
        <v>89</v>
      </c>
      <c r="K1393" s="1412">
        <v>44747</v>
      </c>
      <c r="L1393" s="1412" t="s">
        <v>41</v>
      </c>
      <c r="M1393" s="1412">
        <v>44743</v>
      </c>
      <c r="N1393" s="1413">
        <f t="shared" si="208"/>
        <v>4</v>
      </c>
      <c r="O1393" s="1439">
        <v>44751</v>
      </c>
      <c r="P1393" s="1440">
        <v>44753</v>
      </c>
      <c r="Q1393" s="1414">
        <v>44771</v>
      </c>
      <c r="R1393" s="1413">
        <f t="shared" si="213"/>
        <v>113</v>
      </c>
      <c r="S1393" s="1469" t="s">
        <v>5467</v>
      </c>
      <c r="T1393" s="1470" t="s">
        <v>7673</v>
      </c>
      <c r="U1393" s="1534" t="str">
        <f t="shared" si="214"/>
        <v>atrasado</v>
      </c>
      <c r="V1393" s="1130" t="str">
        <f t="shared" si="211"/>
        <v>Julio</v>
      </c>
      <c r="W1393" s="1128">
        <f t="shared" si="212"/>
        <v>0</v>
      </c>
    </row>
    <row r="1394" spans="1:23" ht="54.95" customHeight="1" thickBot="1" x14ac:dyDescent="0.25">
      <c r="A1394" s="1157">
        <v>2022</v>
      </c>
      <c r="B1394" s="1157">
        <v>2022</v>
      </c>
      <c r="C1394" s="1468" t="s">
        <v>36</v>
      </c>
      <c r="D1394" s="1408" t="s">
        <v>7534</v>
      </c>
      <c r="E1394" s="1409" t="s">
        <v>7679</v>
      </c>
      <c r="F1394" s="1469" t="s">
        <v>7682</v>
      </c>
      <c r="G1394" s="1463" t="s">
        <v>7680</v>
      </c>
      <c r="H1394" s="1411">
        <v>12982</v>
      </c>
      <c r="I1394" s="1412">
        <v>44669</v>
      </c>
      <c r="J1394" s="1413">
        <f t="shared" si="207"/>
        <v>109</v>
      </c>
      <c r="K1394" s="1412">
        <v>44778</v>
      </c>
      <c r="L1394" s="1412" t="s">
        <v>41</v>
      </c>
      <c r="M1394" s="1412">
        <v>44764</v>
      </c>
      <c r="N1394" s="1413">
        <f t="shared" si="208"/>
        <v>-6</v>
      </c>
      <c r="O1394" s="1439">
        <v>44772</v>
      </c>
      <c r="P1394" s="1440">
        <v>44774</v>
      </c>
      <c r="Q1394" s="1414">
        <v>44792</v>
      </c>
      <c r="R1394" s="1413">
        <f t="shared" si="213"/>
        <v>123</v>
      </c>
      <c r="S1394" s="1469" t="s">
        <v>7681</v>
      </c>
      <c r="T1394" s="1470" t="s">
        <v>7685</v>
      </c>
      <c r="U1394" s="1534" t="str">
        <f t="shared" si="214"/>
        <v>en término</v>
      </c>
      <c r="V1394" s="1130" t="str">
        <f t="shared" si="211"/>
        <v>Julio</v>
      </c>
      <c r="W1394" s="1128">
        <f t="shared" si="212"/>
        <v>1</v>
      </c>
    </row>
    <row r="1395" spans="1:23" ht="54.95" customHeight="1" thickBot="1" x14ac:dyDescent="0.25">
      <c r="A1395" s="1157">
        <v>2022</v>
      </c>
      <c r="B1395" s="1157">
        <v>2022</v>
      </c>
      <c r="C1395" s="1468" t="s">
        <v>36</v>
      </c>
      <c r="D1395" s="1408" t="s">
        <v>7534</v>
      </c>
      <c r="E1395" s="1409" t="s">
        <v>6441</v>
      </c>
      <c r="F1395" s="1469">
        <v>4600557062</v>
      </c>
      <c r="G1395" s="1463" t="s">
        <v>7683</v>
      </c>
      <c r="H1395" s="1411">
        <v>14390.42</v>
      </c>
      <c r="I1395" s="1412">
        <v>44669</v>
      </c>
      <c r="J1395" s="1413">
        <f t="shared" si="207"/>
        <v>89</v>
      </c>
      <c r="K1395" s="1412">
        <v>44758</v>
      </c>
      <c r="L1395" s="1412" t="s">
        <v>41</v>
      </c>
      <c r="M1395" s="1412">
        <v>44743</v>
      </c>
      <c r="N1395" s="1413">
        <f t="shared" si="208"/>
        <v>-7</v>
      </c>
      <c r="O1395" s="1439">
        <v>44751</v>
      </c>
      <c r="P1395" s="1440">
        <v>44753</v>
      </c>
      <c r="Q1395" s="1414">
        <v>44771</v>
      </c>
      <c r="R1395" s="1413">
        <f t="shared" si="213"/>
        <v>102</v>
      </c>
      <c r="S1395" s="1469" t="s">
        <v>7684</v>
      </c>
      <c r="T1395" s="1470" t="s">
        <v>7741</v>
      </c>
      <c r="U1395" s="1534" t="str">
        <f t="shared" si="214"/>
        <v>en término</v>
      </c>
      <c r="V1395" s="1130" t="str">
        <f t="shared" si="211"/>
        <v>Julio</v>
      </c>
      <c r="W1395" s="1128">
        <f t="shared" si="212"/>
        <v>1</v>
      </c>
    </row>
    <row r="1396" spans="1:23" ht="54.95" customHeight="1" thickBot="1" x14ac:dyDescent="0.25">
      <c r="A1396" s="1157">
        <v>2022</v>
      </c>
      <c r="B1396" s="1157">
        <v>2022</v>
      </c>
      <c r="C1396" s="1468" t="s">
        <v>36</v>
      </c>
      <c r="D1396" s="1408" t="s">
        <v>7534</v>
      </c>
      <c r="E1396" s="1409" t="s">
        <v>7686</v>
      </c>
      <c r="F1396" s="1469" t="s">
        <v>7688</v>
      </c>
      <c r="G1396" s="1463" t="s">
        <v>7687</v>
      </c>
      <c r="H1396" s="1411">
        <v>74418</v>
      </c>
      <c r="I1396" s="1412">
        <v>44671</v>
      </c>
      <c r="J1396" s="1413">
        <f t="shared" si="207"/>
        <v>110</v>
      </c>
      <c r="K1396" s="1412">
        <v>44781</v>
      </c>
      <c r="L1396" s="1412" t="s">
        <v>41</v>
      </c>
      <c r="M1396" s="1412">
        <v>44722</v>
      </c>
      <c r="N1396" s="1413">
        <f t="shared" si="208"/>
        <v>-51</v>
      </c>
      <c r="O1396" s="1439">
        <v>44730</v>
      </c>
      <c r="P1396" s="1440">
        <v>44732</v>
      </c>
      <c r="Q1396" s="1414">
        <v>44750</v>
      </c>
      <c r="R1396" s="1413">
        <f t="shared" si="213"/>
        <v>79</v>
      </c>
      <c r="S1396" s="1469" t="s">
        <v>7689</v>
      </c>
      <c r="T1396" s="1470" t="s">
        <v>7690</v>
      </c>
      <c r="U1396" s="1534" t="str">
        <f t="shared" si="214"/>
        <v>en término</v>
      </c>
      <c r="V1396" s="1130" t="str">
        <f t="shared" si="211"/>
        <v>Junio</v>
      </c>
      <c r="W1396" s="1128">
        <f t="shared" si="212"/>
        <v>1</v>
      </c>
    </row>
    <row r="1397" spans="1:23" ht="54.95" customHeight="1" thickBot="1" x14ac:dyDescent="0.25">
      <c r="A1397" s="1157">
        <v>2022</v>
      </c>
      <c r="B1397" s="1157">
        <v>2022</v>
      </c>
      <c r="C1397" s="1468" t="s">
        <v>36</v>
      </c>
      <c r="D1397" s="1408" t="s">
        <v>7534</v>
      </c>
      <c r="E1397" s="1409" t="s">
        <v>7691</v>
      </c>
      <c r="F1397" s="1469" t="s">
        <v>7693</v>
      </c>
      <c r="G1397" s="1463" t="s">
        <v>7692</v>
      </c>
      <c r="H1397" s="1411">
        <v>153908</v>
      </c>
      <c r="I1397" s="1412">
        <v>44671</v>
      </c>
      <c r="J1397" s="1413">
        <f t="shared" si="207"/>
        <v>109</v>
      </c>
      <c r="K1397" s="1412">
        <v>44780</v>
      </c>
      <c r="L1397" s="1412" t="s">
        <v>41</v>
      </c>
      <c r="M1397" s="1412">
        <v>44722</v>
      </c>
      <c r="N1397" s="1413">
        <f t="shared" si="208"/>
        <v>-50</v>
      </c>
      <c r="O1397" s="1439">
        <v>44730</v>
      </c>
      <c r="P1397" s="1440">
        <v>44732</v>
      </c>
      <c r="Q1397" s="1414">
        <v>44750</v>
      </c>
      <c r="R1397" s="1413">
        <f t="shared" si="213"/>
        <v>79</v>
      </c>
      <c r="S1397" s="1469" t="s">
        <v>7694</v>
      </c>
      <c r="T1397" s="1470" t="s">
        <v>7695</v>
      </c>
      <c r="U1397" s="1534" t="str">
        <f t="shared" si="214"/>
        <v>en término</v>
      </c>
      <c r="V1397" s="1130" t="str">
        <f t="shared" si="211"/>
        <v>Junio</v>
      </c>
      <c r="W1397" s="1128">
        <f t="shared" si="212"/>
        <v>1</v>
      </c>
    </row>
    <row r="1398" spans="1:23" ht="54.95" customHeight="1" thickBot="1" x14ac:dyDescent="0.25">
      <c r="A1398" s="1157">
        <v>2022</v>
      </c>
      <c r="B1398" s="1157">
        <v>2022</v>
      </c>
      <c r="C1398" s="1468" t="s">
        <v>36</v>
      </c>
      <c r="D1398" s="1408" t="s">
        <v>7534</v>
      </c>
      <c r="E1398" s="1409" t="s">
        <v>6441</v>
      </c>
      <c r="F1398" s="1469">
        <v>4600557062</v>
      </c>
      <c r="G1398" s="1463" t="s">
        <v>7705</v>
      </c>
      <c r="H1398" s="1411">
        <v>31121.06</v>
      </c>
      <c r="I1398" s="1412">
        <v>44683</v>
      </c>
      <c r="J1398" s="1413">
        <f t="shared" si="207"/>
        <v>88</v>
      </c>
      <c r="K1398" s="1412">
        <v>44771</v>
      </c>
      <c r="L1398" s="1412" t="s">
        <v>41</v>
      </c>
      <c r="M1398" s="1412">
        <v>44764</v>
      </c>
      <c r="N1398" s="1413">
        <f t="shared" si="208"/>
        <v>1</v>
      </c>
      <c r="O1398" s="1439">
        <v>44772</v>
      </c>
      <c r="P1398" s="1440">
        <v>44774</v>
      </c>
      <c r="Q1398" s="1414">
        <v>44792</v>
      </c>
      <c r="R1398" s="1413">
        <f t="shared" si="213"/>
        <v>109</v>
      </c>
      <c r="S1398" s="1469" t="s">
        <v>940</v>
      </c>
      <c r="T1398" s="1470" t="s">
        <v>7712</v>
      </c>
      <c r="U1398" s="1534" t="str">
        <f t="shared" si="214"/>
        <v>atrasado</v>
      </c>
      <c r="V1398" s="1130" t="str">
        <f t="shared" si="211"/>
        <v>Julio</v>
      </c>
      <c r="W1398" s="1128">
        <f t="shared" si="212"/>
        <v>0</v>
      </c>
    </row>
    <row r="1399" spans="1:23" ht="54.95" customHeight="1" thickBot="1" x14ac:dyDescent="0.25">
      <c r="A1399" s="1157">
        <v>2022</v>
      </c>
      <c r="B1399" s="1157">
        <v>2022</v>
      </c>
      <c r="C1399" s="1468" t="s">
        <v>36</v>
      </c>
      <c r="D1399" s="1408" t="s">
        <v>7534</v>
      </c>
      <c r="E1399" s="1409" t="s">
        <v>6441</v>
      </c>
      <c r="F1399" s="1469">
        <v>4600557062</v>
      </c>
      <c r="G1399" s="1463" t="s">
        <v>7706</v>
      </c>
      <c r="H1399" s="1411">
        <v>1594</v>
      </c>
      <c r="I1399" s="1412">
        <v>44683</v>
      </c>
      <c r="J1399" s="1413">
        <f t="shared" si="207"/>
        <v>84</v>
      </c>
      <c r="K1399" s="1412">
        <v>44767</v>
      </c>
      <c r="L1399" s="1412" t="s">
        <v>41</v>
      </c>
      <c r="M1399" s="1412">
        <v>44764</v>
      </c>
      <c r="N1399" s="1413">
        <f t="shared" si="208"/>
        <v>5</v>
      </c>
      <c r="O1399" s="1439">
        <v>44772</v>
      </c>
      <c r="P1399" s="1440">
        <v>44774</v>
      </c>
      <c r="Q1399" s="1414">
        <v>44792</v>
      </c>
      <c r="R1399" s="1413">
        <f t="shared" si="213"/>
        <v>109</v>
      </c>
      <c r="S1399" s="1469" t="s">
        <v>53</v>
      </c>
      <c r="T1399" s="1470" t="s">
        <v>7713</v>
      </c>
      <c r="U1399" s="1534" t="str">
        <f t="shared" si="214"/>
        <v>atrasado</v>
      </c>
      <c r="V1399" s="1130" t="str">
        <f t="shared" si="211"/>
        <v>Julio</v>
      </c>
      <c r="W1399" s="1128">
        <f t="shared" si="212"/>
        <v>0</v>
      </c>
    </row>
    <row r="1400" spans="1:23" ht="54.95" customHeight="1" thickBot="1" x14ac:dyDescent="0.25">
      <c r="A1400" s="1157">
        <v>2022</v>
      </c>
      <c r="B1400" s="1157">
        <v>2022</v>
      </c>
      <c r="C1400" s="1468" t="s">
        <v>36</v>
      </c>
      <c r="D1400" s="1408" t="s">
        <v>7534</v>
      </c>
      <c r="E1400" s="1409" t="s">
        <v>6441</v>
      </c>
      <c r="F1400" s="1469">
        <v>4600557062</v>
      </c>
      <c r="G1400" s="1463" t="s">
        <v>7707</v>
      </c>
      <c r="H1400" s="1411">
        <v>95958.3</v>
      </c>
      <c r="I1400" s="1412">
        <v>44683</v>
      </c>
      <c r="J1400" s="1413">
        <f t="shared" si="207"/>
        <v>84</v>
      </c>
      <c r="K1400" s="1412">
        <v>44767</v>
      </c>
      <c r="L1400" s="1412" t="s">
        <v>41</v>
      </c>
      <c r="M1400" s="1412">
        <v>44764</v>
      </c>
      <c r="N1400" s="1413">
        <f t="shared" si="208"/>
        <v>5</v>
      </c>
      <c r="O1400" s="1439">
        <v>44772</v>
      </c>
      <c r="P1400" s="1440">
        <v>44774</v>
      </c>
      <c r="Q1400" s="1414">
        <v>44792</v>
      </c>
      <c r="R1400" s="1413">
        <f t="shared" si="213"/>
        <v>109</v>
      </c>
      <c r="S1400" s="1469" t="s">
        <v>6955</v>
      </c>
      <c r="T1400" s="1470" t="s">
        <v>7717</v>
      </c>
      <c r="U1400" s="1534" t="str">
        <f t="shared" si="214"/>
        <v>atrasado</v>
      </c>
      <c r="V1400" s="1130" t="str">
        <f t="shared" si="211"/>
        <v>Julio</v>
      </c>
      <c r="W1400" s="1128">
        <f t="shared" si="212"/>
        <v>0</v>
      </c>
    </row>
    <row r="1401" spans="1:23" ht="54.95" customHeight="1" thickBot="1" x14ac:dyDescent="0.25">
      <c r="A1401" s="1157">
        <v>2022</v>
      </c>
      <c r="B1401" s="1157">
        <v>2022</v>
      </c>
      <c r="C1401" s="1468" t="s">
        <v>36</v>
      </c>
      <c r="D1401" s="1408" t="s">
        <v>7534</v>
      </c>
      <c r="E1401" s="1409" t="s">
        <v>6441</v>
      </c>
      <c r="F1401" s="1469">
        <v>4600557062</v>
      </c>
      <c r="G1401" s="1463" t="s">
        <v>7709</v>
      </c>
      <c r="H1401" s="1411">
        <f>172264+24810</f>
        <v>197074</v>
      </c>
      <c r="I1401" s="1412">
        <v>44683</v>
      </c>
      <c r="J1401" s="1413">
        <f t="shared" si="207"/>
        <v>84</v>
      </c>
      <c r="K1401" s="1412">
        <v>44767</v>
      </c>
      <c r="L1401" s="1412" t="s">
        <v>41</v>
      </c>
      <c r="M1401" s="1412">
        <v>44764</v>
      </c>
      <c r="N1401" s="1413">
        <f t="shared" si="208"/>
        <v>5</v>
      </c>
      <c r="O1401" s="1439">
        <v>44772</v>
      </c>
      <c r="P1401" s="1440">
        <v>44774</v>
      </c>
      <c r="Q1401" s="1414">
        <v>44792</v>
      </c>
      <c r="R1401" s="1413">
        <f t="shared" si="213"/>
        <v>109</v>
      </c>
      <c r="S1401" s="1469" t="s">
        <v>7708</v>
      </c>
      <c r="T1401" s="1470" t="s">
        <v>7715</v>
      </c>
      <c r="U1401" s="1534" t="str">
        <f t="shared" si="214"/>
        <v>atrasado</v>
      </c>
      <c r="V1401" s="1130" t="str">
        <f t="shared" si="211"/>
        <v>Julio</v>
      </c>
      <c r="W1401" s="1128">
        <f t="shared" si="212"/>
        <v>0</v>
      </c>
    </row>
    <row r="1402" spans="1:23" ht="54.95" customHeight="1" thickBot="1" x14ac:dyDescent="0.25">
      <c r="A1402" s="1157">
        <v>2022</v>
      </c>
      <c r="B1402" s="1157">
        <v>2022</v>
      </c>
      <c r="C1402" s="1468" t="s">
        <v>36</v>
      </c>
      <c r="D1402" s="1408" t="s">
        <v>7534</v>
      </c>
      <c r="E1402" s="1409" t="s">
        <v>6441</v>
      </c>
      <c r="F1402" s="1469">
        <v>4600557062</v>
      </c>
      <c r="G1402" s="1463" t="s">
        <v>7710</v>
      </c>
      <c r="H1402" s="1411">
        <v>53328</v>
      </c>
      <c r="I1402" s="1412">
        <v>44683</v>
      </c>
      <c r="J1402" s="1413">
        <f t="shared" si="207"/>
        <v>84</v>
      </c>
      <c r="K1402" s="1412">
        <v>44767</v>
      </c>
      <c r="L1402" s="1412" t="s">
        <v>41</v>
      </c>
      <c r="M1402" s="1412">
        <v>44764</v>
      </c>
      <c r="N1402" s="1413">
        <f t="shared" si="208"/>
        <v>5</v>
      </c>
      <c r="O1402" s="1439">
        <v>44772</v>
      </c>
      <c r="P1402" s="1440">
        <v>44774</v>
      </c>
      <c r="Q1402" s="1414">
        <v>44792</v>
      </c>
      <c r="R1402" s="1413">
        <f t="shared" si="213"/>
        <v>109</v>
      </c>
      <c r="S1402" s="1469" t="s">
        <v>1402</v>
      </c>
      <c r="T1402" s="1470" t="s">
        <v>7714</v>
      </c>
      <c r="U1402" s="1534" t="str">
        <f t="shared" si="214"/>
        <v>atrasado</v>
      </c>
      <c r="V1402" s="1130" t="str">
        <f t="shared" si="211"/>
        <v>Julio</v>
      </c>
      <c r="W1402" s="1128">
        <f t="shared" si="212"/>
        <v>0</v>
      </c>
    </row>
    <row r="1403" spans="1:23" ht="54.95" customHeight="1" thickBot="1" x14ac:dyDescent="0.25">
      <c r="A1403" s="1157">
        <v>2022</v>
      </c>
      <c r="B1403" s="1157">
        <v>2022</v>
      </c>
      <c r="C1403" s="1468" t="s">
        <v>36</v>
      </c>
      <c r="D1403" s="1408" t="s">
        <v>7534</v>
      </c>
      <c r="E1403" s="1409" t="s">
        <v>6441</v>
      </c>
      <c r="F1403" s="1469">
        <v>4600557062</v>
      </c>
      <c r="G1403" s="1463" t="s">
        <v>7711</v>
      </c>
      <c r="H1403" s="1411">
        <v>29850</v>
      </c>
      <c r="I1403" s="1412">
        <v>44683</v>
      </c>
      <c r="J1403" s="1413">
        <f t="shared" si="207"/>
        <v>104</v>
      </c>
      <c r="K1403" s="1412">
        <v>44787</v>
      </c>
      <c r="L1403" s="1412" t="s">
        <v>41</v>
      </c>
      <c r="M1403" s="1412">
        <v>44778</v>
      </c>
      <c r="N1403" s="1413">
        <f t="shared" si="208"/>
        <v>2</v>
      </c>
      <c r="O1403" s="1439">
        <v>44789</v>
      </c>
      <c r="P1403" s="1440">
        <v>44791</v>
      </c>
      <c r="Q1403" s="1414">
        <f>+P1403+20</f>
        <v>44811</v>
      </c>
      <c r="R1403" s="1413">
        <f t="shared" si="213"/>
        <v>128</v>
      </c>
      <c r="S1403" s="1469" t="s">
        <v>1087</v>
      </c>
      <c r="T1403" s="1470" t="s">
        <v>7716</v>
      </c>
      <c r="U1403" s="1534" t="str">
        <f t="shared" si="214"/>
        <v>atrasado</v>
      </c>
      <c r="V1403" s="1130" t="str">
        <f t="shared" si="211"/>
        <v>Agosto</v>
      </c>
      <c r="W1403" s="1128">
        <f t="shared" si="212"/>
        <v>0</v>
      </c>
    </row>
    <row r="1404" spans="1:23" ht="54.95" customHeight="1" thickBot="1" x14ac:dyDescent="0.25">
      <c r="A1404" s="1157">
        <v>2022</v>
      </c>
      <c r="B1404" s="1157">
        <v>2022</v>
      </c>
      <c r="C1404" s="1468" t="s">
        <v>36</v>
      </c>
      <c r="D1404" s="1408" t="s">
        <v>7534</v>
      </c>
      <c r="E1404" s="1409" t="s">
        <v>7768</v>
      </c>
      <c r="F1404" s="1469"/>
      <c r="G1404" s="1463" t="s">
        <v>7764</v>
      </c>
      <c r="H1404" s="1411">
        <v>15962</v>
      </c>
      <c r="I1404" s="1412">
        <v>44767</v>
      </c>
      <c r="J1404" s="1413">
        <f t="shared" si="207"/>
        <v>20</v>
      </c>
      <c r="K1404" s="1412">
        <v>44787</v>
      </c>
      <c r="L1404" s="1412" t="s">
        <v>41</v>
      </c>
      <c r="M1404" s="1412">
        <v>44771</v>
      </c>
      <c r="N1404" s="1413">
        <f>IF(O1404="","",+O1404-K1404)</f>
        <v>-13</v>
      </c>
      <c r="O1404" s="1439">
        <v>44774</v>
      </c>
      <c r="P1404" s="1440">
        <v>44781</v>
      </c>
      <c r="Q1404" s="1414">
        <v>44799</v>
      </c>
      <c r="R1404" s="1413">
        <f>IF(Q1404="","",+Q1404-I1404)</f>
        <v>32</v>
      </c>
      <c r="S1404" s="1469" t="s">
        <v>7766</v>
      </c>
      <c r="T1404" s="1470" t="s">
        <v>7767</v>
      </c>
      <c r="U1404" s="1536" t="str">
        <f>IF(N1404="","",IF(N1404&lt;=0,"en término","atrasado"))</f>
        <v>en término</v>
      </c>
      <c r="V1404" s="1130" t="str">
        <f t="shared" ref="V1404:V1406" si="215">VLOOKUP(MONTH(M1404),$Y$66:$Z$77,2,FALSE)</f>
        <v>Julio</v>
      </c>
      <c r="W1404" s="1128">
        <f t="shared" ref="W1404:W1406" si="216">+IF(U1404="atrasado",0)+IF(U1404="en término",1)</f>
        <v>1</v>
      </c>
    </row>
    <row r="1405" spans="1:23" ht="54.95" customHeight="1" thickBot="1" x14ac:dyDescent="0.25">
      <c r="A1405" s="1157">
        <v>2022</v>
      </c>
      <c r="B1405" s="1157">
        <v>2022</v>
      </c>
      <c r="C1405" s="1468" t="s">
        <v>36</v>
      </c>
      <c r="D1405" s="1408" t="s">
        <v>7534</v>
      </c>
      <c r="E1405" s="1409" t="s">
        <v>7769</v>
      </c>
      <c r="F1405" s="1469" t="s">
        <v>7770</v>
      </c>
      <c r="G1405" s="1463" t="s">
        <v>7778</v>
      </c>
      <c r="H1405" s="1411">
        <v>84160</v>
      </c>
      <c r="I1405" s="1412">
        <v>44788</v>
      </c>
      <c r="J1405" s="1413">
        <f t="shared" si="207"/>
        <v>101</v>
      </c>
      <c r="K1405" s="1412">
        <v>44889</v>
      </c>
      <c r="L1405" s="1412" t="s">
        <v>41</v>
      </c>
      <c r="M1405" s="1412">
        <v>44869</v>
      </c>
      <c r="N1405" s="1413">
        <f>IF(O1405="","",+O1405-K1405)</f>
        <v>-12</v>
      </c>
      <c r="O1405" s="1439">
        <v>44877</v>
      </c>
      <c r="P1405" s="1440">
        <v>44880</v>
      </c>
      <c r="Q1405" s="1414">
        <v>44897</v>
      </c>
      <c r="R1405" s="1413">
        <f>IF(Q1405="","",+Q1405-I1405)</f>
        <v>109</v>
      </c>
      <c r="S1405" s="1469" t="s">
        <v>7771</v>
      </c>
      <c r="T1405" s="1470" t="s">
        <v>7772</v>
      </c>
      <c r="U1405" s="1536" t="str">
        <f>IF(N1405="","",IF(N1405&lt;=0,"en término","atrasado"))</f>
        <v>en término</v>
      </c>
      <c r="V1405" s="1130" t="str">
        <f t="shared" si="215"/>
        <v>Noviembre</v>
      </c>
      <c r="W1405" s="1128">
        <f t="shared" si="216"/>
        <v>1</v>
      </c>
    </row>
    <row r="1406" spans="1:23" ht="54.95" customHeight="1" thickBot="1" x14ac:dyDescent="0.25">
      <c r="A1406" s="1157">
        <v>2022</v>
      </c>
      <c r="B1406" s="1157">
        <v>2022</v>
      </c>
      <c r="C1406" s="1468" t="s">
        <v>36</v>
      </c>
      <c r="D1406" s="1408" t="s">
        <v>7534</v>
      </c>
      <c r="E1406" s="1409" t="s">
        <v>7773</v>
      </c>
      <c r="F1406" s="1469"/>
      <c r="G1406" s="1463" t="s">
        <v>7774</v>
      </c>
      <c r="H1406" s="1411">
        <v>146192</v>
      </c>
      <c r="I1406" s="1412">
        <v>44791</v>
      </c>
      <c r="J1406" s="1413">
        <f t="shared" si="207"/>
        <v>78</v>
      </c>
      <c r="K1406" s="1412">
        <v>44869</v>
      </c>
      <c r="L1406" s="1412" t="s">
        <v>41</v>
      </c>
      <c r="M1406" s="1412">
        <v>44869</v>
      </c>
      <c r="N1406" s="1413">
        <f>IF(O1406="","",+O1406-K1406)</f>
        <v>8</v>
      </c>
      <c r="O1406" s="1439">
        <v>44877</v>
      </c>
      <c r="P1406" s="1440">
        <v>44880</v>
      </c>
      <c r="Q1406" s="1414">
        <v>44897</v>
      </c>
      <c r="R1406" s="1413">
        <f>IF(Q1406="","",+Q1406-I1406)</f>
        <v>106</v>
      </c>
      <c r="S1406" s="1469" t="s">
        <v>7766</v>
      </c>
      <c r="T1406" s="1470" t="s">
        <v>7775</v>
      </c>
      <c r="U1406" s="1536" t="str">
        <f>IF(N1406="","",IF(N1406&lt;=0,"en término","atrasado"))</f>
        <v>atrasado</v>
      </c>
      <c r="V1406" s="1130" t="str">
        <f t="shared" si="215"/>
        <v>Noviembre</v>
      </c>
      <c r="W1406" s="1128">
        <f t="shared" si="216"/>
        <v>0</v>
      </c>
    </row>
    <row r="1407" spans="1:23" ht="54.95" customHeight="1" thickBot="1" x14ac:dyDescent="0.25">
      <c r="A1407" s="1157">
        <v>2022</v>
      </c>
      <c r="B1407" s="1157">
        <v>2022</v>
      </c>
      <c r="C1407" s="1468" t="s">
        <v>78</v>
      </c>
      <c r="D1407" s="1408" t="s">
        <v>6929</v>
      </c>
      <c r="E1407" s="1409" t="s">
        <v>7502</v>
      </c>
      <c r="F1407" s="1469" t="s">
        <v>81</v>
      </c>
      <c r="G1407" s="1463" t="s">
        <v>7507</v>
      </c>
      <c r="H1407" s="1411">
        <v>59687.85</v>
      </c>
      <c r="I1407" s="1412">
        <v>44467</v>
      </c>
      <c r="J1407" s="1413">
        <f t="shared" ref="J1407:J1413" si="217">+K1407-I1407</f>
        <v>49</v>
      </c>
      <c r="K1407" s="1412">
        <v>44516</v>
      </c>
      <c r="L1407" s="1412" t="s">
        <v>83</v>
      </c>
      <c r="M1407" s="1412">
        <v>44519</v>
      </c>
      <c r="N1407" s="1413">
        <f t="shared" ref="N1407:N1420" si="218">IF(P1407="","",+P1407-K1407)</f>
        <v>47</v>
      </c>
      <c r="O1407" s="1439">
        <v>44551</v>
      </c>
      <c r="P1407" s="1440">
        <v>44563</v>
      </c>
      <c r="Q1407" s="1414">
        <v>44589</v>
      </c>
      <c r="R1407" s="1413">
        <f t="shared" si="213"/>
        <v>122</v>
      </c>
      <c r="S1407" s="1469" t="s">
        <v>7500</v>
      </c>
      <c r="T1407" s="1470" t="s">
        <v>7503</v>
      </c>
      <c r="U1407" s="1534" t="str">
        <f t="shared" si="214"/>
        <v>atrasado</v>
      </c>
      <c r="V1407" s="1130" t="str">
        <f t="shared" si="211"/>
        <v>Noviembre</v>
      </c>
      <c r="W1407" s="1128">
        <f t="shared" si="212"/>
        <v>0</v>
      </c>
    </row>
    <row r="1408" spans="1:23" ht="54.95" customHeight="1" thickBot="1" x14ac:dyDescent="0.25">
      <c r="A1408" s="1157">
        <v>2022</v>
      </c>
      <c r="B1408" s="1157">
        <v>2022</v>
      </c>
      <c r="C1408" s="1468" t="s">
        <v>78</v>
      </c>
      <c r="D1408" s="1408" t="s">
        <v>6929</v>
      </c>
      <c r="E1408" s="1409" t="s">
        <v>7493</v>
      </c>
      <c r="F1408" s="1469" t="s">
        <v>81</v>
      </c>
      <c r="G1408" s="1463" t="s">
        <v>7584</v>
      </c>
      <c r="H1408" s="1411">
        <v>14401.19</v>
      </c>
      <c r="I1408" s="1412">
        <v>44452</v>
      </c>
      <c r="J1408" s="1413">
        <f t="shared" si="217"/>
        <v>98</v>
      </c>
      <c r="K1408" s="1412">
        <v>44550</v>
      </c>
      <c r="L1408" s="1412" t="s">
        <v>83</v>
      </c>
      <c r="M1408" s="1412">
        <v>44550</v>
      </c>
      <c r="N1408" s="1413">
        <f t="shared" si="218"/>
        <v>11</v>
      </c>
      <c r="O1408" s="1439"/>
      <c r="P1408" s="1440">
        <v>44561</v>
      </c>
      <c r="Q1408" s="1414">
        <v>44564</v>
      </c>
      <c r="R1408" s="1413">
        <f t="shared" si="213"/>
        <v>112</v>
      </c>
      <c r="S1408" s="1469" t="s">
        <v>6864</v>
      </c>
      <c r="T1408" s="1470" t="s">
        <v>7614</v>
      </c>
      <c r="U1408" s="1534" t="str">
        <f t="shared" si="214"/>
        <v>atrasado</v>
      </c>
      <c r="V1408" s="1130" t="str">
        <f t="shared" si="211"/>
        <v>Diciembre</v>
      </c>
      <c r="W1408" s="1128">
        <f t="shared" si="212"/>
        <v>0</v>
      </c>
    </row>
    <row r="1409" spans="1:23" ht="54.95" customHeight="1" thickBot="1" x14ac:dyDescent="0.25">
      <c r="A1409" s="1157">
        <v>2022</v>
      </c>
      <c r="B1409" s="1157">
        <v>2022</v>
      </c>
      <c r="C1409" s="1468" t="s">
        <v>78</v>
      </c>
      <c r="D1409" s="1408" t="s">
        <v>6929</v>
      </c>
      <c r="E1409" s="1409" t="s">
        <v>7494</v>
      </c>
      <c r="F1409" s="1469" t="s">
        <v>81</v>
      </c>
      <c r="G1409" s="1463" t="s">
        <v>7585</v>
      </c>
      <c r="H1409" s="1411">
        <v>55716.34</v>
      </c>
      <c r="I1409" s="1412">
        <v>44463</v>
      </c>
      <c r="J1409" s="1413">
        <f t="shared" si="217"/>
        <v>105</v>
      </c>
      <c r="K1409" s="1412">
        <v>44568</v>
      </c>
      <c r="L1409" s="1412" t="s">
        <v>83</v>
      </c>
      <c r="M1409" s="1412">
        <v>44568</v>
      </c>
      <c r="N1409" s="1413">
        <f t="shared" si="218"/>
        <v>22</v>
      </c>
      <c r="O1409" s="1439">
        <v>44582</v>
      </c>
      <c r="P1409" s="1440">
        <v>44590</v>
      </c>
      <c r="Q1409" s="1414">
        <f>+P1409+30</f>
        <v>44620</v>
      </c>
      <c r="R1409" s="1413">
        <f t="shared" si="213"/>
        <v>157</v>
      </c>
      <c r="S1409" s="1469" t="s">
        <v>6864</v>
      </c>
      <c r="T1409" s="1470" t="s">
        <v>7719</v>
      </c>
      <c r="U1409" s="1534" t="str">
        <f t="shared" si="214"/>
        <v>atrasado</v>
      </c>
      <c r="V1409" s="1130" t="str">
        <f t="shared" si="211"/>
        <v>Enero</v>
      </c>
      <c r="W1409" s="1128">
        <f t="shared" si="212"/>
        <v>0</v>
      </c>
    </row>
    <row r="1410" spans="1:23" ht="54.95" customHeight="1" thickBot="1" x14ac:dyDescent="0.25">
      <c r="A1410" s="1157">
        <v>2022</v>
      </c>
      <c r="B1410" s="1157">
        <v>2022</v>
      </c>
      <c r="C1410" s="1468" t="s">
        <v>78</v>
      </c>
      <c r="D1410" s="1408" t="s">
        <v>6929</v>
      </c>
      <c r="E1410" s="1409" t="s">
        <v>7623</v>
      </c>
      <c r="F1410" s="1469" t="s">
        <v>81</v>
      </c>
      <c r="G1410" s="1463" t="s">
        <v>7624</v>
      </c>
      <c r="H1410" s="1411">
        <v>5548.65</v>
      </c>
      <c r="I1410" s="1412">
        <v>44608</v>
      </c>
      <c r="J1410" s="1413">
        <f t="shared" si="217"/>
        <v>34</v>
      </c>
      <c r="K1410" s="1412">
        <v>44642</v>
      </c>
      <c r="L1410" s="1412" t="s">
        <v>83</v>
      </c>
      <c r="M1410" s="1412">
        <v>44624</v>
      </c>
      <c r="N1410" s="1413">
        <f t="shared" si="218"/>
        <v>-3</v>
      </c>
      <c r="O1410" s="1439"/>
      <c r="P1410" s="1440">
        <v>44639</v>
      </c>
      <c r="Q1410" s="1414">
        <v>44667</v>
      </c>
      <c r="R1410" s="1413">
        <f t="shared" si="213"/>
        <v>59</v>
      </c>
      <c r="S1410" s="1469" t="s">
        <v>6864</v>
      </c>
      <c r="T1410" s="1470" t="s">
        <v>7625</v>
      </c>
      <c r="U1410" s="1534" t="str">
        <f t="shared" si="214"/>
        <v>en término</v>
      </c>
      <c r="V1410" s="1130" t="str">
        <f t="shared" si="211"/>
        <v>Marzo</v>
      </c>
      <c r="W1410" s="1128">
        <f t="shared" si="212"/>
        <v>1</v>
      </c>
    </row>
    <row r="1411" spans="1:23" ht="54.95" customHeight="1" thickBot="1" x14ac:dyDescent="0.25">
      <c r="A1411" s="1157">
        <v>2022</v>
      </c>
      <c r="B1411" s="1157">
        <v>2022</v>
      </c>
      <c r="C1411" s="1468" t="s">
        <v>78</v>
      </c>
      <c r="D1411" s="1408" t="s">
        <v>6929</v>
      </c>
      <c r="E1411" s="1409"/>
      <c r="F1411" s="1469" t="s">
        <v>81</v>
      </c>
      <c r="G1411" s="1463" t="s">
        <v>7722</v>
      </c>
      <c r="H1411" s="1411" t="s">
        <v>7723</v>
      </c>
      <c r="I1411" s="1412">
        <v>44692</v>
      </c>
      <c r="J1411" s="1413">
        <f t="shared" si="217"/>
        <v>9</v>
      </c>
      <c r="K1411" s="1412">
        <v>44701</v>
      </c>
      <c r="L1411" s="1412" t="s">
        <v>83</v>
      </c>
      <c r="M1411" s="1412">
        <v>44697</v>
      </c>
      <c r="N1411" s="1413">
        <f t="shared" si="218"/>
        <v>6</v>
      </c>
      <c r="O1411" s="1439"/>
      <c r="P1411" s="1440">
        <v>44707</v>
      </c>
      <c r="Q1411" s="1414">
        <v>44719</v>
      </c>
      <c r="R1411" s="1413">
        <f t="shared" si="213"/>
        <v>27</v>
      </c>
      <c r="S1411" s="1469" t="s">
        <v>7724</v>
      </c>
      <c r="T1411" s="1470" t="s">
        <v>7728</v>
      </c>
      <c r="U1411" s="1534" t="str">
        <f t="shared" si="214"/>
        <v>atrasado</v>
      </c>
      <c r="V1411" s="1130" t="str">
        <f t="shared" si="211"/>
        <v>Mayo</v>
      </c>
      <c r="W1411" s="1128">
        <f t="shared" si="212"/>
        <v>0</v>
      </c>
    </row>
    <row r="1412" spans="1:23" ht="54.95" customHeight="1" thickBot="1" x14ac:dyDescent="0.25">
      <c r="A1412" s="1157">
        <v>2022</v>
      </c>
      <c r="B1412" s="1157">
        <v>2022</v>
      </c>
      <c r="C1412" s="1468" t="s">
        <v>78</v>
      </c>
      <c r="D1412" s="1408" t="s">
        <v>6929</v>
      </c>
      <c r="E1412" s="1409" t="s">
        <v>7720</v>
      </c>
      <c r="F1412" s="1469" t="s">
        <v>81</v>
      </c>
      <c r="G1412" s="1463" t="s">
        <v>7721</v>
      </c>
      <c r="H1412" s="1411">
        <v>121072.04</v>
      </c>
      <c r="I1412" s="1412">
        <v>44692</v>
      </c>
      <c r="J1412" s="1413">
        <f t="shared" si="217"/>
        <v>9</v>
      </c>
      <c r="K1412" s="1412">
        <v>44701</v>
      </c>
      <c r="L1412" s="1412" t="s">
        <v>83</v>
      </c>
      <c r="M1412" s="1412">
        <v>44701</v>
      </c>
      <c r="N1412" s="1413">
        <f t="shared" si="218"/>
        <v>33</v>
      </c>
      <c r="O1412" s="1439">
        <v>44715</v>
      </c>
      <c r="P1412" s="1440">
        <v>44734</v>
      </c>
      <c r="Q1412" s="1414">
        <v>44752</v>
      </c>
      <c r="R1412" s="1413">
        <f t="shared" si="213"/>
        <v>60</v>
      </c>
      <c r="S1412" s="1469" t="s">
        <v>6864</v>
      </c>
      <c r="T1412" s="1470" t="s">
        <v>7746</v>
      </c>
      <c r="U1412" s="1534" t="str">
        <f t="shared" si="214"/>
        <v>atrasado</v>
      </c>
      <c r="V1412" s="1130" t="str">
        <f t="shared" si="211"/>
        <v>Mayo</v>
      </c>
      <c r="W1412" s="1128">
        <f t="shared" si="212"/>
        <v>0</v>
      </c>
    </row>
    <row r="1413" spans="1:23" ht="54.95" customHeight="1" thickBot="1" x14ac:dyDescent="0.25">
      <c r="A1413" s="1157">
        <v>2022</v>
      </c>
      <c r="B1413" s="1157">
        <v>2022</v>
      </c>
      <c r="C1413" s="1468" t="s">
        <v>78</v>
      </c>
      <c r="D1413" s="1408" t="s">
        <v>6929</v>
      </c>
      <c r="E1413" s="1409" t="s">
        <v>7732</v>
      </c>
      <c r="F1413" s="1469" t="s">
        <v>81</v>
      </c>
      <c r="G1413" s="1463" t="s">
        <v>7733</v>
      </c>
      <c r="H1413" s="1411">
        <v>61674.75</v>
      </c>
      <c r="I1413" s="1412">
        <v>44694</v>
      </c>
      <c r="J1413" s="1413">
        <f t="shared" si="217"/>
        <v>46</v>
      </c>
      <c r="K1413" s="1412">
        <v>44740</v>
      </c>
      <c r="L1413" s="1412" t="s">
        <v>83</v>
      </c>
      <c r="M1413" s="1412">
        <v>44728</v>
      </c>
      <c r="N1413" s="1413">
        <f t="shared" si="218"/>
        <v>16</v>
      </c>
      <c r="O1413" s="1439">
        <v>44736</v>
      </c>
      <c r="P1413" s="1440">
        <v>44756</v>
      </c>
      <c r="Q1413" s="1414">
        <f>+P1413+30</f>
        <v>44786</v>
      </c>
      <c r="R1413" s="1413">
        <f t="shared" si="213"/>
        <v>92</v>
      </c>
      <c r="S1413" s="1469" t="s">
        <v>6864</v>
      </c>
      <c r="T1413" s="1470" t="s">
        <v>7752</v>
      </c>
      <c r="U1413" s="1534" t="str">
        <f t="shared" si="214"/>
        <v>atrasado</v>
      </c>
      <c r="V1413" s="1130" t="str">
        <f t="shared" si="211"/>
        <v>Junio</v>
      </c>
      <c r="W1413" s="1128">
        <f t="shared" si="212"/>
        <v>0</v>
      </c>
    </row>
    <row r="1414" spans="1:23" ht="54.95" customHeight="1" thickBot="1" x14ac:dyDescent="0.25">
      <c r="A1414" s="1157">
        <v>2022</v>
      </c>
      <c r="B1414" s="1157">
        <v>2022</v>
      </c>
      <c r="C1414" s="1468" t="s">
        <v>78</v>
      </c>
      <c r="D1414" s="1408" t="s">
        <v>6929</v>
      </c>
      <c r="E1414" s="1409" t="s">
        <v>7762</v>
      </c>
      <c r="F1414" s="1469" t="s">
        <v>81</v>
      </c>
      <c r="G1414" s="1463" t="s">
        <v>7763</v>
      </c>
      <c r="H1414" s="1411">
        <v>100232.58</v>
      </c>
      <c r="I1414" s="1412">
        <v>44763</v>
      </c>
      <c r="J1414" s="1413">
        <f t="shared" ref="J1414:J1419" si="219">+K1414-I1414</f>
        <v>20</v>
      </c>
      <c r="K1414" s="1412">
        <v>44783</v>
      </c>
      <c r="L1414" s="1412" t="s">
        <v>83</v>
      </c>
      <c r="M1414" s="1412">
        <v>44782</v>
      </c>
      <c r="N1414" s="1413">
        <f>IF(P1414="","",+P1414-K1414)</f>
        <v>29</v>
      </c>
      <c r="O1414" s="1439">
        <v>44798</v>
      </c>
      <c r="P1414" s="1440">
        <v>44812</v>
      </c>
      <c r="Q1414" s="1414">
        <v>44832</v>
      </c>
      <c r="R1414" s="1413">
        <f t="shared" ref="R1414:R1419" si="220">IF(Q1414="","",+Q1414-I1414)</f>
        <v>69</v>
      </c>
      <c r="S1414" s="1469" t="s">
        <v>6864</v>
      </c>
      <c r="T1414" s="1470" t="s">
        <v>7780</v>
      </c>
      <c r="U1414" s="1536" t="str">
        <f t="shared" ref="U1414:U1419" si="221">IF(N1414="","",IF(N1414&lt;=0,"en término","atrasado"))</f>
        <v>atrasado</v>
      </c>
      <c r="V1414" s="1130" t="str">
        <f t="shared" ref="V1414:V1416" si="222">VLOOKUP(MONTH(M1414),$Y$66:$Z$77,2,FALSE)</f>
        <v>Agosto</v>
      </c>
      <c r="W1414" s="1128">
        <f t="shared" ref="W1414:W1416" si="223">+IF(U1414="atrasado",0)+IF(U1414="en término",1)</f>
        <v>0</v>
      </c>
    </row>
    <row r="1415" spans="1:23" ht="54.95" customHeight="1" thickBot="1" x14ac:dyDescent="0.25">
      <c r="A1415" s="1157">
        <v>2022</v>
      </c>
      <c r="B1415" s="1157">
        <v>2022</v>
      </c>
      <c r="C1415" s="1468" t="s">
        <v>78</v>
      </c>
      <c r="D1415" s="1408" t="s">
        <v>6929</v>
      </c>
      <c r="E1415" s="1409" t="s">
        <v>7784</v>
      </c>
      <c r="F1415" s="1469" t="s">
        <v>81</v>
      </c>
      <c r="G1415" s="1463" t="s">
        <v>7785</v>
      </c>
      <c r="H1415" s="1411">
        <v>77637.149999999994</v>
      </c>
      <c r="I1415" s="1412">
        <v>44804</v>
      </c>
      <c r="J1415" s="1413">
        <f t="shared" si="219"/>
        <v>23</v>
      </c>
      <c r="K1415" s="1412">
        <v>44827</v>
      </c>
      <c r="L1415" s="1412" t="s">
        <v>83</v>
      </c>
      <c r="M1415" s="1412">
        <v>44817</v>
      </c>
      <c r="N1415" s="1413">
        <f>IF(P1415="","",+P1415-K1415)</f>
        <v>15</v>
      </c>
      <c r="O1415" s="1439">
        <v>44829</v>
      </c>
      <c r="P1415" s="1440">
        <v>44842</v>
      </c>
      <c r="Q1415" s="1414">
        <v>44869</v>
      </c>
      <c r="R1415" s="1413">
        <f t="shared" si="220"/>
        <v>65</v>
      </c>
      <c r="S1415" s="1469" t="s">
        <v>6864</v>
      </c>
      <c r="T1415" s="1470" t="s">
        <v>7786</v>
      </c>
      <c r="U1415" s="1536" t="str">
        <f t="shared" si="221"/>
        <v>atrasado</v>
      </c>
      <c r="V1415" s="1130" t="str">
        <f t="shared" si="222"/>
        <v>Septiembre</v>
      </c>
      <c r="W1415" s="1128">
        <f t="shared" si="223"/>
        <v>0</v>
      </c>
    </row>
    <row r="1416" spans="1:23" ht="54.95" customHeight="1" thickBot="1" x14ac:dyDescent="0.25">
      <c r="A1416" s="1157">
        <v>2022</v>
      </c>
      <c r="B1416" s="1157">
        <v>2022</v>
      </c>
      <c r="C1416" s="1468" t="s">
        <v>78</v>
      </c>
      <c r="D1416" s="1408" t="s">
        <v>6929</v>
      </c>
      <c r="E1416" s="1409" t="s">
        <v>7791</v>
      </c>
      <c r="F1416" s="1469" t="s">
        <v>81</v>
      </c>
      <c r="G1416" s="1463" t="s">
        <v>7793</v>
      </c>
      <c r="H1416" s="1411">
        <v>226498.9</v>
      </c>
      <c r="I1416" s="1412">
        <v>44819</v>
      </c>
      <c r="J1416" s="1413">
        <f t="shared" si="219"/>
        <v>29</v>
      </c>
      <c r="K1416" s="1412">
        <v>44848</v>
      </c>
      <c r="L1416" s="1412" t="s">
        <v>83</v>
      </c>
      <c r="M1416" s="1412">
        <v>44841</v>
      </c>
      <c r="N1416" s="1413">
        <f>IF(P1416="","",+P1416-K1416)</f>
        <v>15</v>
      </c>
      <c r="O1416" s="1439">
        <v>44853</v>
      </c>
      <c r="P1416" s="1440">
        <v>44863</v>
      </c>
      <c r="Q1416" s="1414">
        <v>44893</v>
      </c>
      <c r="R1416" s="1413">
        <f t="shared" si="220"/>
        <v>74</v>
      </c>
      <c r="S1416" s="1469" t="s">
        <v>6864</v>
      </c>
      <c r="T1416" s="1470" t="s">
        <v>7792</v>
      </c>
      <c r="U1416" s="1536" t="str">
        <f t="shared" si="221"/>
        <v>atrasado</v>
      </c>
      <c r="V1416" s="1130" t="str">
        <f t="shared" si="222"/>
        <v>Octubre</v>
      </c>
      <c r="W1416" s="1128">
        <f t="shared" si="223"/>
        <v>0</v>
      </c>
    </row>
    <row r="1417" spans="1:23" ht="54.95" customHeight="1" thickBot="1" x14ac:dyDescent="0.25">
      <c r="A1417" s="1157">
        <v>2022</v>
      </c>
      <c r="B1417" s="1157">
        <v>2022</v>
      </c>
      <c r="C1417" s="1468" t="s">
        <v>78</v>
      </c>
      <c r="D1417" s="1408" t="s">
        <v>6929</v>
      </c>
      <c r="E1417" s="1409" t="s">
        <v>7809</v>
      </c>
      <c r="F1417" s="1469" t="s">
        <v>81</v>
      </c>
      <c r="G1417" s="1463" t="s">
        <v>7810</v>
      </c>
      <c r="H1417" s="1411">
        <v>170689.17</v>
      </c>
      <c r="I1417" s="1412">
        <v>44859</v>
      </c>
      <c r="J1417" s="1413">
        <f t="shared" si="219"/>
        <v>31</v>
      </c>
      <c r="K1417" s="1412">
        <v>44890</v>
      </c>
      <c r="L1417" s="1412" t="s">
        <v>83</v>
      </c>
      <c r="M1417" s="1412">
        <v>44890</v>
      </c>
      <c r="N1417" s="1413">
        <f>IF(M1417="","",+M1417-K1417)</f>
        <v>0</v>
      </c>
      <c r="O1417" s="1439">
        <v>44907</v>
      </c>
      <c r="P1417" s="1440">
        <v>44919</v>
      </c>
      <c r="Q1417" s="1414">
        <f>+P1417+20</f>
        <v>44939</v>
      </c>
      <c r="R1417" s="1413">
        <f t="shared" si="220"/>
        <v>80</v>
      </c>
      <c r="S1417" s="1469" t="s">
        <v>6864</v>
      </c>
      <c r="T1417" s="1470" t="s">
        <v>7827</v>
      </c>
      <c r="U1417" s="1537" t="str">
        <f t="shared" si="221"/>
        <v>en término</v>
      </c>
      <c r="V1417" s="1130" t="str">
        <f t="shared" ref="V1417:V1419" si="224">VLOOKUP(MONTH(M1417),$Y$66:$Z$77,2,FALSE)</f>
        <v>Noviembre</v>
      </c>
      <c r="W1417" s="1128">
        <f t="shared" ref="W1417:W1419" si="225">+IF(U1417="atrasado",0)+IF(U1417="en término",1)</f>
        <v>1</v>
      </c>
    </row>
    <row r="1418" spans="1:23" ht="54.95" customHeight="1" thickBot="1" x14ac:dyDescent="0.25">
      <c r="A1418" s="1157">
        <v>2022</v>
      </c>
      <c r="B1418" s="1157">
        <v>2022</v>
      </c>
      <c r="C1418" s="1468" t="s">
        <v>78</v>
      </c>
      <c r="D1418" s="1408" t="s">
        <v>6929</v>
      </c>
      <c r="E1418" s="1409" t="s">
        <v>7811</v>
      </c>
      <c r="F1418" s="1469" t="s">
        <v>81</v>
      </c>
      <c r="G1418" s="1463" t="s">
        <v>7832</v>
      </c>
      <c r="H1418" s="1411">
        <v>77778.45</v>
      </c>
      <c r="I1418" s="1412">
        <v>44859</v>
      </c>
      <c r="J1418" s="1413">
        <f t="shared" si="219"/>
        <v>59</v>
      </c>
      <c r="K1418" s="1412">
        <v>44918</v>
      </c>
      <c r="L1418" s="1412" t="s">
        <v>83</v>
      </c>
      <c r="M1418" s="1412">
        <v>44917</v>
      </c>
      <c r="N1418" s="1413">
        <f>IF(M1418="","",+M1418-K1418)</f>
        <v>-1</v>
      </c>
      <c r="O1418" s="1439">
        <v>44932</v>
      </c>
      <c r="P1418" s="1440">
        <v>44941</v>
      </c>
      <c r="Q1418" s="1414">
        <v>44967</v>
      </c>
      <c r="R1418" s="1413">
        <f t="shared" si="220"/>
        <v>108</v>
      </c>
      <c r="S1418" s="1469" t="s">
        <v>7833</v>
      </c>
      <c r="T1418" s="1470" t="s">
        <v>7837</v>
      </c>
      <c r="U1418" s="1537" t="str">
        <f t="shared" si="221"/>
        <v>en término</v>
      </c>
      <c r="V1418" s="1130" t="str">
        <f t="shared" si="224"/>
        <v>Diciembre</v>
      </c>
      <c r="W1418" s="1128">
        <f t="shared" si="225"/>
        <v>1</v>
      </c>
    </row>
    <row r="1419" spans="1:23" ht="54.95" customHeight="1" thickBot="1" x14ac:dyDescent="0.25">
      <c r="A1419" s="1157">
        <v>2022</v>
      </c>
      <c r="B1419" s="1157">
        <v>2022</v>
      </c>
      <c r="C1419" s="1468" t="s">
        <v>78</v>
      </c>
      <c r="D1419" s="1408" t="s">
        <v>6929</v>
      </c>
      <c r="E1419" s="1409" t="s">
        <v>7834</v>
      </c>
      <c r="F1419" s="1469" t="s">
        <v>81</v>
      </c>
      <c r="G1419" s="1463" t="s">
        <v>7835</v>
      </c>
      <c r="H1419" s="1411">
        <v>85582.73</v>
      </c>
      <c r="I1419" s="1412">
        <v>44918</v>
      </c>
      <c r="J1419" s="1413">
        <f t="shared" si="219"/>
        <v>18</v>
      </c>
      <c r="K1419" s="1412">
        <v>44936</v>
      </c>
      <c r="L1419" s="1412" t="s">
        <v>83</v>
      </c>
      <c r="M1419" s="1412">
        <v>44938</v>
      </c>
      <c r="N1419" s="1413">
        <f>IF(M1419="","",+M1419-K1419)</f>
        <v>2</v>
      </c>
      <c r="O1419" s="903">
        <v>44953</v>
      </c>
      <c r="P1419" s="904">
        <v>44968</v>
      </c>
      <c r="Q1419" s="904">
        <v>44987</v>
      </c>
      <c r="R1419" s="1413">
        <f t="shared" si="220"/>
        <v>69</v>
      </c>
      <c r="S1419" s="1469" t="s">
        <v>7838</v>
      </c>
      <c r="T1419" s="1470" t="s">
        <v>7836</v>
      </c>
      <c r="U1419" s="1537" t="str">
        <f t="shared" si="221"/>
        <v>atrasado</v>
      </c>
      <c r="V1419" s="1130" t="str">
        <f t="shared" si="224"/>
        <v>Enero</v>
      </c>
      <c r="W1419" s="1128">
        <f t="shared" si="225"/>
        <v>0</v>
      </c>
    </row>
    <row r="1420" spans="1:23" ht="54.95" customHeight="1" thickBot="1" x14ac:dyDescent="0.25">
      <c r="A1420" s="1157">
        <v>2022</v>
      </c>
      <c r="B1420" s="1157">
        <v>2022</v>
      </c>
      <c r="C1420" s="1468" t="s">
        <v>5697</v>
      </c>
      <c r="D1420" s="1408" t="s">
        <v>5698</v>
      </c>
      <c r="E1420" s="1409" t="s">
        <v>7749</v>
      </c>
      <c r="F1420" s="1469"/>
      <c r="G1420" s="1463" t="s">
        <v>7750</v>
      </c>
      <c r="H1420" s="1411">
        <v>57773</v>
      </c>
      <c r="I1420" s="1412">
        <v>44667</v>
      </c>
      <c r="J1420" s="1413">
        <v>130</v>
      </c>
      <c r="K1420" s="1412">
        <f>+I1420+J1420</f>
        <v>44797</v>
      </c>
      <c r="L1420" s="1412" t="s">
        <v>124</v>
      </c>
      <c r="M1420" s="1412">
        <v>44938</v>
      </c>
      <c r="N1420" s="1413" t="str">
        <f t="shared" si="218"/>
        <v/>
      </c>
      <c r="O1420" s="1439"/>
      <c r="P1420" s="1440"/>
      <c r="Q1420" s="1414"/>
      <c r="R1420" s="1413" t="str">
        <f t="shared" si="213"/>
        <v/>
      </c>
      <c r="S1420" s="1469" t="s">
        <v>1269</v>
      </c>
      <c r="T1420" s="1470" t="s">
        <v>7751</v>
      </c>
      <c r="U1420" s="1534"/>
      <c r="V1420" s="1130" t="str">
        <f t="shared" si="211"/>
        <v>Enero</v>
      </c>
      <c r="W1420" s="1128">
        <f t="shared" si="212"/>
        <v>0</v>
      </c>
    </row>
    <row r="1421" spans="1:23" ht="54.95" customHeight="1" thickBot="1" x14ac:dyDescent="0.25">
      <c r="A1421" s="1157">
        <v>2022</v>
      </c>
      <c r="B1421" s="1157">
        <v>2022</v>
      </c>
      <c r="C1421" s="1468" t="s">
        <v>120</v>
      </c>
      <c r="D1421" s="1408" t="s">
        <v>121</v>
      </c>
      <c r="E1421" s="1409" t="s">
        <v>7727</v>
      </c>
      <c r="F1421" s="1469"/>
      <c r="G1421" s="1463">
        <v>84123</v>
      </c>
      <c r="H1421" s="1411">
        <v>10010</v>
      </c>
      <c r="I1421" s="1412">
        <v>44686</v>
      </c>
      <c r="J1421" s="1413">
        <f>+K1421-I1421</f>
        <v>127</v>
      </c>
      <c r="K1421" s="1412">
        <v>44813</v>
      </c>
      <c r="L1421" s="1412" t="s">
        <v>124</v>
      </c>
      <c r="M1421" s="1412">
        <v>44799</v>
      </c>
      <c r="N1421" s="1413">
        <f>IF(P1421="","",+P1421-K1421)</f>
        <v>46</v>
      </c>
      <c r="O1421" s="1439">
        <v>44845</v>
      </c>
      <c r="P1421" s="1440">
        <v>44859</v>
      </c>
      <c r="Q1421" s="1414">
        <f>+P1421+20</f>
        <v>44879</v>
      </c>
      <c r="R1421" s="1413">
        <f t="shared" ref="R1421:R1422" si="226">IF(Q1421="","",+Q1421-I1421)</f>
        <v>193</v>
      </c>
      <c r="S1421" s="1469" t="s">
        <v>6581</v>
      </c>
      <c r="T1421" s="1470" t="s">
        <v>7801</v>
      </c>
      <c r="U1421" s="1536" t="str">
        <f t="shared" ref="U1421:U1423" si="227">IF(N1421="","",IF(N1421&lt;=0,"en término","atrasado"))</f>
        <v>atrasado</v>
      </c>
      <c r="V1421" s="1130" t="str">
        <f t="shared" ref="V1421:V1423" si="228">VLOOKUP(MONTH(M1421),$Y$66:$Z$77,2,FALSE)</f>
        <v>Agosto</v>
      </c>
      <c r="W1421" s="1128">
        <f t="shared" ref="W1421:W1423" si="229">+IF(U1421="atrasado",0)+IF(U1421="en término",1)</f>
        <v>0</v>
      </c>
    </row>
    <row r="1422" spans="1:23" ht="54.95" customHeight="1" thickBot="1" x14ac:dyDescent="0.25">
      <c r="A1422" s="1157">
        <v>2022</v>
      </c>
      <c r="B1422" s="1157">
        <v>2022</v>
      </c>
      <c r="C1422" s="1468" t="s">
        <v>120</v>
      </c>
      <c r="D1422" s="1408" t="s">
        <v>121</v>
      </c>
      <c r="E1422" s="1409" t="s">
        <v>7727</v>
      </c>
      <c r="F1422" s="1469"/>
      <c r="G1422" s="1463">
        <v>84332</v>
      </c>
      <c r="H1422" s="1411">
        <v>11285</v>
      </c>
      <c r="I1422" s="1412">
        <v>44701</v>
      </c>
      <c r="J1422" s="1413">
        <f>+K1422-I1422</f>
        <v>112</v>
      </c>
      <c r="K1422" s="1412">
        <v>44813</v>
      </c>
      <c r="L1422" s="1412" t="s">
        <v>124</v>
      </c>
      <c r="M1422" s="1412">
        <v>44799</v>
      </c>
      <c r="N1422" s="1413">
        <f>IF(P1422="","",+P1422-K1422)</f>
        <v>46</v>
      </c>
      <c r="O1422" s="1439">
        <v>44845</v>
      </c>
      <c r="P1422" s="1440">
        <v>44859</v>
      </c>
      <c r="Q1422" s="1414">
        <f>+P1422+20</f>
        <v>44879</v>
      </c>
      <c r="R1422" s="1413">
        <f t="shared" si="226"/>
        <v>178</v>
      </c>
      <c r="S1422" s="1469" t="s">
        <v>6581</v>
      </c>
      <c r="T1422" s="1470" t="s">
        <v>7802</v>
      </c>
      <c r="U1422" s="1536" t="str">
        <f t="shared" si="227"/>
        <v>atrasado</v>
      </c>
      <c r="V1422" s="1130" t="str">
        <f t="shared" si="228"/>
        <v>Agosto</v>
      </c>
      <c r="W1422" s="1128">
        <f t="shared" si="229"/>
        <v>0</v>
      </c>
    </row>
    <row r="1423" spans="1:23" ht="54.95" customHeight="1" thickBot="1" x14ac:dyDescent="0.25">
      <c r="A1423" s="1143">
        <v>2022</v>
      </c>
      <c r="B1423" s="1143">
        <v>2022</v>
      </c>
      <c r="C1423" s="1449" t="s">
        <v>5265</v>
      </c>
      <c r="D1423" s="1393" t="s">
        <v>7781</v>
      </c>
      <c r="E1423" s="1450" t="s">
        <v>7783</v>
      </c>
      <c r="F1423" s="1464"/>
      <c r="G1423" s="1465" t="s">
        <v>7782</v>
      </c>
      <c r="H1423" s="1453">
        <v>23209</v>
      </c>
      <c r="I1423" s="1454">
        <v>44797</v>
      </c>
      <c r="J1423" s="1455">
        <v>110</v>
      </c>
      <c r="K1423" s="1454">
        <v>44907</v>
      </c>
      <c r="L1423" s="1454" t="s">
        <v>124</v>
      </c>
      <c r="M1423" s="1454">
        <v>44869</v>
      </c>
      <c r="N1423" s="1455">
        <f>IF(P1423="","",+P1423-K1423)</f>
        <v>17</v>
      </c>
      <c r="O1423" s="1456">
        <v>44916</v>
      </c>
      <c r="P1423" s="1466">
        <v>44924</v>
      </c>
      <c r="Q1423" s="1457">
        <v>44960</v>
      </c>
      <c r="R1423" s="1455">
        <f t="shared" ref="R1423" si="230">IF(Q1423="","",+Q1423-I1423)</f>
        <v>163</v>
      </c>
      <c r="S1423" s="1464" t="s">
        <v>53</v>
      </c>
      <c r="T1423" s="1467" t="s">
        <v>7790</v>
      </c>
      <c r="U1423" s="1459" t="str">
        <f t="shared" si="227"/>
        <v>atrasado</v>
      </c>
      <c r="V1423" s="1290" t="str">
        <f t="shared" si="228"/>
        <v>Noviembre</v>
      </c>
      <c r="W1423" s="1323">
        <f t="shared" si="229"/>
        <v>0</v>
      </c>
    </row>
    <row r="1424" spans="1:23" ht="54.95" customHeight="1" thickTop="1" thickBot="1" x14ac:dyDescent="0.25">
      <c r="A1424" s="1157">
        <v>2023</v>
      </c>
      <c r="B1424" s="1157">
        <v>2023</v>
      </c>
      <c r="C1424" s="1468" t="s">
        <v>36</v>
      </c>
      <c r="D1424" s="1408" t="s">
        <v>7534</v>
      </c>
      <c r="E1424" s="1409" t="s">
        <v>7050</v>
      </c>
      <c r="F1424" s="1469">
        <v>4600611934</v>
      </c>
      <c r="G1424" s="1463" t="s">
        <v>7850</v>
      </c>
      <c r="H1424" s="1411">
        <v>183.99</v>
      </c>
      <c r="I1424" s="1412">
        <v>44963</v>
      </c>
      <c r="J1424" s="1413">
        <f t="shared" ref="J1424:J1469" si="231">+K1424-I1424</f>
        <v>79</v>
      </c>
      <c r="K1424" s="1412">
        <v>45042</v>
      </c>
      <c r="L1424" s="1412" t="s">
        <v>41</v>
      </c>
      <c r="M1424" s="1412">
        <v>45008</v>
      </c>
      <c r="N1424" s="1413">
        <f t="shared" ref="N1424:N1469" si="232">IF(O1424="","",+O1424-K1424)</f>
        <v>-25</v>
      </c>
      <c r="O1424" s="1439">
        <v>45017</v>
      </c>
      <c r="P1424" s="1440">
        <v>45020</v>
      </c>
      <c r="Q1424" s="1414">
        <v>45038</v>
      </c>
      <c r="R1424" s="1413">
        <f t="shared" ref="R1424:R1455" si="233">IF(Q1424="","",+Q1424-I1424)</f>
        <v>75</v>
      </c>
      <c r="S1424" s="1469" t="s">
        <v>3772</v>
      </c>
      <c r="T1424" s="1470" t="s">
        <v>7856</v>
      </c>
      <c r="U1424" s="1566" t="str">
        <f t="shared" ref="U1424:U1481" si="234">IF(N1424="","",IF(N1424&lt;=0,"en término","atrasado"))</f>
        <v>en término</v>
      </c>
      <c r="V1424" s="1130" t="str">
        <f t="shared" ref="V1424:V1481" si="235">VLOOKUP(MONTH(M1424),$Y$66:$Z$77,2,FALSE)</f>
        <v>Marzo</v>
      </c>
      <c r="W1424" s="1128">
        <f t="shared" ref="W1424:W1481" si="236">+IF(U1424="atrasado",0)+IF(U1424="en término",1)</f>
        <v>1</v>
      </c>
    </row>
    <row r="1425" spans="1:23" ht="54.95" customHeight="1" thickBot="1" x14ac:dyDescent="0.25">
      <c r="A1425" s="1157">
        <v>2023</v>
      </c>
      <c r="B1425" s="1157">
        <v>2023</v>
      </c>
      <c r="C1425" s="1468" t="s">
        <v>36</v>
      </c>
      <c r="D1425" s="1408" t="s">
        <v>7534</v>
      </c>
      <c r="E1425" s="1409" t="s">
        <v>7050</v>
      </c>
      <c r="F1425" s="1469">
        <v>4600611934</v>
      </c>
      <c r="G1425" s="1463" t="s">
        <v>7851</v>
      </c>
      <c r="H1425" s="1411">
        <v>61.33</v>
      </c>
      <c r="I1425" s="1412">
        <v>44963</v>
      </c>
      <c r="J1425" s="1413">
        <f t="shared" si="231"/>
        <v>79</v>
      </c>
      <c r="K1425" s="1412">
        <v>45042</v>
      </c>
      <c r="L1425" s="1412" t="s">
        <v>41</v>
      </c>
      <c r="M1425" s="1412">
        <v>45008</v>
      </c>
      <c r="N1425" s="1413">
        <f t="shared" si="232"/>
        <v>-25</v>
      </c>
      <c r="O1425" s="1439">
        <v>45017</v>
      </c>
      <c r="P1425" s="1440">
        <v>45020</v>
      </c>
      <c r="Q1425" s="1414">
        <v>45038</v>
      </c>
      <c r="R1425" s="1413">
        <f t="shared" si="233"/>
        <v>75</v>
      </c>
      <c r="S1425" s="1469" t="s">
        <v>3772</v>
      </c>
      <c r="T1425" s="1470" t="s">
        <v>7857</v>
      </c>
      <c r="U1425" s="1566" t="str">
        <f t="shared" si="234"/>
        <v>en término</v>
      </c>
      <c r="V1425" s="1130" t="str">
        <f t="shared" si="235"/>
        <v>Marzo</v>
      </c>
      <c r="W1425" s="1128">
        <f t="shared" si="236"/>
        <v>1</v>
      </c>
    </row>
    <row r="1426" spans="1:23" ht="54.95" customHeight="1" thickBot="1" x14ac:dyDescent="0.25">
      <c r="A1426" s="1157">
        <v>2023</v>
      </c>
      <c r="B1426" s="1157">
        <v>2023</v>
      </c>
      <c r="C1426" s="1468" t="s">
        <v>36</v>
      </c>
      <c r="D1426" s="1408" t="s">
        <v>7534</v>
      </c>
      <c r="E1426" s="1409" t="s">
        <v>7050</v>
      </c>
      <c r="F1426" s="1469">
        <v>4600611934</v>
      </c>
      <c r="G1426" s="1463" t="s">
        <v>7852</v>
      </c>
      <c r="H1426" s="1411">
        <v>315.07</v>
      </c>
      <c r="I1426" s="1412">
        <v>44963</v>
      </c>
      <c r="J1426" s="1413">
        <f t="shared" si="231"/>
        <v>64</v>
      </c>
      <c r="K1426" s="1412">
        <v>45027</v>
      </c>
      <c r="L1426" s="1412" t="s">
        <v>41</v>
      </c>
      <c r="M1426" s="1412">
        <v>45008</v>
      </c>
      <c r="N1426" s="1413">
        <f t="shared" si="232"/>
        <v>-10</v>
      </c>
      <c r="O1426" s="1439">
        <v>45017</v>
      </c>
      <c r="P1426" s="1440">
        <v>45020</v>
      </c>
      <c r="Q1426" s="1414">
        <v>45038</v>
      </c>
      <c r="R1426" s="1413">
        <f t="shared" si="233"/>
        <v>75</v>
      </c>
      <c r="S1426" s="1469" t="s">
        <v>7854</v>
      </c>
      <c r="T1426" s="1470" t="s">
        <v>7858</v>
      </c>
      <c r="U1426" s="1566" t="str">
        <f t="shared" si="234"/>
        <v>en término</v>
      </c>
      <c r="V1426" s="1130" t="str">
        <f t="shared" si="235"/>
        <v>Marzo</v>
      </c>
      <c r="W1426" s="1128">
        <f t="shared" si="236"/>
        <v>1</v>
      </c>
    </row>
    <row r="1427" spans="1:23" ht="54.95" customHeight="1" thickBot="1" x14ac:dyDescent="0.25">
      <c r="A1427" s="1157">
        <v>2023</v>
      </c>
      <c r="B1427" s="1157">
        <v>2023</v>
      </c>
      <c r="C1427" s="1468" t="s">
        <v>36</v>
      </c>
      <c r="D1427" s="1408" t="s">
        <v>7534</v>
      </c>
      <c r="E1427" s="1409" t="s">
        <v>7050</v>
      </c>
      <c r="F1427" s="1469">
        <v>4600611934</v>
      </c>
      <c r="G1427" s="1463" t="s">
        <v>7853</v>
      </c>
      <c r="H1427" s="1411">
        <v>61.33</v>
      </c>
      <c r="I1427" s="1412">
        <v>44967</v>
      </c>
      <c r="J1427" s="1413">
        <f t="shared" si="231"/>
        <v>85</v>
      </c>
      <c r="K1427" s="1412">
        <v>45052</v>
      </c>
      <c r="L1427" s="1412" t="s">
        <v>41</v>
      </c>
      <c r="M1427" s="1412">
        <v>45008</v>
      </c>
      <c r="N1427" s="1413">
        <f t="shared" si="232"/>
        <v>-35</v>
      </c>
      <c r="O1427" s="1439">
        <v>45017</v>
      </c>
      <c r="P1427" s="1440">
        <v>45020</v>
      </c>
      <c r="Q1427" s="1414">
        <v>45038</v>
      </c>
      <c r="R1427" s="1413">
        <f t="shared" si="233"/>
        <v>71</v>
      </c>
      <c r="S1427" s="1469" t="s">
        <v>3772</v>
      </c>
      <c r="T1427" s="1470" t="s">
        <v>7859</v>
      </c>
      <c r="U1427" s="1566" t="str">
        <f t="shared" si="234"/>
        <v>en término</v>
      </c>
      <c r="V1427" s="1130" t="str">
        <f t="shared" si="235"/>
        <v>Marzo</v>
      </c>
      <c r="W1427" s="1128">
        <f t="shared" si="236"/>
        <v>1</v>
      </c>
    </row>
    <row r="1428" spans="1:23" ht="54.95" customHeight="1" thickBot="1" x14ac:dyDescent="0.25">
      <c r="A1428" s="1157">
        <v>2023</v>
      </c>
      <c r="B1428" s="1157">
        <v>2023</v>
      </c>
      <c r="C1428" s="1468" t="s">
        <v>36</v>
      </c>
      <c r="D1428" s="1408" t="s">
        <v>7534</v>
      </c>
      <c r="E1428" s="1409" t="s">
        <v>7050</v>
      </c>
      <c r="F1428" s="1469">
        <v>4600611934</v>
      </c>
      <c r="G1428" s="1463" t="s">
        <v>7855</v>
      </c>
      <c r="H1428" s="1411">
        <v>1027.01</v>
      </c>
      <c r="I1428" s="1412">
        <v>44967</v>
      </c>
      <c r="J1428" s="1413">
        <f t="shared" si="231"/>
        <v>88</v>
      </c>
      <c r="K1428" s="1412">
        <v>45055</v>
      </c>
      <c r="L1428" s="1412" t="s">
        <v>41</v>
      </c>
      <c r="M1428" s="1412">
        <v>45008</v>
      </c>
      <c r="N1428" s="1413">
        <f t="shared" si="232"/>
        <v>-38</v>
      </c>
      <c r="O1428" s="1439">
        <v>45017</v>
      </c>
      <c r="P1428" s="1440">
        <v>45020</v>
      </c>
      <c r="Q1428" s="1414">
        <v>45038</v>
      </c>
      <c r="R1428" s="1413">
        <f t="shared" si="233"/>
        <v>71</v>
      </c>
      <c r="S1428" s="1469" t="s">
        <v>3501</v>
      </c>
      <c r="T1428" s="1470" t="s">
        <v>7860</v>
      </c>
      <c r="U1428" s="1566" t="str">
        <f t="shared" si="234"/>
        <v>en término</v>
      </c>
      <c r="V1428" s="1130" t="str">
        <f t="shared" si="235"/>
        <v>Marzo</v>
      </c>
      <c r="W1428" s="1128">
        <f t="shared" si="236"/>
        <v>1</v>
      </c>
    </row>
    <row r="1429" spans="1:23" ht="54.95" customHeight="1" thickBot="1" x14ac:dyDescent="0.25">
      <c r="A1429" s="1157">
        <v>2023</v>
      </c>
      <c r="B1429" s="1157">
        <v>2023</v>
      </c>
      <c r="C1429" s="1468" t="s">
        <v>36</v>
      </c>
      <c r="D1429" s="1408" t="s">
        <v>7534</v>
      </c>
      <c r="E1429" s="1409" t="s">
        <v>7769</v>
      </c>
      <c r="F1429" s="1469" t="s">
        <v>7770</v>
      </c>
      <c r="G1429" s="1463" t="s">
        <v>7861</v>
      </c>
      <c r="H1429" s="1411">
        <v>83060</v>
      </c>
      <c r="I1429" s="1412">
        <v>44967</v>
      </c>
      <c r="J1429" s="1413">
        <f t="shared" si="231"/>
        <v>54</v>
      </c>
      <c r="K1429" s="1412">
        <v>45021</v>
      </c>
      <c r="L1429" s="1412" t="s">
        <v>41</v>
      </c>
      <c r="M1429" s="1412">
        <v>45008</v>
      </c>
      <c r="N1429" s="1413">
        <f t="shared" si="232"/>
        <v>-4</v>
      </c>
      <c r="O1429" s="1439">
        <v>45017</v>
      </c>
      <c r="P1429" s="1440">
        <v>45020</v>
      </c>
      <c r="Q1429" s="1414">
        <v>45038</v>
      </c>
      <c r="R1429" s="1413">
        <f t="shared" si="233"/>
        <v>71</v>
      </c>
      <c r="S1429" s="1469" t="s">
        <v>7862</v>
      </c>
      <c r="T1429" s="1470" t="s">
        <v>7875</v>
      </c>
      <c r="U1429" s="1566" t="str">
        <f t="shared" si="234"/>
        <v>en término</v>
      </c>
      <c r="V1429" s="1130" t="str">
        <f t="shared" si="235"/>
        <v>Marzo</v>
      </c>
      <c r="W1429" s="1128">
        <f t="shared" si="236"/>
        <v>1</v>
      </c>
    </row>
    <row r="1430" spans="1:23" ht="54.95" customHeight="1" thickBot="1" x14ac:dyDescent="0.25">
      <c r="A1430" s="1157">
        <v>2023</v>
      </c>
      <c r="B1430" s="1157">
        <v>2023</v>
      </c>
      <c r="C1430" s="1468" t="s">
        <v>36</v>
      </c>
      <c r="D1430" s="1408" t="s">
        <v>7534</v>
      </c>
      <c r="E1430" s="1409" t="s">
        <v>7769</v>
      </c>
      <c r="F1430" s="1469" t="s">
        <v>7770</v>
      </c>
      <c r="G1430" s="1463" t="s">
        <v>7863</v>
      </c>
      <c r="H1430" s="1411">
        <v>10135</v>
      </c>
      <c r="I1430" s="1412">
        <v>44967</v>
      </c>
      <c r="J1430" s="1413">
        <f t="shared" si="231"/>
        <v>54</v>
      </c>
      <c r="K1430" s="1412">
        <v>45021</v>
      </c>
      <c r="L1430" s="1412" t="s">
        <v>41</v>
      </c>
      <c r="M1430" s="1412">
        <v>45008</v>
      </c>
      <c r="N1430" s="1413">
        <f t="shared" si="232"/>
        <v>-4</v>
      </c>
      <c r="O1430" s="1439">
        <v>45017</v>
      </c>
      <c r="P1430" s="1440">
        <v>45020</v>
      </c>
      <c r="Q1430" s="1414">
        <v>45038</v>
      </c>
      <c r="R1430" s="1413">
        <f t="shared" si="233"/>
        <v>71</v>
      </c>
      <c r="S1430" s="1469" t="s">
        <v>7864</v>
      </c>
      <c r="T1430" s="1470" t="s">
        <v>7876</v>
      </c>
      <c r="U1430" s="1566" t="str">
        <f t="shared" si="234"/>
        <v>en término</v>
      </c>
      <c r="V1430" s="1130" t="str">
        <f t="shared" si="235"/>
        <v>Marzo</v>
      </c>
      <c r="W1430" s="1128">
        <f t="shared" si="236"/>
        <v>1</v>
      </c>
    </row>
    <row r="1431" spans="1:23" ht="54.95" customHeight="1" thickBot="1" x14ac:dyDescent="0.25">
      <c r="A1431" s="1157">
        <v>2023</v>
      </c>
      <c r="B1431" s="1157">
        <v>2023</v>
      </c>
      <c r="C1431" s="1468" t="s">
        <v>36</v>
      </c>
      <c r="D1431" s="1408" t="s">
        <v>7534</v>
      </c>
      <c r="E1431" s="1409" t="s">
        <v>7865</v>
      </c>
      <c r="F1431" s="1469" t="s">
        <v>7866</v>
      </c>
      <c r="G1431" s="1463" t="s">
        <v>7867</v>
      </c>
      <c r="H1431" s="1411">
        <v>644</v>
      </c>
      <c r="I1431" s="1412">
        <v>44964</v>
      </c>
      <c r="J1431" s="1413">
        <f t="shared" si="231"/>
        <v>91</v>
      </c>
      <c r="K1431" s="1412">
        <v>45055</v>
      </c>
      <c r="L1431" s="1412" t="s">
        <v>41</v>
      </c>
      <c r="M1431" s="1412">
        <v>45008</v>
      </c>
      <c r="N1431" s="1413">
        <f t="shared" si="232"/>
        <v>-38</v>
      </c>
      <c r="O1431" s="1439">
        <v>45017</v>
      </c>
      <c r="P1431" s="1440">
        <v>45020</v>
      </c>
      <c r="Q1431" s="1414">
        <v>45038</v>
      </c>
      <c r="R1431" s="1413">
        <f t="shared" si="233"/>
        <v>74</v>
      </c>
      <c r="S1431" s="1469" t="s">
        <v>2077</v>
      </c>
      <c r="T1431" s="1470" t="s">
        <v>7868</v>
      </c>
      <c r="U1431" s="1566" t="str">
        <f t="shared" si="234"/>
        <v>en término</v>
      </c>
      <c r="V1431" s="1130" t="str">
        <f t="shared" si="235"/>
        <v>Marzo</v>
      </c>
      <c r="W1431" s="1128">
        <f t="shared" si="236"/>
        <v>1</v>
      </c>
    </row>
    <row r="1432" spans="1:23" ht="54.95" customHeight="1" thickBot="1" x14ac:dyDescent="0.25">
      <c r="A1432" s="1157">
        <v>2023</v>
      </c>
      <c r="B1432" s="1157">
        <v>2023</v>
      </c>
      <c r="C1432" s="1468" t="s">
        <v>36</v>
      </c>
      <c r="D1432" s="1408" t="s">
        <v>7534</v>
      </c>
      <c r="E1432" s="1409" t="s">
        <v>7769</v>
      </c>
      <c r="F1432" s="1469" t="s">
        <v>7770</v>
      </c>
      <c r="G1432" s="1463" t="s">
        <v>7873</v>
      </c>
      <c r="H1432" s="1411">
        <v>50560</v>
      </c>
      <c r="I1432" s="1412">
        <v>44991</v>
      </c>
      <c r="J1432" s="1413">
        <f t="shared" si="231"/>
        <v>30</v>
      </c>
      <c r="K1432" s="1412">
        <v>45021</v>
      </c>
      <c r="L1432" s="1412" t="s">
        <v>41</v>
      </c>
      <c r="M1432" s="1412">
        <v>45008</v>
      </c>
      <c r="N1432" s="1413">
        <f t="shared" si="232"/>
        <v>-4</v>
      </c>
      <c r="O1432" s="1439">
        <v>45017</v>
      </c>
      <c r="P1432" s="1440">
        <v>45020</v>
      </c>
      <c r="Q1432" s="1414">
        <v>45038</v>
      </c>
      <c r="R1432" s="1413">
        <f t="shared" si="233"/>
        <v>47</v>
      </c>
      <c r="S1432" s="1469" t="s">
        <v>7874</v>
      </c>
      <c r="T1432" s="1470" t="s">
        <v>7877</v>
      </c>
      <c r="U1432" s="1566" t="str">
        <f t="shared" si="234"/>
        <v>en término</v>
      </c>
      <c r="V1432" s="1130" t="str">
        <f t="shared" si="235"/>
        <v>Marzo</v>
      </c>
      <c r="W1432" s="1128">
        <f t="shared" si="236"/>
        <v>1</v>
      </c>
    </row>
    <row r="1433" spans="1:23" ht="54.95" customHeight="1" thickBot="1" x14ac:dyDescent="0.25">
      <c r="A1433" s="1157">
        <v>2023</v>
      </c>
      <c r="B1433" s="1157">
        <v>2023</v>
      </c>
      <c r="C1433" s="1468" t="s">
        <v>36</v>
      </c>
      <c r="D1433" s="1408" t="s">
        <v>7534</v>
      </c>
      <c r="E1433" s="1409" t="s">
        <v>7050</v>
      </c>
      <c r="F1433" s="1469">
        <v>4600611934</v>
      </c>
      <c r="G1433" s="1463" t="s">
        <v>7878</v>
      </c>
      <c r="H1433" s="1411">
        <v>1027.01</v>
      </c>
      <c r="I1433" s="1412">
        <v>44992</v>
      </c>
      <c r="J1433" s="1413">
        <f t="shared" si="231"/>
        <v>62</v>
      </c>
      <c r="K1433" s="1412">
        <v>45054</v>
      </c>
      <c r="L1433" s="1412" t="s">
        <v>41</v>
      </c>
      <c r="M1433" s="1412">
        <v>45044</v>
      </c>
      <c r="N1433" s="1413">
        <f t="shared" si="232"/>
        <v>-2</v>
      </c>
      <c r="O1433" s="1439">
        <v>45052</v>
      </c>
      <c r="P1433" s="1440">
        <v>45055</v>
      </c>
      <c r="Q1433" s="1414">
        <v>45073</v>
      </c>
      <c r="R1433" s="1413">
        <f t="shared" si="233"/>
        <v>81</v>
      </c>
      <c r="S1433" s="1469" t="s">
        <v>7879</v>
      </c>
      <c r="T1433" s="1470" t="s">
        <v>7883</v>
      </c>
      <c r="U1433" s="1566" t="str">
        <f t="shared" si="234"/>
        <v>en término</v>
      </c>
      <c r="V1433" s="1130" t="str">
        <f t="shared" si="235"/>
        <v>Abril</v>
      </c>
      <c r="W1433" s="1128">
        <f t="shared" si="236"/>
        <v>1</v>
      </c>
    </row>
    <row r="1434" spans="1:23" ht="54.95" customHeight="1" thickBot="1" x14ac:dyDescent="0.25">
      <c r="A1434" s="1157">
        <v>2023</v>
      </c>
      <c r="B1434" s="1157">
        <v>2023</v>
      </c>
      <c r="C1434" s="1468" t="s">
        <v>36</v>
      </c>
      <c r="D1434" s="1408" t="s">
        <v>7534</v>
      </c>
      <c r="E1434" s="1409" t="s">
        <v>7050</v>
      </c>
      <c r="F1434" s="1469">
        <v>4600611934</v>
      </c>
      <c r="G1434" s="1463" t="s">
        <v>7880</v>
      </c>
      <c r="H1434" s="1411">
        <v>8.42</v>
      </c>
      <c r="I1434" s="1412">
        <v>44992</v>
      </c>
      <c r="J1434" s="1413">
        <f t="shared" si="231"/>
        <v>70</v>
      </c>
      <c r="K1434" s="1412">
        <v>45062</v>
      </c>
      <c r="L1434" s="1412" t="s">
        <v>41</v>
      </c>
      <c r="M1434" s="1412">
        <v>45044</v>
      </c>
      <c r="N1434" s="1413">
        <f t="shared" si="232"/>
        <v>-10</v>
      </c>
      <c r="O1434" s="1439">
        <v>45052</v>
      </c>
      <c r="P1434" s="1440">
        <v>45055</v>
      </c>
      <c r="Q1434" s="1414">
        <v>45073</v>
      </c>
      <c r="R1434" s="1413">
        <f t="shared" si="233"/>
        <v>81</v>
      </c>
      <c r="S1434" s="1469" t="s">
        <v>7881</v>
      </c>
      <c r="T1434" s="1470" t="s">
        <v>7882</v>
      </c>
      <c r="U1434" s="1566" t="str">
        <f t="shared" si="234"/>
        <v>en término</v>
      </c>
      <c r="V1434" s="1130" t="str">
        <f t="shared" si="235"/>
        <v>Abril</v>
      </c>
      <c r="W1434" s="1128">
        <f t="shared" si="236"/>
        <v>1</v>
      </c>
    </row>
    <row r="1435" spans="1:23" ht="54.95" customHeight="1" thickBot="1" x14ac:dyDescent="0.25">
      <c r="A1435" s="1157">
        <v>2023</v>
      </c>
      <c r="B1435" s="1157">
        <v>2023</v>
      </c>
      <c r="C1435" s="1468" t="s">
        <v>36</v>
      </c>
      <c r="D1435" s="1408" t="s">
        <v>7534</v>
      </c>
      <c r="E1435" s="1409" t="s">
        <v>7887</v>
      </c>
      <c r="F1435" s="1469"/>
      <c r="G1435" s="1463" t="s">
        <v>7888</v>
      </c>
      <c r="H1435" s="1411">
        <v>16880</v>
      </c>
      <c r="I1435" s="1412">
        <v>44995</v>
      </c>
      <c r="J1435" s="1413">
        <f t="shared" si="231"/>
        <v>67</v>
      </c>
      <c r="K1435" s="1412">
        <v>45062</v>
      </c>
      <c r="L1435" s="1412" t="s">
        <v>41</v>
      </c>
      <c r="M1435" s="1412">
        <v>45044</v>
      </c>
      <c r="N1435" s="1413">
        <f t="shared" si="232"/>
        <v>-10</v>
      </c>
      <c r="O1435" s="1439">
        <v>45052</v>
      </c>
      <c r="P1435" s="1440">
        <v>45055</v>
      </c>
      <c r="Q1435" s="1414">
        <v>45073</v>
      </c>
      <c r="R1435" s="1413">
        <f t="shared" si="233"/>
        <v>78</v>
      </c>
      <c r="S1435" s="1469" t="s">
        <v>7889</v>
      </c>
      <c r="T1435" s="1470" t="s">
        <v>7890</v>
      </c>
      <c r="U1435" s="1566" t="str">
        <f t="shared" si="234"/>
        <v>en término</v>
      </c>
      <c r="V1435" s="1130" t="str">
        <f t="shared" si="235"/>
        <v>Abril</v>
      </c>
      <c r="W1435" s="1128">
        <f t="shared" si="236"/>
        <v>1</v>
      </c>
    </row>
    <row r="1436" spans="1:23" ht="54.95" customHeight="1" thickBot="1" x14ac:dyDescent="0.25">
      <c r="A1436" s="1157">
        <v>2023</v>
      </c>
      <c r="B1436" s="1157">
        <v>2023</v>
      </c>
      <c r="C1436" s="1468" t="s">
        <v>36</v>
      </c>
      <c r="D1436" s="1408" t="s">
        <v>7534</v>
      </c>
      <c r="E1436" s="1409" t="s">
        <v>7924</v>
      </c>
      <c r="F1436" s="1469"/>
      <c r="G1436" s="1435" t="s">
        <v>7917</v>
      </c>
      <c r="H1436" s="1411">
        <v>368919.4</v>
      </c>
      <c r="I1436" s="1412">
        <v>45033</v>
      </c>
      <c r="J1436" s="1413">
        <f t="shared" si="231"/>
        <v>28</v>
      </c>
      <c r="K1436" s="1412">
        <v>45061</v>
      </c>
      <c r="L1436" s="1412" t="s">
        <v>41</v>
      </c>
      <c r="M1436" s="1412">
        <v>45044</v>
      </c>
      <c r="N1436" s="1413">
        <f t="shared" si="232"/>
        <v>-9</v>
      </c>
      <c r="O1436" s="1439">
        <v>45052</v>
      </c>
      <c r="P1436" s="1440">
        <v>45055</v>
      </c>
      <c r="Q1436" s="1414">
        <v>45073</v>
      </c>
      <c r="R1436" s="1413">
        <f t="shared" si="233"/>
        <v>40</v>
      </c>
      <c r="S1436" s="1469" t="s">
        <v>7919</v>
      </c>
      <c r="T1436" s="1470" t="s">
        <v>7920</v>
      </c>
      <c r="U1436" s="1566" t="str">
        <f t="shared" si="234"/>
        <v>en término</v>
      </c>
      <c r="V1436" s="1130" t="str">
        <f t="shared" si="235"/>
        <v>Abril</v>
      </c>
      <c r="W1436" s="1128">
        <f t="shared" si="236"/>
        <v>1</v>
      </c>
    </row>
    <row r="1437" spans="1:23" ht="54.95" customHeight="1" thickBot="1" x14ac:dyDescent="0.25">
      <c r="A1437" s="1157">
        <v>2023</v>
      </c>
      <c r="B1437" s="1157">
        <v>2023</v>
      </c>
      <c r="C1437" s="1468" t="s">
        <v>36</v>
      </c>
      <c r="D1437" s="1408" t="s">
        <v>7534</v>
      </c>
      <c r="E1437" s="1409" t="s">
        <v>7925</v>
      </c>
      <c r="F1437" s="1469"/>
      <c r="G1437" s="1463" t="s">
        <v>7904</v>
      </c>
      <c r="H1437" s="1411">
        <v>88808</v>
      </c>
      <c r="I1437" s="1412">
        <v>45000</v>
      </c>
      <c r="J1437" s="1413">
        <f t="shared" si="231"/>
        <v>44</v>
      </c>
      <c r="K1437" s="1412">
        <v>45044</v>
      </c>
      <c r="L1437" s="1412" t="s">
        <v>41</v>
      </c>
      <c r="M1437" s="1412">
        <v>45076</v>
      </c>
      <c r="N1437" s="1413">
        <f t="shared" si="232"/>
        <v>36</v>
      </c>
      <c r="O1437" s="1439">
        <v>45080</v>
      </c>
      <c r="P1437" s="1440">
        <v>45083</v>
      </c>
      <c r="Q1437" s="1414">
        <v>45100</v>
      </c>
      <c r="R1437" s="1413">
        <f t="shared" si="233"/>
        <v>100</v>
      </c>
      <c r="S1437" s="1469" t="s">
        <v>7766</v>
      </c>
      <c r="T1437" s="1470" t="s">
        <v>7905</v>
      </c>
      <c r="U1437" s="1566" t="str">
        <f t="shared" si="234"/>
        <v>atrasado</v>
      </c>
      <c r="V1437" s="1130" t="str">
        <f t="shared" si="235"/>
        <v>Mayo</v>
      </c>
      <c r="W1437" s="1128">
        <f t="shared" si="236"/>
        <v>0</v>
      </c>
    </row>
    <row r="1438" spans="1:23" ht="54.95" customHeight="1" thickBot="1" x14ac:dyDescent="0.25">
      <c r="A1438" s="1157">
        <v>2023</v>
      </c>
      <c r="B1438" s="1157">
        <v>2023</v>
      </c>
      <c r="C1438" s="1468" t="s">
        <v>36</v>
      </c>
      <c r="D1438" s="1408" t="s">
        <v>7534</v>
      </c>
      <c r="E1438" s="1409" t="s">
        <v>7769</v>
      </c>
      <c r="F1438" s="1469" t="s">
        <v>7770</v>
      </c>
      <c r="G1438" s="1463" t="s">
        <v>7906</v>
      </c>
      <c r="H1438" s="1411">
        <v>101445</v>
      </c>
      <c r="I1438" s="1412">
        <v>45028</v>
      </c>
      <c r="J1438" s="1413">
        <f t="shared" si="231"/>
        <v>103</v>
      </c>
      <c r="K1438" s="1412">
        <v>45131</v>
      </c>
      <c r="L1438" s="1412" t="s">
        <v>41</v>
      </c>
      <c r="M1438" s="1412">
        <v>45076</v>
      </c>
      <c r="N1438" s="1413">
        <f t="shared" si="232"/>
        <v>-51</v>
      </c>
      <c r="O1438" s="1439">
        <v>45080</v>
      </c>
      <c r="P1438" s="1440">
        <v>45083</v>
      </c>
      <c r="Q1438" s="1414">
        <v>45100</v>
      </c>
      <c r="R1438" s="1413">
        <f t="shared" si="233"/>
        <v>72</v>
      </c>
      <c r="S1438" s="1469" t="s">
        <v>7908</v>
      </c>
      <c r="T1438" s="1470" t="s">
        <v>7910</v>
      </c>
      <c r="U1438" s="1566" t="str">
        <f t="shared" si="234"/>
        <v>en término</v>
      </c>
      <c r="V1438" s="1130" t="str">
        <f t="shared" si="235"/>
        <v>Mayo</v>
      </c>
      <c r="W1438" s="1128">
        <f t="shared" si="236"/>
        <v>1</v>
      </c>
    </row>
    <row r="1439" spans="1:23" ht="54.95" customHeight="1" thickBot="1" x14ac:dyDescent="0.25">
      <c r="A1439" s="1157">
        <v>2023</v>
      </c>
      <c r="B1439" s="1157">
        <v>2023</v>
      </c>
      <c r="C1439" s="1468" t="s">
        <v>36</v>
      </c>
      <c r="D1439" s="1408" t="s">
        <v>7534</v>
      </c>
      <c r="E1439" s="1409" t="s">
        <v>7769</v>
      </c>
      <c r="F1439" s="1469" t="s">
        <v>7770</v>
      </c>
      <c r="G1439" s="1463" t="s">
        <v>7909</v>
      </c>
      <c r="H1439" s="1411">
        <v>175939</v>
      </c>
      <c r="I1439" s="1412">
        <v>45028</v>
      </c>
      <c r="J1439" s="1413">
        <f t="shared" si="231"/>
        <v>103</v>
      </c>
      <c r="K1439" s="1412">
        <v>45131</v>
      </c>
      <c r="L1439" s="1412" t="s">
        <v>41</v>
      </c>
      <c r="M1439" s="1412">
        <v>45076</v>
      </c>
      <c r="N1439" s="1413">
        <f t="shared" si="232"/>
        <v>-51</v>
      </c>
      <c r="O1439" s="1439">
        <v>45080</v>
      </c>
      <c r="P1439" s="1440">
        <v>45083</v>
      </c>
      <c r="Q1439" s="1414">
        <v>45100</v>
      </c>
      <c r="R1439" s="1413">
        <f t="shared" si="233"/>
        <v>72</v>
      </c>
      <c r="S1439" s="1469" t="s">
        <v>7912</v>
      </c>
      <c r="T1439" s="1470" t="s">
        <v>7911</v>
      </c>
      <c r="U1439" s="1566" t="str">
        <f t="shared" si="234"/>
        <v>en término</v>
      </c>
      <c r="V1439" s="1130" t="str">
        <f t="shared" si="235"/>
        <v>Mayo</v>
      </c>
      <c r="W1439" s="1128">
        <f t="shared" si="236"/>
        <v>1</v>
      </c>
    </row>
    <row r="1440" spans="1:23" ht="54.95" customHeight="1" thickBot="1" x14ac:dyDescent="0.25">
      <c r="A1440" s="1157">
        <v>2023</v>
      </c>
      <c r="B1440" s="1157">
        <v>2023</v>
      </c>
      <c r="C1440" s="1468" t="s">
        <v>36</v>
      </c>
      <c r="D1440" s="1408" t="s">
        <v>7534</v>
      </c>
      <c r="E1440" s="1409" t="s">
        <v>7924</v>
      </c>
      <c r="F1440" s="1469"/>
      <c r="G1440" s="1435" t="s">
        <v>7917</v>
      </c>
      <c r="H1440" s="1411">
        <v>61309.4</v>
      </c>
      <c r="I1440" s="1412">
        <v>45033</v>
      </c>
      <c r="J1440" s="1413">
        <f t="shared" si="231"/>
        <v>64</v>
      </c>
      <c r="K1440" s="1412">
        <v>45097</v>
      </c>
      <c r="L1440" s="1412" t="s">
        <v>41</v>
      </c>
      <c r="M1440" s="1412">
        <v>45076</v>
      </c>
      <c r="N1440" s="1413">
        <f t="shared" si="232"/>
        <v>-17</v>
      </c>
      <c r="O1440" s="1439">
        <v>45080</v>
      </c>
      <c r="P1440" s="1440">
        <v>45083</v>
      </c>
      <c r="Q1440" s="1414">
        <v>45100</v>
      </c>
      <c r="R1440" s="1413">
        <f t="shared" si="233"/>
        <v>67</v>
      </c>
      <c r="S1440" s="1469" t="s">
        <v>7921</v>
      </c>
      <c r="T1440" s="1470" t="s">
        <v>7923</v>
      </c>
      <c r="U1440" s="1566" t="str">
        <f t="shared" si="234"/>
        <v>en término</v>
      </c>
      <c r="V1440" s="1130" t="str">
        <f t="shared" si="235"/>
        <v>Mayo</v>
      </c>
      <c r="W1440" s="1128">
        <f t="shared" si="236"/>
        <v>1</v>
      </c>
    </row>
    <row r="1441" spans="1:23" ht="54.95" customHeight="1" thickBot="1" x14ac:dyDescent="0.25">
      <c r="A1441" s="1157">
        <v>2023</v>
      </c>
      <c r="B1441" s="1157">
        <v>2023</v>
      </c>
      <c r="C1441" s="1468" t="s">
        <v>36</v>
      </c>
      <c r="D1441" s="1408" t="s">
        <v>7534</v>
      </c>
      <c r="E1441" s="1409" t="s">
        <v>7924</v>
      </c>
      <c r="F1441" s="1469"/>
      <c r="G1441" s="1435" t="s">
        <v>7917</v>
      </c>
      <c r="H1441" s="1411">
        <v>77513</v>
      </c>
      <c r="I1441" s="1412">
        <v>45033</v>
      </c>
      <c r="J1441" s="1413">
        <f t="shared" si="231"/>
        <v>94</v>
      </c>
      <c r="K1441" s="1412">
        <v>45127</v>
      </c>
      <c r="L1441" s="1412" t="s">
        <v>41</v>
      </c>
      <c r="M1441" s="1412">
        <v>45100</v>
      </c>
      <c r="N1441" s="1413">
        <f t="shared" si="232"/>
        <v>-12</v>
      </c>
      <c r="O1441" s="1439">
        <v>45115</v>
      </c>
      <c r="P1441" s="1440">
        <v>45117</v>
      </c>
      <c r="Q1441" s="1414">
        <v>45138</v>
      </c>
      <c r="R1441" s="1413">
        <f t="shared" si="233"/>
        <v>105</v>
      </c>
      <c r="S1441" s="1469" t="s">
        <v>7922</v>
      </c>
      <c r="T1441" s="1470" t="s">
        <v>7986</v>
      </c>
      <c r="U1441" s="1566" t="str">
        <f t="shared" si="234"/>
        <v>en término</v>
      </c>
      <c r="V1441" s="1130" t="str">
        <f t="shared" si="235"/>
        <v>Junio</v>
      </c>
      <c r="W1441" s="1128">
        <f t="shared" si="236"/>
        <v>1</v>
      </c>
    </row>
    <row r="1442" spans="1:23" ht="54.95" customHeight="1" thickBot="1" x14ac:dyDescent="0.25">
      <c r="A1442" s="1157">
        <v>2023</v>
      </c>
      <c r="B1442" s="1157">
        <v>2023</v>
      </c>
      <c r="C1442" s="1468" t="s">
        <v>36</v>
      </c>
      <c r="D1442" s="1408" t="s">
        <v>7534</v>
      </c>
      <c r="E1442" s="1409" t="s">
        <v>7050</v>
      </c>
      <c r="F1442" s="1469">
        <v>4600611934</v>
      </c>
      <c r="G1442" s="1463" t="s">
        <v>7930</v>
      </c>
      <c r="H1442" s="1411">
        <v>61.33</v>
      </c>
      <c r="I1442" s="1412">
        <v>45049</v>
      </c>
      <c r="J1442" s="1413">
        <f t="shared" si="231"/>
        <v>59</v>
      </c>
      <c r="K1442" s="1412">
        <v>45108</v>
      </c>
      <c r="L1442" s="1412" t="s">
        <v>41</v>
      </c>
      <c r="M1442" s="1412">
        <v>45100</v>
      </c>
      <c r="N1442" s="1413">
        <f t="shared" si="232"/>
        <v>7</v>
      </c>
      <c r="O1442" s="1439">
        <v>45115</v>
      </c>
      <c r="P1442" s="1440">
        <v>45117</v>
      </c>
      <c r="Q1442" s="1414">
        <v>45138</v>
      </c>
      <c r="R1442" s="1413">
        <f t="shared" si="233"/>
        <v>89</v>
      </c>
      <c r="S1442" s="1469" t="s">
        <v>7931</v>
      </c>
      <c r="T1442" s="1470" t="s">
        <v>7987</v>
      </c>
      <c r="U1442" s="1566" t="str">
        <f t="shared" si="234"/>
        <v>atrasado</v>
      </c>
      <c r="V1442" s="1130" t="str">
        <f t="shared" si="235"/>
        <v>Junio</v>
      </c>
      <c r="W1442" s="1128">
        <f t="shared" si="236"/>
        <v>0</v>
      </c>
    </row>
    <row r="1443" spans="1:23" ht="54.95" customHeight="1" thickBot="1" x14ac:dyDescent="0.25">
      <c r="A1443" s="1157">
        <v>2023</v>
      </c>
      <c r="B1443" s="1157">
        <v>2023</v>
      </c>
      <c r="C1443" s="1468" t="s">
        <v>36</v>
      </c>
      <c r="D1443" s="1408" t="s">
        <v>7534</v>
      </c>
      <c r="E1443" s="1409" t="s">
        <v>7050</v>
      </c>
      <c r="F1443" s="1469">
        <v>4600611934</v>
      </c>
      <c r="G1443" s="1463" t="s">
        <v>7932</v>
      </c>
      <c r="H1443" s="1411">
        <v>1027.01</v>
      </c>
      <c r="I1443" s="1412">
        <v>45049</v>
      </c>
      <c r="J1443" s="1413">
        <f t="shared" si="231"/>
        <v>76</v>
      </c>
      <c r="K1443" s="1412">
        <v>45125</v>
      </c>
      <c r="L1443" s="1412" t="s">
        <v>41</v>
      </c>
      <c r="M1443" s="1412">
        <v>45100</v>
      </c>
      <c r="N1443" s="1413">
        <f t="shared" si="232"/>
        <v>-10</v>
      </c>
      <c r="O1443" s="1439">
        <v>45115</v>
      </c>
      <c r="P1443" s="1440">
        <v>45117</v>
      </c>
      <c r="Q1443" s="1414">
        <v>45138</v>
      </c>
      <c r="R1443" s="1413">
        <f t="shared" si="233"/>
        <v>89</v>
      </c>
      <c r="S1443" s="1469" t="s">
        <v>7879</v>
      </c>
      <c r="T1443" s="1470" t="s">
        <v>7988</v>
      </c>
      <c r="U1443" s="1566" t="str">
        <f t="shared" si="234"/>
        <v>en término</v>
      </c>
      <c r="V1443" s="1130" t="str">
        <f t="shared" si="235"/>
        <v>Junio</v>
      </c>
      <c r="W1443" s="1128">
        <f t="shared" si="236"/>
        <v>1</v>
      </c>
    </row>
    <row r="1444" spans="1:23" ht="54.95" customHeight="1" thickBot="1" x14ac:dyDescent="0.25">
      <c r="A1444" s="1157">
        <v>2023</v>
      </c>
      <c r="B1444" s="1157">
        <v>2023</v>
      </c>
      <c r="C1444" s="1468" t="s">
        <v>36</v>
      </c>
      <c r="D1444" s="1408" t="s">
        <v>7534</v>
      </c>
      <c r="E1444" s="1409" t="s">
        <v>7050</v>
      </c>
      <c r="F1444" s="1469">
        <v>4600611934</v>
      </c>
      <c r="G1444" s="1463" t="s">
        <v>7941</v>
      </c>
      <c r="H1444" s="1411">
        <v>122.66</v>
      </c>
      <c r="I1444" s="1412">
        <v>45058</v>
      </c>
      <c r="J1444" s="1413">
        <f t="shared" si="231"/>
        <v>91</v>
      </c>
      <c r="K1444" s="1412">
        <v>45149</v>
      </c>
      <c r="L1444" s="1412" t="s">
        <v>41</v>
      </c>
      <c r="M1444" s="1412">
        <v>45100</v>
      </c>
      <c r="N1444" s="1413">
        <f t="shared" si="232"/>
        <v>-34</v>
      </c>
      <c r="O1444" s="1439">
        <v>45115</v>
      </c>
      <c r="P1444" s="1440">
        <v>45117</v>
      </c>
      <c r="Q1444" s="1414">
        <v>45138</v>
      </c>
      <c r="R1444" s="1413">
        <f t="shared" si="233"/>
        <v>80</v>
      </c>
      <c r="S1444" s="1469" t="s">
        <v>7942</v>
      </c>
      <c r="T1444" s="1470" t="s">
        <v>7989</v>
      </c>
      <c r="U1444" s="1566" t="str">
        <f t="shared" si="234"/>
        <v>en término</v>
      </c>
      <c r="V1444" s="1130" t="str">
        <f t="shared" si="235"/>
        <v>Junio</v>
      </c>
      <c r="W1444" s="1128">
        <f t="shared" si="236"/>
        <v>1</v>
      </c>
    </row>
    <row r="1445" spans="1:23" ht="54.95" customHeight="1" thickBot="1" x14ac:dyDescent="0.25">
      <c r="A1445" s="1157">
        <v>2023</v>
      </c>
      <c r="B1445" s="1157">
        <v>2023</v>
      </c>
      <c r="C1445" s="1468" t="s">
        <v>36</v>
      </c>
      <c r="D1445" s="1408" t="s">
        <v>7534</v>
      </c>
      <c r="E1445" s="1409" t="s">
        <v>7050</v>
      </c>
      <c r="F1445" s="1469">
        <v>4600611934</v>
      </c>
      <c r="G1445" s="1463" t="s">
        <v>7943</v>
      </c>
      <c r="H1445" s="1411">
        <v>3081.03</v>
      </c>
      <c r="I1445" s="1412">
        <v>45064</v>
      </c>
      <c r="J1445" s="1413">
        <f t="shared" si="231"/>
        <v>86</v>
      </c>
      <c r="K1445" s="1412">
        <v>45150</v>
      </c>
      <c r="L1445" s="1412" t="s">
        <v>41</v>
      </c>
      <c r="M1445" s="1412">
        <v>45100</v>
      </c>
      <c r="N1445" s="1413">
        <f t="shared" si="232"/>
        <v>-35</v>
      </c>
      <c r="O1445" s="1439">
        <v>45115</v>
      </c>
      <c r="P1445" s="1440">
        <v>45117</v>
      </c>
      <c r="Q1445" s="1414">
        <v>45138</v>
      </c>
      <c r="R1445" s="1413">
        <f t="shared" si="233"/>
        <v>74</v>
      </c>
      <c r="S1445" s="1469" t="s">
        <v>7944</v>
      </c>
      <c r="T1445" s="1470" t="s">
        <v>7990</v>
      </c>
      <c r="U1445" s="1566" t="str">
        <f t="shared" si="234"/>
        <v>en término</v>
      </c>
      <c r="V1445" s="1130" t="str">
        <f t="shared" si="235"/>
        <v>Junio</v>
      </c>
      <c r="W1445" s="1128">
        <f t="shared" si="236"/>
        <v>1</v>
      </c>
    </row>
    <row r="1446" spans="1:23" ht="54.95" customHeight="1" thickBot="1" x14ac:dyDescent="0.25">
      <c r="A1446" s="1157">
        <v>2023</v>
      </c>
      <c r="B1446" s="1157">
        <v>2023</v>
      </c>
      <c r="C1446" s="1468" t="s">
        <v>36</v>
      </c>
      <c r="D1446" s="1408" t="s">
        <v>7534</v>
      </c>
      <c r="E1446" s="1409" t="s">
        <v>7050</v>
      </c>
      <c r="F1446" s="1469">
        <v>4600611934</v>
      </c>
      <c r="G1446" s="1463" t="s">
        <v>7945</v>
      </c>
      <c r="H1446" s="1411">
        <v>306.66000000000003</v>
      </c>
      <c r="I1446" s="1412">
        <v>45064</v>
      </c>
      <c r="J1446" s="1413">
        <f t="shared" si="231"/>
        <v>89</v>
      </c>
      <c r="K1446" s="1412">
        <v>45153</v>
      </c>
      <c r="L1446" s="1412" t="s">
        <v>41</v>
      </c>
      <c r="M1446" s="1412">
        <v>45100</v>
      </c>
      <c r="N1446" s="1413">
        <f t="shared" si="232"/>
        <v>-38</v>
      </c>
      <c r="O1446" s="1439">
        <v>45115</v>
      </c>
      <c r="P1446" s="1440">
        <v>45117</v>
      </c>
      <c r="Q1446" s="1414">
        <v>45138</v>
      </c>
      <c r="R1446" s="1413">
        <f t="shared" si="233"/>
        <v>74</v>
      </c>
      <c r="S1446" s="1469" t="s">
        <v>7946</v>
      </c>
      <c r="T1446" s="1470" t="s">
        <v>7991</v>
      </c>
      <c r="U1446" s="1566" t="str">
        <f t="shared" si="234"/>
        <v>en término</v>
      </c>
      <c r="V1446" s="1130" t="str">
        <f t="shared" si="235"/>
        <v>Junio</v>
      </c>
      <c r="W1446" s="1128">
        <f t="shared" si="236"/>
        <v>1</v>
      </c>
    </row>
    <row r="1447" spans="1:23" ht="54.95" customHeight="1" thickBot="1" x14ac:dyDescent="0.25">
      <c r="A1447" s="1157">
        <v>2023</v>
      </c>
      <c r="B1447" s="1157">
        <v>2023</v>
      </c>
      <c r="C1447" s="1468" t="s">
        <v>36</v>
      </c>
      <c r="D1447" s="1408" t="s">
        <v>7534</v>
      </c>
      <c r="E1447" s="1409" t="s">
        <v>7050</v>
      </c>
      <c r="F1447" s="1469">
        <v>4600611934</v>
      </c>
      <c r="G1447" s="1463" t="s">
        <v>7948</v>
      </c>
      <c r="H1447" s="1411">
        <v>1027.01</v>
      </c>
      <c r="I1447" s="1412">
        <v>45068</v>
      </c>
      <c r="J1447" s="1413">
        <f t="shared" si="231"/>
        <v>89</v>
      </c>
      <c r="K1447" s="1412">
        <v>45157</v>
      </c>
      <c r="L1447" s="1412" t="s">
        <v>41</v>
      </c>
      <c r="M1447" s="1412">
        <v>45100</v>
      </c>
      <c r="N1447" s="1413">
        <f t="shared" si="232"/>
        <v>-42</v>
      </c>
      <c r="O1447" s="1439">
        <v>45115</v>
      </c>
      <c r="P1447" s="1440">
        <v>45117</v>
      </c>
      <c r="Q1447" s="1414">
        <v>45138</v>
      </c>
      <c r="R1447" s="1413">
        <f t="shared" si="233"/>
        <v>70</v>
      </c>
      <c r="S1447" s="1469" t="s">
        <v>7879</v>
      </c>
      <c r="T1447" s="1470" t="s">
        <v>7992</v>
      </c>
      <c r="U1447" s="1566" t="str">
        <f t="shared" si="234"/>
        <v>en término</v>
      </c>
      <c r="V1447" s="1130" t="str">
        <f t="shared" si="235"/>
        <v>Junio</v>
      </c>
      <c r="W1447" s="1128">
        <f t="shared" si="236"/>
        <v>1</v>
      </c>
    </row>
    <row r="1448" spans="1:23" ht="54.95" customHeight="1" thickBot="1" x14ac:dyDescent="0.25">
      <c r="A1448" s="1157">
        <v>2023</v>
      </c>
      <c r="B1448" s="1157">
        <v>2023</v>
      </c>
      <c r="C1448" s="1468" t="s">
        <v>36</v>
      </c>
      <c r="D1448" s="1408" t="s">
        <v>7534</v>
      </c>
      <c r="E1448" s="1409" t="s">
        <v>7050</v>
      </c>
      <c r="F1448" s="1469">
        <v>4600611934</v>
      </c>
      <c r="G1448" s="1463" t="s">
        <v>7949</v>
      </c>
      <c r="H1448" s="1411">
        <v>2054.02</v>
      </c>
      <c r="I1448" s="1412">
        <v>45070</v>
      </c>
      <c r="J1448" s="1413">
        <f t="shared" si="231"/>
        <v>89</v>
      </c>
      <c r="K1448" s="1412">
        <v>45159</v>
      </c>
      <c r="L1448" s="1412" t="s">
        <v>41</v>
      </c>
      <c r="M1448" s="1412">
        <v>45100</v>
      </c>
      <c r="N1448" s="1413">
        <f t="shared" si="232"/>
        <v>-44</v>
      </c>
      <c r="O1448" s="1439">
        <v>45115</v>
      </c>
      <c r="P1448" s="1440">
        <v>45117</v>
      </c>
      <c r="Q1448" s="1414">
        <v>45138</v>
      </c>
      <c r="R1448" s="1413">
        <f t="shared" si="233"/>
        <v>68</v>
      </c>
      <c r="S1448" s="1469" t="s">
        <v>4277</v>
      </c>
      <c r="T1448" s="1470" t="s">
        <v>7993</v>
      </c>
      <c r="U1448" s="1566" t="str">
        <f t="shared" si="234"/>
        <v>en término</v>
      </c>
      <c r="V1448" s="1130" t="str">
        <f t="shared" si="235"/>
        <v>Junio</v>
      </c>
      <c r="W1448" s="1128">
        <f t="shared" si="236"/>
        <v>1</v>
      </c>
    </row>
    <row r="1449" spans="1:23" ht="54.95" customHeight="1" thickBot="1" x14ac:dyDescent="0.25">
      <c r="A1449" s="1157">
        <v>2023</v>
      </c>
      <c r="B1449" s="1157">
        <v>2023</v>
      </c>
      <c r="C1449" s="1468" t="s">
        <v>36</v>
      </c>
      <c r="D1449" s="1408" t="s">
        <v>7534</v>
      </c>
      <c r="E1449" s="1409" t="s">
        <v>7050</v>
      </c>
      <c r="F1449" s="1469">
        <v>4600611934</v>
      </c>
      <c r="G1449" s="1463" t="s">
        <v>7956</v>
      </c>
      <c r="H1449" s="1411">
        <v>1027.01</v>
      </c>
      <c r="I1449" s="1412">
        <v>45072</v>
      </c>
      <c r="J1449" s="1413">
        <f t="shared" si="231"/>
        <v>90</v>
      </c>
      <c r="K1449" s="1412">
        <v>45162</v>
      </c>
      <c r="L1449" s="1412" t="s">
        <v>41</v>
      </c>
      <c r="M1449" s="1412">
        <v>45100</v>
      </c>
      <c r="N1449" s="1413">
        <f t="shared" si="232"/>
        <v>-47</v>
      </c>
      <c r="O1449" s="1439">
        <v>45115</v>
      </c>
      <c r="P1449" s="1440">
        <v>45117</v>
      </c>
      <c r="Q1449" s="1414">
        <v>45138</v>
      </c>
      <c r="R1449" s="1413">
        <f t="shared" si="233"/>
        <v>66</v>
      </c>
      <c r="S1449" s="1469" t="s">
        <v>7879</v>
      </c>
      <c r="T1449" s="1470" t="s">
        <v>7994</v>
      </c>
      <c r="U1449" s="1566" t="str">
        <f t="shared" si="234"/>
        <v>en término</v>
      </c>
      <c r="V1449" s="1130" t="str">
        <f t="shared" si="235"/>
        <v>Junio</v>
      </c>
      <c r="W1449" s="1128">
        <f t="shared" si="236"/>
        <v>1</v>
      </c>
    </row>
    <row r="1450" spans="1:23" ht="54.95" customHeight="1" thickBot="1" x14ac:dyDescent="0.25">
      <c r="A1450" s="1157">
        <v>2023</v>
      </c>
      <c r="B1450" s="1157">
        <v>2023</v>
      </c>
      <c r="C1450" s="1468" t="s">
        <v>36</v>
      </c>
      <c r="D1450" s="1408" t="s">
        <v>7534</v>
      </c>
      <c r="E1450" s="1409" t="s">
        <v>7769</v>
      </c>
      <c r="F1450" s="1469" t="s">
        <v>7770</v>
      </c>
      <c r="G1450" s="1463" t="s">
        <v>7909</v>
      </c>
      <c r="H1450" s="1411">
        <v>165720</v>
      </c>
      <c r="I1450" s="1412">
        <v>45028</v>
      </c>
      <c r="J1450" s="1413">
        <f t="shared" si="231"/>
        <v>103</v>
      </c>
      <c r="K1450" s="1412">
        <v>45131</v>
      </c>
      <c r="L1450" s="1412" t="s">
        <v>41</v>
      </c>
      <c r="M1450" s="1412">
        <v>45121</v>
      </c>
      <c r="N1450" s="1413">
        <f t="shared" si="232"/>
        <v>-2</v>
      </c>
      <c r="O1450" s="1439">
        <v>45129</v>
      </c>
      <c r="P1450" s="1440">
        <v>45134</v>
      </c>
      <c r="Q1450" s="1414">
        <v>45149</v>
      </c>
      <c r="R1450" s="1413">
        <f t="shared" si="233"/>
        <v>121</v>
      </c>
      <c r="S1450" s="1469" t="s">
        <v>7913</v>
      </c>
      <c r="T1450" s="1470" t="s">
        <v>7915</v>
      </c>
      <c r="U1450" s="1566" t="str">
        <f t="shared" si="234"/>
        <v>en término</v>
      </c>
      <c r="V1450" s="1130" t="str">
        <f t="shared" si="235"/>
        <v>Julio</v>
      </c>
      <c r="W1450" s="1128">
        <f t="shared" si="236"/>
        <v>1</v>
      </c>
    </row>
    <row r="1451" spans="1:23" ht="54.95" customHeight="1" thickBot="1" x14ac:dyDescent="0.25">
      <c r="A1451" s="1157">
        <v>2023</v>
      </c>
      <c r="B1451" s="1157">
        <v>2023</v>
      </c>
      <c r="C1451" s="1468" t="s">
        <v>36</v>
      </c>
      <c r="D1451" s="1408" t="s">
        <v>7534</v>
      </c>
      <c r="E1451" s="1409" t="s">
        <v>7769</v>
      </c>
      <c r="F1451" s="1469" t="s">
        <v>7770</v>
      </c>
      <c r="G1451" s="1463" t="s">
        <v>7934</v>
      </c>
      <c r="H1451" s="1411">
        <v>360464</v>
      </c>
      <c r="I1451" s="1412">
        <v>45049</v>
      </c>
      <c r="J1451" s="1413">
        <f t="shared" si="231"/>
        <v>196</v>
      </c>
      <c r="K1451" s="1412">
        <v>45245</v>
      </c>
      <c r="L1451" s="1412" t="s">
        <v>41</v>
      </c>
      <c r="M1451" s="1412">
        <v>45121</v>
      </c>
      <c r="N1451" s="1413">
        <f t="shared" si="232"/>
        <v>-116</v>
      </c>
      <c r="O1451" s="1439">
        <v>45129</v>
      </c>
      <c r="P1451" s="1440">
        <v>45134</v>
      </c>
      <c r="Q1451" s="1414">
        <v>45149</v>
      </c>
      <c r="R1451" s="1413">
        <f t="shared" si="233"/>
        <v>100</v>
      </c>
      <c r="S1451" s="1469" t="s">
        <v>7933</v>
      </c>
      <c r="T1451" s="1470" t="s">
        <v>7938</v>
      </c>
      <c r="U1451" s="1566" t="str">
        <f t="shared" si="234"/>
        <v>en término</v>
      </c>
      <c r="V1451" s="1130" t="str">
        <f t="shared" si="235"/>
        <v>Julio</v>
      </c>
      <c r="W1451" s="1128">
        <f t="shared" si="236"/>
        <v>1</v>
      </c>
    </row>
    <row r="1452" spans="1:23" ht="54.95" customHeight="1" thickBot="1" x14ac:dyDescent="0.25">
      <c r="A1452" s="1157">
        <v>2023</v>
      </c>
      <c r="B1452" s="1157">
        <v>2023</v>
      </c>
      <c r="C1452" s="1468" t="s">
        <v>36</v>
      </c>
      <c r="D1452" s="1408" t="s">
        <v>7534</v>
      </c>
      <c r="E1452" s="1409" t="s">
        <v>7865</v>
      </c>
      <c r="F1452" s="1469" t="s">
        <v>7866</v>
      </c>
      <c r="G1452" s="1463" t="s">
        <v>7954</v>
      </c>
      <c r="H1452" s="1411">
        <v>6440</v>
      </c>
      <c r="I1452" s="1412">
        <v>45072</v>
      </c>
      <c r="J1452" s="1413">
        <f t="shared" si="231"/>
        <v>99</v>
      </c>
      <c r="K1452" s="1412">
        <v>45171</v>
      </c>
      <c r="L1452" s="1412" t="s">
        <v>41</v>
      </c>
      <c r="M1452" s="1412">
        <v>45121</v>
      </c>
      <c r="N1452" s="1413">
        <f t="shared" si="232"/>
        <v>-42</v>
      </c>
      <c r="O1452" s="1439">
        <v>45129</v>
      </c>
      <c r="P1452" s="1440">
        <v>45134</v>
      </c>
      <c r="Q1452" s="1414">
        <v>45149</v>
      </c>
      <c r="R1452" s="1413">
        <f t="shared" si="233"/>
        <v>77</v>
      </c>
      <c r="S1452" s="1469" t="s">
        <v>1680</v>
      </c>
      <c r="T1452" s="1470" t="s">
        <v>7955</v>
      </c>
      <c r="U1452" s="1566" t="str">
        <f t="shared" si="234"/>
        <v>en término</v>
      </c>
      <c r="V1452" s="1130" t="str">
        <f t="shared" si="235"/>
        <v>Julio</v>
      </c>
      <c r="W1452" s="1128">
        <f t="shared" si="236"/>
        <v>1</v>
      </c>
    </row>
    <row r="1453" spans="1:23" ht="54.95" customHeight="1" thickBot="1" x14ac:dyDescent="0.25">
      <c r="A1453" s="1157">
        <v>2023</v>
      </c>
      <c r="B1453" s="1157">
        <v>2023</v>
      </c>
      <c r="C1453" s="1468" t="s">
        <v>36</v>
      </c>
      <c r="D1453" s="1408" t="s">
        <v>7534</v>
      </c>
      <c r="E1453" s="1409" t="s">
        <v>7964</v>
      </c>
      <c r="F1453" s="1469"/>
      <c r="G1453" s="1463" t="s">
        <v>7963</v>
      </c>
      <c r="H1453" s="1411">
        <v>4666</v>
      </c>
      <c r="I1453" s="1412">
        <v>45082</v>
      </c>
      <c r="J1453" s="1413">
        <f t="shared" si="231"/>
        <v>37</v>
      </c>
      <c r="K1453" s="1412">
        <v>45119</v>
      </c>
      <c r="L1453" s="1412" t="s">
        <v>41</v>
      </c>
      <c r="M1453" s="1412">
        <v>45121</v>
      </c>
      <c r="N1453" s="1413">
        <f t="shared" si="232"/>
        <v>10</v>
      </c>
      <c r="O1453" s="1439">
        <v>45129</v>
      </c>
      <c r="P1453" s="1440">
        <v>45134</v>
      </c>
      <c r="Q1453" s="1414">
        <v>45149</v>
      </c>
      <c r="R1453" s="1413">
        <f t="shared" si="233"/>
        <v>67</v>
      </c>
      <c r="S1453" s="1469" t="s">
        <v>7969</v>
      </c>
      <c r="T1453" s="1470" t="s">
        <v>7967</v>
      </c>
      <c r="U1453" s="1566" t="str">
        <f t="shared" si="234"/>
        <v>atrasado</v>
      </c>
      <c r="V1453" s="1130" t="str">
        <f t="shared" si="235"/>
        <v>Julio</v>
      </c>
      <c r="W1453" s="1128">
        <f t="shared" si="236"/>
        <v>0</v>
      </c>
    </row>
    <row r="1454" spans="1:23" ht="54.95" customHeight="1" thickBot="1" x14ac:dyDescent="0.25">
      <c r="A1454" s="1157">
        <v>2023</v>
      </c>
      <c r="B1454" s="1157">
        <v>2023</v>
      </c>
      <c r="C1454" s="1468" t="s">
        <v>36</v>
      </c>
      <c r="D1454" s="1408" t="s">
        <v>7534</v>
      </c>
      <c r="E1454" s="1409" t="s">
        <v>7937</v>
      </c>
      <c r="F1454" s="1469"/>
      <c r="G1454" s="1463" t="s">
        <v>7935</v>
      </c>
      <c r="H1454" s="1411">
        <v>2766</v>
      </c>
      <c r="I1454" s="1412">
        <v>45048</v>
      </c>
      <c r="J1454" s="1413">
        <f t="shared" si="231"/>
        <v>89</v>
      </c>
      <c r="K1454" s="1412">
        <v>45137</v>
      </c>
      <c r="L1454" s="1412" t="s">
        <v>41</v>
      </c>
      <c r="M1454" s="1412">
        <v>45149</v>
      </c>
      <c r="N1454" s="1413">
        <f t="shared" si="232"/>
        <v>62</v>
      </c>
      <c r="O1454" s="1439">
        <v>45199</v>
      </c>
      <c r="P1454" s="1440">
        <v>45202</v>
      </c>
      <c r="Q1454" s="1414">
        <v>45220</v>
      </c>
      <c r="R1454" s="1413">
        <f t="shared" si="233"/>
        <v>172</v>
      </c>
      <c r="S1454" s="1469" t="s">
        <v>7936</v>
      </c>
      <c r="T1454" s="1470" t="s">
        <v>8050</v>
      </c>
      <c r="U1454" s="1566" t="str">
        <f t="shared" si="234"/>
        <v>atrasado</v>
      </c>
      <c r="V1454" s="1130" t="str">
        <f t="shared" si="235"/>
        <v>Agosto</v>
      </c>
      <c r="W1454" s="1128">
        <f t="shared" si="236"/>
        <v>0</v>
      </c>
    </row>
    <row r="1455" spans="1:23" ht="54.95" customHeight="1" thickBot="1" x14ac:dyDescent="0.25">
      <c r="A1455" s="1157">
        <v>2023</v>
      </c>
      <c r="B1455" s="1157">
        <v>2023</v>
      </c>
      <c r="C1455" s="1468" t="s">
        <v>36</v>
      </c>
      <c r="D1455" s="1408" t="s">
        <v>7534</v>
      </c>
      <c r="E1455" s="1409" t="s">
        <v>7980</v>
      </c>
      <c r="F1455" s="1469"/>
      <c r="G1455" s="1435" t="s">
        <v>7981</v>
      </c>
      <c r="H1455" s="1411">
        <v>116960</v>
      </c>
      <c r="I1455" s="1412">
        <v>45099</v>
      </c>
      <c r="J1455" s="1413">
        <f t="shared" si="231"/>
        <v>115</v>
      </c>
      <c r="K1455" s="1412">
        <v>45214</v>
      </c>
      <c r="L1455" s="1412" t="s">
        <v>41</v>
      </c>
      <c r="M1455" s="1412">
        <v>45149</v>
      </c>
      <c r="N1455" s="1413">
        <f t="shared" si="232"/>
        <v>-15</v>
      </c>
      <c r="O1455" s="1439">
        <v>45199</v>
      </c>
      <c r="P1455" s="1440">
        <v>45202</v>
      </c>
      <c r="Q1455" s="1414">
        <v>45220</v>
      </c>
      <c r="R1455" s="1413">
        <f t="shared" si="233"/>
        <v>121</v>
      </c>
      <c r="S1455" s="1469" t="s">
        <v>7982</v>
      </c>
      <c r="T1455" s="1470" t="s">
        <v>8051</v>
      </c>
      <c r="U1455" s="1566" t="str">
        <f t="shared" si="234"/>
        <v>en término</v>
      </c>
      <c r="V1455" s="1130" t="str">
        <f t="shared" si="235"/>
        <v>Agosto</v>
      </c>
      <c r="W1455" s="1128">
        <f t="shared" si="236"/>
        <v>1</v>
      </c>
    </row>
    <row r="1456" spans="1:23" ht="54.95" customHeight="1" thickBot="1" x14ac:dyDescent="0.25">
      <c r="A1456" s="1157">
        <v>2023</v>
      </c>
      <c r="B1456" s="1157">
        <v>2023</v>
      </c>
      <c r="C1456" s="1468" t="s">
        <v>36</v>
      </c>
      <c r="D1456" s="1408" t="s">
        <v>7534</v>
      </c>
      <c r="E1456" s="1409" t="s">
        <v>7998</v>
      </c>
      <c r="F1456" s="1469"/>
      <c r="G1456" s="1435" t="s">
        <v>7999</v>
      </c>
      <c r="H1456" s="1411">
        <v>15800</v>
      </c>
      <c r="I1456" s="1412">
        <v>45104</v>
      </c>
      <c r="J1456" s="1413">
        <f t="shared" si="231"/>
        <v>91</v>
      </c>
      <c r="K1456" s="1412">
        <v>45195</v>
      </c>
      <c r="L1456" s="1412" t="s">
        <v>41</v>
      </c>
      <c r="M1456" s="1412">
        <v>45149</v>
      </c>
      <c r="N1456" s="1413">
        <f t="shared" si="232"/>
        <v>4</v>
      </c>
      <c r="O1456" s="1439">
        <v>45199</v>
      </c>
      <c r="P1456" s="1440">
        <v>45202</v>
      </c>
      <c r="Q1456" s="1414">
        <v>45220</v>
      </c>
      <c r="R1456" s="1413">
        <f t="shared" ref="R1456:R1481" si="237">IF(Q1456="","",+Q1456-I1456)</f>
        <v>116</v>
      </c>
      <c r="S1456" s="1469" t="s">
        <v>8000</v>
      </c>
      <c r="T1456" s="1470" t="s">
        <v>8052</v>
      </c>
      <c r="U1456" s="1566" t="str">
        <f t="shared" si="234"/>
        <v>atrasado</v>
      </c>
      <c r="V1456" s="1130" t="str">
        <f t="shared" si="235"/>
        <v>Agosto</v>
      </c>
      <c r="W1456" s="1128">
        <f t="shared" si="236"/>
        <v>0</v>
      </c>
    </row>
    <row r="1457" spans="1:23" ht="54.95" customHeight="1" thickBot="1" x14ac:dyDescent="0.25">
      <c r="A1457" s="1157">
        <v>2023</v>
      </c>
      <c r="B1457" s="1157">
        <v>2023</v>
      </c>
      <c r="C1457" s="1468" t="s">
        <v>36</v>
      </c>
      <c r="D1457" s="1408" t="s">
        <v>7534</v>
      </c>
      <c r="E1457" s="1409" t="s">
        <v>7769</v>
      </c>
      <c r="F1457" s="1469" t="s">
        <v>7770</v>
      </c>
      <c r="G1457" s="1463" t="s">
        <v>8007</v>
      </c>
      <c r="H1457" s="1411">
        <v>69130</v>
      </c>
      <c r="I1457" s="1412">
        <v>45106</v>
      </c>
      <c r="J1457" s="1413">
        <f t="shared" si="231"/>
        <v>125</v>
      </c>
      <c r="K1457" s="1412">
        <v>45231</v>
      </c>
      <c r="L1457" s="1412" t="s">
        <v>41</v>
      </c>
      <c r="M1457" s="1412">
        <v>45184</v>
      </c>
      <c r="N1457" s="1413">
        <f t="shared" si="232"/>
        <v>-32</v>
      </c>
      <c r="O1457" s="1439">
        <v>45199</v>
      </c>
      <c r="P1457" s="1440">
        <v>45202</v>
      </c>
      <c r="Q1457" s="1414">
        <v>45220</v>
      </c>
      <c r="R1457" s="1413">
        <f t="shared" si="237"/>
        <v>114</v>
      </c>
      <c r="S1457" s="1469" t="s">
        <v>8010</v>
      </c>
      <c r="T1457" s="1470" t="s">
        <v>8048</v>
      </c>
      <c r="U1457" s="1566" t="str">
        <f t="shared" si="234"/>
        <v>en término</v>
      </c>
      <c r="V1457" s="1130" t="str">
        <f t="shared" si="235"/>
        <v>Septiembre</v>
      </c>
      <c r="W1457" s="1128">
        <f t="shared" si="236"/>
        <v>1</v>
      </c>
    </row>
    <row r="1458" spans="1:23" ht="54.95" customHeight="1" thickBot="1" x14ac:dyDescent="0.25">
      <c r="A1458" s="1157">
        <v>2023</v>
      </c>
      <c r="B1458" s="1157">
        <v>2023</v>
      </c>
      <c r="C1458" s="1468" t="s">
        <v>36</v>
      </c>
      <c r="D1458" s="1408" t="s">
        <v>7534</v>
      </c>
      <c r="E1458" s="1409" t="s">
        <v>7769</v>
      </c>
      <c r="F1458" s="1469" t="s">
        <v>7770</v>
      </c>
      <c r="G1458" s="1463" t="s">
        <v>7934</v>
      </c>
      <c r="H1458" s="1411">
        <v>403504</v>
      </c>
      <c r="I1458" s="1412">
        <v>45049</v>
      </c>
      <c r="J1458" s="1413">
        <f t="shared" si="231"/>
        <v>196</v>
      </c>
      <c r="K1458" s="1412">
        <v>45245</v>
      </c>
      <c r="L1458" s="1412" t="s">
        <v>41</v>
      </c>
      <c r="M1458" s="1412">
        <v>45211</v>
      </c>
      <c r="N1458" s="1413">
        <f t="shared" si="232"/>
        <v>-25</v>
      </c>
      <c r="O1458" s="1439">
        <v>45220</v>
      </c>
      <c r="P1458" s="1440">
        <v>45223</v>
      </c>
      <c r="Q1458" s="1414">
        <v>45241</v>
      </c>
      <c r="R1458" s="1413">
        <f t="shared" si="237"/>
        <v>192</v>
      </c>
      <c r="S1458" s="1469" t="s">
        <v>8009</v>
      </c>
      <c r="T1458" s="1470" t="s">
        <v>8063</v>
      </c>
      <c r="U1458" s="1566" t="str">
        <f t="shared" si="234"/>
        <v>en término</v>
      </c>
      <c r="V1458" s="1130" t="str">
        <f t="shared" si="235"/>
        <v>Octubre</v>
      </c>
      <c r="W1458" s="1128">
        <f t="shared" si="236"/>
        <v>1</v>
      </c>
    </row>
    <row r="1459" spans="1:23" ht="54.95" customHeight="1" thickBot="1" x14ac:dyDescent="0.25">
      <c r="A1459" s="1157">
        <v>2023</v>
      </c>
      <c r="B1459" s="1157">
        <v>2023</v>
      </c>
      <c r="C1459" s="1468" t="s">
        <v>36</v>
      </c>
      <c r="D1459" s="1408" t="s">
        <v>7534</v>
      </c>
      <c r="E1459" s="1409" t="s">
        <v>7769</v>
      </c>
      <c r="F1459" s="1469" t="s">
        <v>7770</v>
      </c>
      <c r="G1459" s="1463" t="s">
        <v>8007</v>
      </c>
      <c r="H1459" s="1411">
        <v>269786</v>
      </c>
      <c r="I1459" s="1412">
        <v>45106</v>
      </c>
      <c r="J1459" s="1413">
        <f t="shared" si="231"/>
        <v>125</v>
      </c>
      <c r="K1459" s="1412">
        <v>45231</v>
      </c>
      <c r="L1459" s="1412" t="s">
        <v>41</v>
      </c>
      <c r="M1459" s="1412">
        <v>45226</v>
      </c>
      <c r="N1459" s="1413">
        <f t="shared" si="232"/>
        <v>10</v>
      </c>
      <c r="O1459" s="1439">
        <v>45241</v>
      </c>
      <c r="P1459" s="1440">
        <v>45244</v>
      </c>
      <c r="Q1459" s="1414">
        <v>45269</v>
      </c>
      <c r="R1459" s="1413">
        <f t="shared" si="237"/>
        <v>163</v>
      </c>
      <c r="S1459" s="1469" t="s">
        <v>8011</v>
      </c>
      <c r="T1459" s="1470" t="s">
        <v>8008</v>
      </c>
      <c r="U1459" s="1566" t="str">
        <f t="shared" si="234"/>
        <v>atrasado</v>
      </c>
      <c r="V1459" s="1130" t="str">
        <f t="shared" si="235"/>
        <v>Octubre</v>
      </c>
      <c r="W1459" s="1128">
        <f t="shared" si="236"/>
        <v>0</v>
      </c>
    </row>
    <row r="1460" spans="1:23" ht="54.95" customHeight="1" thickBot="1" x14ac:dyDescent="0.25">
      <c r="A1460" s="1157">
        <v>2023</v>
      </c>
      <c r="B1460" s="1157">
        <v>2023</v>
      </c>
      <c r="C1460" s="1468" t="s">
        <v>36</v>
      </c>
      <c r="D1460" s="1408" t="s">
        <v>7534</v>
      </c>
      <c r="E1460" s="1409" t="s">
        <v>7980</v>
      </c>
      <c r="F1460" s="1469"/>
      <c r="G1460" s="1435" t="s">
        <v>7981</v>
      </c>
      <c r="H1460" s="1411">
        <v>312089</v>
      </c>
      <c r="I1460" s="1412">
        <v>45099</v>
      </c>
      <c r="J1460" s="1413">
        <f t="shared" si="231"/>
        <v>115</v>
      </c>
      <c r="K1460" s="1412">
        <v>45214</v>
      </c>
      <c r="L1460" s="1412" t="s">
        <v>41</v>
      </c>
      <c r="M1460" s="1412">
        <v>45232</v>
      </c>
      <c r="N1460" s="1413">
        <f t="shared" si="232"/>
        <v>27</v>
      </c>
      <c r="O1460" s="1439">
        <v>45241</v>
      </c>
      <c r="P1460" s="1440">
        <v>45244</v>
      </c>
      <c r="Q1460" s="1414">
        <v>45269</v>
      </c>
      <c r="R1460" s="1413">
        <f t="shared" si="237"/>
        <v>170</v>
      </c>
      <c r="S1460" s="1469" t="s">
        <v>7983</v>
      </c>
      <c r="T1460" s="1470" t="s">
        <v>7996</v>
      </c>
      <c r="U1460" s="1566" t="str">
        <f t="shared" si="234"/>
        <v>atrasado</v>
      </c>
      <c r="V1460" s="1130" t="str">
        <f t="shared" si="235"/>
        <v>Noviembre</v>
      </c>
      <c r="W1460" s="1128">
        <f t="shared" si="236"/>
        <v>0</v>
      </c>
    </row>
    <row r="1461" spans="1:23" ht="54.95" customHeight="1" thickBot="1" x14ac:dyDescent="0.25">
      <c r="A1461" s="1157">
        <v>2023</v>
      </c>
      <c r="B1461" s="1157">
        <v>2023</v>
      </c>
      <c r="C1461" s="1468" t="s">
        <v>36</v>
      </c>
      <c r="D1461" s="1408" t="s">
        <v>7534</v>
      </c>
      <c r="E1461" s="1409" t="s">
        <v>7998</v>
      </c>
      <c r="F1461" s="1469"/>
      <c r="G1461" s="1435" t="s">
        <v>7999</v>
      </c>
      <c r="H1461" s="1411">
        <v>15800</v>
      </c>
      <c r="I1461" s="1412">
        <v>45104</v>
      </c>
      <c r="J1461" s="1413">
        <f t="shared" si="231"/>
        <v>91</v>
      </c>
      <c r="K1461" s="1412">
        <v>45195</v>
      </c>
      <c r="L1461" s="1412" t="s">
        <v>41</v>
      </c>
      <c r="M1461" s="1412">
        <v>45226</v>
      </c>
      <c r="N1461" s="1413">
        <f t="shared" si="232"/>
        <v>46</v>
      </c>
      <c r="O1461" s="1439">
        <v>45241</v>
      </c>
      <c r="P1461" s="1440">
        <v>45244</v>
      </c>
      <c r="Q1461" s="1414">
        <v>45269</v>
      </c>
      <c r="R1461" s="1413">
        <f t="shared" si="237"/>
        <v>165</v>
      </c>
      <c r="S1461" s="1469" t="s">
        <v>8001</v>
      </c>
      <c r="T1461" s="1470" t="s">
        <v>8002</v>
      </c>
      <c r="U1461" s="1566" t="str">
        <f t="shared" si="234"/>
        <v>atrasado</v>
      </c>
      <c r="V1461" s="1130" t="str">
        <f t="shared" si="235"/>
        <v>Octubre</v>
      </c>
      <c r="W1461" s="1128">
        <f t="shared" si="236"/>
        <v>0</v>
      </c>
    </row>
    <row r="1462" spans="1:23" ht="54.95" customHeight="1" thickBot="1" x14ac:dyDescent="0.25">
      <c r="A1462" s="1157">
        <v>2023</v>
      </c>
      <c r="B1462" s="1157">
        <v>2023</v>
      </c>
      <c r="C1462" s="1468" t="s">
        <v>36</v>
      </c>
      <c r="D1462" s="1408" t="s">
        <v>7534</v>
      </c>
      <c r="E1462" s="1409" t="s">
        <v>7769</v>
      </c>
      <c r="F1462" s="1469" t="s">
        <v>7770</v>
      </c>
      <c r="G1462" s="1463" t="s">
        <v>8027</v>
      </c>
      <c r="H1462" s="1411">
        <v>43986</v>
      </c>
      <c r="I1462" s="1412">
        <v>45142</v>
      </c>
      <c r="J1462" s="1413">
        <f t="shared" si="231"/>
        <v>110</v>
      </c>
      <c r="K1462" s="1412">
        <v>45252</v>
      </c>
      <c r="L1462" s="1412" t="s">
        <v>41</v>
      </c>
      <c r="M1462" s="1412">
        <v>45226</v>
      </c>
      <c r="N1462" s="1413">
        <f t="shared" si="232"/>
        <v>-11</v>
      </c>
      <c r="O1462" s="1439">
        <v>45241</v>
      </c>
      <c r="P1462" s="1440">
        <v>45244</v>
      </c>
      <c r="Q1462" s="1414">
        <v>45269</v>
      </c>
      <c r="R1462" s="1413">
        <f t="shared" si="237"/>
        <v>127</v>
      </c>
      <c r="S1462" s="1469" t="s">
        <v>8028</v>
      </c>
      <c r="T1462" s="1470" t="s">
        <v>8031</v>
      </c>
      <c r="U1462" s="1566" t="str">
        <f t="shared" si="234"/>
        <v>en término</v>
      </c>
      <c r="V1462" s="1130" t="str">
        <f t="shared" si="235"/>
        <v>Octubre</v>
      </c>
      <c r="W1462" s="1128">
        <f t="shared" si="236"/>
        <v>1</v>
      </c>
    </row>
    <row r="1463" spans="1:23" ht="54.95" customHeight="1" thickBot="1" x14ac:dyDescent="0.25">
      <c r="A1463" s="1157">
        <v>2023</v>
      </c>
      <c r="B1463" s="1157">
        <v>2023</v>
      </c>
      <c r="C1463" s="1468" t="s">
        <v>36</v>
      </c>
      <c r="D1463" s="1408" t="s">
        <v>7534</v>
      </c>
      <c r="E1463" s="1409" t="s">
        <v>7769</v>
      </c>
      <c r="F1463" s="1469" t="s">
        <v>7770</v>
      </c>
      <c r="G1463" s="1463" t="s">
        <v>8029</v>
      </c>
      <c r="H1463" s="1411">
        <v>257870</v>
      </c>
      <c r="I1463" s="1412">
        <v>45152</v>
      </c>
      <c r="J1463" s="1413">
        <f t="shared" si="231"/>
        <v>202</v>
      </c>
      <c r="K1463" s="1412">
        <v>45354</v>
      </c>
      <c r="L1463" s="1412" t="s">
        <v>41</v>
      </c>
      <c r="M1463" s="1412">
        <v>45226</v>
      </c>
      <c r="N1463" s="1413">
        <f t="shared" si="232"/>
        <v>-113</v>
      </c>
      <c r="O1463" s="1439">
        <v>45241</v>
      </c>
      <c r="P1463" s="1440">
        <v>45244</v>
      </c>
      <c r="Q1463" s="1414">
        <v>45269</v>
      </c>
      <c r="R1463" s="1413">
        <f t="shared" si="237"/>
        <v>117</v>
      </c>
      <c r="S1463" s="1469" t="s">
        <v>8074</v>
      </c>
      <c r="T1463" s="1470" t="s">
        <v>8032</v>
      </c>
      <c r="U1463" s="1566" t="str">
        <f t="shared" si="234"/>
        <v>en término</v>
      </c>
      <c r="V1463" s="1130" t="str">
        <f t="shared" si="235"/>
        <v>Octubre</v>
      </c>
      <c r="W1463" s="1128">
        <f t="shared" si="236"/>
        <v>1</v>
      </c>
    </row>
    <row r="1464" spans="1:23" ht="54.95" customHeight="1" thickBot="1" x14ac:dyDescent="0.25">
      <c r="A1464" s="1157">
        <v>2023</v>
      </c>
      <c r="B1464" s="1157">
        <v>2023</v>
      </c>
      <c r="C1464" s="1468" t="s">
        <v>36</v>
      </c>
      <c r="D1464" s="1408" t="s">
        <v>7534</v>
      </c>
      <c r="E1464" s="1409" t="s">
        <v>8067</v>
      </c>
      <c r="F1464" s="1469"/>
      <c r="G1464" s="1463" t="s">
        <v>8069</v>
      </c>
      <c r="H1464" s="1411">
        <v>118436</v>
      </c>
      <c r="I1464" s="1412">
        <v>45169</v>
      </c>
      <c r="J1464" s="1413">
        <f t="shared" si="231"/>
        <v>72</v>
      </c>
      <c r="K1464" s="1412">
        <v>45241</v>
      </c>
      <c r="L1464" s="1412" t="s">
        <v>41</v>
      </c>
      <c r="M1464" s="1412">
        <v>45226</v>
      </c>
      <c r="N1464" s="1413">
        <f t="shared" si="232"/>
        <v>0</v>
      </c>
      <c r="O1464" s="1439">
        <v>45241</v>
      </c>
      <c r="P1464" s="1440">
        <v>45244</v>
      </c>
      <c r="Q1464" s="1414">
        <v>45269</v>
      </c>
      <c r="R1464" s="1413">
        <f t="shared" si="237"/>
        <v>100</v>
      </c>
      <c r="S1464" s="1469" t="s">
        <v>8070</v>
      </c>
      <c r="T1464" s="1470" t="s">
        <v>8072</v>
      </c>
      <c r="U1464" s="1566" t="str">
        <f t="shared" si="234"/>
        <v>en término</v>
      </c>
      <c r="V1464" s="1130" t="str">
        <f t="shared" si="235"/>
        <v>Octubre</v>
      </c>
      <c r="W1464" s="1128">
        <f t="shared" si="236"/>
        <v>1</v>
      </c>
    </row>
    <row r="1465" spans="1:23" ht="54.95" customHeight="1" thickBot="1" x14ac:dyDescent="0.25">
      <c r="A1465" s="1157">
        <v>2023</v>
      </c>
      <c r="B1465" s="1157">
        <v>2023</v>
      </c>
      <c r="C1465" s="1468" t="s">
        <v>36</v>
      </c>
      <c r="D1465" s="1408" t="s">
        <v>7534</v>
      </c>
      <c r="E1465" s="1409" t="s">
        <v>8068</v>
      </c>
      <c r="F1465" s="1469"/>
      <c r="G1465" s="1463" t="s">
        <v>8071</v>
      </c>
      <c r="H1465" s="1411">
        <v>30440</v>
      </c>
      <c r="I1465" s="1412">
        <v>45169</v>
      </c>
      <c r="J1465" s="1413">
        <f t="shared" si="231"/>
        <v>72</v>
      </c>
      <c r="K1465" s="1412">
        <v>45241</v>
      </c>
      <c r="L1465" s="1412" t="s">
        <v>41</v>
      </c>
      <c r="M1465" s="1412">
        <v>45226</v>
      </c>
      <c r="N1465" s="1413">
        <f t="shared" si="232"/>
        <v>0</v>
      </c>
      <c r="O1465" s="1439">
        <v>45241</v>
      </c>
      <c r="P1465" s="1440">
        <v>45244</v>
      </c>
      <c r="Q1465" s="1414">
        <v>45269</v>
      </c>
      <c r="R1465" s="1413">
        <f t="shared" si="237"/>
        <v>100</v>
      </c>
      <c r="S1465" s="1469" t="s">
        <v>7889</v>
      </c>
      <c r="T1465" s="1470" t="s">
        <v>8073</v>
      </c>
      <c r="U1465" s="1566" t="str">
        <f t="shared" si="234"/>
        <v>en término</v>
      </c>
      <c r="V1465" s="1130" t="str">
        <f t="shared" si="235"/>
        <v>Octubre</v>
      </c>
      <c r="W1465" s="1128">
        <f t="shared" si="236"/>
        <v>1</v>
      </c>
    </row>
    <row r="1466" spans="1:23" ht="54.95" customHeight="1" thickBot="1" x14ac:dyDescent="0.25">
      <c r="A1466" s="1157">
        <v>2023</v>
      </c>
      <c r="B1466" s="1157">
        <v>2023</v>
      </c>
      <c r="C1466" s="1468" t="s">
        <v>36</v>
      </c>
      <c r="D1466" s="1408" t="s">
        <v>7534</v>
      </c>
      <c r="E1466" s="1409" t="s">
        <v>7769</v>
      </c>
      <c r="F1466" s="1469" t="s">
        <v>7770</v>
      </c>
      <c r="G1466" s="1463" t="s">
        <v>8029</v>
      </c>
      <c r="H1466" s="1411">
        <v>158750</v>
      </c>
      <c r="I1466" s="1412">
        <v>45152</v>
      </c>
      <c r="J1466" s="1413">
        <f t="shared" si="231"/>
        <v>202</v>
      </c>
      <c r="K1466" s="1412">
        <v>45354</v>
      </c>
      <c r="L1466" s="1412" t="s">
        <v>41</v>
      </c>
      <c r="M1466" s="1412">
        <v>45247</v>
      </c>
      <c r="N1466" s="1413">
        <f t="shared" si="232"/>
        <v>-99</v>
      </c>
      <c r="O1466" s="1439">
        <v>45255</v>
      </c>
      <c r="P1466" s="1440">
        <v>45261</v>
      </c>
      <c r="Q1466" s="1414">
        <v>45275</v>
      </c>
      <c r="R1466" s="1413">
        <f t="shared" si="237"/>
        <v>123</v>
      </c>
      <c r="S1466" s="1469" t="s">
        <v>8030</v>
      </c>
      <c r="T1466" s="1470" t="s">
        <v>8033</v>
      </c>
      <c r="U1466" s="1566" t="str">
        <f t="shared" si="234"/>
        <v>en término</v>
      </c>
      <c r="V1466" s="1130" t="str">
        <f t="shared" si="235"/>
        <v>Noviembre</v>
      </c>
      <c r="W1466" s="1128">
        <f t="shared" si="236"/>
        <v>1</v>
      </c>
    </row>
    <row r="1467" spans="1:23" ht="54.95" customHeight="1" thickBot="1" x14ac:dyDescent="0.25">
      <c r="A1467" s="1157">
        <v>2023</v>
      </c>
      <c r="B1467" s="1157">
        <v>2023</v>
      </c>
      <c r="C1467" s="1468" t="s">
        <v>36</v>
      </c>
      <c r="D1467" s="1408" t="s">
        <v>7534</v>
      </c>
      <c r="E1467" s="1409" t="s">
        <v>8060</v>
      </c>
      <c r="F1467" s="1469"/>
      <c r="G1467" s="1463" t="s">
        <v>8061</v>
      </c>
      <c r="H1467" s="1411">
        <v>9800</v>
      </c>
      <c r="I1467" s="1412">
        <v>45197</v>
      </c>
      <c r="J1467" s="1413">
        <f t="shared" si="231"/>
        <v>74</v>
      </c>
      <c r="K1467" s="1412">
        <v>45271</v>
      </c>
      <c r="L1467" s="1412" t="s">
        <v>41</v>
      </c>
      <c r="M1467" s="1412">
        <v>45247</v>
      </c>
      <c r="N1467" s="1413">
        <f t="shared" si="232"/>
        <v>-16</v>
      </c>
      <c r="O1467" s="1439">
        <v>45255</v>
      </c>
      <c r="P1467" s="1440">
        <v>45261</v>
      </c>
      <c r="Q1467" s="1414">
        <v>45275</v>
      </c>
      <c r="R1467" s="1413">
        <f t="shared" si="237"/>
        <v>78</v>
      </c>
      <c r="S1467" s="1469" t="s">
        <v>8111</v>
      </c>
      <c r="T1467" s="1470" t="s">
        <v>8062</v>
      </c>
      <c r="U1467" s="1566" t="str">
        <f t="shared" si="234"/>
        <v>en término</v>
      </c>
      <c r="V1467" s="1130" t="str">
        <f t="shared" si="235"/>
        <v>Noviembre</v>
      </c>
      <c r="W1467" s="1128">
        <f t="shared" si="236"/>
        <v>1</v>
      </c>
    </row>
    <row r="1468" spans="1:23" ht="54.95" customHeight="1" thickBot="1" x14ac:dyDescent="0.25">
      <c r="A1468" s="1157">
        <v>2023</v>
      </c>
      <c r="B1468" s="1157">
        <v>2023</v>
      </c>
      <c r="C1468" s="1468" t="s">
        <v>36</v>
      </c>
      <c r="D1468" s="1408" t="s">
        <v>7534</v>
      </c>
      <c r="E1468" s="1409" t="s">
        <v>8093</v>
      </c>
      <c r="F1468" s="1469"/>
      <c r="G1468" s="1463" t="s">
        <v>8092</v>
      </c>
      <c r="H1468" s="1411">
        <v>2190</v>
      </c>
      <c r="I1468" s="1412">
        <v>45247</v>
      </c>
      <c r="J1468" s="1413">
        <f t="shared" si="231"/>
        <v>54</v>
      </c>
      <c r="K1468" s="1412">
        <v>45301</v>
      </c>
      <c r="L1468" s="1412" t="s">
        <v>41</v>
      </c>
      <c r="M1468" s="1412">
        <v>45275</v>
      </c>
      <c r="N1468" s="1413">
        <f t="shared" si="232"/>
        <v>-18</v>
      </c>
      <c r="O1468" s="1439">
        <v>45283</v>
      </c>
      <c r="P1468" s="1440">
        <v>45286</v>
      </c>
      <c r="Q1468" s="1414">
        <v>45304</v>
      </c>
      <c r="R1468" s="1413">
        <f t="shared" si="237"/>
        <v>57</v>
      </c>
      <c r="S1468" s="1469" t="s">
        <v>8091</v>
      </c>
      <c r="T1468" s="1470" t="s">
        <v>8094</v>
      </c>
      <c r="U1468" s="1566" t="str">
        <f t="shared" si="234"/>
        <v>en término</v>
      </c>
      <c r="V1468" s="1130" t="str">
        <f t="shared" si="235"/>
        <v>Diciembre</v>
      </c>
      <c r="W1468" s="1128">
        <f t="shared" si="236"/>
        <v>1</v>
      </c>
    </row>
    <row r="1469" spans="1:23" ht="54.95" customHeight="1" thickBot="1" x14ac:dyDescent="0.25">
      <c r="A1469" s="1157">
        <v>2023</v>
      </c>
      <c r="B1469" s="1157">
        <v>2023</v>
      </c>
      <c r="C1469" s="1468" t="s">
        <v>36</v>
      </c>
      <c r="D1469" s="1408" t="s">
        <v>7534</v>
      </c>
      <c r="E1469" s="1409" t="s">
        <v>8103</v>
      </c>
      <c r="F1469" s="1469">
        <v>4500001144</v>
      </c>
      <c r="G1469" s="1463" t="s">
        <v>8096</v>
      </c>
      <c r="H1469" s="1411">
        <v>99290</v>
      </c>
      <c r="I1469" s="1412">
        <v>45246</v>
      </c>
      <c r="J1469" s="1413">
        <f t="shared" si="231"/>
        <v>176</v>
      </c>
      <c r="K1469" s="1412">
        <v>45422</v>
      </c>
      <c r="L1469" s="1412" t="s">
        <v>41</v>
      </c>
      <c r="M1469" s="1412">
        <v>45275</v>
      </c>
      <c r="N1469" s="1413">
        <f t="shared" si="232"/>
        <v>-139</v>
      </c>
      <c r="O1469" s="1439">
        <v>45283</v>
      </c>
      <c r="P1469" s="1440">
        <v>45286</v>
      </c>
      <c r="Q1469" s="1414">
        <v>45304</v>
      </c>
      <c r="R1469" s="1413">
        <f t="shared" si="237"/>
        <v>58</v>
      </c>
      <c r="S1469" s="1469" t="s">
        <v>8108</v>
      </c>
      <c r="T1469" s="1470" t="s">
        <v>8097</v>
      </c>
      <c r="U1469" s="1566" t="str">
        <f t="shared" si="234"/>
        <v>en término</v>
      </c>
      <c r="V1469" s="1130" t="str">
        <f t="shared" si="235"/>
        <v>Diciembre</v>
      </c>
      <c r="W1469" s="1128">
        <f t="shared" si="236"/>
        <v>1</v>
      </c>
    </row>
    <row r="1470" spans="1:23" ht="54.95" customHeight="1" thickBot="1" x14ac:dyDescent="0.25">
      <c r="A1470" s="1157">
        <v>2023</v>
      </c>
      <c r="B1470" s="1157">
        <v>2023</v>
      </c>
      <c r="C1470" s="1468" t="s">
        <v>78</v>
      </c>
      <c r="D1470" s="1408" t="s">
        <v>6929</v>
      </c>
      <c r="E1470" s="1409" t="s">
        <v>7834</v>
      </c>
      <c r="F1470" s="1469" t="s">
        <v>81</v>
      </c>
      <c r="G1470" s="1463" t="s">
        <v>7835</v>
      </c>
      <c r="H1470" s="1411">
        <v>85582.73</v>
      </c>
      <c r="I1470" s="1412">
        <v>44918</v>
      </c>
      <c r="J1470" s="1413">
        <f t="shared" ref="J1470:J1478" si="238">+K1470-I1470</f>
        <v>18</v>
      </c>
      <c r="K1470" s="1412">
        <v>44936</v>
      </c>
      <c r="L1470" s="1412" t="s">
        <v>83</v>
      </c>
      <c r="M1470" s="1412">
        <v>44938</v>
      </c>
      <c r="N1470" s="1413">
        <f t="shared" ref="N1470:N1478" si="239">IF(M1470="","",+M1470-K1470)</f>
        <v>2</v>
      </c>
      <c r="O1470" s="1439">
        <v>44953</v>
      </c>
      <c r="P1470" s="1440">
        <v>44968</v>
      </c>
      <c r="Q1470" s="1414">
        <v>44987</v>
      </c>
      <c r="R1470" s="1413">
        <f t="shared" si="237"/>
        <v>69</v>
      </c>
      <c r="S1470" s="1469" t="s">
        <v>7838</v>
      </c>
      <c r="T1470" s="1470" t="s">
        <v>7836</v>
      </c>
      <c r="U1470" s="1566" t="str">
        <f t="shared" si="234"/>
        <v>atrasado</v>
      </c>
      <c r="V1470" s="1130" t="str">
        <f t="shared" si="235"/>
        <v>Enero</v>
      </c>
      <c r="W1470" s="1128">
        <f t="shared" si="236"/>
        <v>0</v>
      </c>
    </row>
    <row r="1471" spans="1:23" ht="54.95" customHeight="1" thickBot="1" x14ac:dyDescent="0.25">
      <c r="A1471" s="1157">
        <v>2023</v>
      </c>
      <c r="B1471" s="1157">
        <v>2023</v>
      </c>
      <c r="C1471" s="1468" t="s">
        <v>78</v>
      </c>
      <c r="D1471" s="1408" t="s">
        <v>6929</v>
      </c>
      <c r="E1471" s="1409" t="s">
        <v>7846</v>
      </c>
      <c r="F1471" s="1469" t="s">
        <v>81</v>
      </c>
      <c r="G1471" s="1463" t="s">
        <v>7847</v>
      </c>
      <c r="H1471" s="1411">
        <v>46488.53</v>
      </c>
      <c r="I1471" s="1412">
        <v>44956</v>
      </c>
      <c r="J1471" s="1413">
        <f t="shared" si="238"/>
        <v>29</v>
      </c>
      <c r="K1471" s="1412">
        <v>44985</v>
      </c>
      <c r="L1471" s="1412" t="s">
        <v>83</v>
      </c>
      <c r="M1471" s="1412">
        <v>44974</v>
      </c>
      <c r="N1471" s="1413">
        <f t="shared" si="239"/>
        <v>-11</v>
      </c>
      <c r="O1471" s="1439">
        <v>44987</v>
      </c>
      <c r="P1471" s="1440">
        <v>44994</v>
      </c>
      <c r="Q1471" s="1414">
        <v>45022</v>
      </c>
      <c r="R1471" s="1413">
        <f t="shared" si="237"/>
        <v>66</v>
      </c>
      <c r="S1471" s="1469" t="s">
        <v>7848</v>
      </c>
      <c r="T1471" s="1470" t="s">
        <v>7849</v>
      </c>
      <c r="U1471" s="1566" t="str">
        <f t="shared" si="234"/>
        <v>en término</v>
      </c>
      <c r="V1471" s="1130" t="str">
        <f t="shared" si="235"/>
        <v>Febrero</v>
      </c>
      <c r="W1471" s="1128">
        <f t="shared" si="236"/>
        <v>1</v>
      </c>
    </row>
    <row r="1472" spans="1:23" ht="54.95" customHeight="1" thickBot="1" x14ac:dyDescent="0.25">
      <c r="A1472" s="1157">
        <v>2023</v>
      </c>
      <c r="B1472" s="1157">
        <v>2023</v>
      </c>
      <c r="C1472" s="1468" t="s">
        <v>78</v>
      </c>
      <c r="D1472" s="1408" t="s">
        <v>6929</v>
      </c>
      <c r="E1472" s="1409" t="s">
        <v>7896</v>
      </c>
      <c r="F1472" s="1469" t="s">
        <v>81</v>
      </c>
      <c r="G1472" s="1463" t="s">
        <v>7897</v>
      </c>
      <c r="H1472" s="1411">
        <v>57902.98</v>
      </c>
      <c r="I1472" s="1412">
        <v>45006</v>
      </c>
      <c r="J1472" s="1413">
        <f t="shared" si="238"/>
        <v>34</v>
      </c>
      <c r="K1472" s="1412">
        <v>45040</v>
      </c>
      <c r="L1472" s="1412" t="s">
        <v>83</v>
      </c>
      <c r="M1472" s="1412">
        <v>45041</v>
      </c>
      <c r="N1472" s="1413">
        <f t="shared" si="239"/>
        <v>1</v>
      </c>
      <c r="O1472" s="1439">
        <v>45049</v>
      </c>
      <c r="P1472" s="1440">
        <v>45059</v>
      </c>
      <c r="Q1472" s="1414">
        <f>+P1472+30</f>
        <v>45089</v>
      </c>
      <c r="R1472" s="1413">
        <f t="shared" si="237"/>
        <v>83</v>
      </c>
      <c r="S1472" s="1469" t="s">
        <v>7848</v>
      </c>
      <c r="T1472" s="1470" t="s">
        <v>7898</v>
      </c>
      <c r="U1472" s="1566" t="str">
        <f t="shared" si="234"/>
        <v>atrasado</v>
      </c>
      <c r="V1472" s="1130" t="str">
        <f t="shared" si="235"/>
        <v>Abril</v>
      </c>
      <c r="W1472" s="1128">
        <f t="shared" si="236"/>
        <v>0</v>
      </c>
    </row>
    <row r="1473" spans="1:27" ht="54.95" customHeight="1" thickBot="1" x14ac:dyDescent="0.25">
      <c r="A1473" s="1157">
        <v>2023</v>
      </c>
      <c r="B1473" s="1157">
        <v>2023</v>
      </c>
      <c r="C1473" s="1468" t="s">
        <v>78</v>
      </c>
      <c r="D1473" s="1408" t="s">
        <v>6929</v>
      </c>
      <c r="E1473" s="1409" t="s">
        <v>7951</v>
      </c>
      <c r="F1473" s="1469" t="s">
        <v>81</v>
      </c>
      <c r="G1473" s="1463" t="s">
        <v>7952</v>
      </c>
      <c r="H1473" s="1411">
        <v>11872</v>
      </c>
      <c r="I1473" s="1412">
        <v>45071</v>
      </c>
      <c r="J1473" s="1413">
        <f t="shared" si="238"/>
        <v>51</v>
      </c>
      <c r="K1473" s="1412">
        <v>45122</v>
      </c>
      <c r="L1473" s="1412" t="s">
        <v>83</v>
      </c>
      <c r="M1473" s="1412">
        <v>45078</v>
      </c>
      <c r="N1473" s="1413">
        <f t="shared" si="239"/>
        <v>-44</v>
      </c>
      <c r="O1473" s="1439">
        <v>45092</v>
      </c>
      <c r="P1473" s="1440">
        <v>45099</v>
      </c>
      <c r="Q1473" s="1414">
        <f>+P1473+30</f>
        <v>45129</v>
      </c>
      <c r="R1473" s="1413">
        <f t="shared" si="237"/>
        <v>58</v>
      </c>
      <c r="S1473" s="1469" t="s">
        <v>7953</v>
      </c>
      <c r="T1473" s="1470" t="s">
        <v>7950</v>
      </c>
      <c r="U1473" s="1566" t="str">
        <f t="shared" si="234"/>
        <v>en término</v>
      </c>
      <c r="V1473" s="1130" t="str">
        <f t="shared" si="235"/>
        <v>Junio</v>
      </c>
      <c r="W1473" s="1128">
        <f t="shared" si="236"/>
        <v>1</v>
      </c>
    </row>
    <row r="1474" spans="1:27" ht="54.95" customHeight="1" thickBot="1" x14ac:dyDescent="0.25">
      <c r="A1474" s="1157">
        <v>2023</v>
      </c>
      <c r="B1474" s="1157">
        <v>2023</v>
      </c>
      <c r="C1474" s="1468" t="s">
        <v>78</v>
      </c>
      <c r="D1474" s="1408" t="s">
        <v>6929</v>
      </c>
      <c r="E1474" s="1409" t="s">
        <v>7960</v>
      </c>
      <c r="F1474" s="1469" t="s">
        <v>81</v>
      </c>
      <c r="G1474" s="1463" t="s">
        <v>7959</v>
      </c>
      <c r="H1474" s="1411">
        <v>7223.3</v>
      </c>
      <c r="I1474" s="1412">
        <v>45072</v>
      </c>
      <c r="J1474" s="1413">
        <f t="shared" si="238"/>
        <v>70</v>
      </c>
      <c r="K1474" s="1412">
        <v>45142</v>
      </c>
      <c r="L1474" s="1412" t="s">
        <v>83</v>
      </c>
      <c r="M1474" s="1412">
        <v>45149</v>
      </c>
      <c r="N1474" s="1413">
        <f t="shared" si="239"/>
        <v>7</v>
      </c>
      <c r="O1474" s="1439">
        <v>45163</v>
      </c>
      <c r="P1474" s="1440">
        <v>45171</v>
      </c>
      <c r="Q1474" s="1414">
        <v>45191</v>
      </c>
      <c r="R1474" s="1413">
        <f t="shared" si="237"/>
        <v>119</v>
      </c>
      <c r="S1474" s="1469" t="s">
        <v>7848</v>
      </c>
      <c r="T1474" s="1470" t="s">
        <v>8020</v>
      </c>
      <c r="U1474" s="1566" t="str">
        <f t="shared" si="234"/>
        <v>atrasado</v>
      </c>
      <c r="V1474" s="1130" t="str">
        <f t="shared" si="235"/>
        <v>Agosto</v>
      </c>
      <c r="W1474" s="1128">
        <f t="shared" si="236"/>
        <v>0</v>
      </c>
    </row>
    <row r="1475" spans="1:27" ht="54.95" customHeight="1" thickBot="1" x14ac:dyDescent="0.25">
      <c r="A1475" s="1157">
        <v>2023</v>
      </c>
      <c r="B1475" s="1157">
        <v>2023</v>
      </c>
      <c r="C1475" s="1468" t="s">
        <v>78</v>
      </c>
      <c r="D1475" s="1408" t="s">
        <v>6929</v>
      </c>
      <c r="E1475" s="1409" t="s">
        <v>7978</v>
      </c>
      <c r="F1475" s="1469" t="s">
        <v>81</v>
      </c>
      <c r="G1475" s="1463" t="s">
        <v>7979</v>
      </c>
      <c r="H1475" s="1411">
        <v>132548.16</v>
      </c>
      <c r="I1475" s="1412">
        <v>45099</v>
      </c>
      <c r="J1475" s="1413">
        <f t="shared" si="238"/>
        <v>59</v>
      </c>
      <c r="K1475" s="1412">
        <v>45158</v>
      </c>
      <c r="L1475" s="1412" t="s">
        <v>83</v>
      </c>
      <c r="M1475" s="1412">
        <v>45149</v>
      </c>
      <c r="N1475" s="1413">
        <f t="shared" si="239"/>
        <v>-9</v>
      </c>
      <c r="O1475" s="1439">
        <v>45163</v>
      </c>
      <c r="P1475" s="1440">
        <v>45171</v>
      </c>
      <c r="Q1475" s="1414">
        <v>45191</v>
      </c>
      <c r="R1475" s="1413">
        <f t="shared" si="237"/>
        <v>92</v>
      </c>
      <c r="S1475" s="1469" t="s">
        <v>7848</v>
      </c>
      <c r="T1475" s="1470" t="s">
        <v>8021</v>
      </c>
      <c r="U1475" s="1566" t="str">
        <f t="shared" si="234"/>
        <v>en término</v>
      </c>
      <c r="V1475" s="1130" t="str">
        <f t="shared" si="235"/>
        <v>Agosto</v>
      </c>
      <c r="W1475" s="1128">
        <f t="shared" si="236"/>
        <v>1</v>
      </c>
    </row>
    <row r="1476" spans="1:27" ht="54.95" customHeight="1" thickBot="1" x14ac:dyDescent="0.25">
      <c r="A1476" s="1157">
        <v>2023</v>
      </c>
      <c r="B1476" s="1157">
        <v>2023</v>
      </c>
      <c r="C1476" s="1468" t="s">
        <v>78</v>
      </c>
      <c r="D1476" s="1408" t="s">
        <v>6929</v>
      </c>
      <c r="E1476" s="1409" t="s">
        <v>8016</v>
      </c>
      <c r="F1476" s="1469" t="s">
        <v>81</v>
      </c>
      <c r="G1476" s="1463" t="s">
        <v>8017</v>
      </c>
      <c r="H1476" s="1411">
        <v>164675.82999999999</v>
      </c>
      <c r="I1476" s="1412">
        <v>45125</v>
      </c>
      <c r="J1476" s="1413">
        <f t="shared" si="238"/>
        <v>41</v>
      </c>
      <c r="K1476" s="1412">
        <v>45166</v>
      </c>
      <c r="L1476" s="1412" t="s">
        <v>83</v>
      </c>
      <c r="M1476" s="1412">
        <v>45175</v>
      </c>
      <c r="N1476" s="1413">
        <f t="shared" si="239"/>
        <v>9</v>
      </c>
      <c r="O1476" s="1439">
        <v>45182</v>
      </c>
      <c r="P1476" s="1440">
        <v>45192</v>
      </c>
      <c r="Q1476" s="1414">
        <v>45218</v>
      </c>
      <c r="R1476" s="1413">
        <f t="shared" si="237"/>
        <v>93</v>
      </c>
      <c r="S1476" s="1469" t="s">
        <v>7848</v>
      </c>
      <c r="T1476" s="1470" t="s">
        <v>8024</v>
      </c>
      <c r="U1476" s="1566" t="str">
        <f t="shared" si="234"/>
        <v>atrasado</v>
      </c>
      <c r="V1476" s="1130" t="str">
        <f t="shared" si="235"/>
        <v>Septiembre</v>
      </c>
      <c r="W1476" s="1128">
        <f t="shared" si="236"/>
        <v>0</v>
      </c>
    </row>
    <row r="1477" spans="1:27" ht="54.95" customHeight="1" thickBot="1" x14ac:dyDescent="0.25">
      <c r="A1477" s="1157">
        <v>2023</v>
      </c>
      <c r="B1477" s="1157">
        <v>2023</v>
      </c>
      <c r="C1477" s="1468" t="s">
        <v>78</v>
      </c>
      <c r="D1477" s="1408" t="s">
        <v>6929</v>
      </c>
      <c r="E1477" s="1409" t="s">
        <v>8037</v>
      </c>
      <c r="F1477" s="1469" t="s">
        <v>81</v>
      </c>
      <c r="G1477" s="1463" t="s">
        <v>8035</v>
      </c>
      <c r="H1477" s="1411">
        <v>51802.81</v>
      </c>
      <c r="I1477" s="1412">
        <v>45174</v>
      </c>
      <c r="J1477" s="1413">
        <f t="shared" si="238"/>
        <v>15</v>
      </c>
      <c r="K1477" s="1412">
        <v>45189</v>
      </c>
      <c r="L1477" s="1412" t="s">
        <v>83</v>
      </c>
      <c r="M1477" s="1412">
        <v>45191</v>
      </c>
      <c r="N1477" s="1413">
        <f t="shared" si="239"/>
        <v>2</v>
      </c>
      <c r="O1477" s="1439">
        <v>45205</v>
      </c>
      <c r="P1477" s="1440">
        <v>45215</v>
      </c>
      <c r="Q1477" s="1414">
        <v>45239</v>
      </c>
      <c r="R1477" s="1413">
        <f t="shared" si="237"/>
        <v>65</v>
      </c>
      <c r="S1477" s="1469" t="s">
        <v>7848</v>
      </c>
      <c r="T1477" s="1470" t="s">
        <v>8036</v>
      </c>
      <c r="U1477" s="1566" t="str">
        <f t="shared" si="234"/>
        <v>atrasado</v>
      </c>
      <c r="V1477" s="1130" t="str">
        <f t="shared" si="235"/>
        <v>Septiembre</v>
      </c>
      <c r="W1477" s="1128">
        <f t="shared" si="236"/>
        <v>0</v>
      </c>
    </row>
    <row r="1478" spans="1:27" ht="54.95" customHeight="1" thickBot="1" x14ac:dyDescent="0.25">
      <c r="A1478" s="1157">
        <v>2023</v>
      </c>
      <c r="B1478" s="1157">
        <v>2023</v>
      </c>
      <c r="C1478" s="1468" t="s">
        <v>78</v>
      </c>
      <c r="D1478" s="1408" t="s">
        <v>6929</v>
      </c>
      <c r="E1478" s="1409" t="s">
        <v>8081</v>
      </c>
      <c r="F1478" s="1469" t="s">
        <v>81</v>
      </c>
      <c r="G1478" s="1463" t="s">
        <v>8080</v>
      </c>
      <c r="H1478" s="1411">
        <v>104983.21</v>
      </c>
      <c r="I1478" s="1412">
        <v>45232</v>
      </c>
      <c r="J1478" s="1413">
        <f t="shared" si="238"/>
        <v>29</v>
      </c>
      <c r="K1478" s="1412">
        <v>45261</v>
      </c>
      <c r="L1478" s="1412" t="s">
        <v>83</v>
      </c>
      <c r="M1478" s="1412">
        <v>45254</v>
      </c>
      <c r="N1478" s="1413">
        <f t="shared" si="239"/>
        <v>-7</v>
      </c>
      <c r="O1478" s="1439">
        <v>45261</v>
      </c>
      <c r="P1478" s="1440">
        <v>45276</v>
      </c>
      <c r="Q1478" s="1414">
        <v>45308</v>
      </c>
      <c r="R1478" s="1413">
        <f t="shared" si="237"/>
        <v>76</v>
      </c>
      <c r="S1478" s="1469" t="s">
        <v>7848</v>
      </c>
      <c r="T1478" s="1470" t="s">
        <v>8100</v>
      </c>
      <c r="U1478" s="1566" t="str">
        <f t="shared" si="234"/>
        <v>en término</v>
      </c>
      <c r="V1478" s="1130" t="str">
        <f t="shared" si="235"/>
        <v>Noviembre</v>
      </c>
      <c r="W1478" s="1128">
        <f t="shared" si="236"/>
        <v>1</v>
      </c>
    </row>
    <row r="1479" spans="1:27" ht="54.95" customHeight="1" thickBot="1" x14ac:dyDescent="0.25">
      <c r="A1479" s="1157">
        <v>2023</v>
      </c>
      <c r="B1479" s="1157">
        <v>2023</v>
      </c>
      <c r="C1479" s="1468" t="s">
        <v>5265</v>
      </c>
      <c r="D1479" s="1408" t="s">
        <v>7870</v>
      </c>
      <c r="E1479" s="1409" t="s">
        <v>7871</v>
      </c>
      <c r="F1479" s="1469"/>
      <c r="G1479" s="1463" t="s">
        <v>7872</v>
      </c>
      <c r="H1479" s="1411">
        <v>42945</v>
      </c>
      <c r="I1479" s="1412">
        <v>44988</v>
      </c>
      <c r="J1479" s="1413">
        <v>130</v>
      </c>
      <c r="K1479" s="1412">
        <v>45098</v>
      </c>
      <c r="L1479" s="1412" t="s">
        <v>124</v>
      </c>
      <c r="M1479" s="1412">
        <v>45086</v>
      </c>
      <c r="N1479" s="1413">
        <f>IF(P1479="","",+P1479-K1479)</f>
        <v>18</v>
      </c>
      <c r="O1479" s="1439">
        <v>45098</v>
      </c>
      <c r="P1479" s="1440">
        <v>45116</v>
      </c>
      <c r="Q1479" s="1414">
        <v>45161</v>
      </c>
      <c r="R1479" s="1413">
        <f t="shared" si="237"/>
        <v>173</v>
      </c>
      <c r="S1479" s="1469" t="s">
        <v>758</v>
      </c>
      <c r="T1479" s="1470" t="s">
        <v>7984</v>
      </c>
      <c r="U1479" s="1566" t="str">
        <f t="shared" si="234"/>
        <v>atrasado</v>
      </c>
      <c r="V1479" s="1130" t="str">
        <f t="shared" si="235"/>
        <v>Junio</v>
      </c>
      <c r="W1479" s="1128">
        <f t="shared" si="236"/>
        <v>0</v>
      </c>
    </row>
    <row r="1480" spans="1:27" ht="54.95" customHeight="1" thickBot="1" x14ac:dyDescent="0.25">
      <c r="A1480" s="1157">
        <v>2023</v>
      </c>
      <c r="B1480" s="1157">
        <v>2023</v>
      </c>
      <c r="C1480" s="1468" t="s">
        <v>5697</v>
      </c>
      <c r="D1480" s="1408" t="s">
        <v>5698</v>
      </c>
      <c r="E1480" s="1409" t="s">
        <v>7830</v>
      </c>
      <c r="F1480" s="1469"/>
      <c r="G1480" s="1463" t="s">
        <v>7831</v>
      </c>
      <c r="H1480" s="1411">
        <v>8481.6</v>
      </c>
      <c r="I1480" s="1412">
        <v>44931</v>
      </c>
      <c r="J1480" s="1413">
        <v>100</v>
      </c>
      <c r="K1480" s="1412">
        <f>+I1480+J1480</f>
        <v>45031</v>
      </c>
      <c r="L1480" s="1412" t="s">
        <v>124</v>
      </c>
      <c r="M1480" s="1412">
        <v>45089</v>
      </c>
      <c r="N1480" s="1413">
        <f>IF(P1480="","",+P1480-K1480)</f>
        <v>77</v>
      </c>
      <c r="O1480" s="1439">
        <v>45106</v>
      </c>
      <c r="P1480" s="1440">
        <v>45108</v>
      </c>
      <c r="Q1480" s="1414">
        <v>45110</v>
      </c>
      <c r="R1480" s="1413">
        <f t="shared" si="237"/>
        <v>179</v>
      </c>
      <c r="S1480" s="1469" t="s">
        <v>53</v>
      </c>
      <c r="T1480" s="1470" t="s">
        <v>7977</v>
      </c>
      <c r="U1480" s="1566" t="str">
        <f t="shared" si="234"/>
        <v>atrasado</v>
      </c>
      <c r="V1480" s="1130" t="str">
        <f t="shared" si="235"/>
        <v>Junio</v>
      </c>
      <c r="W1480" s="1128">
        <f t="shared" si="236"/>
        <v>0</v>
      </c>
    </row>
    <row r="1481" spans="1:27" ht="54.95" customHeight="1" thickBot="1" x14ac:dyDescent="0.25">
      <c r="A1481" s="1197">
        <v>2023</v>
      </c>
      <c r="B1481" s="1197">
        <v>2023</v>
      </c>
      <c r="C1481" s="1580" t="s">
        <v>5697</v>
      </c>
      <c r="D1481" s="1581" t="s">
        <v>5698</v>
      </c>
      <c r="E1481" s="1582" t="s">
        <v>7749</v>
      </c>
      <c r="F1481" s="1583"/>
      <c r="G1481" s="1584" t="s">
        <v>7750</v>
      </c>
      <c r="H1481" s="1585">
        <v>57773</v>
      </c>
      <c r="I1481" s="1586">
        <v>44872</v>
      </c>
      <c r="J1481" s="1587">
        <v>130</v>
      </c>
      <c r="K1481" s="1586">
        <f>+I1481+J1481</f>
        <v>45002</v>
      </c>
      <c r="L1481" s="1586" t="s">
        <v>124</v>
      </c>
      <c r="M1481" s="1586">
        <v>44938</v>
      </c>
      <c r="N1481" s="1587">
        <f>IF(P1481="","",+P1481-K1481)</f>
        <v>32</v>
      </c>
      <c r="O1481" s="1588">
        <v>45027</v>
      </c>
      <c r="P1481" s="1589">
        <v>45034</v>
      </c>
      <c r="Q1481" s="1590">
        <f>+P1481+45</f>
        <v>45079</v>
      </c>
      <c r="R1481" s="1587">
        <f t="shared" si="237"/>
        <v>207</v>
      </c>
      <c r="S1481" s="1583" t="s">
        <v>1269</v>
      </c>
      <c r="T1481" s="1591" t="s">
        <v>8066</v>
      </c>
      <c r="U1481" s="1592" t="str">
        <f t="shared" si="234"/>
        <v>atrasado</v>
      </c>
      <c r="V1481" s="1290" t="str">
        <f t="shared" si="235"/>
        <v>Enero</v>
      </c>
      <c r="W1481" s="1323">
        <f t="shared" si="236"/>
        <v>0</v>
      </c>
      <c r="X1481" s="1593"/>
      <c r="Y1481" s="1594"/>
      <c r="Z1481" s="1594"/>
      <c r="AA1481" s="1594"/>
    </row>
    <row r="1482" spans="1:27" ht="13.5" thickTop="1" x14ac:dyDescent="0.2"/>
  </sheetData>
  <autoFilter ref="A65:V1481" xr:uid="{00000000-0009-0000-0000-000016000000}"/>
  <mergeCells count="2">
    <mergeCell ref="F634:F635"/>
    <mergeCell ref="G634:G635"/>
  </mergeCells>
  <printOptions verticalCentered="1"/>
  <pageMargins left="0.15748031496062992" right="0.19685039370078741" top="0.43307086614173229" bottom="0.39370078740157483" header="0" footer="0"/>
  <pageSetup paperSize="5" scale="54" fitToHeight="0" orientation="landscape"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5"/>
  <dimension ref="A1:F3286"/>
  <sheetViews>
    <sheetView workbookViewId="0">
      <pane ySplit="5" topLeftCell="A207" activePane="bottomLeft" state="frozen"/>
      <selection pane="bottomLeft" activeCell="H222" sqref="H222"/>
    </sheetView>
  </sheetViews>
  <sheetFormatPr baseColWidth="10" defaultColWidth="11.42578125" defaultRowHeight="12.75" x14ac:dyDescent="0.2"/>
  <cols>
    <col min="2" max="2" width="20.85546875" bestFit="1" customWidth="1"/>
    <col min="3" max="3" width="16.85546875" bestFit="1" customWidth="1"/>
    <col min="4" max="4" width="40.28515625" style="927" customWidth="1"/>
    <col min="5" max="5" width="13.85546875" bestFit="1" customWidth="1"/>
    <col min="6" max="6" width="12.7109375" style="924" bestFit="1" customWidth="1"/>
  </cols>
  <sheetData>
    <row r="1" spans="1:6" x14ac:dyDescent="0.2">
      <c r="B1" s="921" t="s">
        <v>130</v>
      </c>
      <c r="C1" t="s">
        <v>6406</v>
      </c>
    </row>
    <row r="2" spans="1:6" x14ac:dyDescent="0.2">
      <c r="B2" s="921" t="s">
        <v>4</v>
      </c>
      <c r="C2" t="s">
        <v>6406</v>
      </c>
    </row>
    <row r="4" spans="1:6" x14ac:dyDescent="0.2">
      <c r="A4" s="323"/>
      <c r="B4" s="928" t="s">
        <v>6407</v>
      </c>
      <c r="C4" s="323"/>
      <c r="D4" s="323"/>
      <c r="E4" s="323"/>
      <c r="F4" s="929"/>
    </row>
    <row r="5" spans="1:6" x14ac:dyDescent="0.2">
      <c r="A5" s="323"/>
      <c r="B5" s="1541" t="s">
        <v>6164</v>
      </c>
      <c r="C5" s="1541" t="s">
        <v>6166</v>
      </c>
      <c r="D5" s="1542" t="s">
        <v>7</v>
      </c>
      <c r="E5" s="1541" t="s">
        <v>11</v>
      </c>
      <c r="F5" t="s">
        <v>6408</v>
      </c>
    </row>
    <row r="6" spans="1:6" x14ac:dyDescent="0.2">
      <c r="B6">
        <v>2007</v>
      </c>
      <c r="C6" t="s">
        <v>2968</v>
      </c>
      <c r="D6"/>
      <c r="F6" s="924">
        <v>655575.64999999991</v>
      </c>
    </row>
    <row r="7" spans="1:6" x14ac:dyDescent="0.2">
      <c r="C7" t="s">
        <v>2981</v>
      </c>
      <c r="D7"/>
      <c r="F7" s="924">
        <v>50691.11</v>
      </c>
    </row>
    <row r="8" spans="1:6" x14ac:dyDescent="0.2">
      <c r="C8" t="s">
        <v>3846</v>
      </c>
      <c r="D8"/>
      <c r="F8" s="924">
        <v>86958.7</v>
      </c>
    </row>
    <row r="9" spans="1:6" x14ac:dyDescent="0.2">
      <c r="C9" t="s">
        <v>2929</v>
      </c>
      <c r="D9"/>
      <c r="F9" s="924">
        <v>265207.3</v>
      </c>
    </row>
    <row r="10" spans="1:6" x14ac:dyDescent="0.2">
      <c r="C10" t="s">
        <v>2937</v>
      </c>
      <c r="D10"/>
      <c r="F10" s="924">
        <v>441843.75</v>
      </c>
    </row>
    <row r="11" spans="1:6" x14ac:dyDescent="0.2">
      <c r="C11" t="s">
        <v>2943</v>
      </c>
      <c r="D11"/>
      <c r="F11" s="924">
        <v>609961.35</v>
      </c>
    </row>
    <row r="12" spans="1:6" x14ac:dyDescent="0.2">
      <c r="C12" t="s">
        <v>2949</v>
      </c>
      <c r="D12"/>
      <c r="F12" s="924">
        <v>374050.85</v>
      </c>
    </row>
    <row r="13" spans="1:6" x14ac:dyDescent="0.2">
      <c r="C13" t="s">
        <v>2957</v>
      </c>
      <c r="D13"/>
      <c r="F13" s="924">
        <v>188850.24</v>
      </c>
    </row>
    <row r="14" spans="1:6" x14ac:dyDescent="0.2">
      <c r="C14" t="s">
        <v>3056</v>
      </c>
      <c r="D14"/>
      <c r="F14" s="924">
        <v>585942.06999999995</v>
      </c>
    </row>
    <row r="15" spans="1:6" x14ac:dyDescent="0.2">
      <c r="C15" t="s">
        <v>3067</v>
      </c>
      <c r="D15"/>
      <c r="F15" s="924">
        <v>563587.23</v>
      </c>
    </row>
    <row r="16" spans="1:6" x14ac:dyDescent="0.2">
      <c r="C16" t="s">
        <v>3074</v>
      </c>
      <c r="D16"/>
      <c r="F16" s="924">
        <v>411465.27999999997</v>
      </c>
    </row>
    <row r="17" spans="2:6" x14ac:dyDescent="0.2">
      <c r="C17" t="s">
        <v>3082</v>
      </c>
      <c r="D17"/>
      <c r="F17" s="924">
        <v>86589.689999999988</v>
      </c>
    </row>
    <row r="18" spans="2:6" x14ac:dyDescent="0.2">
      <c r="B18" t="s">
        <v>6409</v>
      </c>
      <c r="D18"/>
      <c r="F18" s="924">
        <v>4320723.2200000007</v>
      </c>
    </row>
    <row r="19" spans="2:6" x14ac:dyDescent="0.2">
      <c r="B19">
        <v>2008</v>
      </c>
      <c r="C19" t="s">
        <v>2968</v>
      </c>
      <c r="D19"/>
      <c r="F19" s="924">
        <v>833245.53999999992</v>
      </c>
    </row>
    <row r="20" spans="2:6" x14ac:dyDescent="0.2">
      <c r="C20" t="s">
        <v>2981</v>
      </c>
      <c r="D20"/>
      <c r="F20" s="924">
        <v>48109.4</v>
      </c>
    </row>
    <row r="21" spans="2:6" x14ac:dyDescent="0.2">
      <c r="C21" t="s">
        <v>3846</v>
      </c>
      <c r="D21"/>
      <c r="F21" s="924">
        <v>249293.75</v>
      </c>
    </row>
    <row r="22" spans="2:6" x14ac:dyDescent="0.2">
      <c r="C22" t="s">
        <v>2929</v>
      </c>
      <c r="D22"/>
      <c r="F22" s="924">
        <v>193976.75</v>
      </c>
    </row>
    <row r="23" spans="2:6" x14ac:dyDescent="0.2">
      <c r="C23" t="s">
        <v>2937</v>
      </c>
      <c r="D23"/>
      <c r="F23" s="924">
        <v>260824.38999999998</v>
      </c>
    </row>
    <row r="24" spans="2:6" x14ac:dyDescent="0.2">
      <c r="C24" t="s">
        <v>2943</v>
      </c>
      <c r="D24"/>
      <c r="F24" s="924">
        <v>514891.66000000003</v>
      </c>
    </row>
    <row r="25" spans="2:6" x14ac:dyDescent="0.2">
      <c r="C25" t="s">
        <v>2949</v>
      </c>
      <c r="D25"/>
      <c r="F25" s="924">
        <v>188619.91999999998</v>
      </c>
    </row>
    <row r="26" spans="2:6" x14ac:dyDescent="0.2">
      <c r="C26" t="s">
        <v>2957</v>
      </c>
      <c r="D26"/>
      <c r="F26" s="924">
        <v>218011.68</v>
      </c>
    </row>
    <row r="27" spans="2:6" x14ac:dyDescent="0.2">
      <c r="C27" t="s">
        <v>3056</v>
      </c>
      <c r="D27"/>
      <c r="F27" s="924">
        <v>204839.40000000002</v>
      </c>
    </row>
    <row r="28" spans="2:6" x14ac:dyDescent="0.2">
      <c r="C28" t="s">
        <v>3067</v>
      </c>
      <c r="D28"/>
      <c r="F28" s="924">
        <v>151187.15</v>
      </c>
    </row>
    <row r="29" spans="2:6" x14ac:dyDescent="0.2">
      <c r="C29" t="s">
        <v>3074</v>
      </c>
      <c r="D29"/>
      <c r="F29" s="924">
        <v>117101</v>
      </c>
    </row>
    <row r="30" spans="2:6" x14ac:dyDescent="0.2">
      <c r="C30" t="s">
        <v>3082</v>
      </c>
      <c r="D30"/>
      <c r="F30" s="924">
        <v>212710</v>
      </c>
    </row>
    <row r="31" spans="2:6" x14ac:dyDescent="0.2">
      <c r="B31" t="s">
        <v>6410</v>
      </c>
      <c r="D31"/>
      <c r="F31" s="924">
        <v>3192810.6399999997</v>
      </c>
    </row>
    <row r="32" spans="2:6" x14ac:dyDescent="0.2">
      <c r="B32">
        <v>2009</v>
      </c>
      <c r="C32" t="s">
        <v>2968</v>
      </c>
      <c r="D32"/>
      <c r="F32" s="924">
        <v>158969.66</v>
      </c>
    </row>
    <row r="33" spans="2:6" x14ac:dyDescent="0.2">
      <c r="C33" t="s">
        <v>2981</v>
      </c>
      <c r="D33"/>
      <c r="F33" s="924">
        <v>21099</v>
      </c>
    </row>
    <row r="34" spans="2:6" x14ac:dyDescent="0.2">
      <c r="C34" t="s">
        <v>3846</v>
      </c>
      <c r="D34"/>
      <c r="F34" s="924">
        <v>500429.12</v>
      </c>
    </row>
    <row r="35" spans="2:6" x14ac:dyDescent="0.2">
      <c r="C35" t="s">
        <v>2929</v>
      </c>
      <c r="D35"/>
      <c r="F35" s="924">
        <v>376964.31999999995</v>
      </c>
    </row>
    <row r="36" spans="2:6" x14ac:dyDescent="0.2">
      <c r="C36" t="s">
        <v>2937</v>
      </c>
      <c r="D36"/>
      <c r="F36" s="924">
        <v>231814.51</v>
      </c>
    </row>
    <row r="37" spans="2:6" x14ac:dyDescent="0.2">
      <c r="C37" t="s">
        <v>2949</v>
      </c>
      <c r="D37"/>
      <c r="F37" s="924">
        <v>666236.41</v>
      </c>
    </row>
    <row r="38" spans="2:6" x14ac:dyDescent="0.2">
      <c r="C38" t="s">
        <v>2957</v>
      </c>
      <c r="D38"/>
      <c r="F38" s="924">
        <v>373911.93000000005</v>
      </c>
    </row>
    <row r="39" spans="2:6" x14ac:dyDescent="0.2">
      <c r="C39" t="s">
        <v>3056</v>
      </c>
      <c r="D39"/>
      <c r="F39" s="924">
        <v>261353.58999999997</v>
      </c>
    </row>
    <row r="40" spans="2:6" x14ac:dyDescent="0.2">
      <c r="C40" t="s">
        <v>3067</v>
      </c>
      <c r="D40"/>
      <c r="F40" s="924">
        <v>68867.7</v>
      </c>
    </row>
    <row r="41" spans="2:6" x14ac:dyDescent="0.2">
      <c r="C41" t="s">
        <v>3074</v>
      </c>
      <c r="D41"/>
      <c r="F41" s="924">
        <v>164190.30000000002</v>
      </c>
    </row>
    <row r="42" spans="2:6" x14ac:dyDescent="0.2">
      <c r="C42" t="s">
        <v>3082</v>
      </c>
      <c r="D42"/>
      <c r="F42" s="924">
        <v>109007.83</v>
      </c>
    </row>
    <row r="43" spans="2:6" x14ac:dyDescent="0.2">
      <c r="B43" t="s">
        <v>6411</v>
      </c>
      <c r="D43"/>
      <c r="F43" s="924">
        <v>2932844.37</v>
      </c>
    </row>
    <row r="44" spans="2:6" x14ac:dyDescent="0.2">
      <c r="B44">
        <v>2010</v>
      </c>
      <c r="C44" t="s">
        <v>2968</v>
      </c>
      <c r="D44"/>
      <c r="F44" s="924">
        <v>74496.700000000012</v>
      </c>
    </row>
    <row r="45" spans="2:6" x14ac:dyDescent="0.2">
      <c r="C45" t="s">
        <v>2981</v>
      </c>
      <c r="D45"/>
      <c r="F45" s="924">
        <v>44976.5</v>
      </c>
    </row>
    <row r="46" spans="2:6" x14ac:dyDescent="0.2">
      <c r="C46" t="s">
        <v>3846</v>
      </c>
      <c r="D46"/>
      <c r="F46" s="924">
        <v>302328.75</v>
      </c>
    </row>
    <row r="47" spans="2:6" x14ac:dyDescent="0.2">
      <c r="C47" t="s">
        <v>2929</v>
      </c>
      <c r="D47"/>
      <c r="F47" s="924">
        <v>1010739.0999999999</v>
      </c>
    </row>
    <row r="48" spans="2:6" x14ac:dyDescent="0.2">
      <c r="C48" t="s">
        <v>2937</v>
      </c>
      <c r="D48"/>
      <c r="F48" s="924">
        <v>282885.78999999998</v>
      </c>
    </row>
    <row r="49" spans="2:6" x14ac:dyDescent="0.2">
      <c r="C49" t="s">
        <v>2943</v>
      </c>
      <c r="D49"/>
      <c r="F49" s="924">
        <v>684414.13</v>
      </c>
    </row>
    <row r="50" spans="2:6" x14ac:dyDescent="0.2">
      <c r="C50" t="s">
        <v>2949</v>
      </c>
      <c r="D50"/>
      <c r="F50" s="924">
        <v>424722.69999999995</v>
      </c>
    </row>
    <row r="51" spans="2:6" x14ac:dyDescent="0.2">
      <c r="C51" t="s">
        <v>2957</v>
      </c>
      <c r="D51"/>
      <c r="F51" s="924">
        <v>851831.84000000008</v>
      </c>
    </row>
    <row r="52" spans="2:6" x14ac:dyDescent="0.2">
      <c r="C52" t="s">
        <v>3056</v>
      </c>
      <c r="D52"/>
      <c r="F52" s="924">
        <v>185319.8</v>
      </c>
    </row>
    <row r="53" spans="2:6" x14ac:dyDescent="0.2">
      <c r="C53" t="s">
        <v>3067</v>
      </c>
      <c r="D53"/>
      <c r="F53" s="924">
        <v>911389.32</v>
      </c>
    </row>
    <row r="54" spans="2:6" x14ac:dyDescent="0.2">
      <c r="C54" t="s">
        <v>3074</v>
      </c>
      <c r="D54"/>
      <c r="F54" s="924">
        <v>725647.97999999986</v>
      </c>
    </row>
    <row r="55" spans="2:6" x14ac:dyDescent="0.2">
      <c r="C55" t="s">
        <v>3082</v>
      </c>
      <c r="D55"/>
      <c r="F55" s="924">
        <v>537063.1</v>
      </c>
    </row>
    <row r="56" spans="2:6" x14ac:dyDescent="0.2">
      <c r="B56" t="s">
        <v>6412</v>
      </c>
      <c r="D56"/>
      <c r="F56" s="924">
        <v>6035815.709999999</v>
      </c>
    </row>
    <row r="57" spans="2:6" x14ac:dyDescent="0.2">
      <c r="B57">
        <v>2011</v>
      </c>
      <c r="C57" t="s">
        <v>2968</v>
      </c>
      <c r="D57"/>
      <c r="F57" s="924">
        <v>800496.19000000006</v>
      </c>
    </row>
    <row r="58" spans="2:6" x14ac:dyDescent="0.2">
      <c r="C58" t="s">
        <v>2981</v>
      </c>
      <c r="D58"/>
      <c r="F58" s="924">
        <v>2822</v>
      </c>
    </row>
    <row r="59" spans="2:6" x14ac:dyDescent="0.2">
      <c r="C59" t="s">
        <v>3846</v>
      </c>
      <c r="D59"/>
      <c r="F59" s="924">
        <v>876456.15</v>
      </c>
    </row>
    <row r="60" spans="2:6" x14ac:dyDescent="0.2">
      <c r="C60" t="s">
        <v>2929</v>
      </c>
      <c r="D60"/>
      <c r="F60" s="924">
        <v>1054123.8999999999</v>
      </c>
    </row>
    <row r="61" spans="2:6" x14ac:dyDescent="0.2">
      <c r="C61" t="s">
        <v>2937</v>
      </c>
      <c r="D61"/>
      <c r="F61" s="924">
        <v>1437135.2999999998</v>
      </c>
    </row>
    <row r="62" spans="2:6" x14ac:dyDescent="0.2">
      <c r="C62" t="s">
        <v>2943</v>
      </c>
      <c r="D62"/>
      <c r="F62" s="924">
        <v>1191409.2399999998</v>
      </c>
    </row>
    <row r="63" spans="2:6" x14ac:dyDescent="0.2">
      <c r="C63" t="s">
        <v>2949</v>
      </c>
      <c r="D63"/>
      <c r="F63" s="924">
        <v>919066.76</v>
      </c>
    </row>
    <row r="64" spans="2:6" x14ac:dyDescent="0.2">
      <c r="C64" t="s">
        <v>2957</v>
      </c>
      <c r="D64"/>
      <c r="F64" s="924">
        <v>1222655.3500000001</v>
      </c>
    </row>
    <row r="65" spans="2:6" x14ac:dyDescent="0.2">
      <c r="C65" t="s">
        <v>3056</v>
      </c>
      <c r="D65"/>
      <c r="F65" s="924">
        <v>248447.2</v>
      </c>
    </row>
    <row r="66" spans="2:6" x14ac:dyDescent="0.2">
      <c r="C66" t="s">
        <v>3067</v>
      </c>
      <c r="D66"/>
      <c r="F66" s="924">
        <v>122807.6</v>
      </c>
    </row>
    <row r="67" spans="2:6" x14ac:dyDescent="0.2">
      <c r="C67" t="s">
        <v>3074</v>
      </c>
      <c r="D67"/>
      <c r="F67" s="924">
        <v>24880.9</v>
      </c>
    </row>
    <row r="68" spans="2:6" x14ac:dyDescent="0.2">
      <c r="C68" t="s">
        <v>3082</v>
      </c>
      <c r="D68"/>
      <c r="F68" s="924">
        <v>11400</v>
      </c>
    </row>
    <row r="69" spans="2:6" x14ac:dyDescent="0.2">
      <c r="B69" t="s">
        <v>6413</v>
      </c>
      <c r="D69"/>
      <c r="F69" s="924">
        <v>7911700.5899999989</v>
      </c>
    </row>
    <row r="70" spans="2:6" x14ac:dyDescent="0.2">
      <c r="B70">
        <v>2012</v>
      </c>
      <c r="C70" t="s">
        <v>2968</v>
      </c>
      <c r="D70"/>
      <c r="F70" s="924">
        <v>1264535.7</v>
      </c>
    </row>
    <row r="71" spans="2:6" x14ac:dyDescent="0.2">
      <c r="C71" t="s">
        <v>2981</v>
      </c>
      <c r="D71"/>
      <c r="F71" s="924">
        <v>229087.66000000003</v>
      </c>
    </row>
    <row r="72" spans="2:6" x14ac:dyDescent="0.2">
      <c r="C72" t="s">
        <v>3846</v>
      </c>
      <c r="D72"/>
      <c r="F72" s="924">
        <v>1628275.2400000002</v>
      </c>
    </row>
    <row r="73" spans="2:6" x14ac:dyDescent="0.2">
      <c r="C73" t="s">
        <v>2929</v>
      </c>
      <c r="D73"/>
      <c r="F73" s="924">
        <v>1546869.34</v>
      </c>
    </row>
    <row r="74" spans="2:6" x14ac:dyDescent="0.2">
      <c r="C74" t="s">
        <v>2937</v>
      </c>
      <c r="D74"/>
      <c r="F74" s="924">
        <v>1787440.1200000003</v>
      </c>
    </row>
    <row r="75" spans="2:6" x14ac:dyDescent="0.2">
      <c r="C75" t="s">
        <v>2943</v>
      </c>
      <c r="D75"/>
      <c r="F75" s="924">
        <v>891892.34000000008</v>
      </c>
    </row>
    <row r="76" spans="2:6" x14ac:dyDescent="0.2">
      <c r="C76" t="s">
        <v>2949</v>
      </c>
      <c r="D76"/>
      <c r="F76" s="924">
        <v>518408.89999999997</v>
      </c>
    </row>
    <row r="77" spans="2:6" x14ac:dyDescent="0.2">
      <c r="C77" t="s">
        <v>2957</v>
      </c>
      <c r="D77"/>
      <c r="F77" s="924">
        <v>795047.74</v>
      </c>
    </row>
    <row r="78" spans="2:6" x14ac:dyDescent="0.2">
      <c r="C78" t="s">
        <v>3056</v>
      </c>
      <c r="D78"/>
      <c r="F78" s="924">
        <v>879657.63</v>
      </c>
    </row>
    <row r="79" spans="2:6" x14ac:dyDescent="0.2">
      <c r="C79" t="s">
        <v>3067</v>
      </c>
      <c r="D79"/>
      <c r="F79" s="924">
        <v>607836.63</v>
      </c>
    </row>
    <row r="80" spans="2:6" x14ac:dyDescent="0.2">
      <c r="C80" t="s">
        <v>3074</v>
      </c>
      <c r="D80"/>
      <c r="F80" s="924">
        <v>282689.93</v>
      </c>
    </row>
    <row r="81" spans="2:6" x14ac:dyDescent="0.2">
      <c r="C81" t="s">
        <v>3082</v>
      </c>
      <c r="D81"/>
      <c r="F81" s="924">
        <v>970353.49</v>
      </c>
    </row>
    <row r="82" spans="2:6" x14ac:dyDescent="0.2">
      <c r="B82" t="s">
        <v>6414</v>
      </c>
      <c r="D82"/>
      <c r="F82" s="924">
        <v>11402094.720000003</v>
      </c>
    </row>
    <row r="83" spans="2:6" x14ac:dyDescent="0.2">
      <c r="B83">
        <v>2013</v>
      </c>
      <c r="C83" t="s">
        <v>2968</v>
      </c>
      <c r="D83"/>
      <c r="F83" s="924">
        <v>265967.00999999995</v>
      </c>
    </row>
    <row r="84" spans="2:6" x14ac:dyDescent="0.2">
      <c r="C84" t="s">
        <v>2981</v>
      </c>
      <c r="D84"/>
      <c r="F84" s="924">
        <v>180207.58000000002</v>
      </c>
    </row>
    <row r="85" spans="2:6" x14ac:dyDescent="0.2">
      <c r="C85" t="s">
        <v>3846</v>
      </c>
      <c r="D85"/>
      <c r="F85" s="924">
        <v>1863322.42</v>
      </c>
    </row>
    <row r="86" spans="2:6" x14ac:dyDescent="0.2">
      <c r="C86" t="s">
        <v>2929</v>
      </c>
      <c r="D86"/>
      <c r="F86" s="924">
        <v>1343663.1400000001</v>
      </c>
    </row>
    <row r="87" spans="2:6" x14ac:dyDescent="0.2">
      <c r="C87" t="s">
        <v>2937</v>
      </c>
      <c r="D87"/>
      <c r="F87" s="924">
        <v>1059643.6800000002</v>
      </c>
    </row>
    <row r="88" spans="2:6" x14ac:dyDescent="0.2">
      <c r="C88" t="s">
        <v>2943</v>
      </c>
      <c r="D88"/>
      <c r="F88" s="924">
        <v>1190111.8</v>
      </c>
    </row>
    <row r="89" spans="2:6" x14ac:dyDescent="0.2">
      <c r="C89" t="s">
        <v>2949</v>
      </c>
      <c r="D89"/>
      <c r="F89" s="924">
        <v>614214.6</v>
      </c>
    </row>
    <row r="90" spans="2:6" x14ac:dyDescent="0.2">
      <c r="C90" t="s">
        <v>2957</v>
      </c>
      <c r="D90"/>
      <c r="F90" s="924">
        <v>36765</v>
      </c>
    </row>
    <row r="91" spans="2:6" x14ac:dyDescent="0.2">
      <c r="C91" t="s">
        <v>3056</v>
      </c>
      <c r="D91"/>
      <c r="F91" s="924">
        <v>1057566.8500000001</v>
      </c>
    </row>
    <row r="92" spans="2:6" x14ac:dyDescent="0.2">
      <c r="C92" t="s">
        <v>3067</v>
      </c>
      <c r="D92"/>
      <c r="F92" s="924">
        <v>811031.7</v>
      </c>
    </row>
    <row r="93" spans="2:6" x14ac:dyDescent="0.2">
      <c r="C93" t="s">
        <v>3074</v>
      </c>
      <c r="D93"/>
      <c r="F93" s="924">
        <v>21873.200000000001</v>
      </c>
    </row>
    <row r="94" spans="2:6" x14ac:dyDescent="0.2">
      <c r="C94" t="s">
        <v>3082</v>
      </c>
      <c r="D94"/>
      <c r="F94" s="924">
        <v>913133.35000000009</v>
      </c>
    </row>
    <row r="95" spans="2:6" x14ac:dyDescent="0.2">
      <c r="B95" t="s">
        <v>6415</v>
      </c>
      <c r="D95"/>
      <c r="F95" s="924">
        <v>9357500.3299999982</v>
      </c>
    </row>
    <row r="96" spans="2:6" x14ac:dyDescent="0.2">
      <c r="B96">
        <v>2014</v>
      </c>
      <c r="C96" t="s">
        <v>2968</v>
      </c>
      <c r="D96"/>
      <c r="F96" s="924">
        <v>521679.93000000005</v>
      </c>
    </row>
    <row r="97" spans="2:6" x14ac:dyDescent="0.2">
      <c r="C97" t="s">
        <v>2981</v>
      </c>
      <c r="D97"/>
      <c r="F97" s="924">
        <v>210891.63</v>
      </c>
    </row>
    <row r="98" spans="2:6" x14ac:dyDescent="0.2">
      <c r="C98" t="s">
        <v>3846</v>
      </c>
      <c r="D98"/>
      <c r="F98" s="924">
        <v>1813314.12</v>
      </c>
    </row>
    <row r="99" spans="2:6" x14ac:dyDescent="0.2">
      <c r="C99" t="s">
        <v>2929</v>
      </c>
      <c r="D99"/>
      <c r="F99" s="924">
        <v>304705</v>
      </c>
    </row>
    <row r="100" spans="2:6" x14ac:dyDescent="0.2">
      <c r="C100" t="s">
        <v>2937</v>
      </c>
      <c r="D100"/>
      <c r="F100" s="924">
        <v>1736581.9900000002</v>
      </c>
    </row>
    <row r="101" spans="2:6" x14ac:dyDescent="0.2">
      <c r="C101" t="s">
        <v>2943</v>
      </c>
      <c r="D101"/>
      <c r="F101" s="924">
        <v>829614.3</v>
      </c>
    </row>
    <row r="102" spans="2:6" x14ac:dyDescent="0.2">
      <c r="C102" t="s">
        <v>2949</v>
      </c>
      <c r="D102"/>
      <c r="F102" s="924">
        <v>216180.77000000002</v>
      </c>
    </row>
    <row r="103" spans="2:6" x14ac:dyDescent="0.2">
      <c r="C103" t="s">
        <v>2957</v>
      </c>
      <c r="D103"/>
      <c r="F103" s="924">
        <v>73525</v>
      </c>
    </row>
    <row r="104" spans="2:6" x14ac:dyDescent="0.2">
      <c r="C104" t="s">
        <v>3056</v>
      </c>
      <c r="D104"/>
      <c r="F104" s="924">
        <v>103950.39999999999</v>
      </c>
    </row>
    <row r="105" spans="2:6" x14ac:dyDescent="0.2">
      <c r="C105" t="s">
        <v>3074</v>
      </c>
      <c r="D105"/>
      <c r="F105" s="924">
        <v>10986</v>
      </c>
    </row>
    <row r="106" spans="2:6" x14ac:dyDescent="0.2">
      <c r="C106" t="s">
        <v>3082</v>
      </c>
      <c r="D106"/>
      <c r="F106" s="924">
        <v>428551</v>
      </c>
    </row>
    <row r="107" spans="2:6" x14ac:dyDescent="0.2">
      <c r="B107" t="s">
        <v>6416</v>
      </c>
      <c r="D107"/>
      <c r="F107" s="924">
        <v>6249980.1400000006</v>
      </c>
    </row>
    <row r="108" spans="2:6" x14ac:dyDescent="0.2">
      <c r="B108">
        <v>2015</v>
      </c>
      <c r="C108" t="s">
        <v>2968</v>
      </c>
      <c r="D108"/>
      <c r="F108" s="924">
        <v>105150</v>
      </c>
    </row>
    <row r="109" spans="2:6" x14ac:dyDescent="0.2">
      <c r="C109" t="s">
        <v>2981</v>
      </c>
      <c r="D109"/>
      <c r="F109" s="924">
        <v>5760</v>
      </c>
    </row>
    <row r="110" spans="2:6" x14ac:dyDescent="0.2">
      <c r="C110" t="s">
        <v>3846</v>
      </c>
      <c r="D110"/>
      <c r="F110" s="924">
        <v>793285</v>
      </c>
    </row>
    <row r="111" spans="2:6" x14ac:dyDescent="0.2">
      <c r="C111" t="s">
        <v>2929</v>
      </c>
      <c r="D111"/>
      <c r="F111" s="924">
        <v>1315105.3199999998</v>
      </c>
    </row>
    <row r="112" spans="2:6" x14ac:dyDescent="0.2">
      <c r="C112" t="s">
        <v>2937</v>
      </c>
      <c r="D112"/>
      <c r="F112" s="924">
        <v>425730.3</v>
      </c>
    </row>
    <row r="113" spans="2:6" x14ac:dyDescent="0.2">
      <c r="C113" t="s">
        <v>2943</v>
      </c>
      <c r="D113"/>
      <c r="F113" s="924">
        <v>1648427.2</v>
      </c>
    </row>
    <row r="114" spans="2:6" x14ac:dyDescent="0.2">
      <c r="C114" t="s">
        <v>2949</v>
      </c>
      <c r="D114"/>
      <c r="F114" s="924">
        <v>469084.7</v>
      </c>
    </row>
    <row r="115" spans="2:6" x14ac:dyDescent="0.2">
      <c r="C115" t="s">
        <v>2957</v>
      </c>
      <c r="D115"/>
      <c r="F115" s="924">
        <v>124600.4</v>
      </c>
    </row>
    <row r="116" spans="2:6" x14ac:dyDescent="0.2">
      <c r="C116" t="s">
        <v>3056</v>
      </c>
      <c r="D116"/>
      <c r="F116" s="924">
        <v>387616</v>
      </c>
    </row>
    <row r="117" spans="2:6" x14ac:dyDescent="0.2">
      <c r="C117" t="s">
        <v>3067</v>
      </c>
      <c r="D117"/>
      <c r="F117" s="924">
        <v>269852</v>
      </c>
    </row>
    <row r="118" spans="2:6" x14ac:dyDescent="0.2">
      <c r="C118" t="s">
        <v>3074</v>
      </c>
      <c r="D118"/>
      <c r="F118" s="924">
        <v>996259.1</v>
      </c>
    </row>
    <row r="119" spans="2:6" x14ac:dyDescent="0.2">
      <c r="C119" t="s">
        <v>3082</v>
      </c>
      <c r="D119"/>
      <c r="F119" s="924">
        <v>149820.79999999999</v>
      </c>
    </row>
    <row r="120" spans="2:6" x14ac:dyDescent="0.2">
      <c r="B120" t="s">
        <v>6417</v>
      </c>
      <c r="D120"/>
      <c r="F120" s="924">
        <v>6690690.8199999994</v>
      </c>
    </row>
    <row r="121" spans="2:6" x14ac:dyDescent="0.2">
      <c r="B121">
        <v>2016</v>
      </c>
      <c r="C121" t="s">
        <v>2968</v>
      </c>
      <c r="D121"/>
      <c r="F121" s="924">
        <v>233988.5</v>
      </c>
    </row>
    <row r="122" spans="2:6" x14ac:dyDescent="0.2">
      <c r="C122" t="s">
        <v>2981</v>
      </c>
      <c r="D122"/>
      <c r="F122" s="924">
        <v>155891.9</v>
      </c>
    </row>
    <row r="123" spans="2:6" x14ac:dyDescent="0.2">
      <c r="C123" t="s">
        <v>3846</v>
      </c>
      <c r="D123"/>
      <c r="F123" s="924">
        <v>5172.7</v>
      </c>
    </row>
    <row r="124" spans="2:6" x14ac:dyDescent="0.2">
      <c r="C124" t="s">
        <v>2937</v>
      </c>
      <c r="D124"/>
      <c r="F124" s="924">
        <v>507407</v>
      </c>
    </row>
    <row r="125" spans="2:6" x14ac:dyDescent="0.2">
      <c r="C125" t="s">
        <v>2943</v>
      </c>
      <c r="D125"/>
      <c r="F125" s="924">
        <v>29500</v>
      </c>
    </row>
    <row r="126" spans="2:6" x14ac:dyDescent="0.2">
      <c r="C126" t="s">
        <v>2949</v>
      </c>
      <c r="D126"/>
      <c r="F126" s="924">
        <v>1224</v>
      </c>
    </row>
    <row r="127" spans="2:6" x14ac:dyDescent="0.2">
      <c r="C127" t="s">
        <v>2957</v>
      </c>
      <c r="D127"/>
      <c r="F127" s="924">
        <v>153115.08000000002</v>
      </c>
    </row>
    <row r="128" spans="2:6" x14ac:dyDescent="0.2">
      <c r="C128" t="s">
        <v>3056</v>
      </c>
      <c r="D128"/>
      <c r="F128" s="924">
        <v>118000</v>
      </c>
    </row>
    <row r="129" spans="2:6" x14ac:dyDescent="0.2">
      <c r="C129" t="s">
        <v>3067</v>
      </c>
      <c r="D129"/>
      <c r="F129" s="924">
        <v>485517.9</v>
      </c>
    </row>
    <row r="130" spans="2:6" x14ac:dyDescent="0.2">
      <c r="C130" t="s">
        <v>3074</v>
      </c>
      <c r="D130"/>
      <c r="F130" s="924">
        <v>90724</v>
      </c>
    </row>
    <row r="131" spans="2:6" x14ac:dyDescent="0.2">
      <c r="C131" t="s">
        <v>3082</v>
      </c>
      <c r="D131"/>
      <c r="F131" s="924">
        <v>135950</v>
      </c>
    </row>
    <row r="132" spans="2:6" x14ac:dyDescent="0.2">
      <c r="B132" t="s">
        <v>6418</v>
      </c>
      <c r="D132"/>
      <c r="F132" s="924">
        <v>1916491.08</v>
      </c>
    </row>
    <row r="133" spans="2:6" x14ac:dyDescent="0.2">
      <c r="B133">
        <v>2017</v>
      </c>
      <c r="C133" t="s">
        <v>2968</v>
      </c>
      <c r="D133"/>
      <c r="F133" s="924">
        <v>334788.5</v>
      </c>
    </row>
    <row r="134" spans="2:6" x14ac:dyDescent="0.2">
      <c r="C134" t="s">
        <v>3846</v>
      </c>
      <c r="D134"/>
      <c r="F134" s="924">
        <v>176841.5</v>
      </c>
    </row>
    <row r="135" spans="2:6" x14ac:dyDescent="0.2">
      <c r="C135" t="s">
        <v>2929</v>
      </c>
      <c r="D135"/>
      <c r="F135" s="924">
        <v>581074.4</v>
      </c>
    </row>
    <row r="136" spans="2:6" x14ac:dyDescent="0.2">
      <c r="C136" t="s">
        <v>2937</v>
      </c>
      <c r="D136"/>
      <c r="F136" s="924">
        <v>314390.58</v>
      </c>
    </row>
    <row r="137" spans="2:6" x14ac:dyDescent="0.2">
      <c r="C137" t="s">
        <v>2943</v>
      </c>
      <c r="D137"/>
      <c r="F137" s="924">
        <v>394552.65</v>
      </c>
    </row>
    <row r="138" spans="2:6" x14ac:dyDescent="0.2">
      <c r="C138" t="s">
        <v>3056</v>
      </c>
      <c r="D138"/>
      <c r="F138" s="924">
        <v>512410.8</v>
      </c>
    </row>
    <row r="139" spans="2:6" x14ac:dyDescent="0.2">
      <c r="C139" t="s">
        <v>3067</v>
      </c>
      <c r="D139"/>
      <c r="F139" s="924">
        <v>522415.44</v>
      </c>
    </row>
    <row r="140" spans="2:6" x14ac:dyDescent="0.2">
      <c r="C140" t="s">
        <v>3074</v>
      </c>
      <c r="D140"/>
      <c r="F140" s="924">
        <v>246561.9</v>
      </c>
    </row>
    <row r="141" spans="2:6" x14ac:dyDescent="0.2">
      <c r="C141" t="s">
        <v>3082</v>
      </c>
      <c r="D141"/>
      <c r="F141" s="924">
        <v>294296</v>
      </c>
    </row>
    <row r="142" spans="2:6" x14ac:dyDescent="0.2">
      <c r="B142" t="s">
        <v>6419</v>
      </c>
      <c r="D142"/>
      <c r="F142" s="924">
        <v>3377331.7699999996</v>
      </c>
    </row>
    <row r="143" spans="2:6" x14ac:dyDescent="0.2">
      <c r="B143">
        <v>2018</v>
      </c>
      <c r="C143" t="s">
        <v>2968</v>
      </c>
      <c r="D143"/>
      <c r="F143" s="924">
        <v>161751</v>
      </c>
    </row>
    <row r="144" spans="2:6" x14ac:dyDescent="0.2">
      <c r="C144" t="s">
        <v>2981</v>
      </c>
      <c r="D144"/>
      <c r="F144" s="924">
        <v>85739</v>
      </c>
    </row>
    <row r="145" spans="2:6" x14ac:dyDescent="0.2">
      <c r="C145" t="s">
        <v>3846</v>
      </c>
      <c r="D145"/>
      <c r="F145" s="924">
        <v>51813.55</v>
      </c>
    </row>
    <row r="146" spans="2:6" x14ac:dyDescent="0.2">
      <c r="C146" t="s">
        <v>2929</v>
      </c>
      <c r="D146"/>
      <c r="F146" s="924">
        <v>573710.15</v>
      </c>
    </row>
    <row r="147" spans="2:6" x14ac:dyDescent="0.2">
      <c r="C147" t="s">
        <v>2937</v>
      </c>
      <c r="D147"/>
      <c r="F147" s="924">
        <v>79860</v>
      </c>
    </row>
    <row r="148" spans="2:6" x14ac:dyDescent="0.2">
      <c r="C148" t="s">
        <v>2943</v>
      </c>
      <c r="D148"/>
      <c r="F148" s="924">
        <v>177256.87</v>
      </c>
    </row>
    <row r="149" spans="2:6" x14ac:dyDescent="0.2">
      <c r="C149" t="s">
        <v>2949</v>
      </c>
      <c r="D149"/>
      <c r="F149" s="924">
        <v>666374.13</v>
      </c>
    </row>
    <row r="150" spans="2:6" x14ac:dyDescent="0.2">
      <c r="C150" t="s">
        <v>2957</v>
      </c>
      <c r="D150"/>
      <c r="F150" s="924">
        <v>506305.96</v>
      </c>
    </row>
    <row r="151" spans="2:6" x14ac:dyDescent="0.2">
      <c r="C151" t="s">
        <v>3056</v>
      </c>
      <c r="D151"/>
      <c r="F151" s="924">
        <v>312305.53999999998</v>
      </c>
    </row>
    <row r="152" spans="2:6" x14ac:dyDescent="0.2">
      <c r="C152" t="s">
        <v>3067</v>
      </c>
      <c r="D152"/>
      <c r="F152" s="924">
        <v>748284.87</v>
      </c>
    </row>
    <row r="153" spans="2:6" x14ac:dyDescent="0.2">
      <c r="C153" t="s">
        <v>3074</v>
      </c>
      <c r="D153"/>
      <c r="F153" s="924">
        <v>226011.6</v>
      </c>
    </row>
    <row r="154" spans="2:6" x14ac:dyDescent="0.2">
      <c r="C154" t="s">
        <v>3082</v>
      </c>
      <c r="D154"/>
      <c r="F154" s="924">
        <v>369154.07</v>
      </c>
    </row>
    <row r="155" spans="2:6" x14ac:dyDescent="0.2">
      <c r="B155" t="s">
        <v>6552</v>
      </c>
      <c r="D155"/>
      <c r="F155" s="924">
        <v>3958566.7399999998</v>
      </c>
    </row>
    <row r="156" spans="2:6" x14ac:dyDescent="0.2">
      <c r="B156">
        <v>2019</v>
      </c>
      <c r="C156" t="s">
        <v>2968</v>
      </c>
      <c r="D156"/>
      <c r="F156" s="924">
        <v>357512.3</v>
      </c>
    </row>
    <row r="157" spans="2:6" x14ac:dyDescent="0.2">
      <c r="C157" t="s">
        <v>2981</v>
      </c>
      <c r="D157"/>
      <c r="F157" s="924">
        <v>294273.37</v>
      </c>
    </row>
    <row r="158" spans="2:6" x14ac:dyDescent="0.2">
      <c r="C158" t="s">
        <v>3846</v>
      </c>
      <c r="D158"/>
      <c r="F158" s="924">
        <v>308975.99</v>
      </c>
    </row>
    <row r="159" spans="2:6" x14ac:dyDescent="0.2">
      <c r="C159" t="s">
        <v>2929</v>
      </c>
      <c r="D159"/>
      <c r="F159" s="924">
        <v>178712.04</v>
      </c>
    </row>
    <row r="160" spans="2:6" x14ac:dyDescent="0.2">
      <c r="C160" t="s">
        <v>2937</v>
      </c>
      <c r="D160"/>
      <c r="F160" s="924">
        <v>232027.35</v>
      </c>
    </row>
    <row r="161" spans="2:6" x14ac:dyDescent="0.2">
      <c r="C161" t="s">
        <v>2943</v>
      </c>
      <c r="D161"/>
      <c r="F161" s="924">
        <v>848505.00000000012</v>
      </c>
    </row>
    <row r="162" spans="2:6" x14ac:dyDescent="0.2">
      <c r="C162" t="s">
        <v>2949</v>
      </c>
      <c r="D162"/>
      <c r="F162" s="924">
        <v>832265.33</v>
      </c>
    </row>
    <row r="163" spans="2:6" x14ac:dyDescent="0.2">
      <c r="C163" t="s">
        <v>2957</v>
      </c>
      <c r="D163"/>
      <c r="F163" s="924">
        <v>681172.28</v>
      </c>
    </row>
    <row r="164" spans="2:6" x14ac:dyDescent="0.2">
      <c r="C164" t="s">
        <v>3056</v>
      </c>
      <c r="D164"/>
      <c r="F164" s="924">
        <v>199850.77</v>
      </c>
    </row>
    <row r="165" spans="2:6" x14ac:dyDescent="0.2">
      <c r="C165" t="s">
        <v>3067</v>
      </c>
      <c r="D165"/>
      <c r="F165" s="924">
        <v>450154.9</v>
      </c>
    </row>
    <row r="166" spans="2:6" x14ac:dyDescent="0.2">
      <c r="C166" t="s">
        <v>3074</v>
      </c>
      <c r="D166"/>
      <c r="F166" s="924">
        <v>236441.98</v>
      </c>
    </row>
    <row r="167" spans="2:6" x14ac:dyDescent="0.2">
      <c r="C167" t="s">
        <v>3082</v>
      </c>
      <c r="D167"/>
      <c r="F167" s="924">
        <v>258208.88</v>
      </c>
    </row>
    <row r="168" spans="2:6" x14ac:dyDescent="0.2">
      <c r="B168" t="s">
        <v>6663</v>
      </c>
      <c r="D168"/>
      <c r="F168" s="924">
        <v>4878100.1900000004</v>
      </c>
    </row>
    <row r="169" spans="2:6" x14ac:dyDescent="0.2">
      <c r="B169">
        <v>2020</v>
      </c>
      <c r="C169" t="s">
        <v>2968</v>
      </c>
      <c r="D169"/>
      <c r="F169" s="924">
        <v>267282.57999999996</v>
      </c>
    </row>
    <row r="170" spans="2:6" x14ac:dyDescent="0.2">
      <c r="C170" t="s">
        <v>2981</v>
      </c>
      <c r="D170"/>
      <c r="F170" s="924">
        <v>352370.68</v>
      </c>
    </row>
    <row r="171" spans="2:6" x14ac:dyDescent="0.2">
      <c r="C171" t="s">
        <v>3846</v>
      </c>
      <c r="D171"/>
      <c r="F171" s="924">
        <v>42223.19</v>
      </c>
    </row>
    <row r="172" spans="2:6" x14ac:dyDescent="0.2">
      <c r="C172" t="s">
        <v>2929</v>
      </c>
      <c r="D172"/>
      <c r="F172" s="924">
        <v>34522.97</v>
      </c>
    </row>
    <row r="173" spans="2:6" x14ac:dyDescent="0.2">
      <c r="C173" t="s">
        <v>2937</v>
      </c>
      <c r="D173"/>
      <c r="F173" s="924">
        <v>502265.89</v>
      </c>
    </row>
    <row r="174" spans="2:6" x14ac:dyDescent="0.2">
      <c r="C174" t="s">
        <v>2943</v>
      </c>
      <c r="D174"/>
      <c r="F174" s="924">
        <v>461448.89</v>
      </c>
    </row>
    <row r="175" spans="2:6" x14ac:dyDescent="0.2">
      <c r="C175" t="s">
        <v>2949</v>
      </c>
      <c r="D175"/>
      <c r="F175" s="924">
        <v>172427.09999999998</v>
      </c>
    </row>
    <row r="176" spans="2:6" x14ac:dyDescent="0.2">
      <c r="C176" t="s">
        <v>2957</v>
      </c>
      <c r="D176"/>
      <c r="F176" s="924">
        <v>68630.959999999992</v>
      </c>
    </row>
    <row r="177" spans="2:6" x14ac:dyDescent="0.2">
      <c r="C177" t="s">
        <v>3056</v>
      </c>
      <c r="D177"/>
      <c r="F177" s="924">
        <v>30580</v>
      </c>
    </row>
    <row r="178" spans="2:6" x14ac:dyDescent="0.2">
      <c r="C178" t="s">
        <v>3067</v>
      </c>
      <c r="D178"/>
      <c r="F178" s="924">
        <v>176303.84999999998</v>
      </c>
    </row>
    <row r="179" spans="2:6" x14ac:dyDescent="0.2">
      <c r="C179" t="s">
        <v>3074</v>
      </c>
      <c r="D179"/>
      <c r="F179" s="924">
        <v>402713.80000000005</v>
      </c>
    </row>
    <row r="180" spans="2:6" x14ac:dyDescent="0.2">
      <c r="C180" t="s">
        <v>3082</v>
      </c>
      <c r="D180"/>
      <c r="F180" s="924">
        <v>114314.1</v>
      </c>
    </row>
    <row r="181" spans="2:6" x14ac:dyDescent="0.2">
      <c r="B181" t="s">
        <v>7011</v>
      </c>
      <c r="D181"/>
      <c r="F181" s="924">
        <v>2625084.0100000002</v>
      </c>
    </row>
    <row r="182" spans="2:6" x14ac:dyDescent="0.2">
      <c r="B182">
        <v>2021</v>
      </c>
      <c r="C182" t="s">
        <v>2968</v>
      </c>
      <c r="D182"/>
      <c r="F182" s="924">
        <v>218911.67</v>
      </c>
    </row>
    <row r="183" spans="2:6" x14ac:dyDescent="0.2">
      <c r="C183" t="s">
        <v>2981</v>
      </c>
      <c r="D183"/>
      <c r="F183" s="924">
        <v>114588.65</v>
      </c>
    </row>
    <row r="184" spans="2:6" x14ac:dyDescent="0.2">
      <c r="C184" t="s">
        <v>3846</v>
      </c>
      <c r="D184"/>
      <c r="F184" s="924">
        <v>126022.48999999999</v>
      </c>
    </row>
    <row r="185" spans="2:6" x14ac:dyDescent="0.2">
      <c r="C185" t="s">
        <v>2929</v>
      </c>
      <c r="D185"/>
      <c r="F185" s="924">
        <v>439480.99</v>
      </c>
    </row>
    <row r="186" spans="2:6" x14ac:dyDescent="0.2">
      <c r="C186" t="s">
        <v>2937</v>
      </c>
      <c r="D186"/>
      <c r="F186" s="924">
        <v>184385.12</v>
      </c>
    </row>
    <row r="187" spans="2:6" x14ac:dyDescent="0.2">
      <c r="C187" t="s">
        <v>2943</v>
      </c>
      <c r="D187"/>
      <c r="F187" s="924">
        <v>296704</v>
      </c>
    </row>
    <row r="188" spans="2:6" x14ac:dyDescent="0.2">
      <c r="C188" t="s">
        <v>2949</v>
      </c>
      <c r="D188"/>
      <c r="F188" s="924">
        <v>379988.89999999991</v>
      </c>
    </row>
    <row r="189" spans="2:6" x14ac:dyDescent="0.2">
      <c r="C189" t="s">
        <v>2957</v>
      </c>
      <c r="D189"/>
      <c r="F189" s="924">
        <v>258196.53</v>
      </c>
    </row>
    <row r="190" spans="2:6" x14ac:dyDescent="0.2">
      <c r="C190" t="s">
        <v>3056</v>
      </c>
      <c r="D190"/>
      <c r="F190" s="924">
        <v>150810.4</v>
      </c>
    </row>
    <row r="191" spans="2:6" x14ac:dyDescent="0.2">
      <c r="C191" t="s">
        <v>3067</v>
      </c>
      <c r="D191"/>
      <c r="F191" s="924">
        <v>78426.899999999994</v>
      </c>
    </row>
    <row r="192" spans="2:6" x14ac:dyDescent="0.2">
      <c r="C192" t="s">
        <v>3074</v>
      </c>
      <c r="D192"/>
      <c r="F192" s="924">
        <v>321151.78999999998</v>
      </c>
    </row>
    <row r="193" spans="2:6" x14ac:dyDescent="0.2">
      <c r="C193" t="s">
        <v>3082</v>
      </c>
      <c r="D193"/>
      <c r="F193" s="924">
        <v>92702.83</v>
      </c>
    </row>
    <row r="194" spans="2:6" x14ac:dyDescent="0.2">
      <c r="B194" t="s">
        <v>7191</v>
      </c>
      <c r="D194"/>
      <c r="F194" s="924">
        <v>2661370.27</v>
      </c>
    </row>
    <row r="195" spans="2:6" x14ac:dyDescent="0.2">
      <c r="B195">
        <v>2022</v>
      </c>
      <c r="C195" t="s">
        <v>2968</v>
      </c>
      <c r="D195"/>
      <c r="F195" s="924">
        <v>369236</v>
      </c>
    </row>
    <row r="196" spans="2:6" x14ac:dyDescent="0.2">
      <c r="C196" t="s">
        <v>2981</v>
      </c>
      <c r="D196"/>
      <c r="F196" s="924">
        <v>70886.3</v>
      </c>
    </row>
    <row r="197" spans="2:6" x14ac:dyDescent="0.2">
      <c r="C197" t="s">
        <v>3846</v>
      </c>
      <c r="D197"/>
      <c r="F197" s="924">
        <v>324350.99000000005</v>
      </c>
    </row>
    <row r="198" spans="2:6" x14ac:dyDescent="0.2">
      <c r="C198" t="s">
        <v>2929</v>
      </c>
      <c r="D198"/>
      <c r="F198" s="924">
        <v>120890.43</v>
      </c>
    </row>
    <row r="199" spans="2:6" x14ac:dyDescent="0.2">
      <c r="C199" t="s">
        <v>2937</v>
      </c>
      <c r="D199"/>
      <c r="F199" s="924">
        <v>341275.16</v>
      </c>
    </row>
    <row r="200" spans="2:6" x14ac:dyDescent="0.2">
      <c r="C200" t="s">
        <v>2943</v>
      </c>
      <c r="D200"/>
      <c r="F200" s="924">
        <v>367530.75</v>
      </c>
    </row>
    <row r="201" spans="2:6" x14ac:dyDescent="0.2">
      <c r="C201" t="s">
        <v>2949</v>
      </c>
      <c r="D201"/>
      <c r="F201" s="924">
        <v>428246.14</v>
      </c>
    </row>
    <row r="202" spans="2:6" x14ac:dyDescent="0.2">
      <c r="C202" t="s">
        <v>2957</v>
      </c>
      <c r="D202"/>
      <c r="F202" s="924">
        <v>151377.58000000002</v>
      </c>
    </row>
    <row r="203" spans="2:6" x14ac:dyDescent="0.2">
      <c r="C203" t="s">
        <v>3056</v>
      </c>
      <c r="D203"/>
      <c r="F203" s="924">
        <v>77637.149999999994</v>
      </c>
    </row>
    <row r="204" spans="2:6" x14ac:dyDescent="0.2">
      <c r="C204" t="s">
        <v>3067</v>
      </c>
      <c r="D204"/>
      <c r="F204" s="924">
        <v>226498.9</v>
      </c>
    </row>
    <row r="205" spans="2:6" x14ac:dyDescent="0.2">
      <c r="C205" t="s">
        <v>3074</v>
      </c>
      <c r="D205"/>
      <c r="F205" s="924">
        <v>483938.02</v>
      </c>
    </row>
    <row r="206" spans="2:6" x14ac:dyDescent="0.2">
      <c r="C206" t="s">
        <v>3082</v>
      </c>
      <c r="D206"/>
      <c r="F206" s="924">
        <v>92179.64</v>
      </c>
    </row>
    <row r="207" spans="2:6" x14ac:dyDescent="0.2">
      <c r="B207" t="s">
        <v>7697</v>
      </c>
      <c r="D207"/>
      <c r="F207" s="924">
        <v>3054047.06</v>
      </c>
    </row>
    <row r="208" spans="2:6" x14ac:dyDescent="0.2">
      <c r="B208">
        <v>2023</v>
      </c>
      <c r="C208" t="s">
        <v>2968</v>
      </c>
      <c r="D208"/>
      <c r="F208" s="924">
        <v>143355.72999999998</v>
      </c>
    </row>
    <row r="209" spans="2:6" x14ac:dyDescent="0.2">
      <c r="C209" t="s">
        <v>2981</v>
      </c>
      <c r="D209"/>
      <c r="F209" s="924">
        <v>46488.53</v>
      </c>
    </row>
    <row r="210" spans="2:6" x14ac:dyDescent="0.2">
      <c r="C210" t="s">
        <v>3846</v>
      </c>
      <c r="D210"/>
      <c r="F210" s="924">
        <v>146047.72999999998</v>
      </c>
    </row>
    <row r="211" spans="2:6" x14ac:dyDescent="0.2">
      <c r="C211" t="s">
        <v>2929</v>
      </c>
      <c r="D211"/>
      <c r="F211" s="924">
        <v>444737.81</v>
      </c>
    </row>
    <row r="212" spans="2:6" x14ac:dyDescent="0.2">
      <c r="C212" t="s">
        <v>2937</v>
      </c>
      <c r="D212"/>
      <c r="F212" s="924">
        <v>427501.4</v>
      </c>
    </row>
    <row r="213" spans="2:6" x14ac:dyDescent="0.2">
      <c r="C213" t="s">
        <v>2943</v>
      </c>
      <c r="D213"/>
      <c r="F213" s="924">
        <v>149518.32999999999</v>
      </c>
    </row>
    <row r="214" spans="2:6" x14ac:dyDescent="0.2">
      <c r="C214" t="s">
        <v>2949</v>
      </c>
      <c r="D214"/>
      <c r="F214" s="924">
        <v>537290</v>
      </c>
    </row>
    <row r="215" spans="2:6" x14ac:dyDescent="0.2">
      <c r="C215" t="s">
        <v>2957</v>
      </c>
      <c r="D215"/>
      <c r="F215" s="924">
        <v>275297.45999999996</v>
      </c>
    </row>
    <row r="216" spans="2:6" x14ac:dyDescent="0.2">
      <c r="C216" t="s">
        <v>3056</v>
      </c>
      <c r="D216"/>
      <c r="F216" s="924">
        <v>285608.64</v>
      </c>
    </row>
    <row r="217" spans="2:6" x14ac:dyDescent="0.2">
      <c r="C217" t="s">
        <v>3067</v>
      </c>
      <c r="D217"/>
      <c r="F217" s="924">
        <v>1139822</v>
      </c>
    </row>
    <row r="218" spans="2:6" x14ac:dyDescent="0.2">
      <c r="C218" t="s">
        <v>3074</v>
      </c>
      <c r="D218"/>
      <c r="F218" s="924">
        <v>585622.21</v>
      </c>
    </row>
    <row r="219" spans="2:6" x14ac:dyDescent="0.2">
      <c r="C219" t="s">
        <v>3082</v>
      </c>
      <c r="D219"/>
      <c r="F219" s="924">
        <v>101480</v>
      </c>
    </row>
    <row r="220" spans="2:6" x14ac:dyDescent="0.2">
      <c r="B220" t="s">
        <v>7895</v>
      </c>
      <c r="D220"/>
      <c r="F220" s="924">
        <v>4282769.84</v>
      </c>
    </row>
    <row r="221" spans="2:6" x14ac:dyDescent="0.2">
      <c r="B221" t="s">
        <v>6420</v>
      </c>
      <c r="D221"/>
      <c r="F221" s="924">
        <v>84847921.499999985</v>
      </c>
    </row>
    <row r="222" spans="2:6" x14ac:dyDescent="0.2">
      <c r="D222"/>
      <c r="F222"/>
    </row>
    <row r="223" spans="2:6" x14ac:dyDescent="0.2">
      <c r="D223"/>
      <c r="F223"/>
    </row>
    <row r="224" spans="2:6" x14ac:dyDescent="0.2">
      <c r="D224"/>
      <c r="F224"/>
    </row>
    <row r="225" spans="4:6" x14ac:dyDescent="0.2">
      <c r="D225"/>
      <c r="F225"/>
    </row>
    <row r="226" spans="4:6" x14ac:dyDescent="0.2">
      <c r="D226"/>
      <c r="F226"/>
    </row>
    <row r="227" spans="4:6" x14ac:dyDescent="0.2">
      <c r="D227"/>
      <c r="F227"/>
    </row>
    <row r="228" spans="4:6" x14ac:dyDescent="0.2">
      <c r="D228"/>
      <c r="F228"/>
    </row>
    <row r="229" spans="4:6" x14ac:dyDescent="0.2">
      <c r="D229"/>
      <c r="F229"/>
    </row>
    <row r="230" spans="4:6" x14ac:dyDescent="0.2">
      <c r="D230"/>
      <c r="F230"/>
    </row>
    <row r="231" spans="4:6" x14ac:dyDescent="0.2">
      <c r="D231"/>
      <c r="F231"/>
    </row>
    <row r="232" spans="4:6" x14ac:dyDescent="0.2">
      <c r="D232"/>
      <c r="F232"/>
    </row>
    <row r="233" spans="4:6" x14ac:dyDescent="0.2">
      <c r="D233"/>
      <c r="F233"/>
    </row>
    <row r="234" spans="4:6" x14ac:dyDescent="0.2">
      <c r="D234"/>
      <c r="F234"/>
    </row>
    <row r="235" spans="4:6" x14ac:dyDescent="0.2">
      <c r="D235"/>
      <c r="F235"/>
    </row>
    <row r="236" spans="4:6" x14ac:dyDescent="0.2">
      <c r="D236"/>
      <c r="F236"/>
    </row>
    <row r="237" spans="4:6" x14ac:dyDescent="0.2">
      <c r="D237"/>
      <c r="F237"/>
    </row>
    <row r="238" spans="4:6" x14ac:dyDescent="0.2">
      <c r="D238"/>
      <c r="F238"/>
    </row>
    <row r="239" spans="4:6" x14ac:dyDescent="0.2">
      <c r="D239"/>
      <c r="F239"/>
    </row>
    <row r="240" spans="4:6" x14ac:dyDescent="0.2">
      <c r="D240"/>
      <c r="F240"/>
    </row>
    <row r="241" spans="4:6" x14ac:dyDescent="0.2">
      <c r="D241"/>
      <c r="F241"/>
    </row>
    <row r="242" spans="4:6" x14ac:dyDescent="0.2">
      <c r="D242"/>
      <c r="F242"/>
    </row>
    <row r="243" spans="4:6" x14ac:dyDescent="0.2">
      <c r="D243"/>
      <c r="F243"/>
    </row>
    <row r="244" spans="4:6" x14ac:dyDescent="0.2">
      <c r="D244"/>
      <c r="F244"/>
    </row>
    <row r="245" spans="4:6" x14ac:dyDescent="0.2">
      <c r="D245"/>
      <c r="F245"/>
    </row>
    <row r="246" spans="4:6" x14ac:dyDescent="0.2">
      <c r="D246"/>
      <c r="F246"/>
    </row>
    <row r="247" spans="4:6" x14ac:dyDescent="0.2">
      <c r="D247"/>
      <c r="F247"/>
    </row>
    <row r="248" spans="4:6" x14ac:dyDescent="0.2">
      <c r="D248"/>
      <c r="F248"/>
    </row>
    <row r="249" spans="4:6" x14ac:dyDescent="0.2">
      <c r="D249"/>
      <c r="F249"/>
    </row>
    <row r="250" spans="4:6" x14ac:dyDescent="0.2">
      <c r="D250"/>
      <c r="F250"/>
    </row>
    <row r="251" spans="4:6" x14ac:dyDescent="0.2">
      <c r="D251"/>
      <c r="F251"/>
    </row>
    <row r="252" spans="4:6" x14ac:dyDescent="0.2">
      <c r="D252"/>
      <c r="F252"/>
    </row>
    <row r="253" spans="4:6" x14ac:dyDescent="0.2">
      <c r="D253"/>
      <c r="F253"/>
    </row>
    <row r="254" spans="4:6" x14ac:dyDescent="0.2">
      <c r="D254"/>
      <c r="F254"/>
    </row>
    <row r="255" spans="4:6" x14ac:dyDescent="0.2">
      <c r="D255"/>
      <c r="F255"/>
    </row>
    <row r="256" spans="4:6" x14ac:dyDescent="0.2">
      <c r="D256"/>
      <c r="F256"/>
    </row>
    <row r="257" spans="4:6" x14ac:dyDescent="0.2">
      <c r="D257"/>
      <c r="F257"/>
    </row>
    <row r="258" spans="4:6" x14ac:dyDescent="0.2">
      <c r="D258"/>
      <c r="F258"/>
    </row>
    <row r="259" spans="4:6" x14ac:dyDescent="0.2">
      <c r="D259"/>
      <c r="F259"/>
    </row>
    <row r="260" spans="4:6" x14ac:dyDescent="0.2">
      <c r="D260"/>
      <c r="F260"/>
    </row>
    <row r="261" spans="4:6" x14ac:dyDescent="0.2">
      <c r="D261"/>
      <c r="F261"/>
    </row>
    <row r="262" spans="4:6" x14ac:dyDescent="0.2">
      <c r="D262"/>
      <c r="F262"/>
    </row>
    <row r="263" spans="4:6" x14ac:dyDescent="0.2">
      <c r="D263"/>
      <c r="F263"/>
    </row>
    <row r="264" spans="4:6" x14ac:dyDescent="0.2">
      <c r="D264"/>
      <c r="F264"/>
    </row>
    <row r="265" spans="4:6" x14ac:dyDescent="0.2">
      <c r="D265"/>
      <c r="F265"/>
    </row>
    <row r="266" spans="4:6" x14ac:dyDescent="0.2">
      <c r="D266"/>
      <c r="F266"/>
    </row>
    <row r="267" spans="4:6" x14ac:dyDescent="0.2">
      <c r="D267"/>
      <c r="F267"/>
    </row>
    <row r="268" spans="4:6" x14ac:dyDescent="0.2">
      <c r="D268"/>
      <c r="F268"/>
    </row>
    <row r="269" spans="4:6" x14ac:dyDescent="0.2">
      <c r="D269"/>
      <c r="F269"/>
    </row>
    <row r="270" spans="4:6" x14ac:dyDescent="0.2">
      <c r="D270"/>
      <c r="F270"/>
    </row>
    <row r="271" spans="4:6" x14ac:dyDescent="0.2">
      <c r="D271"/>
      <c r="F271"/>
    </row>
    <row r="272" spans="4:6" x14ac:dyDescent="0.2">
      <c r="D272"/>
      <c r="F272"/>
    </row>
    <row r="273" spans="4:6" x14ac:dyDescent="0.2">
      <c r="D273"/>
      <c r="F273"/>
    </row>
    <row r="274" spans="4:6" x14ac:dyDescent="0.2">
      <c r="D274"/>
      <c r="F274"/>
    </row>
    <row r="275" spans="4:6" x14ac:dyDescent="0.2">
      <c r="D275"/>
      <c r="F275"/>
    </row>
    <row r="276" spans="4:6" x14ac:dyDescent="0.2">
      <c r="D276"/>
      <c r="F276"/>
    </row>
    <row r="277" spans="4:6" x14ac:dyDescent="0.2">
      <c r="D277"/>
      <c r="F277"/>
    </row>
    <row r="278" spans="4:6" x14ac:dyDescent="0.2">
      <c r="D278"/>
      <c r="F278"/>
    </row>
    <row r="279" spans="4:6" x14ac:dyDescent="0.2">
      <c r="D279"/>
      <c r="F279"/>
    </row>
    <row r="280" spans="4:6" x14ac:dyDescent="0.2">
      <c r="D280"/>
      <c r="F280"/>
    </row>
    <row r="281" spans="4:6" x14ac:dyDescent="0.2">
      <c r="D281"/>
      <c r="F281"/>
    </row>
    <row r="282" spans="4:6" x14ac:dyDescent="0.2">
      <c r="D282"/>
      <c r="F282"/>
    </row>
    <row r="283" spans="4:6" x14ac:dyDescent="0.2">
      <c r="D283"/>
      <c r="F283"/>
    </row>
    <row r="284" spans="4:6" x14ac:dyDescent="0.2">
      <c r="D284"/>
      <c r="F284"/>
    </row>
    <row r="285" spans="4:6" x14ac:dyDescent="0.2">
      <c r="D285"/>
      <c r="F285"/>
    </row>
    <row r="286" spans="4:6" x14ac:dyDescent="0.2">
      <c r="D286"/>
      <c r="F286"/>
    </row>
    <row r="287" spans="4:6" x14ac:dyDescent="0.2">
      <c r="D287"/>
      <c r="F287"/>
    </row>
    <row r="288" spans="4:6" x14ac:dyDescent="0.2">
      <c r="D288"/>
      <c r="F288"/>
    </row>
    <row r="289" spans="4:6" x14ac:dyDescent="0.2">
      <c r="D289"/>
      <c r="F289"/>
    </row>
    <row r="290" spans="4:6" x14ac:dyDescent="0.2">
      <c r="D290"/>
      <c r="F290"/>
    </row>
    <row r="291" spans="4:6" x14ac:dyDescent="0.2">
      <c r="D291"/>
      <c r="F291"/>
    </row>
    <row r="292" spans="4:6" x14ac:dyDescent="0.2">
      <c r="D292"/>
      <c r="F292"/>
    </row>
    <row r="293" spans="4:6" x14ac:dyDescent="0.2">
      <c r="D293"/>
      <c r="F293"/>
    </row>
    <row r="294" spans="4:6" x14ac:dyDescent="0.2">
      <c r="D294"/>
      <c r="F294"/>
    </row>
    <row r="295" spans="4:6" x14ac:dyDescent="0.2">
      <c r="D295"/>
      <c r="F295"/>
    </row>
    <row r="296" spans="4:6" x14ac:dyDescent="0.2">
      <c r="D296"/>
      <c r="F296"/>
    </row>
    <row r="297" spans="4:6" x14ac:dyDescent="0.2">
      <c r="D297"/>
      <c r="F297"/>
    </row>
    <row r="298" spans="4:6" x14ac:dyDescent="0.2">
      <c r="D298"/>
      <c r="F298"/>
    </row>
    <row r="299" spans="4:6" x14ac:dyDescent="0.2">
      <c r="D299"/>
      <c r="F299"/>
    </row>
    <row r="300" spans="4:6" x14ac:dyDescent="0.2">
      <c r="D300"/>
      <c r="F300"/>
    </row>
    <row r="301" spans="4:6" x14ac:dyDescent="0.2">
      <c r="D301"/>
      <c r="F301"/>
    </row>
    <row r="302" spans="4:6" x14ac:dyDescent="0.2">
      <c r="D302"/>
      <c r="F302"/>
    </row>
    <row r="303" spans="4:6" x14ac:dyDescent="0.2">
      <c r="D303"/>
      <c r="F303"/>
    </row>
    <row r="304" spans="4:6" x14ac:dyDescent="0.2">
      <c r="D304"/>
      <c r="F304"/>
    </row>
    <row r="305" spans="4:6" x14ac:dyDescent="0.2">
      <c r="D305"/>
      <c r="F305"/>
    </row>
    <row r="306" spans="4:6" x14ac:dyDescent="0.2">
      <c r="D306"/>
      <c r="F306"/>
    </row>
    <row r="307" spans="4:6" x14ac:dyDescent="0.2">
      <c r="D307"/>
      <c r="F307"/>
    </row>
    <row r="308" spans="4:6" x14ac:dyDescent="0.2">
      <c r="D308"/>
      <c r="F308"/>
    </row>
    <row r="309" spans="4:6" x14ac:dyDescent="0.2">
      <c r="D309"/>
      <c r="F309"/>
    </row>
    <row r="310" spans="4:6" x14ac:dyDescent="0.2">
      <c r="D310"/>
      <c r="F310"/>
    </row>
    <row r="311" spans="4:6" x14ac:dyDescent="0.2">
      <c r="D311"/>
      <c r="F311"/>
    </row>
    <row r="312" spans="4:6" x14ac:dyDescent="0.2">
      <c r="D312"/>
      <c r="F312"/>
    </row>
    <row r="313" spans="4:6" x14ac:dyDescent="0.2">
      <c r="D313"/>
      <c r="F313"/>
    </row>
    <row r="314" spans="4:6" x14ac:dyDescent="0.2">
      <c r="D314"/>
      <c r="F314"/>
    </row>
    <row r="315" spans="4:6" x14ac:dyDescent="0.2">
      <c r="D315"/>
      <c r="F315"/>
    </row>
    <row r="316" spans="4:6" x14ac:dyDescent="0.2">
      <c r="D316"/>
      <c r="F316"/>
    </row>
    <row r="317" spans="4:6" x14ac:dyDescent="0.2">
      <c r="D317"/>
      <c r="F317"/>
    </row>
    <row r="318" spans="4:6" x14ac:dyDescent="0.2">
      <c r="D318"/>
      <c r="F318"/>
    </row>
    <row r="319" spans="4:6" x14ac:dyDescent="0.2">
      <c r="D319"/>
      <c r="F319"/>
    </row>
    <row r="320" spans="4:6" x14ac:dyDescent="0.2">
      <c r="D320"/>
      <c r="F320"/>
    </row>
    <row r="321" spans="4:6" x14ac:dyDescent="0.2">
      <c r="D321"/>
      <c r="F321"/>
    </row>
    <row r="322" spans="4:6" x14ac:dyDescent="0.2">
      <c r="D322"/>
      <c r="F322"/>
    </row>
    <row r="323" spans="4:6" x14ac:dyDescent="0.2">
      <c r="D323"/>
      <c r="F323"/>
    </row>
    <row r="324" spans="4:6" x14ac:dyDescent="0.2">
      <c r="D324"/>
      <c r="F324"/>
    </row>
    <row r="325" spans="4:6" x14ac:dyDescent="0.2">
      <c r="D325"/>
      <c r="F325"/>
    </row>
    <row r="326" spans="4:6" x14ac:dyDescent="0.2">
      <c r="D326"/>
      <c r="F326"/>
    </row>
    <row r="327" spans="4:6" x14ac:dyDescent="0.2">
      <c r="D327"/>
      <c r="F327"/>
    </row>
    <row r="328" spans="4:6" x14ac:dyDescent="0.2">
      <c r="D328"/>
      <c r="F328"/>
    </row>
    <row r="329" spans="4:6" x14ac:dyDescent="0.2">
      <c r="D329"/>
      <c r="F329"/>
    </row>
    <row r="330" spans="4:6" x14ac:dyDescent="0.2">
      <c r="D330"/>
      <c r="F330"/>
    </row>
    <row r="331" spans="4:6" x14ac:dyDescent="0.2">
      <c r="D331"/>
      <c r="F331"/>
    </row>
    <row r="332" spans="4:6" x14ac:dyDescent="0.2">
      <c r="D332"/>
      <c r="F332"/>
    </row>
    <row r="333" spans="4:6" x14ac:dyDescent="0.2">
      <c r="D333"/>
      <c r="F333"/>
    </row>
    <row r="334" spans="4:6" x14ac:dyDescent="0.2">
      <c r="D334"/>
      <c r="F334"/>
    </row>
    <row r="335" spans="4:6" x14ac:dyDescent="0.2">
      <c r="D335"/>
      <c r="F335"/>
    </row>
    <row r="336" spans="4:6" x14ac:dyDescent="0.2">
      <c r="D336"/>
      <c r="F336"/>
    </row>
    <row r="337" spans="4:6" x14ac:dyDescent="0.2">
      <c r="D337"/>
      <c r="F337"/>
    </row>
    <row r="338" spans="4:6" x14ac:dyDescent="0.2">
      <c r="D338"/>
      <c r="F338"/>
    </row>
    <row r="339" spans="4:6" x14ac:dyDescent="0.2">
      <c r="D339"/>
      <c r="F339"/>
    </row>
    <row r="340" spans="4:6" x14ac:dyDescent="0.2">
      <c r="D340"/>
      <c r="F340"/>
    </row>
    <row r="341" spans="4:6" x14ac:dyDescent="0.2">
      <c r="D341"/>
      <c r="F341"/>
    </row>
    <row r="342" spans="4:6" x14ac:dyDescent="0.2">
      <c r="D342"/>
      <c r="F342"/>
    </row>
    <row r="343" spans="4:6" x14ac:dyDescent="0.2">
      <c r="D343"/>
      <c r="F343"/>
    </row>
    <row r="344" spans="4:6" x14ac:dyDescent="0.2">
      <c r="D344"/>
      <c r="F344"/>
    </row>
    <row r="345" spans="4:6" x14ac:dyDescent="0.2">
      <c r="D345"/>
      <c r="F345"/>
    </row>
    <row r="346" spans="4:6" x14ac:dyDescent="0.2">
      <c r="D346"/>
      <c r="F346"/>
    </row>
    <row r="347" spans="4:6" x14ac:dyDescent="0.2">
      <c r="D347"/>
      <c r="F347"/>
    </row>
    <row r="348" spans="4:6" x14ac:dyDescent="0.2">
      <c r="D348"/>
      <c r="F348"/>
    </row>
    <row r="349" spans="4:6" x14ac:dyDescent="0.2">
      <c r="D349"/>
      <c r="F349"/>
    </row>
    <row r="350" spans="4:6" x14ac:dyDescent="0.2">
      <c r="D350"/>
      <c r="F350"/>
    </row>
    <row r="351" spans="4:6" x14ac:dyDescent="0.2">
      <c r="D351"/>
      <c r="F351"/>
    </row>
    <row r="352" spans="4:6" x14ac:dyDescent="0.2">
      <c r="D352"/>
      <c r="F352"/>
    </row>
    <row r="353" spans="4:6" x14ac:dyDescent="0.2">
      <c r="D353"/>
      <c r="F353"/>
    </row>
    <row r="354" spans="4:6" x14ac:dyDescent="0.2">
      <c r="D354"/>
      <c r="F354"/>
    </row>
    <row r="355" spans="4:6" x14ac:dyDescent="0.2">
      <c r="D355"/>
      <c r="F355"/>
    </row>
    <row r="356" spans="4:6" x14ac:dyDescent="0.2">
      <c r="D356"/>
      <c r="F356"/>
    </row>
    <row r="357" spans="4:6" x14ac:dyDescent="0.2">
      <c r="D357"/>
      <c r="F357"/>
    </row>
    <row r="358" spans="4:6" x14ac:dyDescent="0.2">
      <c r="D358"/>
      <c r="F358"/>
    </row>
    <row r="359" spans="4:6" x14ac:dyDescent="0.2">
      <c r="D359"/>
      <c r="F359"/>
    </row>
    <row r="360" spans="4:6" x14ac:dyDescent="0.2">
      <c r="D360"/>
      <c r="F360"/>
    </row>
    <row r="361" spans="4:6" x14ac:dyDescent="0.2">
      <c r="D361"/>
      <c r="F361"/>
    </row>
    <row r="362" spans="4:6" x14ac:dyDescent="0.2">
      <c r="D362"/>
      <c r="F362"/>
    </row>
    <row r="363" spans="4:6" x14ac:dyDescent="0.2">
      <c r="D363"/>
      <c r="F363"/>
    </row>
    <row r="364" spans="4:6" x14ac:dyDescent="0.2">
      <c r="D364"/>
      <c r="F364"/>
    </row>
    <row r="365" spans="4:6" x14ac:dyDescent="0.2">
      <c r="D365"/>
      <c r="F365"/>
    </row>
    <row r="366" spans="4:6" x14ac:dyDescent="0.2">
      <c r="D366"/>
      <c r="F366"/>
    </row>
    <row r="367" spans="4:6" x14ac:dyDescent="0.2">
      <c r="D367"/>
      <c r="F367"/>
    </row>
    <row r="368" spans="4:6" x14ac:dyDescent="0.2">
      <c r="D368"/>
      <c r="F368"/>
    </row>
    <row r="369" spans="4:6" x14ac:dyDescent="0.2">
      <c r="D369"/>
      <c r="F369"/>
    </row>
    <row r="370" spans="4:6" x14ac:dyDescent="0.2">
      <c r="D370"/>
      <c r="F370"/>
    </row>
    <row r="371" spans="4:6" x14ac:dyDescent="0.2">
      <c r="D371"/>
      <c r="F371"/>
    </row>
    <row r="372" spans="4:6" x14ac:dyDescent="0.2">
      <c r="D372"/>
      <c r="F372"/>
    </row>
    <row r="373" spans="4:6" x14ac:dyDescent="0.2">
      <c r="D373"/>
      <c r="F373"/>
    </row>
    <row r="374" spans="4:6" x14ac:dyDescent="0.2">
      <c r="D374"/>
      <c r="F374"/>
    </row>
    <row r="375" spans="4:6" x14ac:dyDescent="0.2">
      <c r="D375"/>
      <c r="F375"/>
    </row>
    <row r="376" spans="4:6" x14ac:dyDescent="0.2">
      <c r="D376"/>
      <c r="F376"/>
    </row>
    <row r="377" spans="4:6" x14ac:dyDescent="0.2">
      <c r="D377"/>
      <c r="F377"/>
    </row>
    <row r="378" spans="4:6" x14ac:dyDescent="0.2">
      <c r="D378"/>
      <c r="F378"/>
    </row>
    <row r="379" spans="4:6" x14ac:dyDescent="0.2">
      <c r="D379"/>
      <c r="F379"/>
    </row>
    <row r="380" spans="4:6" x14ac:dyDescent="0.2">
      <c r="D380"/>
      <c r="F380"/>
    </row>
    <row r="381" spans="4:6" x14ac:dyDescent="0.2">
      <c r="D381"/>
      <c r="F381"/>
    </row>
    <row r="382" spans="4:6" x14ac:dyDescent="0.2">
      <c r="D382"/>
      <c r="F382"/>
    </row>
    <row r="383" spans="4:6" x14ac:dyDescent="0.2">
      <c r="D383"/>
      <c r="F383"/>
    </row>
    <row r="384" spans="4:6" x14ac:dyDescent="0.2">
      <c r="D384"/>
      <c r="F384"/>
    </row>
    <row r="385" spans="4:6" x14ac:dyDescent="0.2">
      <c r="D385"/>
      <c r="F385"/>
    </row>
    <row r="386" spans="4:6" x14ac:dyDescent="0.2">
      <c r="D386"/>
      <c r="F386"/>
    </row>
    <row r="387" spans="4:6" x14ac:dyDescent="0.2">
      <c r="D387"/>
      <c r="F387"/>
    </row>
    <row r="388" spans="4:6" x14ac:dyDescent="0.2">
      <c r="D388"/>
      <c r="F388"/>
    </row>
    <row r="389" spans="4:6" x14ac:dyDescent="0.2">
      <c r="D389"/>
      <c r="F389"/>
    </row>
    <row r="390" spans="4:6" x14ac:dyDescent="0.2">
      <c r="D390"/>
      <c r="F390"/>
    </row>
    <row r="391" spans="4:6" x14ac:dyDescent="0.2">
      <c r="D391"/>
      <c r="F391"/>
    </row>
    <row r="392" spans="4:6" x14ac:dyDescent="0.2">
      <c r="D392"/>
      <c r="F392"/>
    </row>
    <row r="393" spans="4:6" x14ac:dyDescent="0.2">
      <c r="D393"/>
      <c r="F393"/>
    </row>
    <row r="394" spans="4:6" x14ac:dyDescent="0.2">
      <c r="D394"/>
      <c r="F394"/>
    </row>
    <row r="395" spans="4:6" x14ac:dyDescent="0.2">
      <c r="D395"/>
      <c r="F395"/>
    </row>
    <row r="396" spans="4:6" x14ac:dyDescent="0.2">
      <c r="D396"/>
      <c r="F396"/>
    </row>
    <row r="397" spans="4:6" x14ac:dyDescent="0.2">
      <c r="D397"/>
      <c r="F397"/>
    </row>
    <row r="398" spans="4:6" x14ac:dyDescent="0.2">
      <c r="D398"/>
      <c r="F398"/>
    </row>
    <row r="399" spans="4:6" x14ac:dyDescent="0.2">
      <c r="D399"/>
      <c r="F399"/>
    </row>
    <row r="400" spans="4:6" x14ac:dyDescent="0.2">
      <c r="D400"/>
      <c r="F400"/>
    </row>
    <row r="401" spans="4:6" x14ac:dyDescent="0.2">
      <c r="D401"/>
      <c r="F401"/>
    </row>
    <row r="402" spans="4:6" x14ac:dyDescent="0.2">
      <c r="D402"/>
      <c r="F402"/>
    </row>
    <row r="403" spans="4:6" x14ac:dyDescent="0.2">
      <c r="D403"/>
      <c r="F403"/>
    </row>
    <row r="404" spans="4:6" x14ac:dyDescent="0.2">
      <c r="D404"/>
      <c r="F404"/>
    </row>
    <row r="405" spans="4:6" x14ac:dyDescent="0.2">
      <c r="D405"/>
      <c r="F405"/>
    </row>
    <row r="406" spans="4:6" x14ac:dyDescent="0.2">
      <c r="D406"/>
      <c r="F406"/>
    </row>
    <row r="407" spans="4:6" x14ac:dyDescent="0.2">
      <c r="D407"/>
      <c r="F407"/>
    </row>
    <row r="408" spans="4:6" x14ac:dyDescent="0.2">
      <c r="D408"/>
      <c r="F408"/>
    </row>
    <row r="409" spans="4:6" x14ac:dyDescent="0.2">
      <c r="D409"/>
      <c r="F409"/>
    </row>
    <row r="410" spans="4:6" x14ac:dyDescent="0.2">
      <c r="D410"/>
      <c r="F410"/>
    </row>
    <row r="411" spans="4:6" x14ac:dyDescent="0.2">
      <c r="D411"/>
      <c r="F411"/>
    </row>
    <row r="412" spans="4:6" x14ac:dyDescent="0.2">
      <c r="D412"/>
      <c r="F412"/>
    </row>
    <row r="413" spans="4:6" x14ac:dyDescent="0.2">
      <c r="D413"/>
      <c r="F413"/>
    </row>
    <row r="414" spans="4:6" x14ac:dyDescent="0.2">
      <c r="D414"/>
      <c r="F414"/>
    </row>
    <row r="415" spans="4:6" x14ac:dyDescent="0.2">
      <c r="D415"/>
      <c r="F415"/>
    </row>
    <row r="416" spans="4:6" x14ac:dyDescent="0.2">
      <c r="D416"/>
      <c r="F416"/>
    </row>
    <row r="417" spans="4:6" x14ac:dyDescent="0.2">
      <c r="D417"/>
      <c r="F417"/>
    </row>
    <row r="418" spans="4:6" x14ac:dyDescent="0.2">
      <c r="D418"/>
      <c r="F418"/>
    </row>
    <row r="419" spans="4:6" x14ac:dyDescent="0.2">
      <c r="D419"/>
      <c r="F419"/>
    </row>
    <row r="420" spans="4:6" x14ac:dyDescent="0.2">
      <c r="D420"/>
      <c r="F420"/>
    </row>
    <row r="421" spans="4:6" x14ac:dyDescent="0.2">
      <c r="D421"/>
      <c r="F421"/>
    </row>
    <row r="422" spans="4:6" x14ac:dyDescent="0.2">
      <c r="D422"/>
      <c r="F422"/>
    </row>
    <row r="423" spans="4:6" x14ac:dyDescent="0.2">
      <c r="D423"/>
      <c r="F423"/>
    </row>
    <row r="424" spans="4:6" x14ac:dyDescent="0.2">
      <c r="D424"/>
      <c r="F424"/>
    </row>
    <row r="425" spans="4:6" x14ac:dyDescent="0.2">
      <c r="D425"/>
      <c r="F425"/>
    </row>
    <row r="426" spans="4:6" x14ac:dyDescent="0.2">
      <c r="D426"/>
      <c r="F426"/>
    </row>
    <row r="427" spans="4:6" x14ac:dyDescent="0.2">
      <c r="D427"/>
      <c r="F427"/>
    </row>
    <row r="428" spans="4:6" x14ac:dyDescent="0.2">
      <c r="D428"/>
      <c r="F428"/>
    </row>
    <row r="429" spans="4:6" x14ac:dyDescent="0.2">
      <c r="D429"/>
      <c r="F429"/>
    </row>
    <row r="430" spans="4:6" x14ac:dyDescent="0.2">
      <c r="D430"/>
      <c r="F430"/>
    </row>
    <row r="431" spans="4:6" x14ac:dyDescent="0.2">
      <c r="D431"/>
      <c r="F431"/>
    </row>
    <row r="432" spans="4:6" x14ac:dyDescent="0.2">
      <c r="D432"/>
      <c r="F432"/>
    </row>
    <row r="433" spans="4:6" x14ac:dyDescent="0.2">
      <c r="D433"/>
      <c r="F433"/>
    </row>
    <row r="434" spans="4:6" x14ac:dyDescent="0.2">
      <c r="D434"/>
      <c r="F434"/>
    </row>
    <row r="435" spans="4:6" x14ac:dyDescent="0.2">
      <c r="D435"/>
      <c r="F435"/>
    </row>
    <row r="436" spans="4:6" x14ac:dyDescent="0.2">
      <c r="D436"/>
      <c r="F436"/>
    </row>
    <row r="437" spans="4:6" x14ac:dyDescent="0.2">
      <c r="D437"/>
      <c r="F437"/>
    </row>
    <row r="438" spans="4:6" x14ac:dyDescent="0.2">
      <c r="D438"/>
      <c r="F438"/>
    </row>
    <row r="439" spans="4:6" x14ac:dyDescent="0.2">
      <c r="D439"/>
      <c r="F439"/>
    </row>
    <row r="440" spans="4:6" x14ac:dyDescent="0.2">
      <c r="D440"/>
      <c r="F440"/>
    </row>
    <row r="441" spans="4:6" x14ac:dyDescent="0.2">
      <c r="D441"/>
      <c r="F441"/>
    </row>
    <row r="442" spans="4:6" x14ac:dyDescent="0.2">
      <c r="D442"/>
      <c r="F442"/>
    </row>
    <row r="443" spans="4:6" x14ac:dyDescent="0.2">
      <c r="D443"/>
      <c r="F443"/>
    </row>
    <row r="444" spans="4:6" x14ac:dyDescent="0.2">
      <c r="D444"/>
      <c r="F444"/>
    </row>
    <row r="445" spans="4:6" x14ac:dyDescent="0.2">
      <c r="D445"/>
      <c r="F445"/>
    </row>
    <row r="446" spans="4:6" x14ac:dyDescent="0.2">
      <c r="D446"/>
      <c r="F446"/>
    </row>
    <row r="447" spans="4:6" x14ac:dyDescent="0.2">
      <c r="D447"/>
      <c r="F447"/>
    </row>
    <row r="448" spans="4:6" x14ac:dyDescent="0.2">
      <c r="D448"/>
      <c r="F448"/>
    </row>
    <row r="449" spans="4:6" x14ac:dyDescent="0.2">
      <c r="D449"/>
      <c r="F449"/>
    </row>
    <row r="450" spans="4:6" x14ac:dyDescent="0.2">
      <c r="D450"/>
      <c r="F450"/>
    </row>
    <row r="451" spans="4:6" x14ac:dyDescent="0.2">
      <c r="D451"/>
      <c r="F451"/>
    </row>
    <row r="452" spans="4:6" x14ac:dyDescent="0.2">
      <c r="D452"/>
      <c r="F452"/>
    </row>
    <row r="453" spans="4:6" x14ac:dyDescent="0.2">
      <c r="D453"/>
      <c r="F453"/>
    </row>
    <row r="454" spans="4:6" x14ac:dyDescent="0.2">
      <c r="D454"/>
      <c r="F454"/>
    </row>
    <row r="455" spans="4:6" x14ac:dyDescent="0.2">
      <c r="D455"/>
      <c r="F455"/>
    </row>
    <row r="456" spans="4:6" x14ac:dyDescent="0.2">
      <c r="D456"/>
      <c r="F456"/>
    </row>
    <row r="457" spans="4:6" x14ac:dyDescent="0.2">
      <c r="D457"/>
      <c r="F457"/>
    </row>
    <row r="458" spans="4:6" x14ac:dyDescent="0.2">
      <c r="D458"/>
      <c r="F458"/>
    </row>
    <row r="459" spans="4:6" x14ac:dyDescent="0.2">
      <c r="D459"/>
      <c r="F459"/>
    </row>
    <row r="460" spans="4:6" x14ac:dyDescent="0.2">
      <c r="D460"/>
      <c r="F460"/>
    </row>
    <row r="461" spans="4:6" x14ac:dyDescent="0.2">
      <c r="D461"/>
      <c r="F461"/>
    </row>
    <row r="462" spans="4:6" x14ac:dyDescent="0.2">
      <c r="D462"/>
      <c r="F462"/>
    </row>
    <row r="463" spans="4:6" x14ac:dyDescent="0.2">
      <c r="D463"/>
      <c r="F463"/>
    </row>
    <row r="464" spans="4:6" x14ac:dyDescent="0.2">
      <c r="D464"/>
      <c r="F464"/>
    </row>
    <row r="465" spans="4:6" x14ac:dyDescent="0.2">
      <c r="D465"/>
      <c r="F465"/>
    </row>
    <row r="466" spans="4:6" x14ac:dyDescent="0.2">
      <c r="D466"/>
      <c r="F466"/>
    </row>
    <row r="467" spans="4:6" x14ac:dyDescent="0.2">
      <c r="D467"/>
      <c r="F467"/>
    </row>
    <row r="468" spans="4:6" x14ac:dyDescent="0.2">
      <c r="D468"/>
      <c r="F468"/>
    </row>
    <row r="469" spans="4:6" x14ac:dyDescent="0.2">
      <c r="D469"/>
      <c r="F469"/>
    </row>
    <row r="470" spans="4:6" x14ac:dyDescent="0.2">
      <c r="D470"/>
      <c r="F470"/>
    </row>
    <row r="471" spans="4:6" x14ac:dyDescent="0.2">
      <c r="D471"/>
      <c r="F471"/>
    </row>
    <row r="472" spans="4:6" x14ac:dyDescent="0.2">
      <c r="D472"/>
      <c r="F472"/>
    </row>
    <row r="473" spans="4:6" x14ac:dyDescent="0.2">
      <c r="D473"/>
      <c r="F473"/>
    </row>
    <row r="474" spans="4:6" x14ac:dyDescent="0.2">
      <c r="D474"/>
      <c r="F474"/>
    </row>
    <row r="475" spans="4:6" x14ac:dyDescent="0.2">
      <c r="D475"/>
      <c r="F475"/>
    </row>
    <row r="476" spans="4:6" x14ac:dyDescent="0.2">
      <c r="D476"/>
      <c r="F476"/>
    </row>
    <row r="477" spans="4:6" x14ac:dyDescent="0.2">
      <c r="D477"/>
      <c r="F477"/>
    </row>
    <row r="478" spans="4:6" x14ac:dyDescent="0.2">
      <c r="D478"/>
      <c r="F478"/>
    </row>
    <row r="479" spans="4:6" x14ac:dyDescent="0.2">
      <c r="D479"/>
      <c r="F479"/>
    </row>
    <row r="480" spans="4:6" x14ac:dyDescent="0.2">
      <c r="D480"/>
      <c r="F480"/>
    </row>
    <row r="481" spans="4:6" x14ac:dyDescent="0.2">
      <c r="D481"/>
      <c r="F481"/>
    </row>
    <row r="482" spans="4:6" x14ac:dyDescent="0.2">
      <c r="D482"/>
      <c r="F482"/>
    </row>
    <row r="483" spans="4:6" x14ac:dyDescent="0.2">
      <c r="D483"/>
      <c r="F483"/>
    </row>
    <row r="484" spans="4:6" x14ac:dyDescent="0.2">
      <c r="D484"/>
      <c r="F484"/>
    </row>
    <row r="485" spans="4:6" x14ac:dyDescent="0.2">
      <c r="D485"/>
      <c r="F485"/>
    </row>
    <row r="486" spans="4:6" x14ac:dyDescent="0.2">
      <c r="D486"/>
      <c r="F486"/>
    </row>
    <row r="487" spans="4:6" x14ac:dyDescent="0.2">
      <c r="D487"/>
      <c r="F487"/>
    </row>
    <row r="488" spans="4:6" x14ac:dyDescent="0.2">
      <c r="D488"/>
      <c r="F488"/>
    </row>
    <row r="489" spans="4:6" x14ac:dyDescent="0.2">
      <c r="D489"/>
      <c r="F489"/>
    </row>
    <row r="490" spans="4:6" x14ac:dyDescent="0.2">
      <c r="D490"/>
      <c r="F490"/>
    </row>
    <row r="491" spans="4:6" x14ac:dyDescent="0.2">
      <c r="D491"/>
      <c r="F491"/>
    </row>
    <row r="492" spans="4:6" x14ac:dyDescent="0.2">
      <c r="D492"/>
      <c r="F492"/>
    </row>
    <row r="493" spans="4:6" x14ac:dyDescent="0.2">
      <c r="D493"/>
      <c r="F493"/>
    </row>
    <row r="494" spans="4:6" x14ac:dyDescent="0.2">
      <c r="D494"/>
      <c r="F494"/>
    </row>
    <row r="495" spans="4:6" x14ac:dyDescent="0.2">
      <c r="D495"/>
      <c r="F495"/>
    </row>
    <row r="496" spans="4:6" x14ac:dyDescent="0.2">
      <c r="D496"/>
      <c r="F496"/>
    </row>
    <row r="497" spans="4:6" x14ac:dyDescent="0.2">
      <c r="D497"/>
      <c r="F497"/>
    </row>
    <row r="498" spans="4:6" x14ac:dyDescent="0.2">
      <c r="D498"/>
      <c r="F498"/>
    </row>
    <row r="499" spans="4:6" x14ac:dyDescent="0.2">
      <c r="D499"/>
      <c r="F499"/>
    </row>
    <row r="500" spans="4:6" x14ac:dyDescent="0.2">
      <c r="D500"/>
      <c r="F500"/>
    </row>
    <row r="501" spans="4:6" x14ac:dyDescent="0.2">
      <c r="D501"/>
      <c r="F501"/>
    </row>
    <row r="502" spans="4:6" x14ac:dyDescent="0.2">
      <c r="D502"/>
      <c r="F502"/>
    </row>
    <row r="503" spans="4:6" x14ac:dyDescent="0.2">
      <c r="D503"/>
      <c r="F503"/>
    </row>
    <row r="504" spans="4:6" x14ac:dyDescent="0.2">
      <c r="D504"/>
      <c r="F504"/>
    </row>
    <row r="505" spans="4:6" x14ac:dyDescent="0.2">
      <c r="D505"/>
      <c r="F505"/>
    </row>
    <row r="506" spans="4:6" x14ac:dyDescent="0.2">
      <c r="D506"/>
      <c r="F506"/>
    </row>
    <row r="507" spans="4:6" x14ac:dyDescent="0.2">
      <c r="D507"/>
      <c r="F507"/>
    </row>
    <row r="508" spans="4:6" x14ac:dyDescent="0.2">
      <c r="D508"/>
      <c r="F508"/>
    </row>
    <row r="509" spans="4:6" x14ac:dyDescent="0.2">
      <c r="D509"/>
      <c r="F509"/>
    </row>
    <row r="510" spans="4:6" x14ac:dyDescent="0.2">
      <c r="D510"/>
      <c r="F510"/>
    </row>
    <row r="511" spans="4:6" x14ac:dyDescent="0.2">
      <c r="D511"/>
      <c r="F511"/>
    </row>
    <row r="512" spans="4:6" x14ac:dyDescent="0.2">
      <c r="D512"/>
      <c r="F512"/>
    </row>
    <row r="513" spans="4:6" x14ac:dyDescent="0.2">
      <c r="D513"/>
      <c r="F513"/>
    </row>
    <row r="514" spans="4:6" x14ac:dyDescent="0.2">
      <c r="D514"/>
      <c r="F514"/>
    </row>
    <row r="515" spans="4:6" x14ac:dyDescent="0.2">
      <c r="D515"/>
      <c r="F515"/>
    </row>
    <row r="516" spans="4:6" x14ac:dyDescent="0.2">
      <c r="D516"/>
      <c r="F516"/>
    </row>
    <row r="517" spans="4:6" x14ac:dyDescent="0.2">
      <c r="D517"/>
      <c r="F517"/>
    </row>
    <row r="518" spans="4:6" x14ac:dyDescent="0.2">
      <c r="D518"/>
      <c r="F518"/>
    </row>
    <row r="519" spans="4:6" x14ac:dyDescent="0.2">
      <c r="D519"/>
      <c r="F519"/>
    </row>
    <row r="520" spans="4:6" x14ac:dyDescent="0.2">
      <c r="D520"/>
      <c r="F520"/>
    </row>
    <row r="521" spans="4:6" x14ac:dyDescent="0.2">
      <c r="D521"/>
      <c r="F521"/>
    </row>
    <row r="522" spans="4:6" x14ac:dyDescent="0.2">
      <c r="D522"/>
      <c r="F522"/>
    </row>
    <row r="523" spans="4:6" x14ac:dyDescent="0.2">
      <c r="D523"/>
      <c r="F523"/>
    </row>
    <row r="524" spans="4:6" x14ac:dyDescent="0.2">
      <c r="D524"/>
      <c r="F524"/>
    </row>
    <row r="525" spans="4:6" x14ac:dyDescent="0.2">
      <c r="D525"/>
      <c r="F525"/>
    </row>
    <row r="526" spans="4:6" x14ac:dyDescent="0.2">
      <c r="D526"/>
      <c r="F526"/>
    </row>
    <row r="527" spans="4:6" x14ac:dyDescent="0.2">
      <c r="D527"/>
      <c r="F527"/>
    </row>
    <row r="528" spans="4:6" x14ac:dyDescent="0.2">
      <c r="D528"/>
      <c r="F528"/>
    </row>
    <row r="529" spans="4:6" x14ac:dyDescent="0.2">
      <c r="D529"/>
      <c r="F529"/>
    </row>
    <row r="530" spans="4:6" x14ac:dyDescent="0.2">
      <c r="D530"/>
      <c r="F530"/>
    </row>
    <row r="531" spans="4:6" x14ac:dyDescent="0.2">
      <c r="D531"/>
      <c r="F531"/>
    </row>
    <row r="532" spans="4:6" x14ac:dyDescent="0.2">
      <c r="D532"/>
      <c r="F532"/>
    </row>
    <row r="533" spans="4:6" x14ac:dyDescent="0.2">
      <c r="D533"/>
      <c r="F533"/>
    </row>
    <row r="534" spans="4:6" x14ac:dyDescent="0.2">
      <c r="D534"/>
      <c r="F534"/>
    </row>
    <row r="535" spans="4:6" x14ac:dyDescent="0.2">
      <c r="D535"/>
      <c r="F535"/>
    </row>
    <row r="536" spans="4:6" x14ac:dyDescent="0.2">
      <c r="D536"/>
      <c r="F536"/>
    </row>
    <row r="537" spans="4:6" x14ac:dyDescent="0.2">
      <c r="D537"/>
      <c r="F537"/>
    </row>
    <row r="538" spans="4:6" x14ac:dyDescent="0.2">
      <c r="D538"/>
      <c r="F538"/>
    </row>
    <row r="539" spans="4:6" x14ac:dyDescent="0.2">
      <c r="D539"/>
      <c r="F539"/>
    </row>
    <row r="540" spans="4:6" x14ac:dyDescent="0.2">
      <c r="D540"/>
      <c r="F540"/>
    </row>
    <row r="541" spans="4:6" x14ac:dyDescent="0.2">
      <c r="D541"/>
      <c r="F541"/>
    </row>
    <row r="542" spans="4:6" x14ac:dyDescent="0.2">
      <c r="D542"/>
      <c r="F542"/>
    </row>
    <row r="543" spans="4:6" x14ac:dyDescent="0.2">
      <c r="D543"/>
      <c r="F543"/>
    </row>
    <row r="544" spans="4:6" x14ac:dyDescent="0.2">
      <c r="D544"/>
      <c r="F544"/>
    </row>
    <row r="545" spans="4:6" x14ac:dyDescent="0.2">
      <c r="D545"/>
      <c r="F545"/>
    </row>
    <row r="546" spans="4:6" x14ac:dyDescent="0.2">
      <c r="D546"/>
      <c r="F546"/>
    </row>
    <row r="547" spans="4:6" x14ac:dyDescent="0.2">
      <c r="D547"/>
      <c r="F547"/>
    </row>
    <row r="548" spans="4:6" x14ac:dyDescent="0.2">
      <c r="D548"/>
      <c r="F548"/>
    </row>
    <row r="549" spans="4:6" x14ac:dyDescent="0.2">
      <c r="D549"/>
      <c r="F549"/>
    </row>
    <row r="550" spans="4:6" x14ac:dyDescent="0.2">
      <c r="D550"/>
      <c r="F550"/>
    </row>
    <row r="551" spans="4:6" x14ac:dyDescent="0.2">
      <c r="D551"/>
      <c r="F551"/>
    </row>
    <row r="552" spans="4:6" x14ac:dyDescent="0.2">
      <c r="D552"/>
      <c r="F552"/>
    </row>
    <row r="553" spans="4:6" x14ac:dyDescent="0.2">
      <c r="D553"/>
      <c r="F553"/>
    </row>
    <row r="554" spans="4:6" x14ac:dyDescent="0.2">
      <c r="D554"/>
      <c r="F554"/>
    </row>
    <row r="555" spans="4:6" x14ac:dyDescent="0.2">
      <c r="D555"/>
      <c r="F555"/>
    </row>
    <row r="556" spans="4:6" x14ac:dyDescent="0.2">
      <c r="D556"/>
      <c r="F556"/>
    </row>
    <row r="557" spans="4:6" x14ac:dyDescent="0.2">
      <c r="D557"/>
      <c r="F557"/>
    </row>
    <row r="558" spans="4:6" x14ac:dyDescent="0.2">
      <c r="D558"/>
      <c r="F558"/>
    </row>
    <row r="559" spans="4:6" x14ac:dyDescent="0.2">
      <c r="D559"/>
      <c r="F559"/>
    </row>
    <row r="560" spans="4:6" x14ac:dyDescent="0.2">
      <c r="D560"/>
      <c r="F560"/>
    </row>
    <row r="561" spans="4:6" x14ac:dyDescent="0.2">
      <c r="D561"/>
      <c r="F561"/>
    </row>
    <row r="562" spans="4:6" x14ac:dyDescent="0.2">
      <c r="D562"/>
      <c r="F562"/>
    </row>
    <row r="563" spans="4:6" x14ac:dyDescent="0.2">
      <c r="D563"/>
      <c r="F563"/>
    </row>
    <row r="564" spans="4:6" x14ac:dyDescent="0.2">
      <c r="D564"/>
      <c r="F564"/>
    </row>
    <row r="565" spans="4:6" x14ac:dyDescent="0.2">
      <c r="D565"/>
      <c r="F565"/>
    </row>
    <row r="566" spans="4:6" x14ac:dyDescent="0.2">
      <c r="D566"/>
      <c r="F566"/>
    </row>
    <row r="567" spans="4:6" x14ac:dyDescent="0.2">
      <c r="D567"/>
      <c r="F567"/>
    </row>
    <row r="568" spans="4:6" x14ac:dyDescent="0.2">
      <c r="D568"/>
      <c r="F568"/>
    </row>
    <row r="569" spans="4:6" x14ac:dyDescent="0.2">
      <c r="D569"/>
      <c r="F569"/>
    </row>
    <row r="570" spans="4:6" x14ac:dyDescent="0.2">
      <c r="D570"/>
      <c r="F570"/>
    </row>
    <row r="571" spans="4:6" x14ac:dyDescent="0.2">
      <c r="D571"/>
      <c r="F571"/>
    </row>
    <row r="572" spans="4:6" x14ac:dyDescent="0.2">
      <c r="D572"/>
      <c r="F572"/>
    </row>
    <row r="573" spans="4:6" x14ac:dyDescent="0.2">
      <c r="D573"/>
      <c r="F573"/>
    </row>
    <row r="574" spans="4:6" x14ac:dyDescent="0.2">
      <c r="D574"/>
      <c r="F574"/>
    </row>
    <row r="575" spans="4:6" x14ac:dyDescent="0.2">
      <c r="D575"/>
      <c r="F575"/>
    </row>
    <row r="576" spans="4:6" x14ac:dyDescent="0.2">
      <c r="D576"/>
      <c r="F576"/>
    </row>
    <row r="577" spans="4:6" x14ac:dyDescent="0.2">
      <c r="D577"/>
      <c r="F577"/>
    </row>
    <row r="578" spans="4:6" x14ac:dyDescent="0.2">
      <c r="D578"/>
      <c r="F578"/>
    </row>
    <row r="579" spans="4:6" x14ac:dyDescent="0.2">
      <c r="D579"/>
      <c r="F579"/>
    </row>
    <row r="580" spans="4:6" x14ac:dyDescent="0.2">
      <c r="D580"/>
      <c r="F580"/>
    </row>
    <row r="581" spans="4:6" x14ac:dyDescent="0.2">
      <c r="D581"/>
      <c r="F581"/>
    </row>
    <row r="582" spans="4:6" x14ac:dyDescent="0.2">
      <c r="D582"/>
      <c r="F582"/>
    </row>
    <row r="583" spans="4:6" x14ac:dyDescent="0.2">
      <c r="D583"/>
      <c r="F583"/>
    </row>
    <row r="584" spans="4:6" x14ac:dyDescent="0.2">
      <c r="D584"/>
      <c r="F584"/>
    </row>
    <row r="585" spans="4:6" x14ac:dyDescent="0.2">
      <c r="D585"/>
      <c r="F585"/>
    </row>
    <row r="586" spans="4:6" x14ac:dyDescent="0.2">
      <c r="D586"/>
      <c r="F586"/>
    </row>
    <row r="587" spans="4:6" x14ac:dyDescent="0.2">
      <c r="D587"/>
      <c r="F587"/>
    </row>
    <row r="588" spans="4:6" x14ac:dyDescent="0.2">
      <c r="D588"/>
      <c r="F588"/>
    </row>
    <row r="589" spans="4:6" x14ac:dyDescent="0.2">
      <c r="D589"/>
      <c r="F589"/>
    </row>
    <row r="590" spans="4:6" x14ac:dyDescent="0.2">
      <c r="D590"/>
      <c r="F590"/>
    </row>
    <row r="591" spans="4:6" x14ac:dyDescent="0.2">
      <c r="D591"/>
      <c r="F591"/>
    </row>
    <row r="592" spans="4:6" x14ac:dyDescent="0.2">
      <c r="D592"/>
      <c r="F592"/>
    </row>
    <row r="593" spans="4:6" x14ac:dyDescent="0.2">
      <c r="D593"/>
      <c r="F593"/>
    </row>
    <row r="594" spans="4:6" x14ac:dyDescent="0.2">
      <c r="D594"/>
      <c r="F594"/>
    </row>
    <row r="595" spans="4:6" x14ac:dyDescent="0.2">
      <c r="D595"/>
      <c r="F595"/>
    </row>
    <row r="596" spans="4:6" x14ac:dyDescent="0.2">
      <c r="D596"/>
      <c r="F596"/>
    </row>
    <row r="597" spans="4:6" x14ac:dyDescent="0.2">
      <c r="D597"/>
      <c r="F597"/>
    </row>
    <row r="598" spans="4:6" x14ac:dyDescent="0.2">
      <c r="D598"/>
      <c r="F598"/>
    </row>
    <row r="599" spans="4:6" x14ac:dyDescent="0.2">
      <c r="D599"/>
      <c r="F599"/>
    </row>
    <row r="600" spans="4:6" x14ac:dyDescent="0.2">
      <c r="D600"/>
      <c r="F600"/>
    </row>
    <row r="601" spans="4:6" x14ac:dyDescent="0.2">
      <c r="D601"/>
      <c r="F601"/>
    </row>
    <row r="602" spans="4:6" x14ac:dyDescent="0.2">
      <c r="D602"/>
      <c r="F602"/>
    </row>
    <row r="603" spans="4:6" x14ac:dyDescent="0.2">
      <c r="D603"/>
      <c r="F603"/>
    </row>
    <row r="604" spans="4:6" x14ac:dyDescent="0.2">
      <c r="D604"/>
      <c r="F604"/>
    </row>
    <row r="605" spans="4:6" x14ac:dyDescent="0.2">
      <c r="D605"/>
      <c r="F605"/>
    </row>
    <row r="606" spans="4:6" x14ac:dyDescent="0.2">
      <c r="D606"/>
      <c r="F606"/>
    </row>
    <row r="607" spans="4:6" x14ac:dyDescent="0.2">
      <c r="D607"/>
      <c r="F607"/>
    </row>
    <row r="608" spans="4:6" x14ac:dyDescent="0.2">
      <c r="D608"/>
      <c r="F608"/>
    </row>
    <row r="609" spans="4:6" x14ac:dyDescent="0.2">
      <c r="D609"/>
      <c r="F609"/>
    </row>
    <row r="610" spans="4:6" x14ac:dyDescent="0.2">
      <c r="D610"/>
      <c r="F610"/>
    </row>
    <row r="611" spans="4:6" x14ac:dyDescent="0.2">
      <c r="D611"/>
      <c r="F611"/>
    </row>
    <row r="612" spans="4:6" x14ac:dyDescent="0.2">
      <c r="D612"/>
      <c r="F612"/>
    </row>
    <row r="613" spans="4:6" x14ac:dyDescent="0.2">
      <c r="D613"/>
      <c r="F613"/>
    </row>
    <row r="614" spans="4:6" x14ac:dyDescent="0.2">
      <c r="D614"/>
      <c r="F614"/>
    </row>
    <row r="615" spans="4:6" x14ac:dyDescent="0.2">
      <c r="D615"/>
      <c r="F615"/>
    </row>
    <row r="616" spans="4:6" x14ac:dyDescent="0.2">
      <c r="D616"/>
      <c r="F616"/>
    </row>
    <row r="617" spans="4:6" x14ac:dyDescent="0.2">
      <c r="D617"/>
      <c r="F617"/>
    </row>
    <row r="618" spans="4:6" x14ac:dyDescent="0.2">
      <c r="D618"/>
      <c r="F618"/>
    </row>
    <row r="619" spans="4:6" x14ac:dyDescent="0.2">
      <c r="D619"/>
      <c r="F619"/>
    </row>
    <row r="620" spans="4:6" x14ac:dyDescent="0.2">
      <c r="D620"/>
      <c r="F620"/>
    </row>
    <row r="621" spans="4:6" x14ac:dyDescent="0.2">
      <c r="D621"/>
      <c r="F621"/>
    </row>
    <row r="622" spans="4:6" x14ac:dyDescent="0.2">
      <c r="D622"/>
      <c r="F622"/>
    </row>
    <row r="623" spans="4:6" x14ac:dyDescent="0.2">
      <c r="D623"/>
      <c r="F623"/>
    </row>
    <row r="624" spans="4:6" x14ac:dyDescent="0.2">
      <c r="D624"/>
      <c r="F624"/>
    </row>
    <row r="625" spans="4:6" x14ac:dyDescent="0.2">
      <c r="D625"/>
      <c r="F625"/>
    </row>
    <row r="626" spans="4:6" x14ac:dyDescent="0.2">
      <c r="D626"/>
      <c r="F626"/>
    </row>
    <row r="627" spans="4:6" x14ac:dyDescent="0.2">
      <c r="D627"/>
      <c r="F627"/>
    </row>
    <row r="628" spans="4:6" x14ac:dyDescent="0.2">
      <c r="D628"/>
      <c r="F628"/>
    </row>
    <row r="629" spans="4:6" x14ac:dyDescent="0.2">
      <c r="D629"/>
      <c r="F629"/>
    </row>
    <row r="630" spans="4:6" x14ac:dyDescent="0.2">
      <c r="D630"/>
      <c r="F630"/>
    </row>
    <row r="631" spans="4:6" x14ac:dyDescent="0.2">
      <c r="D631"/>
      <c r="F631"/>
    </row>
    <row r="632" spans="4:6" x14ac:dyDescent="0.2">
      <c r="D632"/>
      <c r="F632"/>
    </row>
    <row r="633" spans="4:6" x14ac:dyDescent="0.2">
      <c r="D633"/>
      <c r="F633"/>
    </row>
    <row r="634" spans="4:6" x14ac:dyDescent="0.2">
      <c r="D634"/>
      <c r="F634"/>
    </row>
    <row r="635" spans="4:6" x14ac:dyDescent="0.2">
      <c r="D635"/>
      <c r="F635"/>
    </row>
    <row r="636" spans="4:6" x14ac:dyDescent="0.2">
      <c r="D636"/>
      <c r="F636"/>
    </row>
    <row r="637" spans="4:6" x14ac:dyDescent="0.2">
      <c r="D637"/>
      <c r="F637"/>
    </row>
    <row r="638" spans="4:6" x14ac:dyDescent="0.2">
      <c r="D638"/>
      <c r="F638"/>
    </row>
    <row r="639" spans="4:6" x14ac:dyDescent="0.2">
      <c r="D639"/>
      <c r="F639"/>
    </row>
    <row r="640" spans="4:6" x14ac:dyDescent="0.2">
      <c r="D640"/>
      <c r="F640"/>
    </row>
    <row r="641" spans="4:6" x14ac:dyDescent="0.2">
      <c r="D641"/>
      <c r="F641"/>
    </row>
    <row r="642" spans="4:6" x14ac:dyDescent="0.2">
      <c r="D642"/>
      <c r="F642"/>
    </row>
    <row r="643" spans="4:6" x14ac:dyDescent="0.2">
      <c r="D643"/>
      <c r="F643"/>
    </row>
    <row r="644" spans="4:6" x14ac:dyDescent="0.2">
      <c r="D644"/>
      <c r="F644"/>
    </row>
    <row r="645" spans="4:6" x14ac:dyDescent="0.2">
      <c r="D645"/>
      <c r="F645"/>
    </row>
    <row r="646" spans="4:6" x14ac:dyDescent="0.2">
      <c r="D646"/>
      <c r="F646"/>
    </row>
    <row r="647" spans="4:6" x14ac:dyDescent="0.2">
      <c r="D647"/>
      <c r="F647"/>
    </row>
    <row r="648" spans="4:6" x14ac:dyDescent="0.2">
      <c r="D648"/>
      <c r="F648"/>
    </row>
    <row r="649" spans="4:6" x14ac:dyDescent="0.2">
      <c r="D649"/>
      <c r="F649"/>
    </row>
    <row r="650" spans="4:6" x14ac:dyDescent="0.2">
      <c r="D650"/>
      <c r="F650"/>
    </row>
    <row r="651" spans="4:6" x14ac:dyDescent="0.2">
      <c r="D651"/>
      <c r="F651"/>
    </row>
    <row r="652" spans="4:6" x14ac:dyDescent="0.2">
      <c r="D652"/>
      <c r="F652"/>
    </row>
    <row r="653" spans="4:6" x14ac:dyDescent="0.2">
      <c r="D653"/>
      <c r="F653"/>
    </row>
    <row r="654" spans="4:6" x14ac:dyDescent="0.2">
      <c r="D654"/>
      <c r="F654"/>
    </row>
    <row r="655" spans="4:6" x14ac:dyDescent="0.2">
      <c r="D655"/>
      <c r="F655"/>
    </row>
    <row r="656" spans="4:6" x14ac:dyDescent="0.2">
      <c r="D656"/>
      <c r="F656"/>
    </row>
    <row r="657" spans="4:6" x14ac:dyDescent="0.2">
      <c r="D657"/>
      <c r="F657"/>
    </row>
    <row r="658" spans="4:6" x14ac:dyDescent="0.2">
      <c r="D658"/>
      <c r="F658"/>
    </row>
    <row r="659" spans="4:6" x14ac:dyDescent="0.2">
      <c r="D659"/>
      <c r="F659"/>
    </row>
    <row r="660" spans="4:6" x14ac:dyDescent="0.2">
      <c r="D660"/>
      <c r="F660"/>
    </row>
    <row r="661" spans="4:6" x14ac:dyDescent="0.2">
      <c r="D661"/>
      <c r="F661"/>
    </row>
    <row r="662" spans="4:6" x14ac:dyDescent="0.2">
      <c r="D662"/>
      <c r="F662"/>
    </row>
    <row r="663" spans="4:6" x14ac:dyDescent="0.2">
      <c r="D663"/>
      <c r="F663"/>
    </row>
    <row r="664" spans="4:6" x14ac:dyDescent="0.2">
      <c r="D664"/>
      <c r="F664"/>
    </row>
    <row r="665" spans="4:6" x14ac:dyDescent="0.2">
      <c r="D665"/>
      <c r="F665"/>
    </row>
    <row r="666" spans="4:6" x14ac:dyDescent="0.2">
      <c r="D666"/>
      <c r="F666"/>
    </row>
    <row r="667" spans="4:6" x14ac:dyDescent="0.2">
      <c r="D667"/>
      <c r="F667"/>
    </row>
    <row r="668" spans="4:6" x14ac:dyDescent="0.2">
      <c r="D668"/>
      <c r="F668"/>
    </row>
    <row r="669" spans="4:6" x14ac:dyDescent="0.2">
      <c r="D669"/>
      <c r="F669"/>
    </row>
    <row r="670" spans="4:6" x14ac:dyDescent="0.2">
      <c r="D670"/>
      <c r="F670"/>
    </row>
    <row r="671" spans="4:6" x14ac:dyDescent="0.2">
      <c r="D671"/>
      <c r="F671"/>
    </row>
    <row r="672" spans="4:6" x14ac:dyDescent="0.2">
      <c r="D672"/>
      <c r="F672"/>
    </row>
    <row r="673" spans="4:6" x14ac:dyDescent="0.2">
      <c r="D673"/>
      <c r="F673"/>
    </row>
    <row r="674" spans="4:6" x14ac:dyDescent="0.2">
      <c r="D674"/>
      <c r="F674"/>
    </row>
    <row r="675" spans="4:6" x14ac:dyDescent="0.2">
      <c r="D675"/>
      <c r="F675"/>
    </row>
    <row r="676" spans="4:6" x14ac:dyDescent="0.2">
      <c r="D676"/>
      <c r="F676"/>
    </row>
    <row r="677" spans="4:6" x14ac:dyDescent="0.2">
      <c r="D677"/>
      <c r="F677"/>
    </row>
    <row r="678" spans="4:6" x14ac:dyDescent="0.2">
      <c r="D678"/>
      <c r="F678"/>
    </row>
    <row r="679" spans="4:6" x14ac:dyDescent="0.2">
      <c r="D679"/>
      <c r="F679"/>
    </row>
    <row r="680" spans="4:6" x14ac:dyDescent="0.2">
      <c r="D680"/>
      <c r="F680"/>
    </row>
    <row r="681" spans="4:6" x14ac:dyDescent="0.2">
      <c r="D681"/>
      <c r="F681"/>
    </row>
    <row r="682" spans="4:6" x14ac:dyDescent="0.2">
      <c r="D682"/>
      <c r="F682"/>
    </row>
    <row r="683" spans="4:6" x14ac:dyDescent="0.2">
      <c r="D683"/>
      <c r="F683"/>
    </row>
    <row r="684" spans="4:6" x14ac:dyDescent="0.2">
      <c r="D684"/>
      <c r="F684"/>
    </row>
    <row r="685" spans="4:6" x14ac:dyDescent="0.2">
      <c r="D685"/>
      <c r="F685"/>
    </row>
    <row r="686" spans="4:6" x14ac:dyDescent="0.2">
      <c r="D686"/>
      <c r="F686"/>
    </row>
    <row r="687" spans="4:6" x14ac:dyDescent="0.2">
      <c r="D687"/>
      <c r="F687"/>
    </row>
    <row r="688" spans="4:6" x14ac:dyDescent="0.2">
      <c r="D688"/>
      <c r="F688"/>
    </row>
    <row r="689" spans="4:6" x14ac:dyDescent="0.2">
      <c r="D689"/>
      <c r="F689"/>
    </row>
    <row r="690" spans="4:6" x14ac:dyDescent="0.2">
      <c r="D690"/>
      <c r="F690"/>
    </row>
    <row r="691" spans="4:6" x14ac:dyDescent="0.2">
      <c r="D691"/>
      <c r="F691"/>
    </row>
    <row r="692" spans="4:6" x14ac:dyDescent="0.2">
      <c r="D692"/>
      <c r="F692"/>
    </row>
    <row r="693" spans="4:6" x14ac:dyDescent="0.2">
      <c r="D693"/>
      <c r="F693"/>
    </row>
    <row r="694" spans="4:6" x14ac:dyDescent="0.2">
      <c r="D694"/>
      <c r="F694"/>
    </row>
    <row r="695" spans="4:6" x14ac:dyDescent="0.2">
      <c r="D695"/>
      <c r="F695"/>
    </row>
    <row r="696" spans="4:6" x14ac:dyDescent="0.2">
      <c r="D696"/>
      <c r="F696"/>
    </row>
    <row r="697" spans="4:6" x14ac:dyDescent="0.2">
      <c r="D697"/>
      <c r="F697"/>
    </row>
    <row r="698" spans="4:6" x14ac:dyDescent="0.2">
      <c r="D698"/>
      <c r="F698"/>
    </row>
    <row r="699" spans="4:6" x14ac:dyDescent="0.2">
      <c r="D699"/>
      <c r="F699"/>
    </row>
    <row r="700" spans="4:6" x14ac:dyDescent="0.2">
      <c r="D700"/>
      <c r="F700"/>
    </row>
    <row r="701" spans="4:6" x14ac:dyDescent="0.2">
      <c r="D701"/>
      <c r="F701"/>
    </row>
    <row r="702" spans="4:6" x14ac:dyDescent="0.2">
      <c r="D702"/>
      <c r="F702"/>
    </row>
    <row r="703" spans="4:6" x14ac:dyDescent="0.2">
      <c r="D703"/>
      <c r="F703"/>
    </row>
    <row r="704" spans="4:6" x14ac:dyDescent="0.2">
      <c r="D704"/>
      <c r="F704"/>
    </row>
    <row r="705" spans="4:6" x14ac:dyDescent="0.2">
      <c r="D705"/>
      <c r="F705"/>
    </row>
    <row r="706" spans="4:6" x14ac:dyDescent="0.2">
      <c r="D706"/>
      <c r="F706"/>
    </row>
    <row r="707" spans="4:6" x14ac:dyDescent="0.2">
      <c r="D707"/>
      <c r="F707"/>
    </row>
    <row r="708" spans="4:6" x14ac:dyDescent="0.2">
      <c r="D708"/>
      <c r="F708"/>
    </row>
    <row r="709" spans="4:6" x14ac:dyDescent="0.2">
      <c r="D709"/>
      <c r="F709"/>
    </row>
    <row r="710" spans="4:6" x14ac:dyDescent="0.2">
      <c r="D710"/>
      <c r="F710"/>
    </row>
    <row r="711" spans="4:6" x14ac:dyDescent="0.2">
      <c r="D711"/>
      <c r="F711"/>
    </row>
    <row r="712" spans="4:6" x14ac:dyDescent="0.2">
      <c r="D712"/>
      <c r="F712"/>
    </row>
    <row r="713" spans="4:6" x14ac:dyDescent="0.2">
      <c r="D713"/>
      <c r="F713"/>
    </row>
    <row r="714" spans="4:6" x14ac:dyDescent="0.2">
      <c r="D714"/>
      <c r="F714"/>
    </row>
    <row r="715" spans="4:6" x14ac:dyDescent="0.2">
      <c r="D715"/>
      <c r="F715"/>
    </row>
    <row r="716" spans="4:6" x14ac:dyDescent="0.2">
      <c r="D716"/>
      <c r="F716"/>
    </row>
    <row r="717" spans="4:6" x14ac:dyDescent="0.2">
      <c r="D717"/>
      <c r="F717"/>
    </row>
    <row r="718" spans="4:6" x14ac:dyDescent="0.2">
      <c r="D718"/>
      <c r="F718"/>
    </row>
    <row r="719" spans="4:6" x14ac:dyDescent="0.2">
      <c r="D719"/>
      <c r="F719"/>
    </row>
    <row r="720" spans="4:6" x14ac:dyDescent="0.2">
      <c r="D720"/>
      <c r="F720"/>
    </row>
    <row r="721" spans="4:6" x14ac:dyDescent="0.2">
      <c r="D721"/>
      <c r="F721"/>
    </row>
    <row r="722" spans="4:6" x14ac:dyDescent="0.2">
      <c r="D722"/>
      <c r="F722"/>
    </row>
    <row r="723" spans="4:6" x14ac:dyDescent="0.2">
      <c r="D723"/>
      <c r="F723"/>
    </row>
    <row r="724" spans="4:6" x14ac:dyDescent="0.2">
      <c r="D724"/>
      <c r="F724"/>
    </row>
    <row r="725" spans="4:6" x14ac:dyDescent="0.2">
      <c r="D725"/>
      <c r="F725"/>
    </row>
    <row r="726" spans="4:6" x14ac:dyDescent="0.2">
      <c r="D726"/>
      <c r="F726"/>
    </row>
    <row r="727" spans="4:6" x14ac:dyDescent="0.2">
      <c r="D727"/>
      <c r="F727"/>
    </row>
    <row r="728" spans="4:6" x14ac:dyDescent="0.2">
      <c r="D728"/>
      <c r="F728"/>
    </row>
    <row r="729" spans="4:6" x14ac:dyDescent="0.2">
      <c r="D729"/>
      <c r="F729"/>
    </row>
    <row r="730" spans="4:6" x14ac:dyDescent="0.2">
      <c r="D730"/>
      <c r="F730"/>
    </row>
    <row r="731" spans="4:6" x14ac:dyDescent="0.2">
      <c r="D731"/>
      <c r="F731"/>
    </row>
    <row r="732" spans="4:6" x14ac:dyDescent="0.2">
      <c r="D732"/>
      <c r="F732"/>
    </row>
    <row r="733" spans="4:6" x14ac:dyDescent="0.2">
      <c r="D733"/>
      <c r="F733"/>
    </row>
    <row r="734" spans="4:6" x14ac:dyDescent="0.2">
      <c r="D734"/>
      <c r="F734"/>
    </row>
    <row r="735" spans="4:6" x14ac:dyDescent="0.2">
      <c r="D735"/>
      <c r="F735"/>
    </row>
    <row r="736" spans="4:6" x14ac:dyDescent="0.2">
      <c r="D736"/>
      <c r="F736"/>
    </row>
    <row r="737" spans="4:6" x14ac:dyDescent="0.2">
      <c r="D737"/>
      <c r="F737"/>
    </row>
    <row r="738" spans="4:6" x14ac:dyDescent="0.2">
      <c r="D738"/>
      <c r="F738"/>
    </row>
    <row r="739" spans="4:6" x14ac:dyDescent="0.2">
      <c r="D739"/>
      <c r="F739"/>
    </row>
    <row r="740" spans="4:6" x14ac:dyDescent="0.2">
      <c r="D740"/>
      <c r="F740"/>
    </row>
    <row r="741" spans="4:6" x14ac:dyDescent="0.2">
      <c r="D741"/>
      <c r="F741"/>
    </row>
    <row r="742" spans="4:6" x14ac:dyDescent="0.2">
      <c r="D742"/>
      <c r="F742"/>
    </row>
    <row r="743" spans="4:6" x14ac:dyDescent="0.2">
      <c r="D743"/>
      <c r="F743"/>
    </row>
    <row r="744" spans="4:6" x14ac:dyDescent="0.2">
      <c r="D744"/>
      <c r="F744"/>
    </row>
    <row r="745" spans="4:6" x14ac:dyDescent="0.2">
      <c r="D745"/>
      <c r="F745"/>
    </row>
    <row r="746" spans="4:6" x14ac:dyDescent="0.2">
      <c r="D746"/>
      <c r="F746"/>
    </row>
    <row r="747" spans="4:6" x14ac:dyDescent="0.2">
      <c r="D747"/>
      <c r="F747"/>
    </row>
    <row r="748" spans="4:6" x14ac:dyDescent="0.2">
      <c r="D748"/>
      <c r="F748"/>
    </row>
    <row r="749" spans="4:6" x14ac:dyDescent="0.2">
      <c r="D749"/>
      <c r="F749"/>
    </row>
    <row r="750" spans="4:6" x14ac:dyDescent="0.2">
      <c r="D750"/>
      <c r="F750"/>
    </row>
    <row r="751" spans="4:6" x14ac:dyDescent="0.2">
      <c r="D751"/>
      <c r="F751"/>
    </row>
    <row r="752" spans="4:6" x14ac:dyDescent="0.2">
      <c r="D752"/>
      <c r="F752"/>
    </row>
    <row r="753" spans="4:6" x14ac:dyDescent="0.2">
      <c r="D753"/>
      <c r="F753"/>
    </row>
    <row r="754" spans="4:6" x14ac:dyDescent="0.2">
      <c r="D754"/>
      <c r="F754"/>
    </row>
    <row r="755" spans="4:6" x14ac:dyDescent="0.2">
      <c r="D755"/>
      <c r="F755"/>
    </row>
    <row r="756" spans="4:6" x14ac:dyDescent="0.2">
      <c r="D756"/>
      <c r="F756"/>
    </row>
    <row r="757" spans="4:6" x14ac:dyDescent="0.2">
      <c r="D757"/>
      <c r="F757"/>
    </row>
    <row r="758" spans="4:6" x14ac:dyDescent="0.2">
      <c r="D758"/>
      <c r="F758"/>
    </row>
    <row r="759" spans="4:6" x14ac:dyDescent="0.2">
      <c r="D759"/>
      <c r="F759"/>
    </row>
    <row r="760" spans="4:6" x14ac:dyDescent="0.2">
      <c r="D760"/>
      <c r="F760"/>
    </row>
    <row r="761" spans="4:6" x14ac:dyDescent="0.2">
      <c r="D761"/>
      <c r="F761"/>
    </row>
    <row r="762" spans="4:6" x14ac:dyDescent="0.2">
      <c r="D762"/>
      <c r="F762"/>
    </row>
    <row r="763" spans="4:6" x14ac:dyDescent="0.2">
      <c r="D763"/>
      <c r="F763"/>
    </row>
    <row r="764" spans="4:6" x14ac:dyDescent="0.2">
      <c r="D764"/>
      <c r="F764"/>
    </row>
    <row r="765" spans="4:6" x14ac:dyDescent="0.2">
      <c r="D765"/>
      <c r="F765"/>
    </row>
    <row r="766" spans="4:6" x14ac:dyDescent="0.2">
      <c r="D766"/>
      <c r="F766"/>
    </row>
    <row r="767" spans="4:6" x14ac:dyDescent="0.2">
      <c r="D767"/>
      <c r="F767"/>
    </row>
    <row r="768" spans="4:6" x14ac:dyDescent="0.2">
      <c r="D768"/>
      <c r="F768"/>
    </row>
    <row r="769" spans="4:6" x14ac:dyDescent="0.2">
      <c r="D769"/>
      <c r="F769"/>
    </row>
    <row r="770" spans="4:6" x14ac:dyDescent="0.2">
      <c r="D770"/>
      <c r="F770"/>
    </row>
    <row r="771" spans="4:6" x14ac:dyDescent="0.2">
      <c r="D771"/>
      <c r="F771"/>
    </row>
    <row r="772" spans="4:6" x14ac:dyDescent="0.2">
      <c r="D772"/>
      <c r="F772"/>
    </row>
    <row r="773" spans="4:6" x14ac:dyDescent="0.2">
      <c r="D773"/>
      <c r="F773"/>
    </row>
    <row r="774" spans="4:6" x14ac:dyDescent="0.2">
      <c r="D774"/>
      <c r="F774"/>
    </row>
    <row r="775" spans="4:6" x14ac:dyDescent="0.2">
      <c r="D775"/>
      <c r="F775"/>
    </row>
    <row r="776" spans="4:6" x14ac:dyDescent="0.2">
      <c r="D776"/>
      <c r="F776"/>
    </row>
    <row r="777" spans="4:6" x14ac:dyDescent="0.2">
      <c r="D777"/>
      <c r="F777"/>
    </row>
    <row r="778" spans="4:6" x14ac:dyDescent="0.2">
      <c r="D778"/>
      <c r="F778"/>
    </row>
    <row r="779" spans="4:6" x14ac:dyDescent="0.2">
      <c r="D779"/>
      <c r="F779"/>
    </row>
    <row r="780" spans="4:6" x14ac:dyDescent="0.2">
      <c r="D780"/>
      <c r="F780"/>
    </row>
    <row r="781" spans="4:6" x14ac:dyDescent="0.2">
      <c r="D781"/>
      <c r="F781"/>
    </row>
    <row r="782" spans="4:6" x14ac:dyDescent="0.2">
      <c r="D782"/>
      <c r="F782"/>
    </row>
    <row r="783" spans="4:6" x14ac:dyDescent="0.2">
      <c r="D783"/>
      <c r="F783"/>
    </row>
    <row r="784" spans="4:6" x14ac:dyDescent="0.2">
      <c r="D784"/>
      <c r="F784"/>
    </row>
    <row r="785" spans="4:6" x14ac:dyDescent="0.2">
      <c r="D785"/>
      <c r="F785"/>
    </row>
    <row r="786" spans="4:6" x14ac:dyDescent="0.2">
      <c r="D786"/>
      <c r="F786"/>
    </row>
    <row r="787" spans="4:6" x14ac:dyDescent="0.2">
      <c r="D787"/>
      <c r="F787"/>
    </row>
    <row r="788" spans="4:6" x14ac:dyDescent="0.2">
      <c r="D788"/>
      <c r="F788"/>
    </row>
    <row r="789" spans="4:6" x14ac:dyDescent="0.2">
      <c r="D789"/>
      <c r="F789"/>
    </row>
    <row r="790" spans="4:6" x14ac:dyDescent="0.2">
      <c r="D790"/>
      <c r="F790"/>
    </row>
    <row r="791" spans="4:6" x14ac:dyDescent="0.2">
      <c r="D791"/>
      <c r="F791"/>
    </row>
    <row r="792" spans="4:6" x14ac:dyDescent="0.2">
      <c r="D792"/>
      <c r="F792"/>
    </row>
    <row r="793" spans="4:6" x14ac:dyDescent="0.2">
      <c r="D793"/>
      <c r="F793"/>
    </row>
    <row r="794" spans="4:6" x14ac:dyDescent="0.2">
      <c r="D794"/>
      <c r="F794"/>
    </row>
    <row r="795" spans="4:6" x14ac:dyDescent="0.2">
      <c r="D795"/>
      <c r="F795"/>
    </row>
    <row r="796" spans="4:6" x14ac:dyDescent="0.2">
      <c r="D796"/>
      <c r="F796"/>
    </row>
    <row r="797" spans="4:6" x14ac:dyDescent="0.2">
      <c r="D797"/>
      <c r="F797"/>
    </row>
    <row r="798" spans="4:6" x14ac:dyDescent="0.2">
      <c r="D798"/>
      <c r="F798"/>
    </row>
    <row r="799" spans="4:6" x14ac:dyDescent="0.2">
      <c r="D799"/>
      <c r="F799"/>
    </row>
    <row r="800" spans="4:6" x14ac:dyDescent="0.2">
      <c r="D800"/>
      <c r="F800"/>
    </row>
    <row r="801" spans="4:6" x14ac:dyDescent="0.2">
      <c r="D801"/>
      <c r="F801"/>
    </row>
    <row r="802" spans="4:6" x14ac:dyDescent="0.2">
      <c r="D802"/>
      <c r="F802"/>
    </row>
    <row r="803" spans="4:6" x14ac:dyDescent="0.2">
      <c r="D803"/>
      <c r="F803"/>
    </row>
    <row r="804" spans="4:6" x14ac:dyDescent="0.2">
      <c r="D804"/>
      <c r="F804"/>
    </row>
    <row r="805" spans="4:6" x14ac:dyDescent="0.2">
      <c r="D805"/>
      <c r="F805"/>
    </row>
    <row r="806" spans="4:6" x14ac:dyDescent="0.2">
      <c r="D806"/>
      <c r="F806"/>
    </row>
    <row r="807" spans="4:6" x14ac:dyDescent="0.2">
      <c r="D807"/>
      <c r="F807"/>
    </row>
    <row r="808" spans="4:6" x14ac:dyDescent="0.2">
      <c r="D808"/>
      <c r="F808"/>
    </row>
    <row r="809" spans="4:6" x14ac:dyDescent="0.2">
      <c r="D809"/>
      <c r="F809"/>
    </row>
    <row r="810" spans="4:6" x14ac:dyDescent="0.2">
      <c r="D810"/>
      <c r="F810"/>
    </row>
    <row r="811" spans="4:6" x14ac:dyDescent="0.2">
      <c r="D811"/>
      <c r="F811"/>
    </row>
    <row r="812" spans="4:6" x14ac:dyDescent="0.2">
      <c r="D812"/>
      <c r="F812"/>
    </row>
    <row r="813" spans="4:6" x14ac:dyDescent="0.2">
      <c r="D813"/>
      <c r="F813"/>
    </row>
    <row r="814" spans="4:6" x14ac:dyDescent="0.2">
      <c r="D814"/>
      <c r="F814"/>
    </row>
    <row r="815" spans="4:6" x14ac:dyDescent="0.2">
      <c r="D815"/>
      <c r="F815"/>
    </row>
    <row r="816" spans="4:6" x14ac:dyDescent="0.2">
      <c r="D816"/>
      <c r="F816"/>
    </row>
    <row r="817" spans="4:6" x14ac:dyDescent="0.2">
      <c r="D817"/>
      <c r="F817"/>
    </row>
    <row r="818" spans="4:6" x14ac:dyDescent="0.2">
      <c r="D818"/>
      <c r="F818"/>
    </row>
    <row r="819" spans="4:6" x14ac:dyDescent="0.2">
      <c r="D819"/>
      <c r="F819"/>
    </row>
    <row r="820" spans="4:6" x14ac:dyDescent="0.2">
      <c r="D820"/>
      <c r="F820"/>
    </row>
    <row r="821" spans="4:6" x14ac:dyDescent="0.2">
      <c r="D821"/>
      <c r="F821"/>
    </row>
    <row r="822" spans="4:6" x14ac:dyDescent="0.2">
      <c r="D822"/>
      <c r="F822"/>
    </row>
    <row r="823" spans="4:6" x14ac:dyDescent="0.2">
      <c r="D823"/>
      <c r="F823"/>
    </row>
    <row r="824" spans="4:6" x14ac:dyDescent="0.2">
      <c r="D824"/>
      <c r="F824"/>
    </row>
    <row r="825" spans="4:6" x14ac:dyDescent="0.2">
      <c r="D825"/>
      <c r="F825"/>
    </row>
    <row r="826" spans="4:6" x14ac:dyDescent="0.2">
      <c r="D826"/>
      <c r="F826"/>
    </row>
    <row r="827" spans="4:6" x14ac:dyDescent="0.2">
      <c r="D827"/>
      <c r="F827"/>
    </row>
    <row r="828" spans="4:6" x14ac:dyDescent="0.2">
      <c r="D828"/>
      <c r="F828"/>
    </row>
    <row r="829" spans="4:6" x14ac:dyDescent="0.2">
      <c r="D829"/>
      <c r="F829"/>
    </row>
    <row r="830" spans="4:6" x14ac:dyDescent="0.2">
      <c r="D830"/>
      <c r="F830"/>
    </row>
    <row r="831" spans="4:6" x14ac:dyDescent="0.2">
      <c r="D831"/>
      <c r="F831"/>
    </row>
    <row r="832" spans="4:6" x14ac:dyDescent="0.2">
      <c r="D832"/>
      <c r="F832"/>
    </row>
    <row r="833" spans="4:6" x14ac:dyDescent="0.2">
      <c r="D833"/>
      <c r="F833"/>
    </row>
    <row r="834" spans="4:6" x14ac:dyDescent="0.2">
      <c r="D834"/>
      <c r="F834"/>
    </row>
    <row r="835" spans="4:6" x14ac:dyDescent="0.2">
      <c r="D835"/>
      <c r="F835"/>
    </row>
    <row r="836" spans="4:6" x14ac:dyDescent="0.2">
      <c r="D836"/>
      <c r="F836"/>
    </row>
    <row r="837" spans="4:6" x14ac:dyDescent="0.2">
      <c r="D837"/>
      <c r="F837"/>
    </row>
    <row r="838" spans="4:6" x14ac:dyDescent="0.2">
      <c r="D838"/>
      <c r="F838"/>
    </row>
    <row r="839" spans="4:6" x14ac:dyDescent="0.2">
      <c r="D839"/>
      <c r="F839"/>
    </row>
    <row r="840" spans="4:6" x14ac:dyDescent="0.2">
      <c r="D840"/>
      <c r="F840"/>
    </row>
    <row r="841" spans="4:6" x14ac:dyDescent="0.2">
      <c r="D841"/>
      <c r="F841"/>
    </row>
    <row r="842" spans="4:6" x14ac:dyDescent="0.2">
      <c r="D842"/>
      <c r="F842"/>
    </row>
    <row r="843" spans="4:6" x14ac:dyDescent="0.2">
      <c r="D843"/>
      <c r="F843"/>
    </row>
    <row r="844" spans="4:6" x14ac:dyDescent="0.2">
      <c r="D844"/>
      <c r="F844"/>
    </row>
    <row r="845" spans="4:6" x14ac:dyDescent="0.2">
      <c r="D845"/>
      <c r="F845"/>
    </row>
    <row r="846" spans="4:6" x14ac:dyDescent="0.2">
      <c r="D846"/>
      <c r="F846"/>
    </row>
    <row r="847" spans="4:6" x14ac:dyDescent="0.2">
      <c r="D847"/>
      <c r="F847"/>
    </row>
    <row r="848" spans="4:6" x14ac:dyDescent="0.2">
      <c r="D848"/>
      <c r="F848"/>
    </row>
    <row r="849" spans="4:6" x14ac:dyDescent="0.2">
      <c r="D849"/>
      <c r="F849"/>
    </row>
    <row r="850" spans="4:6" x14ac:dyDescent="0.2">
      <c r="D850"/>
      <c r="F850"/>
    </row>
    <row r="851" spans="4:6" x14ac:dyDescent="0.2">
      <c r="D851"/>
      <c r="F851"/>
    </row>
    <row r="852" spans="4:6" x14ac:dyDescent="0.2">
      <c r="D852"/>
      <c r="F852"/>
    </row>
    <row r="853" spans="4:6" x14ac:dyDescent="0.2">
      <c r="D853"/>
      <c r="F853"/>
    </row>
    <row r="854" spans="4:6" x14ac:dyDescent="0.2">
      <c r="D854"/>
      <c r="F854"/>
    </row>
    <row r="855" spans="4:6" x14ac:dyDescent="0.2">
      <c r="D855"/>
      <c r="F855"/>
    </row>
    <row r="856" spans="4:6" x14ac:dyDescent="0.2">
      <c r="D856"/>
      <c r="F856"/>
    </row>
    <row r="857" spans="4:6" x14ac:dyDescent="0.2">
      <c r="D857"/>
      <c r="F857"/>
    </row>
    <row r="858" spans="4:6" x14ac:dyDescent="0.2">
      <c r="D858"/>
      <c r="F858"/>
    </row>
    <row r="859" spans="4:6" x14ac:dyDescent="0.2">
      <c r="D859"/>
      <c r="F859"/>
    </row>
    <row r="860" spans="4:6" x14ac:dyDescent="0.2">
      <c r="D860"/>
      <c r="F860"/>
    </row>
    <row r="861" spans="4:6" x14ac:dyDescent="0.2">
      <c r="D861"/>
      <c r="F861"/>
    </row>
    <row r="862" spans="4:6" x14ac:dyDescent="0.2">
      <c r="D862"/>
      <c r="F862"/>
    </row>
    <row r="863" spans="4:6" x14ac:dyDescent="0.2">
      <c r="D863"/>
      <c r="F863"/>
    </row>
    <row r="864" spans="4:6" x14ac:dyDescent="0.2">
      <c r="D864"/>
      <c r="F864"/>
    </row>
    <row r="865" spans="4:6" x14ac:dyDescent="0.2">
      <c r="D865"/>
      <c r="F865"/>
    </row>
    <row r="866" spans="4:6" x14ac:dyDescent="0.2">
      <c r="D866"/>
      <c r="F866"/>
    </row>
    <row r="867" spans="4:6" x14ac:dyDescent="0.2">
      <c r="D867"/>
      <c r="F867"/>
    </row>
    <row r="868" spans="4:6" x14ac:dyDescent="0.2">
      <c r="D868"/>
      <c r="F868"/>
    </row>
    <row r="869" spans="4:6" x14ac:dyDescent="0.2">
      <c r="D869"/>
      <c r="F869"/>
    </row>
    <row r="870" spans="4:6" x14ac:dyDescent="0.2">
      <c r="D870"/>
      <c r="F870"/>
    </row>
    <row r="871" spans="4:6" x14ac:dyDescent="0.2">
      <c r="D871"/>
      <c r="F871"/>
    </row>
    <row r="872" spans="4:6" x14ac:dyDescent="0.2">
      <c r="D872"/>
      <c r="F872"/>
    </row>
    <row r="873" spans="4:6" x14ac:dyDescent="0.2">
      <c r="D873"/>
      <c r="F873"/>
    </row>
    <row r="874" spans="4:6" x14ac:dyDescent="0.2">
      <c r="D874"/>
      <c r="F874"/>
    </row>
    <row r="875" spans="4:6" x14ac:dyDescent="0.2">
      <c r="D875"/>
      <c r="F875"/>
    </row>
    <row r="876" spans="4:6" x14ac:dyDescent="0.2">
      <c r="D876"/>
      <c r="F876"/>
    </row>
    <row r="877" spans="4:6" x14ac:dyDescent="0.2">
      <c r="D877"/>
      <c r="F877"/>
    </row>
    <row r="878" spans="4:6" x14ac:dyDescent="0.2">
      <c r="D878"/>
      <c r="F878"/>
    </row>
    <row r="879" spans="4:6" x14ac:dyDescent="0.2">
      <c r="D879"/>
      <c r="F879"/>
    </row>
    <row r="880" spans="4:6" x14ac:dyDescent="0.2">
      <c r="D880"/>
      <c r="F880"/>
    </row>
    <row r="881" spans="4:6" x14ac:dyDescent="0.2">
      <c r="D881"/>
      <c r="F881"/>
    </row>
    <row r="882" spans="4:6" x14ac:dyDescent="0.2">
      <c r="D882"/>
      <c r="F882"/>
    </row>
    <row r="883" spans="4:6" x14ac:dyDescent="0.2">
      <c r="D883"/>
      <c r="F883"/>
    </row>
    <row r="884" spans="4:6" x14ac:dyDescent="0.2">
      <c r="D884"/>
      <c r="F884"/>
    </row>
    <row r="885" spans="4:6" x14ac:dyDescent="0.2">
      <c r="D885"/>
      <c r="F885"/>
    </row>
    <row r="886" spans="4:6" x14ac:dyDescent="0.2">
      <c r="D886"/>
      <c r="F886"/>
    </row>
    <row r="887" spans="4:6" x14ac:dyDescent="0.2">
      <c r="D887"/>
      <c r="F887"/>
    </row>
    <row r="888" spans="4:6" x14ac:dyDescent="0.2">
      <c r="D888"/>
      <c r="F888"/>
    </row>
    <row r="889" spans="4:6" x14ac:dyDescent="0.2">
      <c r="D889"/>
      <c r="F889"/>
    </row>
    <row r="890" spans="4:6" x14ac:dyDescent="0.2">
      <c r="D890"/>
      <c r="F890"/>
    </row>
    <row r="891" spans="4:6" x14ac:dyDescent="0.2">
      <c r="D891"/>
      <c r="F891"/>
    </row>
    <row r="892" spans="4:6" x14ac:dyDescent="0.2">
      <c r="D892"/>
      <c r="F892"/>
    </row>
    <row r="893" spans="4:6" x14ac:dyDescent="0.2">
      <c r="D893"/>
      <c r="F893"/>
    </row>
    <row r="894" spans="4:6" x14ac:dyDescent="0.2">
      <c r="D894"/>
      <c r="F894"/>
    </row>
    <row r="895" spans="4:6" x14ac:dyDescent="0.2">
      <c r="D895"/>
      <c r="F895"/>
    </row>
    <row r="896" spans="4:6" x14ac:dyDescent="0.2">
      <c r="D896"/>
      <c r="F896"/>
    </row>
    <row r="897" spans="4:6" x14ac:dyDescent="0.2">
      <c r="D897"/>
      <c r="F897"/>
    </row>
    <row r="898" spans="4:6" x14ac:dyDescent="0.2">
      <c r="D898"/>
      <c r="F898"/>
    </row>
    <row r="899" spans="4:6" x14ac:dyDescent="0.2">
      <c r="D899"/>
      <c r="F899"/>
    </row>
    <row r="900" spans="4:6" x14ac:dyDescent="0.2">
      <c r="D900"/>
      <c r="F900"/>
    </row>
    <row r="901" spans="4:6" x14ac:dyDescent="0.2">
      <c r="D901"/>
      <c r="F901"/>
    </row>
    <row r="902" spans="4:6" x14ac:dyDescent="0.2">
      <c r="D902"/>
      <c r="F902"/>
    </row>
    <row r="903" spans="4:6" x14ac:dyDescent="0.2">
      <c r="D903"/>
      <c r="F903"/>
    </row>
    <row r="904" spans="4:6" x14ac:dyDescent="0.2">
      <c r="D904"/>
      <c r="F904"/>
    </row>
    <row r="905" spans="4:6" x14ac:dyDescent="0.2">
      <c r="D905"/>
      <c r="F905"/>
    </row>
    <row r="906" spans="4:6" x14ac:dyDescent="0.2">
      <c r="D906"/>
      <c r="F906"/>
    </row>
    <row r="907" spans="4:6" x14ac:dyDescent="0.2">
      <c r="D907"/>
      <c r="F907"/>
    </row>
    <row r="908" spans="4:6" x14ac:dyDescent="0.2">
      <c r="D908"/>
      <c r="F908"/>
    </row>
    <row r="909" spans="4:6" x14ac:dyDescent="0.2">
      <c r="D909"/>
      <c r="F909"/>
    </row>
    <row r="910" spans="4:6" x14ac:dyDescent="0.2">
      <c r="D910"/>
      <c r="F910"/>
    </row>
    <row r="911" spans="4:6" x14ac:dyDescent="0.2">
      <c r="D911"/>
      <c r="F911"/>
    </row>
    <row r="912" spans="4:6" x14ac:dyDescent="0.2">
      <c r="D912"/>
      <c r="F912"/>
    </row>
    <row r="913" spans="4:6" x14ac:dyDescent="0.2">
      <c r="D913"/>
      <c r="F913"/>
    </row>
    <row r="914" spans="4:6" x14ac:dyDescent="0.2">
      <c r="D914"/>
      <c r="F914"/>
    </row>
    <row r="915" spans="4:6" x14ac:dyDescent="0.2">
      <c r="D915"/>
      <c r="F915"/>
    </row>
    <row r="916" spans="4:6" x14ac:dyDescent="0.2">
      <c r="D916"/>
      <c r="F916"/>
    </row>
    <row r="917" spans="4:6" x14ac:dyDescent="0.2">
      <c r="D917"/>
      <c r="F917"/>
    </row>
    <row r="918" spans="4:6" x14ac:dyDescent="0.2">
      <c r="D918"/>
      <c r="F918"/>
    </row>
    <row r="919" spans="4:6" x14ac:dyDescent="0.2">
      <c r="D919"/>
      <c r="F919"/>
    </row>
    <row r="920" spans="4:6" x14ac:dyDescent="0.2">
      <c r="D920"/>
      <c r="F920"/>
    </row>
    <row r="921" spans="4:6" x14ac:dyDescent="0.2">
      <c r="D921"/>
      <c r="F921"/>
    </row>
    <row r="922" spans="4:6" x14ac:dyDescent="0.2">
      <c r="D922"/>
      <c r="F922"/>
    </row>
    <row r="923" spans="4:6" x14ac:dyDescent="0.2">
      <c r="D923"/>
      <c r="F923"/>
    </row>
    <row r="924" spans="4:6" x14ac:dyDescent="0.2">
      <c r="D924"/>
      <c r="F924"/>
    </row>
    <row r="925" spans="4:6" x14ac:dyDescent="0.2">
      <c r="D925"/>
      <c r="F925"/>
    </row>
    <row r="926" spans="4:6" x14ac:dyDescent="0.2">
      <c r="D926"/>
      <c r="F926"/>
    </row>
    <row r="927" spans="4:6" x14ac:dyDescent="0.2">
      <c r="D927"/>
      <c r="F927"/>
    </row>
    <row r="928" spans="4:6" x14ac:dyDescent="0.2">
      <c r="D928"/>
      <c r="F928"/>
    </row>
    <row r="929" spans="4:6" x14ac:dyDescent="0.2">
      <c r="D929"/>
      <c r="F929"/>
    </row>
    <row r="930" spans="4:6" x14ac:dyDescent="0.2">
      <c r="D930"/>
      <c r="F930"/>
    </row>
    <row r="931" spans="4:6" x14ac:dyDescent="0.2">
      <c r="D931"/>
      <c r="F931"/>
    </row>
    <row r="932" spans="4:6" x14ac:dyDescent="0.2">
      <c r="D932"/>
      <c r="F932"/>
    </row>
    <row r="933" spans="4:6" x14ac:dyDescent="0.2">
      <c r="D933"/>
      <c r="F933"/>
    </row>
    <row r="934" spans="4:6" x14ac:dyDescent="0.2">
      <c r="D934"/>
      <c r="F934"/>
    </row>
    <row r="935" spans="4:6" x14ac:dyDescent="0.2">
      <c r="D935"/>
      <c r="F935"/>
    </row>
    <row r="936" spans="4:6" x14ac:dyDescent="0.2">
      <c r="D936"/>
      <c r="F936"/>
    </row>
    <row r="937" spans="4:6" x14ac:dyDescent="0.2">
      <c r="D937"/>
      <c r="F937"/>
    </row>
    <row r="938" spans="4:6" x14ac:dyDescent="0.2">
      <c r="D938"/>
      <c r="F938"/>
    </row>
    <row r="939" spans="4:6" x14ac:dyDescent="0.2">
      <c r="D939"/>
      <c r="F939"/>
    </row>
    <row r="940" spans="4:6" x14ac:dyDescent="0.2">
      <c r="D940"/>
      <c r="F940"/>
    </row>
    <row r="941" spans="4:6" x14ac:dyDescent="0.2">
      <c r="D941"/>
      <c r="F941"/>
    </row>
    <row r="942" spans="4:6" x14ac:dyDescent="0.2">
      <c r="D942"/>
      <c r="F942"/>
    </row>
    <row r="943" spans="4:6" x14ac:dyDescent="0.2">
      <c r="D943"/>
      <c r="F943"/>
    </row>
    <row r="944" spans="4:6" x14ac:dyDescent="0.2">
      <c r="D944"/>
      <c r="F944"/>
    </row>
    <row r="945" spans="4:6" x14ac:dyDescent="0.2">
      <c r="D945"/>
      <c r="F945"/>
    </row>
    <row r="946" spans="4:6" x14ac:dyDescent="0.2">
      <c r="D946"/>
      <c r="F946"/>
    </row>
    <row r="947" spans="4:6" x14ac:dyDescent="0.2">
      <c r="D947"/>
      <c r="F947"/>
    </row>
    <row r="948" spans="4:6" x14ac:dyDescent="0.2">
      <c r="D948"/>
      <c r="F948"/>
    </row>
    <row r="949" spans="4:6" x14ac:dyDescent="0.2">
      <c r="D949"/>
      <c r="F949"/>
    </row>
    <row r="950" spans="4:6" x14ac:dyDescent="0.2">
      <c r="D950"/>
      <c r="F950"/>
    </row>
    <row r="951" spans="4:6" x14ac:dyDescent="0.2">
      <c r="D951"/>
      <c r="F951"/>
    </row>
    <row r="952" spans="4:6" x14ac:dyDescent="0.2">
      <c r="D952"/>
      <c r="F952"/>
    </row>
    <row r="953" spans="4:6" x14ac:dyDescent="0.2">
      <c r="D953"/>
      <c r="F953"/>
    </row>
    <row r="954" spans="4:6" x14ac:dyDescent="0.2">
      <c r="D954"/>
      <c r="F954"/>
    </row>
    <row r="955" spans="4:6" x14ac:dyDescent="0.2">
      <c r="D955"/>
      <c r="F955"/>
    </row>
    <row r="956" spans="4:6" x14ac:dyDescent="0.2">
      <c r="D956"/>
      <c r="F956"/>
    </row>
    <row r="957" spans="4:6" x14ac:dyDescent="0.2">
      <c r="D957"/>
      <c r="F957"/>
    </row>
    <row r="958" spans="4:6" x14ac:dyDescent="0.2">
      <c r="D958"/>
      <c r="F958"/>
    </row>
    <row r="959" spans="4:6" x14ac:dyDescent="0.2">
      <c r="D959"/>
      <c r="F959"/>
    </row>
    <row r="960" spans="4:6" x14ac:dyDescent="0.2">
      <c r="D960"/>
      <c r="F960"/>
    </row>
    <row r="961" spans="4:6" x14ac:dyDescent="0.2">
      <c r="D961"/>
      <c r="F961"/>
    </row>
    <row r="962" spans="4:6" x14ac:dyDescent="0.2">
      <c r="D962"/>
      <c r="F962"/>
    </row>
    <row r="963" spans="4:6" x14ac:dyDescent="0.2">
      <c r="D963"/>
      <c r="F963"/>
    </row>
    <row r="964" spans="4:6" x14ac:dyDescent="0.2">
      <c r="D964"/>
      <c r="F964"/>
    </row>
    <row r="965" spans="4:6" x14ac:dyDescent="0.2">
      <c r="D965"/>
      <c r="F965"/>
    </row>
    <row r="966" spans="4:6" x14ac:dyDescent="0.2">
      <c r="D966"/>
      <c r="F966"/>
    </row>
    <row r="967" spans="4:6" x14ac:dyDescent="0.2">
      <c r="D967"/>
      <c r="F967"/>
    </row>
    <row r="968" spans="4:6" x14ac:dyDescent="0.2">
      <c r="D968"/>
      <c r="F968"/>
    </row>
    <row r="969" spans="4:6" x14ac:dyDescent="0.2">
      <c r="D969"/>
      <c r="F969"/>
    </row>
    <row r="970" spans="4:6" x14ac:dyDescent="0.2">
      <c r="D970"/>
      <c r="F970"/>
    </row>
    <row r="971" spans="4:6" x14ac:dyDescent="0.2">
      <c r="D971"/>
      <c r="F971"/>
    </row>
    <row r="972" spans="4:6" x14ac:dyDescent="0.2">
      <c r="D972"/>
      <c r="F972"/>
    </row>
    <row r="973" spans="4:6" x14ac:dyDescent="0.2">
      <c r="D973"/>
      <c r="F973"/>
    </row>
    <row r="974" spans="4:6" x14ac:dyDescent="0.2">
      <c r="D974"/>
      <c r="F974"/>
    </row>
    <row r="975" spans="4:6" x14ac:dyDescent="0.2">
      <c r="D975"/>
      <c r="F975"/>
    </row>
    <row r="976" spans="4:6" x14ac:dyDescent="0.2">
      <c r="D976"/>
      <c r="F976"/>
    </row>
    <row r="977" spans="4:6" x14ac:dyDescent="0.2">
      <c r="D977"/>
      <c r="F977"/>
    </row>
    <row r="978" spans="4:6" x14ac:dyDescent="0.2">
      <c r="D978"/>
      <c r="F978"/>
    </row>
    <row r="979" spans="4:6" x14ac:dyDescent="0.2">
      <c r="D979"/>
      <c r="F979"/>
    </row>
    <row r="980" spans="4:6" x14ac:dyDescent="0.2">
      <c r="D980"/>
      <c r="F980"/>
    </row>
    <row r="981" spans="4:6" x14ac:dyDescent="0.2">
      <c r="D981"/>
      <c r="F981"/>
    </row>
    <row r="982" spans="4:6" x14ac:dyDescent="0.2">
      <c r="D982"/>
      <c r="F982"/>
    </row>
    <row r="983" spans="4:6" x14ac:dyDescent="0.2">
      <c r="D983"/>
      <c r="F983"/>
    </row>
    <row r="984" spans="4:6" x14ac:dyDescent="0.2">
      <c r="D984"/>
      <c r="F984"/>
    </row>
    <row r="985" spans="4:6" x14ac:dyDescent="0.2">
      <c r="D985"/>
      <c r="F985"/>
    </row>
    <row r="986" spans="4:6" x14ac:dyDescent="0.2">
      <c r="D986"/>
      <c r="F986"/>
    </row>
    <row r="987" spans="4:6" x14ac:dyDescent="0.2">
      <c r="D987"/>
      <c r="F987"/>
    </row>
    <row r="988" spans="4:6" x14ac:dyDescent="0.2">
      <c r="D988"/>
      <c r="F988"/>
    </row>
    <row r="989" spans="4:6" x14ac:dyDescent="0.2">
      <c r="D989"/>
      <c r="F989"/>
    </row>
    <row r="990" spans="4:6" x14ac:dyDescent="0.2">
      <c r="D990"/>
      <c r="F990"/>
    </row>
    <row r="991" spans="4:6" x14ac:dyDescent="0.2">
      <c r="D991"/>
      <c r="F991"/>
    </row>
    <row r="992" spans="4:6" x14ac:dyDescent="0.2">
      <c r="D992"/>
      <c r="F992"/>
    </row>
    <row r="993" spans="4:6" x14ac:dyDescent="0.2">
      <c r="D993"/>
      <c r="F993"/>
    </row>
    <row r="994" spans="4:6" x14ac:dyDescent="0.2">
      <c r="D994"/>
      <c r="F994"/>
    </row>
    <row r="995" spans="4:6" x14ac:dyDescent="0.2">
      <c r="D995"/>
      <c r="F995"/>
    </row>
    <row r="996" spans="4:6" x14ac:dyDescent="0.2">
      <c r="D996"/>
      <c r="F996"/>
    </row>
    <row r="997" spans="4:6" x14ac:dyDescent="0.2">
      <c r="D997"/>
      <c r="F997"/>
    </row>
    <row r="998" spans="4:6" x14ac:dyDescent="0.2">
      <c r="D998"/>
      <c r="F998"/>
    </row>
    <row r="999" spans="4:6" x14ac:dyDescent="0.2">
      <c r="D999"/>
      <c r="F999"/>
    </row>
    <row r="1000" spans="4:6" x14ac:dyDescent="0.2">
      <c r="D1000"/>
      <c r="F1000"/>
    </row>
    <row r="1001" spans="4:6" x14ac:dyDescent="0.2">
      <c r="D1001"/>
      <c r="F1001"/>
    </row>
    <row r="1002" spans="4:6" x14ac:dyDescent="0.2">
      <c r="D1002"/>
      <c r="F1002"/>
    </row>
    <row r="1003" spans="4:6" x14ac:dyDescent="0.2">
      <c r="D1003"/>
      <c r="F1003"/>
    </row>
    <row r="1004" spans="4:6" x14ac:dyDescent="0.2">
      <c r="D1004"/>
      <c r="F1004"/>
    </row>
    <row r="1005" spans="4:6" x14ac:dyDescent="0.2">
      <c r="D1005"/>
      <c r="F1005"/>
    </row>
    <row r="1006" spans="4:6" x14ac:dyDescent="0.2">
      <c r="D1006"/>
      <c r="F1006"/>
    </row>
    <row r="1007" spans="4:6" x14ac:dyDescent="0.2">
      <c r="D1007"/>
      <c r="F1007"/>
    </row>
    <row r="1008" spans="4:6" x14ac:dyDescent="0.2">
      <c r="D1008"/>
      <c r="F1008"/>
    </row>
    <row r="1009" spans="4:6" x14ac:dyDescent="0.2">
      <c r="D1009"/>
      <c r="F1009"/>
    </row>
    <row r="1010" spans="4:6" x14ac:dyDescent="0.2">
      <c r="D1010"/>
      <c r="F1010"/>
    </row>
    <row r="1011" spans="4:6" x14ac:dyDescent="0.2">
      <c r="D1011"/>
      <c r="F1011"/>
    </row>
    <row r="1012" spans="4:6" x14ac:dyDescent="0.2">
      <c r="D1012"/>
      <c r="F1012"/>
    </row>
    <row r="1013" spans="4:6" x14ac:dyDescent="0.2">
      <c r="D1013"/>
      <c r="F1013"/>
    </row>
    <row r="1014" spans="4:6" x14ac:dyDescent="0.2">
      <c r="D1014"/>
      <c r="F1014"/>
    </row>
    <row r="1015" spans="4:6" x14ac:dyDescent="0.2">
      <c r="D1015"/>
      <c r="F1015"/>
    </row>
    <row r="1016" spans="4:6" x14ac:dyDescent="0.2">
      <c r="D1016"/>
      <c r="F1016"/>
    </row>
    <row r="1017" spans="4:6" x14ac:dyDescent="0.2">
      <c r="D1017"/>
      <c r="F1017"/>
    </row>
    <row r="1018" spans="4:6" x14ac:dyDescent="0.2">
      <c r="D1018"/>
      <c r="F1018"/>
    </row>
    <row r="1019" spans="4:6" x14ac:dyDescent="0.2">
      <c r="D1019"/>
      <c r="F1019"/>
    </row>
    <row r="1020" spans="4:6" x14ac:dyDescent="0.2">
      <c r="D1020"/>
      <c r="F1020"/>
    </row>
    <row r="1021" spans="4:6" x14ac:dyDescent="0.2">
      <c r="D1021"/>
      <c r="F1021"/>
    </row>
    <row r="1022" spans="4:6" x14ac:dyDescent="0.2">
      <c r="D1022"/>
      <c r="F1022"/>
    </row>
    <row r="1023" spans="4:6" x14ac:dyDescent="0.2">
      <c r="D1023"/>
      <c r="F1023"/>
    </row>
    <row r="1024" spans="4:6" x14ac:dyDescent="0.2">
      <c r="D1024"/>
      <c r="F1024"/>
    </row>
    <row r="1025" spans="4:6" x14ac:dyDescent="0.2">
      <c r="D1025"/>
      <c r="F1025"/>
    </row>
    <row r="1026" spans="4:6" x14ac:dyDescent="0.2">
      <c r="D1026"/>
      <c r="F1026"/>
    </row>
    <row r="1027" spans="4:6" x14ac:dyDescent="0.2">
      <c r="D1027"/>
      <c r="F1027"/>
    </row>
    <row r="1028" spans="4:6" x14ac:dyDescent="0.2">
      <c r="D1028"/>
      <c r="F1028"/>
    </row>
    <row r="1029" spans="4:6" x14ac:dyDescent="0.2">
      <c r="D1029"/>
      <c r="F1029"/>
    </row>
    <row r="1030" spans="4:6" x14ac:dyDescent="0.2">
      <c r="D1030"/>
      <c r="F1030"/>
    </row>
    <row r="1031" spans="4:6" x14ac:dyDescent="0.2">
      <c r="D1031"/>
      <c r="F1031"/>
    </row>
    <row r="1032" spans="4:6" x14ac:dyDescent="0.2">
      <c r="D1032"/>
      <c r="F1032"/>
    </row>
    <row r="1033" spans="4:6" x14ac:dyDescent="0.2">
      <c r="D1033"/>
      <c r="F1033"/>
    </row>
    <row r="1034" spans="4:6" x14ac:dyDescent="0.2">
      <c r="D1034"/>
      <c r="F1034"/>
    </row>
    <row r="1035" spans="4:6" x14ac:dyDescent="0.2">
      <c r="D1035"/>
      <c r="F1035"/>
    </row>
    <row r="1036" spans="4:6" x14ac:dyDescent="0.2">
      <c r="D1036"/>
      <c r="F1036"/>
    </row>
    <row r="1037" spans="4:6" x14ac:dyDescent="0.2">
      <c r="D1037"/>
      <c r="F1037"/>
    </row>
    <row r="1038" spans="4:6" x14ac:dyDescent="0.2">
      <c r="D1038"/>
      <c r="F1038"/>
    </row>
    <row r="1039" spans="4:6" x14ac:dyDescent="0.2">
      <c r="D1039"/>
      <c r="F1039"/>
    </row>
    <row r="1040" spans="4:6" x14ac:dyDescent="0.2">
      <c r="D1040"/>
      <c r="F1040"/>
    </row>
    <row r="1041" spans="4:6" x14ac:dyDescent="0.2">
      <c r="D1041"/>
      <c r="F1041"/>
    </row>
    <row r="1042" spans="4:6" x14ac:dyDescent="0.2">
      <c r="D1042"/>
      <c r="F1042"/>
    </row>
    <row r="1043" spans="4:6" x14ac:dyDescent="0.2">
      <c r="D1043"/>
      <c r="F1043"/>
    </row>
    <row r="1044" spans="4:6" x14ac:dyDescent="0.2">
      <c r="D1044"/>
      <c r="F1044"/>
    </row>
    <row r="1045" spans="4:6" x14ac:dyDescent="0.2">
      <c r="D1045"/>
      <c r="F1045"/>
    </row>
    <row r="1046" spans="4:6" x14ac:dyDescent="0.2">
      <c r="D1046"/>
      <c r="F1046"/>
    </row>
    <row r="1047" spans="4:6" x14ac:dyDescent="0.2">
      <c r="D1047"/>
      <c r="F1047"/>
    </row>
    <row r="1048" spans="4:6" x14ac:dyDescent="0.2">
      <c r="D1048"/>
      <c r="F1048"/>
    </row>
    <row r="1049" spans="4:6" x14ac:dyDescent="0.2">
      <c r="D1049"/>
      <c r="F1049"/>
    </row>
    <row r="1050" spans="4:6" x14ac:dyDescent="0.2">
      <c r="D1050"/>
      <c r="F1050"/>
    </row>
    <row r="1051" spans="4:6" x14ac:dyDescent="0.2">
      <c r="D1051"/>
      <c r="F1051"/>
    </row>
    <row r="1052" spans="4:6" x14ac:dyDescent="0.2">
      <c r="D1052"/>
      <c r="F1052"/>
    </row>
    <row r="1053" spans="4:6" x14ac:dyDescent="0.2">
      <c r="D1053"/>
      <c r="F1053"/>
    </row>
    <row r="1054" spans="4:6" x14ac:dyDescent="0.2">
      <c r="D1054"/>
      <c r="F1054"/>
    </row>
    <row r="1055" spans="4:6" x14ac:dyDescent="0.2">
      <c r="D1055"/>
      <c r="F1055"/>
    </row>
    <row r="1056" spans="4:6" x14ac:dyDescent="0.2">
      <c r="D1056"/>
      <c r="F1056"/>
    </row>
    <row r="1057" spans="4:6" x14ac:dyDescent="0.2">
      <c r="D1057"/>
      <c r="F1057"/>
    </row>
    <row r="1058" spans="4:6" x14ac:dyDescent="0.2">
      <c r="D1058"/>
      <c r="F1058"/>
    </row>
    <row r="1059" spans="4:6" x14ac:dyDescent="0.2">
      <c r="D1059"/>
      <c r="F1059"/>
    </row>
    <row r="1060" spans="4:6" x14ac:dyDescent="0.2">
      <c r="D1060"/>
      <c r="F1060"/>
    </row>
    <row r="1061" spans="4:6" x14ac:dyDescent="0.2">
      <c r="D1061"/>
      <c r="F1061"/>
    </row>
    <row r="1062" spans="4:6" x14ac:dyDescent="0.2">
      <c r="D1062"/>
      <c r="F1062"/>
    </row>
    <row r="1063" spans="4:6" x14ac:dyDescent="0.2">
      <c r="D1063"/>
      <c r="F1063"/>
    </row>
    <row r="1064" spans="4:6" x14ac:dyDescent="0.2">
      <c r="D1064"/>
      <c r="F1064"/>
    </row>
    <row r="1065" spans="4:6" x14ac:dyDescent="0.2">
      <c r="D1065"/>
      <c r="F1065"/>
    </row>
    <row r="1066" spans="4:6" x14ac:dyDescent="0.2">
      <c r="D1066"/>
      <c r="F1066"/>
    </row>
    <row r="1067" spans="4:6" x14ac:dyDescent="0.2">
      <c r="D1067"/>
      <c r="F1067"/>
    </row>
    <row r="1068" spans="4:6" x14ac:dyDescent="0.2">
      <c r="D1068"/>
      <c r="F1068"/>
    </row>
    <row r="1069" spans="4:6" x14ac:dyDescent="0.2">
      <c r="D1069"/>
      <c r="F1069"/>
    </row>
    <row r="1070" spans="4:6" x14ac:dyDescent="0.2">
      <c r="D1070"/>
      <c r="F1070"/>
    </row>
    <row r="1071" spans="4:6" x14ac:dyDescent="0.2">
      <c r="D1071"/>
      <c r="F1071"/>
    </row>
    <row r="1072" spans="4:6" x14ac:dyDescent="0.2">
      <c r="D1072"/>
      <c r="F1072"/>
    </row>
    <row r="1073" spans="4:6" x14ac:dyDescent="0.2">
      <c r="D1073"/>
      <c r="F1073"/>
    </row>
    <row r="1074" spans="4:6" x14ac:dyDescent="0.2">
      <c r="D1074"/>
      <c r="F1074"/>
    </row>
    <row r="1075" spans="4:6" x14ac:dyDescent="0.2">
      <c r="D1075"/>
      <c r="F1075"/>
    </row>
    <row r="1076" spans="4:6" x14ac:dyDescent="0.2">
      <c r="D1076"/>
      <c r="F1076"/>
    </row>
    <row r="1077" spans="4:6" x14ac:dyDescent="0.2">
      <c r="D1077"/>
      <c r="F1077"/>
    </row>
    <row r="1078" spans="4:6" x14ac:dyDescent="0.2">
      <c r="D1078"/>
      <c r="F1078"/>
    </row>
    <row r="1079" spans="4:6" x14ac:dyDescent="0.2">
      <c r="D1079"/>
      <c r="F1079"/>
    </row>
    <row r="1080" spans="4:6" x14ac:dyDescent="0.2">
      <c r="D1080"/>
      <c r="F1080"/>
    </row>
    <row r="1081" spans="4:6" x14ac:dyDescent="0.2">
      <c r="D1081"/>
      <c r="F1081"/>
    </row>
    <row r="1082" spans="4:6" x14ac:dyDescent="0.2">
      <c r="D1082"/>
      <c r="F1082"/>
    </row>
    <row r="1083" spans="4:6" x14ac:dyDescent="0.2">
      <c r="D1083"/>
      <c r="F1083"/>
    </row>
    <row r="1084" spans="4:6" x14ac:dyDescent="0.2">
      <c r="D1084"/>
      <c r="F1084"/>
    </row>
    <row r="1085" spans="4:6" x14ac:dyDescent="0.2">
      <c r="D1085"/>
      <c r="F1085"/>
    </row>
    <row r="1086" spans="4:6" x14ac:dyDescent="0.2">
      <c r="D1086"/>
      <c r="F1086"/>
    </row>
    <row r="1087" spans="4:6" x14ac:dyDescent="0.2">
      <c r="D1087"/>
      <c r="F1087"/>
    </row>
    <row r="1088" spans="4:6" x14ac:dyDescent="0.2">
      <c r="D1088"/>
      <c r="F1088"/>
    </row>
    <row r="1089" spans="4:6" x14ac:dyDescent="0.2">
      <c r="D1089"/>
      <c r="F1089"/>
    </row>
    <row r="1090" spans="4:6" x14ac:dyDescent="0.2">
      <c r="D1090"/>
      <c r="F1090"/>
    </row>
    <row r="1091" spans="4:6" x14ac:dyDescent="0.2">
      <c r="D1091"/>
      <c r="F1091"/>
    </row>
    <row r="1092" spans="4:6" x14ac:dyDescent="0.2">
      <c r="D1092"/>
      <c r="F1092"/>
    </row>
    <row r="1093" spans="4:6" x14ac:dyDescent="0.2">
      <c r="D1093"/>
      <c r="F1093"/>
    </row>
    <row r="1094" spans="4:6" x14ac:dyDescent="0.2">
      <c r="D1094"/>
      <c r="F1094"/>
    </row>
    <row r="1095" spans="4:6" x14ac:dyDescent="0.2">
      <c r="D1095"/>
      <c r="F1095"/>
    </row>
    <row r="1096" spans="4:6" x14ac:dyDescent="0.2">
      <c r="D1096"/>
      <c r="F1096"/>
    </row>
    <row r="1097" spans="4:6" x14ac:dyDescent="0.2">
      <c r="D1097"/>
      <c r="F1097"/>
    </row>
    <row r="1098" spans="4:6" x14ac:dyDescent="0.2">
      <c r="D1098"/>
      <c r="F1098"/>
    </row>
    <row r="1099" spans="4:6" x14ac:dyDescent="0.2">
      <c r="D1099"/>
      <c r="F1099"/>
    </row>
    <row r="1100" spans="4:6" x14ac:dyDescent="0.2">
      <c r="D1100"/>
      <c r="F1100"/>
    </row>
    <row r="1101" spans="4:6" x14ac:dyDescent="0.2">
      <c r="D1101"/>
      <c r="F1101"/>
    </row>
    <row r="1102" spans="4:6" x14ac:dyDescent="0.2">
      <c r="D1102"/>
      <c r="F1102"/>
    </row>
    <row r="1103" spans="4:6" x14ac:dyDescent="0.2">
      <c r="D1103"/>
      <c r="F1103"/>
    </row>
    <row r="1104" spans="4:6" x14ac:dyDescent="0.2">
      <c r="D1104"/>
      <c r="F1104"/>
    </row>
    <row r="1105" spans="4:6" x14ac:dyDescent="0.2">
      <c r="D1105"/>
      <c r="F1105"/>
    </row>
    <row r="1106" spans="4:6" x14ac:dyDescent="0.2">
      <c r="D1106"/>
      <c r="F1106"/>
    </row>
    <row r="1107" spans="4:6" x14ac:dyDescent="0.2">
      <c r="D1107"/>
      <c r="F1107"/>
    </row>
    <row r="1108" spans="4:6" x14ac:dyDescent="0.2">
      <c r="D1108"/>
      <c r="F1108"/>
    </row>
    <row r="1109" spans="4:6" x14ac:dyDescent="0.2">
      <c r="D1109"/>
      <c r="F1109"/>
    </row>
    <row r="1110" spans="4:6" x14ac:dyDescent="0.2">
      <c r="D1110"/>
      <c r="F1110"/>
    </row>
    <row r="1111" spans="4:6" x14ac:dyDescent="0.2">
      <c r="D1111"/>
      <c r="F1111"/>
    </row>
    <row r="1112" spans="4:6" x14ac:dyDescent="0.2">
      <c r="D1112"/>
      <c r="F1112"/>
    </row>
    <row r="1113" spans="4:6" x14ac:dyDescent="0.2">
      <c r="D1113"/>
      <c r="F1113"/>
    </row>
    <row r="1114" spans="4:6" x14ac:dyDescent="0.2">
      <c r="D1114"/>
      <c r="F1114"/>
    </row>
    <row r="1115" spans="4:6" x14ac:dyDescent="0.2">
      <c r="D1115"/>
      <c r="F1115"/>
    </row>
    <row r="1116" spans="4:6" x14ac:dyDescent="0.2">
      <c r="D1116"/>
      <c r="F1116"/>
    </row>
    <row r="1117" spans="4:6" x14ac:dyDescent="0.2">
      <c r="D1117"/>
      <c r="F1117"/>
    </row>
    <row r="1118" spans="4:6" x14ac:dyDescent="0.2">
      <c r="D1118"/>
      <c r="F1118"/>
    </row>
    <row r="1119" spans="4:6" x14ac:dyDescent="0.2">
      <c r="D1119"/>
      <c r="F1119"/>
    </row>
    <row r="1120" spans="4:6" x14ac:dyDescent="0.2">
      <c r="D1120"/>
      <c r="F1120"/>
    </row>
    <row r="1121" spans="4:6" x14ac:dyDescent="0.2">
      <c r="D1121"/>
      <c r="F1121"/>
    </row>
    <row r="1122" spans="4:6" x14ac:dyDescent="0.2">
      <c r="D1122"/>
      <c r="F1122"/>
    </row>
    <row r="1123" spans="4:6" x14ac:dyDescent="0.2">
      <c r="D1123"/>
      <c r="F1123"/>
    </row>
    <row r="1124" spans="4:6" x14ac:dyDescent="0.2">
      <c r="D1124"/>
      <c r="F1124"/>
    </row>
    <row r="1125" spans="4:6" x14ac:dyDescent="0.2">
      <c r="D1125"/>
      <c r="F1125"/>
    </row>
    <row r="1126" spans="4:6" x14ac:dyDescent="0.2">
      <c r="D1126"/>
      <c r="F1126"/>
    </row>
    <row r="1127" spans="4:6" x14ac:dyDescent="0.2">
      <c r="D1127"/>
      <c r="F1127"/>
    </row>
    <row r="1128" spans="4:6" x14ac:dyDescent="0.2">
      <c r="D1128"/>
      <c r="F1128"/>
    </row>
    <row r="1129" spans="4:6" x14ac:dyDescent="0.2">
      <c r="D1129"/>
      <c r="F1129"/>
    </row>
    <row r="1130" spans="4:6" x14ac:dyDescent="0.2">
      <c r="D1130"/>
      <c r="F1130"/>
    </row>
    <row r="1131" spans="4:6" x14ac:dyDescent="0.2">
      <c r="D1131"/>
      <c r="F1131"/>
    </row>
    <row r="1132" spans="4:6" x14ac:dyDescent="0.2">
      <c r="D1132"/>
      <c r="F1132"/>
    </row>
    <row r="1133" spans="4:6" x14ac:dyDescent="0.2">
      <c r="D1133"/>
      <c r="F1133"/>
    </row>
    <row r="1134" spans="4:6" x14ac:dyDescent="0.2">
      <c r="D1134"/>
      <c r="F1134"/>
    </row>
    <row r="1135" spans="4:6" x14ac:dyDescent="0.2">
      <c r="D1135"/>
      <c r="F1135"/>
    </row>
    <row r="1136" spans="4:6" x14ac:dyDescent="0.2">
      <c r="D1136"/>
      <c r="F1136"/>
    </row>
    <row r="1137" spans="4:6" x14ac:dyDescent="0.2">
      <c r="D1137"/>
      <c r="F1137"/>
    </row>
    <row r="1138" spans="4:6" x14ac:dyDescent="0.2">
      <c r="D1138"/>
      <c r="F1138"/>
    </row>
    <row r="1139" spans="4:6" x14ac:dyDescent="0.2">
      <c r="D1139"/>
      <c r="F1139"/>
    </row>
    <row r="1140" spans="4:6" x14ac:dyDescent="0.2">
      <c r="D1140"/>
      <c r="F1140"/>
    </row>
    <row r="1141" spans="4:6" x14ac:dyDescent="0.2">
      <c r="D1141"/>
      <c r="F1141"/>
    </row>
    <row r="1142" spans="4:6" x14ac:dyDescent="0.2">
      <c r="D1142"/>
      <c r="F1142"/>
    </row>
    <row r="1143" spans="4:6" x14ac:dyDescent="0.2">
      <c r="D1143"/>
      <c r="F1143"/>
    </row>
    <row r="1144" spans="4:6" x14ac:dyDescent="0.2">
      <c r="D1144"/>
      <c r="F1144"/>
    </row>
    <row r="1145" spans="4:6" x14ac:dyDescent="0.2">
      <c r="D1145"/>
      <c r="F1145"/>
    </row>
    <row r="1146" spans="4:6" x14ac:dyDescent="0.2">
      <c r="D1146"/>
      <c r="F1146"/>
    </row>
    <row r="1147" spans="4:6" x14ac:dyDescent="0.2">
      <c r="D1147"/>
      <c r="F1147"/>
    </row>
    <row r="1148" spans="4:6" x14ac:dyDescent="0.2">
      <c r="D1148"/>
      <c r="F1148"/>
    </row>
    <row r="1149" spans="4:6" x14ac:dyDescent="0.2">
      <c r="D1149"/>
      <c r="F1149"/>
    </row>
    <row r="1150" spans="4:6" x14ac:dyDescent="0.2">
      <c r="D1150"/>
      <c r="F1150"/>
    </row>
    <row r="1151" spans="4:6" x14ac:dyDescent="0.2">
      <c r="D1151"/>
      <c r="F1151"/>
    </row>
    <row r="1152" spans="4:6" x14ac:dyDescent="0.2">
      <c r="D1152"/>
      <c r="F1152"/>
    </row>
    <row r="1153" spans="4:6" x14ac:dyDescent="0.2">
      <c r="D1153"/>
      <c r="F1153"/>
    </row>
    <row r="1154" spans="4:6" x14ac:dyDescent="0.2">
      <c r="D1154"/>
      <c r="F1154"/>
    </row>
    <row r="1155" spans="4:6" x14ac:dyDescent="0.2">
      <c r="D1155"/>
      <c r="F1155"/>
    </row>
    <row r="1156" spans="4:6" x14ac:dyDescent="0.2">
      <c r="D1156"/>
      <c r="F1156"/>
    </row>
    <row r="1157" spans="4:6" x14ac:dyDescent="0.2">
      <c r="D1157"/>
      <c r="F1157"/>
    </row>
    <row r="1158" spans="4:6" x14ac:dyDescent="0.2">
      <c r="D1158"/>
      <c r="F1158"/>
    </row>
    <row r="1159" spans="4:6" x14ac:dyDescent="0.2">
      <c r="D1159"/>
      <c r="F1159"/>
    </row>
    <row r="1160" spans="4:6" x14ac:dyDescent="0.2">
      <c r="D1160"/>
      <c r="F1160"/>
    </row>
    <row r="1161" spans="4:6" x14ac:dyDescent="0.2">
      <c r="D1161"/>
      <c r="F1161"/>
    </row>
    <row r="1162" spans="4:6" x14ac:dyDescent="0.2">
      <c r="D1162"/>
      <c r="F1162"/>
    </row>
    <row r="1163" spans="4:6" x14ac:dyDescent="0.2">
      <c r="D1163"/>
      <c r="F1163"/>
    </row>
    <row r="1164" spans="4:6" x14ac:dyDescent="0.2">
      <c r="D1164"/>
      <c r="F1164"/>
    </row>
    <row r="1165" spans="4:6" x14ac:dyDescent="0.2">
      <c r="D1165"/>
      <c r="F1165"/>
    </row>
    <row r="1166" spans="4:6" x14ac:dyDescent="0.2">
      <c r="D1166"/>
      <c r="F1166"/>
    </row>
    <row r="1167" spans="4:6" x14ac:dyDescent="0.2">
      <c r="D1167"/>
      <c r="F1167"/>
    </row>
    <row r="1168" spans="4:6" x14ac:dyDescent="0.2">
      <c r="D1168"/>
      <c r="F1168"/>
    </row>
    <row r="1169" spans="4:6" x14ac:dyDescent="0.2">
      <c r="D1169"/>
      <c r="F1169"/>
    </row>
    <row r="1170" spans="4:6" x14ac:dyDescent="0.2">
      <c r="D1170"/>
      <c r="F1170"/>
    </row>
    <row r="1171" spans="4:6" x14ac:dyDescent="0.2">
      <c r="D1171"/>
      <c r="F1171"/>
    </row>
    <row r="1172" spans="4:6" x14ac:dyDescent="0.2">
      <c r="D1172"/>
      <c r="F1172"/>
    </row>
    <row r="1173" spans="4:6" x14ac:dyDescent="0.2">
      <c r="D1173"/>
      <c r="F1173"/>
    </row>
    <row r="1174" spans="4:6" x14ac:dyDescent="0.2">
      <c r="D1174"/>
      <c r="F1174"/>
    </row>
    <row r="1175" spans="4:6" x14ac:dyDescent="0.2">
      <c r="D1175"/>
      <c r="F1175"/>
    </row>
    <row r="1176" spans="4:6" x14ac:dyDescent="0.2">
      <c r="D1176"/>
      <c r="F1176"/>
    </row>
    <row r="1177" spans="4:6" x14ac:dyDescent="0.2">
      <c r="D1177"/>
      <c r="F1177"/>
    </row>
    <row r="1178" spans="4:6" x14ac:dyDescent="0.2">
      <c r="D1178"/>
      <c r="F1178"/>
    </row>
    <row r="1179" spans="4:6" x14ac:dyDescent="0.2">
      <c r="D1179"/>
      <c r="F1179"/>
    </row>
    <row r="1180" spans="4:6" x14ac:dyDescent="0.2">
      <c r="D1180"/>
      <c r="F1180"/>
    </row>
    <row r="1181" spans="4:6" x14ac:dyDescent="0.2">
      <c r="D1181"/>
      <c r="F1181"/>
    </row>
    <row r="1182" spans="4:6" x14ac:dyDescent="0.2">
      <c r="D1182"/>
      <c r="F1182"/>
    </row>
    <row r="1183" spans="4:6" x14ac:dyDescent="0.2">
      <c r="D1183"/>
      <c r="F1183"/>
    </row>
    <row r="1184" spans="4:6" x14ac:dyDescent="0.2">
      <c r="D1184"/>
      <c r="F1184"/>
    </row>
    <row r="1185" spans="4:6" x14ac:dyDescent="0.2">
      <c r="D1185"/>
      <c r="F1185"/>
    </row>
    <row r="1186" spans="4:6" x14ac:dyDescent="0.2">
      <c r="D1186"/>
      <c r="F1186"/>
    </row>
    <row r="1187" spans="4:6" x14ac:dyDescent="0.2">
      <c r="D1187"/>
      <c r="F1187"/>
    </row>
    <row r="1188" spans="4:6" x14ac:dyDescent="0.2">
      <c r="D1188"/>
      <c r="F1188"/>
    </row>
    <row r="1189" spans="4:6" x14ac:dyDescent="0.2">
      <c r="D1189"/>
      <c r="F1189"/>
    </row>
    <row r="1190" spans="4:6" x14ac:dyDescent="0.2">
      <c r="D1190"/>
      <c r="F1190"/>
    </row>
    <row r="1191" spans="4:6" x14ac:dyDescent="0.2">
      <c r="D1191"/>
      <c r="F1191"/>
    </row>
    <row r="1192" spans="4:6" x14ac:dyDescent="0.2">
      <c r="D1192"/>
      <c r="F1192"/>
    </row>
    <row r="1193" spans="4:6" x14ac:dyDescent="0.2">
      <c r="D1193"/>
      <c r="F1193"/>
    </row>
    <row r="1194" spans="4:6" x14ac:dyDescent="0.2">
      <c r="D1194"/>
      <c r="F1194"/>
    </row>
    <row r="1195" spans="4:6" x14ac:dyDescent="0.2">
      <c r="D1195"/>
      <c r="F1195"/>
    </row>
    <row r="1196" spans="4:6" x14ac:dyDescent="0.2">
      <c r="D1196"/>
      <c r="F1196"/>
    </row>
    <row r="1197" spans="4:6" x14ac:dyDescent="0.2">
      <c r="D1197"/>
      <c r="F1197"/>
    </row>
    <row r="1198" spans="4:6" x14ac:dyDescent="0.2">
      <c r="D1198"/>
      <c r="F1198"/>
    </row>
    <row r="1199" spans="4:6" x14ac:dyDescent="0.2">
      <c r="D1199"/>
      <c r="F1199"/>
    </row>
    <row r="1200" spans="4:6" x14ac:dyDescent="0.2">
      <c r="D1200"/>
      <c r="F1200"/>
    </row>
    <row r="1201" spans="4:6" x14ac:dyDescent="0.2">
      <c r="D1201"/>
      <c r="F1201"/>
    </row>
    <row r="1202" spans="4:6" x14ac:dyDescent="0.2">
      <c r="D1202"/>
      <c r="F1202"/>
    </row>
    <row r="1203" spans="4:6" x14ac:dyDescent="0.2">
      <c r="D1203"/>
      <c r="F1203"/>
    </row>
    <row r="1204" spans="4:6" x14ac:dyDescent="0.2">
      <c r="D1204"/>
      <c r="F1204"/>
    </row>
    <row r="1205" spans="4:6" x14ac:dyDescent="0.2">
      <c r="D1205"/>
      <c r="F1205"/>
    </row>
    <row r="1206" spans="4:6" x14ac:dyDescent="0.2">
      <c r="D1206"/>
      <c r="F1206"/>
    </row>
    <row r="1207" spans="4:6" x14ac:dyDescent="0.2">
      <c r="D1207"/>
      <c r="F1207"/>
    </row>
    <row r="1208" spans="4:6" x14ac:dyDescent="0.2">
      <c r="D1208"/>
      <c r="F1208"/>
    </row>
    <row r="1209" spans="4:6" x14ac:dyDescent="0.2">
      <c r="D1209"/>
      <c r="F1209"/>
    </row>
    <row r="1210" spans="4:6" x14ac:dyDescent="0.2">
      <c r="D1210"/>
      <c r="F1210"/>
    </row>
    <row r="1211" spans="4:6" x14ac:dyDescent="0.2">
      <c r="D1211"/>
      <c r="F1211"/>
    </row>
    <row r="1212" spans="4:6" x14ac:dyDescent="0.2">
      <c r="D1212"/>
      <c r="F1212"/>
    </row>
    <row r="1213" spans="4:6" x14ac:dyDescent="0.2">
      <c r="D1213"/>
      <c r="F1213"/>
    </row>
    <row r="1214" spans="4:6" x14ac:dyDescent="0.2">
      <c r="D1214"/>
      <c r="F1214"/>
    </row>
    <row r="1215" spans="4:6" x14ac:dyDescent="0.2">
      <c r="D1215"/>
      <c r="F1215"/>
    </row>
    <row r="1216" spans="4:6" x14ac:dyDescent="0.2">
      <c r="D1216"/>
      <c r="F1216"/>
    </row>
    <row r="1217" spans="4:6" x14ac:dyDescent="0.2">
      <c r="D1217"/>
      <c r="F1217"/>
    </row>
    <row r="1218" spans="4:6" x14ac:dyDescent="0.2">
      <c r="D1218"/>
      <c r="F1218"/>
    </row>
    <row r="1219" spans="4:6" x14ac:dyDescent="0.2">
      <c r="D1219"/>
      <c r="F1219"/>
    </row>
    <row r="1220" spans="4:6" x14ac:dyDescent="0.2">
      <c r="D1220"/>
      <c r="F1220"/>
    </row>
    <row r="1221" spans="4:6" x14ac:dyDescent="0.2">
      <c r="D1221"/>
      <c r="F1221"/>
    </row>
    <row r="1222" spans="4:6" x14ac:dyDescent="0.2">
      <c r="D1222"/>
      <c r="F1222"/>
    </row>
    <row r="1223" spans="4:6" x14ac:dyDescent="0.2">
      <c r="D1223"/>
      <c r="F1223"/>
    </row>
    <row r="1224" spans="4:6" x14ac:dyDescent="0.2">
      <c r="D1224"/>
      <c r="F1224"/>
    </row>
    <row r="1225" spans="4:6" x14ac:dyDescent="0.2">
      <c r="D1225"/>
      <c r="F1225"/>
    </row>
    <row r="1226" spans="4:6" x14ac:dyDescent="0.2">
      <c r="D1226"/>
      <c r="F1226"/>
    </row>
    <row r="1227" spans="4:6" x14ac:dyDescent="0.2">
      <c r="D1227"/>
      <c r="F1227"/>
    </row>
    <row r="1228" spans="4:6" x14ac:dyDescent="0.2">
      <c r="D1228"/>
      <c r="F1228"/>
    </row>
    <row r="1229" spans="4:6" x14ac:dyDescent="0.2">
      <c r="D1229"/>
      <c r="F1229"/>
    </row>
    <row r="1230" spans="4:6" x14ac:dyDescent="0.2">
      <c r="D1230"/>
      <c r="F1230"/>
    </row>
    <row r="1231" spans="4:6" x14ac:dyDescent="0.2">
      <c r="D1231"/>
      <c r="F1231"/>
    </row>
    <row r="1232" spans="4:6" x14ac:dyDescent="0.2">
      <c r="D1232"/>
      <c r="F1232"/>
    </row>
    <row r="1233" spans="4:6" x14ac:dyDescent="0.2">
      <c r="D1233"/>
      <c r="F1233"/>
    </row>
    <row r="1234" spans="4:6" x14ac:dyDescent="0.2">
      <c r="D1234"/>
      <c r="F1234"/>
    </row>
    <row r="1235" spans="4:6" x14ac:dyDescent="0.2">
      <c r="D1235"/>
      <c r="F1235"/>
    </row>
    <row r="1236" spans="4:6" x14ac:dyDescent="0.2">
      <c r="D1236"/>
      <c r="F1236"/>
    </row>
    <row r="1237" spans="4:6" x14ac:dyDescent="0.2">
      <c r="D1237"/>
      <c r="F1237"/>
    </row>
    <row r="1238" spans="4:6" x14ac:dyDescent="0.2">
      <c r="D1238"/>
      <c r="F1238"/>
    </row>
    <row r="1239" spans="4:6" x14ac:dyDescent="0.2">
      <c r="D1239"/>
      <c r="F1239"/>
    </row>
    <row r="1240" spans="4:6" x14ac:dyDescent="0.2">
      <c r="D1240"/>
      <c r="F1240"/>
    </row>
    <row r="1241" spans="4:6" x14ac:dyDescent="0.2">
      <c r="D1241"/>
      <c r="F1241"/>
    </row>
    <row r="1242" spans="4:6" x14ac:dyDescent="0.2">
      <c r="D1242"/>
      <c r="F1242"/>
    </row>
    <row r="1243" spans="4:6" x14ac:dyDescent="0.2">
      <c r="D1243"/>
      <c r="F1243"/>
    </row>
    <row r="1244" spans="4:6" x14ac:dyDescent="0.2">
      <c r="D1244"/>
      <c r="F1244"/>
    </row>
    <row r="1245" spans="4:6" x14ac:dyDescent="0.2">
      <c r="D1245"/>
      <c r="F1245"/>
    </row>
    <row r="1246" spans="4:6" x14ac:dyDescent="0.2">
      <c r="D1246"/>
      <c r="F1246"/>
    </row>
    <row r="1247" spans="4:6" x14ac:dyDescent="0.2">
      <c r="D1247"/>
      <c r="F1247"/>
    </row>
    <row r="1248" spans="4:6" x14ac:dyDescent="0.2">
      <c r="D1248"/>
      <c r="F1248"/>
    </row>
    <row r="1249" spans="4:6" x14ac:dyDescent="0.2">
      <c r="D1249"/>
      <c r="F1249"/>
    </row>
    <row r="1250" spans="4:6" x14ac:dyDescent="0.2">
      <c r="D1250"/>
      <c r="F1250"/>
    </row>
    <row r="1251" spans="4:6" x14ac:dyDescent="0.2">
      <c r="D1251"/>
      <c r="F1251"/>
    </row>
    <row r="1252" spans="4:6" x14ac:dyDescent="0.2">
      <c r="D1252"/>
      <c r="F1252"/>
    </row>
    <row r="1253" spans="4:6" x14ac:dyDescent="0.2">
      <c r="D1253"/>
      <c r="F1253"/>
    </row>
    <row r="1254" spans="4:6" x14ac:dyDescent="0.2">
      <c r="D1254"/>
      <c r="F1254"/>
    </row>
    <row r="1255" spans="4:6" x14ac:dyDescent="0.2">
      <c r="D1255"/>
      <c r="F1255"/>
    </row>
    <row r="1256" spans="4:6" x14ac:dyDescent="0.2">
      <c r="D1256"/>
      <c r="F1256"/>
    </row>
    <row r="1257" spans="4:6" x14ac:dyDescent="0.2">
      <c r="D1257"/>
      <c r="F1257"/>
    </row>
    <row r="1258" spans="4:6" x14ac:dyDescent="0.2">
      <c r="D1258"/>
      <c r="F1258"/>
    </row>
    <row r="1259" spans="4:6" x14ac:dyDescent="0.2">
      <c r="D1259"/>
      <c r="F1259"/>
    </row>
    <row r="1260" spans="4:6" x14ac:dyDescent="0.2">
      <c r="D1260"/>
      <c r="F1260"/>
    </row>
    <row r="1261" spans="4:6" x14ac:dyDescent="0.2">
      <c r="D1261"/>
      <c r="F1261"/>
    </row>
    <row r="1262" spans="4:6" x14ac:dyDescent="0.2">
      <c r="D1262"/>
      <c r="F1262"/>
    </row>
    <row r="1263" spans="4:6" x14ac:dyDescent="0.2">
      <c r="D1263"/>
      <c r="F1263"/>
    </row>
    <row r="1264" spans="4:6" x14ac:dyDescent="0.2">
      <c r="D1264"/>
      <c r="F1264"/>
    </row>
    <row r="1265" spans="4:6" x14ac:dyDescent="0.2">
      <c r="D1265"/>
      <c r="F1265"/>
    </row>
    <row r="1266" spans="4:6" x14ac:dyDescent="0.2">
      <c r="D1266"/>
      <c r="F1266"/>
    </row>
    <row r="1267" spans="4:6" x14ac:dyDescent="0.2">
      <c r="D1267"/>
      <c r="F1267"/>
    </row>
    <row r="1268" spans="4:6" x14ac:dyDescent="0.2">
      <c r="D1268"/>
      <c r="F1268"/>
    </row>
    <row r="1269" spans="4:6" x14ac:dyDescent="0.2">
      <c r="D1269"/>
      <c r="F1269"/>
    </row>
    <row r="1270" spans="4:6" x14ac:dyDescent="0.2">
      <c r="D1270"/>
      <c r="F1270"/>
    </row>
    <row r="1271" spans="4:6" x14ac:dyDescent="0.2">
      <c r="D1271"/>
      <c r="F1271"/>
    </row>
    <row r="1272" spans="4:6" x14ac:dyDescent="0.2">
      <c r="D1272"/>
      <c r="F1272"/>
    </row>
    <row r="1273" spans="4:6" x14ac:dyDescent="0.2">
      <c r="D1273"/>
      <c r="F1273"/>
    </row>
    <row r="1274" spans="4:6" x14ac:dyDescent="0.2">
      <c r="D1274"/>
      <c r="F1274"/>
    </row>
    <row r="1275" spans="4:6" x14ac:dyDescent="0.2">
      <c r="D1275"/>
      <c r="F1275"/>
    </row>
    <row r="1276" spans="4:6" x14ac:dyDescent="0.2">
      <c r="D1276"/>
      <c r="F1276"/>
    </row>
    <row r="1277" spans="4:6" x14ac:dyDescent="0.2">
      <c r="D1277"/>
      <c r="F1277"/>
    </row>
    <row r="1278" spans="4:6" x14ac:dyDescent="0.2">
      <c r="D1278"/>
      <c r="F1278"/>
    </row>
    <row r="1279" spans="4:6" x14ac:dyDescent="0.2">
      <c r="D1279"/>
      <c r="F1279"/>
    </row>
    <row r="1280" spans="4:6" x14ac:dyDescent="0.2">
      <c r="D1280"/>
      <c r="F1280"/>
    </row>
    <row r="1281" spans="4:6" x14ac:dyDescent="0.2">
      <c r="D1281"/>
      <c r="F1281"/>
    </row>
    <row r="1282" spans="4:6" x14ac:dyDescent="0.2">
      <c r="D1282"/>
      <c r="F1282"/>
    </row>
    <row r="1283" spans="4:6" x14ac:dyDescent="0.2">
      <c r="D1283"/>
      <c r="F1283"/>
    </row>
    <row r="1284" spans="4:6" x14ac:dyDescent="0.2">
      <c r="D1284"/>
      <c r="F1284"/>
    </row>
    <row r="1285" spans="4:6" x14ac:dyDescent="0.2">
      <c r="D1285"/>
      <c r="F1285"/>
    </row>
    <row r="1286" spans="4:6" x14ac:dyDescent="0.2">
      <c r="D1286"/>
      <c r="F1286"/>
    </row>
    <row r="1287" spans="4:6" x14ac:dyDescent="0.2">
      <c r="D1287"/>
      <c r="F1287"/>
    </row>
    <row r="1288" spans="4:6" x14ac:dyDescent="0.2">
      <c r="D1288"/>
      <c r="F1288"/>
    </row>
    <row r="1289" spans="4:6" x14ac:dyDescent="0.2">
      <c r="D1289"/>
      <c r="F1289"/>
    </row>
    <row r="1290" spans="4:6" x14ac:dyDescent="0.2">
      <c r="D1290"/>
      <c r="F1290"/>
    </row>
    <row r="1291" spans="4:6" x14ac:dyDescent="0.2">
      <c r="D1291"/>
      <c r="F1291"/>
    </row>
    <row r="1292" spans="4:6" x14ac:dyDescent="0.2">
      <c r="D1292"/>
      <c r="F1292"/>
    </row>
    <row r="1293" spans="4:6" x14ac:dyDescent="0.2">
      <c r="D1293"/>
      <c r="F1293"/>
    </row>
    <row r="1294" spans="4:6" x14ac:dyDescent="0.2">
      <c r="D1294"/>
      <c r="F1294"/>
    </row>
    <row r="1295" spans="4:6" x14ac:dyDescent="0.2">
      <c r="D1295"/>
      <c r="F1295"/>
    </row>
    <row r="1296" spans="4:6" x14ac:dyDescent="0.2">
      <c r="D1296"/>
      <c r="F1296"/>
    </row>
    <row r="1297" spans="4:6" x14ac:dyDescent="0.2">
      <c r="D1297"/>
      <c r="F1297"/>
    </row>
    <row r="1298" spans="4:6" x14ac:dyDescent="0.2">
      <c r="D1298"/>
      <c r="F1298"/>
    </row>
    <row r="1299" spans="4:6" x14ac:dyDescent="0.2">
      <c r="D1299"/>
      <c r="F1299"/>
    </row>
    <row r="1300" spans="4:6" x14ac:dyDescent="0.2">
      <c r="D1300"/>
      <c r="F1300"/>
    </row>
    <row r="1301" spans="4:6" x14ac:dyDescent="0.2">
      <c r="D1301"/>
      <c r="F1301"/>
    </row>
    <row r="1302" spans="4:6" x14ac:dyDescent="0.2">
      <c r="D1302"/>
      <c r="F1302"/>
    </row>
    <row r="1303" spans="4:6" x14ac:dyDescent="0.2">
      <c r="D1303"/>
      <c r="F1303"/>
    </row>
    <row r="1304" spans="4:6" x14ac:dyDescent="0.2">
      <c r="D1304"/>
      <c r="F1304"/>
    </row>
    <row r="1305" spans="4:6" x14ac:dyDescent="0.2">
      <c r="D1305"/>
      <c r="F1305"/>
    </row>
    <row r="1306" spans="4:6" x14ac:dyDescent="0.2">
      <c r="D1306"/>
      <c r="F1306"/>
    </row>
    <row r="1307" spans="4:6" x14ac:dyDescent="0.2">
      <c r="D1307"/>
      <c r="F1307"/>
    </row>
    <row r="1308" spans="4:6" x14ac:dyDescent="0.2">
      <c r="D1308"/>
      <c r="F1308"/>
    </row>
    <row r="1309" spans="4:6" x14ac:dyDescent="0.2">
      <c r="D1309"/>
      <c r="F1309"/>
    </row>
    <row r="1310" spans="4:6" x14ac:dyDescent="0.2">
      <c r="D1310"/>
      <c r="F1310"/>
    </row>
    <row r="1311" spans="4:6" x14ac:dyDescent="0.2">
      <c r="D1311"/>
      <c r="F1311"/>
    </row>
    <row r="1312" spans="4:6" x14ac:dyDescent="0.2">
      <c r="D1312"/>
      <c r="F1312"/>
    </row>
    <row r="1313" spans="4:6" x14ac:dyDescent="0.2">
      <c r="D1313"/>
      <c r="F1313"/>
    </row>
    <row r="1314" spans="4:6" x14ac:dyDescent="0.2">
      <c r="D1314"/>
      <c r="F1314"/>
    </row>
    <row r="1315" spans="4:6" x14ac:dyDescent="0.2">
      <c r="D1315"/>
      <c r="F1315"/>
    </row>
    <row r="1316" spans="4:6" x14ac:dyDescent="0.2">
      <c r="D1316"/>
      <c r="F1316"/>
    </row>
    <row r="1317" spans="4:6" x14ac:dyDescent="0.2">
      <c r="D1317"/>
      <c r="F1317"/>
    </row>
    <row r="1318" spans="4:6" x14ac:dyDescent="0.2">
      <c r="D1318"/>
      <c r="F1318"/>
    </row>
    <row r="1319" spans="4:6" x14ac:dyDescent="0.2">
      <c r="D1319"/>
      <c r="F1319"/>
    </row>
    <row r="1320" spans="4:6" x14ac:dyDescent="0.2">
      <c r="D1320"/>
      <c r="F1320"/>
    </row>
    <row r="1321" spans="4:6" x14ac:dyDescent="0.2">
      <c r="D1321"/>
      <c r="F1321"/>
    </row>
    <row r="1322" spans="4:6" x14ac:dyDescent="0.2">
      <c r="D1322"/>
      <c r="F1322"/>
    </row>
    <row r="1323" spans="4:6" x14ac:dyDescent="0.2">
      <c r="D1323"/>
      <c r="F1323"/>
    </row>
    <row r="1324" spans="4:6" x14ac:dyDescent="0.2">
      <c r="D1324"/>
      <c r="F1324"/>
    </row>
    <row r="1325" spans="4:6" x14ac:dyDescent="0.2">
      <c r="D1325"/>
      <c r="F1325"/>
    </row>
    <row r="1326" spans="4:6" x14ac:dyDescent="0.2">
      <c r="D1326"/>
      <c r="F1326"/>
    </row>
    <row r="1327" spans="4:6" x14ac:dyDescent="0.2">
      <c r="D1327"/>
      <c r="F1327"/>
    </row>
    <row r="1328" spans="4:6" x14ac:dyDescent="0.2">
      <c r="D1328"/>
      <c r="F1328"/>
    </row>
    <row r="1329" spans="4:6" x14ac:dyDescent="0.2">
      <c r="D1329"/>
      <c r="F1329"/>
    </row>
    <row r="1330" spans="4:6" x14ac:dyDescent="0.2">
      <c r="D1330"/>
      <c r="F1330"/>
    </row>
    <row r="1331" spans="4:6" x14ac:dyDescent="0.2">
      <c r="D1331"/>
      <c r="F1331"/>
    </row>
    <row r="1332" spans="4:6" x14ac:dyDescent="0.2">
      <c r="D1332"/>
      <c r="F1332"/>
    </row>
    <row r="1333" spans="4:6" x14ac:dyDescent="0.2">
      <c r="D1333"/>
      <c r="F1333"/>
    </row>
    <row r="1334" spans="4:6" x14ac:dyDescent="0.2">
      <c r="D1334"/>
      <c r="F1334"/>
    </row>
    <row r="1335" spans="4:6" x14ac:dyDescent="0.2">
      <c r="D1335"/>
      <c r="F1335"/>
    </row>
    <row r="1336" spans="4:6" x14ac:dyDescent="0.2">
      <c r="D1336"/>
      <c r="F1336"/>
    </row>
    <row r="1337" spans="4:6" x14ac:dyDescent="0.2">
      <c r="D1337"/>
      <c r="F1337"/>
    </row>
    <row r="1338" spans="4:6" x14ac:dyDescent="0.2">
      <c r="D1338"/>
      <c r="F1338"/>
    </row>
    <row r="1339" spans="4:6" x14ac:dyDescent="0.2">
      <c r="D1339"/>
      <c r="F1339"/>
    </row>
    <row r="1340" spans="4:6" x14ac:dyDescent="0.2">
      <c r="D1340"/>
      <c r="F1340"/>
    </row>
    <row r="1341" spans="4:6" x14ac:dyDescent="0.2">
      <c r="D1341"/>
      <c r="F1341"/>
    </row>
    <row r="1342" spans="4:6" x14ac:dyDescent="0.2">
      <c r="D1342"/>
      <c r="F1342"/>
    </row>
    <row r="1343" spans="4:6" x14ac:dyDescent="0.2">
      <c r="D1343"/>
      <c r="F1343"/>
    </row>
    <row r="1344" spans="4:6" x14ac:dyDescent="0.2">
      <c r="D1344"/>
      <c r="F1344"/>
    </row>
    <row r="1345" spans="4:6" x14ac:dyDescent="0.2">
      <c r="D1345"/>
      <c r="F1345"/>
    </row>
    <row r="1346" spans="4:6" x14ac:dyDescent="0.2">
      <c r="D1346"/>
      <c r="F1346"/>
    </row>
    <row r="1347" spans="4:6" x14ac:dyDescent="0.2">
      <c r="D1347"/>
      <c r="F1347"/>
    </row>
    <row r="1348" spans="4:6" x14ac:dyDescent="0.2">
      <c r="D1348"/>
      <c r="F1348"/>
    </row>
    <row r="1349" spans="4:6" x14ac:dyDescent="0.2">
      <c r="D1349"/>
      <c r="F1349"/>
    </row>
    <row r="1350" spans="4:6" x14ac:dyDescent="0.2">
      <c r="D1350"/>
      <c r="F1350"/>
    </row>
    <row r="1351" spans="4:6" x14ac:dyDescent="0.2">
      <c r="D1351"/>
      <c r="F1351"/>
    </row>
    <row r="1352" spans="4:6" x14ac:dyDescent="0.2">
      <c r="D1352"/>
      <c r="F1352"/>
    </row>
    <row r="1353" spans="4:6" x14ac:dyDescent="0.2">
      <c r="D1353"/>
      <c r="F1353"/>
    </row>
    <row r="1354" spans="4:6" x14ac:dyDescent="0.2">
      <c r="D1354"/>
      <c r="F1354"/>
    </row>
    <row r="1355" spans="4:6" x14ac:dyDescent="0.2">
      <c r="D1355"/>
      <c r="F1355"/>
    </row>
    <row r="1356" spans="4:6" x14ac:dyDescent="0.2">
      <c r="D1356"/>
      <c r="F1356"/>
    </row>
    <row r="1357" spans="4:6" x14ac:dyDescent="0.2">
      <c r="D1357"/>
      <c r="F1357"/>
    </row>
    <row r="1358" spans="4:6" x14ac:dyDescent="0.2">
      <c r="D1358"/>
      <c r="F1358"/>
    </row>
    <row r="1359" spans="4:6" x14ac:dyDescent="0.2">
      <c r="D1359"/>
      <c r="F1359"/>
    </row>
    <row r="1360" spans="4:6" x14ac:dyDescent="0.2">
      <c r="D1360"/>
      <c r="F1360"/>
    </row>
    <row r="1361" spans="4:6" x14ac:dyDescent="0.2">
      <c r="D1361"/>
      <c r="F1361"/>
    </row>
    <row r="1362" spans="4:6" x14ac:dyDescent="0.2">
      <c r="D1362"/>
      <c r="F1362"/>
    </row>
    <row r="1363" spans="4:6" x14ac:dyDescent="0.2">
      <c r="D1363"/>
      <c r="F1363"/>
    </row>
    <row r="1364" spans="4:6" x14ac:dyDescent="0.2">
      <c r="D1364"/>
      <c r="F1364"/>
    </row>
    <row r="1365" spans="4:6" x14ac:dyDescent="0.2">
      <c r="D1365"/>
      <c r="F1365"/>
    </row>
    <row r="1366" spans="4:6" x14ac:dyDescent="0.2">
      <c r="D1366"/>
      <c r="F1366"/>
    </row>
    <row r="1367" spans="4:6" x14ac:dyDescent="0.2">
      <c r="D1367"/>
      <c r="F1367"/>
    </row>
    <row r="1368" spans="4:6" x14ac:dyDescent="0.2">
      <c r="D1368"/>
      <c r="F1368"/>
    </row>
    <row r="1369" spans="4:6" x14ac:dyDescent="0.2">
      <c r="D1369"/>
      <c r="F1369"/>
    </row>
    <row r="1370" spans="4:6" x14ac:dyDescent="0.2">
      <c r="D1370"/>
      <c r="F1370"/>
    </row>
    <row r="1371" spans="4:6" x14ac:dyDescent="0.2">
      <c r="D1371"/>
      <c r="F1371"/>
    </row>
    <row r="1372" spans="4:6" x14ac:dyDescent="0.2">
      <c r="D1372"/>
      <c r="F1372"/>
    </row>
    <row r="1373" spans="4:6" x14ac:dyDescent="0.2">
      <c r="D1373"/>
      <c r="F1373"/>
    </row>
    <row r="1374" spans="4:6" x14ac:dyDescent="0.2">
      <c r="D1374"/>
      <c r="F1374"/>
    </row>
    <row r="1375" spans="4:6" x14ac:dyDescent="0.2">
      <c r="D1375"/>
      <c r="F1375"/>
    </row>
    <row r="1376" spans="4:6" x14ac:dyDescent="0.2">
      <c r="D1376"/>
      <c r="F1376"/>
    </row>
    <row r="1377" spans="4:6" x14ac:dyDescent="0.2">
      <c r="D1377"/>
      <c r="F1377"/>
    </row>
    <row r="1378" spans="4:6" x14ac:dyDescent="0.2">
      <c r="D1378"/>
      <c r="F1378"/>
    </row>
    <row r="1379" spans="4:6" x14ac:dyDescent="0.2">
      <c r="D1379"/>
      <c r="F1379"/>
    </row>
    <row r="1380" spans="4:6" x14ac:dyDescent="0.2">
      <c r="D1380"/>
      <c r="F1380"/>
    </row>
    <row r="1381" spans="4:6" x14ac:dyDescent="0.2">
      <c r="D1381"/>
      <c r="F1381"/>
    </row>
    <row r="1382" spans="4:6" x14ac:dyDescent="0.2">
      <c r="D1382"/>
      <c r="F1382"/>
    </row>
    <row r="1383" spans="4:6" x14ac:dyDescent="0.2">
      <c r="D1383"/>
      <c r="F1383"/>
    </row>
    <row r="1384" spans="4:6" x14ac:dyDescent="0.2">
      <c r="D1384"/>
      <c r="F1384"/>
    </row>
    <row r="1385" spans="4:6" x14ac:dyDescent="0.2">
      <c r="D1385"/>
      <c r="F1385"/>
    </row>
    <row r="1386" spans="4:6" x14ac:dyDescent="0.2">
      <c r="D1386"/>
      <c r="F1386"/>
    </row>
    <row r="1387" spans="4:6" x14ac:dyDescent="0.2">
      <c r="D1387"/>
      <c r="F1387"/>
    </row>
    <row r="1388" spans="4:6" x14ac:dyDescent="0.2">
      <c r="D1388"/>
      <c r="F1388"/>
    </row>
    <row r="1389" spans="4:6" x14ac:dyDescent="0.2">
      <c r="D1389"/>
      <c r="F1389"/>
    </row>
    <row r="1390" spans="4:6" x14ac:dyDescent="0.2">
      <c r="D1390"/>
      <c r="F1390"/>
    </row>
    <row r="1391" spans="4:6" x14ac:dyDescent="0.2">
      <c r="D1391"/>
      <c r="F1391"/>
    </row>
    <row r="1392" spans="4:6" x14ac:dyDescent="0.2">
      <c r="D1392"/>
      <c r="F1392"/>
    </row>
    <row r="1393" spans="4:6" x14ac:dyDescent="0.2">
      <c r="D1393"/>
      <c r="F1393"/>
    </row>
    <row r="1394" spans="4:6" x14ac:dyDescent="0.2">
      <c r="D1394"/>
      <c r="F1394"/>
    </row>
    <row r="1395" spans="4:6" x14ac:dyDescent="0.2">
      <c r="D1395"/>
      <c r="F1395"/>
    </row>
    <row r="1396" spans="4:6" x14ac:dyDescent="0.2">
      <c r="D1396"/>
      <c r="F1396"/>
    </row>
    <row r="1397" spans="4:6" x14ac:dyDescent="0.2">
      <c r="D1397"/>
      <c r="F1397"/>
    </row>
    <row r="1398" spans="4:6" x14ac:dyDescent="0.2">
      <c r="D1398"/>
      <c r="F1398"/>
    </row>
    <row r="1399" spans="4:6" x14ac:dyDescent="0.2">
      <c r="D1399"/>
      <c r="F1399"/>
    </row>
    <row r="1400" spans="4:6" x14ac:dyDescent="0.2">
      <c r="D1400"/>
      <c r="F1400"/>
    </row>
    <row r="1401" spans="4:6" x14ac:dyDescent="0.2">
      <c r="D1401"/>
      <c r="F1401"/>
    </row>
    <row r="1402" spans="4:6" x14ac:dyDescent="0.2">
      <c r="D1402"/>
      <c r="F1402"/>
    </row>
    <row r="1403" spans="4:6" x14ac:dyDescent="0.2">
      <c r="D1403"/>
      <c r="F1403"/>
    </row>
    <row r="1404" spans="4:6" x14ac:dyDescent="0.2">
      <c r="D1404"/>
      <c r="F1404"/>
    </row>
    <row r="1405" spans="4:6" x14ac:dyDescent="0.2">
      <c r="D1405"/>
      <c r="F1405"/>
    </row>
    <row r="1406" spans="4:6" x14ac:dyDescent="0.2">
      <c r="D1406"/>
      <c r="F1406"/>
    </row>
    <row r="1407" spans="4:6" x14ac:dyDescent="0.2">
      <c r="D1407"/>
      <c r="F1407"/>
    </row>
    <row r="1408" spans="4:6" x14ac:dyDescent="0.2">
      <c r="D1408"/>
      <c r="F1408"/>
    </row>
    <row r="1409" spans="4:6" x14ac:dyDescent="0.2">
      <c r="D1409"/>
      <c r="F1409"/>
    </row>
    <row r="1410" spans="4:6" x14ac:dyDescent="0.2">
      <c r="D1410"/>
      <c r="F1410"/>
    </row>
    <row r="1411" spans="4:6" x14ac:dyDescent="0.2">
      <c r="D1411"/>
      <c r="F1411"/>
    </row>
    <row r="1412" spans="4:6" x14ac:dyDescent="0.2">
      <c r="D1412"/>
      <c r="F1412"/>
    </row>
    <row r="1413" spans="4:6" x14ac:dyDescent="0.2">
      <c r="D1413"/>
      <c r="F1413"/>
    </row>
    <row r="1414" spans="4:6" x14ac:dyDescent="0.2">
      <c r="D1414"/>
      <c r="F1414"/>
    </row>
    <row r="1415" spans="4:6" x14ac:dyDescent="0.2">
      <c r="D1415"/>
      <c r="F1415"/>
    </row>
    <row r="1416" spans="4:6" x14ac:dyDescent="0.2">
      <c r="D1416"/>
      <c r="F1416"/>
    </row>
    <row r="1417" spans="4:6" x14ac:dyDescent="0.2">
      <c r="D1417"/>
      <c r="F1417"/>
    </row>
    <row r="1418" spans="4:6" x14ac:dyDescent="0.2">
      <c r="D1418"/>
      <c r="F1418"/>
    </row>
    <row r="1419" spans="4:6" x14ac:dyDescent="0.2">
      <c r="D1419"/>
      <c r="F1419"/>
    </row>
    <row r="1420" spans="4:6" x14ac:dyDescent="0.2">
      <c r="D1420"/>
      <c r="F1420"/>
    </row>
    <row r="1421" spans="4:6" x14ac:dyDescent="0.2">
      <c r="D1421"/>
      <c r="F1421"/>
    </row>
    <row r="1422" spans="4:6" x14ac:dyDescent="0.2">
      <c r="D1422"/>
      <c r="F1422"/>
    </row>
    <row r="1423" spans="4:6" x14ac:dyDescent="0.2">
      <c r="D1423"/>
      <c r="F1423"/>
    </row>
    <row r="1424" spans="4:6" x14ac:dyDescent="0.2">
      <c r="D1424"/>
      <c r="F1424"/>
    </row>
    <row r="1425" spans="4:6" x14ac:dyDescent="0.2">
      <c r="D1425"/>
      <c r="F1425"/>
    </row>
    <row r="1426" spans="4:6" x14ac:dyDescent="0.2">
      <c r="D1426"/>
      <c r="F1426"/>
    </row>
    <row r="1427" spans="4:6" x14ac:dyDescent="0.2">
      <c r="D1427"/>
      <c r="F1427"/>
    </row>
    <row r="1428" spans="4:6" x14ac:dyDescent="0.2">
      <c r="D1428"/>
      <c r="F1428"/>
    </row>
    <row r="1429" spans="4:6" x14ac:dyDescent="0.2">
      <c r="D1429"/>
      <c r="F1429"/>
    </row>
    <row r="1430" spans="4:6" x14ac:dyDescent="0.2">
      <c r="D1430"/>
      <c r="F1430"/>
    </row>
    <row r="1431" spans="4:6" x14ac:dyDescent="0.2">
      <c r="D1431"/>
      <c r="F1431"/>
    </row>
    <row r="1432" spans="4:6" x14ac:dyDescent="0.2">
      <c r="D1432"/>
      <c r="F1432"/>
    </row>
    <row r="1433" spans="4:6" x14ac:dyDescent="0.2">
      <c r="D1433"/>
      <c r="F1433"/>
    </row>
    <row r="1434" spans="4:6" x14ac:dyDescent="0.2">
      <c r="D1434"/>
      <c r="F1434"/>
    </row>
    <row r="1435" spans="4:6" x14ac:dyDescent="0.2">
      <c r="D1435"/>
      <c r="F1435"/>
    </row>
    <row r="1436" spans="4:6" x14ac:dyDescent="0.2">
      <c r="D1436"/>
      <c r="F1436"/>
    </row>
    <row r="1437" spans="4:6" x14ac:dyDescent="0.2">
      <c r="D1437"/>
      <c r="F1437"/>
    </row>
    <row r="1438" spans="4:6" x14ac:dyDescent="0.2">
      <c r="D1438"/>
      <c r="F1438"/>
    </row>
    <row r="1439" spans="4:6" x14ac:dyDescent="0.2">
      <c r="D1439"/>
      <c r="F1439"/>
    </row>
    <row r="1440" spans="4:6" x14ac:dyDescent="0.2">
      <c r="D1440"/>
      <c r="F1440"/>
    </row>
    <row r="1441" spans="4:6" x14ac:dyDescent="0.2">
      <c r="D1441"/>
      <c r="F1441"/>
    </row>
    <row r="1442" spans="4:6" x14ac:dyDescent="0.2">
      <c r="D1442"/>
      <c r="F1442"/>
    </row>
    <row r="1443" spans="4:6" x14ac:dyDescent="0.2">
      <c r="D1443"/>
      <c r="F1443"/>
    </row>
    <row r="1444" spans="4:6" x14ac:dyDescent="0.2">
      <c r="D1444"/>
      <c r="F1444"/>
    </row>
    <row r="1445" spans="4:6" x14ac:dyDescent="0.2">
      <c r="D1445"/>
      <c r="F1445"/>
    </row>
    <row r="1446" spans="4:6" x14ac:dyDescent="0.2">
      <c r="D1446"/>
      <c r="F1446"/>
    </row>
    <row r="1447" spans="4:6" x14ac:dyDescent="0.2">
      <c r="D1447"/>
      <c r="F1447"/>
    </row>
    <row r="1448" spans="4:6" x14ac:dyDescent="0.2">
      <c r="D1448"/>
      <c r="F1448"/>
    </row>
    <row r="1449" spans="4:6" x14ac:dyDescent="0.2">
      <c r="D1449"/>
      <c r="F1449"/>
    </row>
    <row r="1450" spans="4:6" x14ac:dyDescent="0.2">
      <c r="D1450"/>
      <c r="F1450"/>
    </row>
    <row r="1451" spans="4:6" x14ac:dyDescent="0.2">
      <c r="D1451"/>
      <c r="F1451"/>
    </row>
    <row r="1452" spans="4:6" x14ac:dyDescent="0.2">
      <c r="D1452"/>
      <c r="F1452"/>
    </row>
    <row r="1453" spans="4:6" x14ac:dyDescent="0.2">
      <c r="D1453"/>
      <c r="F1453"/>
    </row>
    <row r="1454" spans="4:6" x14ac:dyDescent="0.2">
      <c r="D1454"/>
      <c r="F1454"/>
    </row>
    <row r="1455" spans="4:6" x14ac:dyDescent="0.2">
      <c r="D1455"/>
      <c r="F1455"/>
    </row>
    <row r="1456" spans="4:6" x14ac:dyDescent="0.2">
      <c r="D1456"/>
      <c r="F1456"/>
    </row>
    <row r="1457" spans="4:6" x14ac:dyDescent="0.2">
      <c r="D1457"/>
      <c r="F1457"/>
    </row>
    <row r="1458" spans="4:6" x14ac:dyDescent="0.2">
      <c r="D1458"/>
      <c r="F1458"/>
    </row>
    <row r="1459" spans="4:6" x14ac:dyDescent="0.2">
      <c r="D1459"/>
      <c r="F1459"/>
    </row>
    <row r="1460" spans="4:6" x14ac:dyDescent="0.2">
      <c r="D1460"/>
      <c r="F1460"/>
    </row>
    <row r="1461" spans="4:6" x14ac:dyDescent="0.2">
      <c r="D1461"/>
      <c r="F1461"/>
    </row>
    <row r="1462" spans="4:6" x14ac:dyDescent="0.2">
      <c r="D1462"/>
      <c r="F1462"/>
    </row>
    <row r="1463" spans="4:6" x14ac:dyDescent="0.2">
      <c r="D1463"/>
      <c r="F1463"/>
    </row>
    <row r="1464" spans="4:6" x14ac:dyDescent="0.2">
      <c r="D1464"/>
      <c r="F1464"/>
    </row>
    <row r="1465" spans="4:6" x14ac:dyDescent="0.2">
      <c r="D1465"/>
      <c r="F1465"/>
    </row>
    <row r="1466" spans="4:6" x14ac:dyDescent="0.2">
      <c r="D1466"/>
      <c r="F1466"/>
    </row>
    <row r="1467" spans="4:6" x14ac:dyDescent="0.2">
      <c r="D1467"/>
      <c r="F1467"/>
    </row>
    <row r="1468" spans="4:6" x14ac:dyDescent="0.2">
      <c r="D1468"/>
      <c r="F1468"/>
    </row>
    <row r="1469" spans="4:6" x14ac:dyDescent="0.2">
      <c r="D1469"/>
      <c r="F1469"/>
    </row>
    <row r="1470" spans="4:6" x14ac:dyDescent="0.2">
      <c r="D1470"/>
      <c r="F1470"/>
    </row>
    <row r="1471" spans="4:6" x14ac:dyDescent="0.2">
      <c r="D1471"/>
      <c r="F1471"/>
    </row>
    <row r="1472" spans="4:6" x14ac:dyDescent="0.2">
      <c r="D1472"/>
      <c r="F1472"/>
    </row>
    <row r="1473" spans="4:6" x14ac:dyDescent="0.2">
      <c r="D1473"/>
      <c r="F1473"/>
    </row>
    <row r="1474" spans="4:6" x14ac:dyDescent="0.2">
      <c r="F1474"/>
    </row>
    <row r="1475" spans="4:6" x14ac:dyDescent="0.2">
      <c r="F1475"/>
    </row>
    <row r="1476" spans="4:6" x14ac:dyDescent="0.2">
      <c r="F1476"/>
    </row>
    <row r="1477" spans="4:6" x14ac:dyDescent="0.2">
      <c r="F1477"/>
    </row>
    <row r="1478" spans="4:6" x14ac:dyDescent="0.2">
      <c r="F1478"/>
    </row>
    <row r="1479" spans="4:6" x14ac:dyDescent="0.2">
      <c r="F1479"/>
    </row>
    <row r="1480" spans="4:6" x14ac:dyDescent="0.2">
      <c r="F1480"/>
    </row>
    <row r="1481" spans="4:6" x14ac:dyDescent="0.2">
      <c r="F1481"/>
    </row>
    <row r="1482" spans="4:6" x14ac:dyDescent="0.2">
      <c r="F1482"/>
    </row>
    <row r="1483" spans="4:6" x14ac:dyDescent="0.2">
      <c r="F1483"/>
    </row>
    <row r="1484" spans="4:6" x14ac:dyDescent="0.2">
      <c r="F1484"/>
    </row>
    <row r="1485" spans="4:6" x14ac:dyDescent="0.2">
      <c r="F1485"/>
    </row>
    <row r="1486" spans="4:6" x14ac:dyDescent="0.2">
      <c r="F1486"/>
    </row>
    <row r="1487" spans="4:6" x14ac:dyDescent="0.2">
      <c r="F1487"/>
    </row>
    <row r="1488" spans="4:6" x14ac:dyDescent="0.2">
      <c r="F1488"/>
    </row>
    <row r="1489" spans="6:6" x14ac:dyDescent="0.2">
      <c r="F1489"/>
    </row>
    <row r="1490" spans="6:6" x14ac:dyDescent="0.2">
      <c r="F1490"/>
    </row>
    <row r="1491" spans="6:6" x14ac:dyDescent="0.2">
      <c r="F1491"/>
    </row>
    <row r="1492" spans="6:6" x14ac:dyDescent="0.2">
      <c r="F1492"/>
    </row>
    <row r="1493" spans="6:6" x14ac:dyDescent="0.2">
      <c r="F1493"/>
    </row>
    <row r="1494" spans="6:6" x14ac:dyDescent="0.2">
      <c r="F1494"/>
    </row>
    <row r="1495" spans="6:6" x14ac:dyDescent="0.2">
      <c r="F1495"/>
    </row>
    <row r="1496" spans="6:6" x14ac:dyDescent="0.2">
      <c r="F1496"/>
    </row>
    <row r="1497" spans="6:6" x14ac:dyDescent="0.2">
      <c r="F1497"/>
    </row>
    <row r="1498" spans="6:6" x14ac:dyDescent="0.2">
      <c r="F1498"/>
    </row>
    <row r="1499" spans="6:6" x14ac:dyDescent="0.2">
      <c r="F1499"/>
    </row>
    <row r="1500" spans="6:6" x14ac:dyDescent="0.2">
      <c r="F1500"/>
    </row>
    <row r="1501" spans="6:6" x14ac:dyDescent="0.2">
      <c r="F1501"/>
    </row>
    <row r="1502" spans="6:6" x14ac:dyDescent="0.2">
      <c r="F1502"/>
    </row>
    <row r="1503" spans="6:6" x14ac:dyDescent="0.2">
      <c r="F1503"/>
    </row>
    <row r="1504" spans="6:6" x14ac:dyDescent="0.2">
      <c r="F1504"/>
    </row>
    <row r="1505" spans="6:6" x14ac:dyDescent="0.2">
      <c r="F1505"/>
    </row>
    <row r="1506" spans="6:6" x14ac:dyDescent="0.2">
      <c r="F1506"/>
    </row>
    <row r="1507" spans="6:6" x14ac:dyDescent="0.2">
      <c r="F1507"/>
    </row>
    <row r="1508" spans="6:6" x14ac:dyDescent="0.2">
      <c r="F1508"/>
    </row>
    <row r="1509" spans="6:6" x14ac:dyDescent="0.2">
      <c r="F1509"/>
    </row>
    <row r="1510" spans="6:6" x14ac:dyDescent="0.2">
      <c r="F1510"/>
    </row>
    <row r="1511" spans="6:6" x14ac:dyDescent="0.2">
      <c r="F1511"/>
    </row>
    <row r="1512" spans="6:6" x14ac:dyDescent="0.2">
      <c r="F1512"/>
    </row>
    <row r="1513" spans="6:6" x14ac:dyDescent="0.2">
      <c r="F1513"/>
    </row>
    <row r="1514" spans="6:6" x14ac:dyDescent="0.2">
      <c r="F1514"/>
    </row>
    <row r="1515" spans="6:6" x14ac:dyDescent="0.2">
      <c r="F1515"/>
    </row>
    <row r="1516" spans="6:6" x14ac:dyDescent="0.2">
      <c r="F1516"/>
    </row>
    <row r="1517" spans="6:6" x14ac:dyDescent="0.2">
      <c r="F1517"/>
    </row>
    <row r="1518" spans="6:6" x14ac:dyDescent="0.2">
      <c r="F1518"/>
    </row>
    <row r="1519" spans="6:6" x14ac:dyDescent="0.2">
      <c r="F1519"/>
    </row>
    <row r="1520" spans="6:6" x14ac:dyDescent="0.2">
      <c r="F1520"/>
    </row>
    <row r="1521" spans="6:6" x14ac:dyDescent="0.2">
      <c r="F1521"/>
    </row>
    <row r="1522" spans="6:6" x14ac:dyDescent="0.2">
      <c r="F1522"/>
    </row>
    <row r="1523" spans="6:6" x14ac:dyDescent="0.2">
      <c r="F1523"/>
    </row>
    <row r="1524" spans="6:6" x14ac:dyDescent="0.2">
      <c r="F1524"/>
    </row>
    <row r="1525" spans="6:6" x14ac:dyDescent="0.2">
      <c r="F1525"/>
    </row>
    <row r="1526" spans="6:6" x14ac:dyDescent="0.2">
      <c r="F1526"/>
    </row>
    <row r="1527" spans="6:6" x14ac:dyDescent="0.2">
      <c r="F1527"/>
    </row>
    <row r="1528" spans="6:6" x14ac:dyDescent="0.2">
      <c r="F1528"/>
    </row>
    <row r="1529" spans="6:6" x14ac:dyDescent="0.2">
      <c r="F1529"/>
    </row>
    <row r="1530" spans="6:6" x14ac:dyDescent="0.2">
      <c r="F1530"/>
    </row>
    <row r="1531" spans="6:6" x14ac:dyDescent="0.2">
      <c r="F1531"/>
    </row>
    <row r="1532" spans="6:6" x14ac:dyDescent="0.2">
      <c r="F1532"/>
    </row>
    <row r="1533" spans="6:6" x14ac:dyDescent="0.2">
      <c r="F1533"/>
    </row>
    <row r="1534" spans="6:6" x14ac:dyDescent="0.2">
      <c r="F1534"/>
    </row>
    <row r="1535" spans="6:6" x14ac:dyDescent="0.2">
      <c r="F1535"/>
    </row>
    <row r="1536" spans="6:6" x14ac:dyDescent="0.2">
      <c r="F1536"/>
    </row>
    <row r="1537" spans="6:6" x14ac:dyDescent="0.2">
      <c r="F1537"/>
    </row>
    <row r="1538" spans="6:6" x14ac:dyDescent="0.2">
      <c r="F1538"/>
    </row>
    <row r="1539" spans="6:6" x14ac:dyDescent="0.2">
      <c r="F1539"/>
    </row>
    <row r="1540" spans="6:6" x14ac:dyDescent="0.2">
      <c r="F1540"/>
    </row>
    <row r="1541" spans="6:6" x14ac:dyDescent="0.2">
      <c r="F1541"/>
    </row>
    <row r="1542" spans="6:6" x14ac:dyDescent="0.2">
      <c r="F1542"/>
    </row>
    <row r="1543" spans="6:6" x14ac:dyDescent="0.2">
      <c r="F1543"/>
    </row>
    <row r="1544" spans="6:6" x14ac:dyDescent="0.2">
      <c r="F1544"/>
    </row>
    <row r="1545" spans="6:6" x14ac:dyDescent="0.2">
      <c r="F1545"/>
    </row>
    <row r="1546" spans="6:6" x14ac:dyDescent="0.2">
      <c r="F1546"/>
    </row>
    <row r="1547" spans="6:6" x14ac:dyDescent="0.2">
      <c r="F1547"/>
    </row>
    <row r="1548" spans="6:6" x14ac:dyDescent="0.2">
      <c r="F1548"/>
    </row>
    <row r="1549" spans="6:6" x14ac:dyDescent="0.2">
      <c r="F1549"/>
    </row>
    <row r="1550" spans="6:6" x14ac:dyDescent="0.2">
      <c r="F1550"/>
    </row>
    <row r="1551" spans="6:6" x14ac:dyDescent="0.2">
      <c r="F1551"/>
    </row>
    <row r="1552" spans="6:6" x14ac:dyDescent="0.2">
      <c r="F1552"/>
    </row>
    <row r="1553" spans="6:6" x14ac:dyDescent="0.2">
      <c r="F1553"/>
    </row>
    <row r="1554" spans="6:6" x14ac:dyDescent="0.2">
      <c r="F1554"/>
    </row>
    <row r="1555" spans="6:6" x14ac:dyDescent="0.2">
      <c r="F1555"/>
    </row>
    <row r="1556" spans="6:6" x14ac:dyDescent="0.2">
      <c r="F1556"/>
    </row>
    <row r="1557" spans="6:6" x14ac:dyDescent="0.2">
      <c r="F1557"/>
    </row>
    <row r="1558" spans="6:6" x14ac:dyDescent="0.2">
      <c r="F1558"/>
    </row>
    <row r="1559" spans="6:6" x14ac:dyDescent="0.2">
      <c r="F1559"/>
    </row>
    <row r="1560" spans="6:6" x14ac:dyDescent="0.2">
      <c r="F1560"/>
    </row>
    <row r="1561" spans="6:6" x14ac:dyDescent="0.2">
      <c r="F1561"/>
    </row>
    <row r="1562" spans="6:6" x14ac:dyDescent="0.2">
      <c r="F1562"/>
    </row>
    <row r="1563" spans="6:6" x14ac:dyDescent="0.2">
      <c r="F1563"/>
    </row>
    <row r="1564" spans="6:6" x14ac:dyDescent="0.2">
      <c r="F1564"/>
    </row>
    <row r="1565" spans="6:6" x14ac:dyDescent="0.2">
      <c r="F1565"/>
    </row>
    <row r="1566" spans="6:6" x14ac:dyDescent="0.2">
      <c r="F1566"/>
    </row>
    <row r="1567" spans="6:6" x14ac:dyDescent="0.2">
      <c r="F1567"/>
    </row>
    <row r="1568" spans="6:6" x14ac:dyDescent="0.2">
      <c r="F1568"/>
    </row>
    <row r="1569" spans="6:6" x14ac:dyDescent="0.2">
      <c r="F1569"/>
    </row>
    <row r="1570" spans="6:6" x14ac:dyDescent="0.2">
      <c r="F1570"/>
    </row>
    <row r="1571" spans="6:6" x14ac:dyDescent="0.2">
      <c r="F1571"/>
    </row>
    <row r="1572" spans="6:6" x14ac:dyDescent="0.2">
      <c r="F1572"/>
    </row>
    <row r="1573" spans="6:6" x14ac:dyDescent="0.2">
      <c r="F1573"/>
    </row>
    <row r="1574" spans="6:6" x14ac:dyDescent="0.2">
      <c r="F1574"/>
    </row>
    <row r="1575" spans="6:6" x14ac:dyDescent="0.2">
      <c r="F1575"/>
    </row>
    <row r="1576" spans="6:6" x14ac:dyDescent="0.2">
      <c r="F1576"/>
    </row>
    <row r="1577" spans="6:6" x14ac:dyDescent="0.2">
      <c r="F1577"/>
    </row>
    <row r="1578" spans="6:6" x14ac:dyDescent="0.2">
      <c r="F1578"/>
    </row>
    <row r="1579" spans="6:6" x14ac:dyDescent="0.2">
      <c r="F1579"/>
    </row>
    <row r="1580" spans="6:6" x14ac:dyDescent="0.2">
      <c r="F1580"/>
    </row>
    <row r="1581" spans="6:6" x14ac:dyDescent="0.2">
      <c r="F1581"/>
    </row>
    <row r="1582" spans="6:6" x14ac:dyDescent="0.2">
      <c r="F1582"/>
    </row>
    <row r="1583" spans="6:6" x14ac:dyDescent="0.2">
      <c r="F1583"/>
    </row>
    <row r="1584" spans="6:6" x14ac:dyDescent="0.2">
      <c r="F1584"/>
    </row>
    <row r="1585" spans="6:6" x14ac:dyDescent="0.2">
      <c r="F1585"/>
    </row>
    <row r="1586" spans="6:6" x14ac:dyDescent="0.2">
      <c r="F1586"/>
    </row>
    <row r="1587" spans="6:6" x14ac:dyDescent="0.2">
      <c r="F1587"/>
    </row>
    <row r="1588" spans="6:6" x14ac:dyDescent="0.2">
      <c r="F1588"/>
    </row>
    <row r="1589" spans="6:6" x14ac:dyDescent="0.2">
      <c r="F1589"/>
    </row>
    <row r="1590" spans="6:6" x14ac:dyDescent="0.2">
      <c r="F1590"/>
    </row>
    <row r="1591" spans="6:6" x14ac:dyDescent="0.2">
      <c r="F1591"/>
    </row>
    <row r="1592" spans="6:6" x14ac:dyDescent="0.2">
      <c r="F1592"/>
    </row>
    <row r="1593" spans="6:6" x14ac:dyDescent="0.2">
      <c r="F1593"/>
    </row>
    <row r="1594" spans="6:6" x14ac:dyDescent="0.2">
      <c r="F1594"/>
    </row>
    <row r="1595" spans="6:6" x14ac:dyDescent="0.2">
      <c r="F1595"/>
    </row>
    <row r="1596" spans="6:6" x14ac:dyDescent="0.2">
      <c r="F1596"/>
    </row>
    <row r="1597" spans="6:6" x14ac:dyDescent="0.2">
      <c r="F1597"/>
    </row>
    <row r="1598" spans="6:6" x14ac:dyDescent="0.2">
      <c r="F1598"/>
    </row>
    <row r="1599" spans="6:6" x14ac:dyDescent="0.2">
      <c r="F1599"/>
    </row>
    <row r="1600" spans="6:6" x14ac:dyDescent="0.2">
      <c r="F1600"/>
    </row>
    <row r="1601" spans="6:6" x14ac:dyDescent="0.2">
      <c r="F1601"/>
    </row>
    <row r="1602" spans="6:6" x14ac:dyDescent="0.2">
      <c r="F1602"/>
    </row>
    <row r="1603" spans="6:6" x14ac:dyDescent="0.2">
      <c r="F1603"/>
    </row>
    <row r="1604" spans="6:6" x14ac:dyDescent="0.2">
      <c r="F1604"/>
    </row>
    <row r="1605" spans="6:6" x14ac:dyDescent="0.2">
      <c r="F1605"/>
    </row>
    <row r="1606" spans="6:6" x14ac:dyDescent="0.2">
      <c r="F1606"/>
    </row>
    <row r="1607" spans="6:6" x14ac:dyDescent="0.2">
      <c r="F1607"/>
    </row>
    <row r="1608" spans="6:6" x14ac:dyDescent="0.2">
      <c r="F1608"/>
    </row>
    <row r="1609" spans="6:6" x14ac:dyDescent="0.2">
      <c r="F1609"/>
    </row>
    <row r="1610" spans="6:6" x14ac:dyDescent="0.2">
      <c r="F1610"/>
    </row>
    <row r="1611" spans="6:6" x14ac:dyDescent="0.2">
      <c r="F1611"/>
    </row>
    <row r="1612" spans="6:6" x14ac:dyDescent="0.2">
      <c r="F1612"/>
    </row>
    <row r="1613" spans="6:6" x14ac:dyDescent="0.2">
      <c r="F1613"/>
    </row>
    <row r="1614" spans="6:6" x14ac:dyDescent="0.2">
      <c r="F1614"/>
    </row>
    <row r="1615" spans="6:6" x14ac:dyDescent="0.2">
      <c r="F1615"/>
    </row>
    <row r="1616" spans="6:6" x14ac:dyDescent="0.2">
      <c r="F1616"/>
    </row>
    <row r="1617" spans="6:6" x14ac:dyDescent="0.2">
      <c r="F1617"/>
    </row>
    <row r="1618" spans="6:6" x14ac:dyDescent="0.2">
      <c r="F1618"/>
    </row>
    <row r="1619" spans="6:6" x14ac:dyDescent="0.2">
      <c r="F1619"/>
    </row>
    <row r="1620" spans="6:6" x14ac:dyDescent="0.2">
      <c r="F1620"/>
    </row>
    <row r="1621" spans="6:6" x14ac:dyDescent="0.2">
      <c r="F1621"/>
    </row>
    <row r="1622" spans="6:6" x14ac:dyDescent="0.2">
      <c r="F1622"/>
    </row>
    <row r="1623" spans="6:6" x14ac:dyDescent="0.2">
      <c r="F1623"/>
    </row>
    <row r="1624" spans="6:6" x14ac:dyDescent="0.2">
      <c r="F1624"/>
    </row>
    <row r="1625" spans="6:6" x14ac:dyDescent="0.2">
      <c r="F1625"/>
    </row>
    <row r="1626" spans="6:6" x14ac:dyDescent="0.2">
      <c r="F1626"/>
    </row>
    <row r="1627" spans="6:6" x14ac:dyDescent="0.2">
      <c r="F1627"/>
    </row>
    <row r="1628" spans="6:6" x14ac:dyDescent="0.2">
      <c r="F1628"/>
    </row>
    <row r="1629" spans="6:6" x14ac:dyDescent="0.2">
      <c r="F1629"/>
    </row>
    <row r="1630" spans="6:6" x14ac:dyDescent="0.2">
      <c r="F1630"/>
    </row>
    <row r="1631" spans="6:6" x14ac:dyDescent="0.2">
      <c r="F1631"/>
    </row>
    <row r="1632" spans="6:6" x14ac:dyDescent="0.2">
      <c r="F1632"/>
    </row>
    <row r="1633" spans="6:6" x14ac:dyDescent="0.2">
      <c r="F1633"/>
    </row>
    <row r="1634" spans="6:6" x14ac:dyDescent="0.2">
      <c r="F1634"/>
    </row>
    <row r="1635" spans="6:6" x14ac:dyDescent="0.2">
      <c r="F1635"/>
    </row>
    <row r="1636" spans="6:6" x14ac:dyDescent="0.2">
      <c r="F1636"/>
    </row>
    <row r="1637" spans="6:6" x14ac:dyDescent="0.2">
      <c r="F1637"/>
    </row>
    <row r="1638" spans="6:6" x14ac:dyDescent="0.2">
      <c r="F1638"/>
    </row>
    <row r="1639" spans="6:6" x14ac:dyDescent="0.2">
      <c r="F1639"/>
    </row>
    <row r="1640" spans="6:6" x14ac:dyDescent="0.2">
      <c r="F1640"/>
    </row>
    <row r="1641" spans="6:6" x14ac:dyDescent="0.2">
      <c r="F1641"/>
    </row>
    <row r="1642" spans="6:6" x14ac:dyDescent="0.2">
      <c r="F1642"/>
    </row>
    <row r="1643" spans="6:6" x14ac:dyDescent="0.2">
      <c r="F1643"/>
    </row>
    <row r="1644" spans="6:6" x14ac:dyDescent="0.2">
      <c r="F1644"/>
    </row>
    <row r="1645" spans="6:6" x14ac:dyDescent="0.2">
      <c r="F1645"/>
    </row>
    <row r="1646" spans="6:6" x14ac:dyDescent="0.2">
      <c r="F1646"/>
    </row>
    <row r="1647" spans="6:6" x14ac:dyDescent="0.2">
      <c r="F1647"/>
    </row>
    <row r="1648" spans="6:6" x14ac:dyDescent="0.2">
      <c r="F1648"/>
    </row>
    <row r="1649" spans="6:6" x14ac:dyDescent="0.2">
      <c r="F1649"/>
    </row>
    <row r="1650" spans="6:6" x14ac:dyDescent="0.2">
      <c r="F1650"/>
    </row>
    <row r="1651" spans="6:6" x14ac:dyDescent="0.2">
      <c r="F1651"/>
    </row>
    <row r="1652" spans="6:6" x14ac:dyDescent="0.2">
      <c r="F1652"/>
    </row>
    <row r="1653" spans="6:6" x14ac:dyDescent="0.2">
      <c r="F1653"/>
    </row>
    <row r="1654" spans="6:6" x14ac:dyDescent="0.2">
      <c r="F1654"/>
    </row>
    <row r="1655" spans="6:6" x14ac:dyDescent="0.2">
      <c r="F1655"/>
    </row>
    <row r="1656" spans="6:6" x14ac:dyDescent="0.2">
      <c r="F1656"/>
    </row>
    <row r="1657" spans="6:6" x14ac:dyDescent="0.2">
      <c r="F1657"/>
    </row>
    <row r="1658" spans="6:6" x14ac:dyDescent="0.2">
      <c r="F1658"/>
    </row>
    <row r="1659" spans="6:6" x14ac:dyDescent="0.2">
      <c r="F1659"/>
    </row>
    <row r="1660" spans="6:6" x14ac:dyDescent="0.2">
      <c r="F1660"/>
    </row>
    <row r="1661" spans="6:6" x14ac:dyDescent="0.2">
      <c r="F1661"/>
    </row>
    <row r="1662" spans="6:6" x14ac:dyDescent="0.2">
      <c r="F1662"/>
    </row>
    <row r="1663" spans="6:6" x14ac:dyDescent="0.2">
      <c r="F1663"/>
    </row>
    <row r="1664" spans="6:6" x14ac:dyDescent="0.2">
      <c r="F1664"/>
    </row>
    <row r="1665" spans="6:6" x14ac:dyDescent="0.2">
      <c r="F1665"/>
    </row>
    <row r="1666" spans="6:6" x14ac:dyDescent="0.2">
      <c r="F1666"/>
    </row>
    <row r="1667" spans="6:6" x14ac:dyDescent="0.2">
      <c r="F1667"/>
    </row>
    <row r="1668" spans="6:6" x14ac:dyDescent="0.2">
      <c r="F1668"/>
    </row>
    <row r="1669" spans="6:6" x14ac:dyDescent="0.2">
      <c r="F1669"/>
    </row>
    <row r="1670" spans="6:6" x14ac:dyDescent="0.2">
      <c r="F1670"/>
    </row>
    <row r="1671" spans="6:6" x14ac:dyDescent="0.2">
      <c r="F1671"/>
    </row>
    <row r="1672" spans="6:6" x14ac:dyDescent="0.2">
      <c r="F1672"/>
    </row>
    <row r="1673" spans="6:6" x14ac:dyDescent="0.2">
      <c r="F1673"/>
    </row>
    <row r="1674" spans="6:6" x14ac:dyDescent="0.2">
      <c r="F1674"/>
    </row>
    <row r="1675" spans="6:6" x14ac:dyDescent="0.2">
      <c r="F1675"/>
    </row>
    <row r="1676" spans="6:6" x14ac:dyDescent="0.2">
      <c r="F1676"/>
    </row>
    <row r="1677" spans="6:6" x14ac:dyDescent="0.2">
      <c r="F1677"/>
    </row>
    <row r="1678" spans="6:6" x14ac:dyDescent="0.2">
      <c r="F1678"/>
    </row>
    <row r="1679" spans="6:6" x14ac:dyDescent="0.2">
      <c r="F1679"/>
    </row>
    <row r="1680" spans="6:6" x14ac:dyDescent="0.2">
      <c r="F1680"/>
    </row>
    <row r="1681" spans="6:6" x14ac:dyDescent="0.2">
      <c r="F1681"/>
    </row>
    <row r="1682" spans="6:6" x14ac:dyDescent="0.2">
      <c r="F1682"/>
    </row>
    <row r="1683" spans="6:6" x14ac:dyDescent="0.2">
      <c r="F1683"/>
    </row>
    <row r="1684" spans="6:6" x14ac:dyDescent="0.2">
      <c r="F1684"/>
    </row>
    <row r="1685" spans="6:6" x14ac:dyDescent="0.2">
      <c r="F1685"/>
    </row>
    <row r="1686" spans="6:6" x14ac:dyDescent="0.2">
      <c r="F1686"/>
    </row>
    <row r="1687" spans="6:6" x14ac:dyDescent="0.2">
      <c r="F1687"/>
    </row>
    <row r="1688" spans="6:6" x14ac:dyDescent="0.2">
      <c r="F1688"/>
    </row>
    <row r="1689" spans="6:6" x14ac:dyDescent="0.2">
      <c r="F1689"/>
    </row>
    <row r="1690" spans="6:6" x14ac:dyDescent="0.2">
      <c r="F1690"/>
    </row>
    <row r="1691" spans="6:6" x14ac:dyDescent="0.2">
      <c r="F1691"/>
    </row>
    <row r="1692" spans="6:6" x14ac:dyDescent="0.2">
      <c r="F1692"/>
    </row>
    <row r="1693" spans="6:6" x14ac:dyDescent="0.2">
      <c r="F1693"/>
    </row>
    <row r="1694" spans="6:6" x14ac:dyDescent="0.2">
      <c r="F1694"/>
    </row>
    <row r="1695" spans="6:6" x14ac:dyDescent="0.2">
      <c r="F1695"/>
    </row>
    <row r="1696" spans="6:6" x14ac:dyDescent="0.2">
      <c r="F1696"/>
    </row>
    <row r="1697" spans="6:6" x14ac:dyDescent="0.2">
      <c r="F1697"/>
    </row>
    <row r="1698" spans="6:6" x14ac:dyDescent="0.2">
      <c r="F1698"/>
    </row>
    <row r="1699" spans="6:6" x14ac:dyDescent="0.2">
      <c r="F1699"/>
    </row>
    <row r="1700" spans="6:6" x14ac:dyDescent="0.2">
      <c r="F1700"/>
    </row>
    <row r="1701" spans="6:6" x14ac:dyDescent="0.2">
      <c r="F1701"/>
    </row>
    <row r="1702" spans="6:6" x14ac:dyDescent="0.2">
      <c r="F1702"/>
    </row>
    <row r="1703" spans="6:6" x14ac:dyDescent="0.2">
      <c r="F1703"/>
    </row>
    <row r="1704" spans="6:6" x14ac:dyDescent="0.2">
      <c r="F1704"/>
    </row>
    <row r="1705" spans="6:6" x14ac:dyDescent="0.2">
      <c r="F1705"/>
    </row>
    <row r="1706" spans="6:6" x14ac:dyDescent="0.2">
      <c r="F1706"/>
    </row>
    <row r="1707" spans="6:6" x14ac:dyDescent="0.2">
      <c r="F1707"/>
    </row>
    <row r="1708" spans="6:6" x14ac:dyDescent="0.2">
      <c r="F1708"/>
    </row>
    <row r="1709" spans="6:6" x14ac:dyDescent="0.2">
      <c r="F1709"/>
    </row>
    <row r="1710" spans="6:6" x14ac:dyDescent="0.2">
      <c r="F1710"/>
    </row>
    <row r="1711" spans="6:6" x14ac:dyDescent="0.2">
      <c r="F1711"/>
    </row>
    <row r="1712" spans="6:6" x14ac:dyDescent="0.2">
      <c r="F1712"/>
    </row>
    <row r="1713" spans="6:6" x14ac:dyDescent="0.2">
      <c r="F1713"/>
    </row>
    <row r="1714" spans="6:6" x14ac:dyDescent="0.2">
      <c r="F1714"/>
    </row>
    <row r="1715" spans="6:6" x14ac:dyDescent="0.2">
      <c r="F1715"/>
    </row>
    <row r="1716" spans="6:6" x14ac:dyDescent="0.2">
      <c r="F1716"/>
    </row>
    <row r="1717" spans="6:6" x14ac:dyDescent="0.2">
      <c r="F1717"/>
    </row>
    <row r="1718" spans="6:6" x14ac:dyDescent="0.2">
      <c r="F1718"/>
    </row>
    <row r="1719" spans="6:6" x14ac:dyDescent="0.2">
      <c r="F1719"/>
    </row>
    <row r="1720" spans="6:6" x14ac:dyDescent="0.2">
      <c r="F1720"/>
    </row>
    <row r="1721" spans="6:6" x14ac:dyDescent="0.2">
      <c r="F1721"/>
    </row>
    <row r="1722" spans="6:6" x14ac:dyDescent="0.2">
      <c r="F1722"/>
    </row>
    <row r="1723" spans="6:6" x14ac:dyDescent="0.2">
      <c r="F1723"/>
    </row>
    <row r="1724" spans="6:6" x14ac:dyDescent="0.2">
      <c r="F1724"/>
    </row>
    <row r="1725" spans="6:6" x14ac:dyDescent="0.2">
      <c r="F1725"/>
    </row>
    <row r="1726" spans="6:6" x14ac:dyDescent="0.2">
      <c r="F1726"/>
    </row>
    <row r="1727" spans="6:6" x14ac:dyDescent="0.2">
      <c r="F1727"/>
    </row>
    <row r="1728" spans="6:6" x14ac:dyDescent="0.2">
      <c r="F1728"/>
    </row>
    <row r="1729" spans="6:6" x14ac:dyDescent="0.2">
      <c r="F1729"/>
    </row>
    <row r="1730" spans="6:6" x14ac:dyDescent="0.2">
      <c r="F1730"/>
    </row>
    <row r="1731" spans="6:6" x14ac:dyDescent="0.2">
      <c r="F1731"/>
    </row>
    <row r="1732" spans="6:6" x14ac:dyDescent="0.2">
      <c r="F1732"/>
    </row>
    <row r="1733" spans="6:6" x14ac:dyDescent="0.2">
      <c r="F1733"/>
    </row>
    <row r="1734" spans="6:6" x14ac:dyDescent="0.2">
      <c r="F1734"/>
    </row>
    <row r="1735" spans="6:6" x14ac:dyDescent="0.2">
      <c r="F1735"/>
    </row>
    <row r="1736" spans="6:6" x14ac:dyDescent="0.2">
      <c r="F1736"/>
    </row>
    <row r="1737" spans="6:6" x14ac:dyDescent="0.2">
      <c r="F1737"/>
    </row>
    <row r="1738" spans="6:6" x14ac:dyDescent="0.2">
      <c r="F1738"/>
    </row>
    <row r="1739" spans="6:6" x14ac:dyDescent="0.2">
      <c r="F1739"/>
    </row>
    <row r="1740" spans="6:6" x14ac:dyDescent="0.2">
      <c r="F1740"/>
    </row>
    <row r="1741" spans="6:6" x14ac:dyDescent="0.2">
      <c r="F1741"/>
    </row>
    <row r="1742" spans="6:6" x14ac:dyDescent="0.2">
      <c r="F1742"/>
    </row>
    <row r="1743" spans="6:6" x14ac:dyDescent="0.2">
      <c r="F1743"/>
    </row>
    <row r="1744" spans="6:6" x14ac:dyDescent="0.2">
      <c r="F1744"/>
    </row>
    <row r="1745" spans="6:6" x14ac:dyDescent="0.2">
      <c r="F1745"/>
    </row>
    <row r="1746" spans="6:6" x14ac:dyDescent="0.2">
      <c r="F1746"/>
    </row>
    <row r="1747" spans="6:6" x14ac:dyDescent="0.2">
      <c r="F1747"/>
    </row>
    <row r="1748" spans="6:6" x14ac:dyDescent="0.2">
      <c r="F1748"/>
    </row>
    <row r="1749" spans="6:6" x14ac:dyDescent="0.2">
      <c r="F1749"/>
    </row>
    <row r="1750" spans="6:6" x14ac:dyDescent="0.2">
      <c r="F1750"/>
    </row>
    <row r="1751" spans="6:6" x14ac:dyDescent="0.2">
      <c r="F1751"/>
    </row>
    <row r="1752" spans="6:6" x14ac:dyDescent="0.2">
      <c r="F1752"/>
    </row>
    <row r="1753" spans="6:6" x14ac:dyDescent="0.2">
      <c r="F1753"/>
    </row>
    <row r="1754" spans="6:6" x14ac:dyDescent="0.2">
      <c r="F1754"/>
    </row>
    <row r="1755" spans="6:6" x14ac:dyDescent="0.2">
      <c r="F1755"/>
    </row>
    <row r="1756" spans="6:6" x14ac:dyDescent="0.2">
      <c r="F1756"/>
    </row>
    <row r="1757" spans="6:6" x14ac:dyDescent="0.2">
      <c r="F1757"/>
    </row>
    <row r="1758" spans="6:6" x14ac:dyDescent="0.2">
      <c r="F1758"/>
    </row>
    <row r="1759" spans="6:6" x14ac:dyDescent="0.2">
      <c r="F1759"/>
    </row>
    <row r="1760" spans="6:6" x14ac:dyDescent="0.2">
      <c r="F1760"/>
    </row>
    <row r="1761" spans="6:6" x14ac:dyDescent="0.2">
      <c r="F1761"/>
    </row>
    <row r="1762" spans="6:6" x14ac:dyDescent="0.2">
      <c r="F1762"/>
    </row>
    <row r="1763" spans="6:6" x14ac:dyDescent="0.2">
      <c r="F1763"/>
    </row>
    <row r="1764" spans="6:6" x14ac:dyDescent="0.2">
      <c r="F1764"/>
    </row>
    <row r="1765" spans="6:6" x14ac:dyDescent="0.2">
      <c r="F1765"/>
    </row>
    <row r="1766" spans="6:6" x14ac:dyDescent="0.2">
      <c r="F1766"/>
    </row>
    <row r="1767" spans="6:6" x14ac:dyDescent="0.2">
      <c r="F1767"/>
    </row>
    <row r="1768" spans="6:6" x14ac:dyDescent="0.2">
      <c r="F1768"/>
    </row>
    <row r="1769" spans="6:6" x14ac:dyDescent="0.2">
      <c r="F1769"/>
    </row>
    <row r="1770" spans="6:6" x14ac:dyDescent="0.2">
      <c r="F1770"/>
    </row>
    <row r="1771" spans="6:6" x14ac:dyDescent="0.2">
      <c r="F1771"/>
    </row>
    <row r="1772" spans="6:6" x14ac:dyDescent="0.2">
      <c r="F1772"/>
    </row>
    <row r="1773" spans="6:6" x14ac:dyDescent="0.2">
      <c r="F1773"/>
    </row>
    <row r="1774" spans="6:6" x14ac:dyDescent="0.2">
      <c r="F1774"/>
    </row>
    <row r="1775" spans="6:6" x14ac:dyDescent="0.2">
      <c r="F1775"/>
    </row>
    <row r="1776" spans="6:6" x14ac:dyDescent="0.2">
      <c r="F1776"/>
    </row>
    <row r="1777" spans="6:6" x14ac:dyDescent="0.2">
      <c r="F1777"/>
    </row>
    <row r="1778" spans="6:6" x14ac:dyDescent="0.2">
      <c r="F1778"/>
    </row>
    <row r="1779" spans="6:6" x14ac:dyDescent="0.2">
      <c r="F1779"/>
    </row>
    <row r="1780" spans="6:6" x14ac:dyDescent="0.2">
      <c r="F1780"/>
    </row>
    <row r="1781" spans="6:6" x14ac:dyDescent="0.2">
      <c r="F1781"/>
    </row>
    <row r="1782" spans="6:6" x14ac:dyDescent="0.2">
      <c r="F1782"/>
    </row>
    <row r="1783" spans="6:6" x14ac:dyDescent="0.2">
      <c r="F1783"/>
    </row>
    <row r="1784" spans="6:6" x14ac:dyDescent="0.2">
      <c r="F1784"/>
    </row>
    <row r="1785" spans="6:6" x14ac:dyDescent="0.2">
      <c r="F1785"/>
    </row>
    <row r="1786" spans="6:6" x14ac:dyDescent="0.2">
      <c r="F1786"/>
    </row>
    <row r="1787" spans="6:6" x14ac:dyDescent="0.2">
      <c r="F1787"/>
    </row>
    <row r="1788" spans="6:6" x14ac:dyDescent="0.2">
      <c r="F1788"/>
    </row>
    <row r="1789" spans="6:6" x14ac:dyDescent="0.2">
      <c r="F1789"/>
    </row>
    <row r="1790" spans="6:6" x14ac:dyDescent="0.2">
      <c r="F1790"/>
    </row>
    <row r="1791" spans="6:6" x14ac:dyDescent="0.2">
      <c r="F1791"/>
    </row>
    <row r="1792" spans="6:6" x14ac:dyDescent="0.2">
      <c r="F1792"/>
    </row>
    <row r="1793" spans="6:6" x14ac:dyDescent="0.2">
      <c r="F1793"/>
    </row>
    <row r="1794" spans="6:6" x14ac:dyDescent="0.2">
      <c r="F1794"/>
    </row>
    <row r="1795" spans="6:6" x14ac:dyDescent="0.2">
      <c r="F1795"/>
    </row>
    <row r="1796" spans="6:6" x14ac:dyDescent="0.2">
      <c r="F1796"/>
    </row>
    <row r="1797" spans="6:6" x14ac:dyDescent="0.2">
      <c r="F1797"/>
    </row>
    <row r="1798" spans="6:6" x14ac:dyDescent="0.2">
      <c r="F1798"/>
    </row>
    <row r="1799" spans="6:6" x14ac:dyDescent="0.2">
      <c r="F1799"/>
    </row>
    <row r="1800" spans="6:6" x14ac:dyDescent="0.2">
      <c r="F1800"/>
    </row>
    <row r="1801" spans="6:6" x14ac:dyDescent="0.2">
      <c r="F1801"/>
    </row>
    <row r="1802" spans="6:6" x14ac:dyDescent="0.2">
      <c r="F1802"/>
    </row>
    <row r="1803" spans="6:6" x14ac:dyDescent="0.2">
      <c r="F1803"/>
    </row>
    <row r="1804" spans="6:6" x14ac:dyDescent="0.2">
      <c r="F1804"/>
    </row>
    <row r="1805" spans="6:6" x14ac:dyDescent="0.2">
      <c r="F1805"/>
    </row>
    <row r="1806" spans="6:6" x14ac:dyDescent="0.2">
      <c r="F1806"/>
    </row>
    <row r="1807" spans="6:6" x14ac:dyDescent="0.2">
      <c r="F1807"/>
    </row>
    <row r="1808" spans="6:6" x14ac:dyDescent="0.2">
      <c r="F1808"/>
    </row>
    <row r="1809" spans="6:6" x14ac:dyDescent="0.2">
      <c r="F1809"/>
    </row>
    <row r="1810" spans="6:6" x14ac:dyDescent="0.2">
      <c r="F1810"/>
    </row>
    <row r="1811" spans="6:6" x14ac:dyDescent="0.2">
      <c r="F1811"/>
    </row>
    <row r="1812" spans="6:6" x14ac:dyDescent="0.2">
      <c r="F1812"/>
    </row>
    <row r="1813" spans="6:6" x14ac:dyDescent="0.2">
      <c r="F1813"/>
    </row>
    <row r="1814" spans="6:6" x14ac:dyDescent="0.2">
      <c r="F1814"/>
    </row>
    <row r="1815" spans="6:6" x14ac:dyDescent="0.2">
      <c r="F1815"/>
    </row>
    <row r="1816" spans="6:6" x14ac:dyDescent="0.2">
      <c r="F1816"/>
    </row>
    <row r="1817" spans="6:6" x14ac:dyDescent="0.2">
      <c r="F1817"/>
    </row>
    <row r="1818" spans="6:6" x14ac:dyDescent="0.2">
      <c r="F1818"/>
    </row>
    <row r="1819" spans="6:6" x14ac:dyDescent="0.2">
      <c r="F1819"/>
    </row>
    <row r="1820" spans="6:6" x14ac:dyDescent="0.2">
      <c r="F1820"/>
    </row>
    <row r="1821" spans="6:6" x14ac:dyDescent="0.2">
      <c r="F1821"/>
    </row>
    <row r="1822" spans="6:6" x14ac:dyDescent="0.2">
      <c r="F1822"/>
    </row>
    <row r="1823" spans="6:6" x14ac:dyDescent="0.2">
      <c r="F1823"/>
    </row>
    <row r="1824" spans="6:6" x14ac:dyDescent="0.2">
      <c r="F1824"/>
    </row>
    <row r="1825" spans="6:6" x14ac:dyDescent="0.2">
      <c r="F1825"/>
    </row>
    <row r="1826" spans="6:6" x14ac:dyDescent="0.2">
      <c r="F1826"/>
    </row>
    <row r="1827" spans="6:6" x14ac:dyDescent="0.2">
      <c r="F1827"/>
    </row>
    <row r="1828" spans="6:6" x14ac:dyDescent="0.2">
      <c r="F1828"/>
    </row>
    <row r="1829" spans="6:6" x14ac:dyDescent="0.2">
      <c r="F1829"/>
    </row>
    <row r="1830" spans="6:6" x14ac:dyDescent="0.2">
      <c r="F1830"/>
    </row>
    <row r="1831" spans="6:6" x14ac:dyDescent="0.2">
      <c r="F1831"/>
    </row>
    <row r="1832" spans="6:6" x14ac:dyDescent="0.2">
      <c r="F1832"/>
    </row>
    <row r="1833" spans="6:6" x14ac:dyDescent="0.2">
      <c r="F1833"/>
    </row>
    <row r="1834" spans="6:6" x14ac:dyDescent="0.2">
      <c r="F1834"/>
    </row>
    <row r="1835" spans="6:6" x14ac:dyDescent="0.2">
      <c r="F1835"/>
    </row>
    <row r="1836" spans="6:6" x14ac:dyDescent="0.2">
      <c r="F1836"/>
    </row>
    <row r="1837" spans="6:6" x14ac:dyDescent="0.2">
      <c r="F1837"/>
    </row>
    <row r="1838" spans="6:6" x14ac:dyDescent="0.2">
      <c r="F1838"/>
    </row>
    <row r="1839" spans="6:6" x14ac:dyDescent="0.2">
      <c r="F1839"/>
    </row>
    <row r="1840" spans="6:6" x14ac:dyDescent="0.2">
      <c r="F1840"/>
    </row>
    <row r="1841" spans="6:6" x14ac:dyDescent="0.2">
      <c r="F1841"/>
    </row>
    <row r="1842" spans="6:6" x14ac:dyDescent="0.2">
      <c r="F1842"/>
    </row>
    <row r="1843" spans="6:6" x14ac:dyDescent="0.2">
      <c r="F1843"/>
    </row>
    <row r="1844" spans="6:6" x14ac:dyDescent="0.2">
      <c r="F1844"/>
    </row>
    <row r="1845" spans="6:6" x14ac:dyDescent="0.2">
      <c r="F1845"/>
    </row>
    <row r="1846" spans="6:6" x14ac:dyDescent="0.2">
      <c r="F1846"/>
    </row>
    <row r="1847" spans="6:6" x14ac:dyDescent="0.2">
      <c r="F1847"/>
    </row>
    <row r="1848" spans="6:6" x14ac:dyDescent="0.2">
      <c r="F1848"/>
    </row>
    <row r="1849" spans="6:6" x14ac:dyDescent="0.2">
      <c r="F1849"/>
    </row>
    <row r="1850" spans="6:6" x14ac:dyDescent="0.2">
      <c r="F1850"/>
    </row>
    <row r="1851" spans="6:6" x14ac:dyDescent="0.2">
      <c r="F1851"/>
    </row>
    <row r="1852" spans="6:6" x14ac:dyDescent="0.2">
      <c r="F1852"/>
    </row>
    <row r="1853" spans="6:6" x14ac:dyDescent="0.2">
      <c r="F1853"/>
    </row>
    <row r="1854" spans="6:6" x14ac:dyDescent="0.2">
      <c r="F1854"/>
    </row>
    <row r="1855" spans="6:6" x14ac:dyDescent="0.2">
      <c r="F1855"/>
    </row>
    <row r="1856" spans="6:6" x14ac:dyDescent="0.2">
      <c r="F1856"/>
    </row>
    <row r="1857" spans="6:6" x14ac:dyDescent="0.2">
      <c r="F1857"/>
    </row>
    <row r="1858" spans="6:6" x14ac:dyDescent="0.2">
      <c r="F1858"/>
    </row>
    <row r="1859" spans="6:6" x14ac:dyDescent="0.2">
      <c r="F1859"/>
    </row>
    <row r="1860" spans="6:6" x14ac:dyDescent="0.2">
      <c r="F1860"/>
    </row>
    <row r="1861" spans="6:6" x14ac:dyDescent="0.2">
      <c r="F1861"/>
    </row>
    <row r="1862" spans="6:6" x14ac:dyDescent="0.2">
      <c r="F1862"/>
    </row>
    <row r="1863" spans="6:6" x14ac:dyDescent="0.2">
      <c r="F1863"/>
    </row>
    <row r="1864" spans="6:6" x14ac:dyDescent="0.2">
      <c r="F1864"/>
    </row>
    <row r="1865" spans="6:6" x14ac:dyDescent="0.2">
      <c r="F1865"/>
    </row>
    <row r="1866" spans="6:6" x14ac:dyDescent="0.2">
      <c r="F1866"/>
    </row>
    <row r="1867" spans="6:6" x14ac:dyDescent="0.2">
      <c r="F1867"/>
    </row>
    <row r="1868" spans="6:6" x14ac:dyDescent="0.2">
      <c r="F1868"/>
    </row>
    <row r="1869" spans="6:6" x14ac:dyDescent="0.2">
      <c r="F1869"/>
    </row>
    <row r="1870" spans="6:6" x14ac:dyDescent="0.2">
      <c r="F1870"/>
    </row>
    <row r="1871" spans="6:6" x14ac:dyDescent="0.2">
      <c r="F1871"/>
    </row>
    <row r="1872" spans="6:6" x14ac:dyDescent="0.2">
      <c r="F1872"/>
    </row>
    <row r="1873" spans="6:6" x14ac:dyDescent="0.2">
      <c r="F1873"/>
    </row>
    <row r="1874" spans="6:6" x14ac:dyDescent="0.2">
      <c r="F1874"/>
    </row>
    <row r="1875" spans="6:6" x14ac:dyDescent="0.2">
      <c r="F1875"/>
    </row>
    <row r="1876" spans="6:6" x14ac:dyDescent="0.2">
      <c r="F1876"/>
    </row>
    <row r="1877" spans="6:6" x14ac:dyDescent="0.2">
      <c r="F1877"/>
    </row>
    <row r="1878" spans="6:6" x14ac:dyDescent="0.2">
      <c r="F1878"/>
    </row>
    <row r="1879" spans="6:6" x14ac:dyDescent="0.2">
      <c r="F1879"/>
    </row>
    <row r="1880" spans="6:6" x14ac:dyDescent="0.2">
      <c r="F1880"/>
    </row>
    <row r="1881" spans="6:6" x14ac:dyDescent="0.2">
      <c r="F1881"/>
    </row>
    <row r="1882" spans="6:6" x14ac:dyDescent="0.2">
      <c r="F1882"/>
    </row>
    <row r="1883" spans="6:6" x14ac:dyDescent="0.2">
      <c r="F1883"/>
    </row>
    <row r="1884" spans="6:6" x14ac:dyDescent="0.2">
      <c r="F1884"/>
    </row>
    <row r="1885" spans="6:6" x14ac:dyDescent="0.2">
      <c r="F1885"/>
    </row>
    <row r="1886" spans="6:6" x14ac:dyDescent="0.2">
      <c r="F1886"/>
    </row>
    <row r="1887" spans="6:6" x14ac:dyDescent="0.2">
      <c r="F1887"/>
    </row>
    <row r="1888" spans="6:6" x14ac:dyDescent="0.2">
      <c r="F1888"/>
    </row>
    <row r="1889" spans="6:6" x14ac:dyDescent="0.2">
      <c r="F1889"/>
    </row>
    <row r="1890" spans="6:6" x14ac:dyDescent="0.2">
      <c r="F1890"/>
    </row>
    <row r="1891" spans="6:6" x14ac:dyDescent="0.2">
      <c r="F1891"/>
    </row>
    <row r="1892" spans="6:6" x14ac:dyDescent="0.2">
      <c r="F1892"/>
    </row>
    <row r="1893" spans="6:6" x14ac:dyDescent="0.2">
      <c r="F1893"/>
    </row>
    <row r="1894" spans="6:6" x14ac:dyDescent="0.2">
      <c r="F1894"/>
    </row>
    <row r="1895" spans="6:6" x14ac:dyDescent="0.2">
      <c r="F1895"/>
    </row>
    <row r="1896" spans="6:6" x14ac:dyDescent="0.2">
      <c r="F1896"/>
    </row>
    <row r="1897" spans="6:6" x14ac:dyDescent="0.2">
      <c r="F1897"/>
    </row>
    <row r="1898" spans="6:6" x14ac:dyDescent="0.2">
      <c r="F1898"/>
    </row>
    <row r="1899" spans="6:6" x14ac:dyDescent="0.2">
      <c r="F1899"/>
    </row>
    <row r="1900" spans="6:6" x14ac:dyDescent="0.2">
      <c r="F1900"/>
    </row>
    <row r="1901" spans="6:6" x14ac:dyDescent="0.2">
      <c r="F1901"/>
    </row>
    <row r="1902" spans="6:6" x14ac:dyDescent="0.2">
      <c r="F1902"/>
    </row>
    <row r="1903" spans="6:6" x14ac:dyDescent="0.2">
      <c r="F1903"/>
    </row>
    <row r="1904" spans="6:6" x14ac:dyDescent="0.2">
      <c r="F1904"/>
    </row>
    <row r="1905" spans="6:6" x14ac:dyDescent="0.2">
      <c r="F1905"/>
    </row>
    <row r="1906" spans="6:6" x14ac:dyDescent="0.2">
      <c r="F1906"/>
    </row>
    <row r="1907" spans="6:6" x14ac:dyDescent="0.2">
      <c r="F1907"/>
    </row>
    <row r="1908" spans="6:6" x14ac:dyDescent="0.2">
      <c r="F1908"/>
    </row>
    <row r="1909" spans="6:6" x14ac:dyDescent="0.2">
      <c r="F1909"/>
    </row>
    <row r="1910" spans="6:6" x14ac:dyDescent="0.2">
      <c r="F1910"/>
    </row>
    <row r="1911" spans="6:6" x14ac:dyDescent="0.2">
      <c r="F1911"/>
    </row>
    <row r="1912" spans="6:6" x14ac:dyDescent="0.2">
      <c r="F1912"/>
    </row>
    <row r="1913" spans="6:6" x14ac:dyDescent="0.2">
      <c r="F1913"/>
    </row>
    <row r="1914" spans="6:6" x14ac:dyDescent="0.2">
      <c r="F1914"/>
    </row>
    <row r="1915" spans="6:6" x14ac:dyDescent="0.2">
      <c r="F1915"/>
    </row>
    <row r="1916" spans="6:6" x14ac:dyDescent="0.2">
      <c r="F1916"/>
    </row>
    <row r="1917" spans="6:6" x14ac:dyDescent="0.2">
      <c r="F1917"/>
    </row>
    <row r="1918" spans="6:6" x14ac:dyDescent="0.2">
      <c r="F1918"/>
    </row>
    <row r="1919" spans="6:6" x14ac:dyDescent="0.2">
      <c r="F1919"/>
    </row>
    <row r="1920" spans="6:6" x14ac:dyDescent="0.2">
      <c r="F1920"/>
    </row>
    <row r="1921" spans="6:6" x14ac:dyDescent="0.2">
      <c r="F1921"/>
    </row>
    <row r="1922" spans="6:6" x14ac:dyDescent="0.2">
      <c r="F1922"/>
    </row>
    <row r="1923" spans="6:6" x14ac:dyDescent="0.2">
      <c r="F1923"/>
    </row>
    <row r="1924" spans="6:6" x14ac:dyDescent="0.2">
      <c r="F1924"/>
    </row>
    <row r="1925" spans="6:6" x14ac:dyDescent="0.2">
      <c r="F1925"/>
    </row>
    <row r="1926" spans="6:6" x14ac:dyDescent="0.2">
      <c r="F1926"/>
    </row>
    <row r="1927" spans="6:6" x14ac:dyDescent="0.2">
      <c r="F1927"/>
    </row>
    <row r="1928" spans="6:6" x14ac:dyDescent="0.2">
      <c r="F1928"/>
    </row>
    <row r="1929" spans="6:6" x14ac:dyDescent="0.2">
      <c r="F1929"/>
    </row>
    <row r="1930" spans="6:6" x14ac:dyDescent="0.2">
      <c r="F1930"/>
    </row>
    <row r="1931" spans="6:6" x14ac:dyDescent="0.2">
      <c r="F1931"/>
    </row>
    <row r="1932" spans="6:6" x14ac:dyDescent="0.2">
      <c r="F1932"/>
    </row>
    <row r="1933" spans="6:6" x14ac:dyDescent="0.2">
      <c r="F1933"/>
    </row>
    <row r="1934" spans="6:6" x14ac:dyDescent="0.2">
      <c r="F1934"/>
    </row>
    <row r="1935" spans="6:6" x14ac:dyDescent="0.2">
      <c r="F1935"/>
    </row>
    <row r="1936" spans="6:6" x14ac:dyDescent="0.2">
      <c r="F1936"/>
    </row>
    <row r="1937" spans="6:6" x14ac:dyDescent="0.2">
      <c r="F1937"/>
    </row>
    <row r="1938" spans="6:6" x14ac:dyDescent="0.2">
      <c r="F1938"/>
    </row>
    <row r="1939" spans="6:6" x14ac:dyDescent="0.2">
      <c r="F1939"/>
    </row>
    <row r="1940" spans="6:6" x14ac:dyDescent="0.2">
      <c r="F1940"/>
    </row>
    <row r="1941" spans="6:6" x14ac:dyDescent="0.2">
      <c r="F1941"/>
    </row>
    <row r="1942" spans="6:6" x14ac:dyDescent="0.2">
      <c r="F1942"/>
    </row>
    <row r="1943" spans="6:6" x14ac:dyDescent="0.2">
      <c r="F1943"/>
    </row>
    <row r="1944" spans="6:6" x14ac:dyDescent="0.2">
      <c r="F1944"/>
    </row>
    <row r="1945" spans="6:6" x14ac:dyDescent="0.2">
      <c r="F1945"/>
    </row>
    <row r="1946" spans="6:6" x14ac:dyDescent="0.2">
      <c r="F1946"/>
    </row>
    <row r="1947" spans="6:6" x14ac:dyDescent="0.2">
      <c r="F1947"/>
    </row>
    <row r="1948" spans="6:6" x14ac:dyDescent="0.2">
      <c r="F1948"/>
    </row>
    <row r="1949" spans="6:6" x14ac:dyDescent="0.2">
      <c r="F1949"/>
    </row>
    <row r="1950" spans="6:6" x14ac:dyDescent="0.2">
      <c r="F1950"/>
    </row>
    <row r="1951" spans="6:6" x14ac:dyDescent="0.2">
      <c r="F1951"/>
    </row>
    <row r="1952" spans="6:6" x14ac:dyDescent="0.2">
      <c r="F1952"/>
    </row>
    <row r="1953" spans="6:6" x14ac:dyDescent="0.2">
      <c r="F1953"/>
    </row>
    <row r="1954" spans="6:6" x14ac:dyDescent="0.2">
      <c r="F1954"/>
    </row>
    <row r="1955" spans="6:6" x14ac:dyDescent="0.2">
      <c r="F1955"/>
    </row>
    <row r="1956" spans="6:6" x14ac:dyDescent="0.2">
      <c r="F1956"/>
    </row>
    <row r="1957" spans="6:6" x14ac:dyDescent="0.2">
      <c r="F1957"/>
    </row>
    <row r="1958" spans="6:6" x14ac:dyDescent="0.2">
      <c r="F1958"/>
    </row>
    <row r="1959" spans="6:6" x14ac:dyDescent="0.2">
      <c r="F1959"/>
    </row>
    <row r="1960" spans="6:6" x14ac:dyDescent="0.2">
      <c r="F1960"/>
    </row>
    <row r="1961" spans="6:6" x14ac:dyDescent="0.2">
      <c r="F1961"/>
    </row>
    <row r="1962" spans="6:6" x14ac:dyDescent="0.2">
      <c r="F1962"/>
    </row>
    <row r="1963" spans="6:6" x14ac:dyDescent="0.2">
      <c r="F1963"/>
    </row>
    <row r="1964" spans="6:6" x14ac:dyDescent="0.2">
      <c r="F1964"/>
    </row>
    <row r="1965" spans="6:6" x14ac:dyDescent="0.2">
      <c r="F1965"/>
    </row>
    <row r="1966" spans="6:6" x14ac:dyDescent="0.2">
      <c r="F1966"/>
    </row>
    <row r="1967" spans="6:6" x14ac:dyDescent="0.2">
      <c r="F1967"/>
    </row>
    <row r="1968" spans="6:6" x14ac:dyDescent="0.2">
      <c r="F1968"/>
    </row>
    <row r="1969" spans="6:6" x14ac:dyDescent="0.2">
      <c r="F1969"/>
    </row>
    <row r="1970" spans="6:6" x14ac:dyDescent="0.2">
      <c r="F1970"/>
    </row>
    <row r="1971" spans="6:6" x14ac:dyDescent="0.2">
      <c r="F1971"/>
    </row>
    <row r="1972" spans="6:6" x14ac:dyDescent="0.2">
      <c r="F1972"/>
    </row>
    <row r="1973" spans="6:6" x14ac:dyDescent="0.2">
      <c r="F1973"/>
    </row>
    <row r="1974" spans="6:6" x14ac:dyDescent="0.2">
      <c r="F1974"/>
    </row>
    <row r="1975" spans="6:6" x14ac:dyDescent="0.2">
      <c r="F1975"/>
    </row>
    <row r="1976" spans="6:6" x14ac:dyDescent="0.2">
      <c r="F1976"/>
    </row>
    <row r="1977" spans="6:6" x14ac:dyDescent="0.2">
      <c r="F1977"/>
    </row>
    <row r="1978" spans="6:6" x14ac:dyDescent="0.2">
      <c r="F1978"/>
    </row>
    <row r="1979" spans="6:6" x14ac:dyDescent="0.2">
      <c r="F1979"/>
    </row>
    <row r="1980" spans="6:6" x14ac:dyDescent="0.2">
      <c r="F1980"/>
    </row>
    <row r="1981" spans="6:6" x14ac:dyDescent="0.2">
      <c r="F1981"/>
    </row>
    <row r="1982" spans="6:6" x14ac:dyDescent="0.2">
      <c r="F1982"/>
    </row>
    <row r="1983" spans="6:6" x14ac:dyDescent="0.2">
      <c r="F1983"/>
    </row>
    <row r="1984" spans="6:6" x14ac:dyDescent="0.2">
      <c r="F1984"/>
    </row>
    <row r="1985" spans="6:6" x14ac:dyDescent="0.2">
      <c r="F1985"/>
    </row>
    <row r="1986" spans="6:6" x14ac:dyDescent="0.2">
      <c r="F1986"/>
    </row>
    <row r="1987" spans="6:6" x14ac:dyDescent="0.2">
      <c r="F1987"/>
    </row>
    <row r="1988" spans="6:6" x14ac:dyDescent="0.2">
      <c r="F1988"/>
    </row>
    <row r="1989" spans="6:6" x14ac:dyDescent="0.2">
      <c r="F1989"/>
    </row>
    <row r="1990" spans="6:6" x14ac:dyDescent="0.2">
      <c r="F1990"/>
    </row>
    <row r="1991" spans="6:6" x14ac:dyDescent="0.2">
      <c r="F1991"/>
    </row>
    <row r="1992" spans="6:6" x14ac:dyDescent="0.2">
      <c r="F1992"/>
    </row>
    <row r="1993" spans="6:6" x14ac:dyDescent="0.2">
      <c r="F1993"/>
    </row>
    <row r="1994" spans="6:6" x14ac:dyDescent="0.2">
      <c r="F1994"/>
    </row>
    <row r="1995" spans="6:6" x14ac:dyDescent="0.2">
      <c r="F1995"/>
    </row>
    <row r="1996" spans="6:6" x14ac:dyDescent="0.2">
      <c r="F1996"/>
    </row>
    <row r="1997" spans="6:6" x14ac:dyDescent="0.2">
      <c r="F1997"/>
    </row>
    <row r="1998" spans="6:6" x14ac:dyDescent="0.2">
      <c r="F1998"/>
    </row>
    <row r="1999" spans="6:6" x14ac:dyDescent="0.2">
      <c r="F1999"/>
    </row>
    <row r="2000" spans="6:6" x14ac:dyDescent="0.2">
      <c r="F2000"/>
    </row>
    <row r="2001" spans="6:6" x14ac:dyDescent="0.2">
      <c r="F2001"/>
    </row>
    <row r="2002" spans="6:6" x14ac:dyDescent="0.2">
      <c r="F2002"/>
    </row>
    <row r="2003" spans="6:6" x14ac:dyDescent="0.2">
      <c r="F2003"/>
    </row>
    <row r="2004" spans="6:6" x14ac:dyDescent="0.2">
      <c r="F2004"/>
    </row>
    <row r="2005" spans="6:6" x14ac:dyDescent="0.2">
      <c r="F2005"/>
    </row>
    <row r="2006" spans="6:6" x14ac:dyDescent="0.2">
      <c r="F2006"/>
    </row>
    <row r="2007" spans="6:6" x14ac:dyDescent="0.2">
      <c r="F2007"/>
    </row>
    <row r="2008" spans="6:6" x14ac:dyDescent="0.2">
      <c r="F2008"/>
    </row>
    <row r="2009" spans="6:6" x14ac:dyDescent="0.2">
      <c r="F2009"/>
    </row>
    <row r="2010" spans="6:6" x14ac:dyDescent="0.2">
      <c r="F2010"/>
    </row>
    <row r="2011" spans="6:6" x14ac:dyDescent="0.2">
      <c r="F2011"/>
    </row>
    <row r="2012" spans="6:6" x14ac:dyDescent="0.2">
      <c r="F2012"/>
    </row>
    <row r="2013" spans="6:6" x14ac:dyDescent="0.2">
      <c r="F2013"/>
    </row>
    <row r="2014" spans="6:6" x14ac:dyDescent="0.2">
      <c r="F2014"/>
    </row>
    <row r="2015" spans="6:6" x14ac:dyDescent="0.2">
      <c r="F2015"/>
    </row>
    <row r="2016" spans="6:6" x14ac:dyDescent="0.2">
      <c r="F2016"/>
    </row>
    <row r="2017" spans="6:6" x14ac:dyDescent="0.2">
      <c r="F2017"/>
    </row>
    <row r="2018" spans="6:6" x14ac:dyDescent="0.2">
      <c r="F2018"/>
    </row>
    <row r="2019" spans="6:6" x14ac:dyDescent="0.2">
      <c r="F2019"/>
    </row>
    <row r="2020" spans="6:6" x14ac:dyDescent="0.2">
      <c r="F2020"/>
    </row>
    <row r="2021" spans="6:6" x14ac:dyDescent="0.2">
      <c r="F2021"/>
    </row>
    <row r="2022" spans="6:6" x14ac:dyDescent="0.2">
      <c r="F2022"/>
    </row>
    <row r="2023" spans="6:6" x14ac:dyDescent="0.2">
      <c r="F2023"/>
    </row>
    <row r="2024" spans="6:6" x14ac:dyDescent="0.2">
      <c r="F2024"/>
    </row>
    <row r="2025" spans="6:6" x14ac:dyDescent="0.2">
      <c r="F2025"/>
    </row>
    <row r="2026" spans="6:6" x14ac:dyDescent="0.2">
      <c r="F2026"/>
    </row>
    <row r="2027" spans="6:6" x14ac:dyDescent="0.2">
      <c r="F2027"/>
    </row>
    <row r="2028" spans="6:6" x14ac:dyDescent="0.2">
      <c r="F2028"/>
    </row>
    <row r="2029" spans="6:6" x14ac:dyDescent="0.2">
      <c r="F2029"/>
    </row>
    <row r="2030" spans="6:6" x14ac:dyDescent="0.2">
      <c r="F2030"/>
    </row>
    <row r="2031" spans="6:6" x14ac:dyDescent="0.2">
      <c r="F2031"/>
    </row>
    <row r="2032" spans="6:6" x14ac:dyDescent="0.2">
      <c r="F2032"/>
    </row>
    <row r="2033" spans="6:6" x14ac:dyDescent="0.2">
      <c r="F2033"/>
    </row>
    <row r="2034" spans="6:6" x14ac:dyDescent="0.2">
      <c r="F2034"/>
    </row>
    <row r="2035" spans="6:6" x14ac:dyDescent="0.2">
      <c r="F2035"/>
    </row>
    <row r="2036" spans="6:6" x14ac:dyDescent="0.2">
      <c r="F2036"/>
    </row>
    <row r="2037" spans="6:6" x14ac:dyDescent="0.2">
      <c r="F2037"/>
    </row>
    <row r="2038" spans="6:6" x14ac:dyDescent="0.2">
      <c r="F2038"/>
    </row>
    <row r="2039" spans="6:6" x14ac:dyDescent="0.2">
      <c r="F2039"/>
    </row>
    <row r="2040" spans="6:6" x14ac:dyDescent="0.2">
      <c r="F2040"/>
    </row>
    <row r="2041" spans="6:6" x14ac:dyDescent="0.2">
      <c r="F2041"/>
    </row>
    <row r="2042" spans="6:6" x14ac:dyDescent="0.2">
      <c r="F2042"/>
    </row>
    <row r="2043" spans="6:6" x14ac:dyDescent="0.2">
      <c r="F2043"/>
    </row>
    <row r="2044" spans="6:6" x14ac:dyDescent="0.2">
      <c r="F2044"/>
    </row>
    <row r="2045" spans="6:6" x14ac:dyDescent="0.2">
      <c r="F2045"/>
    </row>
    <row r="2046" spans="6:6" x14ac:dyDescent="0.2">
      <c r="F2046"/>
    </row>
    <row r="2047" spans="6:6" x14ac:dyDescent="0.2">
      <c r="F2047"/>
    </row>
    <row r="2048" spans="6:6" x14ac:dyDescent="0.2">
      <c r="F2048"/>
    </row>
    <row r="2049" spans="6:6" x14ac:dyDescent="0.2">
      <c r="F2049"/>
    </row>
    <row r="2050" spans="6:6" x14ac:dyDescent="0.2">
      <c r="F2050"/>
    </row>
    <row r="2051" spans="6:6" x14ac:dyDescent="0.2">
      <c r="F2051"/>
    </row>
    <row r="2052" spans="6:6" x14ac:dyDescent="0.2">
      <c r="F2052"/>
    </row>
    <row r="2053" spans="6:6" x14ac:dyDescent="0.2">
      <c r="F2053"/>
    </row>
    <row r="2054" spans="6:6" x14ac:dyDescent="0.2">
      <c r="F2054"/>
    </row>
    <row r="2055" spans="6:6" x14ac:dyDescent="0.2">
      <c r="F2055"/>
    </row>
    <row r="2056" spans="6:6" x14ac:dyDescent="0.2">
      <c r="F2056"/>
    </row>
    <row r="2057" spans="6:6" x14ac:dyDescent="0.2">
      <c r="F2057"/>
    </row>
    <row r="2058" spans="6:6" x14ac:dyDescent="0.2">
      <c r="F2058"/>
    </row>
    <row r="2059" spans="6:6" x14ac:dyDescent="0.2">
      <c r="F2059"/>
    </row>
    <row r="2060" spans="6:6" x14ac:dyDescent="0.2">
      <c r="F2060"/>
    </row>
    <row r="2061" spans="6:6" x14ac:dyDescent="0.2">
      <c r="F2061"/>
    </row>
    <row r="2062" spans="6:6" x14ac:dyDescent="0.2">
      <c r="F2062"/>
    </row>
    <row r="2063" spans="6:6" x14ac:dyDescent="0.2">
      <c r="F2063"/>
    </row>
    <row r="2064" spans="6:6" x14ac:dyDescent="0.2">
      <c r="F2064"/>
    </row>
    <row r="2065" spans="6:6" x14ac:dyDescent="0.2">
      <c r="F2065"/>
    </row>
    <row r="2066" spans="6:6" x14ac:dyDescent="0.2">
      <c r="F2066"/>
    </row>
    <row r="2067" spans="6:6" x14ac:dyDescent="0.2">
      <c r="F2067"/>
    </row>
    <row r="2068" spans="6:6" x14ac:dyDescent="0.2">
      <c r="F2068"/>
    </row>
    <row r="2069" spans="6:6" x14ac:dyDescent="0.2">
      <c r="F2069"/>
    </row>
    <row r="2070" spans="6:6" x14ac:dyDescent="0.2">
      <c r="F2070"/>
    </row>
    <row r="2071" spans="6:6" x14ac:dyDescent="0.2">
      <c r="F2071"/>
    </row>
    <row r="2072" spans="6:6" x14ac:dyDescent="0.2">
      <c r="F2072"/>
    </row>
    <row r="2073" spans="6:6" x14ac:dyDescent="0.2">
      <c r="F2073"/>
    </row>
    <row r="2074" spans="6:6" x14ac:dyDescent="0.2">
      <c r="F2074"/>
    </row>
    <row r="2075" spans="6:6" x14ac:dyDescent="0.2">
      <c r="F2075"/>
    </row>
    <row r="2076" spans="6:6" x14ac:dyDescent="0.2">
      <c r="F2076"/>
    </row>
    <row r="2077" spans="6:6" x14ac:dyDescent="0.2">
      <c r="F2077"/>
    </row>
    <row r="2078" spans="6:6" x14ac:dyDescent="0.2">
      <c r="F2078"/>
    </row>
    <row r="2079" spans="6:6" x14ac:dyDescent="0.2">
      <c r="F2079"/>
    </row>
    <row r="2080" spans="6:6" x14ac:dyDescent="0.2">
      <c r="F2080"/>
    </row>
    <row r="2081" spans="6:6" x14ac:dyDescent="0.2">
      <c r="F2081"/>
    </row>
    <row r="2082" spans="6:6" x14ac:dyDescent="0.2">
      <c r="F2082"/>
    </row>
    <row r="2083" spans="6:6" x14ac:dyDescent="0.2">
      <c r="F2083"/>
    </row>
    <row r="2084" spans="6:6" x14ac:dyDescent="0.2">
      <c r="F2084"/>
    </row>
    <row r="2085" spans="6:6" x14ac:dyDescent="0.2">
      <c r="F2085"/>
    </row>
    <row r="2086" spans="6:6" x14ac:dyDescent="0.2">
      <c r="F2086"/>
    </row>
    <row r="2087" spans="6:6" x14ac:dyDescent="0.2">
      <c r="F2087"/>
    </row>
    <row r="2088" spans="6:6" x14ac:dyDescent="0.2">
      <c r="F2088"/>
    </row>
    <row r="2089" spans="6:6" x14ac:dyDescent="0.2">
      <c r="F2089"/>
    </row>
    <row r="2090" spans="6:6" x14ac:dyDescent="0.2">
      <c r="F2090"/>
    </row>
    <row r="2091" spans="6:6" x14ac:dyDescent="0.2">
      <c r="F2091"/>
    </row>
    <row r="2092" spans="6:6" x14ac:dyDescent="0.2">
      <c r="F2092"/>
    </row>
    <row r="2093" spans="6:6" x14ac:dyDescent="0.2">
      <c r="F2093"/>
    </row>
    <row r="2094" spans="6:6" x14ac:dyDescent="0.2">
      <c r="F2094"/>
    </row>
    <row r="2095" spans="6:6" x14ac:dyDescent="0.2">
      <c r="F2095"/>
    </row>
    <row r="2096" spans="6:6" x14ac:dyDescent="0.2">
      <c r="F2096"/>
    </row>
    <row r="2097" spans="6:6" x14ac:dyDescent="0.2">
      <c r="F2097"/>
    </row>
    <row r="2098" spans="6:6" x14ac:dyDescent="0.2">
      <c r="F2098"/>
    </row>
    <row r="2099" spans="6:6" x14ac:dyDescent="0.2">
      <c r="F2099"/>
    </row>
    <row r="2100" spans="6:6" x14ac:dyDescent="0.2">
      <c r="F2100"/>
    </row>
    <row r="2101" spans="6:6" x14ac:dyDescent="0.2">
      <c r="F2101"/>
    </row>
    <row r="2102" spans="6:6" x14ac:dyDescent="0.2">
      <c r="F2102"/>
    </row>
    <row r="2103" spans="6:6" x14ac:dyDescent="0.2">
      <c r="F2103"/>
    </row>
    <row r="2104" spans="6:6" x14ac:dyDescent="0.2">
      <c r="F2104"/>
    </row>
    <row r="2105" spans="6:6" x14ac:dyDescent="0.2">
      <c r="F2105"/>
    </row>
    <row r="2106" spans="6:6" x14ac:dyDescent="0.2">
      <c r="F2106"/>
    </row>
    <row r="2107" spans="6:6" x14ac:dyDescent="0.2">
      <c r="F2107"/>
    </row>
    <row r="2108" spans="6:6" x14ac:dyDescent="0.2">
      <c r="F2108"/>
    </row>
    <row r="2109" spans="6:6" x14ac:dyDescent="0.2">
      <c r="F2109"/>
    </row>
    <row r="2110" spans="6:6" x14ac:dyDescent="0.2">
      <c r="F2110"/>
    </row>
    <row r="2111" spans="6:6" x14ac:dyDescent="0.2">
      <c r="F2111"/>
    </row>
    <row r="2112" spans="6:6" x14ac:dyDescent="0.2">
      <c r="F2112"/>
    </row>
    <row r="2113" spans="6:6" x14ac:dyDescent="0.2">
      <c r="F2113"/>
    </row>
    <row r="2114" spans="6:6" x14ac:dyDescent="0.2">
      <c r="F2114"/>
    </row>
    <row r="2115" spans="6:6" x14ac:dyDescent="0.2">
      <c r="F2115"/>
    </row>
    <row r="2116" spans="6:6" x14ac:dyDescent="0.2">
      <c r="F2116"/>
    </row>
    <row r="2117" spans="6:6" x14ac:dyDescent="0.2">
      <c r="F2117"/>
    </row>
    <row r="2118" spans="6:6" x14ac:dyDescent="0.2">
      <c r="F2118"/>
    </row>
    <row r="2119" spans="6:6" x14ac:dyDescent="0.2">
      <c r="F2119"/>
    </row>
    <row r="2120" spans="6:6" x14ac:dyDescent="0.2">
      <c r="F2120"/>
    </row>
    <row r="2121" spans="6:6" x14ac:dyDescent="0.2">
      <c r="F2121"/>
    </row>
    <row r="2122" spans="6:6" x14ac:dyDescent="0.2">
      <c r="F2122"/>
    </row>
    <row r="2123" spans="6:6" x14ac:dyDescent="0.2">
      <c r="F2123"/>
    </row>
    <row r="2124" spans="6:6" x14ac:dyDescent="0.2">
      <c r="F2124"/>
    </row>
    <row r="2125" spans="6:6" x14ac:dyDescent="0.2">
      <c r="F2125"/>
    </row>
    <row r="2126" spans="6:6" x14ac:dyDescent="0.2">
      <c r="F2126"/>
    </row>
    <row r="2127" spans="6:6" x14ac:dyDescent="0.2">
      <c r="F2127"/>
    </row>
    <row r="2128" spans="6:6" x14ac:dyDescent="0.2">
      <c r="F2128"/>
    </row>
    <row r="2129" spans="6:6" x14ac:dyDescent="0.2">
      <c r="F2129"/>
    </row>
    <row r="2130" spans="6:6" x14ac:dyDescent="0.2">
      <c r="F2130"/>
    </row>
    <row r="2131" spans="6:6" x14ac:dyDescent="0.2">
      <c r="F2131"/>
    </row>
    <row r="2132" spans="6:6" x14ac:dyDescent="0.2">
      <c r="F2132"/>
    </row>
    <row r="2133" spans="6:6" x14ac:dyDescent="0.2">
      <c r="F2133"/>
    </row>
    <row r="2134" spans="6:6" x14ac:dyDescent="0.2">
      <c r="F2134"/>
    </row>
    <row r="2135" spans="6:6" x14ac:dyDescent="0.2">
      <c r="F2135"/>
    </row>
    <row r="2136" spans="6:6" x14ac:dyDescent="0.2">
      <c r="F2136"/>
    </row>
    <row r="2137" spans="6:6" x14ac:dyDescent="0.2">
      <c r="F2137"/>
    </row>
    <row r="2138" spans="6:6" x14ac:dyDescent="0.2">
      <c r="F2138"/>
    </row>
    <row r="2139" spans="6:6" x14ac:dyDescent="0.2">
      <c r="F2139"/>
    </row>
    <row r="2140" spans="6:6" x14ac:dyDescent="0.2">
      <c r="F2140"/>
    </row>
    <row r="2141" spans="6:6" x14ac:dyDescent="0.2">
      <c r="F2141"/>
    </row>
    <row r="2142" spans="6:6" x14ac:dyDescent="0.2">
      <c r="F2142"/>
    </row>
    <row r="2143" spans="6:6" x14ac:dyDescent="0.2">
      <c r="F2143"/>
    </row>
    <row r="2144" spans="6:6" x14ac:dyDescent="0.2">
      <c r="F2144"/>
    </row>
    <row r="2145" spans="6:6" x14ac:dyDescent="0.2">
      <c r="F2145"/>
    </row>
    <row r="2146" spans="6:6" x14ac:dyDescent="0.2">
      <c r="F2146"/>
    </row>
    <row r="2147" spans="6:6" x14ac:dyDescent="0.2">
      <c r="F2147"/>
    </row>
    <row r="2148" spans="6:6" x14ac:dyDescent="0.2">
      <c r="F2148"/>
    </row>
    <row r="2149" spans="6:6" x14ac:dyDescent="0.2">
      <c r="F2149"/>
    </row>
    <row r="2150" spans="6:6" x14ac:dyDescent="0.2">
      <c r="F2150"/>
    </row>
    <row r="2151" spans="6:6" x14ac:dyDescent="0.2">
      <c r="F2151"/>
    </row>
    <row r="2152" spans="6:6" x14ac:dyDescent="0.2">
      <c r="F2152"/>
    </row>
    <row r="2153" spans="6:6" x14ac:dyDescent="0.2">
      <c r="F2153"/>
    </row>
    <row r="2154" spans="6:6" x14ac:dyDescent="0.2">
      <c r="F2154"/>
    </row>
    <row r="2155" spans="6:6" x14ac:dyDescent="0.2">
      <c r="F2155"/>
    </row>
    <row r="2156" spans="6:6" x14ac:dyDescent="0.2">
      <c r="F2156"/>
    </row>
    <row r="2157" spans="6:6" x14ac:dyDescent="0.2">
      <c r="F2157"/>
    </row>
    <row r="2158" spans="6:6" x14ac:dyDescent="0.2">
      <c r="F2158"/>
    </row>
    <row r="2159" spans="6:6" x14ac:dyDescent="0.2">
      <c r="F2159"/>
    </row>
    <row r="2160" spans="6:6" x14ac:dyDescent="0.2">
      <c r="F2160"/>
    </row>
    <row r="2161" spans="6:6" x14ac:dyDescent="0.2">
      <c r="F2161"/>
    </row>
    <row r="2162" spans="6:6" x14ac:dyDescent="0.2">
      <c r="F2162"/>
    </row>
    <row r="2163" spans="6:6" x14ac:dyDescent="0.2">
      <c r="F2163"/>
    </row>
    <row r="2164" spans="6:6" x14ac:dyDescent="0.2">
      <c r="F2164"/>
    </row>
    <row r="2165" spans="6:6" x14ac:dyDescent="0.2">
      <c r="F2165"/>
    </row>
    <row r="2166" spans="6:6" x14ac:dyDescent="0.2">
      <c r="F2166"/>
    </row>
    <row r="2167" spans="6:6" x14ac:dyDescent="0.2">
      <c r="F2167"/>
    </row>
    <row r="2168" spans="6:6" x14ac:dyDescent="0.2">
      <c r="F2168"/>
    </row>
    <row r="2169" spans="6:6" x14ac:dyDescent="0.2">
      <c r="F2169"/>
    </row>
    <row r="2170" spans="6:6" x14ac:dyDescent="0.2">
      <c r="F2170"/>
    </row>
    <row r="2171" spans="6:6" x14ac:dyDescent="0.2">
      <c r="F2171"/>
    </row>
    <row r="2172" spans="6:6" x14ac:dyDescent="0.2">
      <c r="F2172"/>
    </row>
    <row r="2173" spans="6:6" x14ac:dyDescent="0.2">
      <c r="F2173"/>
    </row>
    <row r="2174" spans="6:6" x14ac:dyDescent="0.2">
      <c r="F2174"/>
    </row>
    <row r="2175" spans="6:6" x14ac:dyDescent="0.2">
      <c r="F2175"/>
    </row>
    <row r="2176" spans="6:6" x14ac:dyDescent="0.2">
      <c r="F2176"/>
    </row>
    <row r="2177" spans="6:6" x14ac:dyDescent="0.2">
      <c r="F2177"/>
    </row>
    <row r="2178" spans="6:6" x14ac:dyDescent="0.2">
      <c r="F2178"/>
    </row>
    <row r="2179" spans="6:6" x14ac:dyDescent="0.2">
      <c r="F2179"/>
    </row>
    <row r="2180" spans="6:6" x14ac:dyDescent="0.2">
      <c r="F2180"/>
    </row>
    <row r="2181" spans="6:6" x14ac:dyDescent="0.2">
      <c r="F2181"/>
    </row>
    <row r="2182" spans="6:6" x14ac:dyDescent="0.2">
      <c r="F2182"/>
    </row>
    <row r="2183" spans="6:6" x14ac:dyDescent="0.2">
      <c r="F2183"/>
    </row>
    <row r="2184" spans="6:6" x14ac:dyDescent="0.2">
      <c r="F2184"/>
    </row>
    <row r="2185" spans="6:6" x14ac:dyDescent="0.2">
      <c r="F2185"/>
    </row>
    <row r="2186" spans="6:6" x14ac:dyDescent="0.2">
      <c r="F2186"/>
    </row>
    <row r="2187" spans="6:6" x14ac:dyDescent="0.2">
      <c r="F2187"/>
    </row>
    <row r="2188" spans="6:6" x14ac:dyDescent="0.2">
      <c r="F2188"/>
    </row>
    <row r="2189" spans="6:6" x14ac:dyDescent="0.2">
      <c r="F2189"/>
    </row>
    <row r="2190" spans="6:6" x14ac:dyDescent="0.2">
      <c r="F2190"/>
    </row>
    <row r="2191" spans="6:6" x14ac:dyDescent="0.2">
      <c r="F2191"/>
    </row>
    <row r="2192" spans="6:6" x14ac:dyDescent="0.2">
      <c r="F2192"/>
    </row>
    <row r="2193" spans="6:6" x14ac:dyDescent="0.2">
      <c r="F2193"/>
    </row>
    <row r="2194" spans="6:6" x14ac:dyDescent="0.2">
      <c r="F2194"/>
    </row>
    <row r="2195" spans="6:6" x14ac:dyDescent="0.2">
      <c r="F2195"/>
    </row>
    <row r="2196" spans="6:6" x14ac:dyDescent="0.2">
      <c r="F2196"/>
    </row>
    <row r="2197" spans="6:6" x14ac:dyDescent="0.2">
      <c r="F2197"/>
    </row>
    <row r="2198" spans="6:6" x14ac:dyDescent="0.2">
      <c r="F2198"/>
    </row>
    <row r="2199" spans="6:6" x14ac:dyDescent="0.2">
      <c r="F2199"/>
    </row>
    <row r="2200" spans="6:6" x14ac:dyDescent="0.2">
      <c r="F2200"/>
    </row>
    <row r="2201" spans="6:6" x14ac:dyDescent="0.2">
      <c r="F2201"/>
    </row>
    <row r="2202" spans="6:6" x14ac:dyDescent="0.2">
      <c r="F2202"/>
    </row>
    <row r="2203" spans="6:6" x14ac:dyDescent="0.2">
      <c r="F2203"/>
    </row>
    <row r="2204" spans="6:6" x14ac:dyDescent="0.2">
      <c r="F2204"/>
    </row>
    <row r="2205" spans="6:6" x14ac:dyDescent="0.2">
      <c r="F2205"/>
    </row>
    <row r="2206" spans="6:6" x14ac:dyDescent="0.2">
      <c r="F2206"/>
    </row>
    <row r="2207" spans="6:6" x14ac:dyDescent="0.2">
      <c r="F2207"/>
    </row>
    <row r="2208" spans="6:6" x14ac:dyDescent="0.2">
      <c r="F2208"/>
    </row>
    <row r="2209" spans="6:6" x14ac:dyDescent="0.2">
      <c r="F2209"/>
    </row>
    <row r="2210" spans="6:6" x14ac:dyDescent="0.2">
      <c r="F2210"/>
    </row>
    <row r="2211" spans="6:6" x14ac:dyDescent="0.2">
      <c r="F2211"/>
    </row>
    <row r="2212" spans="6:6" x14ac:dyDescent="0.2">
      <c r="F2212"/>
    </row>
    <row r="2213" spans="6:6" x14ac:dyDescent="0.2">
      <c r="F2213"/>
    </row>
    <row r="2214" spans="6:6" x14ac:dyDescent="0.2">
      <c r="F2214"/>
    </row>
    <row r="2215" spans="6:6" x14ac:dyDescent="0.2">
      <c r="F2215"/>
    </row>
    <row r="2216" spans="6:6" x14ac:dyDescent="0.2">
      <c r="F2216"/>
    </row>
    <row r="2217" spans="6:6" x14ac:dyDescent="0.2">
      <c r="F2217"/>
    </row>
    <row r="2218" spans="6:6" x14ac:dyDescent="0.2">
      <c r="F2218"/>
    </row>
    <row r="2219" spans="6:6" x14ac:dyDescent="0.2">
      <c r="F2219"/>
    </row>
    <row r="2220" spans="6:6" x14ac:dyDescent="0.2">
      <c r="F2220"/>
    </row>
    <row r="2221" spans="6:6" x14ac:dyDescent="0.2">
      <c r="F2221"/>
    </row>
    <row r="2222" spans="6:6" x14ac:dyDescent="0.2">
      <c r="F2222"/>
    </row>
    <row r="2223" spans="6:6" x14ac:dyDescent="0.2">
      <c r="F2223"/>
    </row>
    <row r="2224" spans="6:6" x14ac:dyDescent="0.2">
      <c r="F2224"/>
    </row>
    <row r="2225" spans="6:6" x14ac:dyDescent="0.2">
      <c r="F2225"/>
    </row>
    <row r="2226" spans="6:6" x14ac:dyDescent="0.2">
      <c r="F2226"/>
    </row>
    <row r="2227" spans="6:6" x14ac:dyDescent="0.2">
      <c r="F2227"/>
    </row>
    <row r="2228" spans="6:6" x14ac:dyDescent="0.2">
      <c r="F2228"/>
    </row>
    <row r="2229" spans="6:6" x14ac:dyDescent="0.2">
      <c r="F2229"/>
    </row>
    <row r="2230" spans="6:6" x14ac:dyDescent="0.2">
      <c r="F2230"/>
    </row>
    <row r="2231" spans="6:6" x14ac:dyDescent="0.2">
      <c r="F2231"/>
    </row>
    <row r="2232" spans="6:6" x14ac:dyDescent="0.2">
      <c r="F2232"/>
    </row>
    <row r="2233" spans="6:6" x14ac:dyDescent="0.2">
      <c r="F2233"/>
    </row>
    <row r="2234" spans="6:6" x14ac:dyDescent="0.2">
      <c r="F2234"/>
    </row>
    <row r="2235" spans="6:6" x14ac:dyDescent="0.2">
      <c r="F2235"/>
    </row>
    <row r="2236" spans="6:6" x14ac:dyDescent="0.2">
      <c r="F2236"/>
    </row>
    <row r="2237" spans="6:6" x14ac:dyDescent="0.2">
      <c r="F2237"/>
    </row>
    <row r="2238" spans="6:6" x14ac:dyDescent="0.2">
      <c r="F2238"/>
    </row>
    <row r="2239" spans="6:6" x14ac:dyDescent="0.2">
      <c r="F2239"/>
    </row>
    <row r="2240" spans="6:6" x14ac:dyDescent="0.2">
      <c r="F2240"/>
    </row>
    <row r="2241" spans="6:6" x14ac:dyDescent="0.2">
      <c r="F2241"/>
    </row>
    <row r="2242" spans="6:6" x14ac:dyDescent="0.2">
      <c r="F2242"/>
    </row>
    <row r="2243" spans="6:6" x14ac:dyDescent="0.2">
      <c r="F2243"/>
    </row>
    <row r="2244" spans="6:6" x14ac:dyDescent="0.2">
      <c r="F2244"/>
    </row>
    <row r="2245" spans="6:6" x14ac:dyDescent="0.2">
      <c r="F2245"/>
    </row>
    <row r="2246" spans="6:6" x14ac:dyDescent="0.2">
      <c r="F2246"/>
    </row>
    <row r="2247" spans="6:6" x14ac:dyDescent="0.2">
      <c r="F2247"/>
    </row>
    <row r="2248" spans="6:6" x14ac:dyDescent="0.2">
      <c r="F2248"/>
    </row>
    <row r="2249" spans="6:6" x14ac:dyDescent="0.2">
      <c r="F2249"/>
    </row>
    <row r="2250" spans="6:6" x14ac:dyDescent="0.2">
      <c r="F2250"/>
    </row>
    <row r="2251" spans="6:6" x14ac:dyDescent="0.2">
      <c r="F2251"/>
    </row>
    <row r="2252" spans="6:6" x14ac:dyDescent="0.2">
      <c r="F2252"/>
    </row>
    <row r="2253" spans="6:6" x14ac:dyDescent="0.2">
      <c r="F2253"/>
    </row>
    <row r="2254" spans="6:6" x14ac:dyDescent="0.2">
      <c r="F2254"/>
    </row>
    <row r="2255" spans="6:6" x14ac:dyDescent="0.2">
      <c r="F2255"/>
    </row>
    <row r="2256" spans="6:6" x14ac:dyDescent="0.2">
      <c r="F2256"/>
    </row>
    <row r="2257" spans="6:6" x14ac:dyDescent="0.2">
      <c r="F2257"/>
    </row>
    <row r="2258" spans="6:6" x14ac:dyDescent="0.2">
      <c r="F2258"/>
    </row>
    <row r="2259" spans="6:6" x14ac:dyDescent="0.2">
      <c r="F2259"/>
    </row>
    <row r="2260" spans="6:6" x14ac:dyDescent="0.2">
      <c r="F2260"/>
    </row>
    <row r="2261" spans="6:6" x14ac:dyDescent="0.2">
      <c r="F2261"/>
    </row>
    <row r="2262" spans="6:6" x14ac:dyDescent="0.2">
      <c r="F2262"/>
    </row>
    <row r="2263" spans="6:6" x14ac:dyDescent="0.2">
      <c r="F2263"/>
    </row>
    <row r="2264" spans="6:6" x14ac:dyDescent="0.2">
      <c r="F2264"/>
    </row>
    <row r="2265" spans="6:6" x14ac:dyDescent="0.2">
      <c r="F2265"/>
    </row>
    <row r="2266" spans="6:6" x14ac:dyDescent="0.2">
      <c r="F2266"/>
    </row>
    <row r="2267" spans="6:6" x14ac:dyDescent="0.2">
      <c r="F2267"/>
    </row>
    <row r="2268" spans="6:6" x14ac:dyDescent="0.2">
      <c r="F2268"/>
    </row>
    <row r="2269" spans="6:6" x14ac:dyDescent="0.2">
      <c r="F2269"/>
    </row>
    <row r="2270" spans="6:6" x14ac:dyDescent="0.2">
      <c r="F2270"/>
    </row>
    <row r="2271" spans="6:6" x14ac:dyDescent="0.2">
      <c r="F2271"/>
    </row>
    <row r="2272" spans="6:6" x14ac:dyDescent="0.2">
      <c r="F2272"/>
    </row>
    <row r="2273" spans="6:6" x14ac:dyDescent="0.2">
      <c r="F2273"/>
    </row>
    <row r="2274" spans="6:6" x14ac:dyDescent="0.2">
      <c r="F2274"/>
    </row>
    <row r="2275" spans="6:6" x14ac:dyDescent="0.2">
      <c r="F2275"/>
    </row>
    <row r="2276" spans="6:6" x14ac:dyDescent="0.2">
      <c r="F2276"/>
    </row>
    <row r="2277" spans="6:6" x14ac:dyDescent="0.2">
      <c r="F2277"/>
    </row>
    <row r="2278" spans="6:6" x14ac:dyDescent="0.2">
      <c r="F2278"/>
    </row>
    <row r="2279" spans="6:6" x14ac:dyDescent="0.2">
      <c r="F2279"/>
    </row>
    <row r="2280" spans="6:6" x14ac:dyDescent="0.2">
      <c r="F2280"/>
    </row>
    <row r="2281" spans="6:6" x14ac:dyDescent="0.2">
      <c r="F2281"/>
    </row>
    <row r="2282" spans="6:6" x14ac:dyDescent="0.2">
      <c r="F2282"/>
    </row>
    <row r="2283" spans="6:6" x14ac:dyDescent="0.2">
      <c r="F2283"/>
    </row>
    <row r="2284" spans="6:6" x14ac:dyDescent="0.2">
      <c r="F2284"/>
    </row>
    <row r="2285" spans="6:6" x14ac:dyDescent="0.2">
      <c r="F2285"/>
    </row>
    <row r="2286" spans="6:6" x14ac:dyDescent="0.2">
      <c r="F2286"/>
    </row>
    <row r="2287" spans="6:6" x14ac:dyDescent="0.2">
      <c r="F2287"/>
    </row>
    <row r="2288" spans="6:6" x14ac:dyDescent="0.2">
      <c r="F2288"/>
    </row>
    <row r="2289" spans="6:6" x14ac:dyDescent="0.2">
      <c r="F2289"/>
    </row>
    <row r="2290" spans="6:6" x14ac:dyDescent="0.2">
      <c r="F2290"/>
    </row>
    <row r="2291" spans="6:6" x14ac:dyDescent="0.2">
      <c r="F2291"/>
    </row>
    <row r="2292" spans="6:6" x14ac:dyDescent="0.2">
      <c r="F2292"/>
    </row>
    <row r="2293" spans="6:6" x14ac:dyDescent="0.2">
      <c r="F2293"/>
    </row>
    <row r="2294" spans="6:6" x14ac:dyDescent="0.2">
      <c r="F2294"/>
    </row>
    <row r="2295" spans="6:6" x14ac:dyDescent="0.2">
      <c r="F2295"/>
    </row>
    <row r="2296" spans="6:6" x14ac:dyDescent="0.2">
      <c r="F2296"/>
    </row>
    <row r="2297" spans="6:6" x14ac:dyDescent="0.2">
      <c r="F2297"/>
    </row>
    <row r="2298" spans="6:6" x14ac:dyDescent="0.2">
      <c r="F2298"/>
    </row>
    <row r="2299" spans="6:6" x14ac:dyDescent="0.2">
      <c r="F2299"/>
    </row>
    <row r="2300" spans="6:6" x14ac:dyDescent="0.2">
      <c r="F2300"/>
    </row>
    <row r="2301" spans="6:6" x14ac:dyDescent="0.2">
      <c r="F2301"/>
    </row>
    <row r="2302" spans="6:6" x14ac:dyDescent="0.2">
      <c r="F2302"/>
    </row>
    <row r="2303" spans="6:6" x14ac:dyDescent="0.2">
      <c r="F2303"/>
    </row>
    <row r="2304" spans="6:6" x14ac:dyDescent="0.2">
      <c r="F2304"/>
    </row>
    <row r="2305" spans="6:6" x14ac:dyDescent="0.2">
      <c r="F2305"/>
    </row>
    <row r="2306" spans="6:6" x14ac:dyDescent="0.2">
      <c r="F2306"/>
    </row>
    <row r="2307" spans="6:6" x14ac:dyDescent="0.2">
      <c r="F2307"/>
    </row>
    <row r="2308" spans="6:6" x14ac:dyDescent="0.2">
      <c r="F2308"/>
    </row>
    <row r="2309" spans="6:6" x14ac:dyDescent="0.2">
      <c r="F2309"/>
    </row>
    <row r="2310" spans="6:6" x14ac:dyDescent="0.2">
      <c r="F2310"/>
    </row>
    <row r="2311" spans="6:6" x14ac:dyDescent="0.2">
      <c r="F2311"/>
    </row>
    <row r="2312" spans="6:6" x14ac:dyDescent="0.2">
      <c r="F2312"/>
    </row>
    <row r="2313" spans="6:6" x14ac:dyDescent="0.2">
      <c r="F2313"/>
    </row>
    <row r="2314" spans="6:6" x14ac:dyDescent="0.2">
      <c r="F2314"/>
    </row>
    <row r="2315" spans="6:6" x14ac:dyDescent="0.2">
      <c r="F2315"/>
    </row>
    <row r="2316" spans="6:6" x14ac:dyDescent="0.2">
      <c r="F2316"/>
    </row>
    <row r="2317" spans="6:6" x14ac:dyDescent="0.2">
      <c r="F2317"/>
    </row>
    <row r="2318" spans="6:6" x14ac:dyDescent="0.2">
      <c r="F2318"/>
    </row>
    <row r="2319" spans="6:6" x14ac:dyDescent="0.2">
      <c r="F2319"/>
    </row>
    <row r="2320" spans="6:6" x14ac:dyDescent="0.2">
      <c r="F2320"/>
    </row>
    <row r="2321" spans="6:6" x14ac:dyDescent="0.2">
      <c r="F2321"/>
    </row>
    <row r="2322" spans="6:6" x14ac:dyDescent="0.2">
      <c r="F2322"/>
    </row>
    <row r="2323" spans="6:6" x14ac:dyDescent="0.2">
      <c r="F2323"/>
    </row>
    <row r="2324" spans="6:6" x14ac:dyDescent="0.2">
      <c r="F2324"/>
    </row>
    <row r="2325" spans="6:6" x14ac:dyDescent="0.2">
      <c r="F2325"/>
    </row>
    <row r="2326" spans="6:6" x14ac:dyDescent="0.2">
      <c r="F2326"/>
    </row>
    <row r="2327" spans="6:6" x14ac:dyDescent="0.2">
      <c r="F2327"/>
    </row>
    <row r="2328" spans="6:6" x14ac:dyDescent="0.2">
      <c r="F2328"/>
    </row>
    <row r="2329" spans="6:6" x14ac:dyDescent="0.2">
      <c r="F2329"/>
    </row>
    <row r="2330" spans="6:6" x14ac:dyDescent="0.2">
      <c r="F2330"/>
    </row>
    <row r="2331" spans="6:6" x14ac:dyDescent="0.2">
      <c r="F2331"/>
    </row>
    <row r="2332" spans="6:6" x14ac:dyDescent="0.2">
      <c r="F2332"/>
    </row>
    <row r="2333" spans="6:6" x14ac:dyDescent="0.2">
      <c r="F2333"/>
    </row>
    <row r="2334" spans="6:6" x14ac:dyDescent="0.2">
      <c r="F2334"/>
    </row>
    <row r="2335" spans="6:6" x14ac:dyDescent="0.2">
      <c r="F2335"/>
    </row>
    <row r="2336" spans="6:6" x14ac:dyDescent="0.2">
      <c r="F2336"/>
    </row>
    <row r="2337" spans="6:6" x14ac:dyDescent="0.2">
      <c r="F2337"/>
    </row>
    <row r="2338" spans="6:6" x14ac:dyDescent="0.2">
      <c r="F2338"/>
    </row>
    <row r="2339" spans="6:6" x14ac:dyDescent="0.2">
      <c r="F2339"/>
    </row>
    <row r="2340" spans="6:6" x14ac:dyDescent="0.2">
      <c r="F2340"/>
    </row>
    <row r="2341" spans="6:6" x14ac:dyDescent="0.2">
      <c r="F2341"/>
    </row>
    <row r="2342" spans="6:6" x14ac:dyDescent="0.2">
      <c r="F2342"/>
    </row>
    <row r="2343" spans="6:6" x14ac:dyDescent="0.2">
      <c r="F2343"/>
    </row>
    <row r="2344" spans="6:6" x14ac:dyDescent="0.2">
      <c r="F2344"/>
    </row>
    <row r="2345" spans="6:6" x14ac:dyDescent="0.2">
      <c r="F2345"/>
    </row>
    <row r="2346" spans="6:6" x14ac:dyDescent="0.2">
      <c r="F2346"/>
    </row>
    <row r="2347" spans="6:6" x14ac:dyDescent="0.2">
      <c r="F2347"/>
    </row>
    <row r="2348" spans="6:6" x14ac:dyDescent="0.2">
      <c r="F2348"/>
    </row>
    <row r="2349" spans="6:6" x14ac:dyDescent="0.2">
      <c r="F2349"/>
    </row>
    <row r="2350" spans="6:6" x14ac:dyDescent="0.2">
      <c r="F2350"/>
    </row>
    <row r="2351" spans="6:6" x14ac:dyDescent="0.2">
      <c r="F2351"/>
    </row>
    <row r="2352" spans="6:6" x14ac:dyDescent="0.2">
      <c r="F2352"/>
    </row>
    <row r="2353" spans="6:6" x14ac:dyDescent="0.2">
      <c r="F2353"/>
    </row>
    <row r="2354" spans="6:6" x14ac:dyDescent="0.2">
      <c r="F2354"/>
    </row>
    <row r="2355" spans="6:6" x14ac:dyDescent="0.2">
      <c r="F2355"/>
    </row>
    <row r="2356" spans="6:6" x14ac:dyDescent="0.2">
      <c r="F2356"/>
    </row>
    <row r="2357" spans="6:6" x14ac:dyDescent="0.2">
      <c r="F2357"/>
    </row>
    <row r="2358" spans="6:6" x14ac:dyDescent="0.2">
      <c r="F2358"/>
    </row>
    <row r="2359" spans="6:6" x14ac:dyDescent="0.2">
      <c r="F2359"/>
    </row>
    <row r="2360" spans="6:6" x14ac:dyDescent="0.2">
      <c r="F2360"/>
    </row>
    <row r="2361" spans="6:6" x14ac:dyDescent="0.2">
      <c r="F2361"/>
    </row>
    <row r="2362" spans="6:6" x14ac:dyDescent="0.2">
      <c r="F2362"/>
    </row>
    <row r="2363" spans="6:6" x14ac:dyDescent="0.2">
      <c r="F2363"/>
    </row>
    <row r="2364" spans="6:6" x14ac:dyDescent="0.2">
      <c r="F2364"/>
    </row>
    <row r="2365" spans="6:6" x14ac:dyDescent="0.2">
      <c r="F2365"/>
    </row>
    <row r="2366" spans="6:6" x14ac:dyDescent="0.2">
      <c r="F2366"/>
    </row>
    <row r="2367" spans="6:6" x14ac:dyDescent="0.2">
      <c r="F2367"/>
    </row>
    <row r="2368" spans="6:6" x14ac:dyDescent="0.2">
      <c r="F2368"/>
    </row>
    <row r="2369" spans="6:6" x14ac:dyDescent="0.2">
      <c r="F2369"/>
    </row>
    <row r="2370" spans="6:6" x14ac:dyDescent="0.2">
      <c r="F2370"/>
    </row>
    <row r="2371" spans="6:6" x14ac:dyDescent="0.2">
      <c r="F2371"/>
    </row>
    <row r="2372" spans="6:6" x14ac:dyDescent="0.2">
      <c r="F2372"/>
    </row>
    <row r="2373" spans="6:6" x14ac:dyDescent="0.2">
      <c r="F2373"/>
    </row>
    <row r="2374" spans="6:6" x14ac:dyDescent="0.2">
      <c r="F2374"/>
    </row>
    <row r="2375" spans="6:6" x14ac:dyDescent="0.2">
      <c r="F2375"/>
    </row>
    <row r="2376" spans="6:6" x14ac:dyDescent="0.2">
      <c r="F2376"/>
    </row>
    <row r="2377" spans="6:6" x14ac:dyDescent="0.2">
      <c r="F2377"/>
    </row>
    <row r="2378" spans="6:6" x14ac:dyDescent="0.2">
      <c r="F2378"/>
    </row>
    <row r="2379" spans="6:6" x14ac:dyDescent="0.2">
      <c r="F2379"/>
    </row>
    <row r="2380" spans="6:6" x14ac:dyDescent="0.2">
      <c r="F2380"/>
    </row>
    <row r="2381" spans="6:6" x14ac:dyDescent="0.2">
      <c r="F2381"/>
    </row>
    <row r="2382" spans="6:6" x14ac:dyDescent="0.2">
      <c r="F2382"/>
    </row>
    <row r="2383" spans="6:6" x14ac:dyDescent="0.2">
      <c r="F2383"/>
    </row>
    <row r="2384" spans="6:6" x14ac:dyDescent="0.2">
      <c r="F2384"/>
    </row>
    <row r="2385" spans="6:6" x14ac:dyDescent="0.2">
      <c r="F2385"/>
    </row>
    <row r="2386" spans="6:6" x14ac:dyDescent="0.2">
      <c r="F2386"/>
    </row>
    <row r="2387" spans="6:6" x14ac:dyDescent="0.2">
      <c r="F2387"/>
    </row>
    <row r="2388" spans="6:6" x14ac:dyDescent="0.2">
      <c r="F2388"/>
    </row>
    <row r="2389" spans="6:6" x14ac:dyDescent="0.2">
      <c r="F2389"/>
    </row>
    <row r="2390" spans="6:6" x14ac:dyDescent="0.2">
      <c r="F2390"/>
    </row>
    <row r="2391" spans="6:6" x14ac:dyDescent="0.2">
      <c r="F2391"/>
    </row>
    <row r="2392" spans="6:6" x14ac:dyDescent="0.2">
      <c r="F2392"/>
    </row>
    <row r="2393" spans="6:6" x14ac:dyDescent="0.2">
      <c r="F2393"/>
    </row>
    <row r="2394" spans="6:6" x14ac:dyDescent="0.2">
      <c r="F2394"/>
    </row>
    <row r="2395" spans="6:6" x14ac:dyDescent="0.2">
      <c r="F2395"/>
    </row>
    <row r="2396" spans="6:6" x14ac:dyDescent="0.2">
      <c r="F2396"/>
    </row>
    <row r="2397" spans="6:6" x14ac:dyDescent="0.2">
      <c r="F2397"/>
    </row>
    <row r="2398" spans="6:6" x14ac:dyDescent="0.2">
      <c r="F2398"/>
    </row>
    <row r="2399" spans="6:6" x14ac:dyDescent="0.2">
      <c r="F2399"/>
    </row>
    <row r="2400" spans="6:6" x14ac:dyDescent="0.2">
      <c r="F2400"/>
    </row>
    <row r="2401" spans="6:6" x14ac:dyDescent="0.2">
      <c r="F2401"/>
    </row>
    <row r="2402" spans="6:6" x14ac:dyDescent="0.2">
      <c r="F2402"/>
    </row>
    <row r="2403" spans="6:6" x14ac:dyDescent="0.2">
      <c r="F2403"/>
    </row>
    <row r="2404" spans="6:6" x14ac:dyDescent="0.2">
      <c r="F2404"/>
    </row>
    <row r="2405" spans="6:6" x14ac:dyDescent="0.2">
      <c r="F2405"/>
    </row>
    <row r="2406" spans="6:6" x14ac:dyDescent="0.2">
      <c r="F2406"/>
    </row>
    <row r="2407" spans="6:6" x14ac:dyDescent="0.2">
      <c r="F2407"/>
    </row>
    <row r="2408" spans="6:6" x14ac:dyDescent="0.2">
      <c r="F2408"/>
    </row>
    <row r="2409" spans="6:6" x14ac:dyDescent="0.2">
      <c r="F2409"/>
    </row>
    <row r="2410" spans="6:6" x14ac:dyDescent="0.2">
      <c r="F2410"/>
    </row>
    <row r="2411" spans="6:6" x14ac:dyDescent="0.2">
      <c r="F2411"/>
    </row>
    <row r="2412" spans="6:6" x14ac:dyDescent="0.2">
      <c r="F2412"/>
    </row>
    <row r="2413" spans="6:6" x14ac:dyDescent="0.2">
      <c r="F2413"/>
    </row>
    <row r="2414" spans="6:6" x14ac:dyDescent="0.2">
      <c r="F2414"/>
    </row>
    <row r="2415" spans="6:6" x14ac:dyDescent="0.2">
      <c r="F2415"/>
    </row>
    <row r="2416" spans="6:6" x14ac:dyDescent="0.2">
      <c r="F2416"/>
    </row>
    <row r="2417" spans="6:6" x14ac:dyDescent="0.2">
      <c r="F2417"/>
    </row>
    <row r="2418" spans="6:6" x14ac:dyDescent="0.2">
      <c r="F2418"/>
    </row>
    <row r="2419" spans="6:6" x14ac:dyDescent="0.2">
      <c r="F2419"/>
    </row>
    <row r="2420" spans="6:6" x14ac:dyDescent="0.2">
      <c r="F2420"/>
    </row>
    <row r="2421" spans="6:6" x14ac:dyDescent="0.2">
      <c r="F2421"/>
    </row>
    <row r="2422" spans="6:6" x14ac:dyDescent="0.2">
      <c r="F2422"/>
    </row>
    <row r="2423" spans="6:6" x14ac:dyDescent="0.2">
      <c r="F2423"/>
    </row>
    <row r="2424" spans="6:6" x14ac:dyDescent="0.2">
      <c r="F2424"/>
    </row>
    <row r="2425" spans="6:6" x14ac:dyDescent="0.2">
      <c r="F2425"/>
    </row>
    <row r="2426" spans="6:6" x14ac:dyDescent="0.2">
      <c r="F2426"/>
    </row>
    <row r="2427" spans="6:6" x14ac:dyDescent="0.2">
      <c r="F2427"/>
    </row>
    <row r="2428" spans="6:6" x14ac:dyDescent="0.2">
      <c r="F2428"/>
    </row>
    <row r="2429" spans="6:6" x14ac:dyDescent="0.2">
      <c r="F2429"/>
    </row>
    <row r="2430" spans="6:6" x14ac:dyDescent="0.2">
      <c r="F2430"/>
    </row>
    <row r="2431" spans="6:6" x14ac:dyDescent="0.2">
      <c r="F2431"/>
    </row>
    <row r="2432" spans="6:6" x14ac:dyDescent="0.2">
      <c r="F2432"/>
    </row>
    <row r="2433" spans="6:6" x14ac:dyDescent="0.2">
      <c r="F2433"/>
    </row>
    <row r="2434" spans="6:6" x14ac:dyDescent="0.2">
      <c r="F2434"/>
    </row>
    <row r="2435" spans="6:6" x14ac:dyDescent="0.2">
      <c r="F2435"/>
    </row>
    <row r="2436" spans="6:6" x14ac:dyDescent="0.2">
      <c r="F2436"/>
    </row>
    <row r="2437" spans="6:6" x14ac:dyDescent="0.2">
      <c r="F2437"/>
    </row>
    <row r="2438" spans="6:6" x14ac:dyDescent="0.2">
      <c r="F2438"/>
    </row>
    <row r="2439" spans="6:6" x14ac:dyDescent="0.2">
      <c r="F2439"/>
    </row>
    <row r="2440" spans="6:6" x14ac:dyDescent="0.2">
      <c r="F2440"/>
    </row>
    <row r="2441" spans="6:6" x14ac:dyDescent="0.2">
      <c r="F2441"/>
    </row>
    <row r="2442" spans="6:6" x14ac:dyDescent="0.2">
      <c r="F2442"/>
    </row>
    <row r="2443" spans="6:6" x14ac:dyDescent="0.2">
      <c r="F2443"/>
    </row>
    <row r="2444" spans="6:6" x14ac:dyDescent="0.2">
      <c r="F2444"/>
    </row>
    <row r="2445" spans="6:6" x14ac:dyDescent="0.2">
      <c r="F2445"/>
    </row>
    <row r="2446" spans="6:6" x14ac:dyDescent="0.2">
      <c r="F2446"/>
    </row>
    <row r="2447" spans="6:6" x14ac:dyDescent="0.2">
      <c r="F2447"/>
    </row>
    <row r="2448" spans="6:6" x14ac:dyDescent="0.2">
      <c r="F2448"/>
    </row>
    <row r="2449" spans="6:6" x14ac:dyDescent="0.2">
      <c r="F2449"/>
    </row>
    <row r="2450" spans="6:6" x14ac:dyDescent="0.2">
      <c r="F2450"/>
    </row>
    <row r="2451" spans="6:6" x14ac:dyDescent="0.2">
      <c r="F2451"/>
    </row>
    <row r="2452" spans="6:6" x14ac:dyDescent="0.2">
      <c r="F2452"/>
    </row>
    <row r="2453" spans="6:6" x14ac:dyDescent="0.2">
      <c r="F2453"/>
    </row>
    <row r="2454" spans="6:6" x14ac:dyDescent="0.2">
      <c r="F2454"/>
    </row>
    <row r="2455" spans="6:6" x14ac:dyDescent="0.2">
      <c r="F2455"/>
    </row>
    <row r="2456" spans="6:6" x14ac:dyDescent="0.2">
      <c r="F2456"/>
    </row>
    <row r="2457" spans="6:6" x14ac:dyDescent="0.2">
      <c r="F2457"/>
    </row>
    <row r="2458" spans="6:6" x14ac:dyDescent="0.2">
      <c r="F2458"/>
    </row>
    <row r="2459" spans="6:6" x14ac:dyDescent="0.2">
      <c r="F2459"/>
    </row>
    <row r="2460" spans="6:6" x14ac:dyDescent="0.2">
      <c r="F2460"/>
    </row>
    <row r="2461" spans="6:6" x14ac:dyDescent="0.2">
      <c r="F2461"/>
    </row>
    <row r="2462" spans="6:6" x14ac:dyDescent="0.2">
      <c r="F2462"/>
    </row>
    <row r="2463" spans="6:6" x14ac:dyDescent="0.2">
      <c r="F2463"/>
    </row>
    <row r="2464" spans="6:6" x14ac:dyDescent="0.2">
      <c r="F2464"/>
    </row>
    <row r="2465" spans="6:6" x14ac:dyDescent="0.2">
      <c r="F2465"/>
    </row>
    <row r="2466" spans="6:6" x14ac:dyDescent="0.2">
      <c r="F2466"/>
    </row>
    <row r="2467" spans="6:6" x14ac:dyDescent="0.2">
      <c r="F2467"/>
    </row>
    <row r="2468" spans="6:6" x14ac:dyDescent="0.2">
      <c r="F2468"/>
    </row>
    <row r="2469" spans="6:6" x14ac:dyDescent="0.2">
      <c r="F2469"/>
    </row>
    <row r="2470" spans="6:6" x14ac:dyDescent="0.2">
      <c r="F2470"/>
    </row>
    <row r="2471" spans="6:6" x14ac:dyDescent="0.2">
      <c r="F2471"/>
    </row>
    <row r="2472" spans="6:6" x14ac:dyDescent="0.2">
      <c r="F2472"/>
    </row>
    <row r="2473" spans="6:6" x14ac:dyDescent="0.2">
      <c r="F2473"/>
    </row>
    <row r="2474" spans="6:6" x14ac:dyDescent="0.2">
      <c r="F2474"/>
    </row>
    <row r="2475" spans="6:6" x14ac:dyDescent="0.2">
      <c r="F2475"/>
    </row>
    <row r="2476" spans="6:6" x14ac:dyDescent="0.2">
      <c r="F2476"/>
    </row>
    <row r="2477" spans="6:6" x14ac:dyDescent="0.2">
      <c r="F2477"/>
    </row>
    <row r="2478" spans="6:6" x14ac:dyDescent="0.2">
      <c r="F2478"/>
    </row>
    <row r="2479" spans="6:6" x14ac:dyDescent="0.2">
      <c r="F2479"/>
    </row>
    <row r="2480" spans="6:6" x14ac:dyDescent="0.2">
      <c r="F2480"/>
    </row>
    <row r="2481" spans="6:6" x14ac:dyDescent="0.2">
      <c r="F2481"/>
    </row>
    <row r="2482" spans="6:6" x14ac:dyDescent="0.2">
      <c r="F2482"/>
    </row>
    <row r="2483" spans="6:6" x14ac:dyDescent="0.2">
      <c r="F2483"/>
    </row>
    <row r="2484" spans="6:6" x14ac:dyDescent="0.2">
      <c r="F2484"/>
    </row>
    <row r="2485" spans="6:6" x14ac:dyDescent="0.2">
      <c r="F2485"/>
    </row>
    <row r="2486" spans="6:6" x14ac:dyDescent="0.2">
      <c r="F2486"/>
    </row>
    <row r="2487" spans="6:6" x14ac:dyDescent="0.2">
      <c r="F2487"/>
    </row>
    <row r="2488" spans="6:6" x14ac:dyDescent="0.2">
      <c r="F2488"/>
    </row>
    <row r="2489" spans="6:6" x14ac:dyDescent="0.2">
      <c r="F2489"/>
    </row>
    <row r="2490" spans="6:6" x14ac:dyDescent="0.2">
      <c r="F2490"/>
    </row>
    <row r="2491" spans="6:6" x14ac:dyDescent="0.2">
      <c r="F2491"/>
    </row>
    <row r="2492" spans="6:6" x14ac:dyDescent="0.2">
      <c r="F2492"/>
    </row>
    <row r="2493" spans="6:6" x14ac:dyDescent="0.2">
      <c r="F2493"/>
    </row>
    <row r="2494" spans="6:6" x14ac:dyDescent="0.2">
      <c r="F2494"/>
    </row>
    <row r="2495" spans="6:6" x14ac:dyDescent="0.2">
      <c r="F2495"/>
    </row>
    <row r="2496" spans="6:6" x14ac:dyDescent="0.2">
      <c r="F2496"/>
    </row>
    <row r="2497" spans="6:6" x14ac:dyDescent="0.2">
      <c r="F2497"/>
    </row>
    <row r="2498" spans="6:6" x14ac:dyDescent="0.2">
      <c r="F2498"/>
    </row>
    <row r="2499" spans="6:6" x14ac:dyDescent="0.2">
      <c r="F2499"/>
    </row>
    <row r="2500" spans="6:6" x14ac:dyDescent="0.2">
      <c r="F2500"/>
    </row>
    <row r="2501" spans="6:6" x14ac:dyDescent="0.2">
      <c r="F2501"/>
    </row>
    <row r="2502" spans="6:6" x14ac:dyDescent="0.2">
      <c r="F2502"/>
    </row>
    <row r="2503" spans="6:6" x14ac:dyDescent="0.2">
      <c r="F2503"/>
    </row>
    <row r="2504" spans="6:6" x14ac:dyDescent="0.2">
      <c r="F2504"/>
    </row>
    <row r="2505" spans="6:6" x14ac:dyDescent="0.2">
      <c r="F2505"/>
    </row>
    <row r="2506" spans="6:6" x14ac:dyDescent="0.2">
      <c r="F2506"/>
    </row>
    <row r="2507" spans="6:6" x14ac:dyDescent="0.2">
      <c r="F2507"/>
    </row>
    <row r="2508" spans="6:6" x14ac:dyDescent="0.2">
      <c r="F2508"/>
    </row>
    <row r="2509" spans="6:6" x14ac:dyDescent="0.2">
      <c r="F2509"/>
    </row>
    <row r="2510" spans="6:6" x14ac:dyDescent="0.2">
      <c r="F2510"/>
    </row>
    <row r="2511" spans="6:6" x14ac:dyDescent="0.2">
      <c r="F2511"/>
    </row>
    <row r="2512" spans="6:6" x14ac:dyDescent="0.2">
      <c r="F2512"/>
    </row>
    <row r="2513" spans="6:6" x14ac:dyDescent="0.2">
      <c r="F2513"/>
    </row>
    <row r="2514" spans="6:6" x14ac:dyDescent="0.2">
      <c r="F2514"/>
    </row>
    <row r="2515" spans="6:6" x14ac:dyDescent="0.2">
      <c r="F2515"/>
    </row>
    <row r="2516" spans="6:6" x14ac:dyDescent="0.2">
      <c r="F2516"/>
    </row>
    <row r="2517" spans="6:6" x14ac:dyDescent="0.2">
      <c r="F2517"/>
    </row>
    <row r="2518" spans="6:6" x14ac:dyDescent="0.2">
      <c r="F2518"/>
    </row>
    <row r="2519" spans="6:6" x14ac:dyDescent="0.2">
      <c r="F2519"/>
    </row>
    <row r="2520" spans="6:6" x14ac:dyDescent="0.2">
      <c r="F2520"/>
    </row>
    <row r="2521" spans="6:6" x14ac:dyDescent="0.2">
      <c r="F2521"/>
    </row>
    <row r="2522" spans="6:6" x14ac:dyDescent="0.2">
      <c r="F2522"/>
    </row>
    <row r="2523" spans="6:6" x14ac:dyDescent="0.2">
      <c r="F2523"/>
    </row>
    <row r="2524" spans="6:6" x14ac:dyDescent="0.2">
      <c r="F2524"/>
    </row>
    <row r="2525" spans="6:6" x14ac:dyDescent="0.2">
      <c r="F2525"/>
    </row>
    <row r="2526" spans="6:6" x14ac:dyDescent="0.2">
      <c r="F2526"/>
    </row>
    <row r="2527" spans="6:6" x14ac:dyDescent="0.2">
      <c r="F2527"/>
    </row>
    <row r="2528" spans="6:6" x14ac:dyDescent="0.2">
      <c r="F2528"/>
    </row>
    <row r="2529" spans="6:6" x14ac:dyDescent="0.2">
      <c r="F2529"/>
    </row>
    <row r="2530" spans="6:6" x14ac:dyDescent="0.2">
      <c r="F2530"/>
    </row>
    <row r="2531" spans="6:6" x14ac:dyDescent="0.2">
      <c r="F2531"/>
    </row>
    <row r="2532" spans="6:6" x14ac:dyDescent="0.2">
      <c r="F2532"/>
    </row>
    <row r="2533" spans="6:6" x14ac:dyDescent="0.2">
      <c r="F2533"/>
    </row>
    <row r="2534" spans="6:6" x14ac:dyDescent="0.2">
      <c r="F2534"/>
    </row>
    <row r="2535" spans="6:6" x14ac:dyDescent="0.2">
      <c r="F2535"/>
    </row>
    <row r="2536" spans="6:6" x14ac:dyDescent="0.2">
      <c r="F2536"/>
    </row>
    <row r="2537" spans="6:6" x14ac:dyDescent="0.2">
      <c r="F2537"/>
    </row>
    <row r="2538" spans="6:6" x14ac:dyDescent="0.2">
      <c r="F2538"/>
    </row>
    <row r="2539" spans="6:6" x14ac:dyDescent="0.2">
      <c r="F2539"/>
    </row>
    <row r="2540" spans="6:6" x14ac:dyDescent="0.2">
      <c r="F2540"/>
    </row>
    <row r="2541" spans="6:6" x14ac:dyDescent="0.2">
      <c r="F2541"/>
    </row>
    <row r="2542" spans="6:6" x14ac:dyDescent="0.2">
      <c r="F2542"/>
    </row>
    <row r="2543" spans="6:6" x14ac:dyDescent="0.2">
      <c r="F2543"/>
    </row>
    <row r="2544" spans="6:6" x14ac:dyDescent="0.2">
      <c r="F2544"/>
    </row>
    <row r="2545" spans="6:6" x14ac:dyDescent="0.2">
      <c r="F2545"/>
    </row>
    <row r="2546" spans="6:6" x14ac:dyDescent="0.2">
      <c r="F2546"/>
    </row>
    <row r="2547" spans="6:6" x14ac:dyDescent="0.2">
      <c r="F2547"/>
    </row>
    <row r="2548" spans="6:6" x14ac:dyDescent="0.2">
      <c r="F2548"/>
    </row>
    <row r="2549" spans="6:6" x14ac:dyDescent="0.2">
      <c r="F2549"/>
    </row>
    <row r="2550" spans="6:6" x14ac:dyDescent="0.2">
      <c r="F2550"/>
    </row>
    <row r="2551" spans="6:6" x14ac:dyDescent="0.2">
      <c r="F2551"/>
    </row>
    <row r="2552" spans="6:6" x14ac:dyDescent="0.2">
      <c r="F2552"/>
    </row>
    <row r="2553" spans="6:6" x14ac:dyDescent="0.2">
      <c r="F2553"/>
    </row>
    <row r="2554" spans="6:6" x14ac:dyDescent="0.2">
      <c r="F2554"/>
    </row>
    <row r="2555" spans="6:6" x14ac:dyDescent="0.2">
      <c r="F2555"/>
    </row>
    <row r="2556" spans="6:6" x14ac:dyDescent="0.2">
      <c r="F2556"/>
    </row>
    <row r="2557" spans="6:6" x14ac:dyDescent="0.2">
      <c r="F2557"/>
    </row>
    <row r="2558" spans="6:6" x14ac:dyDescent="0.2">
      <c r="F2558"/>
    </row>
    <row r="2559" spans="6:6" x14ac:dyDescent="0.2">
      <c r="F2559"/>
    </row>
    <row r="2560" spans="6:6" x14ac:dyDescent="0.2">
      <c r="F2560"/>
    </row>
    <row r="2561" spans="6:6" x14ac:dyDescent="0.2">
      <c r="F2561"/>
    </row>
    <row r="2562" spans="6:6" x14ac:dyDescent="0.2">
      <c r="F2562"/>
    </row>
    <row r="2563" spans="6:6" x14ac:dyDescent="0.2">
      <c r="F2563"/>
    </row>
    <row r="2564" spans="6:6" x14ac:dyDescent="0.2">
      <c r="F2564"/>
    </row>
    <row r="2565" spans="6:6" x14ac:dyDescent="0.2">
      <c r="F2565"/>
    </row>
    <row r="2566" spans="6:6" x14ac:dyDescent="0.2">
      <c r="F2566"/>
    </row>
    <row r="2567" spans="6:6" x14ac:dyDescent="0.2">
      <c r="F2567"/>
    </row>
    <row r="2568" spans="6:6" x14ac:dyDescent="0.2">
      <c r="F2568"/>
    </row>
    <row r="2569" spans="6:6" x14ac:dyDescent="0.2">
      <c r="F2569"/>
    </row>
    <row r="2570" spans="6:6" x14ac:dyDescent="0.2">
      <c r="F2570"/>
    </row>
    <row r="2571" spans="6:6" x14ac:dyDescent="0.2">
      <c r="F2571"/>
    </row>
    <row r="2572" spans="6:6" x14ac:dyDescent="0.2">
      <c r="F2572"/>
    </row>
    <row r="2573" spans="6:6" x14ac:dyDescent="0.2">
      <c r="F2573"/>
    </row>
    <row r="2574" spans="6:6" x14ac:dyDescent="0.2">
      <c r="F2574"/>
    </row>
    <row r="2575" spans="6:6" x14ac:dyDescent="0.2">
      <c r="F2575"/>
    </row>
    <row r="2576" spans="6:6" x14ac:dyDescent="0.2">
      <c r="F2576"/>
    </row>
    <row r="2577" spans="6:6" x14ac:dyDescent="0.2">
      <c r="F2577"/>
    </row>
    <row r="2578" spans="6:6" x14ac:dyDescent="0.2">
      <c r="F2578"/>
    </row>
    <row r="2579" spans="6:6" x14ac:dyDescent="0.2">
      <c r="F2579"/>
    </row>
    <row r="2580" spans="6:6" x14ac:dyDescent="0.2">
      <c r="F2580"/>
    </row>
    <row r="2581" spans="6:6" x14ac:dyDescent="0.2">
      <c r="F2581"/>
    </row>
    <row r="2582" spans="6:6" x14ac:dyDescent="0.2">
      <c r="F2582"/>
    </row>
    <row r="2583" spans="6:6" x14ac:dyDescent="0.2">
      <c r="F2583"/>
    </row>
    <row r="2584" spans="6:6" x14ac:dyDescent="0.2">
      <c r="F2584"/>
    </row>
    <row r="2585" spans="6:6" x14ac:dyDescent="0.2">
      <c r="F2585"/>
    </row>
    <row r="2586" spans="6:6" x14ac:dyDescent="0.2">
      <c r="F2586"/>
    </row>
    <row r="2587" spans="6:6" x14ac:dyDescent="0.2">
      <c r="F2587"/>
    </row>
    <row r="2588" spans="6:6" x14ac:dyDescent="0.2">
      <c r="F2588"/>
    </row>
    <row r="2589" spans="6:6" x14ac:dyDescent="0.2">
      <c r="F2589"/>
    </row>
    <row r="2590" spans="6:6" x14ac:dyDescent="0.2">
      <c r="F2590"/>
    </row>
    <row r="2591" spans="6:6" x14ac:dyDescent="0.2">
      <c r="F2591"/>
    </row>
    <row r="2592" spans="6:6" x14ac:dyDescent="0.2">
      <c r="F2592"/>
    </row>
    <row r="2593" spans="6:6" x14ac:dyDescent="0.2">
      <c r="F2593"/>
    </row>
    <row r="2594" spans="6:6" x14ac:dyDescent="0.2">
      <c r="F2594"/>
    </row>
    <row r="2595" spans="6:6" x14ac:dyDescent="0.2">
      <c r="F2595"/>
    </row>
    <row r="2596" spans="6:6" x14ac:dyDescent="0.2">
      <c r="F2596"/>
    </row>
    <row r="2597" spans="6:6" x14ac:dyDescent="0.2">
      <c r="F2597"/>
    </row>
    <row r="2598" spans="6:6" x14ac:dyDescent="0.2">
      <c r="F2598"/>
    </row>
    <row r="2599" spans="6:6" x14ac:dyDescent="0.2">
      <c r="F2599"/>
    </row>
    <row r="2600" spans="6:6" x14ac:dyDescent="0.2">
      <c r="F2600"/>
    </row>
    <row r="2601" spans="6:6" x14ac:dyDescent="0.2">
      <c r="F2601"/>
    </row>
    <row r="2602" spans="6:6" x14ac:dyDescent="0.2">
      <c r="F2602"/>
    </row>
    <row r="2603" spans="6:6" x14ac:dyDescent="0.2">
      <c r="F2603"/>
    </row>
    <row r="2604" spans="6:6" x14ac:dyDescent="0.2">
      <c r="F2604"/>
    </row>
    <row r="2605" spans="6:6" x14ac:dyDescent="0.2">
      <c r="F2605"/>
    </row>
    <row r="2606" spans="6:6" x14ac:dyDescent="0.2">
      <c r="F2606"/>
    </row>
    <row r="2607" spans="6:6" x14ac:dyDescent="0.2">
      <c r="F2607"/>
    </row>
    <row r="2608" spans="6:6" x14ac:dyDescent="0.2">
      <c r="F2608"/>
    </row>
    <row r="2609" spans="6:6" x14ac:dyDescent="0.2">
      <c r="F2609"/>
    </row>
    <row r="2610" spans="6:6" x14ac:dyDescent="0.2">
      <c r="F2610"/>
    </row>
    <row r="2611" spans="6:6" x14ac:dyDescent="0.2">
      <c r="F2611"/>
    </row>
    <row r="2612" spans="6:6" x14ac:dyDescent="0.2">
      <c r="F2612"/>
    </row>
    <row r="2613" spans="6:6" x14ac:dyDescent="0.2">
      <c r="F2613"/>
    </row>
    <row r="2614" spans="6:6" x14ac:dyDescent="0.2">
      <c r="F2614"/>
    </row>
    <row r="2615" spans="6:6" x14ac:dyDescent="0.2">
      <c r="F2615"/>
    </row>
    <row r="2616" spans="6:6" x14ac:dyDescent="0.2">
      <c r="F2616"/>
    </row>
    <row r="2617" spans="6:6" x14ac:dyDescent="0.2">
      <c r="F2617"/>
    </row>
    <row r="2618" spans="6:6" x14ac:dyDescent="0.2">
      <c r="F2618"/>
    </row>
    <row r="2619" spans="6:6" x14ac:dyDescent="0.2">
      <c r="F2619"/>
    </row>
    <row r="2620" spans="6:6" x14ac:dyDescent="0.2">
      <c r="F2620"/>
    </row>
    <row r="2621" spans="6:6" x14ac:dyDescent="0.2">
      <c r="F2621"/>
    </row>
    <row r="2622" spans="6:6" x14ac:dyDescent="0.2">
      <c r="F2622"/>
    </row>
    <row r="2623" spans="6:6" x14ac:dyDescent="0.2">
      <c r="F2623"/>
    </row>
    <row r="2624" spans="6:6" x14ac:dyDescent="0.2">
      <c r="F2624"/>
    </row>
    <row r="2625" spans="6:6" x14ac:dyDescent="0.2">
      <c r="F2625"/>
    </row>
    <row r="2626" spans="6:6" x14ac:dyDescent="0.2">
      <c r="F2626"/>
    </row>
    <row r="2627" spans="6:6" x14ac:dyDescent="0.2">
      <c r="F2627"/>
    </row>
    <row r="2628" spans="6:6" x14ac:dyDescent="0.2">
      <c r="F2628"/>
    </row>
    <row r="2629" spans="6:6" x14ac:dyDescent="0.2">
      <c r="F2629"/>
    </row>
    <row r="2630" spans="6:6" x14ac:dyDescent="0.2">
      <c r="F2630"/>
    </row>
    <row r="2631" spans="6:6" x14ac:dyDescent="0.2">
      <c r="F2631"/>
    </row>
    <row r="2632" spans="6:6" x14ac:dyDescent="0.2">
      <c r="F2632"/>
    </row>
    <row r="2633" spans="6:6" x14ac:dyDescent="0.2">
      <c r="F2633"/>
    </row>
    <row r="2634" spans="6:6" x14ac:dyDescent="0.2">
      <c r="F2634"/>
    </row>
    <row r="2635" spans="6:6" x14ac:dyDescent="0.2">
      <c r="F2635"/>
    </row>
    <row r="2636" spans="6:6" x14ac:dyDescent="0.2">
      <c r="F2636"/>
    </row>
    <row r="2637" spans="6:6" x14ac:dyDescent="0.2">
      <c r="F2637"/>
    </row>
    <row r="2638" spans="6:6" x14ac:dyDescent="0.2">
      <c r="F2638"/>
    </row>
    <row r="2639" spans="6:6" x14ac:dyDescent="0.2">
      <c r="F2639"/>
    </row>
    <row r="2640" spans="6:6" x14ac:dyDescent="0.2">
      <c r="F2640"/>
    </row>
    <row r="2641" spans="6:6" x14ac:dyDescent="0.2">
      <c r="F2641"/>
    </row>
    <row r="2642" spans="6:6" x14ac:dyDescent="0.2">
      <c r="F2642"/>
    </row>
    <row r="2643" spans="6:6" x14ac:dyDescent="0.2">
      <c r="F2643"/>
    </row>
    <row r="2644" spans="6:6" x14ac:dyDescent="0.2">
      <c r="F2644"/>
    </row>
    <row r="2645" spans="6:6" x14ac:dyDescent="0.2">
      <c r="F2645"/>
    </row>
    <row r="2646" spans="6:6" x14ac:dyDescent="0.2">
      <c r="F2646"/>
    </row>
    <row r="2647" spans="6:6" x14ac:dyDescent="0.2">
      <c r="F2647"/>
    </row>
    <row r="2648" spans="6:6" x14ac:dyDescent="0.2">
      <c r="F2648"/>
    </row>
    <row r="2649" spans="6:6" x14ac:dyDescent="0.2">
      <c r="F2649"/>
    </row>
    <row r="2650" spans="6:6" x14ac:dyDescent="0.2">
      <c r="F2650"/>
    </row>
    <row r="2651" spans="6:6" x14ac:dyDescent="0.2">
      <c r="F2651"/>
    </row>
    <row r="2652" spans="6:6" x14ac:dyDescent="0.2">
      <c r="F2652"/>
    </row>
    <row r="2653" spans="6:6" x14ac:dyDescent="0.2">
      <c r="F2653"/>
    </row>
    <row r="2654" spans="6:6" x14ac:dyDescent="0.2">
      <c r="F2654"/>
    </row>
    <row r="2655" spans="6:6" x14ac:dyDescent="0.2">
      <c r="F2655"/>
    </row>
    <row r="2656" spans="6:6" x14ac:dyDescent="0.2">
      <c r="F2656"/>
    </row>
    <row r="2657" spans="6:6" x14ac:dyDescent="0.2">
      <c r="F2657"/>
    </row>
    <row r="2658" spans="6:6" x14ac:dyDescent="0.2">
      <c r="F2658"/>
    </row>
    <row r="2659" spans="6:6" x14ac:dyDescent="0.2">
      <c r="F2659"/>
    </row>
    <row r="2660" spans="6:6" x14ac:dyDescent="0.2">
      <c r="F2660"/>
    </row>
    <row r="2661" spans="6:6" x14ac:dyDescent="0.2">
      <c r="F2661"/>
    </row>
    <row r="2662" spans="6:6" x14ac:dyDescent="0.2">
      <c r="F2662"/>
    </row>
    <row r="2663" spans="6:6" x14ac:dyDescent="0.2">
      <c r="F2663"/>
    </row>
    <row r="2664" spans="6:6" x14ac:dyDescent="0.2">
      <c r="F2664"/>
    </row>
    <row r="2665" spans="6:6" x14ac:dyDescent="0.2">
      <c r="F2665"/>
    </row>
    <row r="2666" spans="6:6" x14ac:dyDescent="0.2">
      <c r="F2666"/>
    </row>
    <row r="2667" spans="6:6" x14ac:dyDescent="0.2">
      <c r="F2667"/>
    </row>
    <row r="2668" spans="6:6" x14ac:dyDescent="0.2">
      <c r="F2668"/>
    </row>
    <row r="2669" spans="6:6" x14ac:dyDescent="0.2">
      <c r="F2669"/>
    </row>
    <row r="2670" spans="6:6" x14ac:dyDescent="0.2">
      <c r="F2670"/>
    </row>
    <row r="2671" spans="6:6" x14ac:dyDescent="0.2">
      <c r="F2671"/>
    </row>
    <row r="2672" spans="6:6" x14ac:dyDescent="0.2">
      <c r="F2672"/>
    </row>
    <row r="2673" spans="6:6" x14ac:dyDescent="0.2">
      <c r="F2673"/>
    </row>
    <row r="2674" spans="6:6" x14ac:dyDescent="0.2">
      <c r="F2674"/>
    </row>
    <row r="2675" spans="6:6" x14ac:dyDescent="0.2">
      <c r="F2675"/>
    </row>
    <row r="2676" spans="6:6" x14ac:dyDescent="0.2">
      <c r="F2676"/>
    </row>
    <row r="2677" spans="6:6" x14ac:dyDescent="0.2">
      <c r="F2677"/>
    </row>
    <row r="2678" spans="6:6" x14ac:dyDescent="0.2">
      <c r="F2678"/>
    </row>
    <row r="2679" spans="6:6" x14ac:dyDescent="0.2">
      <c r="F2679"/>
    </row>
    <row r="2680" spans="6:6" x14ac:dyDescent="0.2">
      <c r="F2680"/>
    </row>
    <row r="2681" spans="6:6" x14ac:dyDescent="0.2">
      <c r="F2681"/>
    </row>
    <row r="2682" spans="6:6" x14ac:dyDescent="0.2">
      <c r="F2682"/>
    </row>
    <row r="2683" spans="6:6" x14ac:dyDescent="0.2">
      <c r="F2683"/>
    </row>
    <row r="2684" spans="6:6" x14ac:dyDescent="0.2">
      <c r="F2684"/>
    </row>
    <row r="2685" spans="6:6" x14ac:dyDescent="0.2">
      <c r="F2685"/>
    </row>
    <row r="2686" spans="6:6" x14ac:dyDescent="0.2">
      <c r="F2686"/>
    </row>
    <row r="2687" spans="6:6" x14ac:dyDescent="0.2">
      <c r="F2687"/>
    </row>
    <row r="2688" spans="6:6" x14ac:dyDescent="0.2">
      <c r="F2688"/>
    </row>
    <row r="2689" spans="6:6" x14ac:dyDescent="0.2">
      <c r="F2689"/>
    </row>
    <row r="2690" spans="6:6" x14ac:dyDescent="0.2">
      <c r="F2690"/>
    </row>
    <row r="2691" spans="6:6" x14ac:dyDescent="0.2">
      <c r="F2691"/>
    </row>
    <row r="2692" spans="6:6" x14ac:dyDescent="0.2">
      <c r="F2692"/>
    </row>
    <row r="2693" spans="6:6" x14ac:dyDescent="0.2">
      <c r="F2693"/>
    </row>
    <row r="2694" spans="6:6" x14ac:dyDescent="0.2">
      <c r="F2694"/>
    </row>
    <row r="2695" spans="6:6" x14ac:dyDescent="0.2">
      <c r="F2695"/>
    </row>
    <row r="2696" spans="6:6" x14ac:dyDescent="0.2">
      <c r="F2696"/>
    </row>
    <row r="2697" spans="6:6" x14ac:dyDescent="0.2">
      <c r="F2697"/>
    </row>
    <row r="2698" spans="6:6" x14ac:dyDescent="0.2">
      <c r="F2698"/>
    </row>
    <row r="2699" spans="6:6" x14ac:dyDescent="0.2">
      <c r="F2699"/>
    </row>
    <row r="2700" spans="6:6" x14ac:dyDescent="0.2">
      <c r="F2700"/>
    </row>
    <row r="2701" spans="6:6" x14ac:dyDescent="0.2">
      <c r="F2701"/>
    </row>
    <row r="2702" spans="6:6" x14ac:dyDescent="0.2">
      <c r="F2702"/>
    </row>
    <row r="2703" spans="6:6" x14ac:dyDescent="0.2">
      <c r="F2703"/>
    </row>
    <row r="2704" spans="6:6" x14ac:dyDescent="0.2">
      <c r="F2704"/>
    </row>
    <row r="2705" spans="6:6" x14ac:dyDescent="0.2">
      <c r="F2705"/>
    </row>
    <row r="2706" spans="6:6" x14ac:dyDescent="0.2">
      <c r="F2706"/>
    </row>
    <row r="2707" spans="6:6" x14ac:dyDescent="0.2">
      <c r="F2707"/>
    </row>
    <row r="2708" spans="6:6" x14ac:dyDescent="0.2">
      <c r="F2708"/>
    </row>
    <row r="2709" spans="6:6" x14ac:dyDescent="0.2">
      <c r="F2709"/>
    </row>
    <row r="2710" spans="6:6" x14ac:dyDescent="0.2">
      <c r="F2710"/>
    </row>
    <row r="2711" spans="6:6" x14ac:dyDescent="0.2">
      <c r="F2711"/>
    </row>
    <row r="2712" spans="6:6" x14ac:dyDescent="0.2">
      <c r="F2712"/>
    </row>
    <row r="2713" spans="6:6" x14ac:dyDescent="0.2">
      <c r="F2713"/>
    </row>
    <row r="2714" spans="6:6" x14ac:dyDescent="0.2">
      <c r="F2714"/>
    </row>
    <row r="2715" spans="6:6" x14ac:dyDescent="0.2">
      <c r="F2715"/>
    </row>
    <row r="2716" spans="6:6" x14ac:dyDescent="0.2">
      <c r="F2716"/>
    </row>
    <row r="2717" spans="6:6" x14ac:dyDescent="0.2">
      <c r="F2717"/>
    </row>
    <row r="2718" spans="6:6" x14ac:dyDescent="0.2">
      <c r="F2718"/>
    </row>
    <row r="2719" spans="6:6" x14ac:dyDescent="0.2">
      <c r="F2719"/>
    </row>
    <row r="2720" spans="6:6" x14ac:dyDescent="0.2">
      <c r="F2720"/>
    </row>
    <row r="2721" spans="6:6" x14ac:dyDescent="0.2">
      <c r="F2721"/>
    </row>
    <row r="2722" spans="6:6" x14ac:dyDescent="0.2">
      <c r="F2722"/>
    </row>
    <row r="2723" spans="6:6" x14ac:dyDescent="0.2">
      <c r="F2723"/>
    </row>
    <row r="2724" spans="6:6" x14ac:dyDescent="0.2">
      <c r="F2724"/>
    </row>
    <row r="2725" spans="6:6" x14ac:dyDescent="0.2">
      <c r="F2725"/>
    </row>
    <row r="2726" spans="6:6" x14ac:dyDescent="0.2">
      <c r="F2726"/>
    </row>
    <row r="2727" spans="6:6" x14ac:dyDescent="0.2">
      <c r="F2727"/>
    </row>
    <row r="2728" spans="6:6" x14ac:dyDescent="0.2">
      <c r="F2728"/>
    </row>
    <row r="2729" spans="6:6" x14ac:dyDescent="0.2">
      <c r="F2729"/>
    </row>
    <row r="2730" spans="6:6" x14ac:dyDescent="0.2">
      <c r="F2730"/>
    </row>
    <row r="2731" spans="6:6" x14ac:dyDescent="0.2">
      <c r="F2731"/>
    </row>
    <row r="2732" spans="6:6" x14ac:dyDescent="0.2">
      <c r="F2732"/>
    </row>
    <row r="2733" spans="6:6" x14ac:dyDescent="0.2">
      <c r="F2733"/>
    </row>
    <row r="2734" spans="6:6" x14ac:dyDescent="0.2">
      <c r="F2734"/>
    </row>
    <row r="2735" spans="6:6" x14ac:dyDescent="0.2">
      <c r="F2735"/>
    </row>
    <row r="2736" spans="6:6" x14ac:dyDescent="0.2">
      <c r="F2736"/>
    </row>
    <row r="2737" spans="6:6" x14ac:dyDescent="0.2">
      <c r="F2737"/>
    </row>
    <row r="2738" spans="6:6" x14ac:dyDescent="0.2">
      <c r="F2738"/>
    </row>
    <row r="2739" spans="6:6" x14ac:dyDescent="0.2">
      <c r="F2739"/>
    </row>
    <row r="2740" spans="6:6" x14ac:dyDescent="0.2">
      <c r="F2740"/>
    </row>
    <row r="2741" spans="6:6" x14ac:dyDescent="0.2">
      <c r="F2741"/>
    </row>
    <row r="2742" spans="6:6" x14ac:dyDescent="0.2">
      <c r="F2742"/>
    </row>
    <row r="2743" spans="6:6" x14ac:dyDescent="0.2">
      <c r="F2743"/>
    </row>
    <row r="2744" spans="6:6" x14ac:dyDescent="0.2">
      <c r="F2744"/>
    </row>
    <row r="2745" spans="6:6" x14ac:dyDescent="0.2">
      <c r="F2745"/>
    </row>
    <row r="2746" spans="6:6" x14ac:dyDescent="0.2">
      <c r="F2746"/>
    </row>
    <row r="2747" spans="6:6" x14ac:dyDescent="0.2">
      <c r="F2747"/>
    </row>
    <row r="2748" spans="6:6" x14ac:dyDescent="0.2">
      <c r="F2748"/>
    </row>
    <row r="2749" spans="6:6" x14ac:dyDescent="0.2">
      <c r="F2749"/>
    </row>
    <row r="2750" spans="6:6" x14ac:dyDescent="0.2">
      <c r="F2750"/>
    </row>
    <row r="2751" spans="6:6" x14ac:dyDescent="0.2">
      <c r="F2751"/>
    </row>
    <row r="2752" spans="6:6" x14ac:dyDescent="0.2">
      <c r="F2752"/>
    </row>
    <row r="2753" spans="6:6" x14ac:dyDescent="0.2">
      <c r="F2753"/>
    </row>
    <row r="2754" spans="6:6" x14ac:dyDescent="0.2">
      <c r="F2754"/>
    </row>
    <row r="2755" spans="6:6" x14ac:dyDescent="0.2">
      <c r="F2755"/>
    </row>
    <row r="2756" spans="6:6" x14ac:dyDescent="0.2">
      <c r="F2756"/>
    </row>
    <row r="2757" spans="6:6" x14ac:dyDescent="0.2">
      <c r="F2757"/>
    </row>
    <row r="2758" spans="6:6" x14ac:dyDescent="0.2">
      <c r="F2758"/>
    </row>
    <row r="2759" spans="6:6" x14ac:dyDescent="0.2">
      <c r="F2759"/>
    </row>
    <row r="2760" spans="6:6" x14ac:dyDescent="0.2">
      <c r="F2760"/>
    </row>
    <row r="2761" spans="6:6" x14ac:dyDescent="0.2">
      <c r="F2761"/>
    </row>
    <row r="2762" spans="6:6" x14ac:dyDescent="0.2">
      <c r="F2762"/>
    </row>
    <row r="2763" spans="6:6" x14ac:dyDescent="0.2">
      <c r="F2763"/>
    </row>
    <row r="2764" spans="6:6" x14ac:dyDescent="0.2">
      <c r="F2764"/>
    </row>
    <row r="2765" spans="6:6" x14ac:dyDescent="0.2">
      <c r="F2765"/>
    </row>
    <row r="2766" spans="6:6" x14ac:dyDescent="0.2">
      <c r="F2766"/>
    </row>
    <row r="2767" spans="6:6" x14ac:dyDescent="0.2">
      <c r="F2767"/>
    </row>
    <row r="2768" spans="6:6" x14ac:dyDescent="0.2">
      <c r="F2768"/>
    </row>
    <row r="2769" spans="6:6" x14ac:dyDescent="0.2">
      <c r="F2769"/>
    </row>
    <row r="2770" spans="6:6" x14ac:dyDescent="0.2">
      <c r="F2770"/>
    </row>
    <row r="2771" spans="6:6" x14ac:dyDescent="0.2">
      <c r="F2771"/>
    </row>
    <row r="2772" spans="6:6" x14ac:dyDescent="0.2">
      <c r="F2772"/>
    </row>
    <row r="2773" spans="6:6" x14ac:dyDescent="0.2">
      <c r="F2773"/>
    </row>
    <row r="2774" spans="6:6" x14ac:dyDescent="0.2">
      <c r="F2774"/>
    </row>
    <row r="2775" spans="6:6" x14ac:dyDescent="0.2">
      <c r="F2775"/>
    </row>
    <row r="2776" spans="6:6" x14ac:dyDescent="0.2">
      <c r="F2776"/>
    </row>
    <row r="2777" spans="6:6" x14ac:dyDescent="0.2">
      <c r="F2777"/>
    </row>
    <row r="2778" spans="6:6" x14ac:dyDescent="0.2">
      <c r="F2778"/>
    </row>
    <row r="2779" spans="6:6" x14ac:dyDescent="0.2">
      <c r="F2779"/>
    </row>
    <row r="2780" spans="6:6" x14ac:dyDescent="0.2">
      <c r="F2780"/>
    </row>
    <row r="2781" spans="6:6" x14ac:dyDescent="0.2">
      <c r="F2781"/>
    </row>
    <row r="2782" spans="6:6" x14ac:dyDescent="0.2">
      <c r="F2782"/>
    </row>
    <row r="2783" spans="6:6" x14ac:dyDescent="0.2">
      <c r="F2783"/>
    </row>
    <row r="2784" spans="6:6" x14ac:dyDescent="0.2">
      <c r="F2784"/>
    </row>
    <row r="2785" spans="6:6" x14ac:dyDescent="0.2">
      <c r="F2785"/>
    </row>
    <row r="2786" spans="6:6" x14ac:dyDescent="0.2">
      <c r="F2786"/>
    </row>
    <row r="2787" spans="6:6" x14ac:dyDescent="0.2">
      <c r="F2787"/>
    </row>
    <row r="2788" spans="6:6" x14ac:dyDescent="0.2">
      <c r="F2788"/>
    </row>
    <row r="2789" spans="6:6" x14ac:dyDescent="0.2">
      <c r="F2789"/>
    </row>
    <row r="2790" spans="6:6" x14ac:dyDescent="0.2">
      <c r="F2790"/>
    </row>
    <row r="2791" spans="6:6" x14ac:dyDescent="0.2">
      <c r="F2791"/>
    </row>
    <row r="2792" spans="6:6" x14ac:dyDescent="0.2">
      <c r="F2792"/>
    </row>
    <row r="2793" spans="6:6" x14ac:dyDescent="0.2">
      <c r="F2793"/>
    </row>
    <row r="2794" spans="6:6" x14ac:dyDescent="0.2">
      <c r="F2794"/>
    </row>
    <row r="2795" spans="6:6" x14ac:dyDescent="0.2">
      <c r="F2795"/>
    </row>
    <row r="2796" spans="6:6" x14ac:dyDescent="0.2">
      <c r="F2796"/>
    </row>
    <row r="2797" spans="6:6" x14ac:dyDescent="0.2">
      <c r="F2797"/>
    </row>
    <row r="2798" spans="6:6" x14ac:dyDescent="0.2">
      <c r="F2798"/>
    </row>
    <row r="2799" spans="6:6" x14ac:dyDescent="0.2">
      <c r="F2799"/>
    </row>
    <row r="2800" spans="6:6" x14ac:dyDescent="0.2">
      <c r="F2800"/>
    </row>
    <row r="2801" spans="6:6" x14ac:dyDescent="0.2">
      <c r="F2801"/>
    </row>
    <row r="2802" spans="6:6" x14ac:dyDescent="0.2">
      <c r="F2802"/>
    </row>
    <row r="2803" spans="6:6" x14ac:dyDescent="0.2">
      <c r="F2803"/>
    </row>
    <row r="2804" spans="6:6" x14ac:dyDescent="0.2">
      <c r="F2804"/>
    </row>
    <row r="2805" spans="6:6" x14ac:dyDescent="0.2">
      <c r="F2805"/>
    </row>
    <row r="2806" spans="6:6" x14ac:dyDescent="0.2">
      <c r="F2806"/>
    </row>
    <row r="2807" spans="6:6" x14ac:dyDescent="0.2">
      <c r="F2807"/>
    </row>
    <row r="2808" spans="6:6" x14ac:dyDescent="0.2">
      <c r="F2808"/>
    </row>
    <row r="2809" spans="6:6" x14ac:dyDescent="0.2">
      <c r="F2809"/>
    </row>
    <row r="2810" spans="6:6" x14ac:dyDescent="0.2">
      <c r="F2810"/>
    </row>
    <row r="2811" spans="6:6" x14ac:dyDescent="0.2">
      <c r="F2811"/>
    </row>
    <row r="2812" spans="6:6" x14ac:dyDescent="0.2">
      <c r="F2812"/>
    </row>
    <row r="2813" spans="6:6" x14ac:dyDescent="0.2">
      <c r="F2813"/>
    </row>
    <row r="2814" spans="6:6" x14ac:dyDescent="0.2">
      <c r="F2814"/>
    </row>
    <row r="2815" spans="6:6" x14ac:dyDescent="0.2">
      <c r="F2815"/>
    </row>
    <row r="2816" spans="6:6" x14ac:dyDescent="0.2">
      <c r="F2816"/>
    </row>
    <row r="2817" spans="6:6" x14ac:dyDescent="0.2">
      <c r="F2817"/>
    </row>
    <row r="2818" spans="6:6" x14ac:dyDescent="0.2">
      <c r="F2818"/>
    </row>
    <row r="2819" spans="6:6" x14ac:dyDescent="0.2">
      <c r="F2819"/>
    </row>
    <row r="2820" spans="6:6" x14ac:dyDescent="0.2">
      <c r="F2820"/>
    </row>
    <row r="2821" spans="6:6" x14ac:dyDescent="0.2">
      <c r="F2821"/>
    </row>
    <row r="2822" spans="6:6" x14ac:dyDescent="0.2">
      <c r="F2822"/>
    </row>
    <row r="2823" spans="6:6" x14ac:dyDescent="0.2">
      <c r="F2823"/>
    </row>
    <row r="2824" spans="6:6" x14ac:dyDescent="0.2">
      <c r="F2824"/>
    </row>
    <row r="2825" spans="6:6" x14ac:dyDescent="0.2">
      <c r="F2825"/>
    </row>
    <row r="2826" spans="6:6" x14ac:dyDescent="0.2">
      <c r="F2826"/>
    </row>
    <row r="2827" spans="6:6" x14ac:dyDescent="0.2">
      <c r="F2827"/>
    </row>
    <row r="2828" spans="6:6" x14ac:dyDescent="0.2">
      <c r="F2828"/>
    </row>
    <row r="2829" spans="6:6" x14ac:dyDescent="0.2">
      <c r="F2829"/>
    </row>
    <row r="2830" spans="6:6" x14ac:dyDescent="0.2">
      <c r="F2830"/>
    </row>
    <row r="2831" spans="6:6" x14ac:dyDescent="0.2">
      <c r="F2831"/>
    </row>
    <row r="2832" spans="6:6" x14ac:dyDescent="0.2">
      <c r="F2832"/>
    </row>
    <row r="2833" spans="6:6" x14ac:dyDescent="0.2">
      <c r="F2833"/>
    </row>
    <row r="2834" spans="6:6" x14ac:dyDescent="0.2">
      <c r="F2834"/>
    </row>
    <row r="2835" spans="6:6" x14ac:dyDescent="0.2">
      <c r="F2835"/>
    </row>
    <row r="2836" spans="6:6" x14ac:dyDescent="0.2">
      <c r="F2836"/>
    </row>
    <row r="2837" spans="6:6" x14ac:dyDescent="0.2">
      <c r="F2837"/>
    </row>
    <row r="2838" spans="6:6" x14ac:dyDescent="0.2">
      <c r="F2838"/>
    </row>
    <row r="2839" spans="6:6" x14ac:dyDescent="0.2">
      <c r="F2839"/>
    </row>
    <row r="2840" spans="6:6" x14ac:dyDescent="0.2">
      <c r="F2840"/>
    </row>
    <row r="2841" spans="6:6" x14ac:dyDescent="0.2">
      <c r="F2841"/>
    </row>
    <row r="2842" spans="6:6" x14ac:dyDescent="0.2">
      <c r="F2842"/>
    </row>
    <row r="2843" spans="6:6" x14ac:dyDescent="0.2">
      <c r="F2843"/>
    </row>
    <row r="2844" spans="6:6" x14ac:dyDescent="0.2">
      <c r="F2844"/>
    </row>
    <row r="2845" spans="6:6" x14ac:dyDescent="0.2">
      <c r="F2845"/>
    </row>
    <row r="2846" spans="6:6" x14ac:dyDescent="0.2">
      <c r="F2846"/>
    </row>
    <row r="2847" spans="6:6" x14ac:dyDescent="0.2">
      <c r="F2847"/>
    </row>
    <row r="2848" spans="6:6" x14ac:dyDescent="0.2">
      <c r="F2848"/>
    </row>
    <row r="2849" spans="6:6" x14ac:dyDescent="0.2">
      <c r="F2849"/>
    </row>
    <row r="2850" spans="6:6" x14ac:dyDescent="0.2">
      <c r="F2850"/>
    </row>
    <row r="2851" spans="6:6" x14ac:dyDescent="0.2">
      <c r="F2851"/>
    </row>
    <row r="2852" spans="6:6" x14ac:dyDescent="0.2">
      <c r="F2852"/>
    </row>
    <row r="2853" spans="6:6" x14ac:dyDescent="0.2">
      <c r="F2853"/>
    </row>
    <row r="2854" spans="6:6" x14ac:dyDescent="0.2">
      <c r="F2854"/>
    </row>
    <row r="2855" spans="6:6" x14ac:dyDescent="0.2">
      <c r="F2855"/>
    </row>
    <row r="2856" spans="6:6" x14ac:dyDescent="0.2">
      <c r="F2856"/>
    </row>
    <row r="2857" spans="6:6" x14ac:dyDescent="0.2">
      <c r="F2857"/>
    </row>
    <row r="2858" spans="6:6" x14ac:dyDescent="0.2">
      <c r="F2858"/>
    </row>
    <row r="2859" spans="6:6" x14ac:dyDescent="0.2">
      <c r="F2859"/>
    </row>
    <row r="2860" spans="6:6" x14ac:dyDescent="0.2">
      <c r="F2860"/>
    </row>
    <row r="2861" spans="6:6" x14ac:dyDescent="0.2">
      <c r="F2861"/>
    </row>
    <row r="2862" spans="6:6" x14ac:dyDescent="0.2">
      <c r="F2862"/>
    </row>
    <row r="2863" spans="6:6" x14ac:dyDescent="0.2">
      <c r="F2863"/>
    </row>
    <row r="2864" spans="6:6" x14ac:dyDescent="0.2">
      <c r="F2864"/>
    </row>
    <row r="2865" spans="6:6" x14ac:dyDescent="0.2">
      <c r="F2865"/>
    </row>
    <row r="2866" spans="6:6" x14ac:dyDescent="0.2">
      <c r="F2866"/>
    </row>
    <row r="2867" spans="6:6" x14ac:dyDescent="0.2">
      <c r="F2867"/>
    </row>
    <row r="2868" spans="6:6" x14ac:dyDescent="0.2">
      <c r="F2868"/>
    </row>
    <row r="2869" spans="6:6" x14ac:dyDescent="0.2">
      <c r="F2869"/>
    </row>
    <row r="2870" spans="6:6" x14ac:dyDescent="0.2">
      <c r="F2870"/>
    </row>
    <row r="2871" spans="6:6" x14ac:dyDescent="0.2">
      <c r="F2871"/>
    </row>
    <row r="2872" spans="6:6" x14ac:dyDescent="0.2">
      <c r="F2872"/>
    </row>
    <row r="2873" spans="6:6" x14ac:dyDescent="0.2">
      <c r="F2873"/>
    </row>
    <row r="2874" spans="6:6" x14ac:dyDescent="0.2">
      <c r="F2874"/>
    </row>
    <row r="2875" spans="6:6" x14ac:dyDescent="0.2">
      <c r="F2875"/>
    </row>
    <row r="2876" spans="6:6" x14ac:dyDescent="0.2">
      <c r="F2876"/>
    </row>
    <row r="2877" spans="6:6" x14ac:dyDescent="0.2">
      <c r="F2877"/>
    </row>
    <row r="2878" spans="6:6" x14ac:dyDescent="0.2">
      <c r="F2878"/>
    </row>
    <row r="2879" spans="6:6" x14ac:dyDescent="0.2">
      <c r="F2879"/>
    </row>
    <row r="2880" spans="6:6" x14ac:dyDescent="0.2">
      <c r="F2880"/>
    </row>
    <row r="2881" spans="6:6" x14ac:dyDescent="0.2">
      <c r="F2881"/>
    </row>
    <row r="2882" spans="6:6" x14ac:dyDescent="0.2">
      <c r="F2882"/>
    </row>
    <row r="2883" spans="6:6" x14ac:dyDescent="0.2">
      <c r="F2883"/>
    </row>
    <row r="2884" spans="6:6" x14ac:dyDescent="0.2">
      <c r="F2884"/>
    </row>
    <row r="2885" spans="6:6" x14ac:dyDescent="0.2">
      <c r="F2885"/>
    </row>
    <row r="2886" spans="6:6" x14ac:dyDescent="0.2">
      <c r="F2886"/>
    </row>
    <row r="2887" spans="6:6" x14ac:dyDescent="0.2">
      <c r="F2887"/>
    </row>
    <row r="2888" spans="6:6" x14ac:dyDescent="0.2">
      <c r="F2888"/>
    </row>
    <row r="2889" spans="6:6" x14ac:dyDescent="0.2">
      <c r="F2889"/>
    </row>
    <row r="2890" spans="6:6" x14ac:dyDescent="0.2">
      <c r="F2890"/>
    </row>
    <row r="2891" spans="6:6" x14ac:dyDescent="0.2">
      <c r="F2891"/>
    </row>
    <row r="2892" spans="6:6" x14ac:dyDescent="0.2">
      <c r="F2892"/>
    </row>
    <row r="2893" spans="6:6" x14ac:dyDescent="0.2">
      <c r="F2893"/>
    </row>
    <row r="2894" spans="6:6" x14ac:dyDescent="0.2">
      <c r="F2894"/>
    </row>
    <row r="2895" spans="6:6" x14ac:dyDescent="0.2">
      <c r="F2895"/>
    </row>
    <row r="2896" spans="6:6" x14ac:dyDescent="0.2">
      <c r="F2896"/>
    </row>
    <row r="2897" spans="6:6" x14ac:dyDescent="0.2">
      <c r="F2897"/>
    </row>
    <row r="2898" spans="6:6" x14ac:dyDescent="0.2">
      <c r="F2898"/>
    </row>
    <row r="2899" spans="6:6" x14ac:dyDescent="0.2">
      <c r="F2899"/>
    </row>
    <row r="2900" spans="6:6" x14ac:dyDescent="0.2">
      <c r="F2900"/>
    </row>
    <row r="2901" spans="6:6" x14ac:dyDescent="0.2">
      <c r="F2901"/>
    </row>
    <row r="2902" spans="6:6" x14ac:dyDescent="0.2">
      <c r="F2902"/>
    </row>
    <row r="2903" spans="6:6" x14ac:dyDescent="0.2">
      <c r="F2903"/>
    </row>
    <row r="2904" spans="6:6" x14ac:dyDescent="0.2">
      <c r="F2904"/>
    </row>
    <row r="2905" spans="6:6" x14ac:dyDescent="0.2">
      <c r="F2905"/>
    </row>
    <row r="2906" spans="6:6" x14ac:dyDescent="0.2">
      <c r="F2906"/>
    </row>
    <row r="2907" spans="6:6" x14ac:dyDescent="0.2">
      <c r="F2907"/>
    </row>
    <row r="2908" spans="6:6" x14ac:dyDescent="0.2">
      <c r="F2908"/>
    </row>
    <row r="2909" spans="6:6" x14ac:dyDescent="0.2">
      <c r="F2909"/>
    </row>
    <row r="2910" spans="6:6" x14ac:dyDescent="0.2">
      <c r="F2910"/>
    </row>
    <row r="2911" spans="6:6" x14ac:dyDescent="0.2">
      <c r="F2911"/>
    </row>
    <row r="2912" spans="6:6" x14ac:dyDescent="0.2">
      <c r="F2912"/>
    </row>
    <row r="2913" spans="6:6" x14ac:dyDescent="0.2">
      <c r="F2913"/>
    </row>
    <row r="2914" spans="6:6" x14ac:dyDescent="0.2">
      <c r="F2914"/>
    </row>
    <row r="2915" spans="6:6" x14ac:dyDescent="0.2">
      <c r="F2915"/>
    </row>
    <row r="2916" spans="6:6" x14ac:dyDescent="0.2">
      <c r="F2916"/>
    </row>
    <row r="2917" spans="6:6" x14ac:dyDescent="0.2">
      <c r="F2917"/>
    </row>
    <row r="2918" spans="6:6" x14ac:dyDescent="0.2">
      <c r="F2918"/>
    </row>
    <row r="2919" spans="6:6" x14ac:dyDescent="0.2">
      <c r="F2919"/>
    </row>
    <row r="2920" spans="6:6" x14ac:dyDescent="0.2">
      <c r="F2920"/>
    </row>
    <row r="2921" spans="6:6" x14ac:dyDescent="0.2">
      <c r="F2921"/>
    </row>
    <row r="2922" spans="6:6" x14ac:dyDescent="0.2">
      <c r="F2922"/>
    </row>
    <row r="2923" spans="6:6" x14ac:dyDescent="0.2">
      <c r="F2923"/>
    </row>
    <row r="2924" spans="6:6" x14ac:dyDescent="0.2">
      <c r="F2924"/>
    </row>
    <row r="2925" spans="6:6" x14ac:dyDescent="0.2">
      <c r="F2925"/>
    </row>
    <row r="2926" spans="6:6" x14ac:dyDescent="0.2">
      <c r="F2926"/>
    </row>
    <row r="2927" spans="6:6" x14ac:dyDescent="0.2">
      <c r="F2927"/>
    </row>
    <row r="2928" spans="6:6" x14ac:dyDescent="0.2">
      <c r="F2928"/>
    </row>
    <row r="2929" spans="6:6" x14ac:dyDescent="0.2">
      <c r="F2929"/>
    </row>
    <row r="2930" spans="6:6" x14ac:dyDescent="0.2">
      <c r="F2930"/>
    </row>
    <row r="2931" spans="6:6" x14ac:dyDescent="0.2">
      <c r="F2931"/>
    </row>
    <row r="2932" spans="6:6" x14ac:dyDescent="0.2">
      <c r="F2932"/>
    </row>
    <row r="2933" spans="6:6" x14ac:dyDescent="0.2">
      <c r="F2933"/>
    </row>
    <row r="2934" spans="6:6" x14ac:dyDescent="0.2">
      <c r="F2934"/>
    </row>
    <row r="2935" spans="6:6" x14ac:dyDescent="0.2">
      <c r="F2935"/>
    </row>
    <row r="2936" spans="6:6" x14ac:dyDescent="0.2">
      <c r="F2936"/>
    </row>
    <row r="2937" spans="6:6" x14ac:dyDescent="0.2">
      <c r="F2937"/>
    </row>
    <row r="2938" spans="6:6" x14ac:dyDescent="0.2">
      <c r="F2938"/>
    </row>
    <row r="2939" spans="6:6" x14ac:dyDescent="0.2">
      <c r="F2939"/>
    </row>
    <row r="2940" spans="6:6" x14ac:dyDescent="0.2">
      <c r="F2940"/>
    </row>
    <row r="2941" spans="6:6" x14ac:dyDescent="0.2">
      <c r="F2941"/>
    </row>
    <row r="2942" spans="6:6" x14ac:dyDescent="0.2">
      <c r="F2942"/>
    </row>
    <row r="2943" spans="6:6" x14ac:dyDescent="0.2">
      <c r="F2943"/>
    </row>
    <row r="2944" spans="6:6" x14ac:dyDescent="0.2">
      <c r="F2944"/>
    </row>
    <row r="2945" spans="6:6" x14ac:dyDescent="0.2">
      <c r="F2945"/>
    </row>
    <row r="2946" spans="6:6" x14ac:dyDescent="0.2">
      <c r="F2946"/>
    </row>
    <row r="2947" spans="6:6" x14ac:dyDescent="0.2">
      <c r="F2947"/>
    </row>
    <row r="2948" spans="6:6" x14ac:dyDescent="0.2">
      <c r="F2948"/>
    </row>
    <row r="2949" spans="6:6" x14ac:dyDescent="0.2">
      <c r="F2949"/>
    </row>
    <row r="2950" spans="6:6" x14ac:dyDescent="0.2">
      <c r="F2950"/>
    </row>
    <row r="2951" spans="6:6" x14ac:dyDescent="0.2">
      <c r="F2951"/>
    </row>
    <row r="2952" spans="6:6" x14ac:dyDescent="0.2">
      <c r="F2952"/>
    </row>
    <row r="2953" spans="6:6" x14ac:dyDescent="0.2">
      <c r="F2953"/>
    </row>
    <row r="2954" spans="6:6" x14ac:dyDescent="0.2">
      <c r="F2954"/>
    </row>
    <row r="2955" spans="6:6" x14ac:dyDescent="0.2">
      <c r="F2955"/>
    </row>
    <row r="2956" spans="6:6" x14ac:dyDescent="0.2">
      <c r="F2956"/>
    </row>
    <row r="2957" spans="6:6" x14ac:dyDescent="0.2">
      <c r="F2957"/>
    </row>
    <row r="2958" spans="6:6" x14ac:dyDescent="0.2">
      <c r="F2958"/>
    </row>
    <row r="2959" spans="6:6" x14ac:dyDescent="0.2">
      <c r="F2959"/>
    </row>
    <row r="2960" spans="6:6" x14ac:dyDescent="0.2">
      <c r="F2960"/>
    </row>
    <row r="2961" spans="6:6" x14ac:dyDescent="0.2">
      <c r="F2961"/>
    </row>
    <row r="2962" spans="6:6" x14ac:dyDescent="0.2">
      <c r="F2962"/>
    </row>
    <row r="2963" spans="6:6" x14ac:dyDescent="0.2">
      <c r="F2963"/>
    </row>
    <row r="2964" spans="6:6" x14ac:dyDescent="0.2">
      <c r="F2964"/>
    </row>
    <row r="2965" spans="6:6" x14ac:dyDescent="0.2">
      <c r="F2965"/>
    </row>
    <row r="2966" spans="6:6" x14ac:dyDescent="0.2">
      <c r="F2966"/>
    </row>
    <row r="2967" spans="6:6" x14ac:dyDescent="0.2">
      <c r="F2967"/>
    </row>
    <row r="2968" spans="6:6" x14ac:dyDescent="0.2">
      <c r="F2968"/>
    </row>
    <row r="2969" spans="6:6" x14ac:dyDescent="0.2">
      <c r="F2969"/>
    </row>
    <row r="2970" spans="6:6" x14ac:dyDescent="0.2">
      <c r="F2970"/>
    </row>
    <row r="2971" spans="6:6" x14ac:dyDescent="0.2">
      <c r="F2971"/>
    </row>
    <row r="2972" spans="6:6" x14ac:dyDescent="0.2">
      <c r="F2972"/>
    </row>
    <row r="2973" spans="6:6" x14ac:dyDescent="0.2">
      <c r="F2973"/>
    </row>
    <row r="2974" spans="6:6" x14ac:dyDescent="0.2">
      <c r="F2974"/>
    </row>
    <row r="2975" spans="6:6" x14ac:dyDescent="0.2">
      <c r="F2975"/>
    </row>
    <row r="2976" spans="6:6" x14ac:dyDescent="0.2">
      <c r="F2976"/>
    </row>
    <row r="2977" spans="6:6" x14ac:dyDescent="0.2">
      <c r="F2977"/>
    </row>
    <row r="2978" spans="6:6" x14ac:dyDescent="0.2">
      <c r="F2978"/>
    </row>
    <row r="2979" spans="6:6" x14ac:dyDescent="0.2">
      <c r="F2979"/>
    </row>
    <row r="2980" spans="6:6" x14ac:dyDescent="0.2">
      <c r="F2980"/>
    </row>
    <row r="2981" spans="6:6" x14ac:dyDescent="0.2">
      <c r="F2981"/>
    </row>
    <row r="2982" spans="6:6" x14ac:dyDescent="0.2">
      <c r="F2982"/>
    </row>
    <row r="2983" spans="6:6" x14ac:dyDescent="0.2">
      <c r="F2983"/>
    </row>
    <row r="2984" spans="6:6" x14ac:dyDescent="0.2">
      <c r="F2984"/>
    </row>
    <row r="2985" spans="6:6" x14ac:dyDescent="0.2">
      <c r="F2985"/>
    </row>
    <row r="2986" spans="6:6" x14ac:dyDescent="0.2">
      <c r="F2986"/>
    </row>
    <row r="2987" spans="6:6" x14ac:dyDescent="0.2">
      <c r="F2987"/>
    </row>
    <row r="2988" spans="6:6" x14ac:dyDescent="0.2">
      <c r="F2988"/>
    </row>
    <row r="2989" spans="6:6" x14ac:dyDescent="0.2">
      <c r="F2989"/>
    </row>
    <row r="2990" spans="6:6" x14ac:dyDescent="0.2">
      <c r="F2990"/>
    </row>
    <row r="2991" spans="6:6" x14ac:dyDescent="0.2">
      <c r="F2991"/>
    </row>
    <row r="2992" spans="6:6" x14ac:dyDescent="0.2">
      <c r="F2992"/>
    </row>
    <row r="2993" spans="6:6" x14ac:dyDescent="0.2">
      <c r="F2993"/>
    </row>
    <row r="2994" spans="6:6" x14ac:dyDescent="0.2">
      <c r="F2994"/>
    </row>
    <row r="2995" spans="6:6" x14ac:dyDescent="0.2">
      <c r="F2995"/>
    </row>
    <row r="2996" spans="6:6" x14ac:dyDescent="0.2">
      <c r="F2996"/>
    </row>
    <row r="2997" spans="6:6" x14ac:dyDescent="0.2">
      <c r="F2997"/>
    </row>
    <row r="2998" spans="6:6" x14ac:dyDescent="0.2">
      <c r="F2998"/>
    </row>
    <row r="2999" spans="6:6" x14ac:dyDescent="0.2">
      <c r="F2999"/>
    </row>
    <row r="3000" spans="6:6" x14ac:dyDescent="0.2">
      <c r="F3000"/>
    </row>
    <row r="3001" spans="6:6" x14ac:dyDescent="0.2">
      <c r="F3001"/>
    </row>
    <row r="3002" spans="6:6" x14ac:dyDescent="0.2">
      <c r="F3002"/>
    </row>
    <row r="3003" spans="6:6" x14ac:dyDescent="0.2">
      <c r="F3003"/>
    </row>
    <row r="3004" spans="6:6" x14ac:dyDescent="0.2">
      <c r="F3004"/>
    </row>
    <row r="3005" spans="6:6" x14ac:dyDescent="0.2">
      <c r="F3005"/>
    </row>
    <row r="3006" spans="6:6" x14ac:dyDescent="0.2">
      <c r="F3006"/>
    </row>
    <row r="3007" spans="6:6" x14ac:dyDescent="0.2">
      <c r="F3007"/>
    </row>
    <row r="3008" spans="6:6" x14ac:dyDescent="0.2">
      <c r="F3008"/>
    </row>
    <row r="3009" spans="6:6" x14ac:dyDescent="0.2">
      <c r="F3009"/>
    </row>
    <row r="3010" spans="6:6" x14ac:dyDescent="0.2">
      <c r="F3010"/>
    </row>
    <row r="3011" spans="6:6" x14ac:dyDescent="0.2">
      <c r="F3011"/>
    </row>
    <row r="3012" spans="6:6" x14ac:dyDescent="0.2">
      <c r="F3012"/>
    </row>
    <row r="3013" spans="6:6" x14ac:dyDescent="0.2">
      <c r="F3013"/>
    </row>
    <row r="3014" spans="6:6" x14ac:dyDescent="0.2">
      <c r="F3014"/>
    </row>
    <row r="3015" spans="6:6" x14ac:dyDescent="0.2">
      <c r="F3015"/>
    </row>
    <row r="3016" spans="6:6" x14ac:dyDescent="0.2">
      <c r="F3016"/>
    </row>
    <row r="3017" spans="6:6" x14ac:dyDescent="0.2">
      <c r="F3017"/>
    </row>
    <row r="3018" spans="6:6" x14ac:dyDescent="0.2">
      <c r="F3018"/>
    </row>
    <row r="3019" spans="6:6" x14ac:dyDescent="0.2">
      <c r="F3019"/>
    </row>
    <row r="3020" spans="6:6" x14ac:dyDescent="0.2">
      <c r="F3020"/>
    </row>
    <row r="3021" spans="6:6" x14ac:dyDescent="0.2">
      <c r="F3021"/>
    </row>
    <row r="3022" spans="6:6" x14ac:dyDescent="0.2">
      <c r="F3022"/>
    </row>
    <row r="3023" spans="6:6" x14ac:dyDescent="0.2">
      <c r="F3023"/>
    </row>
    <row r="3024" spans="6:6" x14ac:dyDescent="0.2">
      <c r="F3024"/>
    </row>
    <row r="3025" spans="6:6" x14ac:dyDescent="0.2">
      <c r="F3025"/>
    </row>
    <row r="3026" spans="6:6" x14ac:dyDescent="0.2">
      <c r="F3026"/>
    </row>
    <row r="3027" spans="6:6" x14ac:dyDescent="0.2">
      <c r="F3027"/>
    </row>
    <row r="3028" spans="6:6" x14ac:dyDescent="0.2">
      <c r="F3028"/>
    </row>
    <row r="3029" spans="6:6" x14ac:dyDescent="0.2">
      <c r="F3029"/>
    </row>
    <row r="3030" spans="6:6" x14ac:dyDescent="0.2">
      <c r="F3030"/>
    </row>
    <row r="3031" spans="6:6" x14ac:dyDescent="0.2">
      <c r="F3031"/>
    </row>
    <row r="3032" spans="6:6" x14ac:dyDescent="0.2">
      <c r="F3032"/>
    </row>
    <row r="3033" spans="6:6" x14ac:dyDescent="0.2">
      <c r="F3033"/>
    </row>
    <row r="3034" spans="6:6" x14ac:dyDescent="0.2">
      <c r="F3034"/>
    </row>
    <row r="3035" spans="6:6" x14ac:dyDescent="0.2">
      <c r="F3035"/>
    </row>
    <row r="3036" spans="6:6" x14ac:dyDescent="0.2">
      <c r="F3036"/>
    </row>
    <row r="3037" spans="6:6" x14ac:dyDescent="0.2">
      <c r="F3037"/>
    </row>
    <row r="3038" spans="6:6" x14ac:dyDescent="0.2">
      <c r="F3038"/>
    </row>
    <row r="3039" spans="6:6" x14ac:dyDescent="0.2">
      <c r="F3039"/>
    </row>
    <row r="3040" spans="6:6" x14ac:dyDescent="0.2">
      <c r="F3040"/>
    </row>
    <row r="3041" spans="6:6" x14ac:dyDescent="0.2">
      <c r="F3041"/>
    </row>
    <row r="3042" spans="6:6" x14ac:dyDescent="0.2">
      <c r="F3042"/>
    </row>
    <row r="3043" spans="6:6" x14ac:dyDescent="0.2">
      <c r="F3043"/>
    </row>
    <row r="3044" spans="6:6" x14ac:dyDescent="0.2">
      <c r="F3044"/>
    </row>
    <row r="3045" spans="6:6" x14ac:dyDescent="0.2">
      <c r="F3045"/>
    </row>
    <row r="3046" spans="6:6" x14ac:dyDescent="0.2">
      <c r="F3046"/>
    </row>
    <row r="3047" spans="6:6" x14ac:dyDescent="0.2">
      <c r="F3047"/>
    </row>
    <row r="3048" spans="6:6" x14ac:dyDescent="0.2">
      <c r="F3048"/>
    </row>
    <row r="3049" spans="6:6" x14ac:dyDescent="0.2">
      <c r="F3049"/>
    </row>
    <row r="3050" spans="6:6" x14ac:dyDescent="0.2">
      <c r="F3050"/>
    </row>
    <row r="3051" spans="6:6" x14ac:dyDescent="0.2">
      <c r="F3051"/>
    </row>
    <row r="3052" spans="6:6" x14ac:dyDescent="0.2">
      <c r="F3052"/>
    </row>
    <row r="3053" spans="6:6" x14ac:dyDescent="0.2">
      <c r="F3053"/>
    </row>
    <row r="3054" spans="6:6" x14ac:dyDescent="0.2">
      <c r="F3054"/>
    </row>
    <row r="3055" spans="6:6" x14ac:dyDescent="0.2">
      <c r="F3055"/>
    </row>
    <row r="3056" spans="6:6" x14ac:dyDescent="0.2">
      <c r="F3056"/>
    </row>
    <row r="3057" spans="6:6" x14ac:dyDescent="0.2">
      <c r="F3057"/>
    </row>
    <row r="3058" spans="6:6" x14ac:dyDescent="0.2">
      <c r="F3058"/>
    </row>
    <row r="3059" spans="6:6" x14ac:dyDescent="0.2">
      <c r="F3059"/>
    </row>
    <row r="3060" spans="6:6" x14ac:dyDescent="0.2">
      <c r="F3060"/>
    </row>
    <row r="3061" spans="6:6" x14ac:dyDescent="0.2">
      <c r="F3061"/>
    </row>
    <row r="3062" spans="6:6" x14ac:dyDescent="0.2">
      <c r="F3062"/>
    </row>
    <row r="3063" spans="6:6" x14ac:dyDescent="0.2">
      <c r="F3063"/>
    </row>
    <row r="3064" spans="6:6" x14ac:dyDescent="0.2">
      <c r="F3064"/>
    </row>
    <row r="3065" spans="6:6" x14ac:dyDescent="0.2">
      <c r="F3065"/>
    </row>
    <row r="3066" spans="6:6" x14ac:dyDescent="0.2">
      <c r="F3066"/>
    </row>
    <row r="3067" spans="6:6" x14ac:dyDescent="0.2">
      <c r="F3067"/>
    </row>
    <row r="3068" spans="6:6" x14ac:dyDescent="0.2">
      <c r="F3068"/>
    </row>
    <row r="3069" spans="6:6" x14ac:dyDescent="0.2">
      <c r="F3069"/>
    </row>
    <row r="3070" spans="6:6" x14ac:dyDescent="0.2">
      <c r="F3070"/>
    </row>
    <row r="3071" spans="6:6" x14ac:dyDescent="0.2">
      <c r="F3071"/>
    </row>
    <row r="3072" spans="6:6" x14ac:dyDescent="0.2">
      <c r="F3072"/>
    </row>
    <row r="3073" spans="6:6" x14ac:dyDescent="0.2">
      <c r="F3073"/>
    </row>
    <row r="3074" spans="6:6" x14ac:dyDescent="0.2">
      <c r="F3074"/>
    </row>
    <row r="3075" spans="6:6" x14ac:dyDescent="0.2">
      <c r="F3075"/>
    </row>
    <row r="3076" spans="6:6" x14ac:dyDescent="0.2">
      <c r="F3076"/>
    </row>
    <row r="3077" spans="6:6" x14ac:dyDescent="0.2">
      <c r="F3077"/>
    </row>
    <row r="3078" spans="6:6" x14ac:dyDescent="0.2">
      <c r="F3078"/>
    </row>
    <row r="3079" spans="6:6" x14ac:dyDescent="0.2">
      <c r="F3079"/>
    </row>
    <row r="3080" spans="6:6" x14ac:dyDescent="0.2">
      <c r="F3080"/>
    </row>
    <row r="3081" spans="6:6" x14ac:dyDescent="0.2">
      <c r="F3081"/>
    </row>
    <row r="3082" spans="6:6" x14ac:dyDescent="0.2">
      <c r="F3082"/>
    </row>
    <row r="3083" spans="6:6" x14ac:dyDescent="0.2">
      <c r="F3083"/>
    </row>
    <row r="3084" spans="6:6" x14ac:dyDescent="0.2">
      <c r="F3084"/>
    </row>
    <row r="3085" spans="6:6" x14ac:dyDescent="0.2">
      <c r="F3085"/>
    </row>
    <row r="3086" spans="6:6" x14ac:dyDescent="0.2">
      <c r="F3086"/>
    </row>
    <row r="3087" spans="6:6" x14ac:dyDescent="0.2">
      <c r="F3087"/>
    </row>
    <row r="3088" spans="6:6" x14ac:dyDescent="0.2">
      <c r="F3088"/>
    </row>
    <row r="3089" spans="6:6" x14ac:dyDescent="0.2">
      <c r="F3089"/>
    </row>
    <row r="3090" spans="6:6" x14ac:dyDescent="0.2">
      <c r="F3090"/>
    </row>
    <row r="3091" spans="6:6" x14ac:dyDescent="0.2">
      <c r="F3091"/>
    </row>
    <row r="3092" spans="6:6" x14ac:dyDescent="0.2">
      <c r="F3092"/>
    </row>
    <row r="3093" spans="6:6" x14ac:dyDescent="0.2">
      <c r="F3093"/>
    </row>
    <row r="3094" spans="6:6" x14ac:dyDescent="0.2">
      <c r="F3094"/>
    </row>
    <row r="3095" spans="6:6" x14ac:dyDescent="0.2">
      <c r="F3095"/>
    </row>
    <row r="3096" spans="6:6" x14ac:dyDescent="0.2">
      <c r="F3096"/>
    </row>
    <row r="3097" spans="6:6" x14ac:dyDescent="0.2">
      <c r="F3097"/>
    </row>
    <row r="3098" spans="6:6" x14ac:dyDescent="0.2">
      <c r="F3098"/>
    </row>
    <row r="3099" spans="6:6" x14ac:dyDescent="0.2">
      <c r="F3099"/>
    </row>
    <row r="3100" spans="6:6" x14ac:dyDescent="0.2">
      <c r="F3100"/>
    </row>
    <row r="3101" spans="6:6" x14ac:dyDescent="0.2">
      <c r="F3101"/>
    </row>
    <row r="3102" spans="6:6" x14ac:dyDescent="0.2">
      <c r="F3102"/>
    </row>
    <row r="3103" spans="6:6" x14ac:dyDescent="0.2">
      <c r="F3103"/>
    </row>
    <row r="3104" spans="6:6" x14ac:dyDescent="0.2">
      <c r="F3104"/>
    </row>
    <row r="3105" spans="6:6" x14ac:dyDescent="0.2">
      <c r="F3105"/>
    </row>
    <row r="3106" spans="6:6" x14ac:dyDescent="0.2">
      <c r="F3106"/>
    </row>
    <row r="3107" spans="6:6" x14ac:dyDescent="0.2">
      <c r="F3107"/>
    </row>
    <row r="3108" spans="6:6" x14ac:dyDescent="0.2">
      <c r="F3108"/>
    </row>
    <row r="3109" spans="6:6" x14ac:dyDescent="0.2">
      <c r="F3109"/>
    </row>
    <row r="3110" spans="6:6" x14ac:dyDescent="0.2">
      <c r="F3110"/>
    </row>
    <row r="3111" spans="6:6" x14ac:dyDescent="0.2">
      <c r="F3111"/>
    </row>
    <row r="3112" spans="6:6" x14ac:dyDescent="0.2">
      <c r="F3112"/>
    </row>
    <row r="3113" spans="6:6" x14ac:dyDescent="0.2">
      <c r="F3113"/>
    </row>
    <row r="3114" spans="6:6" x14ac:dyDescent="0.2">
      <c r="F3114"/>
    </row>
    <row r="3115" spans="6:6" x14ac:dyDescent="0.2">
      <c r="F3115"/>
    </row>
    <row r="3116" spans="6:6" x14ac:dyDescent="0.2">
      <c r="F3116"/>
    </row>
    <row r="3117" spans="6:6" x14ac:dyDescent="0.2">
      <c r="F3117"/>
    </row>
    <row r="3118" spans="6:6" x14ac:dyDescent="0.2">
      <c r="F3118"/>
    </row>
    <row r="3119" spans="6:6" x14ac:dyDescent="0.2">
      <c r="F3119"/>
    </row>
    <row r="3120" spans="6:6" x14ac:dyDescent="0.2">
      <c r="F3120"/>
    </row>
    <row r="3121" spans="6:6" x14ac:dyDescent="0.2">
      <c r="F3121"/>
    </row>
    <row r="3122" spans="6:6" x14ac:dyDescent="0.2">
      <c r="F3122"/>
    </row>
    <row r="3123" spans="6:6" x14ac:dyDescent="0.2">
      <c r="F3123"/>
    </row>
    <row r="3124" spans="6:6" x14ac:dyDescent="0.2">
      <c r="F3124"/>
    </row>
    <row r="3125" spans="6:6" x14ac:dyDescent="0.2">
      <c r="F3125"/>
    </row>
    <row r="3126" spans="6:6" x14ac:dyDescent="0.2">
      <c r="F3126"/>
    </row>
    <row r="3127" spans="6:6" x14ac:dyDescent="0.2">
      <c r="F3127"/>
    </row>
    <row r="3128" spans="6:6" x14ac:dyDescent="0.2">
      <c r="F3128"/>
    </row>
    <row r="3129" spans="6:6" x14ac:dyDescent="0.2">
      <c r="F3129"/>
    </row>
    <row r="3130" spans="6:6" x14ac:dyDescent="0.2">
      <c r="F3130"/>
    </row>
    <row r="3131" spans="6:6" x14ac:dyDescent="0.2">
      <c r="F3131"/>
    </row>
    <row r="3132" spans="6:6" x14ac:dyDescent="0.2">
      <c r="F3132"/>
    </row>
    <row r="3133" spans="6:6" x14ac:dyDescent="0.2">
      <c r="F3133"/>
    </row>
    <row r="3134" spans="6:6" x14ac:dyDescent="0.2">
      <c r="F3134"/>
    </row>
    <row r="3135" spans="6:6" x14ac:dyDescent="0.2">
      <c r="F3135"/>
    </row>
    <row r="3136" spans="6:6" x14ac:dyDescent="0.2">
      <c r="F3136"/>
    </row>
    <row r="3137" spans="6:6" x14ac:dyDescent="0.2">
      <c r="F3137"/>
    </row>
    <row r="3138" spans="6:6" x14ac:dyDescent="0.2">
      <c r="F3138"/>
    </row>
    <row r="3139" spans="6:6" x14ac:dyDescent="0.2">
      <c r="F3139"/>
    </row>
    <row r="3140" spans="6:6" x14ac:dyDescent="0.2">
      <c r="F3140"/>
    </row>
    <row r="3141" spans="6:6" x14ac:dyDescent="0.2">
      <c r="F3141"/>
    </row>
    <row r="3142" spans="6:6" x14ac:dyDescent="0.2">
      <c r="F3142"/>
    </row>
    <row r="3143" spans="6:6" x14ac:dyDescent="0.2">
      <c r="F3143"/>
    </row>
    <row r="3144" spans="6:6" x14ac:dyDescent="0.2">
      <c r="F3144"/>
    </row>
    <row r="3145" spans="6:6" x14ac:dyDescent="0.2">
      <c r="F3145"/>
    </row>
    <row r="3146" spans="6:6" x14ac:dyDescent="0.2">
      <c r="F3146"/>
    </row>
    <row r="3147" spans="6:6" x14ac:dyDescent="0.2">
      <c r="F3147"/>
    </row>
    <row r="3148" spans="6:6" x14ac:dyDescent="0.2">
      <c r="F3148"/>
    </row>
    <row r="3149" spans="6:6" x14ac:dyDescent="0.2">
      <c r="F3149"/>
    </row>
    <row r="3150" spans="6:6" x14ac:dyDescent="0.2">
      <c r="F3150"/>
    </row>
    <row r="3151" spans="6:6" x14ac:dyDescent="0.2">
      <c r="F3151"/>
    </row>
    <row r="3152" spans="6:6" x14ac:dyDescent="0.2">
      <c r="F3152"/>
    </row>
    <row r="3153" spans="6:6" x14ac:dyDescent="0.2">
      <c r="F3153"/>
    </row>
    <row r="3154" spans="6:6" x14ac:dyDescent="0.2">
      <c r="F3154"/>
    </row>
    <row r="3155" spans="6:6" x14ac:dyDescent="0.2">
      <c r="F3155"/>
    </row>
    <row r="3156" spans="6:6" x14ac:dyDescent="0.2">
      <c r="F3156"/>
    </row>
    <row r="3157" spans="6:6" x14ac:dyDescent="0.2">
      <c r="F3157"/>
    </row>
    <row r="3158" spans="6:6" x14ac:dyDescent="0.2">
      <c r="F3158"/>
    </row>
    <row r="3159" spans="6:6" x14ac:dyDescent="0.2">
      <c r="F3159"/>
    </row>
    <row r="3160" spans="6:6" x14ac:dyDescent="0.2">
      <c r="F3160"/>
    </row>
    <row r="3161" spans="6:6" x14ac:dyDescent="0.2">
      <c r="F3161"/>
    </row>
    <row r="3162" spans="6:6" x14ac:dyDescent="0.2">
      <c r="F3162"/>
    </row>
    <row r="3163" spans="6:6" x14ac:dyDescent="0.2">
      <c r="F3163"/>
    </row>
    <row r="3164" spans="6:6" x14ac:dyDescent="0.2">
      <c r="F3164"/>
    </row>
    <row r="3165" spans="6:6" x14ac:dyDescent="0.2">
      <c r="F3165"/>
    </row>
    <row r="3166" spans="6:6" x14ac:dyDescent="0.2">
      <c r="F3166"/>
    </row>
    <row r="3167" spans="6:6" x14ac:dyDescent="0.2">
      <c r="F3167"/>
    </row>
    <row r="3168" spans="6:6" x14ac:dyDescent="0.2">
      <c r="F3168"/>
    </row>
    <row r="3169" spans="6:6" x14ac:dyDescent="0.2">
      <c r="F3169"/>
    </row>
    <row r="3170" spans="6:6" x14ac:dyDescent="0.2">
      <c r="F3170"/>
    </row>
    <row r="3171" spans="6:6" x14ac:dyDescent="0.2">
      <c r="F3171"/>
    </row>
    <row r="3172" spans="6:6" x14ac:dyDescent="0.2">
      <c r="F3172"/>
    </row>
    <row r="3173" spans="6:6" x14ac:dyDescent="0.2">
      <c r="F3173"/>
    </row>
    <row r="3174" spans="6:6" x14ac:dyDescent="0.2">
      <c r="F3174"/>
    </row>
    <row r="3175" spans="6:6" x14ac:dyDescent="0.2">
      <c r="F3175"/>
    </row>
    <row r="3176" spans="6:6" x14ac:dyDescent="0.2">
      <c r="F3176"/>
    </row>
    <row r="3177" spans="6:6" x14ac:dyDescent="0.2">
      <c r="F3177"/>
    </row>
    <row r="3178" spans="6:6" x14ac:dyDescent="0.2">
      <c r="F3178"/>
    </row>
    <row r="3179" spans="6:6" x14ac:dyDescent="0.2">
      <c r="F3179"/>
    </row>
    <row r="3180" spans="6:6" x14ac:dyDescent="0.2">
      <c r="F3180"/>
    </row>
    <row r="3181" spans="6:6" x14ac:dyDescent="0.2">
      <c r="F3181"/>
    </row>
    <row r="3182" spans="6:6" x14ac:dyDescent="0.2">
      <c r="F3182"/>
    </row>
    <row r="3183" spans="6:6" x14ac:dyDescent="0.2">
      <c r="F3183"/>
    </row>
    <row r="3184" spans="6:6" x14ac:dyDescent="0.2">
      <c r="F3184"/>
    </row>
    <row r="3185" spans="6:6" x14ac:dyDescent="0.2">
      <c r="F3185"/>
    </row>
    <row r="3186" spans="6:6" x14ac:dyDescent="0.2">
      <c r="F3186"/>
    </row>
    <row r="3187" spans="6:6" x14ac:dyDescent="0.2">
      <c r="F3187"/>
    </row>
    <row r="3188" spans="6:6" x14ac:dyDescent="0.2">
      <c r="F3188"/>
    </row>
    <row r="3189" spans="6:6" x14ac:dyDescent="0.2">
      <c r="F3189"/>
    </row>
    <row r="3190" spans="6:6" x14ac:dyDescent="0.2">
      <c r="F3190"/>
    </row>
    <row r="3191" spans="6:6" x14ac:dyDescent="0.2">
      <c r="F3191"/>
    </row>
    <row r="3192" spans="6:6" x14ac:dyDescent="0.2">
      <c r="F3192"/>
    </row>
    <row r="3193" spans="6:6" x14ac:dyDescent="0.2">
      <c r="F3193"/>
    </row>
    <row r="3194" spans="6:6" x14ac:dyDescent="0.2">
      <c r="F3194"/>
    </row>
    <row r="3195" spans="6:6" x14ac:dyDescent="0.2">
      <c r="F3195"/>
    </row>
    <row r="3196" spans="6:6" x14ac:dyDescent="0.2">
      <c r="F3196"/>
    </row>
    <row r="3197" spans="6:6" x14ac:dyDescent="0.2">
      <c r="F3197"/>
    </row>
    <row r="3198" spans="6:6" x14ac:dyDescent="0.2">
      <c r="F3198"/>
    </row>
    <row r="3199" spans="6:6" x14ac:dyDescent="0.2">
      <c r="F3199"/>
    </row>
    <row r="3200" spans="6:6" x14ac:dyDescent="0.2">
      <c r="F3200"/>
    </row>
    <row r="3201" spans="6:6" x14ac:dyDescent="0.2">
      <c r="F3201"/>
    </row>
    <row r="3202" spans="6:6" x14ac:dyDescent="0.2">
      <c r="F3202"/>
    </row>
    <row r="3203" spans="6:6" x14ac:dyDescent="0.2">
      <c r="F3203"/>
    </row>
    <row r="3204" spans="6:6" x14ac:dyDescent="0.2">
      <c r="F3204"/>
    </row>
    <row r="3205" spans="6:6" x14ac:dyDescent="0.2">
      <c r="F3205"/>
    </row>
    <row r="3206" spans="6:6" x14ac:dyDescent="0.2">
      <c r="F3206"/>
    </row>
    <row r="3207" spans="6:6" x14ac:dyDescent="0.2">
      <c r="F3207"/>
    </row>
    <row r="3208" spans="6:6" x14ac:dyDescent="0.2">
      <c r="F3208"/>
    </row>
    <row r="3209" spans="6:6" x14ac:dyDescent="0.2">
      <c r="F3209"/>
    </row>
    <row r="3210" spans="6:6" x14ac:dyDescent="0.2">
      <c r="F3210"/>
    </row>
    <row r="3211" spans="6:6" x14ac:dyDescent="0.2">
      <c r="F3211"/>
    </row>
    <row r="3212" spans="6:6" x14ac:dyDescent="0.2">
      <c r="F3212"/>
    </row>
    <row r="3213" spans="6:6" x14ac:dyDescent="0.2">
      <c r="F3213"/>
    </row>
    <row r="3214" spans="6:6" x14ac:dyDescent="0.2">
      <c r="F3214"/>
    </row>
    <row r="3215" spans="6:6" x14ac:dyDescent="0.2">
      <c r="F3215"/>
    </row>
    <row r="3216" spans="6:6" x14ac:dyDescent="0.2">
      <c r="F3216"/>
    </row>
    <row r="3217" spans="6:6" x14ac:dyDescent="0.2">
      <c r="F3217"/>
    </row>
    <row r="3218" spans="6:6" x14ac:dyDescent="0.2">
      <c r="F3218"/>
    </row>
    <row r="3219" spans="6:6" x14ac:dyDescent="0.2">
      <c r="F3219"/>
    </row>
    <row r="3220" spans="6:6" x14ac:dyDescent="0.2">
      <c r="F3220"/>
    </row>
    <row r="3221" spans="6:6" x14ac:dyDescent="0.2">
      <c r="F3221"/>
    </row>
    <row r="3222" spans="6:6" x14ac:dyDescent="0.2">
      <c r="F3222"/>
    </row>
    <row r="3223" spans="6:6" x14ac:dyDescent="0.2">
      <c r="F3223"/>
    </row>
    <row r="3224" spans="6:6" x14ac:dyDescent="0.2">
      <c r="F3224"/>
    </row>
    <row r="3225" spans="6:6" x14ac:dyDescent="0.2">
      <c r="F3225"/>
    </row>
    <row r="3226" spans="6:6" x14ac:dyDescent="0.2">
      <c r="F3226"/>
    </row>
    <row r="3227" spans="6:6" x14ac:dyDescent="0.2">
      <c r="F3227"/>
    </row>
    <row r="3228" spans="6:6" x14ac:dyDescent="0.2">
      <c r="F3228"/>
    </row>
    <row r="3229" spans="6:6" x14ac:dyDescent="0.2">
      <c r="F3229"/>
    </row>
    <row r="3230" spans="6:6" x14ac:dyDescent="0.2">
      <c r="F3230"/>
    </row>
    <row r="3231" spans="6:6" x14ac:dyDescent="0.2">
      <c r="F3231"/>
    </row>
    <row r="3232" spans="6:6" x14ac:dyDescent="0.2">
      <c r="F3232"/>
    </row>
    <row r="3233" spans="6:6" x14ac:dyDescent="0.2">
      <c r="F3233"/>
    </row>
    <row r="3234" spans="6:6" x14ac:dyDescent="0.2">
      <c r="F3234"/>
    </row>
    <row r="3235" spans="6:6" x14ac:dyDescent="0.2">
      <c r="F3235"/>
    </row>
    <row r="3236" spans="6:6" x14ac:dyDescent="0.2">
      <c r="F3236"/>
    </row>
    <row r="3237" spans="6:6" x14ac:dyDescent="0.2">
      <c r="F3237"/>
    </row>
    <row r="3238" spans="6:6" x14ac:dyDescent="0.2">
      <c r="F3238"/>
    </row>
    <row r="3239" spans="6:6" x14ac:dyDescent="0.2">
      <c r="F3239"/>
    </row>
    <row r="3240" spans="6:6" x14ac:dyDescent="0.2">
      <c r="F3240"/>
    </row>
    <row r="3241" spans="6:6" x14ac:dyDescent="0.2">
      <c r="F3241"/>
    </row>
    <row r="3242" spans="6:6" x14ac:dyDescent="0.2">
      <c r="F3242"/>
    </row>
    <row r="3243" spans="6:6" x14ac:dyDescent="0.2">
      <c r="F3243"/>
    </row>
    <row r="3244" spans="6:6" x14ac:dyDescent="0.2">
      <c r="F3244"/>
    </row>
    <row r="3245" spans="6:6" x14ac:dyDescent="0.2">
      <c r="F3245"/>
    </row>
    <row r="3246" spans="6:6" x14ac:dyDescent="0.2">
      <c r="F3246"/>
    </row>
    <row r="3247" spans="6:6" x14ac:dyDescent="0.2">
      <c r="F3247"/>
    </row>
    <row r="3248" spans="6:6" x14ac:dyDescent="0.2">
      <c r="F3248"/>
    </row>
    <row r="3249" spans="6:6" x14ac:dyDescent="0.2">
      <c r="F3249"/>
    </row>
    <row r="3250" spans="6:6" x14ac:dyDescent="0.2">
      <c r="F3250"/>
    </row>
    <row r="3251" spans="6:6" x14ac:dyDescent="0.2">
      <c r="F3251"/>
    </row>
    <row r="3252" spans="6:6" x14ac:dyDescent="0.2">
      <c r="F3252"/>
    </row>
    <row r="3253" spans="6:6" x14ac:dyDescent="0.2">
      <c r="F3253"/>
    </row>
    <row r="3254" spans="6:6" x14ac:dyDescent="0.2">
      <c r="F3254"/>
    </row>
    <row r="3255" spans="6:6" x14ac:dyDescent="0.2">
      <c r="F3255"/>
    </row>
    <row r="3256" spans="6:6" x14ac:dyDescent="0.2">
      <c r="F3256"/>
    </row>
    <row r="3257" spans="6:6" x14ac:dyDescent="0.2">
      <c r="F3257"/>
    </row>
    <row r="3258" spans="6:6" x14ac:dyDescent="0.2">
      <c r="F3258"/>
    </row>
    <row r="3259" spans="6:6" x14ac:dyDescent="0.2">
      <c r="F3259"/>
    </row>
    <row r="3260" spans="6:6" x14ac:dyDescent="0.2">
      <c r="F3260"/>
    </row>
    <row r="3261" spans="6:6" x14ac:dyDescent="0.2">
      <c r="F3261"/>
    </row>
    <row r="3262" spans="6:6" x14ac:dyDescent="0.2">
      <c r="F3262"/>
    </row>
    <row r="3263" spans="6:6" x14ac:dyDescent="0.2">
      <c r="F3263"/>
    </row>
    <row r="3264" spans="6:6" x14ac:dyDescent="0.2">
      <c r="F3264"/>
    </row>
    <row r="3265" spans="6:6" x14ac:dyDescent="0.2">
      <c r="F3265"/>
    </row>
    <row r="3266" spans="6:6" x14ac:dyDescent="0.2">
      <c r="F3266"/>
    </row>
    <row r="3267" spans="6:6" x14ac:dyDescent="0.2">
      <c r="F3267"/>
    </row>
    <row r="3268" spans="6:6" x14ac:dyDescent="0.2">
      <c r="F3268"/>
    </row>
    <row r="3269" spans="6:6" x14ac:dyDescent="0.2">
      <c r="F3269"/>
    </row>
    <row r="3270" spans="6:6" x14ac:dyDescent="0.2">
      <c r="F3270"/>
    </row>
    <row r="3271" spans="6:6" x14ac:dyDescent="0.2">
      <c r="F3271"/>
    </row>
    <row r="3272" spans="6:6" x14ac:dyDescent="0.2">
      <c r="F3272"/>
    </row>
    <row r="3273" spans="6:6" x14ac:dyDescent="0.2">
      <c r="F3273"/>
    </row>
    <row r="3274" spans="6:6" x14ac:dyDescent="0.2">
      <c r="F3274"/>
    </row>
    <row r="3275" spans="6:6" x14ac:dyDescent="0.2">
      <c r="F3275"/>
    </row>
    <row r="3276" spans="6:6" x14ac:dyDescent="0.2">
      <c r="F3276"/>
    </row>
    <row r="3277" spans="6:6" x14ac:dyDescent="0.2">
      <c r="F3277"/>
    </row>
    <row r="3278" spans="6:6" x14ac:dyDescent="0.2">
      <c r="F3278"/>
    </row>
    <row r="3279" spans="6:6" x14ac:dyDescent="0.2">
      <c r="F3279"/>
    </row>
    <row r="3280" spans="6:6" x14ac:dyDescent="0.2">
      <c r="F3280"/>
    </row>
    <row r="3281" spans="6:6" x14ac:dyDescent="0.2">
      <c r="F3281"/>
    </row>
    <row r="3282" spans="6:6" x14ac:dyDescent="0.2">
      <c r="F3282"/>
    </row>
    <row r="3283" spans="6:6" x14ac:dyDescent="0.2">
      <c r="F3283"/>
    </row>
    <row r="3284" spans="6:6" x14ac:dyDescent="0.2">
      <c r="F3284"/>
    </row>
    <row r="3285" spans="6:6" x14ac:dyDescent="0.2">
      <c r="F3285"/>
    </row>
    <row r="3286" spans="6:6" x14ac:dyDescent="0.2">
      <c r="F3286"/>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6"/>
  <dimension ref="A1:G3707"/>
  <sheetViews>
    <sheetView workbookViewId="0">
      <pane ySplit="5" topLeftCell="A208" activePane="bottomLeft" state="frozen"/>
      <selection pane="bottomLeft" activeCell="E226" sqref="E226"/>
    </sheetView>
  </sheetViews>
  <sheetFormatPr baseColWidth="10" defaultColWidth="11.42578125" defaultRowHeight="12.75" x14ac:dyDescent="0.2"/>
  <cols>
    <col min="2" max="2" width="28.140625" bestFit="1" customWidth="1"/>
    <col min="3" max="3" width="15" bestFit="1" customWidth="1"/>
    <col min="4" max="4" width="40.5703125" style="927" customWidth="1"/>
    <col min="5" max="5" width="20" bestFit="1" customWidth="1"/>
    <col min="6" max="6" width="5" style="968" bestFit="1" customWidth="1"/>
  </cols>
  <sheetData>
    <row r="1" spans="1:6" x14ac:dyDescent="0.2">
      <c r="B1" s="921" t="s">
        <v>6164</v>
      </c>
      <c r="C1" t="s">
        <v>6406</v>
      </c>
    </row>
    <row r="2" spans="1:6" x14ac:dyDescent="0.2">
      <c r="B2" s="921" t="s">
        <v>4</v>
      </c>
      <c r="C2" t="s">
        <v>6406</v>
      </c>
    </row>
    <row r="4" spans="1:6" x14ac:dyDescent="0.2">
      <c r="A4" s="922"/>
      <c r="B4" s="923" t="s">
        <v>6421</v>
      </c>
      <c r="C4" s="922"/>
      <c r="D4" s="922"/>
      <c r="E4" s="922"/>
      <c r="F4" s="1103"/>
    </row>
    <row r="5" spans="1:6" x14ac:dyDescent="0.2">
      <c r="A5" s="922"/>
      <c r="B5" s="1542" t="s">
        <v>6422</v>
      </c>
      <c r="C5" s="1542" t="s">
        <v>6166</v>
      </c>
      <c r="D5" s="1542" t="s">
        <v>7</v>
      </c>
      <c r="E5" s="1542" t="s">
        <v>17</v>
      </c>
      <c r="F5" t="s">
        <v>6408</v>
      </c>
    </row>
    <row r="6" spans="1:6" x14ac:dyDescent="0.2">
      <c r="B6">
        <v>2007</v>
      </c>
      <c r="C6" t="s">
        <v>2968</v>
      </c>
      <c r="D6"/>
      <c r="F6" s="968">
        <v>11.5</v>
      </c>
    </row>
    <row r="7" spans="1:6" x14ac:dyDescent="0.2">
      <c r="C7" t="s">
        <v>2981</v>
      </c>
      <c r="D7"/>
      <c r="F7" s="968">
        <v>21.5</v>
      </c>
    </row>
    <row r="8" spans="1:6" x14ac:dyDescent="0.2">
      <c r="C8" t="s">
        <v>3846</v>
      </c>
      <c r="D8"/>
      <c r="F8" s="968">
        <v>10.199999999999999</v>
      </c>
    </row>
    <row r="9" spans="1:6" x14ac:dyDescent="0.2">
      <c r="C9" t="s">
        <v>2929</v>
      </c>
      <c r="D9"/>
      <c r="F9" s="968">
        <v>2.5</v>
      </c>
    </row>
    <row r="10" spans="1:6" x14ac:dyDescent="0.2">
      <c r="C10" t="s">
        <v>2937</v>
      </c>
      <c r="D10"/>
      <c r="F10" s="968">
        <v>10.857142857142858</v>
      </c>
    </row>
    <row r="11" spans="1:6" x14ac:dyDescent="0.2">
      <c r="C11" t="s">
        <v>2943</v>
      </c>
      <c r="D11"/>
      <c r="F11" s="968">
        <v>4.1111111111111107</v>
      </c>
    </row>
    <row r="12" spans="1:6" x14ac:dyDescent="0.2">
      <c r="C12" t="s">
        <v>2949</v>
      </c>
      <c r="D12"/>
      <c r="F12" s="968">
        <v>2.2857142857142856</v>
      </c>
    </row>
    <row r="13" spans="1:6" x14ac:dyDescent="0.2">
      <c r="C13" t="s">
        <v>2957</v>
      </c>
      <c r="D13"/>
      <c r="F13" s="968">
        <v>-4.166666666666667</v>
      </c>
    </row>
    <row r="14" spans="1:6" x14ac:dyDescent="0.2">
      <c r="C14" t="s">
        <v>3056</v>
      </c>
      <c r="D14"/>
      <c r="F14" s="968">
        <v>11.583333333333334</v>
      </c>
    </row>
    <row r="15" spans="1:6" x14ac:dyDescent="0.2">
      <c r="C15" t="s">
        <v>3067</v>
      </c>
      <c r="D15"/>
      <c r="F15" s="968">
        <v>-0.625</v>
      </c>
    </row>
    <row r="16" spans="1:6" x14ac:dyDescent="0.2">
      <c r="C16" t="s">
        <v>3074</v>
      </c>
      <c r="D16"/>
      <c r="F16" s="968">
        <v>-9</v>
      </c>
    </row>
    <row r="17" spans="2:6" x14ac:dyDescent="0.2">
      <c r="C17" t="s">
        <v>3082</v>
      </c>
      <c r="D17"/>
      <c r="F17" s="968">
        <v>-3.6666666666666665</v>
      </c>
    </row>
    <row r="18" spans="2:6" x14ac:dyDescent="0.2">
      <c r="B18" t="s">
        <v>6409</v>
      </c>
      <c r="D18"/>
      <c r="F18" s="968">
        <v>4.0120481927710845</v>
      </c>
    </row>
    <row r="19" spans="2:6" x14ac:dyDescent="0.2">
      <c r="B19">
        <v>2008</v>
      </c>
      <c r="C19" t="s">
        <v>2968</v>
      </c>
      <c r="D19"/>
      <c r="F19" s="968">
        <v>40.4375</v>
      </c>
    </row>
    <row r="20" spans="2:6" x14ac:dyDescent="0.2">
      <c r="C20" t="s">
        <v>2981</v>
      </c>
      <c r="D20"/>
      <c r="F20" s="968">
        <v>-2.2000000000000002</v>
      </c>
    </row>
    <row r="21" spans="2:6" x14ac:dyDescent="0.2">
      <c r="C21" t="s">
        <v>3846</v>
      </c>
      <c r="D21"/>
      <c r="F21" s="968">
        <v>3.5</v>
      </c>
    </row>
    <row r="22" spans="2:6" x14ac:dyDescent="0.2">
      <c r="C22" t="s">
        <v>2929</v>
      </c>
      <c r="D22"/>
      <c r="F22" s="968">
        <v>29.888888888888889</v>
      </c>
    </row>
    <row r="23" spans="2:6" x14ac:dyDescent="0.2">
      <c r="C23" t="s">
        <v>2937</v>
      </c>
      <c r="D23"/>
      <c r="F23" s="968">
        <v>-0.42857142857142855</v>
      </c>
    </row>
    <row r="24" spans="2:6" x14ac:dyDescent="0.2">
      <c r="C24" t="s">
        <v>2943</v>
      </c>
      <c r="D24"/>
      <c r="F24" s="968">
        <v>19.9375</v>
      </c>
    </row>
    <row r="25" spans="2:6" x14ac:dyDescent="0.2">
      <c r="C25" t="s">
        <v>2949</v>
      </c>
      <c r="D25"/>
      <c r="F25" s="968">
        <v>-1.75</v>
      </c>
    </row>
    <row r="26" spans="2:6" x14ac:dyDescent="0.2">
      <c r="C26" t="s">
        <v>2957</v>
      </c>
      <c r="D26"/>
      <c r="F26" s="968">
        <v>-11.75</v>
      </c>
    </row>
    <row r="27" spans="2:6" x14ac:dyDescent="0.2">
      <c r="C27" t="s">
        <v>3056</v>
      </c>
      <c r="D27"/>
      <c r="F27" s="968">
        <v>16.166666666666668</v>
      </c>
    </row>
    <row r="28" spans="2:6" x14ac:dyDescent="0.2">
      <c r="C28" t="s">
        <v>3067</v>
      </c>
      <c r="D28"/>
      <c r="F28" s="968">
        <v>-2.4285714285714284</v>
      </c>
    </row>
    <row r="29" spans="2:6" x14ac:dyDescent="0.2">
      <c r="C29" t="s">
        <v>3074</v>
      </c>
      <c r="D29"/>
      <c r="F29" s="968">
        <v>-2</v>
      </c>
    </row>
    <row r="30" spans="2:6" x14ac:dyDescent="0.2">
      <c r="C30" t="s">
        <v>3082</v>
      </c>
      <c r="D30"/>
      <c r="F30" s="968">
        <v>-9.5</v>
      </c>
    </row>
    <row r="31" spans="2:6" x14ac:dyDescent="0.2">
      <c r="B31" t="s">
        <v>6410</v>
      </c>
      <c r="D31"/>
      <c r="F31" s="968">
        <v>13.322916666666666</v>
      </c>
    </row>
    <row r="32" spans="2:6" x14ac:dyDescent="0.2">
      <c r="B32">
        <v>2009</v>
      </c>
      <c r="C32" t="s">
        <v>2968</v>
      </c>
      <c r="D32"/>
      <c r="F32" s="968">
        <v>-12.875</v>
      </c>
    </row>
    <row r="33" spans="2:6" x14ac:dyDescent="0.2">
      <c r="C33" t="s">
        <v>2981</v>
      </c>
      <c r="D33"/>
      <c r="F33" s="968">
        <v>0</v>
      </c>
    </row>
    <row r="34" spans="2:6" x14ac:dyDescent="0.2">
      <c r="C34" t="s">
        <v>3846</v>
      </c>
      <c r="D34"/>
      <c r="F34" s="968">
        <v>-11.888888888888889</v>
      </c>
    </row>
    <row r="35" spans="2:6" x14ac:dyDescent="0.2">
      <c r="C35" t="s">
        <v>2929</v>
      </c>
      <c r="D35"/>
      <c r="F35" s="968">
        <v>-7.2857142857142856</v>
      </c>
    </row>
    <row r="36" spans="2:6" x14ac:dyDescent="0.2">
      <c r="C36" t="s">
        <v>2937</v>
      </c>
      <c r="D36"/>
      <c r="F36" s="968">
        <v>-21.166666666666668</v>
      </c>
    </row>
    <row r="37" spans="2:6" x14ac:dyDescent="0.2">
      <c r="C37" t="s">
        <v>2949</v>
      </c>
      <c r="D37"/>
      <c r="F37" s="968">
        <v>-9.1999999999999993</v>
      </c>
    </row>
    <row r="38" spans="2:6" x14ac:dyDescent="0.2">
      <c r="C38" t="s">
        <v>2957</v>
      </c>
      <c r="D38"/>
      <c r="F38" s="968">
        <v>-4.0999999999999996</v>
      </c>
    </row>
    <row r="39" spans="2:6" x14ac:dyDescent="0.2">
      <c r="C39" t="s">
        <v>3056</v>
      </c>
      <c r="D39"/>
      <c r="F39" s="968">
        <v>-15.1</v>
      </c>
    </row>
    <row r="40" spans="2:6" x14ac:dyDescent="0.2">
      <c r="C40" t="s">
        <v>3067</v>
      </c>
      <c r="D40"/>
      <c r="F40" s="968">
        <v>-8.6666666666666661</v>
      </c>
    </row>
    <row r="41" spans="2:6" x14ac:dyDescent="0.2">
      <c r="C41" t="s">
        <v>3074</v>
      </c>
      <c r="D41"/>
      <c r="F41" s="968">
        <v>-8.8333333333333339</v>
      </c>
    </row>
    <row r="42" spans="2:6" x14ac:dyDescent="0.2">
      <c r="C42" t="s">
        <v>3082</v>
      </c>
      <c r="D42"/>
      <c r="F42" s="968">
        <v>-18.333333333333332</v>
      </c>
    </row>
    <row r="43" spans="2:6" x14ac:dyDescent="0.2">
      <c r="B43" t="s">
        <v>6411</v>
      </c>
      <c r="D43"/>
      <c r="F43" s="968">
        <v>-10.701149425287356</v>
      </c>
    </row>
    <row r="44" spans="2:6" x14ac:dyDescent="0.2">
      <c r="B44">
        <v>2010</v>
      </c>
      <c r="C44" t="s">
        <v>2968</v>
      </c>
      <c r="D44"/>
      <c r="F44" s="968">
        <v>-9.6666666666666661</v>
      </c>
    </row>
    <row r="45" spans="2:6" x14ac:dyDescent="0.2">
      <c r="C45" t="s">
        <v>2981</v>
      </c>
      <c r="D45"/>
      <c r="F45" s="968">
        <v>-8.6666666666666661</v>
      </c>
    </row>
    <row r="46" spans="2:6" x14ac:dyDescent="0.2">
      <c r="C46" t="s">
        <v>3846</v>
      </c>
      <c r="D46"/>
      <c r="F46" s="968">
        <v>-12</v>
      </c>
    </row>
    <row r="47" spans="2:6" x14ac:dyDescent="0.2">
      <c r="C47" t="s">
        <v>2929</v>
      </c>
      <c r="D47"/>
      <c r="F47" s="968">
        <v>-6.25E-2</v>
      </c>
    </row>
    <row r="48" spans="2:6" x14ac:dyDescent="0.2">
      <c r="C48" t="s">
        <v>2937</v>
      </c>
      <c r="D48"/>
      <c r="F48" s="968">
        <v>2.4444444444444446</v>
      </c>
    </row>
    <row r="49" spans="2:6" x14ac:dyDescent="0.2">
      <c r="C49" t="s">
        <v>2943</v>
      </c>
      <c r="D49"/>
      <c r="F49" s="968">
        <v>-4.5</v>
      </c>
    </row>
    <row r="50" spans="2:6" x14ac:dyDescent="0.2">
      <c r="C50" t="s">
        <v>2949</v>
      </c>
      <c r="D50"/>
      <c r="F50" s="968">
        <v>11</v>
      </c>
    </row>
    <row r="51" spans="2:6" x14ac:dyDescent="0.2">
      <c r="C51" t="s">
        <v>2957</v>
      </c>
      <c r="D51"/>
      <c r="F51" s="968">
        <v>2.9166666666666665</v>
      </c>
    </row>
    <row r="52" spans="2:6" x14ac:dyDescent="0.2">
      <c r="C52" t="s">
        <v>3056</v>
      </c>
      <c r="D52"/>
      <c r="F52" s="968">
        <v>-2.7</v>
      </c>
    </row>
    <row r="53" spans="2:6" x14ac:dyDescent="0.2">
      <c r="C53" t="s">
        <v>3067</v>
      </c>
      <c r="D53"/>
      <c r="F53" s="968">
        <v>-3.2352941176470589</v>
      </c>
    </row>
    <row r="54" spans="2:6" x14ac:dyDescent="0.2">
      <c r="C54" t="s">
        <v>3074</v>
      </c>
      <c r="D54"/>
      <c r="F54" s="968">
        <v>5.6470588235294121</v>
      </c>
    </row>
    <row r="55" spans="2:6" x14ac:dyDescent="0.2">
      <c r="C55" t="s">
        <v>3082</v>
      </c>
      <c r="D55"/>
      <c r="F55" s="968">
        <v>9</v>
      </c>
    </row>
    <row r="56" spans="2:6" x14ac:dyDescent="0.2">
      <c r="B56" t="s">
        <v>6412</v>
      </c>
      <c r="D56"/>
      <c r="F56" s="968">
        <v>0.59375</v>
      </c>
    </row>
    <row r="57" spans="2:6" x14ac:dyDescent="0.2">
      <c r="B57">
        <v>2011</v>
      </c>
      <c r="C57" t="s">
        <v>2968</v>
      </c>
      <c r="D57"/>
      <c r="F57" s="968">
        <v>-7.384615384615385</v>
      </c>
    </row>
    <row r="58" spans="2:6" x14ac:dyDescent="0.2">
      <c r="C58" t="s">
        <v>2981</v>
      </c>
      <c r="D58"/>
      <c r="F58" s="968">
        <v>12.5</v>
      </c>
    </row>
    <row r="59" spans="2:6" x14ac:dyDescent="0.2">
      <c r="C59" t="s">
        <v>3846</v>
      </c>
      <c r="D59"/>
      <c r="F59" s="968">
        <v>7.5263157894736841</v>
      </c>
    </row>
    <row r="60" spans="2:6" x14ac:dyDescent="0.2">
      <c r="C60" t="s">
        <v>2929</v>
      </c>
      <c r="D60"/>
      <c r="F60" s="968">
        <v>5.3636363636363633</v>
      </c>
    </row>
    <row r="61" spans="2:6" x14ac:dyDescent="0.2">
      <c r="C61" t="s">
        <v>2937</v>
      </c>
      <c r="D61"/>
      <c r="F61" s="968">
        <v>-13.357142857142858</v>
      </c>
    </row>
    <row r="62" spans="2:6" x14ac:dyDescent="0.2">
      <c r="C62" t="s">
        <v>2943</v>
      </c>
      <c r="D62"/>
      <c r="F62" s="968">
        <v>-28.6</v>
      </c>
    </row>
    <row r="63" spans="2:6" x14ac:dyDescent="0.2">
      <c r="C63" t="s">
        <v>2949</v>
      </c>
      <c r="D63"/>
      <c r="F63" s="968">
        <v>-23.40909090909091</v>
      </c>
    </row>
    <row r="64" spans="2:6" x14ac:dyDescent="0.2">
      <c r="C64" t="s">
        <v>2957</v>
      </c>
      <c r="D64"/>
      <c r="F64" s="968">
        <v>6.25E-2</v>
      </c>
    </row>
    <row r="65" spans="2:6" x14ac:dyDescent="0.2">
      <c r="C65" t="s">
        <v>3056</v>
      </c>
      <c r="D65"/>
      <c r="F65" s="968">
        <v>-4.7142857142857144</v>
      </c>
    </row>
    <row r="66" spans="2:6" x14ac:dyDescent="0.2">
      <c r="C66" t="s">
        <v>3067</v>
      </c>
      <c r="D66"/>
      <c r="F66" s="968">
        <v>32.799999999999997</v>
      </c>
    </row>
    <row r="67" spans="2:6" x14ac:dyDescent="0.2">
      <c r="C67" t="s">
        <v>3074</v>
      </c>
      <c r="D67"/>
      <c r="F67" s="968">
        <v>28</v>
      </c>
    </row>
    <row r="68" spans="2:6" x14ac:dyDescent="0.2">
      <c r="C68" t="s">
        <v>3082</v>
      </c>
      <c r="D68"/>
      <c r="F68" s="968">
        <v>-1</v>
      </c>
    </row>
    <row r="69" spans="2:6" x14ac:dyDescent="0.2">
      <c r="B69" t="s">
        <v>6413</v>
      </c>
      <c r="D69"/>
      <c r="F69" s="968">
        <v>-5.2195121951219514</v>
      </c>
    </row>
    <row r="70" spans="2:6" x14ac:dyDescent="0.2">
      <c r="B70">
        <v>2012</v>
      </c>
      <c r="C70" t="s">
        <v>2968</v>
      </c>
      <c r="D70"/>
      <c r="F70" s="968">
        <v>-5.2</v>
      </c>
    </row>
    <row r="71" spans="2:6" x14ac:dyDescent="0.2">
      <c r="C71" t="s">
        <v>2981</v>
      </c>
      <c r="D71"/>
      <c r="F71" s="968">
        <v>0.25</v>
      </c>
    </row>
    <row r="72" spans="2:6" x14ac:dyDescent="0.2">
      <c r="C72" t="s">
        <v>3846</v>
      </c>
      <c r="D72"/>
      <c r="F72" s="968">
        <v>12.6875</v>
      </c>
    </row>
    <row r="73" spans="2:6" x14ac:dyDescent="0.2">
      <c r="C73" t="s">
        <v>2929</v>
      </c>
      <c r="D73"/>
      <c r="F73" s="968">
        <v>22.833333333333332</v>
      </c>
    </row>
    <row r="74" spans="2:6" x14ac:dyDescent="0.2">
      <c r="C74" t="s">
        <v>2937</v>
      </c>
      <c r="D74"/>
      <c r="F74" s="968">
        <v>24.384615384615383</v>
      </c>
    </row>
    <row r="75" spans="2:6" x14ac:dyDescent="0.2">
      <c r="C75" t="s">
        <v>2943</v>
      </c>
      <c r="D75"/>
      <c r="F75" s="968">
        <v>7.8</v>
      </c>
    </row>
    <row r="76" spans="2:6" x14ac:dyDescent="0.2">
      <c r="C76" t="s">
        <v>2949</v>
      </c>
      <c r="D76"/>
      <c r="F76" s="968">
        <v>-3.625</v>
      </c>
    </row>
    <row r="77" spans="2:6" x14ac:dyDescent="0.2">
      <c r="C77" t="s">
        <v>2957</v>
      </c>
      <c r="D77"/>
      <c r="F77" s="968">
        <v>5.125</v>
      </c>
    </row>
    <row r="78" spans="2:6" x14ac:dyDescent="0.2">
      <c r="C78" t="s">
        <v>3056</v>
      </c>
      <c r="D78"/>
      <c r="F78" s="968">
        <v>-1.8461538461538463</v>
      </c>
    </row>
    <row r="79" spans="2:6" x14ac:dyDescent="0.2">
      <c r="C79" t="s">
        <v>3067</v>
      </c>
      <c r="D79"/>
      <c r="F79" s="968">
        <v>-4.75</v>
      </c>
    </row>
    <row r="80" spans="2:6" x14ac:dyDescent="0.2">
      <c r="C80" t="s">
        <v>3074</v>
      </c>
      <c r="D80"/>
      <c r="F80" s="968">
        <v>-7</v>
      </c>
    </row>
    <row r="81" spans="2:6" x14ac:dyDescent="0.2">
      <c r="C81" t="s">
        <v>3082</v>
      </c>
      <c r="D81"/>
      <c r="F81" s="968">
        <v>-0.5714285714285714</v>
      </c>
    </row>
    <row r="82" spans="2:6" x14ac:dyDescent="0.2">
      <c r="B82" t="s">
        <v>6414</v>
      </c>
      <c r="D82"/>
      <c r="F82" s="968">
        <v>5.3664122137404577</v>
      </c>
    </row>
    <row r="83" spans="2:6" x14ac:dyDescent="0.2">
      <c r="B83">
        <v>2013</v>
      </c>
      <c r="C83" t="s">
        <v>2968</v>
      </c>
      <c r="D83"/>
      <c r="F83" s="968">
        <v>-10.5</v>
      </c>
    </row>
    <row r="84" spans="2:6" x14ac:dyDescent="0.2">
      <c r="C84" t="s">
        <v>2981</v>
      </c>
      <c r="D84"/>
      <c r="F84" s="968">
        <v>-10</v>
      </c>
    </row>
    <row r="85" spans="2:6" x14ac:dyDescent="0.2">
      <c r="C85" t="s">
        <v>3846</v>
      </c>
      <c r="D85"/>
      <c r="F85" s="968">
        <v>-4.0769230769230766</v>
      </c>
    </row>
    <row r="86" spans="2:6" x14ac:dyDescent="0.2">
      <c r="C86" t="s">
        <v>2929</v>
      </c>
      <c r="D86"/>
      <c r="F86" s="968">
        <v>8.4166666666666661</v>
      </c>
    </row>
    <row r="87" spans="2:6" x14ac:dyDescent="0.2">
      <c r="C87" t="s">
        <v>2937</v>
      </c>
      <c r="D87"/>
      <c r="F87" s="968">
        <v>-0.84615384615384615</v>
      </c>
    </row>
    <row r="88" spans="2:6" x14ac:dyDescent="0.2">
      <c r="C88" t="s">
        <v>2943</v>
      </c>
      <c r="D88"/>
      <c r="F88" s="968">
        <v>3.5384615384615383</v>
      </c>
    </row>
    <row r="89" spans="2:6" x14ac:dyDescent="0.2">
      <c r="C89" t="s">
        <v>2949</v>
      </c>
      <c r="D89"/>
      <c r="F89" s="968">
        <v>-3.6</v>
      </c>
    </row>
    <row r="90" spans="2:6" x14ac:dyDescent="0.2">
      <c r="C90" t="s">
        <v>2957</v>
      </c>
      <c r="D90"/>
      <c r="F90" s="968">
        <v>6</v>
      </c>
    </row>
    <row r="91" spans="2:6" x14ac:dyDescent="0.2">
      <c r="C91" t="s">
        <v>3056</v>
      </c>
      <c r="D91"/>
      <c r="F91" s="968">
        <v>24.636363636363637</v>
      </c>
    </row>
    <row r="92" spans="2:6" x14ac:dyDescent="0.2">
      <c r="C92" t="s">
        <v>3067</v>
      </c>
      <c r="D92"/>
      <c r="F92" s="968">
        <v>-8.9230769230769234</v>
      </c>
    </row>
    <row r="93" spans="2:6" x14ac:dyDescent="0.2">
      <c r="C93" t="s">
        <v>3074</v>
      </c>
      <c r="D93"/>
      <c r="F93" s="968">
        <v>19.666666666666668</v>
      </c>
    </row>
    <row r="94" spans="2:6" x14ac:dyDescent="0.2">
      <c r="C94" t="s">
        <v>3082</v>
      </c>
      <c r="D94"/>
      <c r="F94" s="968">
        <v>-4.7272727272727275</v>
      </c>
    </row>
    <row r="95" spans="2:6" x14ac:dyDescent="0.2">
      <c r="B95" t="s">
        <v>6415</v>
      </c>
      <c r="D95"/>
      <c r="F95" s="968">
        <v>0.80869565217391304</v>
      </c>
    </row>
    <row r="96" spans="2:6" x14ac:dyDescent="0.2">
      <c r="B96">
        <v>2014</v>
      </c>
      <c r="C96" t="s">
        <v>2968</v>
      </c>
      <c r="D96"/>
      <c r="F96" s="968">
        <v>-4.8</v>
      </c>
    </row>
    <row r="97" spans="2:6" x14ac:dyDescent="0.2">
      <c r="C97" t="s">
        <v>2981</v>
      </c>
      <c r="D97"/>
      <c r="F97" s="968">
        <v>-1.5</v>
      </c>
    </row>
    <row r="98" spans="2:6" x14ac:dyDescent="0.2">
      <c r="C98" t="s">
        <v>3846</v>
      </c>
      <c r="D98"/>
      <c r="F98" s="968">
        <v>-6.3636363636363633</v>
      </c>
    </row>
    <row r="99" spans="2:6" x14ac:dyDescent="0.2">
      <c r="C99" t="s">
        <v>2929</v>
      </c>
      <c r="D99"/>
      <c r="F99" s="968">
        <v>-6.8</v>
      </c>
    </row>
    <row r="100" spans="2:6" x14ac:dyDescent="0.2">
      <c r="C100" t="s">
        <v>2937</v>
      </c>
      <c r="D100"/>
      <c r="F100" s="968">
        <v>11.428571428571429</v>
      </c>
    </row>
    <row r="101" spans="2:6" x14ac:dyDescent="0.2">
      <c r="C101" t="s">
        <v>2943</v>
      </c>
      <c r="D101"/>
      <c r="F101" s="968">
        <v>25.6</v>
      </c>
    </row>
    <row r="102" spans="2:6" x14ac:dyDescent="0.2">
      <c r="C102" t="s">
        <v>2949</v>
      </c>
      <c r="D102"/>
      <c r="F102" s="968">
        <v>8.5</v>
      </c>
    </row>
    <row r="103" spans="2:6" x14ac:dyDescent="0.2">
      <c r="C103" t="s">
        <v>2957</v>
      </c>
      <c r="D103"/>
      <c r="F103" s="968">
        <v>6</v>
      </c>
    </row>
    <row r="104" spans="2:6" x14ac:dyDescent="0.2">
      <c r="C104" t="s">
        <v>3056</v>
      </c>
      <c r="D104"/>
      <c r="F104" s="968">
        <v>-0.25</v>
      </c>
    </row>
    <row r="105" spans="2:6" x14ac:dyDescent="0.2">
      <c r="C105" t="s">
        <v>3074</v>
      </c>
      <c r="D105"/>
      <c r="F105" s="968">
        <v>33</v>
      </c>
    </row>
    <row r="106" spans="2:6" x14ac:dyDescent="0.2">
      <c r="C106" t="s">
        <v>3082</v>
      </c>
      <c r="D106"/>
      <c r="F106" s="968">
        <v>-7.25</v>
      </c>
    </row>
    <row r="107" spans="2:6" x14ac:dyDescent="0.2">
      <c r="B107" t="s">
        <v>6416</v>
      </c>
      <c r="D107"/>
      <c r="F107" s="968">
        <v>2.657142857142857</v>
      </c>
    </row>
    <row r="108" spans="2:6" x14ac:dyDescent="0.2">
      <c r="B108">
        <v>2015</v>
      </c>
      <c r="C108" t="s">
        <v>2968</v>
      </c>
      <c r="D108"/>
      <c r="F108" s="968">
        <v>50</v>
      </c>
    </row>
    <row r="109" spans="2:6" x14ac:dyDescent="0.2">
      <c r="C109" t="s">
        <v>2981</v>
      </c>
      <c r="D109"/>
      <c r="F109" s="968">
        <v>-6</v>
      </c>
    </row>
    <row r="110" spans="2:6" x14ac:dyDescent="0.2">
      <c r="C110" t="s">
        <v>3846</v>
      </c>
      <c r="D110"/>
      <c r="F110" s="968">
        <v>3</v>
      </c>
    </row>
    <row r="111" spans="2:6" x14ac:dyDescent="0.2">
      <c r="C111" t="s">
        <v>2929</v>
      </c>
      <c r="D111"/>
      <c r="F111" s="968">
        <v>19.399999999999999</v>
      </c>
    </row>
    <row r="112" spans="2:6" x14ac:dyDescent="0.2">
      <c r="C112" t="s">
        <v>2937</v>
      </c>
      <c r="D112"/>
      <c r="F112" s="968">
        <v>14.142857142857142</v>
      </c>
    </row>
    <row r="113" spans="2:6" x14ac:dyDescent="0.2">
      <c r="C113" t="s">
        <v>2943</v>
      </c>
      <c r="D113"/>
      <c r="F113" s="968">
        <v>3.6666666666666665</v>
      </c>
    </row>
    <row r="114" spans="2:6" x14ac:dyDescent="0.2">
      <c r="C114" t="s">
        <v>2949</v>
      </c>
      <c r="D114"/>
      <c r="F114" s="968">
        <v>-9.5714285714285712</v>
      </c>
    </row>
    <row r="115" spans="2:6" x14ac:dyDescent="0.2">
      <c r="C115" t="s">
        <v>2957</v>
      </c>
      <c r="D115"/>
      <c r="F115" s="968">
        <v>1</v>
      </c>
    </row>
    <row r="116" spans="2:6" x14ac:dyDescent="0.2">
      <c r="C116" t="s">
        <v>3056</v>
      </c>
      <c r="D116"/>
      <c r="F116" s="968">
        <v>-10.5</v>
      </c>
    </row>
    <row r="117" spans="2:6" x14ac:dyDescent="0.2">
      <c r="C117" t="s">
        <v>3067</v>
      </c>
      <c r="D117"/>
      <c r="F117" s="968">
        <v>-20</v>
      </c>
    </row>
    <row r="118" spans="2:6" x14ac:dyDescent="0.2">
      <c r="C118" t="s">
        <v>3074</v>
      </c>
      <c r="D118"/>
      <c r="F118" s="968">
        <v>-18.142857142857142</v>
      </c>
    </row>
    <row r="119" spans="2:6" x14ac:dyDescent="0.2">
      <c r="C119" t="s">
        <v>3082</v>
      </c>
      <c r="D119"/>
      <c r="F119" s="968">
        <v>-23</v>
      </c>
    </row>
    <row r="120" spans="2:6" x14ac:dyDescent="0.2">
      <c r="B120" t="s">
        <v>6417</v>
      </c>
      <c r="D120"/>
      <c r="F120" s="968">
        <v>-0.77358490566037741</v>
      </c>
    </row>
    <row r="121" spans="2:6" x14ac:dyDescent="0.2">
      <c r="B121">
        <v>2016</v>
      </c>
      <c r="C121" t="s">
        <v>2968</v>
      </c>
      <c r="D121"/>
      <c r="F121" s="968">
        <v>17</v>
      </c>
    </row>
    <row r="122" spans="2:6" x14ac:dyDescent="0.2">
      <c r="C122" t="s">
        <v>2981</v>
      </c>
      <c r="D122"/>
      <c r="F122" s="968">
        <v>3.3333333333333335</v>
      </c>
    </row>
    <row r="123" spans="2:6" x14ac:dyDescent="0.2">
      <c r="C123" t="s">
        <v>3846</v>
      </c>
      <c r="D123"/>
      <c r="F123" s="968">
        <v>4</v>
      </c>
    </row>
    <row r="124" spans="2:6" x14ac:dyDescent="0.2">
      <c r="C124" t="s">
        <v>2937</v>
      </c>
      <c r="D124"/>
      <c r="F124" s="968">
        <v>-11.727272727272727</v>
      </c>
    </row>
    <row r="125" spans="2:6" x14ac:dyDescent="0.2">
      <c r="C125" t="s">
        <v>2943</v>
      </c>
      <c r="D125"/>
      <c r="F125" s="968">
        <v>15</v>
      </c>
    </row>
    <row r="126" spans="2:6" x14ac:dyDescent="0.2">
      <c r="C126" t="s">
        <v>2949</v>
      </c>
      <c r="D126"/>
      <c r="F126" s="968">
        <v>-19</v>
      </c>
    </row>
    <row r="127" spans="2:6" x14ac:dyDescent="0.2">
      <c r="C127" t="s">
        <v>2957</v>
      </c>
      <c r="D127"/>
      <c r="F127" s="968">
        <v>4.75</v>
      </c>
    </row>
    <row r="128" spans="2:6" x14ac:dyDescent="0.2">
      <c r="C128" t="s">
        <v>3056</v>
      </c>
      <c r="D128"/>
      <c r="F128" s="968">
        <v>-6</v>
      </c>
    </row>
    <row r="129" spans="2:6" x14ac:dyDescent="0.2">
      <c r="C129" t="s">
        <v>3067</v>
      </c>
      <c r="D129"/>
      <c r="F129" s="968">
        <v>3.75</v>
      </c>
    </row>
    <row r="130" spans="2:6" x14ac:dyDescent="0.2">
      <c r="C130" t="s">
        <v>3074</v>
      </c>
      <c r="D130"/>
      <c r="F130" s="968">
        <v>-2.5</v>
      </c>
    </row>
    <row r="131" spans="2:6" x14ac:dyDescent="0.2">
      <c r="C131" t="s">
        <v>3082</v>
      </c>
      <c r="D131"/>
      <c r="F131" s="968">
        <v>21</v>
      </c>
    </row>
    <row r="132" spans="2:6" x14ac:dyDescent="0.2">
      <c r="B132" t="s">
        <v>6418</v>
      </c>
      <c r="D132"/>
      <c r="F132" s="968">
        <v>-1.7419354838709677</v>
      </c>
    </row>
    <row r="133" spans="2:6" x14ac:dyDescent="0.2">
      <c r="B133">
        <v>2017</v>
      </c>
      <c r="C133" t="s">
        <v>2968</v>
      </c>
      <c r="D133"/>
      <c r="F133" s="968">
        <v>31.5</v>
      </c>
    </row>
    <row r="134" spans="2:6" x14ac:dyDescent="0.2">
      <c r="C134" t="s">
        <v>3846</v>
      </c>
      <c r="D134"/>
      <c r="F134" s="968">
        <v>12</v>
      </c>
    </row>
    <row r="135" spans="2:6" x14ac:dyDescent="0.2">
      <c r="C135" t="s">
        <v>2929</v>
      </c>
      <c r="D135"/>
      <c r="F135" s="968">
        <v>13.625</v>
      </c>
    </row>
    <row r="136" spans="2:6" x14ac:dyDescent="0.2">
      <c r="C136" t="s">
        <v>2937</v>
      </c>
      <c r="D136"/>
      <c r="F136" s="968">
        <v>58.333333333333336</v>
      </c>
    </row>
    <row r="137" spans="2:6" x14ac:dyDescent="0.2">
      <c r="C137" t="s">
        <v>2943</v>
      </c>
      <c r="D137"/>
      <c r="F137" s="968">
        <v>14.75</v>
      </c>
    </row>
    <row r="138" spans="2:6" x14ac:dyDescent="0.2">
      <c r="C138" t="s">
        <v>3056</v>
      </c>
      <c r="D138"/>
      <c r="F138" s="968">
        <v>6.25</v>
      </c>
    </row>
    <row r="139" spans="2:6" x14ac:dyDescent="0.2">
      <c r="C139" t="s">
        <v>3067</v>
      </c>
      <c r="D139"/>
      <c r="F139" s="968">
        <v>-12.166666666666666</v>
      </c>
    </row>
    <row r="140" spans="2:6" x14ac:dyDescent="0.2">
      <c r="C140" t="s">
        <v>3074</v>
      </c>
      <c r="D140"/>
      <c r="F140" s="968">
        <v>-4.833333333333333</v>
      </c>
    </row>
    <row r="141" spans="2:6" x14ac:dyDescent="0.2">
      <c r="C141" t="s">
        <v>3082</v>
      </c>
      <c r="D141"/>
      <c r="F141" s="968">
        <v>-15.5</v>
      </c>
    </row>
    <row r="142" spans="2:6" x14ac:dyDescent="0.2">
      <c r="B142" t="s">
        <v>6419</v>
      </c>
      <c r="D142"/>
      <c r="F142" s="968">
        <v>12.425000000000001</v>
      </c>
    </row>
    <row r="143" spans="2:6" x14ac:dyDescent="0.2">
      <c r="B143">
        <v>2018</v>
      </c>
      <c r="C143" t="s">
        <v>2968</v>
      </c>
      <c r="D143"/>
      <c r="F143" s="968">
        <v>-6</v>
      </c>
    </row>
    <row r="144" spans="2:6" x14ac:dyDescent="0.2">
      <c r="C144" t="s">
        <v>2981</v>
      </c>
      <c r="D144"/>
      <c r="F144" s="968">
        <v>7</v>
      </c>
    </row>
    <row r="145" spans="2:6" x14ac:dyDescent="0.2">
      <c r="C145" t="s">
        <v>3846</v>
      </c>
      <c r="D145"/>
      <c r="F145" s="968">
        <v>-0.8</v>
      </c>
    </row>
    <row r="146" spans="2:6" x14ac:dyDescent="0.2">
      <c r="C146" t="s">
        <v>2929</v>
      </c>
      <c r="D146"/>
      <c r="F146" s="968">
        <v>11.833333333333334</v>
      </c>
    </row>
    <row r="147" spans="2:6" x14ac:dyDescent="0.2">
      <c r="C147" t="s">
        <v>2937</v>
      </c>
      <c r="D147"/>
      <c r="F147" s="968">
        <v>-5.4</v>
      </c>
    </row>
    <row r="148" spans="2:6" x14ac:dyDescent="0.2">
      <c r="C148" t="s">
        <v>2943</v>
      </c>
      <c r="D148"/>
      <c r="F148" s="968">
        <v>-65.5</v>
      </c>
    </row>
    <row r="149" spans="2:6" x14ac:dyDescent="0.2">
      <c r="C149" t="s">
        <v>2949</v>
      </c>
      <c r="D149"/>
      <c r="F149" s="968">
        <v>-3.1666666666666665</v>
      </c>
    </row>
    <row r="150" spans="2:6" x14ac:dyDescent="0.2">
      <c r="C150" t="s">
        <v>2957</v>
      </c>
      <c r="D150"/>
      <c r="F150" s="968">
        <v>11.75</v>
      </c>
    </row>
    <row r="151" spans="2:6" x14ac:dyDescent="0.2">
      <c r="C151" t="s">
        <v>3056</v>
      </c>
      <c r="D151"/>
      <c r="F151" s="968">
        <v>11.5</v>
      </c>
    </row>
    <row r="152" spans="2:6" x14ac:dyDescent="0.2">
      <c r="C152" t="s">
        <v>3067</v>
      </c>
      <c r="D152"/>
      <c r="F152" s="968">
        <v>7</v>
      </c>
    </row>
    <row r="153" spans="2:6" x14ac:dyDescent="0.2">
      <c r="C153" t="s">
        <v>3074</v>
      </c>
      <c r="D153"/>
      <c r="F153" s="968">
        <v>3.1428571428571428</v>
      </c>
    </row>
    <row r="154" spans="2:6" x14ac:dyDescent="0.2">
      <c r="C154" t="s">
        <v>3082</v>
      </c>
      <c r="D154"/>
      <c r="F154" s="968">
        <v>-1.8</v>
      </c>
    </row>
    <row r="155" spans="2:6" x14ac:dyDescent="0.2">
      <c r="B155" t="s">
        <v>6552</v>
      </c>
      <c r="D155"/>
      <c r="F155" s="968">
        <v>0.828125</v>
      </c>
    </row>
    <row r="156" spans="2:6" x14ac:dyDescent="0.2">
      <c r="B156">
        <v>2019</v>
      </c>
      <c r="C156" t="s">
        <v>2968</v>
      </c>
      <c r="D156"/>
      <c r="F156" s="968">
        <v>-6.333333333333333</v>
      </c>
    </row>
    <row r="157" spans="2:6" x14ac:dyDescent="0.2">
      <c r="C157" t="s">
        <v>2981</v>
      </c>
      <c r="D157"/>
      <c r="F157" s="968">
        <v>-0.16666666666666666</v>
      </c>
    </row>
    <row r="158" spans="2:6" x14ac:dyDescent="0.2">
      <c r="C158" t="s">
        <v>3846</v>
      </c>
      <c r="D158"/>
      <c r="F158" s="968">
        <v>-0.33333333333333331</v>
      </c>
    </row>
    <row r="159" spans="2:6" x14ac:dyDescent="0.2">
      <c r="C159" t="s">
        <v>2929</v>
      </c>
      <c r="D159"/>
      <c r="F159" s="968">
        <v>-18.75</v>
      </c>
    </row>
    <row r="160" spans="2:6" x14ac:dyDescent="0.2">
      <c r="C160" t="s">
        <v>2937</v>
      </c>
      <c r="D160"/>
      <c r="F160" s="968">
        <v>-54.833333333333336</v>
      </c>
    </row>
    <row r="161" spans="2:6" x14ac:dyDescent="0.2">
      <c r="C161" t="s">
        <v>2943</v>
      </c>
      <c r="D161"/>
      <c r="F161" s="968">
        <v>-26.428571428571427</v>
      </c>
    </row>
    <row r="162" spans="2:6" x14ac:dyDescent="0.2">
      <c r="C162" t="s">
        <v>2949</v>
      </c>
      <c r="D162"/>
      <c r="F162" s="968">
        <v>-35.5</v>
      </c>
    </row>
    <row r="163" spans="2:6" x14ac:dyDescent="0.2">
      <c r="C163" t="s">
        <v>2957</v>
      </c>
      <c r="D163"/>
      <c r="F163" s="968">
        <v>-16.083333333333332</v>
      </c>
    </row>
    <row r="164" spans="2:6" x14ac:dyDescent="0.2">
      <c r="C164" t="s">
        <v>3056</v>
      </c>
      <c r="D164"/>
      <c r="F164" s="968">
        <v>9</v>
      </c>
    </row>
    <row r="165" spans="2:6" x14ac:dyDescent="0.2">
      <c r="C165" t="s">
        <v>3067</v>
      </c>
      <c r="D165"/>
      <c r="F165" s="968">
        <v>14.888888888888889</v>
      </c>
    </row>
    <row r="166" spans="2:6" x14ac:dyDescent="0.2">
      <c r="C166" t="s">
        <v>3074</v>
      </c>
      <c r="D166"/>
      <c r="F166" s="968">
        <v>17.285714285714285</v>
      </c>
    </row>
    <row r="167" spans="2:6" x14ac:dyDescent="0.2">
      <c r="C167" t="s">
        <v>3082</v>
      </c>
      <c r="D167"/>
      <c r="F167" s="968">
        <v>0.21428571428571427</v>
      </c>
    </row>
    <row r="168" spans="2:6" x14ac:dyDescent="0.2">
      <c r="B168" t="s">
        <v>6663</v>
      </c>
      <c r="D168"/>
      <c r="F168" s="968">
        <v>-11.483870967741936</v>
      </c>
    </row>
    <row r="169" spans="2:6" x14ac:dyDescent="0.2">
      <c r="B169">
        <v>2020</v>
      </c>
      <c r="C169" t="s">
        <v>2968</v>
      </c>
      <c r="D169"/>
      <c r="F169" s="968">
        <v>-50.666666666666664</v>
      </c>
    </row>
    <row r="170" spans="2:6" x14ac:dyDescent="0.2">
      <c r="C170" t="s">
        <v>2981</v>
      </c>
      <c r="D170"/>
      <c r="F170" s="968">
        <v>3</v>
      </c>
    </row>
    <row r="171" spans="2:6" x14ac:dyDescent="0.2">
      <c r="C171" t="s">
        <v>3846</v>
      </c>
      <c r="D171"/>
      <c r="F171" s="968">
        <v>-6</v>
      </c>
    </row>
    <row r="172" spans="2:6" x14ac:dyDescent="0.2">
      <c r="C172" t="s">
        <v>2929</v>
      </c>
      <c r="D172"/>
      <c r="F172" s="968">
        <v>-18</v>
      </c>
    </row>
    <row r="173" spans="2:6" x14ac:dyDescent="0.2">
      <c r="C173" t="s">
        <v>2937</v>
      </c>
      <c r="D173"/>
      <c r="F173" s="968">
        <v>10.375</v>
      </c>
    </row>
    <row r="174" spans="2:6" x14ac:dyDescent="0.2">
      <c r="C174" t="s">
        <v>2943</v>
      </c>
      <c r="D174"/>
      <c r="F174" s="968">
        <v>14.428571428571429</v>
      </c>
    </row>
    <row r="175" spans="2:6" x14ac:dyDescent="0.2">
      <c r="C175" t="s">
        <v>2949</v>
      </c>
      <c r="D175"/>
      <c r="F175" s="968">
        <v>32.166666666666664</v>
      </c>
    </row>
    <row r="176" spans="2:6" x14ac:dyDescent="0.2">
      <c r="C176" t="s">
        <v>2957</v>
      </c>
      <c r="D176"/>
      <c r="F176" s="968">
        <v>-17</v>
      </c>
    </row>
    <row r="177" spans="2:6" x14ac:dyDescent="0.2">
      <c r="C177" t="s">
        <v>3056</v>
      </c>
      <c r="D177"/>
      <c r="F177" s="968">
        <v>20</v>
      </c>
    </row>
    <row r="178" spans="2:6" x14ac:dyDescent="0.2">
      <c r="C178" t="s">
        <v>3067</v>
      </c>
      <c r="D178"/>
      <c r="F178" s="968">
        <v>10.333333333333334</v>
      </c>
    </row>
    <row r="179" spans="2:6" x14ac:dyDescent="0.2">
      <c r="C179" t="s">
        <v>3074</v>
      </c>
      <c r="D179"/>
      <c r="F179" s="968">
        <v>4.583333333333333</v>
      </c>
    </row>
    <row r="180" spans="2:6" x14ac:dyDescent="0.2">
      <c r="C180" t="s">
        <v>3082</v>
      </c>
      <c r="D180"/>
      <c r="F180" s="968">
        <v>18</v>
      </c>
    </row>
    <row r="181" spans="2:6" x14ac:dyDescent="0.2">
      <c r="B181" t="s">
        <v>7011</v>
      </c>
      <c r="D181"/>
      <c r="F181" s="968">
        <v>1.5921052631578947</v>
      </c>
    </row>
    <row r="182" spans="2:6" x14ac:dyDescent="0.2">
      <c r="B182">
        <v>2021</v>
      </c>
      <c r="C182" t="s">
        <v>2968</v>
      </c>
      <c r="D182"/>
      <c r="F182" s="968">
        <v>-14.333333333333334</v>
      </c>
    </row>
    <row r="183" spans="2:6" x14ac:dyDescent="0.2">
      <c r="C183" t="s">
        <v>2981</v>
      </c>
      <c r="D183"/>
      <c r="F183" s="968">
        <v>3.875</v>
      </c>
    </row>
    <row r="184" spans="2:6" x14ac:dyDescent="0.2">
      <c r="C184" t="s">
        <v>3846</v>
      </c>
      <c r="D184"/>
      <c r="F184" s="968">
        <v>0.55555555555555558</v>
      </c>
    </row>
    <row r="185" spans="2:6" x14ac:dyDescent="0.2">
      <c r="C185" t="s">
        <v>2929</v>
      </c>
      <c r="D185"/>
      <c r="F185" s="968">
        <v>9.0909090909090917</v>
      </c>
    </row>
    <row r="186" spans="2:6" x14ac:dyDescent="0.2">
      <c r="C186" t="s">
        <v>2937</v>
      </c>
      <c r="D186"/>
      <c r="F186" s="968">
        <v>71</v>
      </c>
    </row>
    <row r="187" spans="2:6" x14ac:dyDescent="0.2">
      <c r="C187" t="s">
        <v>2943</v>
      </c>
      <c r="D187"/>
      <c r="F187" s="968">
        <v>6.2857142857142856</v>
      </c>
    </row>
    <row r="188" spans="2:6" x14ac:dyDescent="0.2">
      <c r="C188" t="s">
        <v>2949</v>
      </c>
      <c r="D188"/>
      <c r="F188" s="968">
        <v>7.7272727272727275</v>
      </c>
    </row>
    <row r="189" spans="2:6" x14ac:dyDescent="0.2">
      <c r="C189" t="s">
        <v>2957</v>
      </c>
      <c r="D189"/>
      <c r="F189" s="968">
        <v>35.111111111111114</v>
      </c>
    </row>
    <row r="190" spans="2:6" x14ac:dyDescent="0.2">
      <c r="C190" t="s">
        <v>3056</v>
      </c>
      <c r="D190"/>
      <c r="F190" s="968">
        <v>-4.666666666666667</v>
      </c>
    </row>
    <row r="191" spans="2:6" x14ac:dyDescent="0.2">
      <c r="C191" t="s">
        <v>3067</v>
      </c>
      <c r="D191"/>
      <c r="F191" s="968">
        <v>-8.5</v>
      </c>
    </row>
    <row r="192" spans="2:6" x14ac:dyDescent="0.2">
      <c r="C192" t="s">
        <v>3074</v>
      </c>
      <c r="D192"/>
      <c r="F192" s="968">
        <v>12.625</v>
      </c>
    </row>
    <row r="193" spans="2:6" x14ac:dyDescent="0.2">
      <c r="C193" t="s">
        <v>3082</v>
      </c>
      <c r="D193"/>
      <c r="F193" s="968">
        <v>5.75</v>
      </c>
    </row>
    <row r="194" spans="2:6" x14ac:dyDescent="0.2">
      <c r="B194" t="s">
        <v>7191</v>
      </c>
      <c r="D194"/>
      <c r="F194" s="968">
        <v>7.5052631578947366</v>
      </c>
    </row>
    <row r="195" spans="2:6" x14ac:dyDescent="0.2">
      <c r="B195">
        <v>2022</v>
      </c>
      <c r="C195" t="s">
        <v>2968</v>
      </c>
      <c r="D195"/>
      <c r="F195" s="968">
        <v>-13.333333333333334</v>
      </c>
    </row>
    <row r="196" spans="2:6" x14ac:dyDescent="0.2">
      <c r="C196" t="s">
        <v>2981</v>
      </c>
      <c r="D196"/>
      <c r="F196" s="968">
        <v>6</v>
      </c>
    </row>
    <row r="197" spans="2:6" x14ac:dyDescent="0.2">
      <c r="C197" t="s">
        <v>3846</v>
      </c>
      <c r="D197"/>
      <c r="F197" s="968">
        <v>13.7</v>
      </c>
    </row>
    <row r="198" spans="2:6" x14ac:dyDescent="0.2">
      <c r="C198" t="s">
        <v>2929</v>
      </c>
      <c r="D198"/>
      <c r="F198" s="968">
        <v>-11</v>
      </c>
    </row>
    <row r="199" spans="2:6" x14ac:dyDescent="0.2">
      <c r="C199" t="s">
        <v>2937</v>
      </c>
      <c r="D199"/>
      <c r="F199" s="968">
        <v>9.1999999999999993</v>
      </c>
    </row>
    <row r="200" spans="2:6" x14ac:dyDescent="0.2">
      <c r="C200" t="s">
        <v>2943</v>
      </c>
      <c r="D200"/>
      <c r="F200" s="968">
        <v>-11.8</v>
      </c>
    </row>
    <row r="201" spans="2:6" x14ac:dyDescent="0.2">
      <c r="C201" t="s">
        <v>2949</v>
      </c>
      <c r="D201"/>
      <c r="F201" s="968">
        <v>-0.1111111111111111</v>
      </c>
    </row>
    <row r="202" spans="2:6" x14ac:dyDescent="0.2">
      <c r="C202" t="s">
        <v>2957</v>
      </c>
      <c r="D202"/>
      <c r="F202" s="968">
        <v>30.75</v>
      </c>
    </row>
    <row r="203" spans="2:6" x14ac:dyDescent="0.2">
      <c r="C203" t="s">
        <v>3056</v>
      </c>
      <c r="D203"/>
      <c r="F203" s="968">
        <v>15</v>
      </c>
    </row>
    <row r="204" spans="2:6" x14ac:dyDescent="0.2">
      <c r="C204" t="s">
        <v>3067</v>
      </c>
      <c r="D204"/>
      <c r="F204" s="968">
        <v>15</v>
      </c>
    </row>
    <row r="205" spans="2:6" x14ac:dyDescent="0.2">
      <c r="C205" t="s">
        <v>3074</v>
      </c>
      <c r="D205"/>
      <c r="F205" s="968">
        <v>12</v>
      </c>
    </row>
    <row r="206" spans="2:6" x14ac:dyDescent="0.2">
      <c r="C206" t="s">
        <v>3082</v>
      </c>
      <c r="D206"/>
      <c r="F206" s="968">
        <v>5</v>
      </c>
    </row>
    <row r="207" spans="2:6" x14ac:dyDescent="0.2">
      <c r="B207" t="s">
        <v>7697</v>
      </c>
      <c r="D207"/>
      <c r="F207" s="968">
        <v>3.4848484848484849</v>
      </c>
    </row>
    <row r="208" spans="2:6" x14ac:dyDescent="0.2">
      <c r="B208">
        <v>2023</v>
      </c>
      <c r="C208" t="s">
        <v>2968</v>
      </c>
      <c r="D208"/>
      <c r="F208" s="968">
        <v>17</v>
      </c>
    </row>
    <row r="209" spans="2:6" x14ac:dyDescent="0.2">
      <c r="C209" t="s">
        <v>2981</v>
      </c>
      <c r="D209"/>
      <c r="F209" s="968">
        <v>-11</v>
      </c>
    </row>
    <row r="210" spans="2:6" x14ac:dyDescent="0.2">
      <c r="C210" t="s">
        <v>3846</v>
      </c>
      <c r="D210"/>
      <c r="F210" s="968">
        <v>-20.333333333333332</v>
      </c>
    </row>
    <row r="211" spans="2:6" x14ac:dyDescent="0.2">
      <c r="C211" t="s">
        <v>2929</v>
      </c>
      <c r="D211"/>
      <c r="F211" s="968">
        <v>-6</v>
      </c>
    </row>
    <row r="212" spans="2:6" x14ac:dyDescent="0.2">
      <c r="C212" t="s">
        <v>2937</v>
      </c>
      <c r="D212"/>
      <c r="F212" s="968">
        <v>-20.75</v>
      </c>
    </row>
    <row r="213" spans="2:6" x14ac:dyDescent="0.2">
      <c r="C213" t="s">
        <v>2943</v>
      </c>
      <c r="D213"/>
      <c r="F213" s="968">
        <v>-17</v>
      </c>
    </row>
    <row r="214" spans="2:6" x14ac:dyDescent="0.2">
      <c r="C214" t="s">
        <v>2949</v>
      </c>
      <c r="D214"/>
      <c r="F214" s="968">
        <v>-37.5</v>
      </c>
    </row>
    <row r="215" spans="2:6" x14ac:dyDescent="0.2">
      <c r="C215" t="s">
        <v>2957</v>
      </c>
      <c r="D215"/>
      <c r="F215" s="968">
        <v>9.8000000000000007</v>
      </c>
    </row>
    <row r="216" spans="2:6" x14ac:dyDescent="0.2">
      <c r="C216" t="s">
        <v>3056</v>
      </c>
      <c r="D216"/>
      <c r="F216" s="968">
        <v>-7</v>
      </c>
    </row>
    <row r="217" spans="2:6" x14ac:dyDescent="0.2">
      <c r="C217" t="s">
        <v>3067</v>
      </c>
      <c r="D217"/>
      <c r="F217" s="968">
        <v>-13.285714285714286</v>
      </c>
    </row>
    <row r="218" spans="2:6" x14ac:dyDescent="0.2">
      <c r="C218" t="s">
        <v>3074</v>
      </c>
      <c r="D218"/>
      <c r="F218" s="968">
        <v>-23.75</v>
      </c>
    </row>
    <row r="219" spans="2:6" x14ac:dyDescent="0.2">
      <c r="C219" t="s">
        <v>3082</v>
      </c>
      <c r="D219"/>
      <c r="F219" s="968">
        <v>-78.5</v>
      </c>
    </row>
    <row r="220" spans="2:6" x14ac:dyDescent="0.2">
      <c r="B220" t="s">
        <v>7895</v>
      </c>
      <c r="D220"/>
      <c r="F220" s="968">
        <v>-16.275862068965516</v>
      </c>
    </row>
    <row r="221" spans="2:6" x14ac:dyDescent="0.2">
      <c r="B221" t="s">
        <v>6420</v>
      </c>
      <c r="D221"/>
      <c r="F221" s="968">
        <v>0.42867281760113557</v>
      </c>
    </row>
    <row r="222" spans="2:6" x14ac:dyDescent="0.2">
      <c r="D222"/>
      <c r="F222"/>
    </row>
    <row r="223" spans="2:6" x14ac:dyDescent="0.2">
      <c r="D223"/>
      <c r="F223"/>
    </row>
    <row r="224" spans="2:6" x14ac:dyDescent="0.2">
      <c r="D224"/>
      <c r="F224"/>
    </row>
    <row r="225" spans="4:6" x14ac:dyDescent="0.2">
      <c r="D225"/>
      <c r="F225"/>
    </row>
    <row r="226" spans="4:6" x14ac:dyDescent="0.2">
      <c r="D226"/>
      <c r="F226"/>
    </row>
    <row r="227" spans="4:6" x14ac:dyDescent="0.2">
      <c r="D227"/>
      <c r="F227"/>
    </row>
    <row r="228" spans="4:6" x14ac:dyDescent="0.2">
      <c r="D228"/>
      <c r="F228"/>
    </row>
    <row r="229" spans="4:6" x14ac:dyDescent="0.2">
      <c r="D229"/>
      <c r="F229"/>
    </row>
    <row r="230" spans="4:6" x14ac:dyDescent="0.2">
      <c r="D230"/>
      <c r="F230"/>
    </row>
    <row r="231" spans="4:6" x14ac:dyDescent="0.2">
      <c r="D231"/>
      <c r="F231"/>
    </row>
    <row r="232" spans="4:6" x14ac:dyDescent="0.2">
      <c r="D232"/>
      <c r="F232"/>
    </row>
    <row r="233" spans="4:6" x14ac:dyDescent="0.2">
      <c r="D233"/>
      <c r="F233"/>
    </row>
    <row r="234" spans="4:6" x14ac:dyDescent="0.2">
      <c r="D234"/>
      <c r="F234"/>
    </row>
    <row r="235" spans="4:6" x14ac:dyDescent="0.2">
      <c r="D235"/>
      <c r="F235"/>
    </row>
    <row r="236" spans="4:6" x14ac:dyDescent="0.2">
      <c r="D236"/>
      <c r="F236"/>
    </row>
    <row r="237" spans="4:6" x14ac:dyDescent="0.2">
      <c r="D237"/>
      <c r="F237"/>
    </row>
    <row r="238" spans="4:6" x14ac:dyDescent="0.2">
      <c r="D238"/>
      <c r="F238"/>
    </row>
    <row r="239" spans="4:6" x14ac:dyDescent="0.2">
      <c r="D239"/>
      <c r="F239"/>
    </row>
    <row r="240" spans="4:6" x14ac:dyDescent="0.2">
      <c r="D240"/>
      <c r="F240"/>
    </row>
    <row r="241" spans="4:6" x14ac:dyDescent="0.2">
      <c r="D241"/>
      <c r="F241"/>
    </row>
    <row r="242" spans="4:6" x14ac:dyDescent="0.2">
      <c r="D242"/>
      <c r="F242"/>
    </row>
    <row r="243" spans="4:6" x14ac:dyDescent="0.2">
      <c r="D243"/>
      <c r="F243"/>
    </row>
    <row r="244" spans="4:6" x14ac:dyDescent="0.2">
      <c r="D244"/>
      <c r="F244"/>
    </row>
    <row r="245" spans="4:6" x14ac:dyDescent="0.2">
      <c r="D245"/>
      <c r="F245"/>
    </row>
    <row r="246" spans="4:6" x14ac:dyDescent="0.2">
      <c r="D246"/>
      <c r="F246"/>
    </row>
    <row r="247" spans="4:6" x14ac:dyDescent="0.2">
      <c r="D247"/>
      <c r="F247"/>
    </row>
    <row r="248" spans="4:6" x14ac:dyDescent="0.2">
      <c r="D248"/>
      <c r="F248"/>
    </row>
    <row r="249" spans="4:6" x14ac:dyDescent="0.2">
      <c r="D249"/>
      <c r="F249"/>
    </row>
    <row r="250" spans="4:6" x14ac:dyDescent="0.2">
      <c r="D250"/>
      <c r="F250"/>
    </row>
    <row r="251" spans="4:6" x14ac:dyDescent="0.2">
      <c r="D251"/>
      <c r="F251"/>
    </row>
    <row r="252" spans="4:6" x14ac:dyDescent="0.2">
      <c r="D252"/>
      <c r="F252"/>
    </row>
    <row r="253" spans="4:6" x14ac:dyDescent="0.2">
      <c r="D253"/>
      <c r="F253"/>
    </row>
    <row r="254" spans="4:6" x14ac:dyDescent="0.2">
      <c r="D254"/>
      <c r="F254"/>
    </row>
    <row r="255" spans="4:6" x14ac:dyDescent="0.2">
      <c r="D255"/>
      <c r="F255"/>
    </row>
    <row r="256" spans="4:6" x14ac:dyDescent="0.2">
      <c r="D256"/>
      <c r="F256"/>
    </row>
    <row r="257" spans="4:6" x14ac:dyDescent="0.2">
      <c r="D257"/>
      <c r="F257"/>
    </row>
    <row r="258" spans="4:6" x14ac:dyDescent="0.2">
      <c r="D258"/>
      <c r="F258"/>
    </row>
    <row r="259" spans="4:6" x14ac:dyDescent="0.2">
      <c r="D259"/>
      <c r="F259"/>
    </row>
    <row r="260" spans="4:6" x14ac:dyDescent="0.2">
      <c r="D260"/>
      <c r="F260"/>
    </row>
    <row r="261" spans="4:6" x14ac:dyDescent="0.2">
      <c r="D261"/>
      <c r="F261"/>
    </row>
    <row r="262" spans="4:6" x14ac:dyDescent="0.2">
      <c r="D262"/>
      <c r="F262"/>
    </row>
    <row r="263" spans="4:6" x14ac:dyDescent="0.2">
      <c r="D263"/>
      <c r="F263"/>
    </row>
    <row r="264" spans="4:6" x14ac:dyDescent="0.2">
      <c r="D264"/>
      <c r="F264"/>
    </row>
    <row r="265" spans="4:6" x14ac:dyDescent="0.2">
      <c r="D265"/>
      <c r="F265"/>
    </row>
    <row r="266" spans="4:6" x14ac:dyDescent="0.2">
      <c r="D266"/>
      <c r="F266"/>
    </row>
    <row r="267" spans="4:6" x14ac:dyDescent="0.2">
      <c r="D267"/>
      <c r="F267"/>
    </row>
    <row r="268" spans="4:6" x14ac:dyDescent="0.2">
      <c r="D268"/>
      <c r="F268"/>
    </row>
    <row r="269" spans="4:6" x14ac:dyDescent="0.2">
      <c r="D269"/>
      <c r="F269"/>
    </row>
    <row r="270" spans="4:6" x14ac:dyDescent="0.2">
      <c r="D270"/>
      <c r="F270"/>
    </row>
    <row r="271" spans="4:6" x14ac:dyDescent="0.2">
      <c r="D271"/>
      <c r="F271"/>
    </row>
    <row r="272" spans="4:6" x14ac:dyDescent="0.2">
      <c r="D272"/>
      <c r="F272"/>
    </row>
    <row r="273" spans="4:6" x14ac:dyDescent="0.2">
      <c r="D273"/>
      <c r="F273"/>
    </row>
    <row r="274" spans="4:6" x14ac:dyDescent="0.2">
      <c r="D274"/>
      <c r="F274"/>
    </row>
    <row r="275" spans="4:6" x14ac:dyDescent="0.2">
      <c r="D275"/>
      <c r="F275"/>
    </row>
    <row r="276" spans="4:6" x14ac:dyDescent="0.2">
      <c r="D276"/>
      <c r="F276"/>
    </row>
    <row r="277" spans="4:6" x14ac:dyDescent="0.2">
      <c r="D277"/>
      <c r="F277"/>
    </row>
    <row r="278" spans="4:6" x14ac:dyDescent="0.2">
      <c r="D278"/>
      <c r="F278"/>
    </row>
    <row r="279" spans="4:6" x14ac:dyDescent="0.2">
      <c r="D279"/>
      <c r="F279"/>
    </row>
    <row r="280" spans="4:6" x14ac:dyDescent="0.2">
      <c r="D280"/>
      <c r="F280"/>
    </row>
    <row r="281" spans="4:6" x14ac:dyDescent="0.2">
      <c r="D281"/>
      <c r="F281"/>
    </row>
    <row r="282" spans="4:6" x14ac:dyDescent="0.2">
      <c r="D282"/>
      <c r="F282"/>
    </row>
    <row r="283" spans="4:6" x14ac:dyDescent="0.2">
      <c r="D283"/>
      <c r="F283"/>
    </row>
    <row r="284" spans="4:6" x14ac:dyDescent="0.2">
      <c r="D284"/>
      <c r="F284"/>
    </row>
    <row r="285" spans="4:6" x14ac:dyDescent="0.2">
      <c r="D285"/>
      <c r="F285"/>
    </row>
    <row r="286" spans="4:6" x14ac:dyDescent="0.2">
      <c r="D286"/>
      <c r="F286"/>
    </row>
    <row r="287" spans="4:6" x14ac:dyDescent="0.2">
      <c r="D287"/>
      <c r="F287"/>
    </row>
    <row r="288" spans="4:6" x14ac:dyDescent="0.2">
      <c r="D288"/>
      <c r="F288"/>
    </row>
    <row r="289" spans="4:6" x14ac:dyDescent="0.2">
      <c r="D289"/>
      <c r="F289"/>
    </row>
    <row r="290" spans="4:6" x14ac:dyDescent="0.2">
      <c r="D290"/>
      <c r="F290"/>
    </row>
    <row r="291" spans="4:6" x14ac:dyDescent="0.2">
      <c r="D291"/>
      <c r="F291"/>
    </row>
    <row r="292" spans="4:6" x14ac:dyDescent="0.2">
      <c r="D292"/>
      <c r="F292"/>
    </row>
    <row r="293" spans="4:6" x14ac:dyDescent="0.2">
      <c r="D293"/>
      <c r="F293"/>
    </row>
    <row r="294" spans="4:6" x14ac:dyDescent="0.2">
      <c r="D294"/>
      <c r="F294"/>
    </row>
    <row r="295" spans="4:6" x14ac:dyDescent="0.2">
      <c r="D295"/>
      <c r="F295"/>
    </row>
    <row r="296" spans="4:6" x14ac:dyDescent="0.2">
      <c r="D296"/>
      <c r="F296"/>
    </row>
    <row r="297" spans="4:6" x14ac:dyDescent="0.2">
      <c r="D297"/>
      <c r="F297"/>
    </row>
    <row r="298" spans="4:6" x14ac:dyDescent="0.2">
      <c r="D298"/>
      <c r="F298"/>
    </row>
    <row r="299" spans="4:6" x14ac:dyDescent="0.2">
      <c r="D299"/>
      <c r="F299"/>
    </row>
    <row r="300" spans="4:6" x14ac:dyDescent="0.2">
      <c r="D300"/>
      <c r="F300"/>
    </row>
    <row r="301" spans="4:6" x14ac:dyDescent="0.2">
      <c r="D301"/>
      <c r="F301"/>
    </row>
    <row r="302" spans="4:6" x14ac:dyDescent="0.2">
      <c r="D302"/>
      <c r="F302"/>
    </row>
    <row r="303" spans="4:6" x14ac:dyDescent="0.2">
      <c r="D303"/>
      <c r="F303"/>
    </row>
    <row r="304" spans="4:6" x14ac:dyDescent="0.2">
      <c r="D304"/>
      <c r="F304"/>
    </row>
    <row r="305" spans="4:6" x14ac:dyDescent="0.2">
      <c r="D305"/>
      <c r="F305"/>
    </row>
    <row r="306" spans="4:6" x14ac:dyDescent="0.2">
      <c r="D306"/>
      <c r="F306"/>
    </row>
    <row r="307" spans="4:6" x14ac:dyDescent="0.2">
      <c r="D307"/>
      <c r="F307"/>
    </row>
    <row r="308" spans="4:6" x14ac:dyDescent="0.2">
      <c r="D308"/>
      <c r="F308"/>
    </row>
    <row r="309" spans="4:6" x14ac:dyDescent="0.2">
      <c r="D309"/>
      <c r="F309"/>
    </row>
    <row r="310" spans="4:6" x14ac:dyDescent="0.2">
      <c r="D310"/>
      <c r="F310"/>
    </row>
    <row r="311" spans="4:6" x14ac:dyDescent="0.2">
      <c r="D311"/>
      <c r="F311"/>
    </row>
    <row r="312" spans="4:6" x14ac:dyDescent="0.2">
      <c r="D312"/>
      <c r="F312"/>
    </row>
    <row r="313" spans="4:6" x14ac:dyDescent="0.2">
      <c r="D313"/>
      <c r="F313"/>
    </row>
    <row r="314" spans="4:6" x14ac:dyDescent="0.2">
      <c r="D314"/>
      <c r="F314"/>
    </row>
    <row r="315" spans="4:6" x14ac:dyDescent="0.2">
      <c r="D315"/>
      <c r="F315"/>
    </row>
    <row r="316" spans="4:6" x14ac:dyDescent="0.2">
      <c r="D316"/>
      <c r="F316"/>
    </row>
    <row r="317" spans="4:6" x14ac:dyDescent="0.2">
      <c r="D317"/>
      <c r="F317"/>
    </row>
    <row r="318" spans="4:6" x14ac:dyDescent="0.2">
      <c r="D318"/>
      <c r="F318"/>
    </row>
    <row r="319" spans="4:6" x14ac:dyDescent="0.2">
      <c r="D319"/>
      <c r="F319"/>
    </row>
    <row r="320" spans="4:6" x14ac:dyDescent="0.2">
      <c r="D320"/>
      <c r="F320"/>
    </row>
    <row r="321" spans="4:6" x14ac:dyDescent="0.2">
      <c r="D321"/>
      <c r="F321"/>
    </row>
    <row r="322" spans="4:6" x14ac:dyDescent="0.2">
      <c r="D322"/>
      <c r="F322"/>
    </row>
    <row r="323" spans="4:6" x14ac:dyDescent="0.2">
      <c r="D323"/>
      <c r="F323"/>
    </row>
    <row r="324" spans="4:6" x14ac:dyDescent="0.2">
      <c r="D324"/>
      <c r="F324"/>
    </row>
    <row r="325" spans="4:6" x14ac:dyDescent="0.2">
      <c r="D325"/>
      <c r="F325"/>
    </row>
    <row r="326" spans="4:6" x14ac:dyDescent="0.2">
      <c r="D326"/>
      <c r="F326"/>
    </row>
    <row r="327" spans="4:6" x14ac:dyDescent="0.2">
      <c r="D327"/>
      <c r="F327"/>
    </row>
    <row r="328" spans="4:6" x14ac:dyDescent="0.2">
      <c r="D328"/>
      <c r="F328"/>
    </row>
    <row r="329" spans="4:6" x14ac:dyDescent="0.2">
      <c r="D329"/>
      <c r="F329"/>
    </row>
    <row r="330" spans="4:6" x14ac:dyDescent="0.2">
      <c r="D330"/>
      <c r="F330"/>
    </row>
    <row r="331" spans="4:6" x14ac:dyDescent="0.2">
      <c r="D331"/>
      <c r="F331"/>
    </row>
    <row r="332" spans="4:6" x14ac:dyDescent="0.2">
      <c r="D332"/>
      <c r="F332"/>
    </row>
    <row r="333" spans="4:6" x14ac:dyDescent="0.2">
      <c r="D333"/>
      <c r="F333"/>
    </row>
    <row r="334" spans="4:6" x14ac:dyDescent="0.2">
      <c r="D334"/>
      <c r="F334"/>
    </row>
    <row r="335" spans="4:6" x14ac:dyDescent="0.2">
      <c r="D335"/>
      <c r="F335"/>
    </row>
    <row r="336" spans="4:6" x14ac:dyDescent="0.2">
      <c r="D336"/>
      <c r="F336"/>
    </row>
    <row r="337" spans="4:6" x14ac:dyDescent="0.2">
      <c r="D337"/>
      <c r="F337"/>
    </row>
    <row r="338" spans="4:6" x14ac:dyDescent="0.2">
      <c r="D338"/>
      <c r="F338"/>
    </row>
    <row r="339" spans="4:6" x14ac:dyDescent="0.2">
      <c r="D339"/>
      <c r="F339"/>
    </row>
    <row r="340" spans="4:6" x14ac:dyDescent="0.2">
      <c r="D340"/>
      <c r="F340"/>
    </row>
    <row r="341" spans="4:6" x14ac:dyDescent="0.2">
      <c r="D341"/>
      <c r="F341"/>
    </row>
    <row r="342" spans="4:6" x14ac:dyDescent="0.2">
      <c r="D342"/>
      <c r="F342"/>
    </row>
    <row r="343" spans="4:6" x14ac:dyDescent="0.2">
      <c r="D343"/>
      <c r="F343"/>
    </row>
    <row r="344" spans="4:6" x14ac:dyDescent="0.2">
      <c r="D344"/>
      <c r="F344"/>
    </row>
    <row r="345" spans="4:6" x14ac:dyDescent="0.2">
      <c r="D345"/>
      <c r="F345"/>
    </row>
    <row r="346" spans="4:6" x14ac:dyDescent="0.2">
      <c r="D346"/>
      <c r="F346"/>
    </row>
    <row r="347" spans="4:6" x14ac:dyDescent="0.2">
      <c r="D347"/>
      <c r="F347"/>
    </row>
    <row r="348" spans="4:6" x14ac:dyDescent="0.2">
      <c r="D348"/>
      <c r="F348"/>
    </row>
    <row r="349" spans="4:6" x14ac:dyDescent="0.2">
      <c r="D349"/>
      <c r="F349"/>
    </row>
    <row r="350" spans="4:6" x14ac:dyDescent="0.2">
      <c r="D350"/>
      <c r="F350"/>
    </row>
    <row r="351" spans="4:6" x14ac:dyDescent="0.2">
      <c r="D351"/>
      <c r="F351"/>
    </row>
    <row r="352" spans="4:6" x14ac:dyDescent="0.2">
      <c r="D352"/>
      <c r="F352"/>
    </row>
    <row r="353" spans="4:6" x14ac:dyDescent="0.2">
      <c r="D353"/>
      <c r="F353"/>
    </row>
    <row r="354" spans="4:6" x14ac:dyDescent="0.2">
      <c r="D354"/>
      <c r="F354"/>
    </row>
    <row r="355" spans="4:6" x14ac:dyDescent="0.2">
      <c r="D355"/>
      <c r="F355"/>
    </row>
    <row r="356" spans="4:6" x14ac:dyDescent="0.2">
      <c r="D356"/>
      <c r="F356"/>
    </row>
    <row r="357" spans="4:6" x14ac:dyDescent="0.2">
      <c r="D357"/>
      <c r="F357"/>
    </row>
    <row r="358" spans="4:6" x14ac:dyDescent="0.2">
      <c r="D358"/>
      <c r="F358"/>
    </row>
    <row r="359" spans="4:6" x14ac:dyDescent="0.2">
      <c r="D359"/>
      <c r="F359"/>
    </row>
    <row r="360" spans="4:6" x14ac:dyDescent="0.2">
      <c r="D360"/>
      <c r="F360"/>
    </row>
    <row r="361" spans="4:6" x14ac:dyDescent="0.2">
      <c r="D361"/>
      <c r="F361"/>
    </row>
    <row r="362" spans="4:6" x14ac:dyDescent="0.2">
      <c r="D362"/>
      <c r="F362"/>
    </row>
    <row r="363" spans="4:6" x14ac:dyDescent="0.2">
      <c r="D363"/>
      <c r="F363"/>
    </row>
    <row r="364" spans="4:6" x14ac:dyDescent="0.2">
      <c r="D364"/>
      <c r="F364"/>
    </row>
    <row r="365" spans="4:6" x14ac:dyDescent="0.2">
      <c r="D365"/>
      <c r="F365"/>
    </row>
    <row r="366" spans="4:6" x14ac:dyDescent="0.2">
      <c r="D366"/>
      <c r="F366"/>
    </row>
    <row r="367" spans="4:6" x14ac:dyDescent="0.2">
      <c r="D367"/>
      <c r="F367"/>
    </row>
    <row r="368" spans="4:6" x14ac:dyDescent="0.2">
      <c r="D368"/>
      <c r="F368"/>
    </row>
    <row r="369" spans="4:6" x14ac:dyDescent="0.2">
      <c r="D369"/>
      <c r="F369"/>
    </row>
    <row r="370" spans="4:6" x14ac:dyDescent="0.2">
      <c r="D370"/>
      <c r="F370"/>
    </row>
    <row r="371" spans="4:6" x14ac:dyDescent="0.2">
      <c r="D371"/>
      <c r="F371"/>
    </row>
    <row r="372" spans="4:6" x14ac:dyDescent="0.2">
      <c r="D372"/>
      <c r="F372"/>
    </row>
    <row r="373" spans="4:6" x14ac:dyDescent="0.2">
      <c r="D373"/>
      <c r="F373"/>
    </row>
    <row r="374" spans="4:6" x14ac:dyDescent="0.2">
      <c r="D374"/>
      <c r="F374"/>
    </row>
    <row r="375" spans="4:6" x14ac:dyDescent="0.2">
      <c r="D375"/>
      <c r="F375"/>
    </row>
    <row r="376" spans="4:6" x14ac:dyDescent="0.2">
      <c r="D376"/>
      <c r="F376"/>
    </row>
    <row r="377" spans="4:6" x14ac:dyDescent="0.2">
      <c r="D377"/>
      <c r="F377"/>
    </row>
    <row r="378" spans="4:6" x14ac:dyDescent="0.2">
      <c r="D378"/>
      <c r="F378"/>
    </row>
    <row r="379" spans="4:6" x14ac:dyDescent="0.2">
      <c r="D379"/>
      <c r="F379"/>
    </row>
    <row r="380" spans="4:6" x14ac:dyDescent="0.2">
      <c r="D380"/>
      <c r="F380"/>
    </row>
    <row r="381" spans="4:6" x14ac:dyDescent="0.2">
      <c r="D381"/>
      <c r="F381"/>
    </row>
    <row r="382" spans="4:6" x14ac:dyDescent="0.2">
      <c r="D382"/>
      <c r="F382"/>
    </row>
    <row r="383" spans="4:6" x14ac:dyDescent="0.2">
      <c r="D383"/>
      <c r="F383"/>
    </row>
    <row r="384" spans="4:6" x14ac:dyDescent="0.2">
      <c r="D384"/>
      <c r="F384"/>
    </row>
    <row r="385" spans="4:6" x14ac:dyDescent="0.2">
      <c r="D385"/>
      <c r="F385"/>
    </row>
    <row r="386" spans="4:6" x14ac:dyDescent="0.2">
      <c r="D386"/>
      <c r="F386"/>
    </row>
    <row r="387" spans="4:6" x14ac:dyDescent="0.2">
      <c r="D387"/>
      <c r="F387"/>
    </row>
    <row r="388" spans="4:6" x14ac:dyDescent="0.2">
      <c r="D388"/>
      <c r="F388"/>
    </row>
    <row r="389" spans="4:6" x14ac:dyDescent="0.2">
      <c r="D389"/>
      <c r="F389"/>
    </row>
    <row r="390" spans="4:6" x14ac:dyDescent="0.2">
      <c r="D390"/>
      <c r="F390"/>
    </row>
    <row r="391" spans="4:6" x14ac:dyDescent="0.2">
      <c r="D391"/>
      <c r="F391"/>
    </row>
    <row r="392" spans="4:6" x14ac:dyDescent="0.2">
      <c r="D392"/>
      <c r="F392"/>
    </row>
    <row r="393" spans="4:6" x14ac:dyDescent="0.2">
      <c r="D393"/>
      <c r="F393"/>
    </row>
    <row r="394" spans="4:6" x14ac:dyDescent="0.2">
      <c r="D394"/>
      <c r="F394"/>
    </row>
    <row r="395" spans="4:6" x14ac:dyDescent="0.2">
      <c r="D395"/>
      <c r="F395"/>
    </row>
    <row r="396" spans="4:6" x14ac:dyDescent="0.2">
      <c r="D396"/>
      <c r="F396"/>
    </row>
    <row r="397" spans="4:6" x14ac:dyDescent="0.2">
      <c r="D397"/>
      <c r="F397"/>
    </row>
    <row r="398" spans="4:6" x14ac:dyDescent="0.2">
      <c r="D398"/>
      <c r="F398"/>
    </row>
    <row r="399" spans="4:6" x14ac:dyDescent="0.2">
      <c r="D399"/>
      <c r="F399"/>
    </row>
    <row r="400" spans="4:6" x14ac:dyDescent="0.2">
      <c r="D400"/>
      <c r="F400"/>
    </row>
    <row r="401" spans="4:6" x14ac:dyDescent="0.2">
      <c r="D401"/>
      <c r="F401"/>
    </row>
    <row r="402" spans="4:6" x14ac:dyDescent="0.2">
      <c r="D402"/>
      <c r="F402"/>
    </row>
    <row r="403" spans="4:6" x14ac:dyDescent="0.2">
      <c r="D403"/>
      <c r="F403"/>
    </row>
    <row r="404" spans="4:6" x14ac:dyDescent="0.2">
      <c r="D404"/>
      <c r="F404"/>
    </row>
    <row r="405" spans="4:6" x14ac:dyDescent="0.2">
      <c r="D405"/>
      <c r="F405"/>
    </row>
    <row r="406" spans="4:6" x14ac:dyDescent="0.2">
      <c r="D406"/>
      <c r="F406"/>
    </row>
    <row r="407" spans="4:6" x14ac:dyDescent="0.2">
      <c r="D407"/>
      <c r="F407"/>
    </row>
    <row r="408" spans="4:6" x14ac:dyDescent="0.2">
      <c r="D408"/>
      <c r="F408"/>
    </row>
    <row r="409" spans="4:6" x14ac:dyDescent="0.2">
      <c r="D409"/>
      <c r="F409"/>
    </row>
    <row r="410" spans="4:6" x14ac:dyDescent="0.2">
      <c r="D410"/>
      <c r="F410"/>
    </row>
    <row r="411" spans="4:6" x14ac:dyDescent="0.2">
      <c r="D411"/>
      <c r="F411"/>
    </row>
    <row r="412" spans="4:6" x14ac:dyDescent="0.2">
      <c r="D412"/>
      <c r="F412"/>
    </row>
    <row r="413" spans="4:6" x14ac:dyDescent="0.2">
      <c r="D413"/>
      <c r="F413"/>
    </row>
    <row r="414" spans="4:6" x14ac:dyDescent="0.2">
      <c r="D414"/>
      <c r="F414"/>
    </row>
    <row r="415" spans="4:6" x14ac:dyDescent="0.2">
      <c r="D415"/>
      <c r="F415"/>
    </row>
    <row r="416" spans="4:6" x14ac:dyDescent="0.2">
      <c r="D416"/>
      <c r="F416"/>
    </row>
    <row r="417" spans="4:6" x14ac:dyDescent="0.2">
      <c r="D417"/>
      <c r="F417"/>
    </row>
    <row r="418" spans="4:6" x14ac:dyDescent="0.2">
      <c r="D418"/>
      <c r="F418"/>
    </row>
    <row r="419" spans="4:6" x14ac:dyDescent="0.2">
      <c r="D419"/>
      <c r="F419"/>
    </row>
    <row r="420" spans="4:6" x14ac:dyDescent="0.2">
      <c r="D420"/>
      <c r="F420"/>
    </row>
    <row r="421" spans="4:6" x14ac:dyDescent="0.2">
      <c r="D421"/>
      <c r="F421"/>
    </row>
    <row r="422" spans="4:6" x14ac:dyDescent="0.2">
      <c r="D422"/>
      <c r="F422"/>
    </row>
    <row r="423" spans="4:6" x14ac:dyDescent="0.2">
      <c r="D423"/>
      <c r="F423"/>
    </row>
    <row r="424" spans="4:6" x14ac:dyDescent="0.2">
      <c r="D424"/>
      <c r="F424"/>
    </row>
    <row r="425" spans="4:6" x14ac:dyDescent="0.2">
      <c r="D425"/>
      <c r="F425"/>
    </row>
    <row r="426" spans="4:6" x14ac:dyDescent="0.2">
      <c r="D426"/>
      <c r="F426"/>
    </row>
    <row r="427" spans="4:6" x14ac:dyDescent="0.2">
      <c r="D427"/>
      <c r="F427"/>
    </row>
    <row r="428" spans="4:6" x14ac:dyDescent="0.2">
      <c r="D428"/>
      <c r="F428"/>
    </row>
    <row r="429" spans="4:6" x14ac:dyDescent="0.2">
      <c r="D429"/>
      <c r="F429"/>
    </row>
    <row r="430" spans="4:6" x14ac:dyDescent="0.2">
      <c r="D430"/>
      <c r="F430"/>
    </row>
    <row r="431" spans="4:6" x14ac:dyDescent="0.2">
      <c r="D431"/>
      <c r="F431"/>
    </row>
    <row r="432" spans="4:6" x14ac:dyDescent="0.2">
      <c r="D432"/>
      <c r="F432"/>
    </row>
    <row r="433" spans="4:6" x14ac:dyDescent="0.2">
      <c r="D433"/>
      <c r="F433"/>
    </row>
    <row r="434" spans="4:6" x14ac:dyDescent="0.2">
      <c r="D434"/>
      <c r="F434"/>
    </row>
    <row r="435" spans="4:6" x14ac:dyDescent="0.2">
      <c r="D435"/>
      <c r="F435"/>
    </row>
    <row r="436" spans="4:6" x14ac:dyDescent="0.2">
      <c r="D436"/>
      <c r="F436"/>
    </row>
    <row r="437" spans="4:6" x14ac:dyDescent="0.2">
      <c r="D437"/>
      <c r="F437"/>
    </row>
    <row r="438" spans="4:6" x14ac:dyDescent="0.2">
      <c r="D438"/>
      <c r="F438"/>
    </row>
    <row r="439" spans="4:6" x14ac:dyDescent="0.2">
      <c r="D439"/>
      <c r="F439"/>
    </row>
    <row r="440" spans="4:6" x14ac:dyDescent="0.2">
      <c r="D440"/>
      <c r="F440"/>
    </row>
    <row r="441" spans="4:6" x14ac:dyDescent="0.2">
      <c r="D441"/>
      <c r="F441"/>
    </row>
    <row r="442" spans="4:6" x14ac:dyDescent="0.2">
      <c r="D442"/>
      <c r="F442"/>
    </row>
    <row r="443" spans="4:6" x14ac:dyDescent="0.2">
      <c r="D443"/>
      <c r="F443"/>
    </row>
    <row r="444" spans="4:6" x14ac:dyDescent="0.2">
      <c r="D444"/>
      <c r="F444"/>
    </row>
    <row r="445" spans="4:6" x14ac:dyDescent="0.2">
      <c r="D445"/>
      <c r="F445"/>
    </row>
    <row r="446" spans="4:6" x14ac:dyDescent="0.2">
      <c r="D446"/>
      <c r="F446"/>
    </row>
    <row r="447" spans="4:6" x14ac:dyDescent="0.2">
      <c r="D447"/>
      <c r="F447"/>
    </row>
    <row r="448" spans="4:6" x14ac:dyDescent="0.2">
      <c r="D448"/>
      <c r="F448"/>
    </row>
    <row r="449" spans="4:6" x14ac:dyDescent="0.2">
      <c r="D449"/>
      <c r="F449"/>
    </row>
    <row r="450" spans="4:6" x14ac:dyDescent="0.2">
      <c r="D450"/>
      <c r="F450"/>
    </row>
    <row r="451" spans="4:6" x14ac:dyDescent="0.2">
      <c r="D451"/>
      <c r="F451"/>
    </row>
    <row r="452" spans="4:6" x14ac:dyDescent="0.2">
      <c r="D452"/>
      <c r="F452"/>
    </row>
    <row r="453" spans="4:6" x14ac:dyDescent="0.2">
      <c r="D453"/>
      <c r="F453"/>
    </row>
    <row r="454" spans="4:6" x14ac:dyDescent="0.2">
      <c r="D454"/>
      <c r="F454"/>
    </row>
    <row r="455" spans="4:6" x14ac:dyDescent="0.2">
      <c r="D455"/>
      <c r="F455"/>
    </row>
    <row r="456" spans="4:6" x14ac:dyDescent="0.2">
      <c r="D456"/>
      <c r="F456"/>
    </row>
    <row r="457" spans="4:6" x14ac:dyDescent="0.2">
      <c r="D457"/>
      <c r="F457"/>
    </row>
    <row r="458" spans="4:6" x14ac:dyDescent="0.2">
      <c r="D458"/>
      <c r="F458"/>
    </row>
    <row r="459" spans="4:6" x14ac:dyDescent="0.2">
      <c r="D459"/>
      <c r="F459"/>
    </row>
    <row r="460" spans="4:6" x14ac:dyDescent="0.2">
      <c r="D460"/>
      <c r="F460"/>
    </row>
    <row r="461" spans="4:6" x14ac:dyDescent="0.2">
      <c r="D461"/>
      <c r="F461"/>
    </row>
    <row r="462" spans="4:6" x14ac:dyDescent="0.2">
      <c r="D462"/>
      <c r="F462"/>
    </row>
    <row r="463" spans="4:6" x14ac:dyDescent="0.2">
      <c r="D463"/>
      <c r="F463"/>
    </row>
    <row r="464" spans="4:6" x14ac:dyDescent="0.2">
      <c r="D464"/>
      <c r="F464"/>
    </row>
    <row r="465" spans="4:6" x14ac:dyDescent="0.2">
      <c r="D465"/>
      <c r="F465"/>
    </row>
    <row r="466" spans="4:6" x14ac:dyDescent="0.2">
      <c r="D466"/>
      <c r="F466"/>
    </row>
    <row r="467" spans="4:6" x14ac:dyDescent="0.2">
      <c r="D467"/>
      <c r="F467"/>
    </row>
    <row r="468" spans="4:6" x14ac:dyDescent="0.2">
      <c r="D468"/>
      <c r="F468"/>
    </row>
    <row r="469" spans="4:6" x14ac:dyDescent="0.2">
      <c r="D469"/>
      <c r="F469"/>
    </row>
    <row r="470" spans="4:6" x14ac:dyDescent="0.2">
      <c r="D470"/>
      <c r="F470"/>
    </row>
    <row r="471" spans="4:6" x14ac:dyDescent="0.2">
      <c r="D471"/>
      <c r="F471"/>
    </row>
    <row r="472" spans="4:6" x14ac:dyDescent="0.2">
      <c r="D472"/>
      <c r="F472"/>
    </row>
    <row r="473" spans="4:6" x14ac:dyDescent="0.2">
      <c r="D473"/>
      <c r="F473"/>
    </row>
    <row r="474" spans="4:6" x14ac:dyDescent="0.2">
      <c r="D474"/>
      <c r="F474"/>
    </row>
    <row r="475" spans="4:6" x14ac:dyDescent="0.2">
      <c r="D475"/>
      <c r="F475"/>
    </row>
    <row r="476" spans="4:6" x14ac:dyDescent="0.2">
      <c r="D476"/>
      <c r="F476"/>
    </row>
    <row r="477" spans="4:6" x14ac:dyDescent="0.2">
      <c r="D477"/>
      <c r="F477"/>
    </row>
    <row r="478" spans="4:6" x14ac:dyDescent="0.2">
      <c r="D478"/>
      <c r="F478"/>
    </row>
    <row r="479" spans="4:6" x14ac:dyDescent="0.2">
      <c r="D479"/>
      <c r="F479"/>
    </row>
    <row r="480" spans="4:6" x14ac:dyDescent="0.2">
      <c r="D480"/>
      <c r="F480"/>
    </row>
    <row r="481" spans="4:6" x14ac:dyDescent="0.2">
      <c r="D481"/>
      <c r="F481"/>
    </row>
    <row r="482" spans="4:6" x14ac:dyDescent="0.2">
      <c r="D482"/>
      <c r="F482"/>
    </row>
    <row r="483" spans="4:6" x14ac:dyDescent="0.2">
      <c r="D483"/>
      <c r="F483"/>
    </row>
    <row r="484" spans="4:6" x14ac:dyDescent="0.2">
      <c r="D484"/>
      <c r="F484"/>
    </row>
    <row r="485" spans="4:6" x14ac:dyDescent="0.2">
      <c r="D485"/>
      <c r="F485"/>
    </row>
    <row r="486" spans="4:6" x14ac:dyDescent="0.2">
      <c r="D486"/>
      <c r="F486"/>
    </row>
    <row r="487" spans="4:6" x14ac:dyDescent="0.2">
      <c r="D487"/>
      <c r="F487"/>
    </row>
    <row r="488" spans="4:6" x14ac:dyDescent="0.2">
      <c r="D488"/>
      <c r="F488"/>
    </row>
    <row r="489" spans="4:6" x14ac:dyDescent="0.2">
      <c r="D489"/>
      <c r="F489"/>
    </row>
    <row r="490" spans="4:6" x14ac:dyDescent="0.2">
      <c r="D490"/>
      <c r="F490"/>
    </row>
    <row r="491" spans="4:6" x14ac:dyDescent="0.2">
      <c r="D491"/>
      <c r="F491"/>
    </row>
    <row r="492" spans="4:6" x14ac:dyDescent="0.2">
      <c r="D492"/>
      <c r="F492"/>
    </row>
    <row r="493" spans="4:6" x14ac:dyDescent="0.2">
      <c r="D493"/>
      <c r="F493"/>
    </row>
    <row r="494" spans="4:6" x14ac:dyDescent="0.2">
      <c r="D494"/>
      <c r="F494"/>
    </row>
    <row r="495" spans="4:6" x14ac:dyDescent="0.2">
      <c r="D495"/>
      <c r="F495"/>
    </row>
    <row r="496" spans="4:6" x14ac:dyDescent="0.2">
      <c r="D496"/>
      <c r="F496"/>
    </row>
    <row r="497" spans="4:6" x14ac:dyDescent="0.2">
      <c r="D497"/>
      <c r="F497"/>
    </row>
    <row r="498" spans="4:6" x14ac:dyDescent="0.2">
      <c r="D498"/>
      <c r="F498"/>
    </row>
    <row r="499" spans="4:6" x14ac:dyDescent="0.2">
      <c r="D499"/>
      <c r="F499"/>
    </row>
    <row r="500" spans="4:6" x14ac:dyDescent="0.2">
      <c r="D500"/>
      <c r="F500"/>
    </row>
    <row r="501" spans="4:6" x14ac:dyDescent="0.2">
      <c r="D501"/>
      <c r="F501"/>
    </row>
    <row r="502" spans="4:6" x14ac:dyDescent="0.2">
      <c r="D502"/>
      <c r="F502"/>
    </row>
    <row r="503" spans="4:6" x14ac:dyDescent="0.2">
      <c r="D503"/>
      <c r="F503"/>
    </row>
    <row r="504" spans="4:6" x14ac:dyDescent="0.2">
      <c r="D504"/>
      <c r="F504"/>
    </row>
    <row r="505" spans="4:6" x14ac:dyDescent="0.2">
      <c r="D505"/>
      <c r="F505"/>
    </row>
    <row r="506" spans="4:6" x14ac:dyDescent="0.2">
      <c r="D506"/>
      <c r="F506"/>
    </row>
    <row r="507" spans="4:6" x14ac:dyDescent="0.2">
      <c r="D507"/>
      <c r="F507"/>
    </row>
    <row r="508" spans="4:6" x14ac:dyDescent="0.2">
      <c r="D508"/>
      <c r="F508"/>
    </row>
    <row r="509" spans="4:6" x14ac:dyDescent="0.2">
      <c r="D509"/>
      <c r="F509"/>
    </row>
    <row r="510" spans="4:6" x14ac:dyDescent="0.2">
      <c r="D510"/>
      <c r="F510"/>
    </row>
    <row r="511" spans="4:6" x14ac:dyDescent="0.2">
      <c r="D511"/>
      <c r="F511"/>
    </row>
    <row r="512" spans="4:6" x14ac:dyDescent="0.2">
      <c r="D512"/>
      <c r="F512"/>
    </row>
    <row r="513" spans="4:6" x14ac:dyDescent="0.2">
      <c r="D513"/>
      <c r="F513"/>
    </row>
    <row r="514" spans="4:6" x14ac:dyDescent="0.2">
      <c r="D514"/>
      <c r="F514"/>
    </row>
    <row r="515" spans="4:6" x14ac:dyDescent="0.2">
      <c r="D515"/>
      <c r="F515"/>
    </row>
    <row r="516" spans="4:6" x14ac:dyDescent="0.2">
      <c r="D516"/>
      <c r="F516"/>
    </row>
    <row r="517" spans="4:6" x14ac:dyDescent="0.2">
      <c r="D517"/>
      <c r="F517"/>
    </row>
    <row r="518" spans="4:6" x14ac:dyDescent="0.2">
      <c r="D518"/>
      <c r="F518"/>
    </row>
    <row r="519" spans="4:6" x14ac:dyDescent="0.2">
      <c r="D519"/>
      <c r="F519"/>
    </row>
    <row r="520" spans="4:6" x14ac:dyDescent="0.2">
      <c r="D520"/>
      <c r="F520"/>
    </row>
    <row r="521" spans="4:6" x14ac:dyDescent="0.2">
      <c r="D521"/>
      <c r="F521"/>
    </row>
    <row r="522" spans="4:6" x14ac:dyDescent="0.2">
      <c r="D522"/>
      <c r="F522"/>
    </row>
    <row r="523" spans="4:6" x14ac:dyDescent="0.2">
      <c r="D523"/>
      <c r="F523"/>
    </row>
    <row r="524" spans="4:6" x14ac:dyDescent="0.2">
      <c r="D524"/>
      <c r="F524"/>
    </row>
    <row r="525" spans="4:6" x14ac:dyDescent="0.2">
      <c r="D525"/>
      <c r="F525"/>
    </row>
    <row r="526" spans="4:6" x14ac:dyDescent="0.2">
      <c r="D526"/>
      <c r="F526"/>
    </row>
    <row r="527" spans="4:6" x14ac:dyDescent="0.2">
      <c r="D527"/>
      <c r="F527"/>
    </row>
    <row r="528" spans="4:6" x14ac:dyDescent="0.2">
      <c r="D528"/>
      <c r="F528"/>
    </row>
    <row r="529" spans="4:6" x14ac:dyDescent="0.2">
      <c r="D529"/>
      <c r="F529"/>
    </row>
    <row r="530" spans="4:6" x14ac:dyDescent="0.2">
      <c r="D530"/>
      <c r="F530"/>
    </row>
    <row r="531" spans="4:6" x14ac:dyDescent="0.2">
      <c r="D531"/>
      <c r="F531"/>
    </row>
    <row r="532" spans="4:6" x14ac:dyDescent="0.2">
      <c r="D532"/>
      <c r="F532"/>
    </row>
    <row r="533" spans="4:6" x14ac:dyDescent="0.2">
      <c r="D533"/>
      <c r="F533"/>
    </row>
    <row r="534" spans="4:6" x14ac:dyDescent="0.2">
      <c r="D534"/>
      <c r="F534"/>
    </row>
    <row r="535" spans="4:6" x14ac:dyDescent="0.2">
      <c r="D535"/>
      <c r="F535"/>
    </row>
    <row r="536" spans="4:6" x14ac:dyDescent="0.2">
      <c r="D536"/>
      <c r="F536"/>
    </row>
    <row r="537" spans="4:6" x14ac:dyDescent="0.2">
      <c r="D537"/>
      <c r="F537"/>
    </row>
    <row r="538" spans="4:6" x14ac:dyDescent="0.2">
      <c r="D538"/>
      <c r="F538"/>
    </row>
    <row r="539" spans="4:6" x14ac:dyDescent="0.2">
      <c r="D539"/>
      <c r="F539"/>
    </row>
    <row r="540" spans="4:6" x14ac:dyDescent="0.2">
      <c r="D540"/>
      <c r="F540"/>
    </row>
    <row r="541" spans="4:6" x14ac:dyDescent="0.2">
      <c r="D541"/>
      <c r="F541"/>
    </row>
    <row r="542" spans="4:6" x14ac:dyDescent="0.2">
      <c r="D542"/>
      <c r="F542"/>
    </row>
    <row r="543" spans="4:6" x14ac:dyDescent="0.2">
      <c r="D543"/>
      <c r="F543"/>
    </row>
    <row r="544" spans="4:6" x14ac:dyDescent="0.2">
      <c r="D544"/>
      <c r="F544"/>
    </row>
    <row r="545" spans="4:6" x14ac:dyDescent="0.2">
      <c r="D545"/>
      <c r="F545"/>
    </row>
    <row r="546" spans="4:6" x14ac:dyDescent="0.2">
      <c r="D546"/>
      <c r="F546"/>
    </row>
    <row r="547" spans="4:6" x14ac:dyDescent="0.2">
      <c r="D547"/>
      <c r="F547"/>
    </row>
    <row r="548" spans="4:6" x14ac:dyDescent="0.2">
      <c r="D548"/>
      <c r="F548"/>
    </row>
    <row r="549" spans="4:6" x14ac:dyDescent="0.2">
      <c r="D549"/>
      <c r="F549"/>
    </row>
    <row r="550" spans="4:6" x14ac:dyDescent="0.2">
      <c r="D550"/>
      <c r="F550"/>
    </row>
    <row r="551" spans="4:6" x14ac:dyDescent="0.2">
      <c r="D551"/>
      <c r="F551"/>
    </row>
    <row r="552" spans="4:6" x14ac:dyDescent="0.2">
      <c r="D552"/>
      <c r="F552"/>
    </row>
    <row r="553" spans="4:6" x14ac:dyDescent="0.2">
      <c r="D553"/>
      <c r="F553"/>
    </row>
    <row r="554" spans="4:6" x14ac:dyDescent="0.2">
      <c r="D554"/>
      <c r="F554"/>
    </row>
    <row r="555" spans="4:6" x14ac:dyDescent="0.2">
      <c r="D555"/>
      <c r="F555"/>
    </row>
    <row r="556" spans="4:6" x14ac:dyDescent="0.2">
      <c r="D556"/>
      <c r="F556"/>
    </row>
    <row r="557" spans="4:6" x14ac:dyDescent="0.2">
      <c r="D557"/>
      <c r="F557"/>
    </row>
    <row r="558" spans="4:6" x14ac:dyDescent="0.2">
      <c r="D558"/>
      <c r="F558"/>
    </row>
    <row r="559" spans="4:6" x14ac:dyDescent="0.2">
      <c r="D559"/>
      <c r="F559"/>
    </row>
    <row r="560" spans="4:6" x14ac:dyDescent="0.2">
      <c r="D560"/>
      <c r="F560"/>
    </row>
    <row r="561" spans="4:6" x14ac:dyDescent="0.2">
      <c r="D561"/>
      <c r="F561"/>
    </row>
    <row r="562" spans="4:6" x14ac:dyDescent="0.2">
      <c r="D562"/>
      <c r="F562"/>
    </row>
    <row r="563" spans="4:6" x14ac:dyDescent="0.2">
      <c r="D563"/>
      <c r="F563"/>
    </row>
    <row r="564" spans="4:6" x14ac:dyDescent="0.2">
      <c r="D564"/>
      <c r="F564"/>
    </row>
    <row r="565" spans="4:6" x14ac:dyDescent="0.2">
      <c r="D565"/>
      <c r="F565"/>
    </row>
    <row r="566" spans="4:6" x14ac:dyDescent="0.2">
      <c r="D566"/>
      <c r="F566"/>
    </row>
    <row r="567" spans="4:6" x14ac:dyDescent="0.2">
      <c r="D567"/>
      <c r="F567"/>
    </row>
    <row r="568" spans="4:6" x14ac:dyDescent="0.2">
      <c r="D568"/>
      <c r="F568"/>
    </row>
    <row r="569" spans="4:6" x14ac:dyDescent="0.2">
      <c r="D569"/>
      <c r="F569"/>
    </row>
    <row r="570" spans="4:6" x14ac:dyDescent="0.2">
      <c r="D570"/>
      <c r="F570"/>
    </row>
    <row r="571" spans="4:6" x14ac:dyDescent="0.2">
      <c r="D571"/>
      <c r="F571"/>
    </row>
    <row r="572" spans="4:6" x14ac:dyDescent="0.2">
      <c r="D572"/>
      <c r="F572"/>
    </row>
    <row r="573" spans="4:6" x14ac:dyDescent="0.2">
      <c r="D573"/>
      <c r="F573"/>
    </row>
    <row r="574" spans="4:6" x14ac:dyDescent="0.2">
      <c r="D574"/>
      <c r="F574"/>
    </row>
    <row r="575" spans="4:6" x14ac:dyDescent="0.2">
      <c r="D575"/>
      <c r="F575"/>
    </row>
    <row r="576" spans="4:6" x14ac:dyDescent="0.2">
      <c r="D576"/>
      <c r="F576"/>
    </row>
    <row r="577" spans="4:6" x14ac:dyDescent="0.2">
      <c r="D577"/>
      <c r="F577"/>
    </row>
    <row r="578" spans="4:6" x14ac:dyDescent="0.2">
      <c r="D578"/>
      <c r="F578"/>
    </row>
    <row r="579" spans="4:6" x14ac:dyDescent="0.2">
      <c r="D579"/>
      <c r="F579"/>
    </row>
    <row r="580" spans="4:6" x14ac:dyDescent="0.2">
      <c r="D580"/>
      <c r="F580"/>
    </row>
    <row r="581" spans="4:6" x14ac:dyDescent="0.2">
      <c r="D581"/>
      <c r="F581"/>
    </row>
    <row r="582" spans="4:6" x14ac:dyDescent="0.2">
      <c r="D582"/>
      <c r="F582"/>
    </row>
    <row r="583" spans="4:6" x14ac:dyDescent="0.2">
      <c r="D583"/>
      <c r="F583"/>
    </row>
    <row r="584" spans="4:6" x14ac:dyDescent="0.2">
      <c r="D584"/>
      <c r="F584"/>
    </row>
    <row r="585" spans="4:6" x14ac:dyDescent="0.2">
      <c r="D585"/>
      <c r="F585"/>
    </row>
    <row r="586" spans="4:6" x14ac:dyDescent="0.2">
      <c r="D586"/>
      <c r="F586"/>
    </row>
    <row r="587" spans="4:6" x14ac:dyDescent="0.2">
      <c r="D587"/>
      <c r="F587"/>
    </row>
    <row r="588" spans="4:6" x14ac:dyDescent="0.2">
      <c r="D588"/>
      <c r="F588"/>
    </row>
    <row r="589" spans="4:6" x14ac:dyDescent="0.2">
      <c r="D589"/>
      <c r="F589"/>
    </row>
    <row r="590" spans="4:6" x14ac:dyDescent="0.2">
      <c r="D590"/>
      <c r="F590"/>
    </row>
    <row r="591" spans="4:6" x14ac:dyDescent="0.2">
      <c r="D591"/>
      <c r="F591"/>
    </row>
    <row r="592" spans="4:6" x14ac:dyDescent="0.2">
      <c r="D592"/>
      <c r="F592"/>
    </row>
    <row r="593" spans="4:6" x14ac:dyDescent="0.2">
      <c r="D593"/>
      <c r="F593"/>
    </row>
    <row r="594" spans="4:6" x14ac:dyDescent="0.2">
      <c r="D594"/>
      <c r="F594"/>
    </row>
    <row r="595" spans="4:6" x14ac:dyDescent="0.2">
      <c r="D595"/>
      <c r="F595"/>
    </row>
    <row r="596" spans="4:6" x14ac:dyDescent="0.2">
      <c r="D596"/>
      <c r="F596"/>
    </row>
    <row r="597" spans="4:6" x14ac:dyDescent="0.2">
      <c r="D597"/>
      <c r="F597"/>
    </row>
    <row r="598" spans="4:6" x14ac:dyDescent="0.2">
      <c r="D598"/>
      <c r="F598"/>
    </row>
    <row r="599" spans="4:6" x14ac:dyDescent="0.2">
      <c r="D599"/>
      <c r="F599"/>
    </row>
    <row r="600" spans="4:6" x14ac:dyDescent="0.2">
      <c r="D600"/>
      <c r="F600"/>
    </row>
    <row r="601" spans="4:6" x14ac:dyDescent="0.2">
      <c r="D601"/>
      <c r="F601"/>
    </row>
    <row r="602" spans="4:6" x14ac:dyDescent="0.2">
      <c r="D602"/>
      <c r="F602"/>
    </row>
    <row r="603" spans="4:6" x14ac:dyDescent="0.2">
      <c r="D603"/>
      <c r="F603"/>
    </row>
    <row r="604" spans="4:6" x14ac:dyDescent="0.2">
      <c r="D604"/>
      <c r="F604"/>
    </row>
    <row r="605" spans="4:6" x14ac:dyDescent="0.2">
      <c r="D605"/>
      <c r="F605"/>
    </row>
    <row r="606" spans="4:6" x14ac:dyDescent="0.2">
      <c r="D606"/>
      <c r="F606"/>
    </row>
    <row r="607" spans="4:6" x14ac:dyDescent="0.2">
      <c r="D607"/>
      <c r="F607"/>
    </row>
    <row r="608" spans="4:6" x14ac:dyDescent="0.2">
      <c r="D608"/>
      <c r="F608"/>
    </row>
    <row r="609" spans="4:6" x14ac:dyDescent="0.2">
      <c r="D609"/>
      <c r="F609"/>
    </row>
    <row r="610" spans="4:6" x14ac:dyDescent="0.2">
      <c r="D610"/>
      <c r="F610"/>
    </row>
    <row r="611" spans="4:6" x14ac:dyDescent="0.2">
      <c r="D611"/>
      <c r="F611"/>
    </row>
    <row r="612" spans="4:6" x14ac:dyDescent="0.2">
      <c r="D612"/>
      <c r="F612"/>
    </row>
    <row r="613" spans="4:6" x14ac:dyDescent="0.2">
      <c r="D613"/>
      <c r="F613"/>
    </row>
    <row r="614" spans="4:6" x14ac:dyDescent="0.2">
      <c r="D614"/>
      <c r="F614"/>
    </row>
    <row r="615" spans="4:6" x14ac:dyDescent="0.2">
      <c r="D615"/>
      <c r="F615"/>
    </row>
    <row r="616" spans="4:6" x14ac:dyDescent="0.2">
      <c r="D616"/>
      <c r="F616"/>
    </row>
    <row r="617" spans="4:6" x14ac:dyDescent="0.2">
      <c r="D617"/>
      <c r="F617"/>
    </row>
    <row r="618" spans="4:6" x14ac:dyDescent="0.2">
      <c r="D618"/>
      <c r="F618"/>
    </row>
    <row r="619" spans="4:6" x14ac:dyDescent="0.2">
      <c r="D619"/>
      <c r="F619"/>
    </row>
    <row r="620" spans="4:6" x14ac:dyDescent="0.2">
      <c r="D620"/>
      <c r="F620"/>
    </row>
    <row r="621" spans="4:6" x14ac:dyDescent="0.2">
      <c r="D621"/>
      <c r="F621"/>
    </row>
    <row r="622" spans="4:6" x14ac:dyDescent="0.2">
      <c r="D622"/>
      <c r="F622"/>
    </row>
    <row r="623" spans="4:6" x14ac:dyDescent="0.2">
      <c r="D623"/>
      <c r="F623"/>
    </row>
    <row r="624" spans="4:6" x14ac:dyDescent="0.2">
      <c r="D624"/>
      <c r="F624"/>
    </row>
    <row r="625" spans="4:6" x14ac:dyDescent="0.2">
      <c r="D625"/>
      <c r="F625"/>
    </row>
    <row r="626" spans="4:6" x14ac:dyDescent="0.2">
      <c r="D626"/>
      <c r="F626"/>
    </row>
    <row r="627" spans="4:6" x14ac:dyDescent="0.2">
      <c r="D627"/>
      <c r="F627"/>
    </row>
    <row r="628" spans="4:6" x14ac:dyDescent="0.2">
      <c r="D628"/>
      <c r="F628"/>
    </row>
    <row r="629" spans="4:6" x14ac:dyDescent="0.2">
      <c r="D629"/>
      <c r="F629"/>
    </row>
    <row r="630" spans="4:6" x14ac:dyDescent="0.2">
      <c r="D630"/>
      <c r="F630"/>
    </row>
    <row r="631" spans="4:6" x14ac:dyDescent="0.2">
      <c r="D631"/>
      <c r="F631"/>
    </row>
    <row r="632" spans="4:6" x14ac:dyDescent="0.2">
      <c r="D632"/>
      <c r="F632"/>
    </row>
    <row r="633" spans="4:6" x14ac:dyDescent="0.2">
      <c r="D633"/>
      <c r="F633"/>
    </row>
    <row r="634" spans="4:6" x14ac:dyDescent="0.2">
      <c r="D634"/>
      <c r="F634"/>
    </row>
    <row r="635" spans="4:6" x14ac:dyDescent="0.2">
      <c r="D635"/>
      <c r="F635"/>
    </row>
    <row r="636" spans="4:6" x14ac:dyDescent="0.2">
      <c r="D636"/>
      <c r="F636"/>
    </row>
    <row r="637" spans="4:6" x14ac:dyDescent="0.2">
      <c r="D637"/>
      <c r="F637"/>
    </row>
    <row r="638" spans="4:6" x14ac:dyDescent="0.2">
      <c r="D638"/>
      <c r="F638"/>
    </row>
    <row r="639" spans="4:6" x14ac:dyDescent="0.2">
      <c r="D639"/>
      <c r="F639"/>
    </row>
    <row r="640" spans="4:6" x14ac:dyDescent="0.2">
      <c r="D640"/>
      <c r="F640"/>
    </row>
    <row r="641" spans="4:6" x14ac:dyDescent="0.2">
      <c r="D641"/>
      <c r="F641"/>
    </row>
    <row r="642" spans="4:6" x14ac:dyDescent="0.2">
      <c r="D642"/>
      <c r="F642"/>
    </row>
    <row r="643" spans="4:6" x14ac:dyDescent="0.2">
      <c r="D643"/>
      <c r="F643"/>
    </row>
    <row r="644" spans="4:6" x14ac:dyDescent="0.2">
      <c r="D644"/>
      <c r="F644"/>
    </row>
    <row r="645" spans="4:6" x14ac:dyDescent="0.2">
      <c r="D645"/>
      <c r="F645"/>
    </row>
    <row r="646" spans="4:6" x14ac:dyDescent="0.2">
      <c r="D646"/>
      <c r="F646"/>
    </row>
    <row r="647" spans="4:6" x14ac:dyDescent="0.2">
      <c r="D647"/>
      <c r="F647"/>
    </row>
    <row r="648" spans="4:6" x14ac:dyDescent="0.2">
      <c r="D648"/>
      <c r="F648"/>
    </row>
    <row r="649" spans="4:6" x14ac:dyDescent="0.2">
      <c r="D649"/>
      <c r="F649"/>
    </row>
    <row r="650" spans="4:6" x14ac:dyDescent="0.2">
      <c r="D650"/>
      <c r="F650"/>
    </row>
    <row r="651" spans="4:6" x14ac:dyDescent="0.2">
      <c r="D651"/>
      <c r="F651"/>
    </row>
    <row r="652" spans="4:6" x14ac:dyDescent="0.2">
      <c r="D652"/>
      <c r="F652"/>
    </row>
    <row r="653" spans="4:6" x14ac:dyDescent="0.2">
      <c r="D653"/>
      <c r="F653"/>
    </row>
    <row r="654" spans="4:6" x14ac:dyDescent="0.2">
      <c r="D654"/>
      <c r="F654"/>
    </row>
    <row r="655" spans="4:6" x14ac:dyDescent="0.2">
      <c r="D655"/>
      <c r="F655"/>
    </row>
    <row r="656" spans="4:6" x14ac:dyDescent="0.2">
      <c r="D656"/>
      <c r="F656"/>
    </row>
    <row r="657" spans="4:6" x14ac:dyDescent="0.2">
      <c r="D657"/>
      <c r="F657"/>
    </row>
    <row r="658" spans="4:6" x14ac:dyDescent="0.2">
      <c r="D658"/>
      <c r="F658"/>
    </row>
    <row r="659" spans="4:6" x14ac:dyDescent="0.2">
      <c r="D659"/>
      <c r="F659"/>
    </row>
    <row r="660" spans="4:6" x14ac:dyDescent="0.2">
      <c r="D660"/>
      <c r="F660"/>
    </row>
    <row r="661" spans="4:6" x14ac:dyDescent="0.2">
      <c r="D661"/>
      <c r="F661"/>
    </row>
    <row r="662" spans="4:6" x14ac:dyDescent="0.2">
      <c r="D662"/>
      <c r="F662"/>
    </row>
    <row r="663" spans="4:6" x14ac:dyDescent="0.2">
      <c r="D663"/>
      <c r="F663"/>
    </row>
    <row r="664" spans="4:6" x14ac:dyDescent="0.2">
      <c r="D664"/>
      <c r="F664"/>
    </row>
    <row r="665" spans="4:6" x14ac:dyDescent="0.2">
      <c r="D665"/>
      <c r="F665"/>
    </row>
    <row r="666" spans="4:6" x14ac:dyDescent="0.2">
      <c r="D666"/>
      <c r="F666"/>
    </row>
    <row r="667" spans="4:6" x14ac:dyDescent="0.2">
      <c r="D667"/>
      <c r="F667"/>
    </row>
    <row r="668" spans="4:6" x14ac:dyDescent="0.2">
      <c r="D668"/>
      <c r="F668"/>
    </row>
    <row r="669" spans="4:6" x14ac:dyDescent="0.2">
      <c r="D669"/>
      <c r="F669"/>
    </row>
    <row r="670" spans="4:6" x14ac:dyDescent="0.2">
      <c r="D670"/>
      <c r="F670"/>
    </row>
    <row r="671" spans="4:6" x14ac:dyDescent="0.2">
      <c r="D671"/>
      <c r="F671"/>
    </row>
    <row r="672" spans="4:6" x14ac:dyDescent="0.2">
      <c r="D672"/>
      <c r="F672"/>
    </row>
    <row r="673" spans="4:6" x14ac:dyDescent="0.2">
      <c r="D673"/>
      <c r="F673"/>
    </row>
    <row r="674" spans="4:6" x14ac:dyDescent="0.2">
      <c r="D674"/>
      <c r="F674"/>
    </row>
    <row r="675" spans="4:6" x14ac:dyDescent="0.2">
      <c r="D675"/>
      <c r="F675"/>
    </row>
    <row r="676" spans="4:6" x14ac:dyDescent="0.2">
      <c r="D676"/>
      <c r="F676"/>
    </row>
    <row r="677" spans="4:6" x14ac:dyDescent="0.2">
      <c r="D677"/>
      <c r="F677"/>
    </row>
    <row r="678" spans="4:6" x14ac:dyDescent="0.2">
      <c r="D678"/>
      <c r="F678"/>
    </row>
    <row r="679" spans="4:6" x14ac:dyDescent="0.2">
      <c r="D679"/>
      <c r="F679"/>
    </row>
    <row r="680" spans="4:6" x14ac:dyDescent="0.2">
      <c r="D680"/>
      <c r="F680"/>
    </row>
    <row r="681" spans="4:6" x14ac:dyDescent="0.2">
      <c r="D681"/>
      <c r="F681"/>
    </row>
    <row r="682" spans="4:6" x14ac:dyDescent="0.2">
      <c r="D682"/>
      <c r="F682"/>
    </row>
    <row r="683" spans="4:6" x14ac:dyDescent="0.2">
      <c r="D683"/>
      <c r="F683"/>
    </row>
    <row r="684" spans="4:6" x14ac:dyDescent="0.2">
      <c r="D684"/>
      <c r="F684"/>
    </row>
    <row r="685" spans="4:6" x14ac:dyDescent="0.2">
      <c r="D685"/>
      <c r="F685"/>
    </row>
    <row r="686" spans="4:6" x14ac:dyDescent="0.2">
      <c r="D686"/>
      <c r="F686"/>
    </row>
    <row r="687" spans="4:6" x14ac:dyDescent="0.2">
      <c r="D687"/>
      <c r="F687"/>
    </row>
    <row r="688" spans="4:6" x14ac:dyDescent="0.2">
      <c r="D688"/>
      <c r="F688"/>
    </row>
    <row r="689" spans="4:6" x14ac:dyDescent="0.2">
      <c r="D689"/>
      <c r="F689"/>
    </row>
    <row r="690" spans="4:6" x14ac:dyDescent="0.2">
      <c r="D690"/>
      <c r="F690"/>
    </row>
    <row r="691" spans="4:6" x14ac:dyDescent="0.2">
      <c r="D691"/>
      <c r="F691"/>
    </row>
    <row r="692" spans="4:6" x14ac:dyDescent="0.2">
      <c r="D692"/>
      <c r="F692"/>
    </row>
    <row r="693" spans="4:6" x14ac:dyDescent="0.2">
      <c r="D693"/>
      <c r="F693"/>
    </row>
    <row r="694" spans="4:6" x14ac:dyDescent="0.2">
      <c r="D694"/>
      <c r="F694"/>
    </row>
    <row r="695" spans="4:6" x14ac:dyDescent="0.2">
      <c r="D695"/>
      <c r="F695"/>
    </row>
    <row r="696" spans="4:6" x14ac:dyDescent="0.2">
      <c r="D696"/>
      <c r="F696"/>
    </row>
    <row r="697" spans="4:6" x14ac:dyDescent="0.2">
      <c r="D697"/>
      <c r="F697"/>
    </row>
    <row r="698" spans="4:6" x14ac:dyDescent="0.2">
      <c r="D698"/>
      <c r="F698"/>
    </row>
    <row r="699" spans="4:6" x14ac:dyDescent="0.2">
      <c r="D699"/>
      <c r="F699"/>
    </row>
    <row r="700" spans="4:6" x14ac:dyDescent="0.2">
      <c r="D700"/>
      <c r="F700"/>
    </row>
    <row r="701" spans="4:6" x14ac:dyDescent="0.2">
      <c r="D701"/>
      <c r="F701"/>
    </row>
    <row r="702" spans="4:6" x14ac:dyDescent="0.2">
      <c r="D702"/>
      <c r="F702"/>
    </row>
    <row r="703" spans="4:6" x14ac:dyDescent="0.2">
      <c r="D703"/>
      <c r="F703"/>
    </row>
    <row r="704" spans="4:6" x14ac:dyDescent="0.2">
      <c r="D704"/>
      <c r="F704"/>
    </row>
    <row r="705" spans="4:6" x14ac:dyDescent="0.2">
      <c r="D705"/>
      <c r="F705"/>
    </row>
    <row r="706" spans="4:6" x14ac:dyDescent="0.2">
      <c r="D706"/>
      <c r="F706"/>
    </row>
    <row r="707" spans="4:6" x14ac:dyDescent="0.2">
      <c r="D707"/>
      <c r="F707"/>
    </row>
    <row r="708" spans="4:6" x14ac:dyDescent="0.2">
      <c r="D708"/>
      <c r="F708"/>
    </row>
    <row r="709" spans="4:6" x14ac:dyDescent="0.2">
      <c r="D709"/>
      <c r="F709"/>
    </row>
    <row r="710" spans="4:6" x14ac:dyDescent="0.2">
      <c r="D710"/>
      <c r="F710"/>
    </row>
    <row r="711" spans="4:6" x14ac:dyDescent="0.2">
      <c r="D711"/>
      <c r="F711"/>
    </row>
    <row r="712" spans="4:6" x14ac:dyDescent="0.2">
      <c r="D712"/>
      <c r="F712"/>
    </row>
    <row r="713" spans="4:6" x14ac:dyDescent="0.2">
      <c r="D713"/>
      <c r="F713"/>
    </row>
    <row r="714" spans="4:6" x14ac:dyDescent="0.2">
      <c r="D714"/>
      <c r="F714"/>
    </row>
    <row r="715" spans="4:6" x14ac:dyDescent="0.2">
      <c r="D715"/>
      <c r="F715"/>
    </row>
    <row r="716" spans="4:6" x14ac:dyDescent="0.2">
      <c r="D716"/>
      <c r="F716"/>
    </row>
    <row r="717" spans="4:6" x14ac:dyDescent="0.2">
      <c r="D717"/>
      <c r="F717"/>
    </row>
    <row r="718" spans="4:6" x14ac:dyDescent="0.2">
      <c r="D718"/>
      <c r="F718"/>
    </row>
    <row r="719" spans="4:6" x14ac:dyDescent="0.2">
      <c r="D719"/>
      <c r="F719"/>
    </row>
    <row r="720" spans="4:6" x14ac:dyDescent="0.2">
      <c r="D720"/>
      <c r="F720"/>
    </row>
    <row r="721" spans="4:6" x14ac:dyDescent="0.2">
      <c r="D721"/>
      <c r="F721"/>
    </row>
    <row r="722" spans="4:6" x14ac:dyDescent="0.2">
      <c r="D722"/>
      <c r="F722"/>
    </row>
    <row r="723" spans="4:6" x14ac:dyDescent="0.2">
      <c r="D723"/>
      <c r="F723"/>
    </row>
    <row r="724" spans="4:6" x14ac:dyDescent="0.2">
      <c r="D724"/>
      <c r="F724"/>
    </row>
    <row r="725" spans="4:6" x14ac:dyDescent="0.2">
      <c r="D725"/>
      <c r="F725"/>
    </row>
    <row r="726" spans="4:6" x14ac:dyDescent="0.2">
      <c r="D726"/>
      <c r="F726"/>
    </row>
    <row r="727" spans="4:6" x14ac:dyDescent="0.2">
      <c r="D727"/>
      <c r="F727"/>
    </row>
    <row r="728" spans="4:6" x14ac:dyDescent="0.2">
      <c r="D728"/>
      <c r="F728"/>
    </row>
    <row r="729" spans="4:6" x14ac:dyDescent="0.2">
      <c r="D729"/>
      <c r="F729"/>
    </row>
    <row r="730" spans="4:6" x14ac:dyDescent="0.2">
      <c r="D730"/>
      <c r="F730"/>
    </row>
    <row r="731" spans="4:6" x14ac:dyDescent="0.2">
      <c r="D731"/>
      <c r="F731"/>
    </row>
    <row r="732" spans="4:6" x14ac:dyDescent="0.2">
      <c r="D732"/>
      <c r="F732"/>
    </row>
    <row r="733" spans="4:6" x14ac:dyDescent="0.2">
      <c r="D733"/>
      <c r="F733"/>
    </row>
    <row r="734" spans="4:6" x14ac:dyDescent="0.2">
      <c r="D734"/>
      <c r="F734"/>
    </row>
    <row r="735" spans="4:6" x14ac:dyDescent="0.2">
      <c r="D735"/>
      <c r="F735"/>
    </row>
    <row r="736" spans="4:6" x14ac:dyDescent="0.2">
      <c r="D736"/>
      <c r="F736"/>
    </row>
    <row r="737" spans="4:6" x14ac:dyDescent="0.2">
      <c r="D737"/>
      <c r="F737"/>
    </row>
    <row r="738" spans="4:6" x14ac:dyDescent="0.2">
      <c r="D738"/>
      <c r="F738"/>
    </row>
    <row r="739" spans="4:6" x14ac:dyDescent="0.2">
      <c r="D739"/>
      <c r="F739"/>
    </row>
    <row r="740" spans="4:6" x14ac:dyDescent="0.2">
      <c r="D740"/>
      <c r="F740"/>
    </row>
    <row r="741" spans="4:6" x14ac:dyDescent="0.2">
      <c r="D741"/>
      <c r="F741"/>
    </row>
    <row r="742" spans="4:6" x14ac:dyDescent="0.2">
      <c r="D742"/>
      <c r="F742"/>
    </row>
    <row r="743" spans="4:6" x14ac:dyDescent="0.2">
      <c r="D743"/>
      <c r="F743"/>
    </row>
    <row r="744" spans="4:6" x14ac:dyDescent="0.2">
      <c r="D744"/>
      <c r="F744"/>
    </row>
    <row r="745" spans="4:6" x14ac:dyDescent="0.2">
      <c r="D745"/>
      <c r="F745"/>
    </row>
    <row r="746" spans="4:6" x14ac:dyDescent="0.2">
      <c r="D746"/>
      <c r="F746"/>
    </row>
    <row r="747" spans="4:6" x14ac:dyDescent="0.2">
      <c r="D747"/>
      <c r="F747"/>
    </row>
    <row r="748" spans="4:6" x14ac:dyDescent="0.2">
      <c r="D748"/>
      <c r="F748"/>
    </row>
    <row r="749" spans="4:6" x14ac:dyDescent="0.2">
      <c r="D749"/>
      <c r="F749"/>
    </row>
    <row r="750" spans="4:6" x14ac:dyDescent="0.2">
      <c r="D750"/>
      <c r="F750"/>
    </row>
    <row r="751" spans="4:6" x14ac:dyDescent="0.2">
      <c r="D751"/>
      <c r="F751"/>
    </row>
    <row r="752" spans="4:6" x14ac:dyDescent="0.2">
      <c r="D752"/>
      <c r="F752"/>
    </row>
    <row r="753" spans="4:6" x14ac:dyDescent="0.2">
      <c r="D753"/>
      <c r="F753"/>
    </row>
    <row r="754" spans="4:6" x14ac:dyDescent="0.2">
      <c r="D754"/>
      <c r="F754"/>
    </row>
    <row r="755" spans="4:6" x14ac:dyDescent="0.2">
      <c r="D755"/>
      <c r="F755"/>
    </row>
    <row r="756" spans="4:6" x14ac:dyDescent="0.2">
      <c r="D756"/>
      <c r="F756"/>
    </row>
    <row r="757" spans="4:6" x14ac:dyDescent="0.2">
      <c r="D757"/>
      <c r="F757"/>
    </row>
    <row r="758" spans="4:6" x14ac:dyDescent="0.2">
      <c r="D758"/>
      <c r="F758"/>
    </row>
    <row r="759" spans="4:6" x14ac:dyDescent="0.2">
      <c r="D759"/>
      <c r="F759"/>
    </row>
    <row r="760" spans="4:6" x14ac:dyDescent="0.2">
      <c r="D760"/>
      <c r="F760"/>
    </row>
    <row r="761" spans="4:6" x14ac:dyDescent="0.2">
      <c r="D761"/>
      <c r="F761"/>
    </row>
    <row r="762" spans="4:6" x14ac:dyDescent="0.2">
      <c r="D762"/>
      <c r="F762"/>
    </row>
    <row r="763" spans="4:6" x14ac:dyDescent="0.2">
      <c r="D763"/>
      <c r="F763"/>
    </row>
    <row r="764" spans="4:6" x14ac:dyDescent="0.2">
      <c r="D764"/>
      <c r="F764"/>
    </row>
    <row r="765" spans="4:6" x14ac:dyDescent="0.2">
      <c r="D765"/>
      <c r="F765"/>
    </row>
    <row r="766" spans="4:6" x14ac:dyDescent="0.2">
      <c r="D766"/>
      <c r="F766"/>
    </row>
    <row r="767" spans="4:6" x14ac:dyDescent="0.2">
      <c r="D767"/>
      <c r="F767"/>
    </row>
    <row r="768" spans="4:6" x14ac:dyDescent="0.2">
      <c r="D768"/>
      <c r="F768"/>
    </row>
    <row r="769" spans="4:6" x14ac:dyDescent="0.2">
      <c r="D769"/>
      <c r="F769"/>
    </row>
    <row r="770" spans="4:6" x14ac:dyDescent="0.2">
      <c r="D770"/>
      <c r="F770"/>
    </row>
    <row r="771" spans="4:6" x14ac:dyDescent="0.2">
      <c r="D771"/>
      <c r="F771"/>
    </row>
    <row r="772" spans="4:6" x14ac:dyDescent="0.2">
      <c r="D772"/>
      <c r="F772"/>
    </row>
    <row r="773" spans="4:6" x14ac:dyDescent="0.2">
      <c r="D773"/>
      <c r="F773"/>
    </row>
    <row r="774" spans="4:6" x14ac:dyDescent="0.2">
      <c r="D774"/>
      <c r="F774"/>
    </row>
    <row r="775" spans="4:6" x14ac:dyDescent="0.2">
      <c r="D775"/>
      <c r="F775"/>
    </row>
    <row r="776" spans="4:6" x14ac:dyDescent="0.2">
      <c r="D776"/>
      <c r="F776"/>
    </row>
    <row r="777" spans="4:6" x14ac:dyDescent="0.2">
      <c r="D777"/>
      <c r="F777"/>
    </row>
    <row r="778" spans="4:6" x14ac:dyDescent="0.2">
      <c r="D778"/>
      <c r="F778"/>
    </row>
    <row r="779" spans="4:6" x14ac:dyDescent="0.2">
      <c r="D779"/>
      <c r="F779"/>
    </row>
    <row r="780" spans="4:6" x14ac:dyDescent="0.2">
      <c r="D780"/>
      <c r="F780"/>
    </row>
    <row r="781" spans="4:6" x14ac:dyDescent="0.2">
      <c r="D781"/>
      <c r="F781"/>
    </row>
    <row r="782" spans="4:6" x14ac:dyDescent="0.2">
      <c r="D782"/>
      <c r="F782"/>
    </row>
    <row r="783" spans="4:6" x14ac:dyDescent="0.2">
      <c r="D783"/>
      <c r="F783"/>
    </row>
    <row r="784" spans="4:6" x14ac:dyDescent="0.2">
      <c r="D784"/>
      <c r="F784"/>
    </row>
    <row r="785" spans="4:6" x14ac:dyDescent="0.2">
      <c r="D785"/>
      <c r="F785"/>
    </row>
    <row r="786" spans="4:6" x14ac:dyDescent="0.2">
      <c r="D786"/>
      <c r="F786"/>
    </row>
    <row r="787" spans="4:6" x14ac:dyDescent="0.2">
      <c r="D787"/>
      <c r="F787"/>
    </row>
    <row r="788" spans="4:6" x14ac:dyDescent="0.2">
      <c r="D788"/>
      <c r="F788"/>
    </row>
    <row r="789" spans="4:6" x14ac:dyDescent="0.2">
      <c r="D789"/>
      <c r="F789"/>
    </row>
    <row r="790" spans="4:6" x14ac:dyDescent="0.2">
      <c r="D790"/>
      <c r="F790"/>
    </row>
    <row r="791" spans="4:6" x14ac:dyDescent="0.2">
      <c r="D791"/>
      <c r="F791"/>
    </row>
    <row r="792" spans="4:6" x14ac:dyDescent="0.2">
      <c r="D792"/>
      <c r="F792"/>
    </row>
    <row r="793" spans="4:6" x14ac:dyDescent="0.2">
      <c r="D793"/>
      <c r="F793"/>
    </row>
    <row r="794" spans="4:6" x14ac:dyDescent="0.2">
      <c r="D794"/>
      <c r="F794"/>
    </row>
    <row r="795" spans="4:6" x14ac:dyDescent="0.2">
      <c r="D795"/>
      <c r="F795"/>
    </row>
    <row r="796" spans="4:6" x14ac:dyDescent="0.2">
      <c r="D796"/>
      <c r="F796"/>
    </row>
    <row r="797" spans="4:6" x14ac:dyDescent="0.2">
      <c r="D797"/>
      <c r="F797"/>
    </row>
    <row r="798" spans="4:6" x14ac:dyDescent="0.2">
      <c r="D798"/>
      <c r="F798"/>
    </row>
    <row r="799" spans="4:6" x14ac:dyDescent="0.2">
      <c r="D799"/>
      <c r="F799"/>
    </row>
    <row r="800" spans="4:6" x14ac:dyDescent="0.2">
      <c r="D800"/>
      <c r="F800"/>
    </row>
    <row r="801" spans="4:6" x14ac:dyDescent="0.2">
      <c r="D801"/>
      <c r="F801"/>
    </row>
    <row r="802" spans="4:6" x14ac:dyDescent="0.2">
      <c r="D802"/>
      <c r="F802"/>
    </row>
    <row r="803" spans="4:6" x14ac:dyDescent="0.2">
      <c r="D803"/>
      <c r="F803"/>
    </row>
    <row r="804" spans="4:6" x14ac:dyDescent="0.2">
      <c r="D804"/>
      <c r="F804"/>
    </row>
    <row r="805" spans="4:6" x14ac:dyDescent="0.2">
      <c r="D805"/>
      <c r="F805"/>
    </row>
    <row r="806" spans="4:6" x14ac:dyDescent="0.2">
      <c r="D806"/>
      <c r="F806"/>
    </row>
    <row r="807" spans="4:6" x14ac:dyDescent="0.2">
      <c r="D807"/>
      <c r="F807"/>
    </row>
    <row r="808" spans="4:6" x14ac:dyDescent="0.2">
      <c r="D808"/>
      <c r="F808"/>
    </row>
    <row r="809" spans="4:6" x14ac:dyDescent="0.2">
      <c r="D809"/>
      <c r="F809"/>
    </row>
    <row r="810" spans="4:6" x14ac:dyDescent="0.2">
      <c r="D810"/>
      <c r="F810"/>
    </row>
    <row r="811" spans="4:6" x14ac:dyDescent="0.2">
      <c r="D811"/>
      <c r="F811"/>
    </row>
    <row r="812" spans="4:6" x14ac:dyDescent="0.2">
      <c r="D812"/>
      <c r="F812"/>
    </row>
    <row r="813" spans="4:6" x14ac:dyDescent="0.2">
      <c r="D813"/>
      <c r="F813"/>
    </row>
    <row r="814" spans="4:6" x14ac:dyDescent="0.2">
      <c r="D814"/>
      <c r="F814"/>
    </row>
    <row r="815" spans="4:6" x14ac:dyDescent="0.2">
      <c r="D815"/>
      <c r="F815"/>
    </row>
    <row r="816" spans="4:6" x14ac:dyDescent="0.2">
      <c r="D816"/>
      <c r="F816"/>
    </row>
    <row r="817" spans="4:6" x14ac:dyDescent="0.2">
      <c r="D817"/>
      <c r="F817"/>
    </row>
    <row r="818" spans="4:6" x14ac:dyDescent="0.2">
      <c r="D818"/>
      <c r="F818"/>
    </row>
    <row r="819" spans="4:6" x14ac:dyDescent="0.2">
      <c r="D819"/>
      <c r="F819"/>
    </row>
    <row r="820" spans="4:6" x14ac:dyDescent="0.2">
      <c r="D820"/>
      <c r="F820"/>
    </row>
    <row r="821" spans="4:6" x14ac:dyDescent="0.2">
      <c r="D821"/>
      <c r="F821"/>
    </row>
    <row r="822" spans="4:6" x14ac:dyDescent="0.2">
      <c r="D822"/>
      <c r="F822"/>
    </row>
    <row r="823" spans="4:6" x14ac:dyDescent="0.2">
      <c r="D823"/>
      <c r="F823"/>
    </row>
    <row r="824" spans="4:6" x14ac:dyDescent="0.2">
      <c r="D824"/>
      <c r="F824"/>
    </row>
    <row r="825" spans="4:6" x14ac:dyDescent="0.2">
      <c r="D825"/>
      <c r="F825"/>
    </row>
    <row r="826" spans="4:6" x14ac:dyDescent="0.2">
      <c r="D826"/>
      <c r="F826"/>
    </row>
    <row r="827" spans="4:6" x14ac:dyDescent="0.2">
      <c r="D827"/>
      <c r="F827"/>
    </row>
    <row r="828" spans="4:6" x14ac:dyDescent="0.2">
      <c r="D828"/>
      <c r="F828"/>
    </row>
    <row r="829" spans="4:6" x14ac:dyDescent="0.2">
      <c r="D829"/>
      <c r="F829"/>
    </row>
    <row r="830" spans="4:6" x14ac:dyDescent="0.2">
      <c r="D830"/>
      <c r="F830"/>
    </row>
    <row r="831" spans="4:6" x14ac:dyDescent="0.2">
      <c r="D831"/>
      <c r="F831"/>
    </row>
    <row r="832" spans="4:6" x14ac:dyDescent="0.2">
      <c r="D832"/>
      <c r="F832"/>
    </row>
    <row r="833" spans="4:6" x14ac:dyDescent="0.2">
      <c r="D833"/>
      <c r="F833"/>
    </row>
    <row r="834" spans="4:6" x14ac:dyDescent="0.2">
      <c r="D834"/>
      <c r="F834"/>
    </row>
    <row r="835" spans="4:6" x14ac:dyDescent="0.2">
      <c r="D835"/>
      <c r="F835"/>
    </row>
    <row r="836" spans="4:6" x14ac:dyDescent="0.2">
      <c r="D836"/>
      <c r="F836"/>
    </row>
    <row r="837" spans="4:6" x14ac:dyDescent="0.2">
      <c r="D837"/>
      <c r="F837"/>
    </row>
    <row r="838" spans="4:6" x14ac:dyDescent="0.2">
      <c r="D838"/>
      <c r="F838"/>
    </row>
    <row r="839" spans="4:6" x14ac:dyDescent="0.2">
      <c r="D839"/>
      <c r="F839"/>
    </row>
    <row r="840" spans="4:6" x14ac:dyDescent="0.2">
      <c r="D840"/>
      <c r="F840"/>
    </row>
    <row r="841" spans="4:6" x14ac:dyDescent="0.2">
      <c r="D841"/>
      <c r="F841"/>
    </row>
    <row r="842" spans="4:6" x14ac:dyDescent="0.2">
      <c r="D842"/>
      <c r="F842"/>
    </row>
    <row r="843" spans="4:6" x14ac:dyDescent="0.2">
      <c r="D843"/>
      <c r="F843"/>
    </row>
    <row r="844" spans="4:6" x14ac:dyDescent="0.2">
      <c r="D844"/>
      <c r="F844"/>
    </row>
    <row r="845" spans="4:6" x14ac:dyDescent="0.2">
      <c r="D845"/>
      <c r="F845"/>
    </row>
    <row r="846" spans="4:6" x14ac:dyDescent="0.2">
      <c r="D846"/>
      <c r="F846"/>
    </row>
    <row r="847" spans="4:6" x14ac:dyDescent="0.2">
      <c r="D847"/>
      <c r="F847"/>
    </row>
    <row r="848" spans="4:6" x14ac:dyDescent="0.2">
      <c r="D848"/>
      <c r="F848"/>
    </row>
    <row r="849" spans="4:6" x14ac:dyDescent="0.2">
      <c r="D849"/>
      <c r="F849"/>
    </row>
    <row r="850" spans="4:6" x14ac:dyDescent="0.2">
      <c r="D850"/>
      <c r="F850"/>
    </row>
    <row r="851" spans="4:6" x14ac:dyDescent="0.2">
      <c r="D851"/>
      <c r="F851"/>
    </row>
    <row r="852" spans="4:6" x14ac:dyDescent="0.2">
      <c r="D852"/>
      <c r="F852"/>
    </row>
    <row r="853" spans="4:6" x14ac:dyDescent="0.2">
      <c r="D853"/>
      <c r="F853"/>
    </row>
    <row r="854" spans="4:6" x14ac:dyDescent="0.2">
      <c r="D854"/>
      <c r="F854"/>
    </row>
    <row r="855" spans="4:6" x14ac:dyDescent="0.2">
      <c r="D855"/>
      <c r="F855"/>
    </row>
    <row r="856" spans="4:6" x14ac:dyDescent="0.2">
      <c r="D856"/>
      <c r="F856"/>
    </row>
    <row r="857" spans="4:6" x14ac:dyDescent="0.2">
      <c r="D857"/>
      <c r="F857"/>
    </row>
    <row r="858" spans="4:6" x14ac:dyDescent="0.2">
      <c r="D858"/>
      <c r="F858"/>
    </row>
    <row r="859" spans="4:6" x14ac:dyDescent="0.2">
      <c r="D859"/>
      <c r="F859"/>
    </row>
    <row r="860" spans="4:6" x14ac:dyDescent="0.2">
      <c r="D860"/>
      <c r="F860"/>
    </row>
    <row r="861" spans="4:6" x14ac:dyDescent="0.2">
      <c r="D861"/>
      <c r="F861"/>
    </row>
    <row r="862" spans="4:6" x14ac:dyDescent="0.2">
      <c r="D862"/>
      <c r="F862"/>
    </row>
    <row r="863" spans="4:6" x14ac:dyDescent="0.2">
      <c r="D863"/>
      <c r="F863"/>
    </row>
    <row r="864" spans="4:6" x14ac:dyDescent="0.2">
      <c r="D864"/>
      <c r="F864"/>
    </row>
    <row r="865" spans="4:6" x14ac:dyDescent="0.2">
      <c r="D865"/>
      <c r="F865"/>
    </row>
    <row r="866" spans="4:6" x14ac:dyDescent="0.2">
      <c r="D866"/>
      <c r="F866"/>
    </row>
    <row r="867" spans="4:6" x14ac:dyDescent="0.2">
      <c r="D867"/>
      <c r="F867"/>
    </row>
    <row r="868" spans="4:6" x14ac:dyDescent="0.2">
      <c r="D868"/>
      <c r="F868"/>
    </row>
    <row r="869" spans="4:6" x14ac:dyDescent="0.2">
      <c r="D869"/>
      <c r="F869"/>
    </row>
    <row r="870" spans="4:6" x14ac:dyDescent="0.2">
      <c r="D870"/>
      <c r="F870"/>
    </row>
    <row r="871" spans="4:6" x14ac:dyDescent="0.2">
      <c r="D871"/>
      <c r="F871"/>
    </row>
    <row r="872" spans="4:6" x14ac:dyDescent="0.2">
      <c r="D872"/>
      <c r="F872"/>
    </row>
    <row r="873" spans="4:6" x14ac:dyDescent="0.2">
      <c r="D873"/>
      <c r="F873"/>
    </row>
    <row r="874" spans="4:6" x14ac:dyDescent="0.2">
      <c r="D874"/>
      <c r="F874"/>
    </row>
    <row r="875" spans="4:6" x14ac:dyDescent="0.2">
      <c r="D875"/>
      <c r="F875"/>
    </row>
    <row r="876" spans="4:6" x14ac:dyDescent="0.2">
      <c r="D876"/>
      <c r="F876"/>
    </row>
    <row r="877" spans="4:6" x14ac:dyDescent="0.2">
      <c r="D877"/>
      <c r="F877"/>
    </row>
    <row r="878" spans="4:6" x14ac:dyDescent="0.2">
      <c r="D878"/>
      <c r="F878"/>
    </row>
    <row r="879" spans="4:6" x14ac:dyDescent="0.2">
      <c r="D879"/>
      <c r="F879"/>
    </row>
    <row r="880" spans="4:6" x14ac:dyDescent="0.2">
      <c r="D880"/>
      <c r="F880"/>
    </row>
    <row r="881" spans="4:6" x14ac:dyDescent="0.2">
      <c r="D881"/>
      <c r="F881"/>
    </row>
    <row r="882" spans="4:6" x14ac:dyDescent="0.2">
      <c r="D882"/>
      <c r="F882"/>
    </row>
    <row r="883" spans="4:6" x14ac:dyDescent="0.2">
      <c r="D883"/>
      <c r="F883"/>
    </row>
    <row r="884" spans="4:6" x14ac:dyDescent="0.2">
      <c r="D884"/>
      <c r="F884"/>
    </row>
    <row r="885" spans="4:6" x14ac:dyDescent="0.2">
      <c r="D885"/>
      <c r="F885"/>
    </row>
    <row r="886" spans="4:6" x14ac:dyDescent="0.2">
      <c r="D886"/>
      <c r="F886"/>
    </row>
    <row r="887" spans="4:6" x14ac:dyDescent="0.2">
      <c r="D887"/>
      <c r="F887"/>
    </row>
    <row r="888" spans="4:6" x14ac:dyDescent="0.2">
      <c r="D888"/>
      <c r="F888"/>
    </row>
    <row r="889" spans="4:6" x14ac:dyDescent="0.2">
      <c r="D889"/>
      <c r="F889"/>
    </row>
    <row r="890" spans="4:6" x14ac:dyDescent="0.2">
      <c r="D890"/>
      <c r="F890"/>
    </row>
    <row r="891" spans="4:6" x14ac:dyDescent="0.2">
      <c r="D891"/>
      <c r="F891"/>
    </row>
    <row r="892" spans="4:6" x14ac:dyDescent="0.2">
      <c r="D892"/>
      <c r="F892"/>
    </row>
    <row r="893" spans="4:6" x14ac:dyDescent="0.2">
      <c r="D893"/>
      <c r="F893"/>
    </row>
    <row r="894" spans="4:6" x14ac:dyDescent="0.2">
      <c r="D894"/>
      <c r="F894"/>
    </row>
    <row r="895" spans="4:6" x14ac:dyDescent="0.2">
      <c r="D895"/>
      <c r="F895"/>
    </row>
    <row r="896" spans="4:6" x14ac:dyDescent="0.2">
      <c r="D896"/>
      <c r="F896"/>
    </row>
    <row r="897" spans="4:6" x14ac:dyDescent="0.2">
      <c r="D897"/>
      <c r="F897"/>
    </row>
    <row r="898" spans="4:6" x14ac:dyDescent="0.2">
      <c r="D898"/>
      <c r="F898"/>
    </row>
    <row r="899" spans="4:6" x14ac:dyDescent="0.2">
      <c r="D899"/>
      <c r="F899"/>
    </row>
    <row r="900" spans="4:6" x14ac:dyDescent="0.2">
      <c r="D900"/>
      <c r="F900"/>
    </row>
    <row r="901" spans="4:6" x14ac:dyDescent="0.2">
      <c r="D901"/>
      <c r="F901"/>
    </row>
    <row r="902" spans="4:6" x14ac:dyDescent="0.2">
      <c r="D902"/>
      <c r="F902"/>
    </row>
    <row r="903" spans="4:6" x14ac:dyDescent="0.2">
      <c r="D903"/>
      <c r="F903"/>
    </row>
    <row r="904" spans="4:6" x14ac:dyDescent="0.2">
      <c r="D904"/>
      <c r="F904"/>
    </row>
    <row r="905" spans="4:6" x14ac:dyDescent="0.2">
      <c r="D905"/>
      <c r="F905"/>
    </row>
    <row r="906" spans="4:6" x14ac:dyDescent="0.2">
      <c r="D906"/>
      <c r="F906"/>
    </row>
    <row r="907" spans="4:6" x14ac:dyDescent="0.2">
      <c r="D907"/>
      <c r="F907"/>
    </row>
    <row r="908" spans="4:6" x14ac:dyDescent="0.2">
      <c r="D908"/>
      <c r="F908"/>
    </row>
    <row r="909" spans="4:6" x14ac:dyDescent="0.2">
      <c r="D909"/>
      <c r="F909"/>
    </row>
    <row r="910" spans="4:6" x14ac:dyDescent="0.2">
      <c r="D910"/>
      <c r="F910"/>
    </row>
    <row r="911" spans="4:6" x14ac:dyDescent="0.2">
      <c r="D911"/>
      <c r="F911"/>
    </row>
    <row r="912" spans="4:6" x14ac:dyDescent="0.2">
      <c r="D912"/>
      <c r="F912"/>
    </row>
    <row r="913" spans="4:6" x14ac:dyDescent="0.2">
      <c r="D913"/>
      <c r="F913"/>
    </row>
    <row r="914" spans="4:6" x14ac:dyDescent="0.2">
      <c r="D914"/>
      <c r="F914"/>
    </row>
    <row r="915" spans="4:6" x14ac:dyDescent="0.2">
      <c r="D915"/>
      <c r="F915"/>
    </row>
    <row r="916" spans="4:6" x14ac:dyDescent="0.2">
      <c r="D916"/>
      <c r="F916"/>
    </row>
    <row r="917" spans="4:6" x14ac:dyDescent="0.2">
      <c r="D917"/>
      <c r="F917"/>
    </row>
    <row r="918" spans="4:6" x14ac:dyDescent="0.2">
      <c r="D918"/>
      <c r="F918"/>
    </row>
    <row r="919" spans="4:6" x14ac:dyDescent="0.2">
      <c r="D919"/>
      <c r="F919"/>
    </row>
    <row r="920" spans="4:6" x14ac:dyDescent="0.2">
      <c r="D920"/>
      <c r="F920"/>
    </row>
    <row r="921" spans="4:6" x14ac:dyDescent="0.2">
      <c r="D921"/>
      <c r="F921"/>
    </row>
    <row r="922" spans="4:6" x14ac:dyDescent="0.2">
      <c r="D922"/>
      <c r="F922"/>
    </row>
    <row r="923" spans="4:6" x14ac:dyDescent="0.2">
      <c r="D923"/>
      <c r="F923"/>
    </row>
    <row r="924" spans="4:6" x14ac:dyDescent="0.2">
      <c r="D924"/>
      <c r="F924"/>
    </row>
    <row r="925" spans="4:6" x14ac:dyDescent="0.2">
      <c r="D925"/>
      <c r="F925"/>
    </row>
    <row r="926" spans="4:6" x14ac:dyDescent="0.2">
      <c r="D926"/>
      <c r="F926"/>
    </row>
    <row r="927" spans="4:6" x14ac:dyDescent="0.2">
      <c r="D927"/>
      <c r="F927"/>
    </row>
    <row r="928" spans="4:6" x14ac:dyDescent="0.2">
      <c r="D928"/>
      <c r="F928"/>
    </row>
    <row r="929" spans="4:6" x14ac:dyDescent="0.2">
      <c r="D929"/>
      <c r="F929"/>
    </row>
    <row r="930" spans="4:6" x14ac:dyDescent="0.2">
      <c r="D930"/>
      <c r="F930"/>
    </row>
    <row r="931" spans="4:6" x14ac:dyDescent="0.2">
      <c r="D931"/>
      <c r="F931"/>
    </row>
    <row r="932" spans="4:6" x14ac:dyDescent="0.2">
      <c r="D932"/>
      <c r="F932"/>
    </row>
    <row r="933" spans="4:6" x14ac:dyDescent="0.2">
      <c r="D933"/>
      <c r="F933"/>
    </row>
    <row r="934" spans="4:6" x14ac:dyDescent="0.2">
      <c r="D934"/>
      <c r="F934"/>
    </row>
    <row r="935" spans="4:6" x14ac:dyDescent="0.2">
      <c r="D935"/>
      <c r="F935"/>
    </row>
    <row r="936" spans="4:6" x14ac:dyDescent="0.2">
      <c r="D936"/>
      <c r="F936"/>
    </row>
    <row r="937" spans="4:6" x14ac:dyDescent="0.2">
      <c r="D937"/>
      <c r="F937"/>
    </row>
    <row r="938" spans="4:6" x14ac:dyDescent="0.2">
      <c r="D938"/>
      <c r="F938"/>
    </row>
    <row r="939" spans="4:6" x14ac:dyDescent="0.2">
      <c r="D939"/>
      <c r="F939"/>
    </row>
    <row r="940" spans="4:6" x14ac:dyDescent="0.2">
      <c r="D940"/>
      <c r="F940"/>
    </row>
    <row r="941" spans="4:6" x14ac:dyDescent="0.2">
      <c r="D941"/>
      <c r="F941"/>
    </row>
    <row r="942" spans="4:6" x14ac:dyDescent="0.2">
      <c r="D942"/>
      <c r="F942"/>
    </row>
    <row r="943" spans="4:6" x14ac:dyDescent="0.2">
      <c r="D943"/>
      <c r="F943"/>
    </row>
    <row r="944" spans="4:6" x14ac:dyDescent="0.2">
      <c r="D944"/>
      <c r="F944"/>
    </row>
    <row r="945" spans="4:6" x14ac:dyDescent="0.2">
      <c r="D945"/>
      <c r="F945"/>
    </row>
    <row r="946" spans="4:6" x14ac:dyDescent="0.2">
      <c r="D946"/>
      <c r="F946"/>
    </row>
    <row r="947" spans="4:6" x14ac:dyDescent="0.2">
      <c r="D947"/>
      <c r="F947"/>
    </row>
    <row r="948" spans="4:6" x14ac:dyDescent="0.2">
      <c r="D948"/>
      <c r="F948"/>
    </row>
    <row r="949" spans="4:6" x14ac:dyDescent="0.2">
      <c r="D949"/>
      <c r="F949"/>
    </row>
    <row r="950" spans="4:6" x14ac:dyDescent="0.2">
      <c r="D950"/>
      <c r="F950"/>
    </row>
    <row r="951" spans="4:6" x14ac:dyDescent="0.2">
      <c r="D951"/>
      <c r="F951"/>
    </row>
    <row r="952" spans="4:6" x14ac:dyDescent="0.2">
      <c r="D952"/>
      <c r="F952"/>
    </row>
    <row r="953" spans="4:6" x14ac:dyDescent="0.2">
      <c r="D953"/>
      <c r="F953"/>
    </row>
    <row r="954" spans="4:6" x14ac:dyDescent="0.2">
      <c r="D954"/>
      <c r="F954"/>
    </row>
    <row r="955" spans="4:6" x14ac:dyDescent="0.2">
      <c r="D955"/>
      <c r="F955"/>
    </row>
    <row r="956" spans="4:6" x14ac:dyDescent="0.2">
      <c r="D956"/>
      <c r="F956"/>
    </row>
    <row r="957" spans="4:6" x14ac:dyDescent="0.2">
      <c r="D957"/>
      <c r="F957"/>
    </row>
    <row r="958" spans="4:6" x14ac:dyDescent="0.2">
      <c r="D958"/>
      <c r="F958"/>
    </row>
    <row r="959" spans="4:6" x14ac:dyDescent="0.2">
      <c r="D959"/>
      <c r="F959"/>
    </row>
    <row r="960" spans="4:6" x14ac:dyDescent="0.2">
      <c r="D960"/>
      <c r="F960"/>
    </row>
    <row r="961" spans="4:7" x14ac:dyDescent="0.2">
      <c r="D961"/>
      <c r="F961"/>
    </row>
    <row r="962" spans="4:7" x14ac:dyDescent="0.2">
      <c r="D962"/>
      <c r="F962"/>
    </row>
    <row r="963" spans="4:7" x14ac:dyDescent="0.2">
      <c r="D963"/>
      <c r="F963"/>
    </row>
    <row r="964" spans="4:7" x14ac:dyDescent="0.2">
      <c r="D964"/>
      <c r="F964"/>
    </row>
    <row r="965" spans="4:7" x14ac:dyDescent="0.2">
      <c r="D965"/>
      <c r="F965"/>
    </row>
    <row r="966" spans="4:7" x14ac:dyDescent="0.2">
      <c r="D966"/>
      <c r="F966"/>
    </row>
    <row r="967" spans="4:7" x14ac:dyDescent="0.2">
      <c r="D967"/>
      <c r="F967"/>
    </row>
    <row r="968" spans="4:7" x14ac:dyDescent="0.2">
      <c r="D968"/>
      <c r="F968"/>
    </row>
    <row r="969" spans="4:7" x14ac:dyDescent="0.2">
      <c r="D969"/>
      <c r="F969"/>
    </row>
    <row r="970" spans="4:7" x14ac:dyDescent="0.2">
      <c r="D970"/>
      <c r="F970"/>
    </row>
    <row r="971" spans="4:7" x14ac:dyDescent="0.2">
      <c r="D971"/>
      <c r="F971"/>
    </row>
    <row r="972" spans="4:7" x14ac:dyDescent="0.2">
      <c r="D972"/>
      <c r="F972"/>
      <c r="G972" s="1023"/>
    </row>
    <row r="973" spans="4:7" x14ac:dyDescent="0.2">
      <c r="D973"/>
      <c r="F973"/>
    </row>
    <row r="974" spans="4:7" x14ac:dyDescent="0.2">
      <c r="D974"/>
      <c r="F974"/>
    </row>
    <row r="975" spans="4:7" x14ac:dyDescent="0.2">
      <c r="D975"/>
      <c r="F975"/>
    </row>
    <row r="976" spans="4:7" x14ac:dyDescent="0.2">
      <c r="D976"/>
      <c r="F976"/>
    </row>
    <row r="977" spans="4:7" x14ac:dyDescent="0.2">
      <c r="D977"/>
      <c r="F977"/>
      <c r="G977" s="1023"/>
    </row>
    <row r="978" spans="4:7" x14ac:dyDescent="0.2">
      <c r="D978"/>
      <c r="F978"/>
    </row>
    <row r="979" spans="4:7" x14ac:dyDescent="0.2">
      <c r="D979"/>
      <c r="F979"/>
    </row>
    <row r="980" spans="4:7" x14ac:dyDescent="0.2">
      <c r="D980"/>
      <c r="F980"/>
    </row>
    <row r="981" spans="4:7" x14ac:dyDescent="0.2">
      <c r="D981"/>
      <c r="F981"/>
    </row>
    <row r="982" spans="4:7" x14ac:dyDescent="0.2">
      <c r="D982"/>
      <c r="F982"/>
    </row>
    <row r="983" spans="4:7" x14ac:dyDescent="0.2">
      <c r="D983"/>
      <c r="F983"/>
    </row>
    <row r="984" spans="4:7" x14ac:dyDescent="0.2">
      <c r="D984"/>
      <c r="F984"/>
      <c r="G984" s="1023"/>
    </row>
    <row r="985" spans="4:7" x14ac:dyDescent="0.2">
      <c r="D985"/>
      <c r="F985"/>
      <c r="G985" s="1023"/>
    </row>
    <row r="986" spans="4:7" x14ac:dyDescent="0.2">
      <c r="D986"/>
      <c r="F986"/>
    </row>
    <row r="987" spans="4:7" x14ac:dyDescent="0.2">
      <c r="D987"/>
      <c r="F987"/>
    </row>
    <row r="988" spans="4:7" x14ac:dyDescent="0.2">
      <c r="D988"/>
      <c r="F988"/>
      <c r="G988" s="1023"/>
    </row>
    <row r="989" spans="4:7" x14ac:dyDescent="0.2">
      <c r="D989"/>
      <c r="F989"/>
    </row>
    <row r="990" spans="4:7" x14ac:dyDescent="0.2">
      <c r="D990"/>
      <c r="F990"/>
    </row>
    <row r="991" spans="4:7" x14ac:dyDescent="0.2">
      <c r="D991"/>
      <c r="F991"/>
    </row>
    <row r="992" spans="4:7" x14ac:dyDescent="0.2">
      <c r="D992"/>
      <c r="F992"/>
    </row>
    <row r="993" spans="4:7" x14ac:dyDescent="0.2">
      <c r="D993"/>
      <c r="F993"/>
      <c r="G993" s="1023"/>
    </row>
    <row r="994" spans="4:7" x14ac:dyDescent="0.2">
      <c r="D994"/>
      <c r="F994"/>
      <c r="G994" s="1023"/>
    </row>
    <row r="995" spans="4:7" x14ac:dyDescent="0.2">
      <c r="D995"/>
      <c r="F995"/>
      <c r="G995" s="1023"/>
    </row>
    <row r="996" spans="4:7" x14ac:dyDescent="0.2">
      <c r="D996"/>
      <c r="F996"/>
      <c r="G996" s="1023"/>
    </row>
    <row r="997" spans="4:7" x14ac:dyDescent="0.2">
      <c r="D997"/>
      <c r="F997"/>
      <c r="G997" s="1023"/>
    </row>
    <row r="998" spans="4:7" x14ac:dyDescent="0.2">
      <c r="D998"/>
      <c r="F998"/>
      <c r="G998" s="1023"/>
    </row>
    <row r="999" spans="4:7" x14ac:dyDescent="0.2">
      <c r="D999"/>
      <c r="F999"/>
      <c r="G999" s="1023"/>
    </row>
    <row r="1000" spans="4:7" x14ac:dyDescent="0.2">
      <c r="D1000"/>
      <c r="F1000"/>
      <c r="G1000" s="1023"/>
    </row>
    <row r="1001" spans="4:7" x14ac:dyDescent="0.2">
      <c r="D1001"/>
      <c r="F1001"/>
      <c r="G1001" s="1023"/>
    </row>
    <row r="1002" spans="4:7" x14ac:dyDescent="0.2">
      <c r="D1002"/>
      <c r="F1002"/>
    </row>
    <row r="1003" spans="4:7" x14ac:dyDescent="0.2">
      <c r="D1003"/>
      <c r="F1003"/>
      <c r="G1003" s="1023"/>
    </row>
    <row r="1004" spans="4:7" x14ac:dyDescent="0.2">
      <c r="D1004"/>
      <c r="F1004"/>
      <c r="G1004" s="1023"/>
    </row>
    <row r="1005" spans="4:7" x14ac:dyDescent="0.2">
      <c r="D1005"/>
      <c r="F1005"/>
    </row>
    <row r="1006" spans="4:7" x14ac:dyDescent="0.2">
      <c r="D1006"/>
      <c r="F1006"/>
      <c r="G1006" s="1023"/>
    </row>
    <row r="1007" spans="4:7" x14ac:dyDescent="0.2">
      <c r="D1007"/>
      <c r="F1007"/>
      <c r="G1007" s="1023"/>
    </row>
    <row r="1008" spans="4:7" x14ac:dyDescent="0.2">
      <c r="D1008"/>
      <c r="F1008"/>
      <c r="G1008" s="1023"/>
    </row>
    <row r="1009" spans="4:7" x14ac:dyDescent="0.2">
      <c r="D1009"/>
      <c r="F1009"/>
      <c r="G1009" s="1023"/>
    </row>
    <row r="1010" spans="4:7" x14ac:dyDescent="0.2">
      <c r="D1010"/>
      <c r="F1010"/>
      <c r="G1010" s="1023"/>
    </row>
    <row r="1011" spans="4:7" x14ac:dyDescent="0.2">
      <c r="D1011"/>
      <c r="F1011"/>
      <c r="G1011" s="1023"/>
    </row>
    <row r="1012" spans="4:7" x14ac:dyDescent="0.2">
      <c r="D1012"/>
      <c r="F1012"/>
      <c r="G1012" s="1023"/>
    </row>
    <row r="1013" spans="4:7" x14ac:dyDescent="0.2">
      <c r="D1013"/>
      <c r="F1013"/>
      <c r="G1013" s="1023"/>
    </row>
    <row r="1014" spans="4:7" x14ac:dyDescent="0.2">
      <c r="D1014"/>
      <c r="F1014"/>
      <c r="G1014" s="1023"/>
    </row>
    <row r="1015" spans="4:7" x14ac:dyDescent="0.2">
      <c r="D1015"/>
      <c r="F1015"/>
    </row>
    <row r="1016" spans="4:7" x14ac:dyDescent="0.2">
      <c r="D1016"/>
      <c r="F1016"/>
    </row>
    <row r="1017" spans="4:7" x14ac:dyDescent="0.2">
      <c r="D1017"/>
      <c r="F1017"/>
    </row>
    <row r="1018" spans="4:7" x14ac:dyDescent="0.2">
      <c r="D1018"/>
      <c r="F1018"/>
    </row>
    <row r="1019" spans="4:7" x14ac:dyDescent="0.2">
      <c r="D1019"/>
      <c r="F1019"/>
    </row>
    <row r="1020" spans="4:7" x14ac:dyDescent="0.2">
      <c r="D1020"/>
      <c r="F1020"/>
    </row>
    <row r="1021" spans="4:7" x14ac:dyDescent="0.2">
      <c r="D1021"/>
      <c r="F1021"/>
    </row>
    <row r="1022" spans="4:7" x14ac:dyDescent="0.2">
      <c r="D1022"/>
      <c r="F1022"/>
    </row>
    <row r="1023" spans="4:7" x14ac:dyDescent="0.2">
      <c r="D1023"/>
      <c r="F1023"/>
    </row>
    <row r="1024" spans="4:7" x14ac:dyDescent="0.2">
      <c r="D1024"/>
      <c r="F1024"/>
    </row>
    <row r="1025" spans="4:6" x14ac:dyDescent="0.2">
      <c r="D1025"/>
      <c r="F1025"/>
    </row>
    <row r="1026" spans="4:6" x14ac:dyDescent="0.2">
      <c r="D1026"/>
      <c r="F1026"/>
    </row>
    <row r="1027" spans="4:6" x14ac:dyDescent="0.2">
      <c r="D1027"/>
      <c r="F1027"/>
    </row>
    <row r="1028" spans="4:6" x14ac:dyDescent="0.2">
      <c r="D1028"/>
      <c r="F1028"/>
    </row>
    <row r="1029" spans="4:6" x14ac:dyDescent="0.2">
      <c r="D1029"/>
      <c r="F1029"/>
    </row>
    <row r="1030" spans="4:6" x14ac:dyDescent="0.2">
      <c r="D1030"/>
      <c r="F1030"/>
    </row>
    <row r="1031" spans="4:6" x14ac:dyDescent="0.2">
      <c r="D1031"/>
      <c r="F1031"/>
    </row>
    <row r="1032" spans="4:6" x14ac:dyDescent="0.2">
      <c r="D1032"/>
      <c r="F1032"/>
    </row>
    <row r="1033" spans="4:6" x14ac:dyDescent="0.2">
      <c r="D1033"/>
      <c r="F1033"/>
    </row>
    <row r="1034" spans="4:6" x14ac:dyDescent="0.2">
      <c r="D1034"/>
      <c r="F1034"/>
    </row>
    <row r="1035" spans="4:6" x14ac:dyDescent="0.2">
      <c r="D1035"/>
      <c r="F1035"/>
    </row>
    <row r="1036" spans="4:6" x14ac:dyDescent="0.2">
      <c r="D1036"/>
      <c r="F1036"/>
    </row>
    <row r="1037" spans="4:6" x14ac:dyDescent="0.2">
      <c r="D1037"/>
      <c r="F1037"/>
    </row>
    <row r="1038" spans="4:6" x14ac:dyDescent="0.2">
      <c r="D1038"/>
      <c r="F1038"/>
    </row>
    <row r="1039" spans="4:6" x14ac:dyDescent="0.2">
      <c r="D1039"/>
      <c r="F1039"/>
    </row>
    <row r="1040" spans="4:6" x14ac:dyDescent="0.2">
      <c r="D1040"/>
      <c r="F1040"/>
    </row>
    <row r="1041" spans="4:6" x14ac:dyDescent="0.2">
      <c r="D1041"/>
      <c r="F1041"/>
    </row>
    <row r="1042" spans="4:6" x14ac:dyDescent="0.2">
      <c r="D1042"/>
      <c r="F1042"/>
    </row>
    <row r="1043" spans="4:6" x14ac:dyDescent="0.2">
      <c r="D1043"/>
      <c r="F1043"/>
    </row>
    <row r="1044" spans="4:6" x14ac:dyDescent="0.2">
      <c r="D1044"/>
      <c r="F1044"/>
    </row>
    <row r="1045" spans="4:6" x14ac:dyDescent="0.2">
      <c r="D1045"/>
      <c r="F1045"/>
    </row>
    <row r="1046" spans="4:6" x14ac:dyDescent="0.2">
      <c r="D1046"/>
      <c r="F1046"/>
    </row>
    <row r="1047" spans="4:6" x14ac:dyDescent="0.2">
      <c r="D1047"/>
      <c r="F1047"/>
    </row>
    <row r="1048" spans="4:6" x14ac:dyDescent="0.2">
      <c r="D1048"/>
      <c r="F1048"/>
    </row>
    <row r="1049" spans="4:6" x14ac:dyDescent="0.2">
      <c r="D1049"/>
      <c r="F1049"/>
    </row>
    <row r="1050" spans="4:6" x14ac:dyDescent="0.2">
      <c r="D1050"/>
      <c r="F1050"/>
    </row>
    <row r="1051" spans="4:6" x14ac:dyDescent="0.2">
      <c r="D1051"/>
      <c r="F1051"/>
    </row>
    <row r="1052" spans="4:6" x14ac:dyDescent="0.2">
      <c r="D1052"/>
      <c r="F1052"/>
    </row>
    <row r="1053" spans="4:6" x14ac:dyDescent="0.2">
      <c r="D1053"/>
      <c r="F1053"/>
    </row>
    <row r="1054" spans="4:6" x14ac:dyDescent="0.2">
      <c r="D1054"/>
      <c r="F1054"/>
    </row>
    <row r="1055" spans="4:6" x14ac:dyDescent="0.2">
      <c r="D1055"/>
      <c r="F1055"/>
    </row>
    <row r="1056" spans="4:6" x14ac:dyDescent="0.2">
      <c r="D1056"/>
      <c r="F1056"/>
    </row>
    <row r="1057" spans="4:6" x14ac:dyDescent="0.2">
      <c r="D1057"/>
      <c r="F1057"/>
    </row>
    <row r="1058" spans="4:6" x14ac:dyDescent="0.2">
      <c r="D1058"/>
      <c r="F1058"/>
    </row>
    <row r="1059" spans="4:6" x14ac:dyDescent="0.2">
      <c r="D1059"/>
      <c r="F1059"/>
    </row>
    <row r="1060" spans="4:6" x14ac:dyDescent="0.2">
      <c r="D1060"/>
      <c r="F1060"/>
    </row>
    <row r="1061" spans="4:6" x14ac:dyDescent="0.2">
      <c r="D1061"/>
      <c r="F1061"/>
    </row>
    <row r="1062" spans="4:6" x14ac:dyDescent="0.2">
      <c r="D1062"/>
      <c r="F1062"/>
    </row>
    <row r="1063" spans="4:6" x14ac:dyDescent="0.2">
      <c r="D1063"/>
      <c r="F1063"/>
    </row>
    <row r="1064" spans="4:6" x14ac:dyDescent="0.2">
      <c r="D1064"/>
      <c r="F1064"/>
    </row>
    <row r="1065" spans="4:6" x14ac:dyDescent="0.2">
      <c r="D1065"/>
      <c r="F1065"/>
    </row>
    <row r="1066" spans="4:6" x14ac:dyDescent="0.2">
      <c r="D1066"/>
      <c r="F1066"/>
    </row>
    <row r="1067" spans="4:6" x14ac:dyDescent="0.2">
      <c r="D1067"/>
      <c r="F1067"/>
    </row>
    <row r="1068" spans="4:6" x14ac:dyDescent="0.2">
      <c r="D1068"/>
      <c r="F1068"/>
    </row>
    <row r="1069" spans="4:6" x14ac:dyDescent="0.2">
      <c r="D1069"/>
      <c r="F1069"/>
    </row>
    <row r="1070" spans="4:6" x14ac:dyDescent="0.2">
      <c r="D1070"/>
      <c r="F1070"/>
    </row>
    <row r="1071" spans="4:6" x14ac:dyDescent="0.2">
      <c r="D1071"/>
      <c r="F1071"/>
    </row>
    <row r="1072" spans="4:6" x14ac:dyDescent="0.2">
      <c r="D1072"/>
      <c r="F1072"/>
    </row>
    <row r="1073" spans="4:6" x14ac:dyDescent="0.2">
      <c r="D1073"/>
      <c r="F1073"/>
    </row>
    <row r="1074" spans="4:6" x14ac:dyDescent="0.2">
      <c r="D1074"/>
      <c r="F1074"/>
    </row>
    <row r="1075" spans="4:6" x14ac:dyDescent="0.2">
      <c r="D1075"/>
      <c r="F1075"/>
    </row>
    <row r="1076" spans="4:6" x14ac:dyDescent="0.2">
      <c r="D1076"/>
      <c r="F1076"/>
    </row>
    <row r="1077" spans="4:6" x14ac:dyDescent="0.2">
      <c r="D1077"/>
      <c r="F1077"/>
    </row>
    <row r="1078" spans="4:6" x14ac:dyDescent="0.2">
      <c r="D1078"/>
      <c r="F1078"/>
    </row>
    <row r="1079" spans="4:6" x14ac:dyDescent="0.2">
      <c r="D1079"/>
      <c r="F1079"/>
    </row>
    <row r="1080" spans="4:6" x14ac:dyDescent="0.2">
      <c r="D1080"/>
      <c r="F1080"/>
    </row>
    <row r="1081" spans="4:6" x14ac:dyDescent="0.2">
      <c r="D1081"/>
      <c r="F1081"/>
    </row>
    <row r="1082" spans="4:6" x14ac:dyDescent="0.2">
      <c r="D1082"/>
      <c r="F1082"/>
    </row>
    <row r="1083" spans="4:6" x14ac:dyDescent="0.2">
      <c r="D1083"/>
      <c r="F1083"/>
    </row>
    <row r="1084" spans="4:6" x14ac:dyDescent="0.2">
      <c r="D1084"/>
      <c r="F1084"/>
    </row>
    <row r="1085" spans="4:6" x14ac:dyDescent="0.2">
      <c r="D1085"/>
      <c r="F1085"/>
    </row>
    <row r="1086" spans="4:6" x14ac:dyDescent="0.2">
      <c r="D1086"/>
      <c r="F1086"/>
    </row>
    <row r="1087" spans="4:6" x14ac:dyDescent="0.2">
      <c r="D1087"/>
      <c r="F1087"/>
    </row>
    <row r="1088" spans="4:6" x14ac:dyDescent="0.2">
      <c r="D1088"/>
      <c r="F1088"/>
    </row>
    <row r="1089" spans="4:6" x14ac:dyDescent="0.2">
      <c r="D1089"/>
      <c r="F1089"/>
    </row>
    <row r="1090" spans="4:6" x14ac:dyDescent="0.2">
      <c r="D1090"/>
      <c r="F1090"/>
    </row>
    <row r="1091" spans="4:6" x14ac:dyDescent="0.2">
      <c r="D1091"/>
      <c r="F1091"/>
    </row>
    <row r="1092" spans="4:6" x14ac:dyDescent="0.2">
      <c r="D1092"/>
      <c r="F1092"/>
    </row>
    <row r="1093" spans="4:6" x14ac:dyDescent="0.2">
      <c r="D1093"/>
      <c r="F1093"/>
    </row>
    <row r="1094" spans="4:6" x14ac:dyDescent="0.2">
      <c r="D1094"/>
      <c r="F1094"/>
    </row>
    <row r="1095" spans="4:6" x14ac:dyDescent="0.2">
      <c r="D1095"/>
      <c r="F1095"/>
    </row>
    <row r="1096" spans="4:6" x14ac:dyDescent="0.2">
      <c r="D1096"/>
      <c r="F1096"/>
    </row>
    <row r="1097" spans="4:6" x14ac:dyDescent="0.2">
      <c r="D1097"/>
      <c r="F1097"/>
    </row>
    <row r="1098" spans="4:6" x14ac:dyDescent="0.2">
      <c r="D1098"/>
      <c r="F1098"/>
    </row>
    <row r="1099" spans="4:6" x14ac:dyDescent="0.2">
      <c r="D1099"/>
      <c r="F1099"/>
    </row>
    <row r="1100" spans="4:6" x14ac:dyDescent="0.2">
      <c r="D1100"/>
      <c r="F1100"/>
    </row>
    <row r="1101" spans="4:6" x14ac:dyDescent="0.2">
      <c r="D1101"/>
      <c r="F1101"/>
    </row>
    <row r="1102" spans="4:6" x14ac:dyDescent="0.2">
      <c r="D1102"/>
      <c r="F1102"/>
    </row>
    <row r="1103" spans="4:6" x14ac:dyDescent="0.2">
      <c r="D1103"/>
      <c r="F1103"/>
    </row>
    <row r="1104" spans="4:6" x14ac:dyDescent="0.2">
      <c r="D1104"/>
      <c r="F1104"/>
    </row>
    <row r="1105" spans="4:6" x14ac:dyDescent="0.2">
      <c r="D1105"/>
      <c r="F1105"/>
    </row>
    <row r="1106" spans="4:6" x14ac:dyDescent="0.2">
      <c r="D1106"/>
      <c r="F1106"/>
    </row>
    <row r="1107" spans="4:6" x14ac:dyDescent="0.2">
      <c r="D1107"/>
      <c r="F1107"/>
    </row>
    <row r="1108" spans="4:6" x14ac:dyDescent="0.2">
      <c r="D1108"/>
      <c r="F1108"/>
    </row>
    <row r="1109" spans="4:6" x14ac:dyDescent="0.2">
      <c r="D1109"/>
      <c r="F1109"/>
    </row>
    <row r="1110" spans="4:6" x14ac:dyDescent="0.2">
      <c r="D1110"/>
      <c r="F1110"/>
    </row>
    <row r="1111" spans="4:6" x14ac:dyDescent="0.2">
      <c r="D1111"/>
      <c r="F1111"/>
    </row>
    <row r="1112" spans="4:6" x14ac:dyDescent="0.2">
      <c r="D1112"/>
      <c r="F1112"/>
    </row>
    <row r="1113" spans="4:6" x14ac:dyDescent="0.2">
      <c r="D1113"/>
      <c r="F1113"/>
    </row>
    <row r="1114" spans="4:6" x14ac:dyDescent="0.2">
      <c r="D1114"/>
      <c r="F1114"/>
    </row>
    <row r="1115" spans="4:6" x14ac:dyDescent="0.2">
      <c r="D1115"/>
      <c r="F1115"/>
    </row>
    <row r="1116" spans="4:6" x14ac:dyDescent="0.2">
      <c r="D1116"/>
      <c r="F1116"/>
    </row>
    <row r="1117" spans="4:6" x14ac:dyDescent="0.2">
      <c r="D1117"/>
      <c r="F1117"/>
    </row>
    <row r="1118" spans="4:6" x14ac:dyDescent="0.2">
      <c r="D1118"/>
      <c r="F1118"/>
    </row>
    <row r="1119" spans="4:6" x14ac:dyDescent="0.2">
      <c r="D1119"/>
      <c r="F1119"/>
    </row>
    <row r="1120" spans="4:6" x14ac:dyDescent="0.2">
      <c r="D1120"/>
      <c r="F1120"/>
    </row>
    <row r="1121" spans="4:6" x14ac:dyDescent="0.2">
      <c r="D1121"/>
      <c r="F1121"/>
    </row>
    <row r="1122" spans="4:6" x14ac:dyDescent="0.2">
      <c r="D1122"/>
      <c r="F1122"/>
    </row>
    <row r="1123" spans="4:6" x14ac:dyDescent="0.2">
      <c r="D1123"/>
      <c r="F1123"/>
    </row>
    <row r="1124" spans="4:6" x14ac:dyDescent="0.2">
      <c r="D1124"/>
      <c r="F1124"/>
    </row>
    <row r="1125" spans="4:6" x14ac:dyDescent="0.2">
      <c r="D1125"/>
      <c r="F1125"/>
    </row>
    <row r="1126" spans="4:6" x14ac:dyDescent="0.2">
      <c r="D1126"/>
      <c r="F1126"/>
    </row>
    <row r="1127" spans="4:6" x14ac:dyDescent="0.2">
      <c r="D1127"/>
      <c r="F1127"/>
    </row>
    <row r="1128" spans="4:6" x14ac:dyDescent="0.2">
      <c r="D1128"/>
      <c r="F1128"/>
    </row>
    <row r="1129" spans="4:6" x14ac:dyDescent="0.2">
      <c r="D1129"/>
      <c r="F1129"/>
    </row>
    <row r="1130" spans="4:6" x14ac:dyDescent="0.2">
      <c r="D1130"/>
      <c r="F1130"/>
    </row>
    <row r="1131" spans="4:6" x14ac:dyDescent="0.2">
      <c r="D1131"/>
      <c r="F1131"/>
    </row>
    <row r="1132" spans="4:6" x14ac:dyDescent="0.2">
      <c r="D1132"/>
      <c r="F1132"/>
    </row>
    <row r="1133" spans="4:6" x14ac:dyDescent="0.2">
      <c r="D1133"/>
      <c r="F1133"/>
    </row>
    <row r="1134" spans="4:6" x14ac:dyDescent="0.2">
      <c r="D1134"/>
      <c r="F1134"/>
    </row>
    <row r="1135" spans="4:6" x14ac:dyDescent="0.2">
      <c r="D1135"/>
      <c r="F1135"/>
    </row>
    <row r="1136" spans="4:6" x14ac:dyDescent="0.2">
      <c r="D1136"/>
      <c r="F1136"/>
    </row>
    <row r="1137" spans="4:6" x14ac:dyDescent="0.2">
      <c r="D1137"/>
      <c r="F1137"/>
    </row>
    <row r="1138" spans="4:6" x14ac:dyDescent="0.2">
      <c r="D1138"/>
      <c r="F1138"/>
    </row>
    <row r="1139" spans="4:6" x14ac:dyDescent="0.2">
      <c r="D1139"/>
      <c r="F1139"/>
    </row>
    <row r="1140" spans="4:6" x14ac:dyDescent="0.2">
      <c r="D1140"/>
      <c r="F1140"/>
    </row>
    <row r="1141" spans="4:6" x14ac:dyDescent="0.2">
      <c r="D1141"/>
      <c r="F1141"/>
    </row>
    <row r="1142" spans="4:6" x14ac:dyDescent="0.2">
      <c r="D1142"/>
      <c r="F1142"/>
    </row>
    <row r="1143" spans="4:6" x14ac:dyDescent="0.2">
      <c r="D1143"/>
      <c r="F1143"/>
    </row>
    <row r="1144" spans="4:6" x14ac:dyDescent="0.2">
      <c r="D1144"/>
      <c r="F1144"/>
    </row>
    <row r="1145" spans="4:6" x14ac:dyDescent="0.2">
      <c r="D1145"/>
      <c r="F1145"/>
    </row>
    <row r="1146" spans="4:6" x14ac:dyDescent="0.2">
      <c r="D1146"/>
      <c r="F1146"/>
    </row>
    <row r="1147" spans="4:6" x14ac:dyDescent="0.2">
      <c r="D1147"/>
      <c r="F1147"/>
    </row>
    <row r="1148" spans="4:6" x14ac:dyDescent="0.2">
      <c r="D1148"/>
      <c r="F1148"/>
    </row>
    <row r="1149" spans="4:6" x14ac:dyDescent="0.2">
      <c r="D1149"/>
      <c r="F1149"/>
    </row>
    <row r="1150" spans="4:6" x14ac:dyDescent="0.2">
      <c r="D1150"/>
      <c r="F1150"/>
    </row>
    <row r="1151" spans="4:6" x14ac:dyDescent="0.2">
      <c r="D1151"/>
      <c r="F1151"/>
    </row>
    <row r="1152" spans="4:6" x14ac:dyDescent="0.2">
      <c r="D1152"/>
      <c r="F1152"/>
    </row>
    <row r="1153" spans="4:6" x14ac:dyDescent="0.2">
      <c r="D1153"/>
      <c r="F1153"/>
    </row>
    <row r="1154" spans="4:6" x14ac:dyDescent="0.2">
      <c r="D1154"/>
      <c r="F1154"/>
    </row>
    <row r="1155" spans="4:6" x14ac:dyDescent="0.2">
      <c r="D1155"/>
      <c r="F1155"/>
    </row>
    <row r="1156" spans="4:6" x14ac:dyDescent="0.2">
      <c r="D1156"/>
      <c r="F1156"/>
    </row>
    <row r="1157" spans="4:6" x14ac:dyDescent="0.2">
      <c r="D1157"/>
      <c r="F1157"/>
    </row>
    <row r="1158" spans="4:6" x14ac:dyDescent="0.2">
      <c r="D1158"/>
      <c r="F1158"/>
    </row>
    <row r="1159" spans="4:6" x14ac:dyDescent="0.2">
      <c r="D1159"/>
      <c r="F1159"/>
    </row>
    <row r="1160" spans="4:6" x14ac:dyDescent="0.2">
      <c r="D1160"/>
      <c r="F1160"/>
    </row>
    <row r="1161" spans="4:6" x14ac:dyDescent="0.2">
      <c r="D1161"/>
      <c r="F1161"/>
    </row>
    <row r="1162" spans="4:6" x14ac:dyDescent="0.2">
      <c r="D1162"/>
      <c r="F1162"/>
    </row>
    <row r="1163" spans="4:6" x14ac:dyDescent="0.2">
      <c r="D1163"/>
      <c r="F1163"/>
    </row>
    <row r="1164" spans="4:6" x14ac:dyDescent="0.2">
      <c r="D1164"/>
      <c r="F1164"/>
    </row>
    <row r="1165" spans="4:6" x14ac:dyDescent="0.2">
      <c r="D1165"/>
      <c r="F1165"/>
    </row>
    <row r="1166" spans="4:6" x14ac:dyDescent="0.2">
      <c r="D1166"/>
      <c r="F1166"/>
    </row>
    <row r="1167" spans="4:6" x14ac:dyDescent="0.2">
      <c r="D1167"/>
      <c r="F1167"/>
    </row>
    <row r="1168" spans="4:6" x14ac:dyDescent="0.2">
      <c r="D1168"/>
      <c r="F1168"/>
    </row>
    <row r="1169" spans="4:6" x14ac:dyDescent="0.2">
      <c r="D1169"/>
      <c r="F1169"/>
    </row>
    <row r="1170" spans="4:6" x14ac:dyDescent="0.2">
      <c r="D1170"/>
      <c r="F1170"/>
    </row>
    <row r="1171" spans="4:6" x14ac:dyDescent="0.2">
      <c r="D1171"/>
      <c r="F1171"/>
    </row>
    <row r="1172" spans="4:6" x14ac:dyDescent="0.2">
      <c r="D1172"/>
      <c r="F1172"/>
    </row>
    <row r="1173" spans="4:6" x14ac:dyDescent="0.2">
      <c r="D1173"/>
      <c r="F1173"/>
    </row>
    <row r="1174" spans="4:6" x14ac:dyDescent="0.2">
      <c r="D1174"/>
      <c r="F1174"/>
    </row>
    <row r="1175" spans="4:6" x14ac:dyDescent="0.2">
      <c r="D1175"/>
      <c r="F1175"/>
    </row>
    <row r="1176" spans="4:6" x14ac:dyDescent="0.2">
      <c r="D1176"/>
      <c r="F1176"/>
    </row>
    <row r="1177" spans="4:6" x14ac:dyDescent="0.2">
      <c r="D1177"/>
      <c r="F1177"/>
    </row>
    <row r="1178" spans="4:6" x14ac:dyDescent="0.2">
      <c r="D1178"/>
      <c r="F1178"/>
    </row>
    <row r="1179" spans="4:6" x14ac:dyDescent="0.2">
      <c r="D1179"/>
      <c r="F1179"/>
    </row>
    <row r="1180" spans="4:6" x14ac:dyDescent="0.2">
      <c r="D1180"/>
      <c r="F1180"/>
    </row>
    <row r="1181" spans="4:6" x14ac:dyDescent="0.2">
      <c r="D1181"/>
      <c r="F1181"/>
    </row>
    <row r="1182" spans="4:6" x14ac:dyDescent="0.2">
      <c r="D1182"/>
      <c r="F1182"/>
    </row>
    <row r="1183" spans="4:6" x14ac:dyDescent="0.2">
      <c r="D1183"/>
      <c r="F1183"/>
    </row>
    <row r="1184" spans="4:6" x14ac:dyDescent="0.2">
      <c r="D1184"/>
      <c r="F1184"/>
    </row>
    <row r="1185" spans="4:6" x14ac:dyDescent="0.2">
      <c r="D1185"/>
      <c r="F1185"/>
    </row>
    <row r="1186" spans="4:6" x14ac:dyDescent="0.2">
      <c r="D1186"/>
      <c r="F1186"/>
    </row>
    <row r="1187" spans="4:6" x14ac:dyDescent="0.2">
      <c r="D1187"/>
      <c r="F1187"/>
    </row>
    <row r="1188" spans="4:6" x14ac:dyDescent="0.2">
      <c r="D1188"/>
      <c r="F1188"/>
    </row>
    <row r="1189" spans="4:6" x14ac:dyDescent="0.2">
      <c r="D1189"/>
      <c r="F1189"/>
    </row>
    <row r="1190" spans="4:6" x14ac:dyDescent="0.2">
      <c r="D1190"/>
      <c r="F1190"/>
    </row>
    <row r="1191" spans="4:6" x14ac:dyDescent="0.2">
      <c r="D1191"/>
      <c r="F1191"/>
    </row>
    <row r="1192" spans="4:6" x14ac:dyDescent="0.2">
      <c r="D1192"/>
      <c r="F1192"/>
    </row>
    <row r="1193" spans="4:6" x14ac:dyDescent="0.2">
      <c r="D1193"/>
      <c r="F1193"/>
    </row>
    <row r="1194" spans="4:6" x14ac:dyDescent="0.2">
      <c r="D1194"/>
      <c r="F1194"/>
    </row>
    <row r="1195" spans="4:6" x14ac:dyDescent="0.2">
      <c r="D1195"/>
      <c r="F1195"/>
    </row>
    <row r="1196" spans="4:6" x14ac:dyDescent="0.2">
      <c r="D1196"/>
      <c r="F1196"/>
    </row>
    <row r="1197" spans="4:6" x14ac:dyDescent="0.2">
      <c r="D1197"/>
      <c r="F1197"/>
    </row>
    <row r="1198" spans="4:6" x14ac:dyDescent="0.2">
      <c r="D1198"/>
      <c r="F1198"/>
    </row>
    <row r="1199" spans="4:6" x14ac:dyDescent="0.2">
      <c r="D1199"/>
      <c r="F1199"/>
    </row>
    <row r="1200" spans="4:6" x14ac:dyDescent="0.2">
      <c r="D1200"/>
      <c r="F1200"/>
    </row>
    <row r="1201" spans="4:6" x14ac:dyDescent="0.2">
      <c r="D1201"/>
      <c r="F1201"/>
    </row>
    <row r="1202" spans="4:6" x14ac:dyDescent="0.2">
      <c r="D1202"/>
      <c r="F1202"/>
    </row>
    <row r="1203" spans="4:6" x14ac:dyDescent="0.2">
      <c r="D1203"/>
      <c r="F1203"/>
    </row>
    <row r="1204" spans="4:6" x14ac:dyDescent="0.2">
      <c r="D1204"/>
      <c r="F1204"/>
    </row>
    <row r="1205" spans="4:6" x14ac:dyDescent="0.2">
      <c r="D1205"/>
      <c r="F1205"/>
    </row>
    <row r="1206" spans="4:6" x14ac:dyDescent="0.2">
      <c r="D1206"/>
      <c r="F1206"/>
    </row>
    <row r="1207" spans="4:6" x14ac:dyDescent="0.2">
      <c r="D1207"/>
      <c r="F1207"/>
    </row>
    <row r="1208" spans="4:6" x14ac:dyDescent="0.2">
      <c r="D1208"/>
      <c r="F1208"/>
    </row>
    <row r="1209" spans="4:6" x14ac:dyDescent="0.2">
      <c r="D1209"/>
      <c r="F1209"/>
    </row>
    <row r="1210" spans="4:6" x14ac:dyDescent="0.2">
      <c r="D1210"/>
      <c r="F1210"/>
    </row>
    <row r="1211" spans="4:6" x14ac:dyDescent="0.2">
      <c r="D1211"/>
      <c r="F1211"/>
    </row>
    <row r="1212" spans="4:6" x14ac:dyDescent="0.2">
      <c r="D1212"/>
      <c r="F1212"/>
    </row>
    <row r="1213" spans="4:6" x14ac:dyDescent="0.2">
      <c r="D1213"/>
      <c r="F1213"/>
    </row>
    <row r="1214" spans="4:6" x14ac:dyDescent="0.2">
      <c r="D1214"/>
      <c r="F1214"/>
    </row>
    <row r="1215" spans="4:6" x14ac:dyDescent="0.2">
      <c r="D1215"/>
      <c r="F1215"/>
    </row>
    <row r="1216" spans="4:6" x14ac:dyDescent="0.2">
      <c r="D1216"/>
      <c r="F1216"/>
    </row>
    <row r="1217" spans="4:6" x14ac:dyDescent="0.2">
      <c r="D1217"/>
      <c r="F1217"/>
    </row>
    <row r="1218" spans="4:6" x14ac:dyDescent="0.2">
      <c r="D1218"/>
      <c r="F1218"/>
    </row>
    <row r="1219" spans="4:6" x14ac:dyDescent="0.2">
      <c r="D1219"/>
      <c r="F1219"/>
    </row>
    <row r="1220" spans="4:6" x14ac:dyDescent="0.2">
      <c r="D1220"/>
      <c r="F1220"/>
    </row>
    <row r="1221" spans="4:6" x14ac:dyDescent="0.2">
      <c r="D1221"/>
      <c r="F1221"/>
    </row>
    <row r="1222" spans="4:6" x14ac:dyDescent="0.2">
      <c r="D1222"/>
      <c r="F1222"/>
    </row>
    <row r="1223" spans="4:6" x14ac:dyDescent="0.2">
      <c r="D1223"/>
      <c r="F1223"/>
    </row>
    <row r="1224" spans="4:6" x14ac:dyDescent="0.2">
      <c r="D1224"/>
      <c r="F1224"/>
    </row>
    <row r="1225" spans="4:6" x14ac:dyDescent="0.2">
      <c r="D1225"/>
      <c r="F1225"/>
    </row>
    <row r="1226" spans="4:6" x14ac:dyDescent="0.2">
      <c r="D1226"/>
      <c r="F1226"/>
    </row>
    <row r="1227" spans="4:6" x14ac:dyDescent="0.2">
      <c r="D1227"/>
      <c r="F1227"/>
    </row>
    <row r="1228" spans="4:6" x14ac:dyDescent="0.2">
      <c r="D1228"/>
      <c r="F1228"/>
    </row>
    <row r="1229" spans="4:6" x14ac:dyDescent="0.2">
      <c r="D1229"/>
      <c r="F1229"/>
    </row>
    <row r="1230" spans="4:6" x14ac:dyDescent="0.2">
      <c r="D1230"/>
      <c r="F1230"/>
    </row>
    <row r="1231" spans="4:6" x14ac:dyDescent="0.2">
      <c r="D1231"/>
      <c r="F1231"/>
    </row>
    <row r="1232" spans="4:6" x14ac:dyDescent="0.2">
      <c r="D1232"/>
      <c r="F1232"/>
    </row>
    <row r="1233" spans="4:6" x14ac:dyDescent="0.2">
      <c r="D1233"/>
      <c r="F1233"/>
    </row>
    <row r="1234" spans="4:6" x14ac:dyDescent="0.2">
      <c r="D1234"/>
      <c r="F1234"/>
    </row>
    <row r="1235" spans="4:6" x14ac:dyDescent="0.2">
      <c r="D1235"/>
      <c r="F1235"/>
    </row>
    <row r="1236" spans="4:6" x14ac:dyDescent="0.2">
      <c r="D1236"/>
      <c r="F1236"/>
    </row>
    <row r="1237" spans="4:6" x14ac:dyDescent="0.2">
      <c r="D1237"/>
      <c r="F1237"/>
    </row>
    <row r="1238" spans="4:6" x14ac:dyDescent="0.2">
      <c r="D1238"/>
      <c r="F1238"/>
    </row>
    <row r="1239" spans="4:6" x14ac:dyDescent="0.2">
      <c r="D1239"/>
      <c r="F1239"/>
    </row>
    <row r="1240" spans="4:6" x14ac:dyDescent="0.2">
      <c r="D1240"/>
      <c r="F1240"/>
    </row>
    <row r="1241" spans="4:6" x14ac:dyDescent="0.2">
      <c r="D1241"/>
      <c r="F1241"/>
    </row>
    <row r="1242" spans="4:6" x14ac:dyDescent="0.2">
      <c r="D1242"/>
      <c r="F1242"/>
    </row>
    <row r="1243" spans="4:6" x14ac:dyDescent="0.2">
      <c r="D1243"/>
      <c r="F1243"/>
    </row>
    <row r="1244" spans="4:6" x14ac:dyDescent="0.2">
      <c r="D1244"/>
      <c r="F1244"/>
    </row>
    <row r="1245" spans="4:6" x14ac:dyDescent="0.2">
      <c r="D1245"/>
      <c r="F1245"/>
    </row>
    <row r="1246" spans="4:6" x14ac:dyDescent="0.2">
      <c r="D1246"/>
      <c r="F1246"/>
    </row>
    <row r="1247" spans="4:6" x14ac:dyDescent="0.2">
      <c r="D1247"/>
      <c r="F1247"/>
    </row>
    <row r="1248" spans="4:6" x14ac:dyDescent="0.2">
      <c r="D1248"/>
      <c r="F1248"/>
    </row>
    <row r="1249" spans="4:6" x14ac:dyDescent="0.2">
      <c r="D1249"/>
      <c r="F1249"/>
    </row>
    <row r="1250" spans="4:6" x14ac:dyDescent="0.2">
      <c r="D1250"/>
      <c r="F1250"/>
    </row>
    <row r="1251" spans="4:6" x14ac:dyDescent="0.2">
      <c r="D1251"/>
      <c r="F1251"/>
    </row>
    <row r="1252" spans="4:6" x14ac:dyDescent="0.2">
      <c r="D1252"/>
      <c r="F1252"/>
    </row>
    <row r="1253" spans="4:6" x14ac:dyDescent="0.2">
      <c r="D1253"/>
      <c r="F1253"/>
    </row>
    <row r="1254" spans="4:6" x14ac:dyDescent="0.2">
      <c r="D1254"/>
      <c r="F1254"/>
    </row>
    <row r="1255" spans="4:6" x14ac:dyDescent="0.2">
      <c r="D1255"/>
      <c r="F1255"/>
    </row>
    <row r="1256" spans="4:6" x14ac:dyDescent="0.2">
      <c r="D1256"/>
      <c r="F1256"/>
    </row>
    <row r="1257" spans="4:6" x14ac:dyDescent="0.2">
      <c r="D1257"/>
      <c r="F1257"/>
    </row>
    <row r="1258" spans="4:6" x14ac:dyDescent="0.2">
      <c r="D1258"/>
      <c r="F1258"/>
    </row>
    <row r="1259" spans="4:6" x14ac:dyDescent="0.2">
      <c r="D1259"/>
      <c r="F1259"/>
    </row>
    <row r="1260" spans="4:6" x14ac:dyDescent="0.2">
      <c r="D1260"/>
      <c r="F1260"/>
    </row>
    <row r="1261" spans="4:6" x14ac:dyDescent="0.2">
      <c r="D1261"/>
      <c r="F1261"/>
    </row>
    <row r="1262" spans="4:6" x14ac:dyDescent="0.2">
      <c r="D1262"/>
      <c r="F1262"/>
    </row>
    <row r="1263" spans="4:6" x14ac:dyDescent="0.2">
      <c r="D1263"/>
      <c r="F1263"/>
    </row>
    <row r="1264" spans="4:6" x14ac:dyDescent="0.2">
      <c r="D1264"/>
      <c r="F1264"/>
    </row>
    <row r="1265" spans="4:6" x14ac:dyDescent="0.2">
      <c r="D1265"/>
      <c r="F1265"/>
    </row>
    <row r="1266" spans="4:6" x14ac:dyDescent="0.2">
      <c r="D1266"/>
      <c r="F1266"/>
    </row>
    <row r="1267" spans="4:6" x14ac:dyDescent="0.2">
      <c r="D1267"/>
      <c r="F1267"/>
    </row>
    <row r="1268" spans="4:6" x14ac:dyDescent="0.2">
      <c r="D1268"/>
      <c r="F1268"/>
    </row>
    <row r="1269" spans="4:6" x14ac:dyDescent="0.2">
      <c r="D1269"/>
      <c r="F1269"/>
    </row>
    <row r="1270" spans="4:6" x14ac:dyDescent="0.2">
      <c r="D1270"/>
      <c r="F1270"/>
    </row>
    <row r="1271" spans="4:6" x14ac:dyDescent="0.2">
      <c r="D1271"/>
      <c r="F1271"/>
    </row>
    <row r="1272" spans="4:6" x14ac:dyDescent="0.2">
      <c r="D1272"/>
      <c r="F1272"/>
    </row>
    <row r="1273" spans="4:6" x14ac:dyDescent="0.2">
      <c r="D1273"/>
      <c r="F1273"/>
    </row>
    <row r="1274" spans="4:6" x14ac:dyDescent="0.2">
      <c r="D1274"/>
      <c r="F1274"/>
    </row>
    <row r="1275" spans="4:6" x14ac:dyDescent="0.2">
      <c r="D1275"/>
      <c r="F1275"/>
    </row>
    <row r="1276" spans="4:6" x14ac:dyDescent="0.2">
      <c r="D1276"/>
      <c r="F1276"/>
    </row>
    <row r="1277" spans="4:6" x14ac:dyDescent="0.2">
      <c r="D1277"/>
      <c r="F1277"/>
    </row>
    <row r="1278" spans="4:6" x14ac:dyDescent="0.2">
      <c r="D1278"/>
      <c r="F1278"/>
    </row>
    <row r="1279" spans="4:6" x14ac:dyDescent="0.2">
      <c r="D1279"/>
      <c r="F1279"/>
    </row>
    <row r="1280" spans="4:6" x14ac:dyDescent="0.2">
      <c r="D1280"/>
      <c r="F1280"/>
    </row>
    <row r="1281" spans="4:6" x14ac:dyDescent="0.2">
      <c r="D1281"/>
      <c r="F1281"/>
    </row>
    <row r="1282" spans="4:6" x14ac:dyDescent="0.2">
      <c r="D1282"/>
      <c r="F1282"/>
    </row>
    <row r="1283" spans="4:6" x14ac:dyDescent="0.2">
      <c r="D1283"/>
      <c r="F1283"/>
    </row>
    <row r="1284" spans="4:6" x14ac:dyDescent="0.2">
      <c r="D1284"/>
      <c r="F1284"/>
    </row>
    <row r="1285" spans="4:6" x14ac:dyDescent="0.2">
      <c r="D1285"/>
      <c r="F1285"/>
    </row>
    <row r="1286" spans="4:6" x14ac:dyDescent="0.2">
      <c r="D1286"/>
      <c r="F1286"/>
    </row>
    <row r="1287" spans="4:6" x14ac:dyDescent="0.2">
      <c r="D1287"/>
      <c r="F1287"/>
    </row>
    <row r="1288" spans="4:6" x14ac:dyDescent="0.2">
      <c r="D1288"/>
      <c r="F1288"/>
    </row>
    <row r="1289" spans="4:6" x14ac:dyDescent="0.2">
      <c r="D1289"/>
      <c r="F1289"/>
    </row>
    <row r="1290" spans="4:6" x14ac:dyDescent="0.2">
      <c r="D1290"/>
      <c r="F1290"/>
    </row>
    <row r="1291" spans="4:6" x14ac:dyDescent="0.2">
      <c r="D1291"/>
      <c r="F1291"/>
    </row>
    <row r="1292" spans="4:6" x14ac:dyDescent="0.2">
      <c r="D1292"/>
      <c r="F1292"/>
    </row>
    <row r="1293" spans="4:6" x14ac:dyDescent="0.2">
      <c r="D1293"/>
      <c r="F1293"/>
    </row>
    <row r="1294" spans="4:6" x14ac:dyDescent="0.2">
      <c r="D1294"/>
      <c r="F1294"/>
    </row>
    <row r="1295" spans="4:6" x14ac:dyDescent="0.2">
      <c r="D1295"/>
      <c r="F1295"/>
    </row>
    <row r="1296" spans="4:6" x14ac:dyDescent="0.2">
      <c r="D1296"/>
      <c r="F1296"/>
    </row>
    <row r="1297" spans="4:6" x14ac:dyDescent="0.2">
      <c r="D1297"/>
      <c r="F1297"/>
    </row>
    <row r="1298" spans="4:6" x14ac:dyDescent="0.2">
      <c r="D1298"/>
      <c r="F1298"/>
    </row>
    <row r="1299" spans="4:6" x14ac:dyDescent="0.2">
      <c r="D1299"/>
      <c r="F1299"/>
    </row>
    <row r="1300" spans="4:6" x14ac:dyDescent="0.2">
      <c r="D1300"/>
      <c r="F1300"/>
    </row>
    <row r="1301" spans="4:6" x14ac:dyDescent="0.2">
      <c r="D1301"/>
      <c r="F1301"/>
    </row>
    <row r="1302" spans="4:6" x14ac:dyDescent="0.2">
      <c r="D1302"/>
      <c r="F1302"/>
    </row>
    <row r="1303" spans="4:6" x14ac:dyDescent="0.2">
      <c r="D1303"/>
      <c r="F1303"/>
    </row>
    <row r="1304" spans="4:6" x14ac:dyDescent="0.2">
      <c r="D1304"/>
      <c r="F1304"/>
    </row>
    <row r="1305" spans="4:6" x14ac:dyDescent="0.2">
      <c r="D1305"/>
      <c r="F1305"/>
    </row>
    <row r="1306" spans="4:6" x14ac:dyDescent="0.2">
      <c r="D1306"/>
      <c r="F1306"/>
    </row>
    <row r="1307" spans="4:6" x14ac:dyDescent="0.2">
      <c r="D1307"/>
      <c r="F1307"/>
    </row>
    <row r="1308" spans="4:6" x14ac:dyDescent="0.2">
      <c r="D1308"/>
      <c r="F1308"/>
    </row>
    <row r="1309" spans="4:6" x14ac:dyDescent="0.2">
      <c r="D1309"/>
      <c r="F1309"/>
    </row>
    <row r="1310" spans="4:6" x14ac:dyDescent="0.2">
      <c r="D1310"/>
      <c r="F1310"/>
    </row>
    <row r="1311" spans="4:6" x14ac:dyDescent="0.2">
      <c r="D1311"/>
      <c r="F1311"/>
    </row>
    <row r="1312" spans="4:6" x14ac:dyDescent="0.2">
      <c r="D1312"/>
      <c r="F1312"/>
    </row>
    <row r="1313" spans="4:6" x14ac:dyDescent="0.2">
      <c r="D1313"/>
      <c r="F1313"/>
    </row>
    <row r="1314" spans="4:6" x14ac:dyDescent="0.2">
      <c r="D1314"/>
      <c r="F1314"/>
    </row>
    <row r="1315" spans="4:6" x14ac:dyDescent="0.2">
      <c r="D1315"/>
      <c r="F1315"/>
    </row>
    <row r="1316" spans="4:6" x14ac:dyDescent="0.2">
      <c r="D1316"/>
      <c r="F1316"/>
    </row>
    <row r="1317" spans="4:6" x14ac:dyDescent="0.2">
      <c r="D1317"/>
      <c r="F1317"/>
    </row>
    <row r="1318" spans="4:6" x14ac:dyDescent="0.2">
      <c r="D1318"/>
      <c r="F1318"/>
    </row>
    <row r="1319" spans="4:6" x14ac:dyDescent="0.2">
      <c r="D1319"/>
      <c r="F1319"/>
    </row>
    <row r="1320" spans="4:6" x14ac:dyDescent="0.2">
      <c r="D1320"/>
      <c r="F1320"/>
    </row>
    <row r="1321" spans="4:6" x14ac:dyDescent="0.2">
      <c r="D1321"/>
      <c r="F1321"/>
    </row>
    <row r="1322" spans="4:6" x14ac:dyDescent="0.2">
      <c r="D1322"/>
      <c r="F1322"/>
    </row>
    <row r="1323" spans="4:6" x14ac:dyDescent="0.2">
      <c r="D1323"/>
      <c r="F1323"/>
    </row>
    <row r="1324" spans="4:6" x14ac:dyDescent="0.2">
      <c r="D1324"/>
      <c r="F1324"/>
    </row>
    <row r="1325" spans="4:6" x14ac:dyDescent="0.2">
      <c r="D1325"/>
      <c r="F1325"/>
    </row>
    <row r="1326" spans="4:6" x14ac:dyDescent="0.2">
      <c r="D1326"/>
      <c r="F1326"/>
    </row>
    <row r="1327" spans="4:6" x14ac:dyDescent="0.2">
      <c r="D1327"/>
      <c r="F1327"/>
    </row>
    <row r="1328" spans="4:6" x14ac:dyDescent="0.2">
      <c r="D1328"/>
      <c r="F1328"/>
    </row>
    <row r="1329" spans="4:6" x14ac:dyDescent="0.2">
      <c r="D1329"/>
      <c r="F1329"/>
    </row>
    <row r="1330" spans="4:6" x14ac:dyDescent="0.2">
      <c r="D1330"/>
      <c r="F1330"/>
    </row>
    <row r="1331" spans="4:6" x14ac:dyDescent="0.2">
      <c r="D1331"/>
      <c r="F1331"/>
    </row>
    <row r="1332" spans="4:6" x14ac:dyDescent="0.2">
      <c r="D1332"/>
      <c r="F1332"/>
    </row>
    <row r="1333" spans="4:6" x14ac:dyDescent="0.2">
      <c r="D1333"/>
      <c r="F1333"/>
    </row>
    <row r="1334" spans="4:6" x14ac:dyDescent="0.2">
      <c r="D1334"/>
      <c r="F1334"/>
    </row>
    <row r="1335" spans="4:6" x14ac:dyDescent="0.2">
      <c r="D1335"/>
      <c r="F1335"/>
    </row>
    <row r="1336" spans="4:6" x14ac:dyDescent="0.2">
      <c r="D1336"/>
      <c r="F1336"/>
    </row>
    <row r="1337" spans="4:6" x14ac:dyDescent="0.2">
      <c r="D1337"/>
      <c r="F1337"/>
    </row>
    <row r="1338" spans="4:6" x14ac:dyDescent="0.2">
      <c r="D1338"/>
      <c r="F1338"/>
    </row>
    <row r="1339" spans="4:6" x14ac:dyDescent="0.2">
      <c r="D1339"/>
      <c r="F1339"/>
    </row>
    <row r="1340" spans="4:6" x14ac:dyDescent="0.2">
      <c r="D1340"/>
      <c r="F1340"/>
    </row>
    <row r="1341" spans="4:6" x14ac:dyDescent="0.2">
      <c r="D1341"/>
      <c r="F1341"/>
    </row>
    <row r="1342" spans="4:6" x14ac:dyDescent="0.2">
      <c r="D1342"/>
      <c r="F1342"/>
    </row>
    <row r="1343" spans="4:6" x14ac:dyDescent="0.2">
      <c r="D1343"/>
      <c r="F1343"/>
    </row>
    <row r="1344" spans="4:6" x14ac:dyDescent="0.2">
      <c r="D1344"/>
      <c r="F1344"/>
    </row>
    <row r="1345" spans="4:6" x14ac:dyDescent="0.2">
      <c r="D1345"/>
      <c r="F1345"/>
    </row>
    <row r="1346" spans="4:6" x14ac:dyDescent="0.2">
      <c r="D1346"/>
      <c r="F1346"/>
    </row>
    <row r="1347" spans="4:6" x14ac:dyDescent="0.2">
      <c r="D1347"/>
      <c r="F1347"/>
    </row>
    <row r="1348" spans="4:6" x14ac:dyDescent="0.2">
      <c r="D1348"/>
      <c r="F1348"/>
    </row>
    <row r="1349" spans="4:6" x14ac:dyDescent="0.2">
      <c r="D1349"/>
      <c r="F1349"/>
    </row>
    <row r="1350" spans="4:6" x14ac:dyDescent="0.2">
      <c r="D1350"/>
      <c r="F1350"/>
    </row>
    <row r="1351" spans="4:6" x14ac:dyDescent="0.2">
      <c r="D1351"/>
      <c r="F1351"/>
    </row>
    <row r="1352" spans="4:6" x14ac:dyDescent="0.2">
      <c r="D1352"/>
      <c r="F1352"/>
    </row>
    <row r="1353" spans="4:6" x14ac:dyDescent="0.2">
      <c r="D1353"/>
      <c r="F1353"/>
    </row>
    <row r="1354" spans="4:6" x14ac:dyDescent="0.2">
      <c r="D1354"/>
      <c r="F1354"/>
    </row>
    <row r="1355" spans="4:6" x14ac:dyDescent="0.2">
      <c r="D1355"/>
      <c r="F1355"/>
    </row>
    <row r="1356" spans="4:6" x14ac:dyDescent="0.2">
      <c r="D1356"/>
      <c r="F1356"/>
    </row>
    <row r="1357" spans="4:6" x14ac:dyDescent="0.2">
      <c r="D1357"/>
      <c r="F1357"/>
    </row>
    <row r="1358" spans="4:6" x14ac:dyDescent="0.2">
      <c r="D1358"/>
      <c r="F1358"/>
    </row>
    <row r="1359" spans="4:6" x14ac:dyDescent="0.2">
      <c r="D1359"/>
      <c r="F1359"/>
    </row>
    <row r="1360" spans="4:6" x14ac:dyDescent="0.2">
      <c r="D1360"/>
      <c r="F1360"/>
    </row>
    <row r="1361" spans="4:6" x14ac:dyDescent="0.2">
      <c r="D1361"/>
      <c r="F1361"/>
    </row>
    <row r="1362" spans="4:6" x14ac:dyDescent="0.2">
      <c r="D1362"/>
      <c r="F1362"/>
    </row>
    <row r="1363" spans="4:6" x14ac:dyDescent="0.2">
      <c r="D1363"/>
      <c r="F1363"/>
    </row>
    <row r="1364" spans="4:6" x14ac:dyDescent="0.2">
      <c r="D1364"/>
      <c r="F1364"/>
    </row>
    <row r="1365" spans="4:6" x14ac:dyDescent="0.2">
      <c r="D1365"/>
      <c r="F1365"/>
    </row>
    <row r="1366" spans="4:6" x14ac:dyDescent="0.2">
      <c r="D1366"/>
      <c r="F1366"/>
    </row>
    <row r="1367" spans="4:6" x14ac:dyDescent="0.2">
      <c r="D1367"/>
      <c r="F1367"/>
    </row>
    <row r="1368" spans="4:6" x14ac:dyDescent="0.2">
      <c r="D1368"/>
      <c r="F1368"/>
    </row>
    <row r="1369" spans="4:6" x14ac:dyDescent="0.2">
      <c r="D1369"/>
      <c r="F1369"/>
    </row>
    <row r="1370" spans="4:6" x14ac:dyDescent="0.2">
      <c r="D1370"/>
      <c r="F1370"/>
    </row>
    <row r="1371" spans="4:6" x14ac:dyDescent="0.2">
      <c r="D1371"/>
      <c r="F1371"/>
    </row>
    <row r="1372" spans="4:6" x14ac:dyDescent="0.2">
      <c r="D1372"/>
      <c r="F1372"/>
    </row>
    <row r="1373" spans="4:6" x14ac:dyDescent="0.2">
      <c r="D1373"/>
      <c r="F1373"/>
    </row>
    <row r="1374" spans="4:6" x14ac:dyDescent="0.2">
      <c r="D1374"/>
      <c r="F1374"/>
    </row>
    <row r="1375" spans="4:6" x14ac:dyDescent="0.2">
      <c r="D1375"/>
      <c r="F1375"/>
    </row>
    <row r="1376" spans="4:6" x14ac:dyDescent="0.2">
      <c r="D1376"/>
      <c r="F1376"/>
    </row>
    <row r="1377" spans="4:6" x14ac:dyDescent="0.2">
      <c r="D1377"/>
      <c r="F1377"/>
    </row>
    <row r="1378" spans="4:6" x14ac:dyDescent="0.2">
      <c r="D1378"/>
      <c r="F1378"/>
    </row>
    <row r="1379" spans="4:6" x14ac:dyDescent="0.2">
      <c r="D1379"/>
      <c r="F1379"/>
    </row>
    <row r="1380" spans="4:6" x14ac:dyDescent="0.2">
      <c r="D1380"/>
      <c r="F1380"/>
    </row>
    <row r="1381" spans="4:6" x14ac:dyDescent="0.2">
      <c r="D1381"/>
      <c r="F1381"/>
    </row>
    <row r="1382" spans="4:6" x14ac:dyDescent="0.2">
      <c r="D1382"/>
      <c r="F1382"/>
    </row>
    <row r="1383" spans="4:6" x14ac:dyDescent="0.2">
      <c r="D1383"/>
      <c r="F1383"/>
    </row>
    <row r="1384" spans="4:6" x14ac:dyDescent="0.2">
      <c r="D1384"/>
      <c r="F1384"/>
    </row>
    <row r="1385" spans="4:6" x14ac:dyDescent="0.2">
      <c r="D1385"/>
      <c r="F1385"/>
    </row>
    <row r="1386" spans="4:6" x14ac:dyDescent="0.2">
      <c r="D1386"/>
      <c r="F1386"/>
    </row>
    <row r="1387" spans="4:6" x14ac:dyDescent="0.2">
      <c r="D1387"/>
      <c r="F1387"/>
    </row>
    <row r="1388" spans="4:6" x14ac:dyDescent="0.2">
      <c r="D1388"/>
      <c r="F1388"/>
    </row>
    <row r="1389" spans="4:6" x14ac:dyDescent="0.2">
      <c r="D1389"/>
      <c r="F1389"/>
    </row>
    <row r="1390" spans="4:6" x14ac:dyDescent="0.2">
      <c r="D1390"/>
      <c r="F1390"/>
    </row>
    <row r="1391" spans="4:6" x14ac:dyDescent="0.2">
      <c r="D1391"/>
      <c r="F1391"/>
    </row>
    <row r="1392" spans="4:6" x14ac:dyDescent="0.2">
      <c r="D1392"/>
      <c r="F1392"/>
    </row>
    <row r="1393" spans="4:6" x14ac:dyDescent="0.2">
      <c r="D1393"/>
      <c r="F1393"/>
    </row>
    <row r="1394" spans="4:6" x14ac:dyDescent="0.2">
      <c r="D1394"/>
      <c r="F1394"/>
    </row>
    <row r="1395" spans="4:6" x14ac:dyDescent="0.2">
      <c r="D1395"/>
      <c r="F1395"/>
    </row>
    <row r="1396" spans="4:6" x14ac:dyDescent="0.2">
      <c r="D1396"/>
      <c r="F1396"/>
    </row>
    <row r="1397" spans="4:6" x14ac:dyDescent="0.2">
      <c r="D1397"/>
      <c r="F1397"/>
    </row>
    <row r="1398" spans="4:6" x14ac:dyDescent="0.2">
      <c r="D1398"/>
      <c r="F1398"/>
    </row>
    <row r="1399" spans="4:6" x14ac:dyDescent="0.2">
      <c r="D1399"/>
      <c r="F1399"/>
    </row>
    <row r="1400" spans="4:6" x14ac:dyDescent="0.2">
      <c r="D1400"/>
      <c r="F1400"/>
    </row>
    <row r="1401" spans="4:6" x14ac:dyDescent="0.2">
      <c r="D1401"/>
      <c r="F1401"/>
    </row>
    <row r="1402" spans="4:6" x14ac:dyDescent="0.2">
      <c r="D1402"/>
      <c r="F1402"/>
    </row>
    <row r="1403" spans="4:6" x14ac:dyDescent="0.2">
      <c r="D1403"/>
      <c r="F1403"/>
    </row>
    <row r="1404" spans="4:6" x14ac:dyDescent="0.2">
      <c r="D1404"/>
      <c r="F1404"/>
    </row>
    <row r="1405" spans="4:6" x14ac:dyDescent="0.2">
      <c r="D1405"/>
      <c r="F1405"/>
    </row>
    <row r="1406" spans="4:6" x14ac:dyDescent="0.2">
      <c r="D1406"/>
      <c r="F1406"/>
    </row>
    <row r="1407" spans="4:6" x14ac:dyDescent="0.2">
      <c r="D1407"/>
      <c r="F1407"/>
    </row>
    <row r="1408" spans="4:6" x14ac:dyDescent="0.2">
      <c r="D1408"/>
      <c r="F1408"/>
    </row>
    <row r="1409" spans="4:6" x14ac:dyDescent="0.2">
      <c r="D1409"/>
      <c r="F1409"/>
    </row>
    <row r="1410" spans="4:6" x14ac:dyDescent="0.2">
      <c r="D1410"/>
      <c r="F1410"/>
    </row>
    <row r="1411" spans="4:6" x14ac:dyDescent="0.2">
      <c r="D1411"/>
      <c r="F1411"/>
    </row>
    <row r="1412" spans="4:6" x14ac:dyDescent="0.2">
      <c r="D1412"/>
      <c r="F1412"/>
    </row>
    <row r="1413" spans="4:6" x14ac:dyDescent="0.2">
      <c r="D1413"/>
      <c r="F1413"/>
    </row>
    <row r="1414" spans="4:6" x14ac:dyDescent="0.2">
      <c r="D1414"/>
      <c r="F1414"/>
    </row>
    <row r="1415" spans="4:6" x14ac:dyDescent="0.2">
      <c r="D1415"/>
      <c r="F1415"/>
    </row>
    <row r="1416" spans="4:6" x14ac:dyDescent="0.2">
      <c r="D1416"/>
      <c r="F1416"/>
    </row>
    <row r="1417" spans="4:6" x14ac:dyDescent="0.2">
      <c r="D1417"/>
      <c r="F1417"/>
    </row>
    <row r="1418" spans="4:6" x14ac:dyDescent="0.2">
      <c r="D1418"/>
      <c r="F1418"/>
    </row>
    <row r="1419" spans="4:6" x14ac:dyDescent="0.2">
      <c r="D1419"/>
      <c r="F1419"/>
    </row>
    <row r="1420" spans="4:6" x14ac:dyDescent="0.2">
      <c r="D1420"/>
      <c r="F1420"/>
    </row>
    <row r="1421" spans="4:6" x14ac:dyDescent="0.2">
      <c r="D1421"/>
      <c r="F1421"/>
    </row>
    <row r="1422" spans="4:6" x14ac:dyDescent="0.2">
      <c r="D1422"/>
      <c r="F1422"/>
    </row>
    <row r="1423" spans="4:6" x14ac:dyDescent="0.2">
      <c r="D1423"/>
      <c r="F1423"/>
    </row>
    <row r="1424" spans="4:6" x14ac:dyDescent="0.2">
      <c r="D1424"/>
      <c r="F1424"/>
    </row>
    <row r="1425" spans="4:6" x14ac:dyDescent="0.2">
      <c r="D1425"/>
      <c r="F1425"/>
    </row>
    <row r="1426" spans="4:6" x14ac:dyDescent="0.2">
      <c r="D1426"/>
      <c r="F1426"/>
    </row>
    <row r="1427" spans="4:6" x14ac:dyDescent="0.2">
      <c r="D1427"/>
      <c r="F1427"/>
    </row>
    <row r="1428" spans="4:6" x14ac:dyDescent="0.2">
      <c r="D1428"/>
      <c r="F1428"/>
    </row>
    <row r="1429" spans="4:6" x14ac:dyDescent="0.2">
      <c r="D1429"/>
      <c r="F1429"/>
    </row>
    <row r="1430" spans="4:6" x14ac:dyDescent="0.2">
      <c r="D1430"/>
      <c r="F1430"/>
    </row>
    <row r="3707" ht="12" customHeight="1" x14ac:dyDescent="0.2"/>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7"/>
  <dimension ref="A1:H3707"/>
  <sheetViews>
    <sheetView workbookViewId="0">
      <pane ySplit="5" topLeftCell="A204" activePane="bottomLeft" state="frozen"/>
      <selection pane="bottomLeft" activeCell="G211" sqref="G211"/>
    </sheetView>
  </sheetViews>
  <sheetFormatPr baseColWidth="10" defaultColWidth="11.42578125" defaultRowHeight="12.75" x14ac:dyDescent="0.2"/>
  <cols>
    <col min="2" max="2" width="28.140625" bestFit="1" customWidth="1"/>
    <col min="3" max="3" width="15" bestFit="1" customWidth="1"/>
    <col min="4" max="4" width="12" style="927" bestFit="1" customWidth="1"/>
    <col min="5" max="5" width="32.140625" customWidth="1"/>
    <col min="6" max="6" width="6.5703125" style="925" customWidth="1"/>
    <col min="7" max="7" width="32.7109375" customWidth="1"/>
  </cols>
  <sheetData>
    <row r="1" spans="1:8" x14ac:dyDescent="0.2">
      <c r="B1" s="921" t="s">
        <v>6164</v>
      </c>
      <c r="C1" t="s">
        <v>6406</v>
      </c>
    </row>
    <row r="2" spans="1:8" x14ac:dyDescent="0.2">
      <c r="B2" s="921" t="s">
        <v>4</v>
      </c>
      <c r="C2" t="s">
        <v>6406</v>
      </c>
      <c r="E2" s="969" t="s">
        <v>6423</v>
      </c>
      <c r="F2" s="969"/>
      <c r="G2" s="969"/>
      <c r="H2" s="969"/>
    </row>
    <row r="4" spans="1:8" ht="17.25" customHeight="1" x14ac:dyDescent="0.2">
      <c r="A4" s="922"/>
      <c r="B4" s="966" t="s">
        <v>6424</v>
      </c>
      <c r="C4" s="967"/>
      <c r="D4" s="967"/>
      <c r="E4" s="926"/>
      <c r="F4"/>
    </row>
    <row r="5" spans="1:8" x14ac:dyDescent="0.2">
      <c r="A5" s="922"/>
      <c r="B5" s="1542" t="s">
        <v>6422</v>
      </c>
      <c r="C5" s="1542" t="s">
        <v>6166</v>
      </c>
      <c r="D5" s="1542" t="s">
        <v>7</v>
      </c>
      <c r="E5" t="s">
        <v>6408</v>
      </c>
      <c r="F5"/>
    </row>
    <row r="6" spans="1:8" x14ac:dyDescent="0.2">
      <c r="B6">
        <v>2007</v>
      </c>
      <c r="C6" t="s">
        <v>2968</v>
      </c>
      <c r="D6"/>
      <c r="E6" s="968">
        <v>4</v>
      </c>
      <c r="F6"/>
    </row>
    <row r="7" spans="1:8" x14ac:dyDescent="0.2">
      <c r="C7" t="s">
        <v>2981</v>
      </c>
      <c r="D7"/>
      <c r="E7" s="968">
        <v>0</v>
      </c>
      <c r="F7"/>
    </row>
    <row r="8" spans="1:8" x14ac:dyDescent="0.2">
      <c r="C8" t="s">
        <v>3846</v>
      </c>
      <c r="D8"/>
      <c r="E8" s="968">
        <v>2</v>
      </c>
      <c r="F8"/>
    </row>
    <row r="9" spans="1:8" x14ac:dyDescent="0.2">
      <c r="C9" t="s">
        <v>2929</v>
      </c>
      <c r="D9"/>
      <c r="E9" s="968">
        <v>0</v>
      </c>
      <c r="F9"/>
    </row>
    <row r="10" spans="1:8" x14ac:dyDescent="0.2">
      <c r="C10" t="s">
        <v>2937</v>
      </c>
      <c r="D10"/>
      <c r="E10" s="968">
        <v>1</v>
      </c>
      <c r="F10"/>
    </row>
    <row r="11" spans="1:8" x14ac:dyDescent="0.2">
      <c r="C11" t="s">
        <v>2943</v>
      </c>
      <c r="D11"/>
      <c r="E11" s="968">
        <v>3</v>
      </c>
      <c r="F11"/>
    </row>
    <row r="12" spans="1:8" x14ac:dyDescent="0.2">
      <c r="C12" t="s">
        <v>2949</v>
      </c>
      <c r="D12"/>
      <c r="E12" s="968">
        <v>3</v>
      </c>
      <c r="F12"/>
    </row>
    <row r="13" spans="1:8" x14ac:dyDescent="0.2">
      <c r="C13" t="s">
        <v>2957</v>
      </c>
      <c r="D13"/>
      <c r="E13" s="968">
        <v>4</v>
      </c>
      <c r="F13"/>
    </row>
    <row r="14" spans="1:8" x14ac:dyDescent="0.2">
      <c r="C14" t="s">
        <v>3056</v>
      </c>
      <c r="D14"/>
      <c r="E14" s="968">
        <v>2</v>
      </c>
      <c r="F14"/>
    </row>
    <row r="15" spans="1:8" x14ac:dyDescent="0.2">
      <c r="C15" t="s">
        <v>3067</v>
      </c>
      <c r="D15"/>
      <c r="E15" s="968">
        <v>4</v>
      </c>
      <c r="F15"/>
    </row>
    <row r="16" spans="1:8" x14ac:dyDescent="0.2">
      <c r="C16" t="s">
        <v>3074</v>
      </c>
      <c r="D16"/>
      <c r="E16" s="968">
        <v>10</v>
      </c>
      <c r="F16"/>
    </row>
    <row r="17" spans="2:6" x14ac:dyDescent="0.2">
      <c r="C17" t="s">
        <v>3082</v>
      </c>
      <c r="D17"/>
      <c r="E17" s="968">
        <v>2</v>
      </c>
      <c r="F17"/>
    </row>
    <row r="18" spans="2:6" x14ac:dyDescent="0.2">
      <c r="B18" t="s">
        <v>6409</v>
      </c>
      <c r="D18"/>
      <c r="E18" s="968">
        <v>35</v>
      </c>
      <c r="F18"/>
    </row>
    <row r="19" spans="2:6" x14ac:dyDescent="0.2">
      <c r="B19">
        <v>2008</v>
      </c>
      <c r="C19" t="s">
        <v>2968</v>
      </c>
      <c r="D19"/>
      <c r="E19" s="968">
        <v>10</v>
      </c>
      <c r="F19"/>
    </row>
    <row r="20" spans="2:6" x14ac:dyDescent="0.2">
      <c r="C20" t="s">
        <v>2981</v>
      </c>
      <c r="D20"/>
      <c r="E20" s="968">
        <v>4</v>
      </c>
      <c r="F20"/>
    </row>
    <row r="21" spans="2:6" x14ac:dyDescent="0.2">
      <c r="C21" t="s">
        <v>3846</v>
      </c>
      <c r="D21"/>
      <c r="E21" s="968">
        <v>0</v>
      </c>
      <c r="F21"/>
    </row>
    <row r="22" spans="2:6" x14ac:dyDescent="0.2">
      <c r="C22" t="s">
        <v>2929</v>
      </c>
      <c r="D22"/>
      <c r="E22" s="968">
        <v>5</v>
      </c>
      <c r="F22"/>
    </row>
    <row r="23" spans="2:6" x14ac:dyDescent="0.2">
      <c r="C23" t="s">
        <v>2937</v>
      </c>
      <c r="D23"/>
      <c r="E23" s="968">
        <v>3</v>
      </c>
      <c r="F23"/>
    </row>
    <row r="24" spans="2:6" x14ac:dyDescent="0.2">
      <c r="C24" t="s">
        <v>2943</v>
      </c>
      <c r="D24"/>
      <c r="E24" s="968">
        <v>7</v>
      </c>
      <c r="F24"/>
    </row>
    <row r="25" spans="2:6" x14ac:dyDescent="0.2">
      <c r="C25" t="s">
        <v>2949</v>
      </c>
      <c r="D25"/>
      <c r="E25" s="968">
        <v>6</v>
      </c>
      <c r="F25"/>
    </row>
    <row r="26" spans="2:6" x14ac:dyDescent="0.2">
      <c r="C26" t="s">
        <v>2957</v>
      </c>
      <c r="D26"/>
      <c r="E26" s="968">
        <v>3</v>
      </c>
      <c r="F26"/>
    </row>
    <row r="27" spans="2:6" x14ac:dyDescent="0.2">
      <c r="C27" t="s">
        <v>3056</v>
      </c>
      <c r="D27"/>
      <c r="E27" s="968">
        <v>8</v>
      </c>
      <c r="F27"/>
    </row>
    <row r="28" spans="2:6" x14ac:dyDescent="0.2">
      <c r="C28" t="s">
        <v>3067</v>
      </c>
      <c r="D28"/>
      <c r="E28" s="968">
        <v>5</v>
      </c>
      <c r="F28"/>
    </row>
    <row r="29" spans="2:6" x14ac:dyDescent="0.2">
      <c r="C29" t="s">
        <v>3074</v>
      </c>
      <c r="D29"/>
      <c r="E29" s="968">
        <v>3</v>
      </c>
      <c r="F29"/>
    </row>
    <row r="30" spans="2:6" x14ac:dyDescent="0.2">
      <c r="C30" t="s">
        <v>3082</v>
      </c>
      <c r="D30"/>
      <c r="E30" s="968">
        <v>5</v>
      </c>
      <c r="F30"/>
    </row>
    <row r="31" spans="2:6" x14ac:dyDescent="0.2">
      <c r="B31" t="s">
        <v>6410</v>
      </c>
      <c r="D31"/>
      <c r="E31" s="968">
        <v>59</v>
      </c>
      <c r="F31"/>
    </row>
    <row r="32" spans="2:6" x14ac:dyDescent="0.2">
      <c r="B32">
        <v>2009</v>
      </c>
      <c r="C32" t="s">
        <v>2968</v>
      </c>
      <c r="D32"/>
      <c r="E32" s="968">
        <v>6</v>
      </c>
      <c r="F32"/>
    </row>
    <row r="33" spans="2:6" x14ac:dyDescent="0.2">
      <c r="C33" t="s">
        <v>2981</v>
      </c>
      <c r="D33"/>
      <c r="E33" s="968">
        <v>1</v>
      </c>
      <c r="F33"/>
    </row>
    <row r="34" spans="2:6" x14ac:dyDescent="0.2">
      <c r="C34" t="s">
        <v>3846</v>
      </c>
      <c r="D34"/>
      <c r="E34" s="968">
        <v>8</v>
      </c>
      <c r="F34"/>
    </row>
    <row r="35" spans="2:6" x14ac:dyDescent="0.2">
      <c r="C35" t="s">
        <v>2929</v>
      </c>
      <c r="D35"/>
      <c r="E35" s="968">
        <v>6</v>
      </c>
      <c r="F35"/>
    </row>
    <row r="36" spans="2:6" x14ac:dyDescent="0.2">
      <c r="C36" t="s">
        <v>2937</v>
      </c>
      <c r="D36"/>
      <c r="E36" s="968">
        <v>5</v>
      </c>
      <c r="F36"/>
    </row>
    <row r="37" spans="2:6" x14ac:dyDescent="0.2">
      <c r="C37" t="s">
        <v>2949</v>
      </c>
      <c r="D37"/>
      <c r="E37" s="968">
        <v>10</v>
      </c>
      <c r="F37"/>
    </row>
    <row r="38" spans="2:6" x14ac:dyDescent="0.2">
      <c r="C38" t="s">
        <v>2957</v>
      </c>
      <c r="D38"/>
      <c r="E38" s="968">
        <v>9</v>
      </c>
      <c r="F38"/>
    </row>
    <row r="39" spans="2:6" x14ac:dyDescent="0.2">
      <c r="C39" t="s">
        <v>3056</v>
      </c>
      <c r="D39"/>
      <c r="E39" s="968">
        <v>8</v>
      </c>
      <c r="F39"/>
    </row>
    <row r="40" spans="2:6" x14ac:dyDescent="0.2">
      <c r="C40" t="s">
        <v>3067</v>
      </c>
      <c r="D40"/>
      <c r="E40" s="968">
        <v>5</v>
      </c>
      <c r="F40"/>
    </row>
    <row r="41" spans="2:6" x14ac:dyDescent="0.2">
      <c r="C41" t="s">
        <v>3074</v>
      </c>
      <c r="D41"/>
      <c r="E41" s="968">
        <v>10</v>
      </c>
      <c r="F41"/>
    </row>
    <row r="42" spans="2:6" x14ac:dyDescent="0.2">
      <c r="C42" t="s">
        <v>3082</v>
      </c>
      <c r="D42"/>
      <c r="E42" s="968">
        <v>3</v>
      </c>
      <c r="F42"/>
    </row>
    <row r="43" spans="2:6" x14ac:dyDescent="0.2">
      <c r="B43" t="s">
        <v>6411</v>
      </c>
      <c r="D43"/>
      <c r="E43" s="968">
        <v>71</v>
      </c>
      <c r="F43"/>
    </row>
    <row r="44" spans="2:6" x14ac:dyDescent="0.2">
      <c r="B44">
        <v>2010</v>
      </c>
      <c r="C44" t="s">
        <v>2968</v>
      </c>
      <c r="D44"/>
      <c r="E44" s="968">
        <v>4</v>
      </c>
      <c r="F44"/>
    </row>
    <row r="45" spans="2:6" x14ac:dyDescent="0.2">
      <c r="C45" t="s">
        <v>2981</v>
      </c>
      <c r="D45"/>
      <c r="E45" s="968">
        <v>3</v>
      </c>
      <c r="F45"/>
    </row>
    <row r="46" spans="2:6" x14ac:dyDescent="0.2">
      <c r="C46" t="s">
        <v>3846</v>
      </c>
      <c r="D46"/>
      <c r="E46" s="968">
        <v>7</v>
      </c>
      <c r="F46"/>
    </row>
    <row r="47" spans="2:6" x14ac:dyDescent="0.2">
      <c r="C47" t="s">
        <v>2929</v>
      </c>
      <c r="D47"/>
      <c r="E47" s="968">
        <v>6</v>
      </c>
      <c r="F47"/>
    </row>
    <row r="48" spans="2:6" x14ac:dyDescent="0.2">
      <c r="C48" t="s">
        <v>2937</v>
      </c>
      <c r="D48"/>
      <c r="E48" s="968">
        <v>5</v>
      </c>
      <c r="F48"/>
    </row>
    <row r="49" spans="2:6" x14ac:dyDescent="0.2">
      <c r="C49" t="s">
        <v>2943</v>
      </c>
      <c r="D49"/>
      <c r="E49" s="968">
        <v>6</v>
      </c>
      <c r="F49"/>
    </row>
    <row r="50" spans="2:6" x14ac:dyDescent="0.2">
      <c r="C50" t="s">
        <v>2949</v>
      </c>
      <c r="D50"/>
      <c r="E50" s="968">
        <v>6</v>
      </c>
      <c r="F50"/>
    </row>
    <row r="51" spans="2:6" x14ac:dyDescent="0.2">
      <c r="C51" t="s">
        <v>2957</v>
      </c>
      <c r="D51"/>
      <c r="E51" s="968">
        <v>8</v>
      </c>
      <c r="F51"/>
    </row>
    <row r="52" spans="2:6" x14ac:dyDescent="0.2">
      <c r="C52" t="s">
        <v>3056</v>
      </c>
      <c r="D52"/>
      <c r="E52" s="968">
        <v>5</v>
      </c>
      <c r="F52"/>
    </row>
    <row r="53" spans="2:6" x14ac:dyDescent="0.2">
      <c r="C53" t="s">
        <v>3067</v>
      </c>
      <c r="D53"/>
      <c r="E53" s="968">
        <v>9</v>
      </c>
      <c r="F53"/>
    </row>
    <row r="54" spans="2:6" x14ac:dyDescent="0.2">
      <c r="C54" t="s">
        <v>3074</v>
      </c>
      <c r="D54"/>
      <c r="E54" s="968">
        <v>6</v>
      </c>
      <c r="F54"/>
    </row>
    <row r="55" spans="2:6" x14ac:dyDescent="0.2">
      <c r="C55" t="s">
        <v>3082</v>
      </c>
      <c r="D55"/>
      <c r="E55" s="968">
        <v>4</v>
      </c>
      <c r="F55"/>
    </row>
    <row r="56" spans="2:6" x14ac:dyDescent="0.2">
      <c r="B56" t="s">
        <v>6412</v>
      </c>
      <c r="D56"/>
      <c r="E56" s="968">
        <v>69</v>
      </c>
      <c r="F56"/>
    </row>
    <row r="57" spans="2:6" x14ac:dyDescent="0.2">
      <c r="B57">
        <v>2011</v>
      </c>
      <c r="C57" t="s">
        <v>2968</v>
      </c>
      <c r="D57"/>
      <c r="E57" s="968">
        <v>11</v>
      </c>
      <c r="F57"/>
    </row>
    <row r="58" spans="2:6" x14ac:dyDescent="0.2">
      <c r="C58" t="s">
        <v>2981</v>
      </c>
      <c r="D58"/>
      <c r="E58" s="968">
        <v>0</v>
      </c>
      <c r="F58"/>
    </row>
    <row r="59" spans="2:6" x14ac:dyDescent="0.2">
      <c r="C59" t="s">
        <v>3846</v>
      </c>
      <c r="D59"/>
      <c r="E59" s="968">
        <v>9</v>
      </c>
      <c r="F59"/>
    </row>
    <row r="60" spans="2:6" x14ac:dyDescent="0.2">
      <c r="C60" t="s">
        <v>2929</v>
      </c>
      <c r="D60"/>
      <c r="E60" s="968">
        <v>4</v>
      </c>
      <c r="F60"/>
    </row>
    <row r="61" spans="2:6" x14ac:dyDescent="0.2">
      <c r="C61" t="s">
        <v>2937</v>
      </c>
      <c r="D61"/>
      <c r="E61" s="968">
        <v>9</v>
      </c>
      <c r="F61"/>
    </row>
    <row r="62" spans="2:6" x14ac:dyDescent="0.2">
      <c r="C62" t="s">
        <v>2943</v>
      </c>
      <c r="D62"/>
      <c r="E62" s="968">
        <v>8</v>
      </c>
      <c r="F62"/>
    </row>
    <row r="63" spans="2:6" x14ac:dyDescent="0.2">
      <c r="C63" t="s">
        <v>2949</v>
      </c>
      <c r="D63"/>
      <c r="E63" s="968">
        <v>18</v>
      </c>
      <c r="F63"/>
    </row>
    <row r="64" spans="2:6" x14ac:dyDescent="0.2">
      <c r="C64" t="s">
        <v>2957</v>
      </c>
      <c r="D64"/>
      <c r="E64" s="968">
        <v>11</v>
      </c>
      <c r="F64"/>
    </row>
    <row r="65" spans="2:6" x14ac:dyDescent="0.2">
      <c r="C65" t="s">
        <v>3056</v>
      </c>
      <c r="D65"/>
      <c r="E65" s="968">
        <v>5</v>
      </c>
      <c r="F65"/>
    </row>
    <row r="66" spans="2:6" x14ac:dyDescent="0.2">
      <c r="C66" t="s">
        <v>3067</v>
      </c>
      <c r="D66"/>
      <c r="E66" s="968">
        <v>1</v>
      </c>
      <c r="F66"/>
    </row>
    <row r="67" spans="2:6" x14ac:dyDescent="0.2">
      <c r="C67" t="s">
        <v>3074</v>
      </c>
      <c r="D67"/>
      <c r="E67" s="968">
        <v>0</v>
      </c>
      <c r="F67"/>
    </row>
    <row r="68" spans="2:6" x14ac:dyDescent="0.2">
      <c r="C68" t="s">
        <v>3082</v>
      </c>
      <c r="D68"/>
      <c r="E68" s="968">
        <v>1</v>
      </c>
      <c r="F68"/>
    </row>
    <row r="69" spans="2:6" x14ac:dyDescent="0.2">
      <c r="B69" t="s">
        <v>6413</v>
      </c>
      <c r="D69"/>
      <c r="E69" s="968">
        <v>77</v>
      </c>
      <c r="F69"/>
    </row>
    <row r="70" spans="2:6" x14ac:dyDescent="0.2">
      <c r="B70">
        <v>2012</v>
      </c>
      <c r="C70" t="s">
        <v>2968</v>
      </c>
      <c r="D70"/>
      <c r="E70" s="968">
        <v>7</v>
      </c>
      <c r="F70"/>
    </row>
    <row r="71" spans="2:6" x14ac:dyDescent="0.2">
      <c r="C71" t="s">
        <v>2981</v>
      </c>
      <c r="D71"/>
      <c r="E71" s="968">
        <v>1</v>
      </c>
      <c r="F71"/>
    </row>
    <row r="72" spans="2:6" x14ac:dyDescent="0.2">
      <c r="C72" t="s">
        <v>3846</v>
      </c>
      <c r="D72"/>
      <c r="E72" s="968">
        <v>5</v>
      </c>
      <c r="F72"/>
    </row>
    <row r="73" spans="2:6" x14ac:dyDescent="0.2">
      <c r="C73" t="s">
        <v>2929</v>
      </c>
      <c r="D73"/>
      <c r="E73" s="968">
        <v>0</v>
      </c>
      <c r="F73"/>
    </row>
    <row r="74" spans="2:6" x14ac:dyDescent="0.2">
      <c r="C74" t="s">
        <v>2937</v>
      </c>
      <c r="D74"/>
      <c r="E74" s="968">
        <v>0</v>
      </c>
      <c r="F74"/>
    </row>
    <row r="75" spans="2:6" x14ac:dyDescent="0.2">
      <c r="C75" t="s">
        <v>2943</v>
      </c>
      <c r="D75"/>
      <c r="E75" s="968">
        <v>4</v>
      </c>
      <c r="F75"/>
    </row>
    <row r="76" spans="2:6" x14ac:dyDescent="0.2">
      <c r="C76" t="s">
        <v>2949</v>
      </c>
      <c r="D76"/>
      <c r="E76" s="968">
        <v>8</v>
      </c>
      <c r="F76"/>
    </row>
    <row r="77" spans="2:6" x14ac:dyDescent="0.2">
      <c r="C77" t="s">
        <v>2957</v>
      </c>
      <c r="D77"/>
      <c r="E77" s="968">
        <v>5</v>
      </c>
      <c r="F77"/>
    </row>
    <row r="78" spans="2:6" x14ac:dyDescent="0.2">
      <c r="C78" t="s">
        <v>3056</v>
      </c>
      <c r="D78"/>
      <c r="E78" s="968">
        <v>6</v>
      </c>
      <c r="F78"/>
    </row>
    <row r="79" spans="2:6" x14ac:dyDescent="0.2">
      <c r="C79" t="s">
        <v>3067</v>
      </c>
      <c r="D79"/>
      <c r="E79" s="968">
        <v>6</v>
      </c>
      <c r="F79"/>
    </row>
    <row r="80" spans="2:6" x14ac:dyDescent="0.2">
      <c r="C80" t="s">
        <v>3074</v>
      </c>
      <c r="D80"/>
      <c r="E80" s="968">
        <v>7</v>
      </c>
      <c r="F80"/>
    </row>
    <row r="81" spans="2:6" x14ac:dyDescent="0.2">
      <c r="C81" t="s">
        <v>3082</v>
      </c>
      <c r="D81"/>
      <c r="E81" s="968">
        <v>17</v>
      </c>
      <c r="F81"/>
    </row>
    <row r="82" spans="2:6" x14ac:dyDescent="0.2">
      <c r="B82" t="s">
        <v>6414</v>
      </c>
      <c r="D82"/>
      <c r="E82" s="968">
        <v>66</v>
      </c>
      <c r="F82"/>
    </row>
    <row r="83" spans="2:6" x14ac:dyDescent="0.2">
      <c r="B83">
        <v>2013</v>
      </c>
      <c r="C83" t="s">
        <v>2968</v>
      </c>
      <c r="D83"/>
      <c r="E83" s="968">
        <v>7</v>
      </c>
      <c r="F83"/>
    </row>
    <row r="84" spans="2:6" x14ac:dyDescent="0.2">
      <c r="C84" t="s">
        <v>2981</v>
      </c>
      <c r="D84"/>
      <c r="E84" s="968">
        <v>5</v>
      </c>
      <c r="F84"/>
    </row>
    <row r="85" spans="2:6" x14ac:dyDescent="0.2">
      <c r="C85" t="s">
        <v>3846</v>
      </c>
      <c r="D85"/>
      <c r="E85" s="968">
        <v>8</v>
      </c>
      <c r="F85"/>
    </row>
    <row r="86" spans="2:6" x14ac:dyDescent="0.2">
      <c r="C86" t="s">
        <v>2929</v>
      </c>
      <c r="D86"/>
      <c r="E86" s="968">
        <v>5</v>
      </c>
      <c r="F86"/>
    </row>
    <row r="87" spans="2:6" x14ac:dyDescent="0.2">
      <c r="C87" t="s">
        <v>2937</v>
      </c>
      <c r="D87"/>
      <c r="E87" s="968">
        <v>11</v>
      </c>
      <c r="F87"/>
    </row>
    <row r="88" spans="2:6" x14ac:dyDescent="0.2">
      <c r="C88" t="s">
        <v>2943</v>
      </c>
      <c r="D88"/>
      <c r="E88" s="968">
        <v>6</v>
      </c>
      <c r="F88"/>
    </row>
    <row r="89" spans="2:6" x14ac:dyDescent="0.2">
      <c r="C89" t="s">
        <v>2949</v>
      </c>
      <c r="D89"/>
      <c r="E89" s="968">
        <v>8</v>
      </c>
      <c r="F89"/>
    </row>
    <row r="90" spans="2:6" x14ac:dyDescent="0.2">
      <c r="C90" t="s">
        <v>2957</v>
      </c>
      <c r="D90"/>
      <c r="E90" s="968">
        <v>1</v>
      </c>
      <c r="F90"/>
    </row>
    <row r="91" spans="2:6" x14ac:dyDescent="0.2">
      <c r="C91" t="s">
        <v>3056</v>
      </c>
      <c r="D91"/>
      <c r="E91" s="968">
        <v>3</v>
      </c>
      <c r="F91"/>
    </row>
    <row r="92" spans="2:6" x14ac:dyDescent="0.2">
      <c r="C92" t="s">
        <v>3067</v>
      </c>
      <c r="D92"/>
      <c r="E92" s="968">
        <v>9</v>
      </c>
      <c r="F92"/>
    </row>
    <row r="93" spans="2:6" x14ac:dyDescent="0.2">
      <c r="C93" t="s">
        <v>3074</v>
      </c>
      <c r="D93"/>
      <c r="E93" s="968">
        <v>1</v>
      </c>
      <c r="F93"/>
    </row>
    <row r="94" spans="2:6" x14ac:dyDescent="0.2">
      <c r="C94" t="s">
        <v>3082</v>
      </c>
      <c r="D94"/>
      <c r="E94" s="968">
        <v>8</v>
      </c>
      <c r="F94"/>
    </row>
    <row r="95" spans="2:6" x14ac:dyDescent="0.2">
      <c r="B95" t="s">
        <v>6415</v>
      </c>
      <c r="D95"/>
      <c r="E95" s="968">
        <v>72</v>
      </c>
      <c r="F95"/>
    </row>
    <row r="96" spans="2:6" x14ac:dyDescent="0.2">
      <c r="B96">
        <v>2014</v>
      </c>
      <c r="C96" t="s">
        <v>2968</v>
      </c>
      <c r="D96"/>
      <c r="E96" s="968">
        <v>9</v>
      </c>
      <c r="F96"/>
    </row>
    <row r="97" spans="2:6" x14ac:dyDescent="0.2">
      <c r="C97" t="s">
        <v>2981</v>
      </c>
      <c r="D97"/>
      <c r="E97" s="968">
        <v>1</v>
      </c>
      <c r="F97"/>
    </row>
    <row r="98" spans="2:6" x14ac:dyDescent="0.2">
      <c r="C98" t="s">
        <v>3846</v>
      </c>
      <c r="D98"/>
      <c r="E98" s="968">
        <v>9</v>
      </c>
      <c r="F98"/>
    </row>
    <row r="99" spans="2:6" x14ac:dyDescent="0.2">
      <c r="C99" t="s">
        <v>2929</v>
      </c>
      <c r="D99"/>
      <c r="E99" s="968">
        <v>2</v>
      </c>
      <c r="F99"/>
    </row>
    <row r="100" spans="2:6" x14ac:dyDescent="0.2">
      <c r="C100" t="s">
        <v>2937</v>
      </c>
      <c r="D100"/>
      <c r="E100" s="968">
        <v>1</v>
      </c>
      <c r="F100"/>
    </row>
    <row r="101" spans="2:6" x14ac:dyDescent="0.2">
      <c r="C101" t="s">
        <v>2943</v>
      </c>
      <c r="D101"/>
      <c r="E101" s="968">
        <v>0</v>
      </c>
      <c r="F101"/>
    </row>
    <row r="102" spans="2:6" x14ac:dyDescent="0.2">
      <c r="C102" t="s">
        <v>2949</v>
      </c>
      <c r="D102"/>
      <c r="E102" s="968">
        <v>4</v>
      </c>
      <c r="F102"/>
    </row>
    <row r="103" spans="2:6" x14ac:dyDescent="0.2">
      <c r="C103" t="s">
        <v>2957</v>
      </c>
      <c r="D103"/>
      <c r="E103" s="968">
        <v>2</v>
      </c>
      <c r="F103"/>
    </row>
    <row r="104" spans="2:6" x14ac:dyDescent="0.2">
      <c r="C104" t="s">
        <v>3056</v>
      </c>
      <c r="D104"/>
      <c r="E104" s="968">
        <v>2</v>
      </c>
      <c r="F104"/>
    </row>
    <row r="105" spans="2:6" x14ac:dyDescent="0.2">
      <c r="C105" t="s">
        <v>3074</v>
      </c>
      <c r="D105"/>
      <c r="E105" s="968">
        <v>0</v>
      </c>
      <c r="F105"/>
    </row>
    <row r="106" spans="2:6" x14ac:dyDescent="0.2">
      <c r="C106" t="s">
        <v>3082</v>
      </c>
      <c r="D106"/>
      <c r="E106" s="968">
        <v>7</v>
      </c>
      <c r="F106"/>
    </row>
    <row r="107" spans="2:6" x14ac:dyDescent="0.2">
      <c r="B107" t="s">
        <v>6416</v>
      </c>
      <c r="D107"/>
      <c r="E107" s="968">
        <v>37</v>
      </c>
      <c r="F107"/>
    </row>
    <row r="108" spans="2:6" x14ac:dyDescent="0.2">
      <c r="B108">
        <v>2015</v>
      </c>
      <c r="C108" t="s">
        <v>2968</v>
      </c>
      <c r="D108"/>
      <c r="E108" s="968">
        <v>0</v>
      </c>
      <c r="F108"/>
    </row>
    <row r="109" spans="2:6" x14ac:dyDescent="0.2">
      <c r="C109" t="s">
        <v>2981</v>
      </c>
      <c r="D109"/>
      <c r="E109" s="968">
        <v>1</v>
      </c>
      <c r="F109"/>
    </row>
    <row r="110" spans="2:6" x14ac:dyDescent="0.2">
      <c r="C110" t="s">
        <v>3846</v>
      </c>
      <c r="D110"/>
      <c r="E110" s="968">
        <v>2</v>
      </c>
      <c r="F110"/>
    </row>
    <row r="111" spans="2:6" x14ac:dyDescent="0.2">
      <c r="C111" t="s">
        <v>2929</v>
      </c>
      <c r="D111"/>
      <c r="E111" s="968">
        <v>0</v>
      </c>
      <c r="F111"/>
    </row>
    <row r="112" spans="2:6" x14ac:dyDescent="0.2">
      <c r="C112" t="s">
        <v>2937</v>
      </c>
      <c r="D112"/>
      <c r="E112" s="968">
        <v>4</v>
      </c>
      <c r="F112"/>
    </row>
    <row r="113" spans="2:6" x14ac:dyDescent="0.2">
      <c r="C113" t="s">
        <v>2943</v>
      </c>
      <c r="D113"/>
      <c r="E113" s="968">
        <v>1</v>
      </c>
      <c r="F113"/>
    </row>
    <row r="114" spans="2:6" x14ac:dyDescent="0.2">
      <c r="C114" t="s">
        <v>2949</v>
      </c>
      <c r="D114"/>
      <c r="E114" s="968">
        <v>6</v>
      </c>
      <c r="F114"/>
    </row>
    <row r="115" spans="2:6" x14ac:dyDescent="0.2">
      <c r="C115" t="s">
        <v>2957</v>
      </c>
      <c r="D115"/>
      <c r="E115" s="968">
        <v>3</v>
      </c>
      <c r="F115"/>
    </row>
    <row r="116" spans="2:6" x14ac:dyDescent="0.2">
      <c r="C116" t="s">
        <v>3056</v>
      </c>
      <c r="D116"/>
      <c r="E116" s="968">
        <v>3</v>
      </c>
      <c r="F116"/>
    </row>
    <row r="117" spans="2:6" x14ac:dyDescent="0.2">
      <c r="C117" t="s">
        <v>3067</v>
      </c>
      <c r="D117"/>
      <c r="E117" s="968">
        <v>5</v>
      </c>
      <c r="F117"/>
    </row>
    <row r="118" spans="2:6" x14ac:dyDescent="0.2">
      <c r="C118" t="s">
        <v>3074</v>
      </c>
      <c r="D118"/>
      <c r="E118" s="968">
        <v>3</v>
      </c>
      <c r="F118"/>
    </row>
    <row r="119" spans="2:6" x14ac:dyDescent="0.2">
      <c r="C119" t="s">
        <v>3082</v>
      </c>
      <c r="D119"/>
      <c r="E119" s="968">
        <v>1</v>
      </c>
      <c r="F119"/>
    </row>
    <row r="120" spans="2:6" x14ac:dyDescent="0.2">
      <c r="B120" t="s">
        <v>6417</v>
      </c>
      <c r="D120"/>
      <c r="E120" s="968">
        <v>29</v>
      </c>
      <c r="F120"/>
    </row>
    <row r="121" spans="2:6" x14ac:dyDescent="0.2">
      <c r="B121">
        <v>2016</v>
      </c>
      <c r="C121" t="s">
        <v>2968</v>
      </c>
      <c r="D121"/>
      <c r="E121" s="968">
        <v>0</v>
      </c>
      <c r="F121"/>
    </row>
    <row r="122" spans="2:6" x14ac:dyDescent="0.2">
      <c r="C122" t="s">
        <v>2981</v>
      </c>
      <c r="D122"/>
      <c r="E122" s="968">
        <v>1</v>
      </c>
      <c r="F122"/>
    </row>
    <row r="123" spans="2:6" x14ac:dyDescent="0.2">
      <c r="C123" t="s">
        <v>3846</v>
      </c>
      <c r="D123"/>
      <c r="E123" s="968">
        <v>0</v>
      </c>
      <c r="F123"/>
    </row>
    <row r="124" spans="2:6" x14ac:dyDescent="0.2">
      <c r="C124" t="s">
        <v>2937</v>
      </c>
      <c r="D124"/>
      <c r="E124" s="968">
        <v>9</v>
      </c>
      <c r="F124"/>
    </row>
    <row r="125" spans="2:6" x14ac:dyDescent="0.2">
      <c r="C125" t="s">
        <v>2943</v>
      </c>
      <c r="D125"/>
      <c r="E125" s="968">
        <v>0</v>
      </c>
      <c r="F125"/>
    </row>
    <row r="126" spans="2:6" x14ac:dyDescent="0.2">
      <c r="C126" t="s">
        <v>2949</v>
      </c>
      <c r="D126"/>
      <c r="E126" s="968">
        <v>1</v>
      </c>
      <c r="F126"/>
    </row>
    <row r="127" spans="2:6" x14ac:dyDescent="0.2">
      <c r="C127" t="s">
        <v>2957</v>
      </c>
      <c r="D127"/>
      <c r="E127" s="968">
        <v>3</v>
      </c>
      <c r="F127"/>
    </row>
    <row r="128" spans="2:6" x14ac:dyDescent="0.2">
      <c r="C128" t="s">
        <v>3056</v>
      </c>
      <c r="D128"/>
      <c r="E128" s="968">
        <v>1</v>
      </c>
      <c r="F128"/>
    </row>
    <row r="129" spans="2:6" x14ac:dyDescent="0.2">
      <c r="C129" t="s">
        <v>3067</v>
      </c>
      <c r="D129"/>
      <c r="E129" s="968">
        <v>2</v>
      </c>
      <c r="F129"/>
    </row>
    <row r="130" spans="2:6" x14ac:dyDescent="0.2">
      <c r="C130" t="s">
        <v>3074</v>
      </c>
      <c r="D130"/>
      <c r="E130" s="968">
        <v>1</v>
      </c>
      <c r="F130"/>
    </row>
    <row r="131" spans="2:6" x14ac:dyDescent="0.2">
      <c r="C131" t="s">
        <v>3082</v>
      </c>
      <c r="D131"/>
      <c r="E131" s="968">
        <v>0</v>
      </c>
      <c r="F131"/>
    </row>
    <row r="132" spans="2:6" x14ac:dyDescent="0.2">
      <c r="B132" t="s">
        <v>6418</v>
      </c>
      <c r="D132"/>
      <c r="E132" s="968">
        <v>18</v>
      </c>
      <c r="F132"/>
    </row>
    <row r="133" spans="2:6" x14ac:dyDescent="0.2">
      <c r="B133">
        <v>2017</v>
      </c>
      <c r="C133" t="s">
        <v>2968</v>
      </c>
      <c r="D133"/>
      <c r="E133" s="968">
        <v>0</v>
      </c>
      <c r="F133"/>
    </row>
    <row r="134" spans="2:6" x14ac:dyDescent="0.2">
      <c r="C134" t="s">
        <v>3846</v>
      </c>
      <c r="D134"/>
      <c r="E134" s="968">
        <v>0</v>
      </c>
      <c r="F134"/>
    </row>
    <row r="135" spans="2:6" x14ac:dyDescent="0.2">
      <c r="C135" t="s">
        <v>2929</v>
      </c>
      <c r="D135"/>
      <c r="E135" s="968">
        <v>2</v>
      </c>
      <c r="F135"/>
    </row>
    <row r="136" spans="2:6" x14ac:dyDescent="0.2">
      <c r="C136" t="s">
        <v>2937</v>
      </c>
      <c r="D136"/>
      <c r="E136" s="968">
        <v>0</v>
      </c>
      <c r="F136"/>
    </row>
    <row r="137" spans="2:6" x14ac:dyDescent="0.2">
      <c r="C137" t="s">
        <v>2943</v>
      </c>
      <c r="D137"/>
      <c r="E137" s="968">
        <v>2</v>
      </c>
      <c r="F137"/>
    </row>
    <row r="138" spans="2:6" x14ac:dyDescent="0.2">
      <c r="C138" t="s">
        <v>3056</v>
      </c>
      <c r="D138"/>
      <c r="E138" s="968">
        <v>2</v>
      </c>
      <c r="F138"/>
    </row>
    <row r="139" spans="2:6" x14ac:dyDescent="0.2">
      <c r="C139" t="s">
        <v>3067</v>
      </c>
      <c r="D139"/>
      <c r="E139" s="968">
        <v>4</v>
      </c>
      <c r="F139"/>
    </row>
    <row r="140" spans="2:6" x14ac:dyDescent="0.2">
      <c r="C140" t="s">
        <v>3074</v>
      </c>
      <c r="D140"/>
      <c r="E140" s="968">
        <v>4</v>
      </c>
      <c r="F140"/>
    </row>
    <row r="141" spans="2:6" x14ac:dyDescent="0.2">
      <c r="C141" t="s">
        <v>3082</v>
      </c>
      <c r="D141"/>
      <c r="E141" s="968">
        <v>2</v>
      </c>
      <c r="F141"/>
    </row>
    <row r="142" spans="2:6" x14ac:dyDescent="0.2">
      <c r="B142" t="s">
        <v>6419</v>
      </c>
      <c r="D142"/>
      <c r="E142" s="968">
        <v>16</v>
      </c>
      <c r="F142"/>
    </row>
    <row r="143" spans="2:6" x14ac:dyDescent="0.2">
      <c r="B143">
        <v>2018</v>
      </c>
      <c r="C143" t="s">
        <v>2968</v>
      </c>
      <c r="D143"/>
      <c r="E143" s="968">
        <v>3</v>
      </c>
      <c r="F143"/>
    </row>
    <row r="144" spans="2:6" x14ac:dyDescent="0.2">
      <c r="C144" t="s">
        <v>2981</v>
      </c>
      <c r="D144"/>
      <c r="E144" s="968">
        <v>0</v>
      </c>
      <c r="F144"/>
    </row>
    <row r="145" spans="2:6" x14ac:dyDescent="0.2">
      <c r="C145" t="s">
        <v>3846</v>
      </c>
      <c r="D145"/>
      <c r="E145" s="968">
        <v>2</v>
      </c>
      <c r="F145"/>
    </row>
    <row r="146" spans="2:6" x14ac:dyDescent="0.2">
      <c r="C146" t="s">
        <v>2929</v>
      </c>
      <c r="D146"/>
      <c r="E146" s="968">
        <v>1</v>
      </c>
      <c r="F146"/>
    </row>
    <row r="147" spans="2:6" x14ac:dyDescent="0.2">
      <c r="C147" t="s">
        <v>2937</v>
      </c>
      <c r="D147"/>
      <c r="E147" s="968">
        <v>4</v>
      </c>
      <c r="F147"/>
    </row>
    <row r="148" spans="2:6" x14ac:dyDescent="0.2">
      <c r="C148" t="s">
        <v>2943</v>
      </c>
      <c r="D148"/>
      <c r="E148" s="968">
        <v>2</v>
      </c>
      <c r="F148"/>
    </row>
    <row r="149" spans="2:6" x14ac:dyDescent="0.2">
      <c r="C149" t="s">
        <v>2949</v>
      </c>
      <c r="D149"/>
      <c r="E149" s="968">
        <v>3</v>
      </c>
      <c r="F149"/>
    </row>
    <row r="150" spans="2:6" x14ac:dyDescent="0.2">
      <c r="C150" t="s">
        <v>2957</v>
      </c>
      <c r="D150"/>
      <c r="E150" s="968">
        <v>0</v>
      </c>
      <c r="F150"/>
    </row>
    <row r="151" spans="2:6" x14ac:dyDescent="0.2">
      <c r="C151" t="s">
        <v>3056</v>
      </c>
      <c r="D151"/>
      <c r="E151" s="968">
        <v>1</v>
      </c>
      <c r="F151"/>
    </row>
    <row r="152" spans="2:6" x14ac:dyDescent="0.2">
      <c r="C152" t="s">
        <v>3067</v>
      </c>
      <c r="D152"/>
      <c r="E152" s="968">
        <v>4</v>
      </c>
      <c r="F152"/>
    </row>
    <row r="153" spans="2:6" x14ac:dyDescent="0.2">
      <c r="C153" t="s">
        <v>3074</v>
      </c>
      <c r="D153"/>
      <c r="E153" s="968">
        <v>2</v>
      </c>
      <c r="F153"/>
    </row>
    <row r="154" spans="2:6" x14ac:dyDescent="0.2">
      <c r="C154" t="s">
        <v>3082</v>
      </c>
      <c r="D154"/>
      <c r="E154" s="968">
        <v>4</v>
      </c>
      <c r="F154"/>
    </row>
    <row r="155" spans="2:6" x14ac:dyDescent="0.2">
      <c r="B155" t="s">
        <v>6552</v>
      </c>
      <c r="D155"/>
      <c r="E155" s="968">
        <v>26</v>
      </c>
      <c r="F155"/>
    </row>
    <row r="156" spans="2:6" x14ac:dyDescent="0.2">
      <c r="B156">
        <v>2019</v>
      </c>
      <c r="C156" t="s">
        <v>2968</v>
      </c>
      <c r="D156"/>
      <c r="E156" s="968">
        <v>3</v>
      </c>
      <c r="F156"/>
    </row>
    <row r="157" spans="2:6" x14ac:dyDescent="0.2">
      <c r="C157" t="s">
        <v>2981</v>
      </c>
      <c r="D157"/>
      <c r="E157" s="968">
        <v>2</v>
      </c>
      <c r="F157"/>
    </row>
    <row r="158" spans="2:6" x14ac:dyDescent="0.2">
      <c r="C158" t="s">
        <v>3846</v>
      </c>
      <c r="D158"/>
      <c r="E158" s="968">
        <v>4</v>
      </c>
      <c r="F158"/>
    </row>
    <row r="159" spans="2:6" x14ac:dyDescent="0.2">
      <c r="C159" t="s">
        <v>2929</v>
      </c>
      <c r="D159"/>
      <c r="E159" s="968">
        <v>2</v>
      </c>
      <c r="F159"/>
    </row>
    <row r="160" spans="2:6" x14ac:dyDescent="0.2">
      <c r="C160" t="s">
        <v>2937</v>
      </c>
      <c r="D160"/>
      <c r="E160" s="968">
        <v>5</v>
      </c>
      <c r="F160"/>
    </row>
    <row r="161" spans="2:6" x14ac:dyDescent="0.2">
      <c r="C161" t="s">
        <v>2943</v>
      </c>
      <c r="D161"/>
      <c r="E161" s="968">
        <v>11</v>
      </c>
      <c r="F161"/>
    </row>
    <row r="162" spans="2:6" x14ac:dyDescent="0.2">
      <c r="C162" t="s">
        <v>2949</v>
      </c>
      <c r="D162"/>
      <c r="E162" s="968">
        <v>8</v>
      </c>
      <c r="F162"/>
    </row>
    <row r="163" spans="2:6" x14ac:dyDescent="0.2">
      <c r="C163" t="s">
        <v>2957</v>
      </c>
      <c r="D163"/>
      <c r="E163" s="968">
        <v>8</v>
      </c>
      <c r="F163"/>
    </row>
    <row r="164" spans="2:6" x14ac:dyDescent="0.2">
      <c r="C164" t="s">
        <v>3056</v>
      </c>
      <c r="D164"/>
      <c r="E164" s="968">
        <v>0</v>
      </c>
      <c r="F164"/>
    </row>
    <row r="165" spans="2:6" x14ac:dyDescent="0.2">
      <c r="C165" t="s">
        <v>3067</v>
      </c>
      <c r="D165"/>
      <c r="E165" s="968">
        <v>4</v>
      </c>
      <c r="F165"/>
    </row>
    <row r="166" spans="2:6" x14ac:dyDescent="0.2">
      <c r="C166" t="s">
        <v>3074</v>
      </c>
      <c r="D166"/>
      <c r="E166" s="968">
        <v>2</v>
      </c>
      <c r="F166"/>
    </row>
    <row r="167" spans="2:6" x14ac:dyDescent="0.2">
      <c r="C167" t="s">
        <v>3082</v>
      </c>
      <c r="D167"/>
      <c r="E167" s="968">
        <v>7</v>
      </c>
      <c r="F167"/>
    </row>
    <row r="168" spans="2:6" x14ac:dyDescent="0.2">
      <c r="B168" t="s">
        <v>6663</v>
      </c>
      <c r="D168"/>
      <c r="E168" s="968">
        <v>56</v>
      </c>
      <c r="F168"/>
    </row>
    <row r="169" spans="2:6" x14ac:dyDescent="0.2">
      <c r="B169">
        <v>2020</v>
      </c>
      <c r="C169" t="s">
        <v>2968</v>
      </c>
      <c r="D169"/>
      <c r="E169" s="968">
        <v>4</v>
      </c>
      <c r="F169"/>
    </row>
    <row r="170" spans="2:6" x14ac:dyDescent="0.2">
      <c r="C170" t="s">
        <v>2981</v>
      </c>
      <c r="D170"/>
      <c r="E170" s="968">
        <v>5</v>
      </c>
      <c r="F170"/>
    </row>
    <row r="171" spans="2:6" x14ac:dyDescent="0.2">
      <c r="C171" t="s">
        <v>3846</v>
      </c>
      <c r="D171"/>
      <c r="E171" s="968">
        <v>2</v>
      </c>
      <c r="F171"/>
    </row>
    <row r="172" spans="2:6" x14ac:dyDescent="0.2">
      <c r="C172" t="s">
        <v>2929</v>
      </c>
      <c r="D172"/>
      <c r="E172" s="968">
        <v>2</v>
      </c>
      <c r="F172"/>
    </row>
    <row r="173" spans="2:6" x14ac:dyDescent="0.2">
      <c r="C173" t="s">
        <v>2937</v>
      </c>
      <c r="D173"/>
      <c r="E173" s="968">
        <v>5</v>
      </c>
      <c r="F173"/>
    </row>
    <row r="174" spans="2:6" x14ac:dyDescent="0.2">
      <c r="C174" t="s">
        <v>2943</v>
      </c>
      <c r="D174"/>
      <c r="E174" s="968">
        <v>2</v>
      </c>
      <c r="F174"/>
    </row>
    <row r="175" spans="2:6" x14ac:dyDescent="0.2">
      <c r="C175" t="s">
        <v>2949</v>
      </c>
      <c r="D175"/>
      <c r="E175" s="968">
        <v>1</v>
      </c>
      <c r="F175"/>
    </row>
    <row r="176" spans="2:6" x14ac:dyDescent="0.2">
      <c r="C176" t="s">
        <v>2957</v>
      </c>
      <c r="D176"/>
      <c r="E176" s="968">
        <v>8</v>
      </c>
      <c r="F176"/>
    </row>
    <row r="177" spans="2:6" x14ac:dyDescent="0.2">
      <c r="C177" t="s">
        <v>3056</v>
      </c>
      <c r="D177"/>
      <c r="E177" s="968">
        <v>0</v>
      </c>
      <c r="F177"/>
    </row>
    <row r="178" spans="2:6" x14ac:dyDescent="0.2">
      <c r="C178" t="s">
        <v>3067</v>
      </c>
      <c r="D178"/>
      <c r="E178" s="968">
        <v>7</v>
      </c>
      <c r="F178"/>
    </row>
    <row r="179" spans="2:6" x14ac:dyDescent="0.2">
      <c r="C179" t="s">
        <v>3074</v>
      </c>
      <c r="D179"/>
      <c r="E179" s="968">
        <v>4</v>
      </c>
      <c r="F179"/>
    </row>
    <row r="180" spans="2:6" x14ac:dyDescent="0.2">
      <c r="C180" t="s">
        <v>3082</v>
      </c>
      <c r="D180"/>
      <c r="E180" s="968">
        <v>0</v>
      </c>
      <c r="F180"/>
    </row>
    <row r="181" spans="2:6" x14ac:dyDescent="0.2">
      <c r="B181" t="s">
        <v>7011</v>
      </c>
      <c r="D181"/>
      <c r="E181" s="968">
        <v>40</v>
      </c>
      <c r="F181"/>
    </row>
    <row r="182" spans="2:6" x14ac:dyDescent="0.2">
      <c r="B182">
        <v>2021</v>
      </c>
      <c r="C182" t="s">
        <v>2968</v>
      </c>
      <c r="D182"/>
      <c r="E182" s="968">
        <v>4</v>
      </c>
      <c r="F182"/>
    </row>
    <row r="183" spans="2:6" x14ac:dyDescent="0.2">
      <c r="C183" t="s">
        <v>2981</v>
      </c>
      <c r="D183"/>
      <c r="E183" s="968">
        <v>1</v>
      </c>
      <c r="F183"/>
    </row>
    <row r="184" spans="2:6" x14ac:dyDescent="0.2">
      <c r="C184" t="s">
        <v>3846</v>
      </c>
      <c r="D184"/>
      <c r="E184" s="968">
        <v>5</v>
      </c>
      <c r="F184"/>
    </row>
    <row r="185" spans="2:6" x14ac:dyDescent="0.2">
      <c r="C185" t="s">
        <v>2929</v>
      </c>
      <c r="D185"/>
      <c r="E185" s="968">
        <v>5</v>
      </c>
      <c r="F185"/>
    </row>
    <row r="186" spans="2:6" x14ac:dyDescent="0.2">
      <c r="C186" t="s">
        <v>2937</v>
      </c>
      <c r="D186"/>
      <c r="E186" s="968">
        <v>0</v>
      </c>
      <c r="F186"/>
    </row>
    <row r="187" spans="2:6" x14ac:dyDescent="0.2">
      <c r="C187" t="s">
        <v>2943</v>
      </c>
      <c r="D187"/>
      <c r="E187" s="968">
        <v>0</v>
      </c>
      <c r="F187"/>
    </row>
    <row r="188" spans="2:6" x14ac:dyDescent="0.2">
      <c r="C188" t="s">
        <v>2949</v>
      </c>
      <c r="D188"/>
      <c r="E188" s="968">
        <v>14</v>
      </c>
      <c r="F188"/>
    </row>
    <row r="189" spans="2:6" x14ac:dyDescent="0.2">
      <c r="C189" t="s">
        <v>2957</v>
      </c>
      <c r="D189"/>
      <c r="E189" s="968">
        <v>0</v>
      </c>
      <c r="F189"/>
    </row>
    <row r="190" spans="2:6" x14ac:dyDescent="0.2">
      <c r="C190" t="s">
        <v>3056</v>
      </c>
      <c r="D190"/>
      <c r="E190" s="968">
        <v>5</v>
      </c>
      <c r="F190"/>
    </row>
    <row r="191" spans="2:6" x14ac:dyDescent="0.2">
      <c r="C191" t="s">
        <v>3067</v>
      </c>
      <c r="D191"/>
      <c r="E191" s="968">
        <v>3</v>
      </c>
      <c r="F191"/>
    </row>
    <row r="192" spans="2:6" x14ac:dyDescent="0.2">
      <c r="C192" t="s">
        <v>3074</v>
      </c>
      <c r="D192"/>
      <c r="E192" s="968">
        <v>4</v>
      </c>
      <c r="F192"/>
    </row>
    <row r="193" spans="2:6" x14ac:dyDescent="0.2">
      <c r="C193" t="s">
        <v>3082</v>
      </c>
      <c r="D193"/>
      <c r="E193" s="968">
        <v>1</v>
      </c>
      <c r="F193"/>
    </row>
    <row r="194" spans="2:6" x14ac:dyDescent="0.2">
      <c r="B194" t="s">
        <v>7191</v>
      </c>
      <c r="D194"/>
      <c r="E194" s="968">
        <v>42</v>
      </c>
      <c r="F194"/>
    </row>
    <row r="195" spans="2:6" x14ac:dyDescent="0.2">
      <c r="B195">
        <v>2022</v>
      </c>
      <c r="C195" t="s">
        <v>2968</v>
      </c>
      <c r="D195"/>
      <c r="E195" s="968">
        <v>7</v>
      </c>
      <c r="F195"/>
    </row>
    <row r="196" spans="2:6" x14ac:dyDescent="0.2">
      <c r="C196" t="s">
        <v>2981</v>
      </c>
      <c r="D196"/>
      <c r="E196" s="968">
        <v>0</v>
      </c>
      <c r="F196"/>
    </row>
    <row r="197" spans="2:6" x14ac:dyDescent="0.2">
      <c r="C197" t="s">
        <v>3846</v>
      </c>
      <c r="D197"/>
      <c r="E197" s="968">
        <v>1</v>
      </c>
      <c r="F197"/>
    </row>
    <row r="198" spans="2:6" x14ac:dyDescent="0.2">
      <c r="C198" t="s">
        <v>2929</v>
      </c>
      <c r="D198"/>
      <c r="E198" s="968">
        <v>5</v>
      </c>
      <c r="F198"/>
    </row>
    <row r="199" spans="2:6" x14ac:dyDescent="0.2">
      <c r="C199" t="s">
        <v>2937</v>
      </c>
      <c r="D199"/>
      <c r="E199" s="968">
        <v>6</v>
      </c>
      <c r="F199"/>
    </row>
    <row r="200" spans="2:6" x14ac:dyDescent="0.2">
      <c r="C200" t="s">
        <v>2943</v>
      </c>
      <c r="D200"/>
      <c r="E200" s="968">
        <v>3</v>
      </c>
      <c r="F200"/>
    </row>
    <row r="201" spans="2:6" x14ac:dyDescent="0.2">
      <c r="C201" t="s">
        <v>2949</v>
      </c>
      <c r="D201"/>
      <c r="E201" s="968">
        <v>3</v>
      </c>
      <c r="F201"/>
    </row>
    <row r="202" spans="2:6" x14ac:dyDescent="0.2">
      <c r="C202" t="s">
        <v>2957</v>
      </c>
      <c r="D202"/>
      <c r="E202" s="968">
        <v>0</v>
      </c>
      <c r="F202"/>
    </row>
    <row r="203" spans="2:6" x14ac:dyDescent="0.2">
      <c r="C203" t="s">
        <v>3056</v>
      </c>
      <c r="D203"/>
      <c r="E203" s="968">
        <v>0</v>
      </c>
      <c r="F203"/>
    </row>
    <row r="204" spans="2:6" x14ac:dyDescent="0.2">
      <c r="C204" t="s">
        <v>3067</v>
      </c>
      <c r="D204"/>
      <c r="E204" s="968">
        <v>0</v>
      </c>
      <c r="F204"/>
    </row>
    <row r="205" spans="2:6" x14ac:dyDescent="0.2">
      <c r="C205" t="s">
        <v>3074</v>
      </c>
      <c r="D205"/>
      <c r="E205" s="968">
        <v>2</v>
      </c>
      <c r="F205"/>
    </row>
    <row r="206" spans="2:6" x14ac:dyDescent="0.2">
      <c r="C206" t="s">
        <v>3082</v>
      </c>
      <c r="D206"/>
      <c r="E206" s="968">
        <v>1</v>
      </c>
      <c r="F206"/>
    </row>
    <row r="207" spans="2:6" x14ac:dyDescent="0.2">
      <c r="B207" t="s">
        <v>7697</v>
      </c>
      <c r="D207"/>
      <c r="E207" s="968">
        <v>28</v>
      </c>
      <c r="F207"/>
    </row>
    <row r="208" spans="2:6" x14ac:dyDescent="0.2">
      <c r="B208">
        <v>2023</v>
      </c>
      <c r="C208" t="s">
        <v>2968</v>
      </c>
      <c r="D208"/>
      <c r="E208" s="968">
        <v>0</v>
      </c>
      <c r="F208"/>
    </row>
    <row r="209" spans="2:6" x14ac:dyDescent="0.2">
      <c r="C209" t="s">
        <v>2981</v>
      </c>
      <c r="D209"/>
      <c r="E209" s="968">
        <v>1</v>
      </c>
      <c r="F209"/>
    </row>
    <row r="210" spans="2:6" x14ac:dyDescent="0.2">
      <c r="C210" t="s">
        <v>3846</v>
      </c>
      <c r="D210"/>
      <c r="E210" s="968">
        <v>9</v>
      </c>
      <c r="F210"/>
    </row>
    <row r="211" spans="2:6" x14ac:dyDescent="0.2">
      <c r="C211" t="s">
        <v>2929</v>
      </c>
      <c r="D211"/>
      <c r="E211" s="968">
        <v>4</v>
      </c>
      <c r="F211"/>
    </row>
    <row r="212" spans="2:6" x14ac:dyDescent="0.2">
      <c r="C212" t="s">
        <v>2937</v>
      </c>
      <c r="D212"/>
      <c r="E212" s="968">
        <v>3</v>
      </c>
      <c r="F212"/>
    </row>
    <row r="213" spans="2:6" x14ac:dyDescent="0.2">
      <c r="C213" t="s">
        <v>2943</v>
      </c>
      <c r="D213"/>
      <c r="E213" s="968">
        <v>9</v>
      </c>
      <c r="F213"/>
    </row>
    <row r="214" spans="2:6" x14ac:dyDescent="0.2">
      <c r="C214" t="s">
        <v>2949</v>
      </c>
      <c r="D214"/>
      <c r="E214" s="968">
        <v>3</v>
      </c>
      <c r="F214"/>
    </row>
    <row r="215" spans="2:6" x14ac:dyDescent="0.2">
      <c r="C215" t="s">
        <v>2957</v>
      </c>
      <c r="D215"/>
      <c r="E215" s="968">
        <v>2</v>
      </c>
      <c r="F215"/>
    </row>
    <row r="216" spans="2:6" x14ac:dyDescent="0.2">
      <c r="C216" t="s">
        <v>3056</v>
      </c>
      <c r="D216"/>
      <c r="E216" s="968">
        <v>1</v>
      </c>
      <c r="F216"/>
    </row>
    <row r="217" spans="2:6" x14ac:dyDescent="0.2">
      <c r="C217" t="s">
        <v>3067</v>
      </c>
      <c r="D217"/>
      <c r="E217" s="968">
        <v>5</v>
      </c>
      <c r="F217"/>
    </row>
    <row r="218" spans="2:6" x14ac:dyDescent="0.2">
      <c r="C218" t="s">
        <v>3074</v>
      </c>
      <c r="D218"/>
      <c r="E218" s="968">
        <v>3</v>
      </c>
      <c r="F218"/>
    </row>
    <row r="219" spans="2:6" x14ac:dyDescent="0.2">
      <c r="C219" t="s">
        <v>3082</v>
      </c>
      <c r="D219"/>
      <c r="E219" s="968">
        <v>2</v>
      </c>
      <c r="F219"/>
    </row>
    <row r="220" spans="2:6" x14ac:dyDescent="0.2">
      <c r="B220" t="s">
        <v>7895</v>
      </c>
      <c r="D220"/>
      <c r="E220" s="968">
        <v>42</v>
      </c>
      <c r="F220"/>
    </row>
    <row r="221" spans="2:6" x14ac:dyDescent="0.2">
      <c r="B221" t="s">
        <v>6420</v>
      </c>
      <c r="D221"/>
      <c r="E221" s="968">
        <v>783</v>
      </c>
      <c r="F221"/>
    </row>
    <row r="222" spans="2:6" x14ac:dyDescent="0.2">
      <c r="D222"/>
      <c r="F222"/>
    </row>
    <row r="223" spans="2:6" x14ac:dyDescent="0.2">
      <c r="D223"/>
      <c r="F223"/>
    </row>
    <row r="224" spans="2:6" x14ac:dyDescent="0.2">
      <c r="D224"/>
      <c r="F224"/>
    </row>
    <row r="225" spans="4:6" x14ac:dyDescent="0.2">
      <c r="D225"/>
      <c r="F225"/>
    </row>
    <row r="226" spans="4:6" x14ac:dyDescent="0.2">
      <c r="D226"/>
      <c r="F226"/>
    </row>
    <row r="227" spans="4:6" x14ac:dyDescent="0.2">
      <c r="D227"/>
      <c r="F227"/>
    </row>
    <row r="228" spans="4:6" x14ac:dyDescent="0.2">
      <c r="D228"/>
      <c r="F228"/>
    </row>
    <row r="229" spans="4:6" x14ac:dyDescent="0.2">
      <c r="D229"/>
      <c r="F229"/>
    </row>
    <row r="230" spans="4:6" x14ac:dyDescent="0.2">
      <c r="D230"/>
      <c r="F230"/>
    </row>
    <row r="231" spans="4:6" x14ac:dyDescent="0.2">
      <c r="D231"/>
      <c r="F231"/>
    </row>
    <row r="232" spans="4:6" x14ac:dyDescent="0.2">
      <c r="D232"/>
      <c r="F232"/>
    </row>
    <row r="233" spans="4:6" x14ac:dyDescent="0.2">
      <c r="D233"/>
      <c r="F233"/>
    </row>
    <row r="234" spans="4:6" x14ac:dyDescent="0.2">
      <c r="D234"/>
      <c r="F234"/>
    </row>
    <row r="235" spans="4:6" x14ac:dyDescent="0.2">
      <c r="D235"/>
      <c r="F235"/>
    </row>
    <row r="236" spans="4:6" x14ac:dyDescent="0.2">
      <c r="D236"/>
      <c r="F236"/>
    </row>
    <row r="237" spans="4:6" x14ac:dyDescent="0.2">
      <c r="D237"/>
      <c r="F237"/>
    </row>
    <row r="238" spans="4:6" x14ac:dyDescent="0.2">
      <c r="D238"/>
      <c r="F238"/>
    </row>
    <row r="239" spans="4:6" x14ac:dyDescent="0.2">
      <c r="D239"/>
      <c r="F239"/>
    </row>
    <row r="240" spans="4:6" x14ac:dyDescent="0.2">
      <c r="D240"/>
      <c r="F240"/>
    </row>
    <row r="241" spans="4:6" x14ac:dyDescent="0.2">
      <c r="D241"/>
      <c r="F241"/>
    </row>
    <row r="242" spans="4:6" x14ac:dyDescent="0.2">
      <c r="D242"/>
      <c r="F242"/>
    </row>
    <row r="243" spans="4:6" x14ac:dyDescent="0.2">
      <c r="D243"/>
      <c r="F243"/>
    </row>
    <row r="244" spans="4:6" x14ac:dyDescent="0.2">
      <c r="D244"/>
      <c r="F244"/>
    </row>
    <row r="245" spans="4:6" x14ac:dyDescent="0.2">
      <c r="D245"/>
      <c r="F245"/>
    </row>
    <row r="246" spans="4:6" x14ac:dyDescent="0.2">
      <c r="D246"/>
      <c r="F246"/>
    </row>
    <row r="247" spans="4:6" x14ac:dyDescent="0.2">
      <c r="D247"/>
      <c r="F247"/>
    </row>
    <row r="248" spans="4:6" x14ac:dyDescent="0.2">
      <c r="D248"/>
      <c r="F248"/>
    </row>
    <row r="249" spans="4:6" x14ac:dyDescent="0.2">
      <c r="D249"/>
      <c r="F249"/>
    </row>
    <row r="250" spans="4:6" x14ac:dyDescent="0.2">
      <c r="D250"/>
      <c r="F250"/>
    </row>
    <row r="251" spans="4:6" x14ac:dyDescent="0.2">
      <c r="D251"/>
      <c r="F251"/>
    </row>
    <row r="252" spans="4:6" x14ac:dyDescent="0.2">
      <c r="D252"/>
      <c r="F252"/>
    </row>
    <row r="253" spans="4:6" x14ac:dyDescent="0.2">
      <c r="D253"/>
      <c r="F253"/>
    </row>
    <row r="254" spans="4:6" x14ac:dyDescent="0.2">
      <c r="D254"/>
      <c r="F254"/>
    </row>
    <row r="255" spans="4:6" x14ac:dyDescent="0.2">
      <c r="D255"/>
      <c r="F255"/>
    </row>
    <row r="256" spans="4:6" x14ac:dyDescent="0.2">
      <c r="D256"/>
      <c r="F256"/>
    </row>
    <row r="257" spans="4:6" x14ac:dyDescent="0.2">
      <c r="D257"/>
      <c r="F257"/>
    </row>
    <row r="258" spans="4:6" x14ac:dyDescent="0.2">
      <c r="D258"/>
      <c r="F258"/>
    </row>
    <row r="259" spans="4:6" x14ac:dyDescent="0.2">
      <c r="D259"/>
      <c r="F259"/>
    </row>
    <row r="260" spans="4:6" x14ac:dyDescent="0.2">
      <c r="D260"/>
      <c r="F260"/>
    </row>
    <row r="261" spans="4:6" x14ac:dyDescent="0.2">
      <c r="D261"/>
      <c r="F261"/>
    </row>
    <row r="262" spans="4:6" x14ac:dyDescent="0.2">
      <c r="D262"/>
      <c r="F262"/>
    </row>
    <row r="263" spans="4:6" x14ac:dyDescent="0.2">
      <c r="D263"/>
      <c r="F263"/>
    </row>
    <row r="264" spans="4:6" x14ac:dyDescent="0.2">
      <c r="D264"/>
      <c r="F264"/>
    </row>
    <row r="265" spans="4:6" x14ac:dyDescent="0.2">
      <c r="D265"/>
      <c r="F265"/>
    </row>
    <row r="266" spans="4:6" x14ac:dyDescent="0.2">
      <c r="D266"/>
      <c r="F266"/>
    </row>
    <row r="267" spans="4:6" x14ac:dyDescent="0.2">
      <c r="D267"/>
      <c r="F267"/>
    </row>
    <row r="268" spans="4:6" x14ac:dyDescent="0.2">
      <c r="D268"/>
      <c r="F268"/>
    </row>
    <row r="269" spans="4:6" x14ac:dyDescent="0.2">
      <c r="D269"/>
      <c r="F269"/>
    </row>
    <row r="270" spans="4:6" x14ac:dyDescent="0.2">
      <c r="D270"/>
      <c r="F270"/>
    </row>
    <row r="271" spans="4:6" x14ac:dyDescent="0.2">
      <c r="D271"/>
      <c r="F271"/>
    </row>
    <row r="272" spans="4:6" x14ac:dyDescent="0.2">
      <c r="D272"/>
      <c r="F272"/>
    </row>
    <row r="273" spans="4:6" x14ac:dyDescent="0.2">
      <c r="D273"/>
      <c r="F273"/>
    </row>
    <row r="274" spans="4:6" x14ac:dyDescent="0.2">
      <c r="D274"/>
      <c r="F274"/>
    </row>
    <row r="275" spans="4:6" x14ac:dyDescent="0.2">
      <c r="D275"/>
      <c r="F275"/>
    </row>
    <row r="276" spans="4:6" x14ac:dyDescent="0.2">
      <c r="D276"/>
      <c r="F276"/>
    </row>
    <row r="277" spans="4:6" x14ac:dyDescent="0.2">
      <c r="D277"/>
      <c r="F277"/>
    </row>
    <row r="278" spans="4:6" x14ac:dyDescent="0.2">
      <c r="D278"/>
      <c r="F278"/>
    </row>
    <row r="279" spans="4:6" x14ac:dyDescent="0.2">
      <c r="D279"/>
      <c r="F279"/>
    </row>
    <row r="280" spans="4:6" x14ac:dyDescent="0.2">
      <c r="D280"/>
      <c r="F280"/>
    </row>
    <row r="281" spans="4:6" x14ac:dyDescent="0.2">
      <c r="D281"/>
      <c r="F281"/>
    </row>
    <row r="282" spans="4:6" x14ac:dyDescent="0.2">
      <c r="D282"/>
      <c r="F282"/>
    </row>
    <row r="283" spans="4:6" x14ac:dyDescent="0.2">
      <c r="D283"/>
      <c r="F283"/>
    </row>
    <row r="284" spans="4:6" x14ac:dyDescent="0.2">
      <c r="D284"/>
      <c r="F284"/>
    </row>
    <row r="285" spans="4:6" x14ac:dyDescent="0.2">
      <c r="D285"/>
      <c r="F285"/>
    </row>
    <row r="286" spans="4:6" x14ac:dyDescent="0.2">
      <c r="D286"/>
      <c r="F286"/>
    </row>
    <row r="287" spans="4:6" x14ac:dyDescent="0.2">
      <c r="D287"/>
      <c r="F287"/>
    </row>
    <row r="288" spans="4:6" x14ac:dyDescent="0.2">
      <c r="D288"/>
      <c r="F288"/>
    </row>
    <row r="289" spans="4:6" x14ac:dyDescent="0.2">
      <c r="D289"/>
      <c r="F289"/>
    </row>
    <row r="290" spans="4:6" x14ac:dyDescent="0.2">
      <c r="D290"/>
      <c r="F290"/>
    </row>
    <row r="291" spans="4:6" x14ac:dyDescent="0.2">
      <c r="D291"/>
      <c r="F291"/>
    </row>
    <row r="292" spans="4:6" x14ac:dyDescent="0.2">
      <c r="D292"/>
      <c r="F292"/>
    </row>
    <row r="293" spans="4:6" x14ac:dyDescent="0.2">
      <c r="D293"/>
      <c r="F293"/>
    </row>
    <row r="294" spans="4:6" x14ac:dyDescent="0.2">
      <c r="D294"/>
      <c r="F294"/>
    </row>
    <row r="295" spans="4:6" x14ac:dyDescent="0.2">
      <c r="D295"/>
      <c r="F295"/>
    </row>
    <row r="296" spans="4:6" x14ac:dyDescent="0.2">
      <c r="D296"/>
      <c r="F296"/>
    </row>
    <row r="297" spans="4:6" x14ac:dyDescent="0.2">
      <c r="D297"/>
      <c r="F297"/>
    </row>
    <row r="298" spans="4:6" x14ac:dyDescent="0.2">
      <c r="D298"/>
      <c r="F298"/>
    </row>
    <row r="299" spans="4:6" x14ac:dyDescent="0.2">
      <c r="D299"/>
      <c r="F299"/>
    </row>
    <row r="300" spans="4:6" x14ac:dyDescent="0.2">
      <c r="D300"/>
      <c r="F300"/>
    </row>
    <row r="301" spans="4:6" x14ac:dyDescent="0.2">
      <c r="D301"/>
      <c r="F301"/>
    </row>
    <row r="302" spans="4:6" x14ac:dyDescent="0.2">
      <c r="D302"/>
      <c r="F302"/>
    </row>
    <row r="303" spans="4:6" x14ac:dyDescent="0.2">
      <c r="D303"/>
      <c r="F303"/>
    </row>
    <row r="304" spans="4:6" x14ac:dyDescent="0.2">
      <c r="D304"/>
      <c r="F304"/>
    </row>
    <row r="305" spans="4:6" x14ac:dyDescent="0.2">
      <c r="D305"/>
      <c r="F305"/>
    </row>
    <row r="306" spans="4:6" x14ac:dyDescent="0.2">
      <c r="D306"/>
      <c r="F306"/>
    </row>
    <row r="307" spans="4:6" x14ac:dyDescent="0.2">
      <c r="D307"/>
      <c r="F307"/>
    </row>
    <row r="308" spans="4:6" x14ac:dyDescent="0.2">
      <c r="D308"/>
      <c r="F308"/>
    </row>
    <row r="309" spans="4:6" x14ac:dyDescent="0.2">
      <c r="D309"/>
      <c r="F309"/>
    </row>
    <row r="310" spans="4:6" x14ac:dyDescent="0.2">
      <c r="D310"/>
      <c r="F310"/>
    </row>
    <row r="311" spans="4:6" x14ac:dyDescent="0.2">
      <c r="D311"/>
      <c r="F311"/>
    </row>
    <row r="312" spans="4:6" x14ac:dyDescent="0.2">
      <c r="D312"/>
      <c r="F312"/>
    </row>
    <row r="313" spans="4:6" x14ac:dyDescent="0.2">
      <c r="D313"/>
      <c r="F313"/>
    </row>
    <row r="314" spans="4:6" x14ac:dyDescent="0.2">
      <c r="D314"/>
      <c r="F314"/>
    </row>
    <row r="315" spans="4:6" x14ac:dyDescent="0.2">
      <c r="D315"/>
      <c r="F315"/>
    </row>
    <row r="316" spans="4:6" x14ac:dyDescent="0.2">
      <c r="D316"/>
      <c r="F316"/>
    </row>
    <row r="317" spans="4:6" x14ac:dyDescent="0.2">
      <c r="D317"/>
      <c r="F317"/>
    </row>
    <row r="318" spans="4:6" x14ac:dyDescent="0.2">
      <c r="D318"/>
      <c r="F318"/>
    </row>
    <row r="319" spans="4:6" x14ac:dyDescent="0.2">
      <c r="D319"/>
      <c r="F319"/>
    </row>
    <row r="320" spans="4:6" x14ac:dyDescent="0.2">
      <c r="D320"/>
      <c r="F320"/>
    </row>
    <row r="321" spans="4:6" x14ac:dyDescent="0.2">
      <c r="D321"/>
      <c r="F321"/>
    </row>
    <row r="322" spans="4:6" x14ac:dyDescent="0.2">
      <c r="D322"/>
      <c r="F322"/>
    </row>
    <row r="323" spans="4:6" x14ac:dyDescent="0.2">
      <c r="D323"/>
      <c r="F323"/>
    </row>
    <row r="324" spans="4:6" x14ac:dyDescent="0.2">
      <c r="D324"/>
      <c r="F324"/>
    </row>
    <row r="325" spans="4:6" x14ac:dyDescent="0.2">
      <c r="D325"/>
      <c r="F325"/>
    </row>
    <row r="326" spans="4:6" x14ac:dyDescent="0.2">
      <c r="D326"/>
      <c r="F326"/>
    </row>
    <row r="327" spans="4:6" x14ac:dyDescent="0.2">
      <c r="D327"/>
      <c r="F327"/>
    </row>
    <row r="328" spans="4:6" x14ac:dyDescent="0.2">
      <c r="D328"/>
      <c r="F328"/>
    </row>
    <row r="329" spans="4:6" x14ac:dyDescent="0.2">
      <c r="D329"/>
      <c r="F329"/>
    </row>
    <row r="330" spans="4:6" x14ac:dyDescent="0.2">
      <c r="D330"/>
      <c r="F330"/>
    </row>
    <row r="331" spans="4:6" x14ac:dyDescent="0.2">
      <c r="D331"/>
      <c r="F331"/>
    </row>
    <row r="332" spans="4:6" x14ac:dyDescent="0.2">
      <c r="D332"/>
      <c r="F332"/>
    </row>
    <row r="333" spans="4:6" x14ac:dyDescent="0.2">
      <c r="D333"/>
      <c r="F333"/>
    </row>
    <row r="334" spans="4:6" x14ac:dyDescent="0.2">
      <c r="D334"/>
      <c r="F334"/>
    </row>
    <row r="335" spans="4:6" x14ac:dyDescent="0.2">
      <c r="D335"/>
      <c r="F335"/>
    </row>
    <row r="336" spans="4:6" x14ac:dyDescent="0.2">
      <c r="D336"/>
      <c r="F336"/>
    </row>
    <row r="337" spans="4:6" x14ac:dyDescent="0.2">
      <c r="D337"/>
      <c r="F337"/>
    </row>
    <row r="338" spans="4:6" x14ac:dyDescent="0.2">
      <c r="D338"/>
      <c r="F338"/>
    </row>
    <row r="339" spans="4:6" x14ac:dyDescent="0.2">
      <c r="D339"/>
      <c r="F339"/>
    </row>
    <row r="340" spans="4:6" x14ac:dyDescent="0.2">
      <c r="D340"/>
      <c r="F340"/>
    </row>
    <row r="341" spans="4:6" x14ac:dyDescent="0.2">
      <c r="D341"/>
      <c r="F341"/>
    </row>
    <row r="342" spans="4:6" x14ac:dyDescent="0.2">
      <c r="D342"/>
      <c r="F342"/>
    </row>
    <row r="343" spans="4:6" x14ac:dyDescent="0.2">
      <c r="D343"/>
      <c r="F343"/>
    </row>
    <row r="344" spans="4:6" x14ac:dyDescent="0.2">
      <c r="D344"/>
      <c r="F344"/>
    </row>
    <row r="345" spans="4:6" x14ac:dyDescent="0.2">
      <c r="D345"/>
      <c r="F345"/>
    </row>
    <row r="346" spans="4:6" x14ac:dyDescent="0.2">
      <c r="D346"/>
      <c r="F346"/>
    </row>
    <row r="347" spans="4:6" x14ac:dyDescent="0.2">
      <c r="D347"/>
      <c r="F347"/>
    </row>
    <row r="348" spans="4:6" x14ac:dyDescent="0.2">
      <c r="D348"/>
      <c r="F348"/>
    </row>
    <row r="349" spans="4:6" x14ac:dyDescent="0.2">
      <c r="D349"/>
      <c r="F349"/>
    </row>
    <row r="350" spans="4:6" x14ac:dyDescent="0.2">
      <c r="D350"/>
      <c r="F350"/>
    </row>
    <row r="351" spans="4:6" x14ac:dyDescent="0.2">
      <c r="D351"/>
      <c r="F351"/>
    </row>
    <row r="352" spans="4:6" x14ac:dyDescent="0.2">
      <c r="D352"/>
      <c r="F352"/>
    </row>
    <row r="353" spans="4:6" x14ac:dyDescent="0.2">
      <c r="D353"/>
      <c r="F353"/>
    </row>
    <row r="354" spans="4:6" x14ac:dyDescent="0.2">
      <c r="D354"/>
      <c r="F354"/>
    </row>
    <row r="355" spans="4:6" x14ac:dyDescent="0.2">
      <c r="D355"/>
      <c r="F355"/>
    </row>
    <row r="356" spans="4:6" x14ac:dyDescent="0.2">
      <c r="D356"/>
      <c r="F356"/>
    </row>
    <row r="357" spans="4:6" x14ac:dyDescent="0.2">
      <c r="D357"/>
      <c r="F357"/>
    </row>
    <row r="358" spans="4:6" x14ac:dyDescent="0.2">
      <c r="D358"/>
      <c r="F358"/>
    </row>
    <row r="359" spans="4:6" x14ac:dyDescent="0.2">
      <c r="D359"/>
      <c r="F359"/>
    </row>
    <row r="360" spans="4:6" x14ac:dyDescent="0.2">
      <c r="D360"/>
      <c r="F360"/>
    </row>
    <row r="361" spans="4:6" x14ac:dyDescent="0.2">
      <c r="D361"/>
      <c r="F361"/>
    </row>
    <row r="362" spans="4:6" x14ac:dyDescent="0.2">
      <c r="D362"/>
      <c r="F362"/>
    </row>
    <row r="363" spans="4:6" x14ac:dyDescent="0.2">
      <c r="D363"/>
      <c r="F363"/>
    </row>
    <row r="364" spans="4:6" x14ac:dyDescent="0.2">
      <c r="D364"/>
      <c r="F364"/>
    </row>
    <row r="365" spans="4:6" x14ac:dyDescent="0.2">
      <c r="D365"/>
      <c r="F365"/>
    </row>
    <row r="366" spans="4:6" x14ac:dyDescent="0.2">
      <c r="D366"/>
      <c r="F366"/>
    </row>
    <row r="367" spans="4:6" x14ac:dyDescent="0.2">
      <c r="D367"/>
      <c r="F367"/>
    </row>
    <row r="368" spans="4:6" x14ac:dyDescent="0.2">
      <c r="D368"/>
      <c r="F368"/>
    </row>
    <row r="369" spans="4:6" x14ac:dyDescent="0.2">
      <c r="D369"/>
      <c r="F369"/>
    </row>
    <row r="370" spans="4:6" x14ac:dyDescent="0.2">
      <c r="D370"/>
      <c r="F370"/>
    </row>
    <row r="371" spans="4:6" x14ac:dyDescent="0.2">
      <c r="D371"/>
      <c r="F371"/>
    </row>
    <row r="372" spans="4:6" x14ac:dyDescent="0.2">
      <c r="D372"/>
      <c r="F372"/>
    </row>
    <row r="373" spans="4:6" x14ac:dyDescent="0.2">
      <c r="D373"/>
      <c r="F373"/>
    </row>
    <row r="374" spans="4:6" x14ac:dyDescent="0.2">
      <c r="D374"/>
      <c r="F374"/>
    </row>
    <row r="375" spans="4:6" x14ac:dyDescent="0.2">
      <c r="D375"/>
      <c r="F375"/>
    </row>
    <row r="376" spans="4:6" x14ac:dyDescent="0.2">
      <c r="D376"/>
      <c r="F376"/>
    </row>
    <row r="377" spans="4:6" x14ac:dyDescent="0.2">
      <c r="D377"/>
      <c r="F377"/>
    </row>
    <row r="378" spans="4:6" x14ac:dyDescent="0.2">
      <c r="D378"/>
      <c r="F378"/>
    </row>
    <row r="379" spans="4:6" x14ac:dyDescent="0.2">
      <c r="D379"/>
      <c r="F379"/>
    </row>
    <row r="380" spans="4:6" x14ac:dyDescent="0.2">
      <c r="D380"/>
      <c r="F380"/>
    </row>
    <row r="381" spans="4:6" x14ac:dyDescent="0.2">
      <c r="D381"/>
      <c r="F381"/>
    </row>
    <row r="382" spans="4:6" x14ac:dyDescent="0.2">
      <c r="D382"/>
      <c r="F382"/>
    </row>
    <row r="383" spans="4:6" x14ac:dyDescent="0.2">
      <c r="D383"/>
      <c r="F383"/>
    </row>
    <row r="384" spans="4:6" x14ac:dyDescent="0.2">
      <c r="D384"/>
      <c r="F384"/>
    </row>
    <row r="385" spans="4:6" x14ac:dyDescent="0.2">
      <c r="D385"/>
      <c r="F385"/>
    </row>
    <row r="386" spans="4:6" x14ac:dyDescent="0.2">
      <c r="D386"/>
      <c r="F386"/>
    </row>
    <row r="387" spans="4:6" x14ac:dyDescent="0.2">
      <c r="D387"/>
      <c r="F387"/>
    </row>
    <row r="388" spans="4:6" x14ac:dyDescent="0.2">
      <c r="D388"/>
      <c r="F388"/>
    </row>
    <row r="389" spans="4:6" x14ac:dyDescent="0.2">
      <c r="D389"/>
      <c r="F389"/>
    </row>
    <row r="390" spans="4:6" x14ac:dyDescent="0.2">
      <c r="D390"/>
      <c r="F390"/>
    </row>
    <row r="391" spans="4:6" x14ac:dyDescent="0.2">
      <c r="D391"/>
      <c r="F391"/>
    </row>
    <row r="392" spans="4:6" x14ac:dyDescent="0.2">
      <c r="D392"/>
      <c r="F392"/>
    </row>
    <row r="393" spans="4:6" x14ac:dyDescent="0.2">
      <c r="D393"/>
      <c r="F393"/>
    </row>
    <row r="394" spans="4:6" x14ac:dyDescent="0.2">
      <c r="D394"/>
      <c r="F394"/>
    </row>
    <row r="395" spans="4:6" x14ac:dyDescent="0.2">
      <c r="D395"/>
      <c r="F395"/>
    </row>
    <row r="396" spans="4:6" x14ac:dyDescent="0.2">
      <c r="D396"/>
      <c r="F396"/>
    </row>
    <row r="397" spans="4:6" x14ac:dyDescent="0.2">
      <c r="D397"/>
      <c r="F397"/>
    </row>
    <row r="398" spans="4:6" x14ac:dyDescent="0.2">
      <c r="D398"/>
      <c r="F398"/>
    </row>
    <row r="399" spans="4:6" x14ac:dyDescent="0.2">
      <c r="D399"/>
      <c r="F399"/>
    </row>
    <row r="400" spans="4:6" x14ac:dyDescent="0.2">
      <c r="D400"/>
      <c r="F400"/>
    </row>
    <row r="401" spans="4:6" x14ac:dyDescent="0.2">
      <c r="D401"/>
      <c r="F401"/>
    </row>
    <row r="402" spans="4:6" x14ac:dyDescent="0.2">
      <c r="D402"/>
      <c r="F402"/>
    </row>
    <row r="403" spans="4:6" x14ac:dyDescent="0.2">
      <c r="D403"/>
      <c r="F403"/>
    </row>
    <row r="404" spans="4:6" x14ac:dyDescent="0.2">
      <c r="D404"/>
      <c r="F404"/>
    </row>
    <row r="405" spans="4:6" x14ac:dyDescent="0.2">
      <c r="D405"/>
      <c r="F405"/>
    </row>
    <row r="406" spans="4:6" x14ac:dyDescent="0.2">
      <c r="D406"/>
      <c r="F406"/>
    </row>
    <row r="407" spans="4:6" x14ac:dyDescent="0.2">
      <c r="D407"/>
      <c r="F407"/>
    </row>
    <row r="408" spans="4:6" x14ac:dyDescent="0.2">
      <c r="D408"/>
      <c r="F408"/>
    </row>
    <row r="409" spans="4:6" x14ac:dyDescent="0.2">
      <c r="D409"/>
      <c r="F409"/>
    </row>
    <row r="410" spans="4:6" x14ac:dyDescent="0.2">
      <c r="D410"/>
      <c r="F410"/>
    </row>
    <row r="411" spans="4:6" x14ac:dyDescent="0.2">
      <c r="D411"/>
      <c r="F411"/>
    </row>
    <row r="412" spans="4:6" x14ac:dyDescent="0.2">
      <c r="D412"/>
      <c r="F412"/>
    </row>
    <row r="413" spans="4:6" x14ac:dyDescent="0.2">
      <c r="D413"/>
      <c r="F413"/>
    </row>
    <row r="414" spans="4:6" x14ac:dyDescent="0.2">
      <c r="D414"/>
      <c r="F414"/>
    </row>
    <row r="415" spans="4:6" x14ac:dyDescent="0.2">
      <c r="D415"/>
      <c r="F415"/>
    </row>
    <row r="416" spans="4:6" x14ac:dyDescent="0.2">
      <c r="D416"/>
      <c r="F416"/>
    </row>
    <row r="417" spans="4:6" x14ac:dyDescent="0.2">
      <c r="D417"/>
      <c r="F417"/>
    </row>
    <row r="418" spans="4:6" x14ac:dyDescent="0.2">
      <c r="D418"/>
      <c r="F418"/>
    </row>
    <row r="419" spans="4:6" x14ac:dyDescent="0.2">
      <c r="D419"/>
      <c r="F419"/>
    </row>
    <row r="420" spans="4:6" x14ac:dyDescent="0.2">
      <c r="D420"/>
      <c r="F420"/>
    </row>
    <row r="421" spans="4:6" x14ac:dyDescent="0.2">
      <c r="D421"/>
      <c r="F421"/>
    </row>
    <row r="422" spans="4:6" x14ac:dyDescent="0.2">
      <c r="D422"/>
      <c r="F422"/>
    </row>
    <row r="423" spans="4:6" x14ac:dyDescent="0.2">
      <c r="D423"/>
      <c r="F423"/>
    </row>
    <row r="424" spans="4:6" x14ac:dyDescent="0.2">
      <c r="D424"/>
      <c r="F424"/>
    </row>
    <row r="425" spans="4:6" x14ac:dyDescent="0.2">
      <c r="D425"/>
      <c r="F425"/>
    </row>
    <row r="426" spans="4:6" x14ac:dyDescent="0.2">
      <c r="D426"/>
      <c r="F426"/>
    </row>
    <row r="427" spans="4:6" x14ac:dyDescent="0.2">
      <c r="D427"/>
      <c r="F427"/>
    </row>
    <row r="428" spans="4:6" x14ac:dyDescent="0.2">
      <c r="D428"/>
      <c r="F428"/>
    </row>
    <row r="429" spans="4:6" x14ac:dyDescent="0.2">
      <c r="D429"/>
      <c r="F429"/>
    </row>
    <row r="430" spans="4:6" x14ac:dyDescent="0.2">
      <c r="D430"/>
      <c r="F430"/>
    </row>
    <row r="431" spans="4:6" x14ac:dyDescent="0.2">
      <c r="D431"/>
      <c r="F431"/>
    </row>
    <row r="432" spans="4:6" x14ac:dyDescent="0.2">
      <c r="D432"/>
      <c r="F432"/>
    </row>
    <row r="433" spans="4:6" x14ac:dyDescent="0.2">
      <c r="D433"/>
      <c r="F433"/>
    </row>
    <row r="434" spans="4:6" x14ac:dyDescent="0.2">
      <c r="D434"/>
      <c r="F434"/>
    </row>
    <row r="435" spans="4:6" x14ac:dyDescent="0.2">
      <c r="D435"/>
      <c r="F435"/>
    </row>
    <row r="436" spans="4:6" x14ac:dyDescent="0.2">
      <c r="D436"/>
      <c r="F436"/>
    </row>
    <row r="437" spans="4:6" x14ac:dyDescent="0.2">
      <c r="D437"/>
      <c r="F437"/>
    </row>
    <row r="438" spans="4:6" x14ac:dyDescent="0.2">
      <c r="D438"/>
      <c r="F438"/>
    </row>
    <row r="439" spans="4:6" x14ac:dyDescent="0.2">
      <c r="D439"/>
      <c r="F439"/>
    </row>
    <row r="440" spans="4:6" x14ac:dyDescent="0.2">
      <c r="D440"/>
      <c r="F440"/>
    </row>
    <row r="441" spans="4:6" x14ac:dyDescent="0.2">
      <c r="D441"/>
      <c r="F441"/>
    </row>
    <row r="442" spans="4:6" x14ac:dyDescent="0.2">
      <c r="D442"/>
      <c r="F442"/>
    </row>
    <row r="443" spans="4:6" x14ac:dyDescent="0.2">
      <c r="D443"/>
      <c r="F443"/>
    </row>
    <row r="444" spans="4:6" x14ac:dyDescent="0.2">
      <c r="D444"/>
      <c r="F444"/>
    </row>
    <row r="445" spans="4:6" x14ac:dyDescent="0.2">
      <c r="D445"/>
      <c r="F445"/>
    </row>
    <row r="446" spans="4:6" x14ac:dyDescent="0.2">
      <c r="D446"/>
      <c r="F446"/>
    </row>
    <row r="447" spans="4:6" x14ac:dyDescent="0.2">
      <c r="D447"/>
      <c r="F447"/>
    </row>
    <row r="448" spans="4:6" x14ac:dyDescent="0.2">
      <c r="D448"/>
      <c r="F448"/>
    </row>
    <row r="449" spans="4:6" x14ac:dyDescent="0.2">
      <c r="D449"/>
      <c r="F449"/>
    </row>
    <row r="450" spans="4:6" x14ac:dyDescent="0.2">
      <c r="D450"/>
      <c r="F450"/>
    </row>
    <row r="451" spans="4:6" x14ac:dyDescent="0.2">
      <c r="D451"/>
      <c r="F451"/>
    </row>
    <row r="452" spans="4:6" x14ac:dyDescent="0.2">
      <c r="D452"/>
      <c r="F452"/>
    </row>
    <row r="453" spans="4:6" x14ac:dyDescent="0.2">
      <c r="D453"/>
      <c r="F453"/>
    </row>
    <row r="454" spans="4:6" x14ac:dyDescent="0.2">
      <c r="D454"/>
      <c r="F454"/>
    </row>
    <row r="455" spans="4:6" x14ac:dyDescent="0.2">
      <c r="D455"/>
      <c r="F455"/>
    </row>
    <row r="456" spans="4:6" x14ac:dyDescent="0.2">
      <c r="D456"/>
      <c r="F456"/>
    </row>
    <row r="457" spans="4:6" x14ac:dyDescent="0.2">
      <c r="D457"/>
      <c r="F457"/>
    </row>
    <row r="458" spans="4:6" x14ac:dyDescent="0.2">
      <c r="D458"/>
      <c r="F458"/>
    </row>
    <row r="459" spans="4:6" x14ac:dyDescent="0.2">
      <c r="D459"/>
      <c r="F459"/>
    </row>
    <row r="460" spans="4:6" x14ac:dyDescent="0.2">
      <c r="D460"/>
      <c r="F460"/>
    </row>
    <row r="461" spans="4:6" x14ac:dyDescent="0.2">
      <c r="D461"/>
      <c r="F461"/>
    </row>
    <row r="462" spans="4:6" x14ac:dyDescent="0.2">
      <c r="D462"/>
      <c r="F462"/>
    </row>
    <row r="463" spans="4:6" x14ac:dyDescent="0.2">
      <c r="D463"/>
      <c r="F463"/>
    </row>
    <row r="464" spans="4:6" x14ac:dyDescent="0.2">
      <c r="D464"/>
      <c r="F464"/>
    </row>
    <row r="465" spans="4:6" x14ac:dyDescent="0.2">
      <c r="D465"/>
      <c r="F465"/>
    </row>
    <row r="466" spans="4:6" x14ac:dyDescent="0.2">
      <c r="D466"/>
      <c r="F466"/>
    </row>
    <row r="467" spans="4:6" x14ac:dyDescent="0.2">
      <c r="D467"/>
      <c r="F467"/>
    </row>
    <row r="468" spans="4:6" x14ac:dyDescent="0.2">
      <c r="D468"/>
      <c r="F468"/>
    </row>
    <row r="469" spans="4:6" x14ac:dyDescent="0.2">
      <c r="D469"/>
      <c r="F469"/>
    </row>
    <row r="470" spans="4:6" x14ac:dyDescent="0.2">
      <c r="D470"/>
      <c r="F470"/>
    </row>
    <row r="471" spans="4:6" x14ac:dyDescent="0.2">
      <c r="D471"/>
      <c r="F471"/>
    </row>
    <row r="472" spans="4:6" x14ac:dyDescent="0.2">
      <c r="D472"/>
      <c r="F472"/>
    </row>
    <row r="473" spans="4:6" x14ac:dyDescent="0.2">
      <c r="D473"/>
      <c r="F473"/>
    </row>
    <row r="474" spans="4:6" x14ac:dyDescent="0.2">
      <c r="D474"/>
      <c r="F474"/>
    </row>
    <row r="475" spans="4:6" x14ac:dyDescent="0.2">
      <c r="D475"/>
      <c r="F475"/>
    </row>
    <row r="476" spans="4:6" x14ac:dyDescent="0.2">
      <c r="D476"/>
      <c r="F476"/>
    </row>
    <row r="477" spans="4:6" x14ac:dyDescent="0.2">
      <c r="D477"/>
      <c r="F477"/>
    </row>
    <row r="478" spans="4:6" x14ac:dyDescent="0.2">
      <c r="D478"/>
      <c r="F478"/>
    </row>
    <row r="479" spans="4:6" x14ac:dyDescent="0.2">
      <c r="D479"/>
      <c r="F479"/>
    </row>
    <row r="480" spans="4:6" x14ac:dyDescent="0.2">
      <c r="D480"/>
      <c r="F480"/>
    </row>
    <row r="481" spans="4:6" x14ac:dyDescent="0.2">
      <c r="D481"/>
      <c r="F481"/>
    </row>
    <row r="482" spans="4:6" x14ac:dyDescent="0.2">
      <c r="D482"/>
      <c r="F482"/>
    </row>
    <row r="483" spans="4:6" x14ac:dyDescent="0.2">
      <c r="D483"/>
      <c r="F483"/>
    </row>
    <row r="484" spans="4:6" x14ac:dyDescent="0.2">
      <c r="D484"/>
      <c r="F484"/>
    </row>
    <row r="485" spans="4:6" x14ac:dyDescent="0.2">
      <c r="D485"/>
      <c r="F485"/>
    </row>
    <row r="486" spans="4:6" x14ac:dyDescent="0.2">
      <c r="D486"/>
      <c r="F486"/>
    </row>
    <row r="487" spans="4:6" x14ac:dyDescent="0.2">
      <c r="D487"/>
      <c r="F487"/>
    </row>
    <row r="488" spans="4:6" x14ac:dyDescent="0.2">
      <c r="D488"/>
      <c r="F488"/>
    </row>
    <row r="489" spans="4:6" x14ac:dyDescent="0.2">
      <c r="D489"/>
      <c r="F489"/>
    </row>
    <row r="490" spans="4:6" x14ac:dyDescent="0.2">
      <c r="D490"/>
      <c r="F490"/>
    </row>
    <row r="491" spans="4:6" x14ac:dyDescent="0.2">
      <c r="D491"/>
      <c r="F491"/>
    </row>
    <row r="492" spans="4:6" x14ac:dyDescent="0.2">
      <c r="D492"/>
      <c r="F492"/>
    </row>
    <row r="493" spans="4:6" x14ac:dyDescent="0.2">
      <c r="D493"/>
      <c r="F493"/>
    </row>
    <row r="494" spans="4:6" x14ac:dyDescent="0.2">
      <c r="D494"/>
      <c r="F494"/>
    </row>
    <row r="495" spans="4:6" x14ac:dyDescent="0.2">
      <c r="D495"/>
      <c r="F495"/>
    </row>
    <row r="496" spans="4:6" x14ac:dyDescent="0.2">
      <c r="D496"/>
      <c r="F496"/>
    </row>
    <row r="497" spans="4:6" x14ac:dyDescent="0.2">
      <c r="D497"/>
      <c r="F497"/>
    </row>
    <row r="498" spans="4:6" x14ac:dyDescent="0.2">
      <c r="D498"/>
      <c r="F498"/>
    </row>
    <row r="499" spans="4:6" x14ac:dyDescent="0.2">
      <c r="D499"/>
      <c r="F499"/>
    </row>
    <row r="500" spans="4:6" x14ac:dyDescent="0.2">
      <c r="D500"/>
      <c r="F500"/>
    </row>
    <row r="501" spans="4:6" x14ac:dyDescent="0.2">
      <c r="D501"/>
      <c r="F501"/>
    </row>
    <row r="502" spans="4:6" x14ac:dyDescent="0.2">
      <c r="D502"/>
      <c r="F502"/>
    </row>
    <row r="503" spans="4:6" x14ac:dyDescent="0.2">
      <c r="D503"/>
      <c r="F503"/>
    </row>
    <row r="504" spans="4:6" x14ac:dyDescent="0.2">
      <c r="D504"/>
      <c r="F504"/>
    </row>
    <row r="505" spans="4:6" x14ac:dyDescent="0.2">
      <c r="D505"/>
      <c r="F505"/>
    </row>
    <row r="506" spans="4:6" x14ac:dyDescent="0.2">
      <c r="D506"/>
      <c r="F506"/>
    </row>
    <row r="507" spans="4:6" x14ac:dyDescent="0.2">
      <c r="D507"/>
      <c r="F507"/>
    </row>
    <row r="508" spans="4:6" x14ac:dyDescent="0.2">
      <c r="D508"/>
      <c r="F508"/>
    </row>
    <row r="509" spans="4:6" x14ac:dyDescent="0.2">
      <c r="D509"/>
      <c r="F509"/>
    </row>
    <row r="510" spans="4:6" x14ac:dyDescent="0.2">
      <c r="D510"/>
      <c r="F510"/>
    </row>
    <row r="511" spans="4:6" x14ac:dyDescent="0.2">
      <c r="D511"/>
      <c r="F511"/>
    </row>
    <row r="512" spans="4:6" x14ac:dyDescent="0.2">
      <c r="D512"/>
      <c r="F512"/>
    </row>
    <row r="513" spans="4:6" x14ac:dyDescent="0.2">
      <c r="D513"/>
      <c r="F513"/>
    </row>
    <row r="514" spans="4:6" x14ac:dyDescent="0.2">
      <c r="D514"/>
      <c r="F514"/>
    </row>
    <row r="515" spans="4:6" x14ac:dyDescent="0.2">
      <c r="D515"/>
      <c r="F515"/>
    </row>
    <row r="516" spans="4:6" x14ac:dyDescent="0.2">
      <c r="D516"/>
      <c r="F516"/>
    </row>
    <row r="517" spans="4:6" x14ac:dyDescent="0.2">
      <c r="D517"/>
      <c r="F517"/>
    </row>
    <row r="518" spans="4:6" x14ac:dyDescent="0.2">
      <c r="D518"/>
      <c r="F518"/>
    </row>
    <row r="519" spans="4:6" x14ac:dyDescent="0.2">
      <c r="D519"/>
      <c r="F519"/>
    </row>
    <row r="520" spans="4:6" x14ac:dyDescent="0.2">
      <c r="D520"/>
      <c r="F520"/>
    </row>
    <row r="521" spans="4:6" x14ac:dyDescent="0.2">
      <c r="D521"/>
      <c r="F521"/>
    </row>
    <row r="522" spans="4:6" x14ac:dyDescent="0.2">
      <c r="D522"/>
      <c r="F522"/>
    </row>
    <row r="523" spans="4:6" x14ac:dyDescent="0.2">
      <c r="D523"/>
      <c r="F523"/>
    </row>
    <row r="524" spans="4:6" x14ac:dyDescent="0.2">
      <c r="D524"/>
      <c r="F524"/>
    </row>
    <row r="525" spans="4:6" x14ac:dyDescent="0.2">
      <c r="D525"/>
      <c r="F525"/>
    </row>
    <row r="526" spans="4:6" x14ac:dyDescent="0.2">
      <c r="D526"/>
      <c r="F526"/>
    </row>
    <row r="527" spans="4:6" x14ac:dyDescent="0.2">
      <c r="D527"/>
      <c r="F527"/>
    </row>
    <row r="528" spans="4:6" x14ac:dyDescent="0.2">
      <c r="D528"/>
      <c r="F528"/>
    </row>
    <row r="529" spans="4:6" x14ac:dyDescent="0.2">
      <c r="D529"/>
      <c r="F529"/>
    </row>
    <row r="530" spans="4:6" x14ac:dyDescent="0.2">
      <c r="D530"/>
      <c r="F530"/>
    </row>
    <row r="531" spans="4:6" x14ac:dyDescent="0.2">
      <c r="D531"/>
      <c r="F531"/>
    </row>
    <row r="532" spans="4:6" x14ac:dyDescent="0.2">
      <c r="D532"/>
      <c r="F532"/>
    </row>
    <row r="533" spans="4:6" x14ac:dyDescent="0.2">
      <c r="D533"/>
      <c r="F533"/>
    </row>
    <row r="534" spans="4:6" x14ac:dyDescent="0.2">
      <c r="D534"/>
      <c r="F534"/>
    </row>
    <row r="535" spans="4:6" x14ac:dyDescent="0.2">
      <c r="D535"/>
      <c r="F535"/>
    </row>
    <row r="536" spans="4:6" x14ac:dyDescent="0.2">
      <c r="D536"/>
      <c r="F536"/>
    </row>
    <row r="537" spans="4:6" x14ac:dyDescent="0.2">
      <c r="D537"/>
      <c r="F537"/>
    </row>
    <row r="538" spans="4:6" x14ac:dyDescent="0.2">
      <c r="D538"/>
      <c r="F538"/>
    </row>
    <row r="539" spans="4:6" x14ac:dyDescent="0.2">
      <c r="D539"/>
      <c r="F539"/>
    </row>
    <row r="540" spans="4:6" x14ac:dyDescent="0.2">
      <c r="D540"/>
      <c r="F540"/>
    </row>
    <row r="541" spans="4:6" x14ac:dyDescent="0.2">
      <c r="D541"/>
      <c r="F541"/>
    </row>
    <row r="542" spans="4:6" x14ac:dyDescent="0.2">
      <c r="D542"/>
      <c r="F542"/>
    </row>
    <row r="543" spans="4:6" x14ac:dyDescent="0.2">
      <c r="D543"/>
      <c r="F543"/>
    </row>
    <row r="544" spans="4:6" x14ac:dyDescent="0.2">
      <c r="D544"/>
      <c r="F544"/>
    </row>
    <row r="545" spans="4:6" x14ac:dyDescent="0.2">
      <c r="D545"/>
      <c r="F545"/>
    </row>
    <row r="546" spans="4:6" x14ac:dyDescent="0.2">
      <c r="D546"/>
      <c r="F546"/>
    </row>
    <row r="547" spans="4:6" x14ac:dyDescent="0.2">
      <c r="D547"/>
      <c r="F547"/>
    </row>
    <row r="548" spans="4:6" x14ac:dyDescent="0.2">
      <c r="D548"/>
      <c r="F548"/>
    </row>
    <row r="549" spans="4:6" x14ac:dyDescent="0.2">
      <c r="D549"/>
      <c r="F549"/>
    </row>
    <row r="550" spans="4:6" x14ac:dyDescent="0.2">
      <c r="D550"/>
      <c r="F550"/>
    </row>
    <row r="551" spans="4:6" x14ac:dyDescent="0.2">
      <c r="D551"/>
      <c r="F551"/>
    </row>
    <row r="552" spans="4:6" x14ac:dyDescent="0.2">
      <c r="D552"/>
      <c r="F552"/>
    </row>
    <row r="553" spans="4:6" x14ac:dyDescent="0.2">
      <c r="D553"/>
      <c r="F553"/>
    </row>
    <row r="554" spans="4:6" x14ac:dyDescent="0.2">
      <c r="D554"/>
      <c r="F554"/>
    </row>
    <row r="555" spans="4:6" x14ac:dyDescent="0.2">
      <c r="D555"/>
      <c r="F555"/>
    </row>
    <row r="556" spans="4:6" x14ac:dyDescent="0.2">
      <c r="D556"/>
      <c r="F556"/>
    </row>
    <row r="557" spans="4:6" x14ac:dyDescent="0.2">
      <c r="D557"/>
      <c r="F557"/>
    </row>
    <row r="558" spans="4:6" x14ac:dyDescent="0.2">
      <c r="D558"/>
      <c r="F558"/>
    </row>
    <row r="559" spans="4:6" x14ac:dyDescent="0.2">
      <c r="D559"/>
      <c r="F559"/>
    </row>
    <row r="560" spans="4:6" x14ac:dyDescent="0.2">
      <c r="D560"/>
      <c r="F560"/>
    </row>
    <row r="561" spans="4:6" x14ac:dyDescent="0.2">
      <c r="D561"/>
      <c r="F561"/>
    </row>
    <row r="562" spans="4:6" x14ac:dyDescent="0.2">
      <c r="D562"/>
      <c r="F562"/>
    </row>
    <row r="563" spans="4:6" x14ac:dyDescent="0.2">
      <c r="D563"/>
      <c r="F563"/>
    </row>
    <row r="564" spans="4:6" x14ac:dyDescent="0.2">
      <c r="D564"/>
      <c r="F564"/>
    </row>
    <row r="565" spans="4:6" x14ac:dyDescent="0.2">
      <c r="D565"/>
      <c r="F565"/>
    </row>
    <row r="566" spans="4:6" x14ac:dyDescent="0.2">
      <c r="D566"/>
      <c r="F566"/>
    </row>
    <row r="567" spans="4:6" x14ac:dyDescent="0.2">
      <c r="D567"/>
      <c r="F567"/>
    </row>
    <row r="568" spans="4:6" x14ac:dyDescent="0.2">
      <c r="D568"/>
      <c r="F568"/>
    </row>
    <row r="569" spans="4:6" x14ac:dyDescent="0.2">
      <c r="D569"/>
      <c r="F569"/>
    </row>
    <row r="570" spans="4:6" x14ac:dyDescent="0.2">
      <c r="D570"/>
      <c r="F570"/>
    </row>
    <row r="571" spans="4:6" x14ac:dyDescent="0.2">
      <c r="D571"/>
      <c r="F571"/>
    </row>
    <row r="572" spans="4:6" x14ac:dyDescent="0.2">
      <c r="D572"/>
      <c r="F572"/>
    </row>
    <row r="573" spans="4:6" x14ac:dyDescent="0.2">
      <c r="D573"/>
      <c r="F573"/>
    </row>
    <row r="574" spans="4:6" x14ac:dyDescent="0.2">
      <c r="D574"/>
      <c r="F574"/>
    </row>
    <row r="575" spans="4:6" x14ac:dyDescent="0.2">
      <c r="D575"/>
      <c r="F575"/>
    </row>
    <row r="576" spans="4:6" x14ac:dyDescent="0.2">
      <c r="D576"/>
      <c r="F576"/>
    </row>
    <row r="577" spans="4:6" x14ac:dyDescent="0.2">
      <c r="D577"/>
      <c r="F577"/>
    </row>
    <row r="578" spans="4:6" x14ac:dyDescent="0.2">
      <c r="D578"/>
      <c r="F578"/>
    </row>
    <row r="579" spans="4:6" x14ac:dyDescent="0.2">
      <c r="D579"/>
      <c r="F579"/>
    </row>
    <row r="580" spans="4:6" x14ac:dyDescent="0.2">
      <c r="D580"/>
      <c r="F580"/>
    </row>
    <row r="581" spans="4:6" x14ac:dyDescent="0.2">
      <c r="D581"/>
      <c r="F581"/>
    </row>
    <row r="582" spans="4:6" x14ac:dyDescent="0.2">
      <c r="D582"/>
      <c r="F582"/>
    </row>
    <row r="583" spans="4:6" x14ac:dyDescent="0.2">
      <c r="D583"/>
      <c r="F583"/>
    </row>
    <row r="584" spans="4:6" x14ac:dyDescent="0.2">
      <c r="D584"/>
      <c r="F584"/>
    </row>
    <row r="585" spans="4:6" x14ac:dyDescent="0.2">
      <c r="D585"/>
      <c r="F585"/>
    </row>
    <row r="586" spans="4:6" x14ac:dyDescent="0.2">
      <c r="D586"/>
      <c r="F586"/>
    </row>
    <row r="587" spans="4:6" x14ac:dyDescent="0.2">
      <c r="D587"/>
      <c r="F587"/>
    </row>
    <row r="588" spans="4:6" x14ac:dyDescent="0.2">
      <c r="D588"/>
      <c r="F588"/>
    </row>
    <row r="589" spans="4:6" x14ac:dyDescent="0.2">
      <c r="D589"/>
      <c r="F589"/>
    </row>
    <row r="590" spans="4:6" x14ac:dyDescent="0.2">
      <c r="D590"/>
      <c r="F590"/>
    </row>
    <row r="591" spans="4:6" x14ac:dyDescent="0.2">
      <c r="D591"/>
      <c r="F591"/>
    </row>
    <row r="592" spans="4:6" x14ac:dyDescent="0.2">
      <c r="D592"/>
      <c r="F592"/>
    </row>
    <row r="593" spans="4:6" x14ac:dyDescent="0.2">
      <c r="D593"/>
      <c r="F593"/>
    </row>
    <row r="594" spans="4:6" x14ac:dyDescent="0.2">
      <c r="D594"/>
      <c r="F594"/>
    </row>
    <row r="595" spans="4:6" x14ac:dyDescent="0.2">
      <c r="D595"/>
      <c r="F595"/>
    </row>
    <row r="596" spans="4:6" x14ac:dyDescent="0.2">
      <c r="D596"/>
      <c r="F596"/>
    </row>
    <row r="597" spans="4:6" x14ac:dyDescent="0.2">
      <c r="D597"/>
      <c r="F597"/>
    </row>
    <row r="598" spans="4:6" x14ac:dyDescent="0.2">
      <c r="D598"/>
      <c r="F598"/>
    </row>
    <row r="599" spans="4:6" x14ac:dyDescent="0.2">
      <c r="D599"/>
      <c r="F599"/>
    </row>
    <row r="600" spans="4:6" x14ac:dyDescent="0.2">
      <c r="D600"/>
      <c r="F600"/>
    </row>
    <row r="601" spans="4:6" x14ac:dyDescent="0.2">
      <c r="D601"/>
      <c r="F601"/>
    </row>
    <row r="602" spans="4:6" x14ac:dyDescent="0.2">
      <c r="D602"/>
      <c r="F602"/>
    </row>
    <row r="603" spans="4:6" x14ac:dyDescent="0.2">
      <c r="D603"/>
      <c r="F603"/>
    </row>
    <row r="604" spans="4:6" x14ac:dyDescent="0.2">
      <c r="D604"/>
      <c r="F604"/>
    </row>
    <row r="605" spans="4:6" x14ac:dyDescent="0.2">
      <c r="D605"/>
      <c r="F605"/>
    </row>
    <row r="606" spans="4:6" x14ac:dyDescent="0.2">
      <c r="D606"/>
      <c r="F606"/>
    </row>
    <row r="607" spans="4:6" x14ac:dyDescent="0.2">
      <c r="D607"/>
      <c r="F607"/>
    </row>
    <row r="608" spans="4:6" x14ac:dyDescent="0.2">
      <c r="D608"/>
      <c r="F608"/>
    </row>
    <row r="609" spans="4:6" x14ac:dyDescent="0.2">
      <c r="D609"/>
      <c r="F609"/>
    </row>
    <row r="610" spans="4:6" x14ac:dyDescent="0.2">
      <c r="D610"/>
      <c r="F610"/>
    </row>
    <row r="611" spans="4:6" x14ac:dyDescent="0.2">
      <c r="D611"/>
      <c r="F611"/>
    </row>
    <row r="612" spans="4:6" x14ac:dyDescent="0.2">
      <c r="D612"/>
      <c r="F612"/>
    </row>
    <row r="613" spans="4:6" x14ac:dyDescent="0.2">
      <c r="D613"/>
      <c r="F613"/>
    </row>
    <row r="614" spans="4:6" x14ac:dyDescent="0.2">
      <c r="D614"/>
      <c r="F614"/>
    </row>
    <row r="615" spans="4:6" x14ac:dyDescent="0.2">
      <c r="D615"/>
      <c r="F615"/>
    </row>
    <row r="616" spans="4:6" x14ac:dyDescent="0.2">
      <c r="D616"/>
      <c r="F616"/>
    </row>
    <row r="617" spans="4:6" x14ac:dyDescent="0.2">
      <c r="D617"/>
      <c r="F617"/>
    </row>
    <row r="618" spans="4:6" x14ac:dyDescent="0.2">
      <c r="D618"/>
      <c r="F618"/>
    </row>
    <row r="619" spans="4:6" x14ac:dyDescent="0.2">
      <c r="D619"/>
      <c r="F619"/>
    </row>
    <row r="620" spans="4:6" x14ac:dyDescent="0.2">
      <c r="D620"/>
      <c r="F620"/>
    </row>
    <row r="621" spans="4:6" x14ac:dyDescent="0.2">
      <c r="D621"/>
      <c r="F621"/>
    </row>
    <row r="622" spans="4:6" x14ac:dyDescent="0.2">
      <c r="D622"/>
      <c r="F622"/>
    </row>
    <row r="623" spans="4:6" x14ac:dyDescent="0.2">
      <c r="D623"/>
      <c r="F623"/>
    </row>
    <row r="624" spans="4:6" x14ac:dyDescent="0.2">
      <c r="D624"/>
      <c r="F624"/>
    </row>
    <row r="625" spans="4:6" x14ac:dyDescent="0.2">
      <c r="D625"/>
      <c r="F625"/>
    </row>
    <row r="626" spans="4:6" x14ac:dyDescent="0.2">
      <c r="D626"/>
      <c r="F626"/>
    </row>
    <row r="627" spans="4:6" x14ac:dyDescent="0.2">
      <c r="D627"/>
      <c r="F627"/>
    </row>
    <row r="628" spans="4:6" x14ac:dyDescent="0.2">
      <c r="D628"/>
      <c r="F628"/>
    </row>
    <row r="629" spans="4:6" x14ac:dyDescent="0.2">
      <c r="D629"/>
      <c r="F629"/>
    </row>
    <row r="630" spans="4:6" x14ac:dyDescent="0.2">
      <c r="D630"/>
      <c r="F630"/>
    </row>
    <row r="631" spans="4:6" x14ac:dyDescent="0.2">
      <c r="D631"/>
      <c r="F631"/>
    </row>
    <row r="632" spans="4:6" x14ac:dyDescent="0.2">
      <c r="D632"/>
      <c r="F632"/>
    </row>
    <row r="633" spans="4:6" x14ac:dyDescent="0.2">
      <c r="D633"/>
      <c r="F633"/>
    </row>
    <row r="634" spans="4:6" x14ac:dyDescent="0.2">
      <c r="D634"/>
      <c r="F634"/>
    </row>
    <row r="635" spans="4:6" x14ac:dyDescent="0.2">
      <c r="D635"/>
      <c r="F635"/>
    </row>
    <row r="636" spans="4:6" x14ac:dyDescent="0.2">
      <c r="D636"/>
      <c r="F636"/>
    </row>
    <row r="637" spans="4:6" x14ac:dyDescent="0.2">
      <c r="D637"/>
      <c r="F637"/>
    </row>
    <row r="638" spans="4:6" x14ac:dyDescent="0.2">
      <c r="D638"/>
      <c r="F638"/>
    </row>
    <row r="639" spans="4:6" x14ac:dyDescent="0.2">
      <c r="D639"/>
      <c r="F639"/>
    </row>
    <row r="640" spans="4:6" x14ac:dyDescent="0.2">
      <c r="D640"/>
      <c r="F640"/>
    </row>
    <row r="641" spans="4:6" x14ac:dyDescent="0.2">
      <c r="D641"/>
      <c r="F641"/>
    </row>
    <row r="642" spans="4:6" x14ac:dyDescent="0.2">
      <c r="D642"/>
      <c r="F642"/>
    </row>
    <row r="643" spans="4:6" x14ac:dyDescent="0.2">
      <c r="D643"/>
      <c r="F643"/>
    </row>
    <row r="644" spans="4:6" x14ac:dyDescent="0.2">
      <c r="D644"/>
      <c r="F644"/>
    </row>
    <row r="645" spans="4:6" x14ac:dyDescent="0.2">
      <c r="D645"/>
      <c r="F645"/>
    </row>
    <row r="646" spans="4:6" x14ac:dyDescent="0.2">
      <c r="D646"/>
      <c r="F646"/>
    </row>
    <row r="647" spans="4:6" x14ac:dyDescent="0.2">
      <c r="D647"/>
      <c r="F647"/>
    </row>
    <row r="648" spans="4:6" x14ac:dyDescent="0.2">
      <c r="D648"/>
      <c r="F648"/>
    </row>
    <row r="649" spans="4:6" x14ac:dyDescent="0.2">
      <c r="D649"/>
      <c r="F649"/>
    </row>
    <row r="650" spans="4:6" x14ac:dyDescent="0.2">
      <c r="D650"/>
      <c r="F650"/>
    </row>
    <row r="651" spans="4:6" x14ac:dyDescent="0.2">
      <c r="D651"/>
      <c r="F651"/>
    </row>
    <row r="652" spans="4:6" x14ac:dyDescent="0.2">
      <c r="D652"/>
      <c r="F652"/>
    </row>
    <row r="653" spans="4:6" x14ac:dyDescent="0.2">
      <c r="D653"/>
      <c r="F653"/>
    </row>
    <row r="654" spans="4:6" x14ac:dyDescent="0.2">
      <c r="D654"/>
      <c r="F654"/>
    </row>
    <row r="655" spans="4:6" x14ac:dyDescent="0.2">
      <c r="D655"/>
      <c r="F655"/>
    </row>
    <row r="656" spans="4:6" x14ac:dyDescent="0.2">
      <c r="D656"/>
      <c r="F656"/>
    </row>
    <row r="657" spans="4:6" x14ac:dyDescent="0.2">
      <c r="D657"/>
      <c r="F657"/>
    </row>
    <row r="658" spans="4:6" x14ac:dyDescent="0.2">
      <c r="D658"/>
      <c r="F658"/>
    </row>
    <row r="659" spans="4:6" x14ac:dyDescent="0.2">
      <c r="D659"/>
      <c r="F659"/>
    </row>
    <row r="660" spans="4:6" x14ac:dyDescent="0.2">
      <c r="D660"/>
      <c r="F660"/>
    </row>
    <row r="661" spans="4:6" x14ac:dyDescent="0.2">
      <c r="D661"/>
      <c r="F661"/>
    </row>
    <row r="662" spans="4:6" x14ac:dyDescent="0.2">
      <c r="D662"/>
      <c r="F662"/>
    </row>
    <row r="663" spans="4:6" x14ac:dyDescent="0.2">
      <c r="D663"/>
      <c r="F663"/>
    </row>
    <row r="664" spans="4:6" x14ac:dyDescent="0.2">
      <c r="D664"/>
      <c r="F664"/>
    </row>
    <row r="665" spans="4:6" x14ac:dyDescent="0.2">
      <c r="D665"/>
      <c r="F665"/>
    </row>
    <row r="666" spans="4:6" x14ac:dyDescent="0.2">
      <c r="D666"/>
      <c r="F666"/>
    </row>
    <row r="667" spans="4:6" x14ac:dyDescent="0.2">
      <c r="D667"/>
      <c r="F667"/>
    </row>
    <row r="668" spans="4:6" x14ac:dyDescent="0.2">
      <c r="D668"/>
      <c r="F668"/>
    </row>
    <row r="669" spans="4:6" x14ac:dyDescent="0.2">
      <c r="D669"/>
      <c r="F669"/>
    </row>
    <row r="670" spans="4:6" x14ac:dyDescent="0.2">
      <c r="D670"/>
      <c r="F670"/>
    </row>
    <row r="671" spans="4:6" x14ac:dyDescent="0.2">
      <c r="D671"/>
      <c r="F671"/>
    </row>
    <row r="672" spans="4:6" x14ac:dyDescent="0.2">
      <c r="D672"/>
      <c r="F672"/>
    </row>
    <row r="673" spans="4:6" x14ac:dyDescent="0.2">
      <c r="D673"/>
      <c r="F673"/>
    </row>
    <row r="674" spans="4:6" x14ac:dyDescent="0.2">
      <c r="D674"/>
      <c r="F674"/>
    </row>
    <row r="675" spans="4:6" x14ac:dyDescent="0.2">
      <c r="D675"/>
      <c r="F675"/>
    </row>
    <row r="676" spans="4:6" x14ac:dyDescent="0.2">
      <c r="D676"/>
      <c r="F676"/>
    </row>
    <row r="677" spans="4:6" x14ac:dyDescent="0.2">
      <c r="D677"/>
      <c r="F677"/>
    </row>
    <row r="678" spans="4:6" x14ac:dyDescent="0.2">
      <c r="D678"/>
      <c r="F678"/>
    </row>
    <row r="679" spans="4:6" x14ac:dyDescent="0.2">
      <c r="D679"/>
      <c r="F679"/>
    </row>
    <row r="680" spans="4:6" x14ac:dyDescent="0.2">
      <c r="D680"/>
      <c r="F680"/>
    </row>
    <row r="681" spans="4:6" x14ac:dyDescent="0.2">
      <c r="D681"/>
      <c r="F681"/>
    </row>
    <row r="682" spans="4:6" x14ac:dyDescent="0.2">
      <c r="D682"/>
      <c r="F682"/>
    </row>
    <row r="683" spans="4:6" x14ac:dyDescent="0.2">
      <c r="D683"/>
      <c r="F683"/>
    </row>
    <row r="684" spans="4:6" x14ac:dyDescent="0.2">
      <c r="D684"/>
      <c r="F684"/>
    </row>
    <row r="685" spans="4:6" x14ac:dyDescent="0.2">
      <c r="D685"/>
      <c r="F685"/>
    </row>
    <row r="686" spans="4:6" x14ac:dyDescent="0.2">
      <c r="D686"/>
      <c r="F686"/>
    </row>
    <row r="687" spans="4:6" x14ac:dyDescent="0.2">
      <c r="D687"/>
      <c r="F687"/>
    </row>
    <row r="688" spans="4:6" x14ac:dyDescent="0.2">
      <c r="D688"/>
      <c r="F688"/>
    </row>
    <row r="689" spans="4:6" x14ac:dyDescent="0.2">
      <c r="D689"/>
      <c r="F689"/>
    </row>
    <row r="690" spans="4:6" x14ac:dyDescent="0.2">
      <c r="D690"/>
      <c r="F690"/>
    </row>
    <row r="691" spans="4:6" x14ac:dyDescent="0.2">
      <c r="D691"/>
      <c r="F691"/>
    </row>
    <row r="692" spans="4:6" x14ac:dyDescent="0.2">
      <c r="D692"/>
      <c r="F692"/>
    </row>
    <row r="693" spans="4:6" x14ac:dyDescent="0.2">
      <c r="D693"/>
      <c r="F693"/>
    </row>
    <row r="694" spans="4:6" x14ac:dyDescent="0.2">
      <c r="D694"/>
      <c r="F694"/>
    </row>
    <row r="695" spans="4:6" x14ac:dyDescent="0.2">
      <c r="D695"/>
      <c r="F695"/>
    </row>
    <row r="696" spans="4:6" x14ac:dyDescent="0.2">
      <c r="D696"/>
      <c r="F696"/>
    </row>
    <row r="697" spans="4:6" x14ac:dyDescent="0.2">
      <c r="D697"/>
      <c r="F697"/>
    </row>
    <row r="698" spans="4:6" x14ac:dyDescent="0.2">
      <c r="D698"/>
      <c r="F698"/>
    </row>
    <row r="699" spans="4:6" x14ac:dyDescent="0.2">
      <c r="D699"/>
      <c r="F699"/>
    </row>
    <row r="700" spans="4:6" x14ac:dyDescent="0.2">
      <c r="D700"/>
      <c r="F700"/>
    </row>
    <row r="701" spans="4:6" x14ac:dyDescent="0.2">
      <c r="D701"/>
      <c r="F701"/>
    </row>
    <row r="702" spans="4:6" x14ac:dyDescent="0.2">
      <c r="D702"/>
      <c r="F702"/>
    </row>
    <row r="703" spans="4:6" x14ac:dyDescent="0.2">
      <c r="D703"/>
      <c r="F703"/>
    </row>
    <row r="704" spans="4:6" x14ac:dyDescent="0.2">
      <c r="D704"/>
      <c r="F704"/>
    </row>
    <row r="705" spans="4:6" x14ac:dyDescent="0.2">
      <c r="D705"/>
      <c r="F705"/>
    </row>
    <row r="706" spans="4:6" x14ac:dyDescent="0.2">
      <c r="D706"/>
      <c r="F706"/>
    </row>
    <row r="707" spans="4:6" x14ac:dyDescent="0.2">
      <c r="D707"/>
      <c r="F707"/>
    </row>
    <row r="708" spans="4:6" x14ac:dyDescent="0.2">
      <c r="D708"/>
      <c r="F708"/>
    </row>
    <row r="709" spans="4:6" x14ac:dyDescent="0.2">
      <c r="D709"/>
      <c r="F709"/>
    </row>
    <row r="710" spans="4:6" x14ac:dyDescent="0.2">
      <c r="D710"/>
      <c r="F710"/>
    </row>
    <row r="711" spans="4:6" x14ac:dyDescent="0.2">
      <c r="D711"/>
      <c r="F711"/>
    </row>
    <row r="712" spans="4:6" x14ac:dyDescent="0.2">
      <c r="D712"/>
      <c r="F712"/>
    </row>
    <row r="713" spans="4:6" x14ac:dyDescent="0.2">
      <c r="D713"/>
      <c r="F713"/>
    </row>
    <row r="714" spans="4:6" x14ac:dyDescent="0.2">
      <c r="D714"/>
      <c r="F714"/>
    </row>
    <row r="715" spans="4:6" x14ac:dyDescent="0.2">
      <c r="D715"/>
      <c r="F715"/>
    </row>
    <row r="716" spans="4:6" x14ac:dyDescent="0.2">
      <c r="D716"/>
      <c r="F716"/>
    </row>
    <row r="717" spans="4:6" x14ac:dyDescent="0.2">
      <c r="D717"/>
      <c r="F717"/>
    </row>
    <row r="718" spans="4:6" x14ac:dyDescent="0.2">
      <c r="D718"/>
      <c r="F718"/>
    </row>
    <row r="719" spans="4:6" x14ac:dyDescent="0.2">
      <c r="D719"/>
      <c r="F719"/>
    </row>
    <row r="720" spans="4:6" x14ac:dyDescent="0.2">
      <c r="D720"/>
      <c r="F720"/>
    </row>
    <row r="721" spans="4:6" x14ac:dyDescent="0.2">
      <c r="D721"/>
      <c r="F721"/>
    </row>
    <row r="722" spans="4:6" x14ac:dyDescent="0.2">
      <c r="D722"/>
      <c r="F722"/>
    </row>
    <row r="723" spans="4:6" x14ac:dyDescent="0.2">
      <c r="D723"/>
      <c r="F723"/>
    </row>
    <row r="724" spans="4:6" x14ac:dyDescent="0.2">
      <c r="D724"/>
      <c r="F724"/>
    </row>
    <row r="725" spans="4:6" x14ac:dyDescent="0.2">
      <c r="D725"/>
      <c r="F725"/>
    </row>
    <row r="726" spans="4:6" x14ac:dyDescent="0.2">
      <c r="D726"/>
      <c r="F726"/>
    </row>
    <row r="727" spans="4:6" x14ac:dyDescent="0.2">
      <c r="D727"/>
      <c r="F727"/>
    </row>
    <row r="728" spans="4:6" x14ac:dyDescent="0.2">
      <c r="D728"/>
      <c r="F728"/>
    </row>
    <row r="729" spans="4:6" x14ac:dyDescent="0.2">
      <c r="D729"/>
      <c r="F729"/>
    </row>
    <row r="730" spans="4:6" x14ac:dyDescent="0.2">
      <c r="D730"/>
      <c r="F730"/>
    </row>
    <row r="731" spans="4:6" x14ac:dyDescent="0.2">
      <c r="D731"/>
      <c r="F731"/>
    </row>
    <row r="732" spans="4:6" x14ac:dyDescent="0.2">
      <c r="D732"/>
      <c r="F732"/>
    </row>
    <row r="733" spans="4:6" x14ac:dyDescent="0.2">
      <c r="D733"/>
      <c r="F733"/>
    </row>
    <row r="734" spans="4:6" x14ac:dyDescent="0.2">
      <c r="D734"/>
      <c r="F734"/>
    </row>
    <row r="735" spans="4:6" x14ac:dyDescent="0.2">
      <c r="D735"/>
      <c r="F735"/>
    </row>
    <row r="736" spans="4:6" x14ac:dyDescent="0.2">
      <c r="D736"/>
      <c r="F736"/>
    </row>
    <row r="737" spans="4:6" x14ac:dyDescent="0.2">
      <c r="D737"/>
      <c r="F737"/>
    </row>
    <row r="738" spans="4:6" x14ac:dyDescent="0.2">
      <c r="D738"/>
      <c r="F738"/>
    </row>
    <row r="739" spans="4:6" x14ac:dyDescent="0.2">
      <c r="D739"/>
      <c r="F739"/>
    </row>
    <row r="740" spans="4:6" x14ac:dyDescent="0.2">
      <c r="D740"/>
      <c r="F740"/>
    </row>
    <row r="741" spans="4:6" x14ac:dyDescent="0.2">
      <c r="D741"/>
      <c r="F741"/>
    </row>
    <row r="742" spans="4:6" x14ac:dyDescent="0.2">
      <c r="D742"/>
      <c r="F742"/>
    </row>
    <row r="743" spans="4:6" x14ac:dyDescent="0.2">
      <c r="D743"/>
      <c r="F743"/>
    </row>
    <row r="744" spans="4:6" x14ac:dyDescent="0.2">
      <c r="D744"/>
      <c r="F744"/>
    </row>
    <row r="745" spans="4:6" x14ac:dyDescent="0.2">
      <c r="D745"/>
      <c r="F745"/>
    </row>
    <row r="746" spans="4:6" x14ac:dyDescent="0.2">
      <c r="D746"/>
      <c r="F746"/>
    </row>
    <row r="747" spans="4:6" x14ac:dyDescent="0.2">
      <c r="D747"/>
      <c r="F747"/>
    </row>
    <row r="748" spans="4:6" x14ac:dyDescent="0.2">
      <c r="D748"/>
      <c r="F748"/>
    </row>
    <row r="749" spans="4:6" x14ac:dyDescent="0.2">
      <c r="D749"/>
      <c r="F749"/>
    </row>
    <row r="750" spans="4:6" x14ac:dyDescent="0.2">
      <c r="D750"/>
      <c r="F750"/>
    </row>
    <row r="751" spans="4:6" x14ac:dyDescent="0.2">
      <c r="D751"/>
      <c r="F751"/>
    </row>
    <row r="752" spans="4:6" x14ac:dyDescent="0.2">
      <c r="D752"/>
      <c r="F752"/>
    </row>
    <row r="753" spans="4:6" x14ac:dyDescent="0.2">
      <c r="D753"/>
      <c r="F753"/>
    </row>
    <row r="754" spans="4:6" x14ac:dyDescent="0.2">
      <c r="D754"/>
      <c r="F754"/>
    </row>
    <row r="755" spans="4:6" x14ac:dyDescent="0.2">
      <c r="D755"/>
      <c r="F755"/>
    </row>
    <row r="756" spans="4:6" x14ac:dyDescent="0.2">
      <c r="D756"/>
      <c r="F756"/>
    </row>
    <row r="757" spans="4:6" x14ac:dyDescent="0.2">
      <c r="D757"/>
      <c r="F757"/>
    </row>
    <row r="758" spans="4:6" x14ac:dyDescent="0.2">
      <c r="D758"/>
      <c r="F758"/>
    </row>
    <row r="759" spans="4:6" x14ac:dyDescent="0.2">
      <c r="D759"/>
      <c r="F759"/>
    </row>
    <row r="760" spans="4:6" x14ac:dyDescent="0.2">
      <c r="D760"/>
      <c r="F760"/>
    </row>
    <row r="761" spans="4:6" x14ac:dyDescent="0.2">
      <c r="D761"/>
      <c r="F761"/>
    </row>
    <row r="762" spans="4:6" x14ac:dyDescent="0.2">
      <c r="D762"/>
      <c r="F762"/>
    </row>
    <row r="763" spans="4:6" x14ac:dyDescent="0.2">
      <c r="D763"/>
      <c r="F763"/>
    </row>
    <row r="764" spans="4:6" x14ac:dyDescent="0.2">
      <c r="D764"/>
      <c r="F764"/>
    </row>
    <row r="765" spans="4:6" x14ac:dyDescent="0.2">
      <c r="D765"/>
      <c r="F765"/>
    </row>
    <row r="766" spans="4:6" x14ac:dyDescent="0.2">
      <c r="D766"/>
      <c r="F766"/>
    </row>
    <row r="767" spans="4:6" x14ac:dyDescent="0.2">
      <c r="D767"/>
      <c r="F767"/>
    </row>
    <row r="768" spans="4:6" x14ac:dyDescent="0.2">
      <c r="D768"/>
      <c r="F768"/>
    </row>
    <row r="769" spans="4:6" x14ac:dyDescent="0.2">
      <c r="D769"/>
      <c r="F769"/>
    </row>
    <row r="770" spans="4:6" x14ac:dyDescent="0.2">
      <c r="D770"/>
      <c r="F770"/>
    </row>
    <row r="771" spans="4:6" x14ac:dyDescent="0.2">
      <c r="D771"/>
      <c r="F771"/>
    </row>
    <row r="772" spans="4:6" x14ac:dyDescent="0.2">
      <c r="D772"/>
      <c r="F772"/>
    </row>
    <row r="773" spans="4:6" x14ac:dyDescent="0.2">
      <c r="D773"/>
      <c r="F773"/>
    </row>
    <row r="774" spans="4:6" x14ac:dyDescent="0.2">
      <c r="D774"/>
      <c r="F774"/>
    </row>
    <row r="775" spans="4:6" x14ac:dyDescent="0.2">
      <c r="D775"/>
      <c r="F775"/>
    </row>
    <row r="776" spans="4:6" x14ac:dyDescent="0.2">
      <c r="D776"/>
      <c r="F776"/>
    </row>
    <row r="777" spans="4:6" x14ac:dyDescent="0.2">
      <c r="D777"/>
      <c r="F777"/>
    </row>
    <row r="778" spans="4:6" x14ac:dyDescent="0.2">
      <c r="D778"/>
      <c r="F778"/>
    </row>
    <row r="779" spans="4:6" x14ac:dyDescent="0.2">
      <c r="D779"/>
      <c r="F779"/>
    </row>
    <row r="780" spans="4:6" x14ac:dyDescent="0.2">
      <c r="D780"/>
      <c r="F780"/>
    </row>
    <row r="781" spans="4:6" x14ac:dyDescent="0.2">
      <c r="D781"/>
      <c r="F781"/>
    </row>
    <row r="782" spans="4:6" x14ac:dyDescent="0.2">
      <c r="D782"/>
      <c r="F782"/>
    </row>
    <row r="783" spans="4:6" x14ac:dyDescent="0.2">
      <c r="D783"/>
      <c r="F783"/>
    </row>
    <row r="784" spans="4:6" x14ac:dyDescent="0.2">
      <c r="D784"/>
      <c r="F784"/>
    </row>
    <row r="785" spans="4:6" x14ac:dyDescent="0.2">
      <c r="D785"/>
      <c r="F785"/>
    </row>
    <row r="786" spans="4:6" x14ac:dyDescent="0.2">
      <c r="D786"/>
      <c r="F786"/>
    </row>
    <row r="787" spans="4:6" x14ac:dyDescent="0.2">
      <c r="D787"/>
      <c r="F787"/>
    </row>
    <row r="788" spans="4:6" x14ac:dyDescent="0.2">
      <c r="D788"/>
      <c r="F788"/>
    </row>
    <row r="789" spans="4:6" x14ac:dyDescent="0.2">
      <c r="D789"/>
      <c r="F789"/>
    </row>
    <row r="790" spans="4:6" x14ac:dyDescent="0.2">
      <c r="D790"/>
      <c r="F790"/>
    </row>
    <row r="791" spans="4:6" x14ac:dyDescent="0.2">
      <c r="D791"/>
      <c r="F791"/>
    </row>
    <row r="792" spans="4:6" x14ac:dyDescent="0.2">
      <c r="D792"/>
      <c r="F792"/>
    </row>
    <row r="793" spans="4:6" x14ac:dyDescent="0.2">
      <c r="D793"/>
      <c r="F793"/>
    </row>
    <row r="794" spans="4:6" x14ac:dyDescent="0.2">
      <c r="D794"/>
      <c r="F794"/>
    </row>
    <row r="795" spans="4:6" x14ac:dyDescent="0.2">
      <c r="D795"/>
      <c r="F795"/>
    </row>
    <row r="796" spans="4:6" x14ac:dyDescent="0.2">
      <c r="D796"/>
      <c r="F796"/>
    </row>
    <row r="797" spans="4:6" x14ac:dyDescent="0.2">
      <c r="D797"/>
      <c r="F797"/>
    </row>
    <row r="798" spans="4:6" x14ac:dyDescent="0.2">
      <c r="D798"/>
      <c r="F798"/>
    </row>
    <row r="799" spans="4:6" x14ac:dyDescent="0.2">
      <c r="D799"/>
      <c r="F799"/>
    </row>
    <row r="800" spans="4:6" x14ac:dyDescent="0.2">
      <c r="D800"/>
      <c r="F800"/>
    </row>
    <row r="801" spans="4:6" x14ac:dyDescent="0.2">
      <c r="D801"/>
      <c r="F801"/>
    </row>
    <row r="802" spans="4:6" x14ac:dyDescent="0.2">
      <c r="D802"/>
      <c r="F802"/>
    </row>
    <row r="803" spans="4:6" x14ac:dyDescent="0.2">
      <c r="D803"/>
      <c r="F803"/>
    </row>
    <row r="804" spans="4:6" x14ac:dyDescent="0.2">
      <c r="D804"/>
      <c r="F804"/>
    </row>
    <row r="805" spans="4:6" x14ac:dyDescent="0.2">
      <c r="D805"/>
      <c r="F805"/>
    </row>
    <row r="806" spans="4:6" x14ac:dyDescent="0.2">
      <c r="D806"/>
      <c r="F806"/>
    </row>
    <row r="807" spans="4:6" x14ac:dyDescent="0.2">
      <c r="D807"/>
      <c r="F807"/>
    </row>
    <row r="808" spans="4:6" x14ac:dyDescent="0.2">
      <c r="D808"/>
      <c r="F808"/>
    </row>
    <row r="809" spans="4:6" x14ac:dyDescent="0.2">
      <c r="D809"/>
      <c r="F809"/>
    </row>
    <row r="810" spans="4:6" x14ac:dyDescent="0.2">
      <c r="D810"/>
      <c r="F810"/>
    </row>
    <row r="811" spans="4:6" x14ac:dyDescent="0.2">
      <c r="D811"/>
      <c r="F811"/>
    </row>
    <row r="812" spans="4:6" x14ac:dyDescent="0.2">
      <c r="D812"/>
      <c r="F812"/>
    </row>
    <row r="813" spans="4:6" x14ac:dyDescent="0.2">
      <c r="D813"/>
      <c r="F813"/>
    </row>
    <row r="814" spans="4:6" x14ac:dyDescent="0.2">
      <c r="D814"/>
      <c r="F814"/>
    </row>
    <row r="815" spans="4:6" x14ac:dyDescent="0.2">
      <c r="D815"/>
      <c r="F815"/>
    </row>
    <row r="816" spans="4:6" x14ac:dyDescent="0.2">
      <c r="D816"/>
      <c r="F816"/>
    </row>
    <row r="817" spans="4:6" x14ac:dyDescent="0.2">
      <c r="D817"/>
      <c r="F817"/>
    </row>
    <row r="818" spans="4:6" x14ac:dyDescent="0.2">
      <c r="D818"/>
      <c r="F818"/>
    </row>
    <row r="819" spans="4:6" x14ac:dyDescent="0.2">
      <c r="D819"/>
      <c r="F819"/>
    </row>
    <row r="820" spans="4:6" x14ac:dyDescent="0.2">
      <c r="D820"/>
      <c r="F820"/>
    </row>
    <row r="821" spans="4:6" x14ac:dyDescent="0.2">
      <c r="D821"/>
      <c r="F821"/>
    </row>
    <row r="822" spans="4:6" x14ac:dyDescent="0.2">
      <c r="D822"/>
      <c r="F822"/>
    </row>
    <row r="823" spans="4:6" x14ac:dyDescent="0.2">
      <c r="D823"/>
      <c r="F823"/>
    </row>
    <row r="824" spans="4:6" x14ac:dyDescent="0.2">
      <c r="D824"/>
      <c r="F824"/>
    </row>
    <row r="825" spans="4:6" x14ac:dyDescent="0.2">
      <c r="D825"/>
      <c r="F825"/>
    </row>
    <row r="826" spans="4:6" x14ac:dyDescent="0.2">
      <c r="D826"/>
      <c r="F826"/>
    </row>
    <row r="827" spans="4:6" x14ac:dyDescent="0.2">
      <c r="D827"/>
      <c r="F827"/>
    </row>
    <row r="828" spans="4:6" x14ac:dyDescent="0.2">
      <c r="D828"/>
      <c r="F828"/>
    </row>
    <row r="829" spans="4:6" x14ac:dyDescent="0.2">
      <c r="D829"/>
      <c r="F829"/>
    </row>
    <row r="830" spans="4:6" x14ac:dyDescent="0.2">
      <c r="D830"/>
      <c r="F830"/>
    </row>
    <row r="831" spans="4:6" x14ac:dyDescent="0.2">
      <c r="D831"/>
      <c r="F831"/>
    </row>
    <row r="832" spans="4:6" x14ac:dyDescent="0.2">
      <c r="D832"/>
      <c r="F832"/>
    </row>
    <row r="833" spans="4:6" x14ac:dyDescent="0.2">
      <c r="D833"/>
      <c r="F833"/>
    </row>
    <row r="834" spans="4:6" x14ac:dyDescent="0.2">
      <c r="D834"/>
      <c r="F834"/>
    </row>
    <row r="835" spans="4:6" x14ac:dyDescent="0.2">
      <c r="D835"/>
      <c r="F835"/>
    </row>
    <row r="836" spans="4:6" x14ac:dyDescent="0.2">
      <c r="D836"/>
      <c r="F836"/>
    </row>
    <row r="837" spans="4:6" x14ac:dyDescent="0.2">
      <c r="D837"/>
      <c r="F837"/>
    </row>
    <row r="838" spans="4:6" x14ac:dyDescent="0.2">
      <c r="D838"/>
      <c r="F838"/>
    </row>
    <row r="839" spans="4:6" x14ac:dyDescent="0.2">
      <c r="D839"/>
      <c r="F839"/>
    </row>
    <row r="840" spans="4:6" x14ac:dyDescent="0.2">
      <c r="D840"/>
      <c r="F840"/>
    </row>
    <row r="841" spans="4:6" x14ac:dyDescent="0.2">
      <c r="D841"/>
      <c r="F841"/>
    </row>
    <row r="842" spans="4:6" x14ac:dyDescent="0.2">
      <c r="D842"/>
      <c r="F842"/>
    </row>
    <row r="843" spans="4:6" x14ac:dyDescent="0.2">
      <c r="D843"/>
      <c r="F843"/>
    </row>
    <row r="844" spans="4:6" x14ac:dyDescent="0.2">
      <c r="D844"/>
      <c r="F844"/>
    </row>
    <row r="845" spans="4:6" x14ac:dyDescent="0.2">
      <c r="D845"/>
      <c r="F845"/>
    </row>
    <row r="846" spans="4:6" x14ac:dyDescent="0.2">
      <c r="D846"/>
      <c r="F846"/>
    </row>
    <row r="847" spans="4:6" x14ac:dyDescent="0.2">
      <c r="D847"/>
      <c r="F847"/>
    </row>
    <row r="848" spans="4:6" x14ac:dyDescent="0.2">
      <c r="D848"/>
      <c r="F848"/>
    </row>
    <row r="849" spans="4:6" x14ac:dyDescent="0.2">
      <c r="D849"/>
      <c r="F849"/>
    </row>
    <row r="850" spans="4:6" x14ac:dyDescent="0.2">
      <c r="D850"/>
      <c r="F850"/>
    </row>
    <row r="851" spans="4:6" x14ac:dyDescent="0.2">
      <c r="D851"/>
      <c r="F851"/>
    </row>
    <row r="852" spans="4:6" x14ac:dyDescent="0.2">
      <c r="D852"/>
      <c r="F852"/>
    </row>
    <row r="853" spans="4:6" x14ac:dyDescent="0.2">
      <c r="D853"/>
      <c r="F853"/>
    </row>
    <row r="854" spans="4:6" x14ac:dyDescent="0.2">
      <c r="D854"/>
      <c r="F854"/>
    </row>
    <row r="855" spans="4:6" x14ac:dyDescent="0.2">
      <c r="D855"/>
      <c r="F855"/>
    </row>
    <row r="856" spans="4:6" x14ac:dyDescent="0.2">
      <c r="D856"/>
      <c r="F856"/>
    </row>
    <row r="857" spans="4:6" x14ac:dyDescent="0.2">
      <c r="D857"/>
      <c r="F857"/>
    </row>
    <row r="858" spans="4:6" x14ac:dyDescent="0.2">
      <c r="D858"/>
      <c r="F858"/>
    </row>
    <row r="859" spans="4:6" x14ac:dyDescent="0.2">
      <c r="D859"/>
      <c r="F859"/>
    </row>
    <row r="860" spans="4:6" x14ac:dyDescent="0.2">
      <c r="D860"/>
      <c r="F860"/>
    </row>
    <row r="861" spans="4:6" x14ac:dyDescent="0.2">
      <c r="D861"/>
      <c r="F861"/>
    </row>
    <row r="862" spans="4:6" x14ac:dyDescent="0.2">
      <c r="D862"/>
      <c r="F862"/>
    </row>
    <row r="863" spans="4:6" x14ac:dyDescent="0.2">
      <c r="D863"/>
      <c r="F863"/>
    </row>
    <row r="864" spans="4:6" x14ac:dyDescent="0.2">
      <c r="D864"/>
      <c r="F864"/>
    </row>
    <row r="865" spans="4:6" x14ac:dyDescent="0.2">
      <c r="D865"/>
      <c r="F865"/>
    </row>
    <row r="866" spans="4:6" x14ac:dyDescent="0.2">
      <c r="D866"/>
      <c r="F866"/>
    </row>
    <row r="867" spans="4:6" x14ac:dyDescent="0.2">
      <c r="D867"/>
      <c r="F867"/>
    </row>
    <row r="868" spans="4:6" x14ac:dyDescent="0.2">
      <c r="D868"/>
      <c r="F868"/>
    </row>
    <row r="869" spans="4:6" x14ac:dyDescent="0.2">
      <c r="D869"/>
      <c r="F869"/>
    </row>
    <row r="870" spans="4:6" x14ac:dyDescent="0.2">
      <c r="D870"/>
      <c r="F870"/>
    </row>
    <row r="871" spans="4:6" x14ac:dyDescent="0.2">
      <c r="D871"/>
      <c r="F871"/>
    </row>
    <row r="872" spans="4:6" x14ac:dyDescent="0.2">
      <c r="D872"/>
      <c r="F872"/>
    </row>
    <row r="873" spans="4:6" x14ac:dyDescent="0.2">
      <c r="D873"/>
      <c r="F873"/>
    </row>
    <row r="874" spans="4:6" x14ac:dyDescent="0.2">
      <c r="D874"/>
      <c r="F874"/>
    </row>
    <row r="875" spans="4:6" x14ac:dyDescent="0.2">
      <c r="D875"/>
      <c r="F875"/>
    </row>
    <row r="876" spans="4:6" x14ac:dyDescent="0.2">
      <c r="D876"/>
      <c r="F876"/>
    </row>
    <row r="877" spans="4:6" x14ac:dyDescent="0.2">
      <c r="D877"/>
      <c r="F877"/>
    </row>
    <row r="878" spans="4:6" x14ac:dyDescent="0.2">
      <c r="D878"/>
      <c r="F878"/>
    </row>
    <row r="879" spans="4:6" x14ac:dyDescent="0.2">
      <c r="D879"/>
      <c r="F879"/>
    </row>
    <row r="880" spans="4:6" x14ac:dyDescent="0.2">
      <c r="D880"/>
      <c r="F880"/>
    </row>
    <row r="881" spans="4:6" x14ac:dyDescent="0.2">
      <c r="D881"/>
      <c r="F881"/>
    </row>
    <row r="882" spans="4:6" x14ac:dyDescent="0.2">
      <c r="D882"/>
      <c r="F882"/>
    </row>
    <row r="883" spans="4:6" x14ac:dyDescent="0.2">
      <c r="D883"/>
      <c r="F883"/>
    </row>
    <row r="884" spans="4:6" x14ac:dyDescent="0.2">
      <c r="D884"/>
      <c r="F884"/>
    </row>
    <row r="885" spans="4:6" x14ac:dyDescent="0.2">
      <c r="D885"/>
      <c r="F885"/>
    </row>
    <row r="886" spans="4:6" x14ac:dyDescent="0.2">
      <c r="D886"/>
      <c r="F886"/>
    </row>
    <row r="887" spans="4:6" x14ac:dyDescent="0.2">
      <c r="D887"/>
      <c r="F887"/>
    </row>
    <row r="888" spans="4:6" x14ac:dyDescent="0.2">
      <c r="D888"/>
      <c r="F888"/>
    </row>
    <row r="889" spans="4:6" x14ac:dyDescent="0.2">
      <c r="D889"/>
      <c r="F889"/>
    </row>
    <row r="890" spans="4:6" x14ac:dyDescent="0.2">
      <c r="D890"/>
      <c r="F890"/>
    </row>
    <row r="891" spans="4:6" x14ac:dyDescent="0.2">
      <c r="D891"/>
      <c r="F891"/>
    </row>
    <row r="892" spans="4:6" x14ac:dyDescent="0.2">
      <c r="D892"/>
      <c r="F892"/>
    </row>
    <row r="893" spans="4:6" x14ac:dyDescent="0.2">
      <c r="D893"/>
      <c r="F893"/>
    </row>
    <row r="894" spans="4:6" x14ac:dyDescent="0.2">
      <c r="D894"/>
      <c r="F894"/>
    </row>
    <row r="895" spans="4:6" x14ac:dyDescent="0.2">
      <c r="D895"/>
      <c r="F895"/>
    </row>
    <row r="896" spans="4:6" x14ac:dyDescent="0.2">
      <c r="D896"/>
      <c r="F896"/>
    </row>
    <row r="897" spans="4:6" x14ac:dyDescent="0.2">
      <c r="D897"/>
      <c r="F897"/>
    </row>
    <row r="898" spans="4:6" x14ac:dyDescent="0.2">
      <c r="D898"/>
      <c r="F898"/>
    </row>
    <row r="899" spans="4:6" x14ac:dyDescent="0.2">
      <c r="D899"/>
      <c r="F899"/>
    </row>
    <row r="900" spans="4:6" x14ac:dyDescent="0.2">
      <c r="D900"/>
      <c r="F900"/>
    </row>
    <row r="901" spans="4:6" x14ac:dyDescent="0.2">
      <c r="D901"/>
      <c r="F901"/>
    </row>
    <row r="902" spans="4:6" x14ac:dyDescent="0.2">
      <c r="D902"/>
      <c r="F902"/>
    </row>
    <row r="903" spans="4:6" x14ac:dyDescent="0.2">
      <c r="D903"/>
      <c r="F903"/>
    </row>
    <row r="904" spans="4:6" x14ac:dyDescent="0.2">
      <c r="D904"/>
      <c r="F904"/>
    </row>
    <row r="905" spans="4:6" x14ac:dyDescent="0.2">
      <c r="D905"/>
      <c r="F905"/>
    </row>
    <row r="906" spans="4:6" x14ac:dyDescent="0.2">
      <c r="D906"/>
      <c r="F906"/>
    </row>
    <row r="907" spans="4:6" x14ac:dyDescent="0.2">
      <c r="D907"/>
      <c r="F907"/>
    </row>
    <row r="908" spans="4:6" x14ac:dyDescent="0.2">
      <c r="D908"/>
      <c r="F908"/>
    </row>
    <row r="909" spans="4:6" x14ac:dyDescent="0.2">
      <c r="D909"/>
      <c r="F909"/>
    </row>
    <row r="910" spans="4:6" x14ac:dyDescent="0.2">
      <c r="D910"/>
      <c r="F910"/>
    </row>
    <row r="911" spans="4:6" x14ac:dyDescent="0.2">
      <c r="D911"/>
      <c r="F911"/>
    </row>
    <row r="912" spans="4:6" x14ac:dyDescent="0.2">
      <c r="D912"/>
      <c r="F912"/>
    </row>
    <row r="913" spans="4:6" x14ac:dyDescent="0.2">
      <c r="D913"/>
      <c r="F913"/>
    </row>
    <row r="914" spans="4:6" x14ac:dyDescent="0.2">
      <c r="D914"/>
      <c r="F914"/>
    </row>
    <row r="915" spans="4:6" x14ac:dyDescent="0.2">
      <c r="D915"/>
      <c r="F915"/>
    </row>
    <row r="916" spans="4:6" x14ac:dyDescent="0.2">
      <c r="D916"/>
      <c r="F916"/>
    </row>
    <row r="917" spans="4:6" x14ac:dyDescent="0.2">
      <c r="D917"/>
      <c r="F917"/>
    </row>
    <row r="918" spans="4:6" x14ac:dyDescent="0.2">
      <c r="D918"/>
      <c r="F918"/>
    </row>
    <row r="919" spans="4:6" x14ac:dyDescent="0.2">
      <c r="D919"/>
      <c r="F919"/>
    </row>
    <row r="920" spans="4:6" x14ac:dyDescent="0.2">
      <c r="D920"/>
      <c r="F920"/>
    </row>
    <row r="921" spans="4:6" x14ac:dyDescent="0.2">
      <c r="D921"/>
      <c r="F921"/>
    </row>
    <row r="922" spans="4:6" x14ac:dyDescent="0.2">
      <c r="D922"/>
      <c r="F922"/>
    </row>
    <row r="923" spans="4:6" x14ac:dyDescent="0.2">
      <c r="D923"/>
      <c r="F923"/>
    </row>
    <row r="924" spans="4:6" x14ac:dyDescent="0.2">
      <c r="D924"/>
      <c r="F924"/>
    </row>
    <row r="925" spans="4:6" x14ac:dyDescent="0.2">
      <c r="D925"/>
      <c r="F925"/>
    </row>
    <row r="926" spans="4:6" x14ac:dyDescent="0.2">
      <c r="D926"/>
      <c r="F926"/>
    </row>
    <row r="927" spans="4:6" x14ac:dyDescent="0.2">
      <c r="D927"/>
      <c r="F927"/>
    </row>
    <row r="928" spans="4:6" x14ac:dyDescent="0.2">
      <c r="D928"/>
      <c r="F928"/>
    </row>
    <row r="929" spans="4:6" x14ac:dyDescent="0.2">
      <c r="D929"/>
      <c r="F929"/>
    </row>
    <row r="930" spans="4:6" x14ac:dyDescent="0.2">
      <c r="D930"/>
      <c r="F930"/>
    </row>
    <row r="931" spans="4:6" x14ac:dyDescent="0.2">
      <c r="D931"/>
      <c r="F931"/>
    </row>
    <row r="932" spans="4:6" x14ac:dyDescent="0.2">
      <c r="D932"/>
      <c r="F932"/>
    </row>
    <row r="933" spans="4:6" x14ac:dyDescent="0.2">
      <c r="D933"/>
      <c r="F933"/>
    </row>
    <row r="934" spans="4:6" x14ac:dyDescent="0.2">
      <c r="D934"/>
      <c r="F934"/>
    </row>
    <row r="935" spans="4:6" x14ac:dyDescent="0.2">
      <c r="D935"/>
      <c r="F935"/>
    </row>
    <row r="936" spans="4:6" x14ac:dyDescent="0.2">
      <c r="D936"/>
      <c r="F936"/>
    </row>
    <row r="937" spans="4:6" x14ac:dyDescent="0.2">
      <c r="D937"/>
      <c r="F937"/>
    </row>
    <row r="938" spans="4:6" x14ac:dyDescent="0.2">
      <c r="D938"/>
      <c r="F938"/>
    </row>
    <row r="939" spans="4:6" x14ac:dyDescent="0.2">
      <c r="D939"/>
      <c r="F939"/>
    </row>
    <row r="940" spans="4:6" x14ac:dyDescent="0.2">
      <c r="D940"/>
      <c r="F940"/>
    </row>
    <row r="941" spans="4:6" x14ac:dyDescent="0.2">
      <c r="D941"/>
      <c r="F941"/>
    </row>
    <row r="942" spans="4:6" x14ac:dyDescent="0.2">
      <c r="D942"/>
      <c r="F942"/>
    </row>
    <row r="943" spans="4:6" x14ac:dyDescent="0.2">
      <c r="D943"/>
      <c r="F943"/>
    </row>
    <row r="944" spans="4:6" x14ac:dyDescent="0.2">
      <c r="D944"/>
      <c r="F944"/>
    </row>
    <row r="945" spans="4:6" x14ac:dyDescent="0.2">
      <c r="D945"/>
      <c r="F945"/>
    </row>
    <row r="946" spans="4:6" x14ac:dyDescent="0.2">
      <c r="D946"/>
      <c r="F946"/>
    </row>
    <row r="947" spans="4:6" x14ac:dyDescent="0.2">
      <c r="D947"/>
      <c r="F947"/>
    </row>
    <row r="948" spans="4:6" x14ac:dyDescent="0.2">
      <c r="D948"/>
      <c r="F948"/>
    </row>
    <row r="949" spans="4:6" x14ac:dyDescent="0.2">
      <c r="D949"/>
      <c r="F949"/>
    </row>
    <row r="950" spans="4:6" x14ac:dyDescent="0.2">
      <c r="D950"/>
      <c r="F950"/>
    </row>
    <row r="951" spans="4:6" x14ac:dyDescent="0.2">
      <c r="D951"/>
      <c r="F951"/>
    </row>
    <row r="952" spans="4:6" x14ac:dyDescent="0.2">
      <c r="D952"/>
      <c r="F952"/>
    </row>
    <row r="953" spans="4:6" x14ac:dyDescent="0.2">
      <c r="D953"/>
      <c r="F953"/>
    </row>
    <row r="954" spans="4:6" x14ac:dyDescent="0.2">
      <c r="D954"/>
      <c r="F954"/>
    </row>
    <row r="955" spans="4:6" x14ac:dyDescent="0.2">
      <c r="D955"/>
      <c r="F955"/>
    </row>
    <row r="956" spans="4:6" x14ac:dyDescent="0.2">
      <c r="D956"/>
      <c r="F956"/>
    </row>
    <row r="957" spans="4:6" x14ac:dyDescent="0.2">
      <c r="D957"/>
      <c r="F957"/>
    </row>
    <row r="958" spans="4:6" x14ac:dyDescent="0.2">
      <c r="D958"/>
      <c r="F958"/>
    </row>
    <row r="959" spans="4:6" x14ac:dyDescent="0.2">
      <c r="D959"/>
      <c r="F959"/>
    </row>
    <row r="960" spans="4:6" x14ac:dyDescent="0.2">
      <c r="D960"/>
      <c r="F960"/>
    </row>
    <row r="961" spans="4:6" x14ac:dyDescent="0.2">
      <c r="D961"/>
      <c r="F961"/>
    </row>
    <row r="962" spans="4:6" x14ac:dyDescent="0.2">
      <c r="D962"/>
      <c r="F962"/>
    </row>
    <row r="963" spans="4:6" x14ac:dyDescent="0.2">
      <c r="D963"/>
      <c r="F963"/>
    </row>
    <row r="964" spans="4:6" x14ac:dyDescent="0.2">
      <c r="D964"/>
      <c r="F964"/>
    </row>
    <row r="965" spans="4:6" x14ac:dyDescent="0.2">
      <c r="D965"/>
      <c r="F965"/>
    </row>
    <row r="966" spans="4:6" x14ac:dyDescent="0.2">
      <c r="D966"/>
      <c r="F966"/>
    </row>
    <row r="967" spans="4:6" x14ac:dyDescent="0.2">
      <c r="D967"/>
      <c r="F967"/>
    </row>
    <row r="968" spans="4:6" x14ac:dyDescent="0.2">
      <c r="D968"/>
      <c r="F968"/>
    </row>
    <row r="969" spans="4:6" x14ac:dyDescent="0.2">
      <c r="D969"/>
      <c r="F969"/>
    </row>
    <row r="970" spans="4:6" x14ac:dyDescent="0.2">
      <c r="D970"/>
      <c r="F970"/>
    </row>
    <row r="971" spans="4:6" x14ac:dyDescent="0.2">
      <c r="D971"/>
      <c r="F971"/>
    </row>
    <row r="972" spans="4:6" x14ac:dyDescent="0.2">
      <c r="D972"/>
      <c r="F972"/>
    </row>
    <row r="973" spans="4:6" x14ac:dyDescent="0.2">
      <c r="D973"/>
      <c r="F973"/>
    </row>
    <row r="974" spans="4:6" x14ac:dyDescent="0.2">
      <c r="D974"/>
      <c r="F974"/>
    </row>
    <row r="975" spans="4:6" x14ac:dyDescent="0.2">
      <c r="D975"/>
      <c r="F975"/>
    </row>
    <row r="976" spans="4:6" x14ac:dyDescent="0.2">
      <c r="D976"/>
      <c r="F976"/>
    </row>
    <row r="977" spans="4:6" x14ac:dyDescent="0.2">
      <c r="D977"/>
      <c r="F977"/>
    </row>
    <row r="978" spans="4:6" x14ac:dyDescent="0.2">
      <c r="D978"/>
      <c r="F978"/>
    </row>
    <row r="979" spans="4:6" x14ac:dyDescent="0.2">
      <c r="D979"/>
      <c r="F979"/>
    </row>
    <row r="980" spans="4:6" x14ac:dyDescent="0.2">
      <c r="D980"/>
      <c r="F980"/>
    </row>
    <row r="981" spans="4:6" x14ac:dyDescent="0.2">
      <c r="D981"/>
      <c r="F981"/>
    </row>
    <row r="982" spans="4:6" x14ac:dyDescent="0.2">
      <c r="D982"/>
      <c r="F982"/>
    </row>
    <row r="983" spans="4:6" x14ac:dyDescent="0.2">
      <c r="D983"/>
      <c r="F983"/>
    </row>
    <row r="984" spans="4:6" x14ac:dyDescent="0.2">
      <c r="D984"/>
      <c r="F984"/>
    </row>
    <row r="985" spans="4:6" x14ac:dyDescent="0.2">
      <c r="D985"/>
      <c r="F985"/>
    </row>
    <row r="986" spans="4:6" x14ac:dyDescent="0.2">
      <c r="D986"/>
      <c r="F986"/>
    </row>
    <row r="987" spans="4:6" x14ac:dyDescent="0.2">
      <c r="D987"/>
      <c r="F987"/>
    </row>
    <row r="988" spans="4:6" x14ac:dyDescent="0.2">
      <c r="D988"/>
      <c r="F988"/>
    </row>
    <row r="989" spans="4:6" x14ac:dyDescent="0.2">
      <c r="D989"/>
      <c r="F989"/>
    </row>
    <row r="990" spans="4:6" x14ac:dyDescent="0.2">
      <c r="D990"/>
      <c r="F990"/>
    </row>
    <row r="991" spans="4:6" x14ac:dyDescent="0.2">
      <c r="D991"/>
      <c r="F991"/>
    </row>
    <row r="992" spans="4:6" x14ac:dyDescent="0.2">
      <c r="D992"/>
      <c r="F992" s="1023"/>
    </row>
    <row r="993" spans="4:6" x14ac:dyDescent="0.2">
      <c r="D993"/>
      <c r="F993" s="1023"/>
    </row>
    <row r="994" spans="4:6" x14ac:dyDescent="0.2">
      <c r="D994"/>
      <c r="F994" s="1023"/>
    </row>
    <row r="995" spans="4:6" x14ac:dyDescent="0.2">
      <c r="D995"/>
      <c r="F995" s="1023"/>
    </row>
    <row r="996" spans="4:6" x14ac:dyDescent="0.2">
      <c r="D996"/>
      <c r="F996" s="1023"/>
    </row>
    <row r="997" spans="4:6" x14ac:dyDescent="0.2">
      <c r="D997"/>
      <c r="F997" s="1023"/>
    </row>
    <row r="998" spans="4:6" x14ac:dyDescent="0.2">
      <c r="D998"/>
      <c r="F998" s="1023"/>
    </row>
    <row r="999" spans="4:6" x14ac:dyDescent="0.2">
      <c r="D999"/>
      <c r="F999" s="1023"/>
    </row>
    <row r="1000" spans="4:6" x14ac:dyDescent="0.2">
      <c r="D1000"/>
      <c r="F1000" s="1023"/>
    </row>
    <row r="1001" spans="4:6" x14ac:dyDescent="0.2">
      <c r="D1001"/>
      <c r="F1001" s="1023"/>
    </row>
    <row r="1002" spans="4:6" x14ac:dyDescent="0.2">
      <c r="D1002"/>
      <c r="F1002"/>
    </row>
    <row r="1003" spans="4:6" x14ac:dyDescent="0.2">
      <c r="D1003"/>
      <c r="F1003" s="1023"/>
    </row>
    <row r="1004" spans="4:6" x14ac:dyDescent="0.2">
      <c r="D1004"/>
      <c r="F1004" s="1023"/>
    </row>
    <row r="1005" spans="4:6" x14ac:dyDescent="0.2">
      <c r="D1005"/>
      <c r="F1005"/>
    </row>
    <row r="1006" spans="4:6" x14ac:dyDescent="0.2">
      <c r="D1006"/>
      <c r="F1006" s="1023"/>
    </row>
    <row r="1007" spans="4:6" x14ac:dyDescent="0.2">
      <c r="D1007"/>
      <c r="F1007" s="1023"/>
    </row>
    <row r="1008" spans="4:6" x14ac:dyDescent="0.2">
      <c r="D1008"/>
      <c r="F1008" s="1023"/>
    </row>
    <row r="1009" spans="4:6" x14ac:dyDescent="0.2">
      <c r="D1009"/>
      <c r="F1009" s="1023"/>
    </row>
    <row r="1010" spans="4:6" x14ac:dyDescent="0.2">
      <c r="D1010"/>
      <c r="F1010"/>
    </row>
    <row r="1011" spans="4:6" x14ac:dyDescent="0.2">
      <c r="D1011"/>
      <c r="F1011" s="1023"/>
    </row>
    <row r="1012" spans="4:6" x14ac:dyDescent="0.2">
      <c r="D1012"/>
      <c r="F1012"/>
    </row>
    <row r="1013" spans="4:6" x14ac:dyDescent="0.2">
      <c r="D1013"/>
      <c r="F1013" s="1023"/>
    </row>
    <row r="1014" spans="4:6" x14ac:dyDescent="0.2">
      <c r="D1014"/>
      <c r="F1014" s="1023"/>
    </row>
    <row r="1015" spans="4:6" x14ac:dyDescent="0.2">
      <c r="D1015"/>
      <c r="F1015"/>
    </row>
    <row r="1016" spans="4:6" x14ac:dyDescent="0.2">
      <c r="D1016"/>
      <c r="F1016"/>
    </row>
    <row r="1017" spans="4:6" x14ac:dyDescent="0.2">
      <c r="D1017"/>
      <c r="F1017"/>
    </row>
    <row r="1018" spans="4:6" x14ac:dyDescent="0.2">
      <c r="D1018"/>
      <c r="F1018"/>
    </row>
    <row r="1019" spans="4:6" x14ac:dyDescent="0.2">
      <c r="D1019"/>
      <c r="F1019"/>
    </row>
    <row r="1020" spans="4:6" x14ac:dyDescent="0.2">
      <c r="D1020"/>
      <c r="F1020"/>
    </row>
    <row r="1021" spans="4:6" x14ac:dyDescent="0.2">
      <c r="D1021"/>
      <c r="F1021"/>
    </row>
    <row r="1022" spans="4:6" x14ac:dyDescent="0.2">
      <c r="D1022"/>
      <c r="F1022"/>
    </row>
    <row r="1023" spans="4:6" x14ac:dyDescent="0.2">
      <c r="D1023"/>
      <c r="F1023"/>
    </row>
    <row r="1024" spans="4:6" x14ac:dyDescent="0.2">
      <c r="D1024"/>
      <c r="F1024"/>
    </row>
    <row r="1025" spans="4:6" x14ac:dyDescent="0.2">
      <c r="D1025"/>
      <c r="F1025"/>
    </row>
    <row r="1026" spans="4:6" x14ac:dyDescent="0.2">
      <c r="D1026"/>
      <c r="F1026"/>
    </row>
    <row r="1027" spans="4:6" x14ac:dyDescent="0.2">
      <c r="D1027"/>
      <c r="F1027"/>
    </row>
    <row r="1028" spans="4:6" x14ac:dyDescent="0.2">
      <c r="D1028"/>
      <c r="F1028"/>
    </row>
    <row r="1029" spans="4:6" x14ac:dyDescent="0.2">
      <c r="D1029"/>
      <c r="F1029"/>
    </row>
    <row r="1030" spans="4:6" x14ac:dyDescent="0.2">
      <c r="D1030"/>
      <c r="F1030"/>
    </row>
    <row r="1031" spans="4:6" x14ac:dyDescent="0.2">
      <c r="D1031"/>
      <c r="F1031"/>
    </row>
    <row r="1032" spans="4:6" x14ac:dyDescent="0.2">
      <c r="D1032"/>
      <c r="F1032"/>
    </row>
    <row r="1033" spans="4:6" x14ac:dyDescent="0.2">
      <c r="D1033"/>
      <c r="F1033"/>
    </row>
    <row r="1034" spans="4:6" x14ac:dyDescent="0.2">
      <c r="D1034"/>
      <c r="F1034"/>
    </row>
    <row r="1035" spans="4:6" x14ac:dyDescent="0.2">
      <c r="D1035"/>
      <c r="F1035"/>
    </row>
    <row r="1036" spans="4:6" x14ac:dyDescent="0.2">
      <c r="D1036"/>
      <c r="F1036"/>
    </row>
    <row r="1037" spans="4:6" x14ac:dyDescent="0.2">
      <c r="D1037"/>
      <c r="F1037"/>
    </row>
    <row r="1038" spans="4:6" x14ac:dyDescent="0.2">
      <c r="D1038"/>
      <c r="F1038"/>
    </row>
    <row r="1039" spans="4:6" x14ac:dyDescent="0.2">
      <c r="D1039"/>
      <c r="F1039"/>
    </row>
    <row r="1040" spans="4:6" x14ac:dyDescent="0.2">
      <c r="D1040"/>
      <c r="F1040"/>
    </row>
    <row r="1041" spans="4:6" x14ac:dyDescent="0.2">
      <c r="D1041"/>
      <c r="F1041"/>
    </row>
    <row r="1042" spans="4:6" x14ac:dyDescent="0.2">
      <c r="D1042"/>
      <c r="F1042"/>
    </row>
    <row r="1043" spans="4:6" x14ac:dyDescent="0.2">
      <c r="D1043"/>
      <c r="F1043"/>
    </row>
    <row r="1044" spans="4:6" x14ac:dyDescent="0.2">
      <c r="D1044"/>
      <c r="F1044"/>
    </row>
    <row r="1045" spans="4:6" x14ac:dyDescent="0.2">
      <c r="D1045"/>
      <c r="F1045"/>
    </row>
    <row r="1046" spans="4:6" x14ac:dyDescent="0.2">
      <c r="D1046"/>
      <c r="F1046"/>
    </row>
    <row r="1047" spans="4:6" x14ac:dyDescent="0.2">
      <c r="D1047"/>
      <c r="F1047"/>
    </row>
    <row r="1048" spans="4:6" x14ac:dyDescent="0.2">
      <c r="D1048"/>
      <c r="F1048"/>
    </row>
    <row r="1049" spans="4:6" x14ac:dyDescent="0.2">
      <c r="D1049"/>
      <c r="F1049"/>
    </row>
    <row r="1050" spans="4:6" x14ac:dyDescent="0.2">
      <c r="D1050"/>
      <c r="F1050"/>
    </row>
    <row r="1051" spans="4:6" x14ac:dyDescent="0.2">
      <c r="D1051"/>
      <c r="F1051"/>
    </row>
    <row r="1052" spans="4:6" x14ac:dyDescent="0.2">
      <c r="D1052"/>
      <c r="F1052"/>
    </row>
    <row r="1053" spans="4:6" x14ac:dyDescent="0.2">
      <c r="D1053"/>
      <c r="F1053"/>
    </row>
    <row r="1054" spans="4:6" x14ac:dyDescent="0.2">
      <c r="D1054"/>
      <c r="F1054"/>
    </row>
    <row r="1055" spans="4:6" x14ac:dyDescent="0.2">
      <c r="D1055"/>
      <c r="F1055"/>
    </row>
    <row r="1056" spans="4:6" x14ac:dyDescent="0.2">
      <c r="D1056"/>
      <c r="F1056"/>
    </row>
    <row r="1057" spans="4:6" x14ac:dyDescent="0.2">
      <c r="D1057"/>
      <c r="F1057"/>
    </row>
    <row r="1058" spans="4:6" x14ac:dyDescent="0.2">
      <c r="D1058"/>
      <c r="F1058"/>
    </row>
    <row r="1059" spans="4:6" x14ac:dyDescent="0.2">
      <c r="D1059"/>
      <c r="F1059"/>
    </row>
    <row r="1060" spans="4:6" x14ac:dyDescent="0.2">
      <c r="D1060"/>
      <c r="F1060"/>
    </row>
    <row r="1061" spans="4:6" x14ac:dyDescent="0.2">
      <c r="D1061"/>
      <c r="F1061"/>
    </row>
    <row r="1062" spans="4:6" x14ac:dyDescent="0.2">
      <c r="D1062"/>
      <c r="F1062"/>
    </row>
    <row r="1063" spans="4:6" x14ac:dyDescent="0.2">
      <c r="D1063"/>
      <c r="F1063"/>
    </row>
    <row r="1064" spans="4:6" x14ac:dyDescent="0.2">
      <c r="D1064"/>
      <c r="F1064"/>
    </row>
    <row r="1065" spans="4:6" x14ac:dyDescent="0.2">
      <c r="D1065"/>
      <c r="F1065"/>
    </row>
    <row r="1066" spans="4:6" x14ac:dyDescent="0.2">
      <c r="D1066"/>
      <c r="F1066"/>
    </row>
    <row r="1067" spans="4:6" x14ac:dyDescent="0.2">
      <c r="D1067"/>
      <c r="F1067"/>
    </row>
    <row r="1068" spans="4:6" x14ac:dyDescent="0.2">
      <c r="D1068"/>
      <c r="F1068"/>
    </row>
    <row r="1069" spans="4:6" x14ac:dyDescent="0.2">
      <c r="D1069"/>
      <c r="F1069"/>
    </row>
    <row r="1070" spans="4:6" x14ac:dyDescent="0.2">
      <c r="D1070"/>
      <c r="F1070"/>
    </row>
    <row r="1071" spans="4:6" x14ac:dyDescent="0.2">
      <c r="D1071"/>
      <c r="F1071"/>
    </row>
    <row r="1072" spans="4:6" x14ac:dyDescent="0.2">
      <c r="D1072"/>
      <c r="F1072"/>
    </row>
    <row r="1073" spans="4:6" x14ac:dyDescent="0.2">
      <c r="D1073"/>
      <c r="F1073"/>
    </row>
    <row r="1074" spans="4:6" x14ac:dyDescent="0.2">
      <c r="D1074"/>
      <c r="F1074"/>
    </row>
    <row r="1075" spans="4:6" x14ac:dyDescent="0.2">
      <c r="D1075"/>
      <c r="F1075"/>
    </row>
    <row r="1076" spans="4:6" x14ac:dyDescent="0.2">
      <c r="D1076"/>
      <c r="F1076"/>
    </row>
    <row r="1077" spans="4:6" x14ac:dyDescent="0.2">
      <c r="D1077"/>
      <c r="F1077"/>
    </row>
    <row r="1078" spans="4:6" x14ac:dyDescent="0.2">
      <c r="D1078"/>
      <c r="F1078"/>
    </row>
    <row r="1079" spans="4:6" x14ac:dyDescent="0.2">
      <c r="D1079"/>
      <c r="F1079"/>
    </row>
    <row r="1080" spans="4:6" x14ac:dyDescent="0.2">
      <c r="D1080"/>
      <c r="F1080"/>
    </row>
    <row r="1081" spans="4:6" x14ac:dyDescent="0.2">
      <c r="D1081"/>
      <c r="F1081"/>
    </row>
    <row r="1082" spans="4:6" x14ac:dyDescent="0.2">
      <c r="D1082"/>
      <c r="F1082"/>
    </row>
    <row r="1083" spans="4:6" x14ac:dyDescent="0.2">
      <c r="D1083"/>
      <c r="F1083"/>
    </row>
    <row r="1084" spans="4:6" x14ac:dyDescent="0.2">
      <c r="D1084"/>
      <c r="F1084"/>
    </row>
    <row r="1085" spans="4:6" x14ac:dyDescent="0.2">
      <c r="D1085"/>
      <c r="F1085"/>
    </row>
    <row r="1086" spans="4:6" x14ac:dyDescent="0.2">
      <c r="D1086"/>
      <c r="F1086"/>
    </row>
    <row r="1087" spans="4:6" x14ac:dyDescent="0.2">
      <c r="D1087"/>
      <c r="F1087"/>
    </row>
    <row r="1088" spans="4:6" x14ac:dyDescent="0.2">
      <c r="D1088"/>
      <c r="F1088"/>
    </row>
    <row r="1089" spans="4:6" x14ac:dyDescent="0.2">
      <c r="D1089"/>
      <c r="F1089"/>
    </row>
    <row r="1090" spans="4:6" x14ac:dyDescent="0.2">
      <c r="D1090"/>
      <c r="F1090"/>
    </row>
    <row r="1091" spans="4:6" x14ac:dyDescent="0.2">
      <c r="D1091"/>
      <c r="F1091"/>
    </row>
    <row r="1092" spans="4:6" x14ac:dyDescent="0.2">
      <c r="D1092"/>
      <c r="F1092"/>
    </row>
    <row r="1093" spans="4:6" x14ac:dyDescent="0.2">
      <c r="D1093"/>
      <c r="F1093"/>
    </row>
    <row r="1094" spans="4:6" x14ac:dyDescent="0.2">
      <c r="D1094"/>
      <c r="F1094"/>
    </row>
    <row r="1095" spans="4:6" x14ac:dyDescent="0.2">
      <c r="D1095"/>
      <c r="F1095"/>
    </row>
    <row r="1096" spans="4:6" x14ac:dyDescent="0.2">
      <c r="D1096"/>
      <c r="F1096"/>
    </row>
    <row r="1097" spans="4:6" x14ac:dyDescent="0.2">
      <c r="D1097"/>
      <c r="F1097"/>
    </row>
    <row r="1098" spans="4:6" x14ac:dyDescent="0.2">
      <c r="D1098"/>
      <c r="F1098"/>
    </row>
    <row r="1099" spans="4:6" x14ac:dyDescent="0.2">
      <c r="D1099"/>
      <c r="F1099"/>
    </row>
    <row r="1100" spans="4:6" x14ac:dyDescent="0.2">
      <c r="D1100"/>
      <c r="F1100"/>
    </row>
    <row r="1101" spans="4:6" x14ac:dyDescent="0.2">
      <c r="D1101"/>
      <c r="F1101"/>
    </row>
    <row r="1102" spans="4:6" x14ac:dyDescent="0.2">
      <c r="D1102"/>
      <c r="F1102"/>
    </row>
    <row r="1103" spans="4:6" x14ac:dyDescent="0.2">
      <c r="D1103"/>
      <c r="F1103"/>
    </row>
    <row r="1104" spans="4:6" x14ac:dyDescent="0.2">
      <c r="D1104"/>
      <c r="F1104"/>
    </row>
    <row r="1105" spans="4:6" x14ac:dyDescent="0.2">
      <c r="D1105"/>
      <c r="F1105"/>
    </row>
    <row r="1106" spans="4:6" x14ac:dyDescent="0.2">
      <c r="D1106"/>
      <c r="F1106"/>
    </row>
    <row r="1107" spans="4:6" x14ac:dyDescent="0.2">
      <c r="D1107"/>
      <c r="F1107"/>
    </row>
    <row r="1108" spans="4:6" x14ac:dyDescent="0.2">
      <c r="D1108"/>
      <c r="F1108"/>
    </row>
    <row r="1109" spans="4:6" x14ac:dyDescent="0.2">
      <c r="D1109"/>
      <c r="F1109"/>
    </row>
    <row r="1110" spans="4:6" x14ac:dyDescent="0.2">
      <c r="D1110"/>
      <c r="F1110"/>
    </row>
    <row r="1111" spans="4:6" x14ac:dyDescent="0.2">
      <c r="D1111"/>
      <c r="F1111"/>
    </row>
    <row r="1112" spans="4:6" x14ac:dyDescent="0.2">
      <c r="D1112"/>
      <c r="F1112"/>
    </row>
    <row r="1113" spans="4:6" x14ac:dyDescent="0.2">
      <c r="D1113"/>
      <c r="F1113"/>
    </row>
    <row r="1114" spans="4:6" x14ac:dyDescent="0.2">
      <c r="D1114"/>
      <c r="F1114"/>
    </row>
    <row r="1115" spans="4:6" x14ac:dyDescent="0.2">
      <c r="D1115"/>
      <c r="F1115"/>
    </row>
    <row r="1116" spans="4:6" x14ac:dyDescent="0.2">
      <c r="D1116"/>
      <c r="F1116"/>
    </row>
    <row r="1117" spans="4:6" x14ac:dyDescent="0.2">
      <c r="D1117"/>
      <c r="F1117"/>
    </row>
    <row r="1118" spans="4:6" x14ac:dyDescent="0.2">
      <c r="D1118"/>
      <c r="F1118"/>
    </row>
    <row r="1119" spans="4:6" x14ac:dyDescent="0.2">
      <c r="D1119"/>
      <c r="F1119"/>
    </row>
    <row r="1120" spans="4:6" x14ac:dyDescent="0.2">
      <c r="D1120"/>
      <c r="F1120"/>
    </row>
    <row r="1121" spans="4:6" x14ac:dyDescent="0.2">
      <c r="D1121"/>
      <c r="F1121"/>
    </row>
    <row r="1122" spans="4:6" x14ac:dyDescent="0.2">
      <c r="D1122"/>
      <c r="F1122"/>
    </row>
    <row r="1123" spans="4:6" x14ac:dyDescent="0.2">
      <c r="D1123"/>
      <c r="F1123"/>
    </row>
    <row r="1124" spans="4:6" x14ac:dyDescent="0.2">
      <c r="D1124"/>
      <c r="F1124"/>
    </row>
    <row r="1125" spans="4:6" x14ac:dyDescent="0.2">
      <c r="D1125"/>
      <c r="F1125"/>
    </row>
    <row r="1126" spans="4:6" x14ac:dyDescent="0.2">
      <c r="D1126"/>
      <c r="F1126"/>
    </row>
    <row r="1127" spans="4:6" x14ac:dyDescent="0.2">
      <c r="D1127"/>
      <c r="F1127"/>
    </row>
    <row r="1128" spans="4:6" x14ac:dyDescent="0.2">
      <c r="D1128"/>
      <c r="F1128"/>
    </row>
    <row r="1129" spans="4:6" x14ac:dyDescent="0.2">
      <c r="D1129"/>
      <c r="F1129"/>
    </row>
    <row r="1130" spans="4:6" x14ac:dyDescent="0.2">
      <c r="D1130"/>
      <c r="F1130"/>
    </row>
    <row r="1131" spans="4:6" x14ac:dyDescent="0.2">
      <c r="D1131"/>
      <c r="F1131"/>
    </row>
    <row r="1132" spans="4:6" x14ac:dyDescent="0.2">
      <c r="D1132"/>
      <c r="F1132"/>
    </row>
    <row r="1133" spans="4:6" x14ac:dyDescent="0.2">
      <c r="D1133"/>
      <c r="F1133"/>
    </row>
    <row r="1134" spans="4:6" x14ac:dyDescent="0.2">
      <c r="D1134"/>
      <c r="F1134"/>
    </row>
    <row r="1135" spans="4:6" x14ac:dyDescent="0.2">
      <c r="D1135"/>
      <c r="F1135"/>
    </row>
    <row r="1136" spans="4:6" x14ac:dyDescent="0.2">
      <c r="D1136"/>
      <c r="F1136"/>
    </row>
    <row r="1137" spans="4:6" x14ac:dyDescent="0.2">
      <c r="D1137"/>
      <c r="F1137"/>
    </row>
    <row r="1138" spans="4:6" x14ac:dyDescent="0.2">
      <c r="D1138"/>
      <c r="F1138"/>
    </row>
    <row r="1139" spans="4:6" x14ac:dyDescent="0.2">
      <c r="D1139"/>
      <c r="F1139"/>
    </row>
    <row r="1140" spans="4:6" x14ac:dyDescent="0.2">
      <c r="D1140"/>
      <c r="F1140"/>
    </row>
    <row r="1141" spans="4:6" x14ac:dyDescent="0.2">
      <c r="D1141"/>
      <c r="F1141"/>
    </row>
    <row r="1142" spans="4:6" x14ac:dyDescent="0.2">
      <c r="D1142"/>
      <c r="F1142"/>
    </row>
    <row r="1143" spans="4:6" x14ac:dyDescent="0.2">
      <c r="D1143"/>
      <c r="F1143"/>
    </row>
    <row r="1144" spans="4:6" x14ac:dyDescent="0.2">
      <c r="D1144"/>
      <c r="F1144"/>
    </row>
    <row r="1145" spans="4:6" x14ac:dyDescent="0.2">
      <c r="D1145"/>
      <c r="F1145"/>
    </row>
    <row r="1146" spans="4:6" x14ac:dyDescent="0.2">
      <c r="D1146"/>
      <c r="F1146"/>
    </row>
    <row r="1147" spans="4:6" x14ac:dyDescent="0.2">
      <c r="D1147"/>
      <c r="F1147"/>
    </row>
    <row r="1148" spans="4:6" x14ac:dyDescent="0.2">
      <c r="D1148"/>
      <c r="F1148"/>
    </row>
    <row r="1149" spans="4:6" x14ac:dyDescent="0.2">
      <c r="D1149"/>
      <c r="F1149"/>
    </row>
    <row r="1150" spans="4:6" x14ac:dyDescent="0.2">
      <c r="D1150"/>
      <c r="F1150"/>
    </row>
    <row r="1151" spans="4:6" x14ac:dyDescent="0.2">
      <c r="D1151"/>
      <c r="F1151"/>
    </row>
    <row r="1152" spans="4:6" x14ac:dyDescent="0.2">
      <c r="D1152"/>
      <c r="F1152"/>
    </row>
    <row r="1153" spans="4:6" x14ac:dyDescent="0.2">
      <c r="D1153"/>
      <c r="F1153"/>
    </row>
    <row r="1154" spans="4:6" x14ac:dyDescent="0.2">
      <c r="D1154"/>
      <c r="F1154"/>
    </row>
    <row r="1155" spans="4:6" x14ac:dyDescent="0.2">
      <c r="D1155"/>
      <c r="F1155"/>
    </row>
    <row r="1156" spans="4:6" x14ac:dyDescent="0.2">
      <c r="D1156"/>
      <c r="F1156"/>
    </row>
    <row r="1157" spans="4:6" x14ac:dyDescent="0.2">
      <c r="D1157"/>
      <c r="F1157"/>
    </row>
    <row r="1158" spans="4:6" x14ac:dyDescent="0.2">
      <c r="D1158"/>
      <c r="F1158"/>
    </row>
    <row r="1159" spans="4:6" x14ac:dyDescent="0.2">
      <c r="D1159"/>
      <c r="F1159"/>
    </row>
    <row r="1160" spans="4:6" x14ac:dyDescent="0.2">
      <c r="D1160"/>
      <c r="F1160"/>
    </row>
    <row r="1161" spans="4:6" x14ac:dyDescent="0.2">
      <c r="D1161"/>
      <c r="F1161"/>
    </row>
    <row r="1162" spans="4:6" x14ac:dyDescent="0.2">
      <c r="D1162"/>
      <c r="F1162"/>
    </row>
    <row r="1163" spans="4:6" x14ac:dyDescent="0.2">
      <c r="D1163"/>
      <c r="F1163"/>
    </row>
    <row r="1164" spans="4:6" x14ac:dyDescent="0.2">
      <c r="D1164"/>
      <c r="F1164"/>
    </row>
    <row r="1165" spans="4:6" x14ac:dyDescent="0.2">
      <c r="D1165"/>
      <c r="F1165"/>
    </row>
    <row r="1166" spans="4:6" x14ac:dyDescent="0.2">
      <c r="D1166"/>
      <c r="F1166"/>
    </row>
    <row r="1167" spans="4:6" x14ac:dyDescent="0.2">
      <c r="D1167"/>
      <c r="F1167"/>
    </row>
    <row r="1168" spans="4:6" x14ac:dyDescent="0.2">
      <c r="D1168"/>
      <c r="F1168"/>
    </row>
    <row r="1169" spans="4:6" x14ac:dyDescent="0.2">
      <c r="D1169"/>
      <c r="F1169"/>
    </row>
    <row r="1170" spans="4:6" x14ac:dyDescent="0.2">
      <c r="D1170"/>
      <c r="F1170"/>
    </row>
    <row r="1171" spans="4:6" x14ac:dyDescent="0.2">
      <c r="D1171"/>
      <c r="F1171"/>
    </row>
    <row r="1172" spans="4:6" x14ac:dyDescent="0.2">
      <c r="D1172"/>
      <c r="F1172"/>
    </row>
    <row r="1173" spans="4:6" x14ac:dyDescent="0.2">
      <c r="D1173"/>
      <c r="F1173"/>
    </row>
    <row r="1174" spans="4:6" x14ac:dyDescent="0.2">
      <c r="D1174"/>
      <c r="F1174"/>
    </row>
    <row r="1175" spans="4:6" x14ac:dyDescent="0.2">
      <c r="D1175"/>
      <c r="F1175"/>
    </row>
    <row r="1176" spans="4:6" x14ac:dyDescent="0.2">
      <c r="D1176"/>
      <c r="F1176"/>
    </row>
    <row r="1177" spans="4:6" x14ac:dyDescent="0.2">
      <c r="D1177"/>
      <c r="F1177"/>
    </row>
    <row r="1178" spans="4:6" x14ac:dyDescent="0.2">
      <c r="D1178"/>
      <c r="F1178"/>
    </row>
    <row r="1179" spans="4:6" x14ac:dyDescent="0.2">
      <c r="D1179"/>
      <c r="F1179"/>
    </row>
    <row r="1180" spans="4:6" x14ac:dyDescent="0.2">
      <c r="D1180"/>
      <c r="F1180"/>
    </row>
    <row r="1181" spans="4:6" x14ac:dyDescent="0.2">
      <c r="D1181"/>
      <c r="F1181"/>
    </row>
    <row r="1182" spans="4:6" x14ac:dyDescent="0.2">
      <c r="D1182"/>
      <c r="F1182"/>
    </row>
    <row r="1183" spans="4:6" x14ac:dyDescent="0.2">
      <c r="D1183"/>
      <c r="F1183"/>
    </row>
    <row r="1184" spans="4:6" x14ac:dyDescent="0.2">
      <c r="D1184"/>
      <c r="F1184"/>
    </row>
    <row r="1185" spans="4:6" x14ac:dyDescent="0.2">
      <c r="D1185"/>
      <c r="F1185"/>
    </row>
    <row r="1186" spans="4:6" x14ac:dyDescent="0.2">
      <c r="D1186"/>
      <c r="F1186"/>
    </row>
    <row r="1187" spans="4:6" x14ac:dyDescent="0.2">
      <c r="D1187"/>
      <c r="F1187"/>
    </row>
    <row r="1188" spans="4:6" x14ac:dyDescent="0.2">
      <c r="D1188"/>
      <c r="F1188"/>
    </row>
    <row r="1189" spans="4:6" x14ac:dyDescent="0.2">
      <c r="D1189"/>
      <c r="F1189"/>
    </row>
    <row r="1190" spans="4:6" x14ac:dyDescent="0.2">
      <c r="D1190"/>
      <c r="F1190"/>
    </row>
    <row r="1191" spans="4:6" x14ac:dyDescent="0.2">
      <c r="D1191"/>
      <c r="F1191"/>
    </row>
    <row r="1192" spans="4:6" x14ac:dyDescent="0.2">
      <c r="D1192"/>
      <c r="F1192"/>
    </row>
    <row r="1193" spans="4:6" x14ac:dyDescent="0.2">
      <c r="D1193"/>
      <c r="F1193"/>
    </row>
    <row r="1194" spans="4:6" x14ac:dyDescent="0.2">
      <c r="D1194"/>
      <c r="F1194"/>
    </row>
    <row r="1195" spans="4:6" x14ac:dyDescent="0.2">
      <c r="D1195"/>
      <c r="F1195"/>
    </row>
    <row r="1196" spans="4:6" x14ac:dyDescent="0.2">
      <c r="D1196"/>
      <c r="F1196"/>
    </row>
    <row r="1197" spans="4:6" x14ac:dyDescent="0.2">
      <c r="D1197"/>
      <c r="F1197"/>
    </row>
    <row r="1198" spans="4:6" x14ac:dyDescent="0.2">
      <c r="D1198"/>
      <c r="F1198"/>
    </row>
    <row r="1199" spans="4:6" x14ac:dyDescent="0.2">
      <c r="D1199"/>
      <c r="F1199"/>
    </row>
    <row r="1200" spans="4:6" x14ac:dyDescent="0.2">
      <c r="D1200"/>
      <c r="F1200"/>
    </row>
    <row r="1201" spans="4:6" x14ac:dyDescent="0.2">
      <c r="D1201"/>
      <c r="F1201"/>
    </row>
    <row r="1202" spans="4:6" x14ac:dyDescent="0.2">
      <c r="D1202"/>
      <c r="F1202"/>
    </row>
    <row r="1203" spans="4:6" x14ac:dyDescent="0.2">
      <c r="D1203"/>
      <c r="F1203"/>
    </row>
    <row r="1204" spans="4:6" x14ac:dyDescent="0.2">
      <c r="D1204"/>
      <c r="F1204"/>
    </row>
    <row r="1205" spans="4:6" x14ac:dyDescent="0.2">
      <c r="D1205"/>
      <c r="F1205"/>
    </row>
    <row r="1206" spans="4:6" x14ac:dyDescent="0.2">
      <c r="D1206"/>
      <c r="F1206"/>
    </row>
    <row r="1207" spans="4:6" x14ac:dyDescent="0.2">
      <c r="D1207"/>
      <c r="F1207"/>
    </row>
    <row r="1208" spans="4:6" x14ac:dyDescent="0.2">
      <c r="D1208"/>
      <c r="F1208"/>
    </row>
    <row r="1209" spans="4:6" x14ac:dyDescent="0.2">
      <c r="D1209"/>
      <c r="F1209"/>
    </row>
    <row r="1210" spans="4:6" x14ac:dyDescent="0.2">
      <c r="D1210"/>
      <c r="F1210"/>
    </row>
    <row r="1211" spans="4:6" x14ac:dyDescent="0.2">
      <c r="D1211"/>
      <c r="F1211"/>
    </row>
    <row r="1212" spans="4:6" x14ac:dyDescent="0.2">
      <c r="D1212"/>
      <c r="F1212"/>
    </row>
    <row r="1213" spans="4:6" x14ac:dyDescent="0.2">
      <c r="D1213"/>
      <c r="F1213"/>
    </row>
    <row r="1214" spans="4:6" x14ac:dyDescent="0.2">
      <c r="D1214"/>
      <c r="F1214"/>
    </row>
    <row r="1215" spans="4:6" x14ac:dyDescent="0.2">
      <c r="D1215"/>
      <c r="F1215"/>
    </row>
    <row r="1216" spans="4:6" x14ac:dyDescent="0.2">
      <c r="D1216"/>
      <c r="F1216"/>
    </row>
    <row r="1217" spans="4:6" x14ac:dyDescent="0.2">
      <c r="D1217"/>
      <c r="F1217"/>
    </row>
    <row r="1218" spans="4:6" x14ac:dyDescent="0.2">
      <c r="D1218"/>
      <c r="F1218"/>
    </row>
    <row r="1219" spans="4:6" x14ac:dyDescent="0.2">
      <c r="D1219"/>
      <c r="F1219"/>
    </row>
    <row r="1220" spans="4:6" x14ac:dyDescent="0.2">
      <c r="D1220"/>
      <c r="F1220"/>
    </row>
    <row r="1221" spans="4:6" x14ac:dyDescent="0.2">
      <c r="D1221"/>
      <c r="F1221"/>
    </row>
    <row r="1222" spans="4:6" x14ac:dyDescent="0.2">
      <c r="D1222"/>
      <c r="F1222"/>
    </row>
    <row r="1223" spans="4:6" x14ac:dyDescent="0.2">
      <c r="D1223"/>
      <c r="F1223"/>
    </row>
    <row r="1224" spans="4:6" x14ac:dyDescent="0.2">
      <c r="D1224"/>
      <c r="F1224"/>
    </row>
    <row r="1225" spans="4:6" x14ac:dyDescent="0.2">
      <c r="D1225"/>
      <c r="F1225"/>
    </row>
    <row r="1226" spans="4:6" x14ac:dyDescent="0.2">
      <c r="D1226"/>
      <c r="F1226"/>
    </row>
    <row r="1227" spans="4:6" x14ac:dyDescent="0.2">
      <c r="D1227"/>
      <c r="F1227"/>
    </row>
    <row r="1228" spans="4:6" x14ac:dyDescent="0.2">
      <c r="D1228"/>
      <c r="F1228"/>
    </row>
    <row r="1229" spans="4:6" x14ac:dyDescent="0.2">
      <c r="D1229"/>
      <c r="F1229"/>
    </row>
    <row r="1230" spans="4:6" x14ac:dyDescent="0.2">
      <c r="D1230"/>
      <c r="F1230"/>
    </row>
    <row r="1231" spans="4:6" x14ac:dyDescent="0.2">
      <c r="D1231"/>
      <c r="F1231"/>
    </row>
    <row r="1232" spans="4:6" x14ac:dyDescent="0.2">
      <c r="D1232"/>
      <c r="F1232"/>
    </row>
    <row r="1233" spans="4:6" x14ac:dyDescent="0.2">
      <c r="D1233"/>
      <c r="F1233"/>
    </row>
    <row r="1234" spans="4:6" x14ac:dyDescent="0.2">
      <c r="D1234"/>
      <c r="F1234"/>
    </row>
    <row r="1235" spans="4:6" x14ac:dyDescent="0.2">
      <c r="D1235"/>
      <c r="F1235"/>
    </row>
    <row r="1236" spans="4:6" x14ac:dyDescent="0.2">
      <c r="D1236"/>
      <c r="F1236"/>
    </row>
    <row r="1237" spans="4:6" x14ac:dyDescent="0.2">
      <c r="D1237"/>
      <c r="F1237"/>
    </row>
    <row r="1238" spans="4:6" x14ac:dyDescent="0.2">
      <c r="D1238"/>
      <c r="F1238"/>
    </row>
    <row r="1239" spans="4:6" x14ac:dyDescent="0.2">
      <c r="D1239"/>
      <c r="F1239"/>
    </row>
    <row r="1240" spans="4:6" x14ac:dyDescent="0.2">
      <c r="D1240"/>
      <c r="F1240"/>
    </row>
    <row r="1241" spans="4:6" x14ac:dyDescent="0.2">
      <c r="D1241"/>
      <c r="F1241"/>
    </row>
    <row r="1242" spans="4:6" x14ac:dyDescent="0.2">
      <c r="D1242"/>
      <c r="F1242"/>
    </row>
    <row r="1243" spans="4:6" x14ac:dyDescent="0.2">
      <c r="D1243"/>
      <c r="F1243"/>
    </row>
    <row r="1244" spans="4:6" x14ac:dyDescent="0.2">
      <c r="D1244"/>
      <c r="F1244"/>
    </row>
    <row r="1245" spans="4:6" x14ac:dyDescent="0.2">
      <c r="D1245"/>
      <c r="F1245"/>
    </row>
    <row r="1246" spans="4:6" x14ac:dyDescent="0.2">
      <c r="D1246"/>
      <c r="F1246"/>
    </row>
    <row r="1247" spans="4:6" x14ac:dyDescent="0.2">
      <c r="D1247"/>
      <c r="F1247"/>
    </row>
    <row r="1248" spans="4:6" x14ac:dyDescent="0.2">
      <c r="D1248"/>
      <c r="F1248"/>
    </row>
    <row r="1249" spans="4:6" x14ac:dyDescent="0.2">
      <c r="D1249"/>
      <c r="F1249"/>
    </row>
    <row r="1250" spans="4:6" x14ac:dyDescent="0.2">
      <c r="D1250"/>
      <c r="F1250"/>
    </row>
    <row r="1251" spans="4:6" x14ac:dyDescent="0.2">
      <c r="D1251"/>
      <c r="F1251"/>
    </row>
    <row r="1252" spans="4:6" x14ac:dyDescent="0.2">
      <c r="D1252"/>
      <c r="F1252"/>
    </row>
    <row r="1253" spans="4:6" x14ac:dyDescent="0.2">
      <c r="D1253"/>
      <c r="F1253"/>
    </row>
    <row r="1254" spans="4:6" x14ac:dyDescent="0.2">
      <c r="D1254"/>
      <c r="F1254"/>
    </row>
    <row r="1255" spans="4:6" x14ac:dyDescent="0.2">
      <c r="D1255"/>
      <c r="F1255"/>
    </row>
    <row r="1256" spans="4:6" x14ac:dyDescent="0.2">
      <c r="D1256"/>
      <c r="F1256"/>
    </row>
    <row r="1257" spans="4:6" x14ac:dyDescent="0.2">
      <c r="D1257"/>
      <c r="F1257"/>
    </row>
    <row r="1258" spans="4:6" x14ac:dyDescent="0.2">
      <c r="D1258"/>
      <c r="F1258"/>
    </row>
    <row r="1259" spans="4:6" x14ac:dyDescent="0.2">
      <c r="D1259"/>
      <c r="F1259"/>
    </row>
    <row r="1260" spans="4:6" x14ac:dyDescent="0.2">
      <c r="D1260"/>
      <c r="F1260"/>
    </row>
    <row r="1261" spans="4:6" x14ac:dyDescent="0.2">
      <c r="D1261"/>
      <c r="F1261"/>
    </row>
    <row r="1262" spans="4:6" x14ac:dyDescent="0.2">
      <c r="D1262"/>
      <c r="F1262"/>
    </row>
    <row r="1263" spans="4:6" x14ac:dyDescent="0.2">
      <c r="D1263"/>
      <c r="F1263"/>
    </row>
    <row r="1264" spans="4:6" x14ac:dyDescent="0.2">
      <c r="D1264"/>
      <c r="F1264"/>
    </row>
    <row r="1265" spans="4:6" x14ac:dyDescent="0.2">
      <c r="D1265"/>
      <c r="F1265"/>
    </row>
    <row r="1266" spans="4:6" x14ac:dyDescent="0.2">
      <c r="D1266"/>
      <c r="F1266"/>
    </row>
    <row r="1267" spans="4:6" x14ac:dyDescent="0.2">
      <c r="D1267"/>
      <c r="F1267"/>
    </row>
    <row r="1268" spans="4:6" x14ac:dyDescent="0.2">
      <c r="D1268"/>
      <c r="F1268"/>
    </row>
    <row r="1269" spans="4:6" x14ac:dyDescent="0.2">
      <c r="D1269"/>
      <c r="F1269"/>
    </row>
    <row r="1270" spans="4:6" x14ac:dyDescent="0.2">
      <c r="D1270"/>
      <c r="F1270"/>
    </row>
    <row r="1271" spans="4:6" x14ac:dyDescent="0.2">
      <c r="D1271"/>
      <c r="F1271"/>
    </row>
    <row r="1272" spans="4:6" x14ac:dyDescent="0.2">
      <c r="D1272"/>
      <c r="F1272"/>
    </row>
    <row r="1273" spans="4:6" x14ac:dyDescent="0.2">
      <c r="D1273"/>
      <c r="F1273"/>
    </row>
    <row r="1274" spans="4:6" x14ac:dyDescent="0.2">
      <c r="D1274"/>
      <c r="F1274"/>
    </row>
    <row r="1275" spans="4:6" x14ac:dyDescent="0.2">
      <c r="D1275"/>
      <c r="F1275"/>
    </row>
    <row r="1276" spans="4:6" x14ac:dyDescent="0.2">
      <c r="D1276"/>
      <c r="F1276"/>
    </row>
    <row r="1277" spans="4:6" x14ac:dyDescent="0.2">
      <c r="D1277"/>
      <c r="F1277"/>
    </row>
    <row r="1278" spans="4:6" x14ac:dyDescent="0.2">
      <c r="D1278"/>
      <c r="F1278"/>
    </row>
    <row r="1279" spans="4:6" x14ac:dyDescent="0.2">
      <c r="D1279"/>
      <c r="F1279"/>
    </row>
    <row r="1280" spans="4:6" x14ac:dyDescent="0.2">
      <c r="D1280"/>
      <c r="F1280"/>
    </row>
    <row r="1281" spans="4:6" x14ac:dyDescent="0.2">
      <c r="D1281"/>
      <c r="F1281"/>
    </row>
    <row r="1282" spans="4:6" x14ac:dyDescent="0.2">
      <c r="D1282"/>
      <c r="F1282"/>
    </row>
    <row r="1283" spans="4:6" x14ac:dyDescent="0.2">
      <c r="D1283"/>
      <c r="F1283"/>
    </row>
    <row r="1284" spans="4:6" x14ac:dyDescent="0.2">
      <c r="D1284"/>
      <c r="F1284"/>
    </row>
    <row r="1285" spans="4:6" x14ac:dyDescent="0.2">
      <c r="D1285"/>
      <c r="F1285"/>
    </row>
    <row r="1286" spans="4:6" x14ac:dyDescent="0.2">
      <c r="D1286"/>
      <c r="F1286"/>
    </row>
    <row r="1287" spans="4:6" x14ac:dyDescent="0.2">
      <c r="D1287"/>
      <c r="F1287"/>
    </row>
    <row r="1288" spans="4:6" x14ac:dyDescent="0.2">
      <c r="D1288"/>
      <c r="F1288"/>
    </row>
    <row r="1289" spans="4:6" x14ac:dyDescent="0.2">
      <c r="D1289"/>
      <c r="F1289"/>
    </row>
    <row r="1290" spans="4:6" x14ac:dyDescent="0.2">
      <c r="D1290"/>
      <c r="F1290"/>
    </row>
    <row r="1291" spans="4:6" x14ac:dyDescent="0.2">
      <c r="D1291"/>
      <c r="F1291"/>
    </row>
    <row r="1292" spans="4:6" x14ac:dyDescent="0.2">
      <c r="D1292"/>
      <c r="F1292"/>
    </row>
    <row r="1293" spans="4:6" x14ac:dyDescent="0.2">
      <c r="D1293"/>
      <c r="F1293"/>
    </row>
    <row r="1294" spans="4:6" x14ac:dyDescent="0.2">
      <c r="D1294"/>
      <c r="F1294"/>
    </row>
    <row r="1295" spans="4:6" x14ac:dyDescent="0.2">
      <c r="D1295"/>
      <c r="F1295"/>
    </row>
    <row r="1296" spans="4:6" x14ac:dyDescent="0.2">
      <c r="D1296"/>
      <c r="F1296"/>
    </row>
    <row r="1297" spans="4:6" x14ac:dyDescent="0.2">
      <c r="D1297"/>
      <c r="F1297"/>
    </row>
    <row r="1298" spans="4:6" x14ac:dyDescent="0.2">
      <c r="D1298"/>
      <c r="F1298"/>
    </row>
    <row r="1299" spans="4:6" x14ac:dyDescent="0.2">
      <c r="D1299"/>
      <c r="F1299"/>
    </row>
    <row r="1300" spans="4:6" x14ac:dyDescent="0.2">
      <c r="D1300"/>
      <c r="F1300"/>
    </row>
    <row r="1301" spans="4:6" x14ac:dyDescent="0.2">
      <c r="D1301"/>
      <c r="F1301"/>
    </row>
    <row r="1302" spans="4:6" x14ac:dyDescent="0.2">
      <c r="D1302"/>
      <c r="F1302"/>
    </row>
    <row r="1303" spans="4:6" x14ac:dyDescent="0.2">
      <c r="D1303"/>
      <c r="F1303"/>
    </row>
    <row r="1304" spans="4:6" x14ac:dyDescent="0.2">
      <c r="D1304"/>
      <c r="F1304"/>
    </row>
    <row r="1305" spans="4:6" x14ac:dyDescent="0.2">
      <c r="D1305"/>
      <c r="F1305"/>
    </row>
    <row r="1306" spans="4:6" x14ac:dyDescent="0.2">
      <c r="D1306"/>
      <c r="F1306"/>
    </row>
    <row r="1307" spans="4:6" x14ac:dyDescent="0.2">
      <c r="D1307"/>
      <c r="F1307"/>
    </row>
    <row r="1308" spans="4:6" x14ac:dyDescent="0.2">
      <c r="D1308"/>
      <c r="F1308"/>
    </row>
    <row r="1309" spans="4:6" x14ac:dyDescent="0.2">
      <c r="D1309"/>
      <c r="F1309"/>
    </row>
    <row r="1310" spans="4:6" x14ac:dyDescent="0.2">
      <c r="D1310"/>
      <c r="F1310"/>
    </row>
    <row r="1311" spans="4:6" x14ac:dyDescent="0.2">
      <c r="D1311"/>
      <c r="F1311"/>
    </row>
    <row r="1312" spans="4:6" x14ac:dyDescent="0.2">
      <c r="D1312"/>
      <c r="F1312"/>
    </row>
    <row r="1313" spans="4:6" x14ac:dyDescent="0.2">
      <c r="D1313"/>
      <c r="F1313"/>
    </row>
    <row r="1314" spans="4:6" x14ac:dyDescent="0.2">
      <c r="D1314"/>
      <c r="F1314"/>
    </row>
    <row r="1315" spans="4:6" x14ac:dyDescent="0.2">
      <c r="D1315"/>
      <c r="F1315"/>
    </row>
    <row r="1316" spans="4:6" x14ac:dyDescent="0.2">
      <c r="D1316"/>
      <c r="F1316"/>
    </row>
    <row r="1317" spans="4:6" x14ac:dyDescent="0.2">
      <c r="D1317"/>
      <c r="F1317"/>
    </row>
    <row r="1318" spans="4:6" x14ac:dyDescent="0.2">
      <c r="D1318"/>
      <c r="F1318"/>
    </row>
    <row r="1319" spans="4:6" x14ac:dyDescent="0.2">
      <c r="D1319"/>
      <c r="F1319"/>
    </row>
    <row r="1320" spans="4:6" x14ac:dyDescent="0.2">
      <c r="D1320"/>
      <c r="F1320"/>
    </row>
    <row r="1321" spans="4:6" x14ac:dyDescent="0.2">
      <c r="D1321"/>
      <c r="F1321"/>
    </row>
    <row r="1322" spans="4:6" x14ac:dyDescent="0.2">
      <c r="D1322"/>
      <c r="F1322"/>
    </row>
    <row r="1323" spans="4:6" x14ac:dyDescent="0.2">
      <c r="D1323"/>
      <c r="F1323"/>
    </row>
    <row r="1324" spans="4:6" x14ac:dyDescent="0.2">
      <c r="D1324"/>
      <c r="F1324"/>
    </row>
    <row r="1325" spans="4:6" x14ac:dyDescent="0.2">
      <c r="D1325"/>
      <c r="F1325"/>
    </row>
    <row r="1326" spans="4:6" x14ac:dyDescent="0.2">
      <c r="D1326"/>
      <c r="F1326"/>
    </row>
    <row r="1327" spans="4:6" x14ac:dyDescent="0.2">
      <c r="D1327"/>
      <c r="F1327"/>
    </row>
    <row r="1328" spans="4:6" x14ac:dyDescent="0.2">
      <c r="D1328"/>
      <c r="F1328"/>
    </row>
    <row r="1329" spans="4:6" x14ac:dyDescent="0.2">
      <c r="D1329"/>
      <c r="F1329"/>
    </row>
    <row r="1330" spans="4:6" x14ac:dyDescent="0.2">
      <c r="D1330"/>
      <c r="F1330"/>
    </row>
    <row r="1331" spans="4:6" x14ac:dyDescent="0.2">
      <c r="D1331"/>
      <c r="F1331"/>
    </row>
    <row r="1332" spans="4:6" x14ac:dyDescent="0.2">
      <c r="D1332"/>
      <c r="F1332"/>
    </row>
    <row r="1333" spans="4:6" x14ac:dyDescent="0.2">
      <c r="D1333"/>
      <c r="F1333"/>
    </row>
    <row r="1334" spans="4:6" x14ac:dyDescent="0.2">
      <c r="D1334"/>
      <c r="F1334"/>
    </row>
    <row r="1335" spans="4:6" x14ac:dyDescent="0.2">
      <c r="D1335"/>
      <c r="F1335"/>
    </row>
    <row r="1336" spans="4:6" x14ac:dyDescent="0.2">
      <c r="D1336"/>
      <c r="F1336"/>
    </row>
    <row r="1337" spans="4:6" x14ac:dyDescent="0.2">
      <c r="D1337"/>
      <c r="F1337"/>
    </row>
    <row r="1338" spans="4:6" x14ac:dyDescent="0.2">
      <c r="D1338"/>
      <c r="F1338"/>
    </row>
    <row r="1339" spans="4:6" x14ac:dyDescent="0.2">
      <c r="D1339"/>
      <c r="F1339"/>
    </row>
    <row r="1340" spans="4:6" x14ac:dyDescent="0.2">
      <c r="D1340"/>
      <c r="F1340"/>
    </row>
    <row r="1341" spans="4:6" x14ac:dyDescent="0.2">
      <c r="D1341"/>
      <c r="F1341"/>
    </row>
    <row r="1342" spans="4:6" x14ac:dyDescent="0.2">
      <c r="D1342"/>
      <c r="F1342"/>
    </row>
    <row r="1343" spans="4:6" x14ac:dyDescent="0.2">
      <c r="D1343"/>
      <c r="F1343"/>
    </row>
    <row r="1344" spans="4:6" x14ac:dyDescent="0.2">
      <c r="D1344"/>
      <c r="F1344"/>
    </row>
    <row r="1345" spans="4:6" x14ac:dyDescent="0.2">
      <c r="D1345"/>
      <c r="F1345"/>
    </row>
    <row r="1346" spans="4:6" x14ac:dyDescent="0.2">
      <c r="D1346"/>
      <c r="F1346"/>
    </row>
    <row r="1347" spans="4:6" x14ac:dyDescent="0.2">
      <c r="D1347"/>
      <c r="F1347"/>
    </row>
    <row r="1348" spans="4:6" x14ac:dyDescent="0.2">
      <c r="D1348"/>
      <c r="F1348"/>
    </row>
    <row r="1349" spans="4:6" x14ac:dyDescent="0.2">
      <c r="D1349"/>
      <c r="F1349"/>
    </row>
    <row r="1350" spans="4:6" x14ac:dyDescent="0.2">
      <c r="D1350"/>
      <c r="F1350"/>
    </row>
    <row r="1351" spans="4:6" x14ac:dyDescent="0.2">
      <c r="D1351"/>
      <c r="F1351"/>
    </row>
    <row r="1352" spans="4:6" x14ac:dyDescent="0.2">
      <c r="D1352"/>
      <c r="F1352"/>
    </row>
    <row r="1353" spans="4:6" x14ac:dyDescent="0.2">
      <c r="D1353"/>
      <c r="F1353"/>
    </row>
    <row r="1354" spans="4:6" x14ac:dyDescent="0.2">
      <c r="D1354"/>
      <c r="F1354"/>
    </row>
    <row r="1355" spans="4:6" x14ac:dyDescent="0.2">
      <c r="D1355"/>
      <c r="F1355"/>
    </row>
    <row r="1356" spans="4:6" x14ac:dyDescent="0.2">
      <c r="D1356"/>
      <c r="F1356"/>
    </row>
    <row r="1357" spans="4:6" x14ac:dyDescent="0.2">
      <c r="D1357"/>
      <c r="F1357"/>
    </row>
    <row r="1358" spans="4:6" x14ac:dyDescent="0.2">
      <c r="D1358"/>
      <c r="F1358"/>
    </row>
    <row r="1359" spans="4:6" x14ac:dyDescent="0.2">
      <c r="D1359"/>
      <c r="F1359"/>
    </row>
    <row r="1360" spans="4:6" x14ac:dyDescent="0.2">
      <c r="D1360"/>
      <c r="F1360"/>
    </row>
    <row r="1361" spans="4:6" x14ac:dyDescent="0.2">
      <c r="D1361"/>
      <c r="F1361"/>
    </row>
    <row r="1362" spans="4:6" x14ac:dyDescent="0.2">
      <c r="D1362"/>
      <c r="F1362"/>
    </row>
    <row r="1363" spans="4:6" x14ac:dyDescent="0.2">
      <c r="D1363"/>
      <c r="F1363"/>
    </row>
    <row r="1364" spans="4:6" x14ac:dyDescent="0.2">
      <c r="D1364"/>
      <c r="F1364"/>
    </row>
    <row r="1365" spans="4:6" x14ac:dyDescent="0.2">
      <c r="D1365"/>
      <c r="F1365"/>
    </row>
    <row r="1366" spans="4:6" x14ac:dyDescent="0.2">
      <c r="D1366"/>
      <c r="F1366"/>
    </row>
    <row r="1367" spans="4:6" x14ac:dyDescent="0.2">
      <c r="D1367"/>
      <c r="F1367"/>
    </row>
    <row r="1368" spans="4:6" x14ac:dyDescent="0.2">
      <c r="D1368"/>
      <c r="F1368"/>
    </row>
    <row r="1369" spans="4:6" x14ac:dyDescent="0.2">
      <c r="D1369"/>
      <c r="F1369"/>
    </row>
    <row r="1370" spans="4:6" x14ac:dyDescent="0.2">
      <c r="D1370"/>
      <c r="F1370"/>
    </row>
    <row r="1371" spans="4:6" x14ac:dyDescent="0.2">
      <c r="D1371"/>
      <c r="F1371"/>
    </row>
    <row r="1372" spans="4:6" x14ac:dyDescent="0.2">
      <c r="D1372"/>
      <c r="F1372"/>
    </row>
    <row r="1373" spans="4:6" x14ac:dyDescent="0.2">
      <c r="D1373"/>
      <c r="F1373"/>
    </row>
    <row r="1374" spans="4:6" x14ac:dyDescent="0.2">
      <c r="D1374"/>
      <c r="F1374"/>
    </row>
    <row r="1375" spans="4:6" x14ac:dyDescent="0.2">
      <c r="D1375"/>
      <c r="F1375"/>
    </row>
    <row r="1376" spans="4:6" x14ac:dyDescent="0.2">
      <c r="D1376"/>
      <c r="F1376"/>
    </row>
    <row r="1377" spans="4:6" x14ac:dyDescent="0.2">
      <c r="D1377"/>
      <c r="F1377"/>
    </row>
    <row r="1378" spans="4:6" x14ac:dyDescent="0.2">
      <c r="D1378"/>
      <c r="F1378"/>
    </row>
    <row r="1379" spans="4:6" x14ac:dyDescent="0.2">
      <c r="D1379"/>
      <c r="F1379"/>
    </row>
    <row r="1380" spans="4:6" x14ac:dyDescent="0.2">
      <c r="D1380"/>
      <c r="F1380"/>
    </row>
    <row r="1381" spans="4:6" x14ac:dyDescent="0.2">
      <c r="D1381"/>
      <c r="F1381"/>
    </row>
    <row r="1382" spans="4:6" x14ac:dyDescent="0.2">
      <c r="D1382"/>
      <c r="F1382"/>
    </row>
    <row r="1383" spans="4:6" x14ac:dyDescent="0.2">
      <c r="D1383"/>
      <c r="F1383"/>
    </row>
    <row r="1384" spans="4:6" x14ac:dyDescent="0.2">
      <c r="D1384"/>
      <c r="F1384"/>
    </row>
    <row r="1385" spans="4:6" x14ac:dyDescent="0.2">
      <c r="D1385"/>
      <c r="F1385"/>
    </row>
    <row r="1386" spans="4:6" x14ac:dyDescent="0.2">
      <c r="D1386"/>
      <c r="F1386"/>
    </row>
    <row r="1387" spans="4:6" x14ac:dyDescent="0.2">
      <c r="D1387"/>
      <c r="F1387"/>
    </row>
    <row r="1388" spans="4:6" x14ac:dyDescent="0.2">
      <c r="D1388"/>
      <c r="F1388"/>
    </row>
    <row r="1389" spans="4:6" x14ac:dyDescent="0.2">
      <c r="D1389"/>
      <c r="F1389"/>
    </row>
    <row r="1390" spans="4:6" x14ac:dyDescent="0.2">
      <c r="D1390"/>
      <c r="F1390"/>
    </row>
    <row r="1391" spans="4:6" x14ac:dyDescent="0.2">
      <c r="D1391"/>
      <c r="F1391"/>
    </row>
    <row r="1392" spans="4:6" x14ac:dyDescent="0.2">
      <c r="D1392"/>
      <c r="F1392"/>
    </row>
    <row r="1393" spans="4:6" x14ac:dyDescent="0.2">
      <c r="D1393"/>
      <c r="F1393"/>
    </row>
    <row r="1394" spans="4:6" x14ac:dyDescent="0.2">
      <c r="D1394"/>
      <c r="F1394"/>
    </row>
    <row r="1395" spans="4:6" x14ac:dyDescent="0.2">
      <c r="D1395"/>
      <c r="F1395"/>
    </row>
    <row r="1396" spans="4:6" x14ac:dyDescent="0.2">
      <c r="D1396"/>
      <c r="F1396"/>
    </row>
    <row r="1397" spans="4:6" x14ac:dyDescent="0.2">
      <c r="D1397"/>
      <c r="F1397"/>
    </row>
    <row r="1398" spans="4:6" x14ac:dyDescent="0.2">
      <c r="D1398"/>
      <c r="F1398"/>
    </row>
    <row r="1399" spans="4:6" x14ac:dyDescent="0.2">
      <c r="D1399"/>
      <c r="F1399"/>
    </row>
    <row r="1400" spans="4:6" x14ac:dyDescent="0.2">
      <c r="D1400"/>
      <c r="F1400"/>
    </row>
    <row r="1401" spans="4:6" x14ac:dyDescent="0.2">
      <c r="D1401"/>
      <c r="F1401"/>
    </row>
    <row r="1402" spans="4:6" x14ac:dyDescent="0.2">
      <c r="D1402"/>
      <c r="F1402"/>
    </row>
    <row r="1403" spans="4:6" x14ac:dyDescent="0.2">
      <c r="D1403"/>
      <c r="F1403"/>
    </row>
    <row r="1404" spans="4:6" x14ac:dyDescent="0.2">
      <c r="D1404"/>
      <c r="F1404"/>
    </row>
    <row r="1405" spans="4:6" x14ac:dyDescent="0.2">
      <c r="D1405"/>
      <c r="F1405"/>
    </row>
    <row r="1406" spans="4:6" x14ac:dyDescent="0.2">
      <c r="D1406"/>
      <c r="F1406"/>
    </row>
    <row r="1407" spans="4:6" x14ac:dyDescent="0.2">
      <c r="D1407"/>
      <c r="F1407"/>
    </row>
    <row r="1408" spans="4:6" x14ac:dyDescent="0.2">
      <c r="D1408"/>
      <c r="F1408"/>
    </row>
    <row r="1409" spans="4:6" x14ac:dyDescent="0.2">
      <c r="D1409"/>
      <c r="F1409"/>
    </row>
    <row r="1410" spans="4:6" x14ac:dyDescent="0.2">
      <c r="D1410"/>
      <c r="F1410"/>
    </row>
    <row r="1411" spans="4:6" x14ac:dyDescent="0.2">
      <c r="D1411"/>
      <c r="F1411"/>
    </row>
    <row r="1412" spans="4:6" x14ac:dyDescent="0.2">
      <c r="D1412"/>
      <c r="F1412"/>
    </row>
    <row r="1413" spans="4:6" x14ac:dyDescent="0.2">
      <c r="D1413"/>
      <c r="F1413"/>
    </row>
    <row r="1414" spans="4:6" x14ac:dyDescent="0.2">
      <c r="D1414"/>
      <c r="F1414"/>
    </row>
    <row r="1415" spans="4:6" x14ac:dyDescent="0.2">
      <c r="D1415"/>
      <c r="F1415"/>
    </row>
    <row r="1416" spans="4:6" x14ac:dyDescent="0.2">
      <c r="D1416"/>
      <c r="F1416"/>
    </row>
    <row r="1417" spans="4:6" x14ac:dyDescent="0.2">
      <c r="D1417"/>
      <c r="F1417"/>
    </row>
    <row r="1418" spans="4:6" x14ac:dyDescent="0.2">
      <c r="D1418"/>
      <c r="F1418"/>
    </row>
    <row r="1419" spans="4:6" x14ac:dyDescent="0.2">
      <c r="D1419"/>
      <c r="F1419"/>
    </row>
    <row r="1420" spans="4:6" x14ac:dyDescent="0.2">
      <c r="D1420"/>
      <c r="F1420"/>
    </row>
    <row r="1421" spans="4:6" x14ac:dyDescent="0.2">
      <c r="D1421"/>
      <c r="F1421"/>
    </row>
    <row r="1422" spans="4:6" x14ac:dyDescent="0.2">
      <c r="D1422"/>
      <c r="F1422"/>
    </row>
    <row r="1423" spans="4:6" x14ac:dyDescent="0.2">
      <c r="D1423"/>
      <c r="F1423"/>
    </row>
    <row r="1424" spans="4:6" x14ac:dyDescent="0.2">
      <c r="D1424"/>
      <c r="F1424"/>
    </row>
    <row r="1425" spans="4:6" x14ac:dyDescent="0.2">
      <c r="D1425"/>
      <c r="F1425"/>
    </row>
    <row r="1426" spans="4:6" x14ac:dyDescent="0.2">
      <c r="D1426"/>
      <c r="F1426"/>
    </row>
    <row r="1427" spans="4:6" x14ac:dyDescent="0.2">
      <c r="D1427"/>
      <c r="F1427"/>
    </row>
    <row r="1428" spans="4:6" x14ac:dyDescent="0.2">
      <c r="D1428"/>
      <c r="F1428"/>
    </row>
    <row r="1429" spans="4:6" x14ac:dyDescent="0.2">
      <c r="D1429"/>
      <c r="F1429"/>
    </row>
    <row r="1430" spans="4:6" x14ac:dyDescent="0.2">
      <c r="D1430"/>
      <c r="F1430"/>
    </row>
    <row r="1431" spans="4:6" x14ac:dyDescent="0.2">
      <c r="D1431"/>
      <c r="F1431"/>
    </row>
    <row r="1432" spans="4:6" x14ac:dyDescent="0.2">
      <c r="D1432"/>
      <c r="F1432"/>
    </row>
    <row r="1433" spans="4:6" x14ac:dyDescent="0.2">
      <c r="D1433"/>
      <c r="F1433"/>
    </row>
    <row r="1434" spans="4:6" x14ac:dyDescent="0.2">
      <c r="D1434"/>
      <c r="F1434"/>
    </row>
    <row r="1435" spans="4:6" x14ac:dyDescent="0.2">
      <c r="D1435"/>
      <c r="F1435"/>
    </row>
    <row r="1436" spans="4:6" x14ac:dyDescent="0.2">
      <c r="D1436"/>
      <c r="F1436"/>
    </row>
    <row r="1437" spans="4:6" x14ac:dyDescent="0.2">
      <c r="D1437"/>
      <c r="F1437"/>
    </row>
    <row r="1438" spans="4:6" x14ac:dyDescent="0.2">
      <c r="D1438"/>
      <c r="F1438"/>
    </row>
    <row r="1439" spans="4:6" x14ac:dyDescent="0.2">
      <c r="D1439"/>
      <c r="F1439"/>
    </row>
    <row r="1440" spans="4:6" x14ac:dyDescent="0.2">
      <c r="D1440"/>
      <c r="F1440"/>
    </row>
    <row r="1441" spans="4:6" x14ac:dyDescent="0.2">
      <c r="D1441"/>
      <c r="F1441"/>
    </row>
    <row r="1442" spans="4:6" x14ac:dyDescent="0.2">
      <c r="D1442"/>
      <c r="F1442"/>
    </row>
    <row r="1443" spans="4:6" x14ac:dyDescent="0.2">
      <c r="D1443"/>
      <c r="F1443"/>
    </row>
    <row r="1444" spans="4:6" x14ac:dyDescent="0.2">
      <c r="D1444"/>
      <c r="F1444"/>
    </row>
    <row r="1445" spans="4:6" x14ac:dyDescent="0.2">
      <c r="D1445"/>
      <c r="F1445"/>
    </row>
    <row r="1446" spans="4:6" x14ac:dyDescent="0.2">
      <c r="D1446"/>
      <c r="F1446"/>
    </row>
    <row r="1447" spans="4:6" x14ac:dyDescent="0.2">
      <c r="D1447"/>
      <c r="F1447"/>
    </row>
    <row r="1448" spans="4:6" x14ac:dyDescent="0.2">
      <c r="D1448"/>
      <c r="F1448"/>
    </row>
    <row r="1449" spans="4:6" x14ac:dyDescent="0.2">
      <c r="D1449"/>
      <c r="F1449"/>
    </row>
    <row r="1450" spans="4:6" x14ac:dyDescent="0.2">
      <c r="D1450"/>
      <c r="F1450"/>
    </row>
    <row r="1451" spans="4:6" x14ac:dyDescent="0.2">
      <c r="D1451"/>
      <c r="F1451"/>
    </row>
    <row r="1452" spans="4:6" x14ac:dyDescent="0.2">
      <c r="D1452"/>
      <c r="F1452"/>
    </row>
    <row r="1453" spans="4:6" x14ac:dyDescent="0.2">
      <c r="D1453"/>
      <c r="F1453"/>
    </row>
    <row r="1454" spans="4:6" x14ac:dyDescent="0.2">
      <c r="D1454"/>
      <c r="F1454"/>
    </row>
    <row r="1455" spans="4:6" x14ac:dyDescent="0.2">
      <c r="D1455"/>
      <c r="F1455"/>
    </row>
    <row r="1456" spans="4:6" x14ac:dyDescent="0.2">
      <c r="D1456"/>
      <c r="F1456"/>
    </row>
    <row r="1457" spans="4:6" x14ac:dyDescent="0.2">
      <c r="D1457"/>
      <c r="F1457"/>
    </row>
    <row r="1458" spans="4:6" x14ac:dyDescent="0.2">
      <c r="D1458"/>
      <c r="F1458"/>
    </row>
    <row r="1459" spans="4:6" x14ac:dyDescent="0.2">
      <c r="D1459"/>
      <c r="F1459"/>
    </row>
    <row r="1460" spans="4:6" x14ac:dyDescent="0.2">
      <c r="D1460"/>
      <c r="F1460"/>
    </row>
    <row r="1461" spans="4:6" x14ac:dyDescent="0.2">
      <c r="D1461"/>
      <c r="F1461"/>
    </row>
    <row r="1462" spans="4:6" x14ac:dyDescent="0.2">
      <c r="D1462"/>
      <c r="F1462"/>
    </row>
    <row r="1463" spans="4:6" x14ac:dyDescent="0.2">
      <c r="D1463"/>
      <c r="F1463"/>
    </row>
    <row r="1464" spans="4:6" x14ac:dyDescent="0.2">
      <c r="D1464"/>
      <c r="F1464"/>
    </row>
    <row r="1465" spans="4:6" x14ac:dyDescent="0.2">
      <c r="D1465"/>
      <c r="F1465"/>
    </row>
    <row r="1466" spans="4:6" x14ac:dyDescent="0.2">
      <c r="D1466"/>
      <c r="F1466"/>
    </row>
    <row r="1467" spans="4:6" x14ac:dyDescent="0.2">
      <c r="D1467"/>
      <c r="F1467"/>
    </row>
    <row r="1468" spans="4:6" x14ac:dyDescent="0.2">
      <c r="D1468"/>
      <c r="F1468"/>
    </row>
    <row r="1469" spans="4:6" x14ac:dyDescent="0.2">
      <c r="D1469"/>
      <c r="F1469"/>
    </row>
    <row r="1470" spans="4:6" x14ac:dyDescent="0.2">
      <c r="D1470"/>
      <c r="F1470"/>
    </row>
    <row r="1471" spans="4:6" x14ac:dyDescent="0.2">
      <c r="D1471"/>
      <c r="F1471"/>
    </row>
    <row r="1472" spans="4:6" x14ac:dyDescent="0.2">
      <c r="D1472"/>
      <c r="F1472"/>
    </row>
    <row r="1473" spans="4:6" x14ac:dyDescent="0.2">
      <c r="D1473"/>
      <c r="F1473"/>
    </row>
    <row r="1474" spans="4:6" x14ac:dyDescent="0.2">
      <c r="D1474"/>
      <c r="F1474"/>
    </row>
    <row r="1475" spans="4:6" x14ac:dyDescent="0.2">
      <c r="D1475"/>
      <c r="F1475"/>
    </row>
    <row r="1476" spans="4:6" x14ac:dyDescent="0.2">
      <c r="D1476"/>
      <c r="F1476"/>
    </row>
    <row r="1477" spans="4:6" x14ac:dyDescent="0.2">
      <c r="D1477"/>
      <c r="F1477"/>
    </row>
    <row r="1478" spans="4:6" x14ac:dyDescent="0.2">
      <c r="D1478"/>
      <c r="F1478"/>
    </row>
    <row r="1479" spans="4:6" x14ac:dyDescent="0.2">
      <c r="D1479"/>
      <c r="F1479"/>
    </row>
    <row r="1480" spans="4:6" x14ac:dyDescent="0.2">
      <c r="D1480"/>
      <c r="F1480"/>
    </row>
    <row r="1481" spans="4:6" x14ac:dyDescent="0.2">
      <c r="D1481"/>
      <c r="F1481"/>
    </row>
    <row r="1482" spans="4:6" x14ac:dyDescent="0.2">
      <c r="D1482"/>
      <c r="F1482"/>
    </row>
    <row r="1483" spans="4:6" x14ac:dyDescent="0.2">
      <c r="D1483"/>
      <c r="F1483"/>
    </row>
    <row r="1484" spans="4:6" x14ac:dyDescent="0.2">
      <c r="D1484"/>
      <c r="F1484"/>
    </row>
    <row r="1485" spans="4:6" x14ac:dyDescent="0.2">
      <c r="D1485"/>
      <c r="F1485"/>
    </row>
    <row r="1486" spans="4:6" x14ac:dyDescent="0.2">
      <c r="D1486"/>
      <c r="F1486"/>
    </row>
    <row r="1487" spans="4:6" x14ac:dyDescent="0.2">
      <c r="D1487"/>
      <c r="F1487"/>
    </row>
    <row r="1488" spans="4:6" x14ac:dyDescent="0.2">
      <c r="D1488"/>
      <c r="F1488"/>
    </row>
    <row r="1489" spans="4:6" x14ac:dyDescent="0.2">
      <c r="D1489"/>
      <c r="F1489"/>
    </row>
    <row r="1490" spans="4:6" x14ac:dyDescent="0.2">
      <c r="D1490"/>
      <c r="F1490"/>
    </row>
    <row r="1491" spans="4:6" x14ac:dyDescent="0.2">
      <c r="D1491"/>
      <c r="F1491"/>
    </row>
    <row r="1492" spans="4:6" x14ac:dyDescent="0.2">
      <c r="D1492"/>
      <c r="F1492"/>
    </row>
    <row r="1493" spans="4:6" x14ac:dyDescent="0.2">
      <c r="D1493"/>
      <c r="F1493"/>
    </row>
    <row r="1494" spans="4:6" x14ac:dyDescent="0.2">
      <c r="D1494"/>
      <c r="F1494"/>
    </row>
    <row r="1495" spans="4:6" x14ac:dyDescent="0.2">
      <c r="D1495"/>
      <c r="F1495"/>
    </row>
    <row r="1496" spans="4:6" x14ac:dyDescent="0.2">
      <c r="D1496"/>
      <c r="F1496"/>
    </row>
    <row r="1497" spans="4:6" x14ac:dyDescent="0.2">
      <c r="D1497"/>
      <c r="F1497"/>
    </row>
    <row r="1498" spans="4:6" x14ac:dyDescent="0.2">
      <c r="D1498"/>
      <c r="F1498"/>
    </row>
    <row r="1499" spans="4:6" x14ac:dyDescent="0.2">
      <c r="D1499"/>
      <c r="F1499"/>
    </row>
    <row r="1500" spans="4:6" x14ac:dyDescent="0.2">
      <c r="D1500"/>
      <c r="F1500"/>
    </row>
    <row r="1501" spans="4:6" x14ac:dyDescent="0.2">
      <c r="D1501"/>
      <c r="F1501"/>
    </row>
    <row r="1502" spans="4:6" x14ac:dyDescent="0.2">
      <c r="D1502"/>
      <c r="F1502"/>
    </row>
    <row r="1503" spans="4:6" x14ac:dyDescent="0.2">
      <c r="D1503"/>
      <c r="F1503"/>
    </row>
    <row r="1504" spans="4:6" x14ac:dyDescent="0.2">
      <c r="D1504"/>
      <c r="F1504"/>
    </row>
    <row r="1505" spans="4:6" x14ac:dyDescent="0.2">
      <c r="D1505"/>
      <c r="F1505"/>
    </row>
    <row r="1506" spans="4:6" x14ac:dyDescent="0.2">
      <c r="D1506"/>
      <c r="F1506"/>
    </row>
    <row r="1507" spans="4:6" x14ac:dyDescent="0.2">
      <c r="D1507"/>
      <c r="F1507"/>
    </row>
    <row r="1508" spans="4:6" x14ac:dyDescent="0.2">
      <c r="D1508"/>
      <c r="F1508"/>
    </row>
    <row r="1509" spans="4:6" x14ac:dyDescent="0.2">
      <c r="D1509"/>
      <c r="F1509"/>
    </row>
    <row r="1510" spans="4:6" x14ac:dyDescent="0.2">
      <c r="D1510"/>
      <c r="F1510"/>
    </row>
    <row r="1511" spans="4:6" x14ac:dyDescent="0.2">
      <c r="D1511"/>
      <c r="F1511"/>
    </row>
    <row r="1512" spans="4:6" x14ac:dyDescent="0.2">
      <c r="D1512"/>
      <c r="F1512"/>
    </row>
    <row r="1513" spans="4:6" x14ac:dyDescent="0.2">
      <c r="D1513"/>
      <c r="F1513"/>
    </row>
    <row r="1514" spans="4:6" x14ac:dyDescent="0.2">
      <c r="D1514"/>
      <c r="F1514"/>
    </row>
    <row r="1515" spans="4:6" x14ac:dyDescent="0.2">
      <c r="D1515"/>
      <c r="F1515"/>
    </row>
    <row r="1516" spans="4:6" x14ac:dyDescent="0.2">
      <c r="D1516"/>
      <c r="F1516"/>
    </row>
    <row r="1517" spans="4:6" x14ac:dyDescent="0.2">
      <c r="D1517"/>
      <c r="F1517"/>
    </row>
    <row r="1518" spans="4:6" x14ac:dyDescent="0.2">
      <c r="D1518"/>
      <c r="F1518"/>
    </row>
    <row r="1519" spans="4:6" x14ac:dyDescent="0.2">
      <c r="D1519"/>
      <c r="F1519"/>
    </row>
    <row r="1520" spans="4:6" x14ac:dyDescent="0.2">
      <c r="D1520"/>
      <c r="F1520"/>
    </row>
    <row r="1521" spans="4:6" x14ac:dyDescent="0.2">
      <c r="D1521"/>
      <c r="F1521"/>
    </row>
    <row r="1522" spans="4:6" x14ac:dyDescent="0.2">
      <c r="D1522"/>
      <c r="F1522"/>
    </row>
    <row r="1523" spans="4:6" x14ac:dyDescent="0.2">
      <c r="D1523"/>
      <c r="F1523"/>
    </row>
    <row r="1524" spans="4:6" x14ac:dyDescent="0.2">
      <c r="D1524"/>
      <c r="F1524"/>
    </row>
    <row r="1525" spans="4:6" x14ac:dyDescent="0.2">
      <c r="D1525"/>
      <c r="F1525"/>
    </row>
    <row r="1526" spans="4:6" x14ac:dyDescent="0.2">
      <c r="D1526"/>
      <c r="F1526"/>
    </row>
    <row r="1527" spans="4:6" x14ac:dyDescent="0.2">
      <c r="D1527"/>
      <c r="F1527"/>
    </row>
    <row r="1528" spans="4:6" x14ac:dyDescent="0.2">
      <c r="D1528"/>
      <c r="F1528"/>
    </row>
    <row r="1529" spans="4:6" x14ac:dyDescent="0.2">
      <c r="D1529"/>
      <c r="F1529"/>
    </row>
    <row r="1530" spans="4:6" x14ac:dyDescent="0.2">
      <c r="D1530"/>
      <c r="F1530"/>
    </row>
    <row r="1531" spans="4:6" x14ac:dyDescent="0.2">
      <c r="D1531"/>
      <c r="F1531"/>
    </row>
    <row r="1532" spans="4:6" x14ac:dyDescent="0.2">
      <c r="D1532"/>
      <c r="F1532"/>
    </row>
    <row r="1533" spans="4:6" x14ac:dyDescent="0.2">
      <c r="D1533"/>
      <c r="F1533"/>
    </row>
    <row r="1534" spans="4:6" x14ac:dyDescent="0.2">
      <c r="D1534"/>
      <c r="F1534"/>
    </row>
    <row r="1535" spans="4:6" x14ac:dyDescent="0.2">
      <c r="D1535"/>
      <c r="F1535"/>
    </row>
    <row r="1536" spans="4:6" x14ac:dyDescent="0.2">
      <c r="D1536"/>
      <c r="F1536"/>
    </row>
    <row r="1537" spans="4:6" x14ac:dyDescent="0.2">
      <c r="D1537"/>
      <c r="F1537"/>
    </row>
    <row r="1538" spans="4:6" x14ac:dyDescent="0.2">
      <c r="D1538"/>
      <c r="F1538"/>
    </row>
    <row r="1539" spans="4:6" x14ac:dyDescent="0.2">
      <c r="D1539"/>
      <c r="F1539"/>
    </row>
    <row r="1540" spans="4:6" x14ac:dyDescent="0.2">
      <c r="D1540"/>
      <c r="F1540"/>
    </row>
    <row r="1541" spans="4:6" x14ac:dyDescent="0.2">
      <c r="D1541"/>
      <c r="F1541"/>
    </row>
    <row r="1542" spans="4:6" x14ac:dyDescent="0.2">
      <c r="D1542"/>
      <c r="F1542"/>
    </row>
    <row r="1543" spans="4:6" x14ac:dyDescent="0.2">
      <c r="D1543"/>
      <c r="F1543"/>
    </row>
    <row r="1544" spans="4:6" x14ac:dyDescent="0.2">
      <c r="D1544"/>
      <c r="F1544"/>
    </row>
    <row r="1545" spans="4:6" x14ac:dyDescent="0.2">
      <c r="D1545"/>
      <c r="F1545"/>
    </row>
    <row r="1546" spans="4:6" x14ac:dyDescent="0.2">
      <c r="D1546"/>
      <c r="F1546"/>
    </row>
    <row r="1547" spans="4:6" x14ac:dyDescent="0.2">
      <c r="D1547"/>
      <c r="F1547"/>
    </row>
    <row r="1548" spans="4:6" x14ac:dyDescent="0.2">
      <c r="D1548"/>
      <c r="F1548"/>
    </row>
    <row r="1549" spans="4:6" x14ac:dyDescent="0.2">
      <c r="D1549"/>
      <c r="F1549"/>
    </row>
    <row r="1550" spans="4:6" x14ac:dyDescent="0.2">
      <c r="D1550"/>
      <c r="F1550"/>
    </row>
    <row r="1551" spans="4:6" x14ac:dyDescent="0.2">
      <c r="D1551"/>
      <c r="F1551"/>
    </row>
    <row r="1552" spans="4:6" x14ac:dyDescent="0.2">
      <c r="D1552"/>
      <c r="F1552"/>
    </row>
    <row r="1553" spans="4:6" x14ac:dyDescent="0.2">
      <c r="D1553"/>
      <c r="F1553"/>
    </row>
    <row r="1554" spans="4:6" x14ac:dyDescent="0.2">
      <c r="D1554"/>
      <c r="F1554"/>
    </row>
    <row r="1555" spans="4:6" x14ac:dyDescent="0.2">
      <c r="D1555"/>
      <c r="F1555"/>
    </row>
    <row r="1556" spans="4:6" x14ac:dyDescent="0.2">
      <c r="D1556"/>
      <c r="F1556"/>
    </row>
    <row r="1557" spans="4:6" x14ac:dyDescent="0.2">
      <c r="D1557"/>
      <c r="F1557"/>
    </row>
    <row r="1558" spans="4:6" x14ac:dyDescent="0.2">
      <c r="D1558"/>
      <c r="F1558"/>
    </row>
    <row r="1559" spans="4:6" x14ac:dyDescent="0.2">
      <c r="D1559"/>
      <c r="F1559"/>
    </row>
    <row r="1560" spans="4:6" x14ac:dyDescent="0.2">
      <c r="D1560"/>
      <c r="F1560"/>
    </row>
    <row r="1561" spans="4:6" x14ac:dyDescent="0.2">
      <c r="D1561"/>
      <c r="F1561"/>
    </row>
    <row r="1562" spans="4:6" x14ac:dyDescent="0.2">
      <c r="D1562"/>
      <c r="F1562"/>
    </row>
    <row r="1563" spans="4:6" x14ac:dyDescent="0.2">
      <c r="D1563"/>
      <c r="F1563"/>
    </row>
    <row r="1564" spans="4:6" x14ac:dyDescent="0.2">
      <c r="D1564"/>
      <c r="F1564"/>
    </row>
    <row r="1565" spans="4:6" x14ac:dyDescent="0.2">
      <c r="D1565"/>
      <c r="F1565"/>
    </row>
    <row r="1566" spans="4:6" x14ac:dyDescent="0.2">
      <c r="D1566"/>
      <c r="F1566"/>
    </row>
    <row r="1567" spans="4:6" x14ac:dyDescent="0.2">
      <c r="D1567"/>
      <c r="F1567"/>
    </row>
    <row r="1568" spans="4:6" x14ac:dyDescent="0.2">
      <c r="D1568"/>
      <c r="F1568"/>
    </row>
    <row r="1569" spans="4:6" x14ac:dyDescent="0.2">
      <c r="D1569"/>
      <c r="F1569"/>
    </row>
    <row r="1570" spans="4:6" x14ac:dyDescent="0.2">
      <c r="D1570"/>
      <c r="F1570"/>
    </row>
    <row r="1571" spans="4:6" x14ac:dyDescent="0.2">
      <c r="D1571"/>
      <c r="F1571"/>
    </row>
    <row r="1572" spans="4:6" x14ac:dyDescent="0.2">
      <c r="D1572"/>
      <c r="F1572"/>
    </row>
    <row r="1573" spans="4:6" x14ac:dyDescent="0.2">
      <c r="D1573"/>
      <c r="F1573"/>
    </row>
    <row r="1574" spans="4:6" x14ac:dyDescent="0.2">
      <c r="D1574"/>
      <c r="F1574"/>
    </row>
    <row r="1575" spans="4:6" x14ac:dyDescent="0.2">
      <c r="D1575"/>
      <c r="F1575"/>
    </row>
    <row r="1576" spans="4:6" x14ac:dyDescent="0.2">
      <c r="D1576"/>
      <c r="F1576"/>
    </row>
    <row r="1577" spans="4:6" x14ac:dyDescent="0.2">
      <c r="D1577"/>
      <c r="F1577"/>
    </row>
    <row r="1578" spans="4:6" x14ac:dyDescent="0.2">
      <c r="D1578"/>
      <c r="F1578"/>
    </row>
    <row r="1579" spans="4:6" x14ac:dyDescent="0.2">
      <c r="D1579"/>
      <c r="F1579"/>
    </row>
    <row r="1580" spans="4:6" x14ac:dyDescent="0.2">
      <c r="D1580"/>
      <c r="F1580"/>
    </row>
    <row r="1581" spans="4:6" x14ac:dyDescent="0.2">
      <c r="D1581"/>
      <c r="F1581"/>
    </row>
    <row r="1582" spans="4:6" x14ac:dyDescent="0.2">
      <c r="D1582"/>
      <c r="F1582"/>
    </row>
    <row r="1583" spans="4:6" x14ac:dyDescent="0.2">
      <c r="D1583"/>
      <c r="F1583"/>
    </row>
    <row r="1584" spans="4:6" x14ac:dyDescent="0.2">
      <c r="D1584"/>
      <c r="F1584"/>
    </row>
    <row r="1585" spans="4:6" x14ac:dyDescent="0.2">
      <c r="D1585"/>
      <c r="F1585"/>
    </row>
    <row r="1586" spans="4:6" x14ac:dyDescent="0.2">
      <c r="D1586"/>
      <c r="F1586"/>
    </row>
    <row r="1587" spans="4:6" x14ac:dyDescent="0.2">
      <c r="D1587"/>
      <c r="F1587"/>
    </row>
    <row r="1588" spans="4:6" x14ac:dyDescent="0.2">
      <c r="D1588"/>
      <c r="F1588"/>
    </row>
    <row r="1589" spans="4:6" x14ac:dyDescent="0.2">
      <c r="D1589"/>
      <c r="F1589"/>
    </row>
    <row r="1590" spans="4:6" x14ac:dyDescent="0.2">
      <c r="D1590"/>
      <c r="F1590"/>
    </row>
    <row r="1591" spans="4:6" x14ac:dyDescent="0.2">
      <c r="D1591"/>
      <c r="F1591"/>
    </row>
    <row r="1592" spans="4:6" x14ac:dyDescent="0.2">
      <c r="D1592"/>
      <c r="F1592"/>
    </row>
    <row r="1593" spans="4:6" x14ac:dyDescent="0.2">
      <c r="D1593"/>
      <c r="F1593"/>
    </row>
    <row r="1594" spans="4:6" x14ac:dyDescent="0.2">
      <c r="D1594"/>
      <c r="F1594"/>
    </row>
    <row r="1595" spans="4:6" x14ac:dyDescent="0.2">
      <c r="D1595"/>
      <c r="F1595"/>
    </row>
    <row r="1596" spans="4:6" x14ac:dyDescent="0.2">
      <c r="D1596"/>
      <c r="F1596"/>
    </row>
    <row r="1597" spans="4:6" x14ac:dyDescent="0.2">
      <c r="D1597"/>
      <c r="F1597"/>
    </row>
    <row r="1598" spans="4:6" x14ac:dyDescent="0.2">
      <c r="D1598"/>
      <c r="F1598"/>
    </row>
    <row r="1599" spans="4:6" x14ac:dyDescent="0.2">
      <c r="D1599"/>
      <c r="F1599"/>
    </row>
    <row r="1600" spans="4:6" x14ac:dyDescent="0.2">
      <c r="D1600"/>
      <c r="F1600"/>
    </row>
    <row r="1601" spans="4:6" x14ac:dyDescent="0.2">
      <c r="D1601"/>
      <c r="F1601"/>
    </row>
    <row r="1602" spans="4:6" x14ac:dyDescent="0.2">
      <c r="D1602"/>
      <c r="F1602"/>
    </row>
    <row r="1603" spans="4:6" x14ac:dyDescent="0.2">
      <c r="D1603"/>
      <c r="F1603"/>
    </row>
    <row r="1604" spans="4:6" x14ac:dyDescent="0.2">
      <c r="D1604"/>
      <c r="F1604"/>
    </row>
    <row r="1605" spans="4:6" x14ac:dyDescent="0.2">
      <c r="D1605"/>
      <c r="F1605"/>
    </row>
    <row r="1606" spans="4:6" x14ac:dyDescent="0.2">
      <c r="D1606"/>
      <c r="F1606"/>
    </row>
    <row r="1607" spans="4:6" x14ac:dyDescent="0.2">
      <c r="D1607"/>
      <c r="F1607"/>
    </row>
    <row r="1608" spans="4:6" x14ac:dyDescent="0.2">
      <c r="D1608"/>
      <c r="F1608"/>
    </row>
    <row r="1609" spans="4:6" x14ac:dyDescent="0.2">
      <c r="D1609"/>
      <c r="F1609"/>
    </row>
    <row r="1610" spans="4:6" x14ac:dyDescent="0.2">
      <c r="D1610"/>
      <c r="F1610"/>
    </row>
    <row r="1611" spans="4:6" x14ac:dyDescent="0.2">
      <c r="D1611"/>
      <c r="F1611"/>
    </row>
    <row r="1612" spans="4:6" x14ac:dyDescent="0.2">
      <c r="D1612"/>
      <c r="F1612"/>
    </row>
    <row r="1613" spans="4:6" x14ac:dyDescent="0.2">
      <c r="D1613"/>
      <c r="F1613"/>
    </row>
    <row r="1614" spans="4:6" x14ac:dyDescent="0.2">
      <c r="D1614"/>
      <c r="F1614"/>
    </row>
    <row r="1615" spans="4:6" x14ac:dyDescent="0.2">
      <c r="D1615"/>
      <c r="F1615"/>
    </row>
    <row r="1616" spans="4:6" x14ac:dyDescent="0.2">
      <c r="D1616"/>
      <c r="F1616"/>
    </row>
    <row r="1617" spans="4:6" x14ac:dyDescent="0.2">
      <c r="D1617"/>
      <c r="F1617"/>
    </row>
    <row r="1618" spans="4:6" x14ac:dyDescent="0.2">
      <c r="D1618"/>
      <c r="F1618"/>
    </row>
    <row r="1619" spans="4:6" x14ac:dyDescent="0.2">
      <c r="D1619"/>
      <c r="F1619"/>
    </row>
    <row r="1620" spans="4:6" x14ac:dyDescent="0.2">
      <c r="D1620"/>
      <c r="F1620"/>
    </row>
    <row r="1621" spans="4:6" x14ac:dyDescent="0.2">
      <c r="D1621"/>
      <c r="F1621"/>
    </row>
    <row r="1622" spans="4:6" x14ac:dyDescent="0.2">
      <c r="D1622"/>
      <c r="F1622"/>
    </row>
    <row r="1623" spans="4:6" x14ac:dyDescent="0.2">
      <c r="D1623"/>
      <c r="F1623"/>
    </row>
    <row r="1624" spans="4:6" x14ac:dyDescent="0.2">
      <c r="D1624"/>
      <c r="F1624"/>
    </row>
    <row r="1625" spans="4:6" x14ac:dyDescent="0.2">
      <c r="D1625"/>
      <c r="F1625"/>
    </row>
    <row r="1626" spans="4:6" x14ac:dyDescent="0.2">
      <c r="D1626"/>
      <c r="F1626"/>
    </row>
    <row r="1627" spans="4:6" x14ac:dyDescent="0.2">
      <c r="D1627"/>
      <c r="F1627"/>
    </row>
    <row r="1628" spans="4:6" x14ac:dyDescent="0.2">
      <c r="D1628"/>
      <c r="F1628"/>
    </row>
    <row r="1629" spans="4:6" x14ac:dyDescent="0.2">
      <c r="D1629"/>
      <c r="F1629"/>
    </row>
    <row r="1630" spans="4:6" x14ac:dyDescent="0.2">
      <c r="D1630"/>
      <c r="F1630"/>
    </row>
    <row r="1631" spans="4:6" x14ac:dyDescent="0.2">
      <c r="D1631"/>
      <c r="F1631"/>
    </row>
    <row r="1632" spans="4:6" x14ac:dyDescent="0.2">
      <c r="D1632"/>
      <c r="F1632"/>
    </row>
    <row r="1633" spans="4:6" x14ac:dyDescent="0.2">
      <c r="D1633"/>
      <c r="F1633"/>
    </row>
    <row r="1634" spans="4:6" x14ac:dyDescent="0.2">
      <c r="D1634"/>
      <c r="F1634"/>
    </row>
    <row r="1635" spans="4:6" x14ac:dyDescent="0.2">
      <c r="D1635"/>
      <c r="F1635"/>
    </row>
    <row r="1636" spans="4:6" x14ac:dyDescent="0.2">
      <c r="D1636"/>
      <c r="F1636"/>
    </row>
    <row r="1637" spans="4:6" x14ac:dyDescent="0.2">
      <c r="D1637"/>
      <c r="F1637"/>
    </row>
    <row r="1638" spans="4:6" x14ac:dyDescent="0.2">
      <c r="D1638"/>
      <c r="F1638"/>
    </row>
    <row r="1639" spans="4:6" x14ac:dyDescent="0.2">
      <c r="D1639"/>
      <c r="F1639"/>
    </row>
    <row r="1640" spans="4:6" x14ac:dyDescent="0.2">
      <c r="D1640"/>
      <c r="F1640"/>
    </row>
    <row r="1641" spans="4:6" x14ac:dyDescent="0.2">
      <c r="D1641"/>
      <c r="F1641"/>
    </row>
    <row r="1642" spans="4:6" x14ac:dyDescent="0.2">
      <c r="D1642"/>
      <c r="F1642"/>
    </row>
    <row r="1643" spans="4:6" x14ac:dyDescent="0.2">
      <c r="D1643"/>
      <c r="F1643"/>
    </row>
    <row r="1644" spans="4:6" x14ac:dyDescent="0.2">
      <c r="D1644"/>
      <c r="F1644"/>
    </row>
    <row r="1645" spans="4:6" x14ac:dyDescent="0.2">
      <c r="D1645"/>
      <c r="F1645"/>
    </row>
    <row r="1646" spans="4:6" x14ac:dyDescent="0.2">
      <c r="D1646"/>
      <c r="F1646"/>
    </row>
    <row r="1647" spans="4:6" x14ac:dyDescent="0.2">
      <c r="D1647"/>
      <c r="F1647"/>
    </row>
    <row r="1648" spans="4:6" x14ac:dyDescent="0.2">
      <c r="D1648"/>
      <c r="F1648"/>
    </row>
    <row r="1649" spans="4:6" x14ac:dyDescent="0.2">
      <c r="D1649"/>
      <c r="F1649"/>
    </row>
    <row r="1650" spans="4:6" x14ac:dyDescent="0.2">
      <c r="D1650"/>
      <c r="F1650"/>
    </row>
    <row r="1651" spans="4:6" x14ac:dyDescent="0.2">
      <c r="D1651"/>
      <c r="F1651"/>
    </row>
    <row r="1652" spans="4:6" x14ac:dyDescent="0.2">
      <c r="D1652"/>
      <c r="F1652"/>
    </row>
    <row r="1653" spans="4:6" x14ac:dyDescent="0.2">
      <c r="D1653"/>
      <c r="F1653"/>
    </row>
    <row r="1654" spans="4:6" x14ac:dyDescent="0.2">
      <c r="D1654"/>
      <c r="F1654"/>
    </row>
    <row r="1655" spans="4:6" x14ac:dyDescent="0.2">
      <c r="D1655"/>
      <c r="F1655"/>
    </row>
    <row r="1656" spans="4:6" x14ac:dyDescent="0.2">
      <c r="D1656"/>
      <c r="F1656"/>
    </row>
    <row r="1657" spans="4:6" x14ac:dyDescent="0.2">
      <c r="D1657"/>
      <c r="F1657"/>
    </row>
    <row r="1658" spans="4:6" x14ac:dyDescent="0.2">
      <c r="D1658"/>
      <c r="F1658"/>
    </row>
    <row r="1659" spans="4:6" x14ac:dyDescent="0.2">
      <c r="D1659"/>
      <c r="F1659"/>
    </row>
    <row r="1660" spans="4:6" x14ac:dyDescent="0.2">
      <c r="D1660"/>
      <c r="F1660"/>
    </row>
    <row r="1661" spans="4:6" x14ac:dyDescent="0.2">
      <c r="D1661"/>
      <c r="F1661"/>
    </row>
    <row r="1662" spans="4:6" x14ac:dyDescent="0.2">
      <c r="D1662"/>
      <c r="F1662"/>
    </row>
    <row r="1663" spans="4:6" x14ac:dyDescent="0.2">
      <c r="D1663"/>
      <c r="F1663"/>
    </row>
    <row r="1664" spans="4:6" x14ac:dyDescent="0.2">
      <c r="D1664"/>
      <c r="F1664"/>
    </row>
    <row r="1665" spans="4:6" x14ac:dyDescent="0.2">
      <c r="D1665"/>
      <c r="F1665"/>
    </row>
    <row r="1666" spans="4:6" x14ac:dyDescent="0.2">
      <c r="D1666"/>
      <c r="F1666"/>
    </row>
    <row r="1667" spans="4:6" x14ac:dyDescent="0.2">
      <c r="D1667"/>
      <c r="F1667"/>
    </row>
    <row r="1668" spans="4:6" x14ac:dyDescent="0.2">
      <c r="D1668"/>
      <c r="F1668"/>
    </row>
    <row r="1669" spans="4:6" x14ac:dyDescent="0.2">
      <c r="D1669"/>
      <c r="F1669"/>
    </row>
    <row r="1670" spans="4:6" x14ac:dyDescent="0.2">
      <c r="D1670"/>
      <c r="F1670"/>
    </row>
    <row r="1671" spans="4:6" x14ac:dyDescent="0.2">
      <c r="D1671"/>
      <c r="F1671"/>
    </row>
    <row r="1672" spans="4:6" x14ac:dyDescent="0.2">
      <c r="D1672"/>
      <c r="F1672"/>
    </row>
    <row r="1673" spans="4:6" x14ac:dyDescent="0.2">
      <c r="D1673"/>
      <c r="F1673"/>
    </row>
    <row r="1674" spans="4:6" x14ac:dyDescent="0.2">
      <c r="D1674"/>
      <c r="F1674"/>
    </row>
    <row r="1675" spans="4:6" x14ac:dyDescent="0.2">
      <c r="D1675"/>
      <c r="F1675"/>
    </row>
    <row r="1676" spans="4:6" x14ac:dyDescent="0.2">
      <c r="D1676"/>
      <c r="F1676"/>
    </row>
    <row r="1677" spans="4:6" x14ac:dyDescent="0.2">
      <c r="D1677"/>
      <c r="F1677"/>
    </row>
    <row r="1678" spans="4:6" x14ac:dyDescent="0.2">
      <c r="D1678"/>
      <c r="F1678"/>
    </row>
    <row r="1679" spans="4:6" x14ac:dyDescent="0.2">
      <c r="D1679"/>
      <c r="F1679"/>
    </row>
    <row r="1680" spans="4:6" x14ac:dyDescent="0.2">
      <c r="D1680"/>
      <c r="F1680"/>
    </row>
    <row r="1681" spans="4:6" x14ac:dyDescent="0.2">
      <c r="D1681"/>
      <c r="F1681"/>
    </row>
    <row r="1682" spans="4:6" x14ac:dyDescent="0.2">
      <c r="D1682"/>
      <c r="F1682"/>
    </row>
    <row r="1683" spans="4:6" x14ac:dyDescent="0.2">
      <c r="D1683"/>
      <c r="F1683"/>
    </row>
    <row r="1684" spans="4:6" x14ac:dyDescent="0.2">
      <c r="D1684"/>
      <c r="F1684"/>
    </row>
    <row r="1685" spans="4:6" x14ac:dyDescent="0.2">
      <c r="D1685"/>
      <c r="F1685"/>
    </row>
    <row r="1686" spans="4:6" x14ac:dyDescent="0.2">
      <c r="D1686"/>
      <c r="F1686"/>
    </row>
    <row r="1687" spans="4:6" x14ac:dyDescent="0.2">
      <c r="D1687"/>
      <c r="F1687"/>
    </row>
    <row r="1688" spans="4:6" x14ac:dyDescent="0.2">
      <c r="D1688"/>
      <c r="F1688"/>
    </row>
    <row r="1689" spans="4:6" x14ac:dyDescent="0.2">
      <c r="D1689"/>
      <c r="F1689"/>
    </row>
    <row r="1690" spans="4:6" x14ac:dyDescent="0.2">
      <c r="D1690"/>
      <c r="F1690"/>
    </row>
    <row r="1691" spans="4:6" x14ac:dyDescent="0.2">
      <c r="D1691"/>
      <c r="F1691"/>
    </row>
    <row r="1692" spans="4:6" x14ac:dyDescent="0.2">
      <c r="D1692"/>
      <c r="F1692"/>
    </row>
    <row r="1693" spans="4:6" x14ac:dyDescent="0.2">
      <c r="D1693"/>
      <c r="F1693"/>
    </row>
    <row r="1694" spans="4:6" x14ac:dyDescent="0.2">
      <c r="D1694"/>
      <c r="F1694"/>
    </row>
    <row r="1695" spans="4:6" x14ac:dyDescent="0.2">
      <c r="D1695"/>
      <c r="F1695"/>
    </row>
    <row r="1696" spans="4:6" x14ac:dyDescent="0.2">
      <c r="D1696"/>
      <c r="F1696"/>
    </row>
    <row r="1697" spans="4:6" x14ac:dyDescent="0.2">
      <c r="D1697"/>
      <c r="F1697"/>
    </row>
    <row r="1698" spans="4:6" x14ac:dyDescent="0.2">
      <c r="D1698"/>
      <c r="F1698"/>
    </row>
    <row r="1699" spans="4:6" x14ac:dyDescent="0.2">
      <c r="D1699"/>
      <c r="F1699"/>
    </row>
    <row r="1700" spans="4:6" x14ac:dyDescent="0.2">
      <c r="D1700"/>
      <c r="F1700"/>
    </row>
    <row r="1701" spans="4:6" x14ac:dyDescent="0.2">
      <c r="D1701"/>
      <c r="F1701"/>
    </row>
    <row r="1702" spans="4:6" x14ac:dyDescent="0.2">
      <c r="D1702"/>
      <c r="F1702"/>
    </row>
    <row r="1703" spans="4:6" x14ac:dyDescent="0.2">
      <c r="D1703"/>
      <c r="F1703"/>
    </row>
    <row r="1704" spans="4:6" x14ac:dyDescent="0.2">
      <c r="D1704"/>
      <c r="F1704"/>
    </row>
    <row r="1705" spans="4:6" x14ac:dyDescent="0.2">
      <c r="D1705"/>
      <c r="F1705"/>
    </row>
    <row r="1706" spans="4:6" x14ac:dyDescent="0.2">
      <c r="D1706"/>
      <c r="F1706"/>
    </row>
    <row r="1707" spans="4:6" x14ac:dyDescent="0.2">
      <c r="D1707"/>
      <c r="F1707"/>
    </row>
    <row r="1708" spans="4:6" x14ac:dyDescent="0.2">
      <c r="D1708"/>
      <c r="F1708"/>
    </row>
    <row r="1709" spans="4:6" x14ac:dyDescent="0.2">
      <c r="D1709"/>
      <c r="F1709"/>
    </row>
    <row r="1710" spans="4:6" x14ac:dyDescent="0.2">
      <c r="D1710"/>
      <c r="F1710"/>
    </row>
    <row r="1711" spans="4:6" x14ac:dyDescent="0.2">
      <c r="D1711"/>
      <c r="F1711"/>
    </row>
    <row r="1712" spans="4:6" x14ac:dyDescent="0.2">
      <c r="D1712"/>
      <c r="F1712"/>
    </row>
    <row r="1713" spans="4:6" x14ac:dyDescent="0.2">
      <c r="D1713"/>
      <c r="F1713"/>
    </row>
    <row r="1714" spans="4:6" x14ac:dyDescent="0.2">
      <c r="D1714"/>
      <c r="F1714"/>
    </row>
    <row r="1715" spans="4:6" x14ac:dyDescent="0.2">
      <c r="D1715"/>
      <c r="F1715"/>
    </row>
    <row r="1716" spans="4:6" x14ac:dyDescent="0.2">
      <c r="D1716"/>
      <c r="F1716"/>
    </row>
    <row r="1717" spans="4:6" x14ac:dyDescent="0.2">
      <c r="D1717"/>
      <c r="F1717"/>
    </row>
    <row r="1718" spans="4:6" x14ac:dyDescent="0.2">
      <c r="D1718"/>
      <c r="F1718"/>
    </row>
    <row r="1719" spans="4:6" x14ac:dyDescent="0.2">
      <c r="D1719"/>
      <c r="F1719"/>
    </row>
    <row r="1720" spans="4:6" x14ac:dyDescent="0.2">
      <c r="D1720"/>
      <c r="F1720"/>
    </row>
    <row r="1721" spans="4:6" x14ac:dyDescent="0.2">
      <c r="D1721"/>
      <c r="F1721"/>
    </row>
    <row r="1722" spans="4:6" x14ac:dyDescent="0.2">
      <c r="D1722"/>
      <c r="F1722"/>
    </row>
    <row r="1723" spans="4:6" x14ac:dyDescent="0.2">
      <c r="D1723"/>
      <c r="F1723"/>
    </row>
    <row r="1724" spans="4:6" x14ac:dyDescent="0.2">
      <c r="D1724"/>
      <c r="F1724"/>
    </row>
    <row r="1725" spans="4:6" x14ac:dyDescent="0.2">
      <c r="D1725"/>
      <c r="F1725"/>
    </row>
    <row r="1726" spans="4:6" x14ac:dyDescent="0.2">
      <c r="D1726"/>
      <c r="F1726"/>
    </row>
    <row r="1727" spans="4:6" x14ac:dyDescent="0.2">
      <c r="D1727"/>
      <c r="F1727"/>
    </row>
    <row r="1728" spans="4:6" x14ac:dyDescent="0.2">
      <c r="D1728"/>
      <c r="F1728"/>
    </row>
    <row r="1729" spans="4:6" x14ac:dyDescent="0.2">
      <c r="D1729"/>
      <c r="F1729"/>
    </row>
    <row r="1730" spans="4:6" x14ac:dyDescent="0.2">
      <c r="D1730"/>
      <c r="F1730"/>
    </row>
    <row r="1731" spans="4:6" x14ac:dyDescent="0.2">
      <c r="D1731"/>
      <c r="F1731"/>
    </row>
    <row r="1732" spans="4:6" x14ac:dyDescent="0.2">
      <c r="D1732"/>
      <c r="F1732"/>
    </row>
    <row r="1733" spans="4:6" x14ac:dyDescent="0.2">
      <c r="D1733"/>
      <c r="F1733"/>
    </row>
    <row r="1734" spans="4:6" x14ac:dyDescent="0.2">
      <c r="D1734"/>
      <c r="F1734"/>
    </row>
    <row r="1735" spans="4:6" x14ac:dyDescent="0.2">
      <c r="D1735"/>
      <c r="F1735"/>
    </row>
    <row r="1736" spans="4:6" x14ac:dyDescent="0.2">
      <c r="D1736"/>
      <c r="F1736"/>
    </row>
    <row r="1737" spans="4:6" x14ac:dyDescent="0.2">
      <c r="D1737"/>
      <c r="F1737"/>
    </row>
    <row r="1738" spans="4:6" x14ac:dyDescent="0.2">
      <c r="D1738"/>
      <c r="F1738"/>
    </row>
    <row r="1739" spans="4:6" x14ac:dyDescent="0.2">
      <c r="D1739"/>
      <c r="F1739"/>
    </row>
    <row r="1740" spans="4:6" x14ac:dyDescent="0.2">
      <c r="D1740"/>
      <c r="F1740"/>
    </row>
    <row r="1741" spans="4:6" x14ac:dyDescent="0.2">
      <c r="D1741"/>
      <c r="F1741"/>
    </row>
    <row r="1742" spans="4:6" x14ac:dyDescent="0.2">
      <c r="D1742"/>
      <c r="F1742"/>
    </row>
    <row r="1743" spans="4:6" x14ac:dyDescent="0.2">
      <c r="D1743"/>
      <c r="F1743"/>
    </row>
    <row r="1744" spans="4:6" x14ac:dyDescent="0.2">
      <c r="D1744"/>
      <c r="F1744"/>
    </row>
    <row r="1745" spans="4:6" x14ac:dyDescent="0.2">
      <c r="D1745"/>
      <c r="F1745"/>
    </row>
    <row r="1746" spans="4:6" x14ac:dyDescent="0.2">
      <c r="D1746"/>
      <c r="F1746"/>
    </row>
    <row r="1747" spans="4:6" x14ac:dyDescent="0.2">
      <c r="D1747"/>
      <c r="F1747"/>
    </row>
    <row r="1748" spans="4:6" x14ac:dyDescent="0.2">
      <c r="D1748"/>
      <c r="F1748"/>
    </row>
    <row r="1749" spans="4:6" x14ac:dyDescent="0.2">
      <c r="D1749"/>
      <c r="F1749"/>
    </row>
    <row r="1750" spans="4:6" x14ac:dyDescent="0.2">
      <c r="D1750"/>
      <c r="F1750"/>
    </row>
    <row r="1751" spans="4:6" x14ac:dyDescent="0.2">
      <c r="D1751"/>
      <c r="F1751"/>
    </row>
    <row r="1752" spans="4:6" x14ac:dyDescent="0.2">
      <c r="D1752"/>
      <c r="F1752"/>
    </row>
    <row r="1753" spans="4:6" x14ac:dyDescent="0.2">
      <c r="D1753"/>
      <c r="F1753"/>
    </row>
    <row r="1754" spans="4:6" x14ac:dyDescent="0.2">
      <c r="D1754"/>
      <c r="F1754"/>
    </row>
    <row r="1755" spans="4:6" x14ac:dyDescent="0.2">
      <c r="D1755"/>
      <c r="F1755"/>
    </row>
    <row r="1756" spans="4:6" x14ac:dyDescent="0.2">
      <c r="D1756"/>
      <c r="F1756"/>
    </row>
    <row r="1757" spans="4:6" x14ac:dyDescent="0.2">
      <c r="D1757"/>
      <c r="F1757"/>
    </row>
    <row r="1758" spans="4:6" x14ac:dyDescent="0.2">
      <c r="D1758"/>
      <c r="F1758"/>
    </row>
    <row r="1759" spans="4:6" x14ac:dyDescent="0.2">
      <c r="D1759"/>
      <c r="F1759"/>
    </row>
    <row r="1760" spans="4:6" x14ac:dyDescent="0.2">
      <c r="D1760"/>
      <c r="F1760"/>
    </row>
    <row r="1761" spans="4:6" x14ac:dyDescent="0.2">
      <c r="D1761"/>
      <c r="F1761"/>
    </row>
    <row r="1762" spans="4:6" x14ac:dyDescent="0.2">
      <c r="D1762"/>
      <c r="F1762"/>
    </row>
    <row r="1763" spans="4:6" x14ac:dyDescent="0.2">
      <c r="D1763"/>
      <c r="F1763"/>
    </row>
    <row r="1764" spans="4:6" x14ac:dyDescent="0.2">
      <c r="D1764"/>
      <c r="F1764"/>
    </row>
    <row r="1765" spans="4:6" x14ac:dyDescent="0.2">
      <c r="D1765"/>
      <c r="F1765"/>
    </row>
    <row r="1766" spans="4:6" x14ac:dyDescent="0.2">
      <c r="D1766"/>
      <c r="F1766"/>
    </row>
    <row r="1767" spans="4:6" x14ac:dyDescent="0.2">
      <c r="D1767"/>
      <c r="F1767"/>
    </row>
    <row r="1768" spans="4:6" x14ac:dyDescent="0.2">
      <c r="D1768"/>
      <c r="F1768"/>
    </row>
    <row r="1769" spans="4:6" x14ac:dyDescent="0.2">
      <c r="D1769"/>
      <c r="F1769"/>
    </row>
    <row r="1770" spans="4:6" x14ac:dyDescent="0.2">
      <c r="D1770"/>
      <c r="F1770"/>
    </row>
    <row r="1771" spans="4:6" x14ac:dyDescent="0.2">
      <c r="D1771"/>
      <c r="F1771"/>
    </row>
    <row r="1772" spans="4:6" x14ac:dyDescent="0.2">
      <c r="D1772"/>
      <c r="F1772"/>
    </row>
    <row r="1773" spans="4:6" x14ac:dyDescent="0.2">
      <c r="D1773"/>
      <c r="F1773"/>
    </row>
    <row r="1774" spans="4:6" x14ac:dyDescent="0.2">
      <c r="D1774"/>
      <c r="F1774"/>
    </row>
    <row r="1775" spans="4:6" x14ac:dyDescent="0.2">
      <c r="D1775"/>
      <c r="F1775"/>
    </row>
    <row r="1776" spans="4:6" x14ac:dyDescent="0.2">
      <c r="D1776"/>
      <c r="F1776"/>
    </row>
    <row r="1777" spans="4:6" x14ac:dyDescent="0.2">
      <c r="D1777"/>
      <c r="F1777"/>
    </row>
    <row r="1778" spans="4:6" x14ac:dyDescent="0.2">
      <c r="D1778"/>
      <c r="F1778"/>
    </row>
    <row r="1779" spans="4:6" x14ac:dyDescent="0.2">
      <c r="D1779"/>
      <c r="F1779"/>
    </row>
    <row r="1780" spans="4:6" x14ac:dyDescent="0.2">
      <c r="D1780"/>
      <c r="F1780"/>
    </row>
    <row r="1781" spans="4:6" x14ac:dyDescent="0.2">
      <c r="D1781"/>
      <c r="F1781"/>
    </row>
    <row r="1782" spans="4:6" x14ac:dyDescent="0.2">
      <c r="D1782"/>
      <c r="F1782"/>
    </row>
    <row r="1783" spans="4:6" x14ac:dyDescent="0.2">
      <c r="D1783"/>
      <c r="F1783"/>
    </row>
    <row r="1784" spans="4:6" x14ac:dyDescent="0.2">
      <c r="D1784"/>
      <c r="F1784"/>
    </row>
    <row r="1785" spans="4:6" x14ac:dyDescent="0.2">
      <c r="D1785"/>
      <c r="F1785"/>
    </row>
    <row r="1786" spans="4:6" x14ac:dyDescent="0.2">
      <c r="D1786"/>
      <c r="F1786"/>
    </row>
    <row r="1787" spans="4:6" x14ac:dyDescent="0.2">
      <c r="D1787"/>
      <c r="F1787"/>
    </row>
    <row r="1788" spans="4:6" x14ac:dyDescent="0.2">
      <c r="D1788"/>
      <c r="F1788"/>
    </row>
    <row r="1789" spans="4:6" x14ac:dyDescent="0.2">
      <c r="D1789"/>
      <c r="F1789"/>
    </row>
    <row r="1790" spans="4:6" x14ac:dyDescent="0.2">
      <c r="D1790"/>
      <c r="F1790"/>
    </row>
    <row r="1791" spans="4:6" x14ac:dyDescent="0.2">
      <c r="D1791"/>
      <c r="F1791"/>
    </row>
    <row r="1792" spans="4:6" x14ac:dyDescent="0.2">
      <c r="D1792"/>
      <c r="F1792"/>
    </row>
    <row r="1793" spans="4:6" x14ac:dyDescent="0.2">
      <c r="D1793"/>
      <c r="F1793"/>
    </row>
    <row r="1794" spans="4:6" x14ac:dyDescent="0.2">
      <c r="D1794"/>
      <c r="F1794"/>
    </row>
    <row r="1795" spans="4:6" x14ac:dyDescent="0.2">
      <c r="D1795"/>
      <c r="F1795"/>
    </row>
    <row r="1796" spans="4:6" x14ac:dyDescent="0.2">
      <c r="D1796"/>
      <c r="F1796"/>
    </row>
    <row r="1797" spans="4:6" x14ac:dyDescent="0.2">
      <c r="D1797"/>
      <c r="F1797"/>
    </row>
    <row r="1798" spans="4:6" x14ac:dyDescent="0.2">
      <c r="D1798"/>
      <c r="F1798"/>
    </row>
    <row r="1799" spans="4:6" x14ac:dyDescent="0.2">
      <c r="D1799"/>
      <c r="F1799"/>
    </row>
    <row r="1800" spans="4:6" x14ac:dyDescent="0.2">
      <c r="D1800"/>
      <c r="F1800"/>
    </row>
    <row r="1801" spans="4:6" x14ac:dyDescent="0.2">
      <c r="D1801"/>
      <c r="F1801"/>
    </row>
    <row r="1802" spans="4:6" x14ac:dyDescent="0.2">
      <c r="D1802"/>
      <c r="F1802"/>
    </row>
    <row r="1803" spans="4:6" x14ac:dyDescent="0.2">
      <c r="D1803"/>
      <c r="F1803"/>
    </row>
    <row r="1804" spans="4:6" x14ac:dyDescent="0.2">
      <c r="D1804"/>
      <c r="F1804"/>
    </row>
    <row r="1805" spans="4:6" x14ac:dyDescent="0.2">
      <c r="D1805"/>
      <c r="F1805"/>
    </row>
    <row r="1806" spans="4:6" x14ac:dyDescent="0.2">
      <c r="D1806"/>
      <c r="F1806"/>
    </row>
    <row r="1807" spans="4:6" x14ac:dyDescent="0.2">
      <c r="D1807"/>
      <c r="F1807"/>
    </row>
    <row r="1808" spans="4:6" x14ac:dyDescent="0.2">
      <c r="D1808"/>
      <c r="F1808"/>
    </row>
    <row r="1809" spans="4:6" x14ac:dyDescent="0.2">
      <c r="D1809"/>
      <c r="F1809"/>
    </row>
    <row r="1810" spans="4:6" x14ac:dyDescent="0.2">
      <c r="D1810"/>
      <c r="F1810"/>
    </row>
    <row r="1811" spans="4:6" x14ac:dyDescent="0.2">
      <c r="D1811"/>
      <c r="F1811"/>
    </row>
    <row r="1812" spans="4:6" x14ac:dyDescent="0.2">
      <c r="D1812"/>
      <c r="F1812"/>
    </row>
    <row r="1813" spans="4:6" x14ac:dyDescent="0.2">
      <c r="D1813"/>
      <c r="F1813"/>
    </row>
    <row r="1814" spans="4:6" x14ac:dyDescent="0.2">
      <c r="D1814"/>
      <c r="F1814"/>
    </row>
    <row r="1815" spans="4:6" x14ac:dyDescent="0.2">
      <c r="D1815"/>
      <c r="F1815"/>
    </row>
    <row r="1816" spans="4:6" x14ac:dyDescent="0.2">
      <c r="D1816"/>
      <c r="F1816"/>
    </row>
    <row r="1817" spans="4:6" x14ac:dyDescent="0.2">
      <c r="D1817"/>
      <c r="F1817"/>
    </row>
    <row r="1818" spans="4:6" x14ac:dyDescent="0.2">
      <c r="D1818"/>
      <c r="F1818"/>
    </row>
    <row r="1819" spans="4:6" x14ac:dyDescent="0.2">
      <c r="D1819"/>
      <c r="F1819"/>
    </row>
    <row r="1820" spans="4:6" x14ac:dyDescent="0.2">
      <c r="D1820"/>
      <c r="F1820"/>
    </row>
    <row r="1821" spans="4:6" x14ac:dyDescent="0.2">
      <c r="D1821"/>
      <c r="F1821"/>
    </row>
    <row r="1822" spans="4:6" x14ac:dyDescent="0.2">
      <c r="D1822"/>
      <c r="F1822"/>
    </row>
    <row r="1823" spans="4:6" x14ac:dyDescent="0.2">
      <c r="D1823"/>
      <c r="F1823"/>
    </row>
    <row r="1824" spans="4:6" x14ac:dyDescent="0.2">
      <c r="D1824"/>
      <c r="F1824"/>
    </row>
    <row r="1825" spans="4:6" x14ac:dyDescent="0.2">
      <c r="D1825"/>
      <c r="F1825"/>
    </row>
    <row r="1826" spans="4:6" x14ac:dyDescent="0.2">
      <c r="D1826"/>
      <c r="F1826"/>
    </row>
    <row r="1827" spans="4:6" x14ac:dyDescent="0.2">
      <c r="D1827"/>
      <c r="F1827"/>
    </row>
    <row r="1828" spans="4:6" x14ac:dyDescent="0.2">
      <c r="D1828"/>
      <c r="F1828"/>
    </row>
    <row r="1829" spans="4:6" x14ac:dyDescent="0.2">
      <c r="D1829"/>
      <c r="F1829"/>
    </row>
    <row r="1830" spans="4:6" x14ac:dyDescent="0.2">
      <c r="D1830"/>
      <c r="F1830"/>
    </row>
    <row r="1831" spans="4:6" x14ac:dyDescent="0.2">
      <c r="D1831"/>
      <c r="F1831"/>
    </row>
    <row r="1832" spans="4:6" x14ac:dyDescent="0.2">
      <c r="D1832"/>
      <c r="F1832"/>
    </row>
    <row r="1833" spans="4:6" x14ac:dyDescent="0.2">
      <c r="D1833"/>
      <c r="F1833"/>
    </row>
    <row r="1834" spans="4:6" x14ac:dyDescent="0.2">
      <c r="D1834"/>
      <c r="F1834"/>
    </row>
    <row r="1835" spans="4:6" x14ac:dyDescent="0.2">
      <c r="D1835"/>
      <c r="F1835"/>
    </row>
    <row r="1836" spans="4:6" x14ac:dyDescent="0.2">
      <c r="D1836"/>
      <c r="F1836"/>
    </row>
    <row r="1837" spans="4:6" x14ac:dyDescent="0.2">
      <c r="D1837"/>
      <c r="F1837"/>
    </row>
    <row r="1838" spans="4:6" x14ac:dyDescent="0.2">
      <c r="D1838"/>
      <c r="F1838"/>
    </row>
    <row r="1839" spans="4:6" x14ac:dyDescent="0.2">
      <c r="D1839"/>
      <c r="F1839"/>
    </row>
    <row r="1840" spans="4:6" x14ac:dyDescent="0.2">
      <c r="D1840"/>
      <c r="F1840"/>
    </row>
    <row r="1841" spans="4:6" x14ac:dyDescent="0.2">
      <c r="D1841"/>
      <c r="F1841"/>
    </row>
    <row r="1842" spans="4:6" x14ac:dyDescent="0.2">
      <c r="D1842"/>
      <c r="F1842"/>
    </row>
    <row r="1843" spans="4:6" x14ac:dyDescent="0.2">
      <c r="D1843"/>
      <c r="F1843"/>
    </row>
    <row r="1844" spans="4:6" x14ac:dyDescent="0.2">
      <c r="D1844"/>
      <c r="F1844"/>
    </row>
    <row r="1845" spans="4:6" x14ac:dyDescent="0.2">
      <c r="D1845"/>
      <c r="F1845"/>
    </row>
    <row r="1846" spans="4:6" x14ac:dyDescent="0.2">
      <c r="D1846"/>
      <c r="F1846"/>
    </row>
    <row r="1847" spans="4:6" x14ac:dyDescent="0.2">
      <c r="D1847"/>
      <c r="F1847"/>
    </row>
    <row r="1848" spans="4:6" x14ac:dyDescent="0.2">
      <c r="D1848"/>
      <c r="F1848"/>
    </row>
    <row r="1849" spans="4:6" x14ac:dyDescent="0.2">
      <c r="D1849"/>
      <c r="F1849"/>
    </row>
    <row r="1850" spans="4:6" x14ac:dyDescent="0.2">
      <c r="D1850"/>
      <c r="F1850"/>
    </row>
    <row r="1851" spans="4:6" x14ac:dyDescent="0.2">
      <c r="D1851"/>
      <c r="F1851"/>
    </row>
    <row r="1852" spans="4:6" x14ac:dyDescent="0.2">
      <c r="D1852"/>
      <c r="F1852"/>
    </row>
    <row r="1853" spans="4:6" x14ac:dyDescent="0.2">
      <c r="D1853"/>
      <c r="F1853"/>
    </row>
    <row r="1854" spans="4:6" x14ac:dyDescent="0.2">
      <c r="D1854"/>
      <c r="F1854"/>
    </row>
    <row r="1855" spans="4:6" x14ac:dyDescent="0.2">
      <c r="D1855"/>
      <c r="F1855"/>
    </row>
    <row r="1856" spans="4:6" x14ac:dyDescent="0.2">
      <c r="D1856"/>
      <c r="F1856"/>
    </row>
    <row r="1857" spans="4:6" x14ac:dyDescent="0.2">
      <c r="D1857"/>
      <c r="F1857"/>
    </row>
    <row r="1858" spans="4:6" x14ac:dyDescent="0.2">
      <c r="D1858"/>
      <c r="F1858"/>
    </row>
    <row r="1859" spans="4:6" x14ac:dyDescent="0.2">
      <c r="D1859"/>
      <c r="F1859"/>
    </row>
    <row r="1860" spans="4:6" x14ac:dyDescent="0.2">
      <c r="D1860"/>
      <c r="F1860"/>
    </row>
    <row r="1861" spans="4:6" x14ac:dyDescent="0.2">
      <c r="D1861"/>
      <c r="F1861"/>
    </row>
    <row r="1862" spans="4:6" x14ac:dyDescent="0.2">
      <c r="D1862"/>
      <c r="F1862"/>
    </row>
    <row r="1863" spans="4:6" x14ac:dyDescent="0.2">
      <c r="D1863"/>
      <c r="F1863"/>
    </row>
    <row r="1864" spans="4:6" x14ac:dyDescent="0.2">
      <c r="D1864"/>
      <c r="F1864"/>
    </row>
    <row r="1865" spans="4:6" x14ac:dyDescent="0.2">
      <c r="D1865"/>
      <c r="F1865"/>
    </row>
    <row r="1866" spans="4:6" x14ac:dyDescent="0.2">
      <c r="D1866"/>
      <c r="F1866"/>
    </row>
    <row r="1867" spans="4:6" x14ac:dyDescent="0.2">
      <c r="D1867"/>
      <c r="F1867"/>
    </row>
    <row r="1868" spans="4:6" x14ac:dyDescent="0.2">
      <c r="D1868"/>
      <c r="F1868"/>
    </row>
    <row r="1869" spans="4:6" x14ac:dyDescent="0.2">
      <c r="D1869"/>
      <c r="F1869"/>
    </row>
    <row r="1870" spans="4:6" x14ac:dyDescent="0.2">
      <c r="D1870"/>
      <c r="F1870"/>
    </row>
    <row r="1871" spans="4:6" x14ac:dyDescent="0.2">
      <c r="D1871"/>
      <c r="F1871"/>
    </row>
    <row r="1872" spans="4:6" x14ac:dyDescent="0.2">
      <c r="D1872"/>
      <c r="F1872"/>
    </row>
    <row r="1873" spans="4:6" x14ac:dyDescent="0.2">
      <c r="D1873"/>
      <c r="F1873"/>
    </row>
    <row r="1874" spans="4:6" x14ac:dyDescent="0.2">
      <c r="D1874"/>
      <c r="F1874"/>
    </row>
    <row r="1875" spans="4:6" x14ac:dyDescent="0.2">
      <c r="D1875"/>
      <c r="F1875"/>
    </row>
    <row r="1876" spans="4:6" x14ac:dyDescent="0.2">
      <c r="D1876"/>
      <c r="F1876"/>
    </row>
    <row r="1877" spans="4:6" x14ac:dyDescent="0.2">
      <c r="D1877"/>
      <c r="F1877"/>
    </row>
    <row r="1878" spans="4:6" x14ac:dyDescent="0.2">
      <c r="D1878"/>
      <c r="F1878"/>
    </row>
    <row r="1879" spans="4:6" x14ac:dyDescent="0.2">
      <c r="D1879"/>
      <c r="F1879"/>
    </row>
    <row r="1880" spans="4:6" x14ac:dyDescent="0.2">
      <c r="D1880"/>
      <c r="F1880"/>
    </row>
    <row r="1881" spans="4:6" x14ac:dyDescent="0.2">
      <c r="D1881"/>
      <c r="F1881"/>
    </row>
    <row r="1882" spans="4:6" x14ac:dyDescent="0.2">
      <c r="D1882"/>
      <c r="F1882"/>
    </row>
    <row r="1883" spans="4:6" x14ac:dyDescent="0.2">
      <c r="D1883"/>
      <c r="F1883"/>
    </row>
    <row r="1884" spans="4:6" x14ac:dyDescent="0.2">
      <c r="D1884"/>
      <c r="F1884"/>
    </row>
    <row r="1885" spans="4:6" x14ac:dyDescent="0.2">
      <c r="D1885"/>
      <c r="F1885"/>
    </row>
    <row r="1886" spans="4:6" x14ac:dyDescent="0.2">
      <c r="D1886"/>
      <c r="F1886"/>
    </row>
    <row r="1887" spans="4:6" x14ac:dyDescent="0.2">
      <c r="D1887"/>
      <c r="F1887"/>
    </row>
    <row r="1888" spans="4:6" x14ac:dyDescent="0.2">
      <c r="D1888"/>
      <c r="F1888"/>
    </row>
    <row r="1889" spans="4:6" x14ac:dyDescent="0.2">
      <c r="D1889"/>
      <c r="F1889"/>
    </row>
    <row r="1890" spans="4:6" x14ac:dyDescent="0.2">
      <c r="D1890"/>
      <c r="F1890"/>
    </row>
    <row r="1891" spans="4:6" x14ac:dyDescent="0.2">
      <c r="D1891"/>
      <c r="F1891"/>
    </row>
    <row r="1892" spans="4:6" x14ac:dyDescent="0.2">
      <c r="D1892"/>
      <c r="F1892"/>
    </row>
    <row r="1893" spans="4:6" x14ac:dyDescent="0.2">
      <c r="D1893"/>
      <c r="F1893"/>
    </row>
    <row r="1894" spans="4:6" x14ac:dyDescent="0.2">
      <c r="D1894"/>
      <c r="F1894"/>
    </row>
    <row r="1895" spans="4:6" x14ac:dyDescent="0.2">
      <c r="D1895"/>
      <c r="F1895"/>
    </row>
    <row r="1896" spans="4:6" x14ac:dyDescent="0.2">
      <c r="D1896"/>
      <c r="F1896"/>
    </row>
    <row r="1897" spans="4:6" x14ac:dyDescent="0.2">
      <c r="D1897"/>
      <c r="F1897"/>
    </row>
    <row r="1898" spans="4:6" x14ac:dyDescent="0.2">
      <c r="D1898"/>
      <c r="F1898"/>
    </row>
    <row r="1899" spans="4:6" x14ac:dyDescent="0.2">
      <c r="D1899"/>
      <c r="F1899"/>
    </row>
    <row r="1900" spans="4:6" x14ac:dyDescent="0.2">
      <c r="D1900"/>
      <c r="F1900"/>
    </row>
    <row r="1901" spans="4:6" x14ac:dyDescent="0.2">
      <c r="D1901"/>
      <c r="F1901"/>
    </row>
    <row r="1902" spans="4:6" x14ac:dyDescent="0.2">
      <c r="D1902"/>
      <c r="F1902"/>
    </row>
    <row r="1903" spans="4:6" x14ac:dyDescent="0.2">
      <c r="D1903"/>
      <c r="F1903"/>
    </row>
    <row r="1904" spans="4:6" x14ac:dyDescent="0.2">
      <c r="D1904"/>
      <c r="F1904"/>
    </row>
    <row r="1905" spans="4:6" x14ac:dyDescent="0.2">
      <c r="D1905"/>
      <c r="F1905"/>
    </row>
    <row r="1906" spans="4:6" x14ac:dyDescent="0.2">
      <c r="D1906"/>
      <c r="F1906"/>
    </row>
    <row r="1907" spans="4:6" x14ac:dyDescent="0.2">
      <c r="D1907"/>
      <c r="F1907"/>
    </row>
    <row r="1908" spans="4:6" x14ac:dyDescent="0.2">
      <c r="D1908"/>
      <c r="F1908"/>
    </row>
    <row r="1909" spans="4:6" x14ac:dyDescent="0.2">
      <c r="D1909"/>
      <c r="F1909"/>
    </row>
    <row r="1910" spans="4:6" x14ac:dyDescent="0.2">
      <c r="D1910"/>
      <c r="F1910"/>
    </row>
    <row r="1911" spans="4:6" x14ac:dyDescent="0.2">
      <c r="D1911"/>
      <c r="F1911"/>
    </row>
    <row r="1912" spans="4:6" x14ac:dyDescent="0.2">
      <c r="D1912"/>
      <c r="F1912"/>
    </row>
    <row r="1913" spans="4:6" x14ac:dyDescent="0.2">
      <c r="D1913"/>
      <c r="F1913"/>
    </row>
    <row r="1914" spans="4:6" x14ac:dyDescent="0.2">
      <c r="D1914"/>
      <c r="F1914"/>
    </row>
    <row r="1915" spans="4:6" x14ac:dyDescent="0.2">
      <c r="D1915"/>
      <c r="F1915"/>
    </row>
    <row r="1916" spans="4:6" x14ac:dyDescent="0.2">
      <c r="D1916"/>
      <c r="F1916"/>
    </row>
    <row r="1917" spans="4:6" x14ac:dyDescent="0.2">
      <c r="D1917"/>
      <c r="F1917"/>
    </row>
    <row r="1918" spans="4:6" x14ac:dyDescent="0.2">
      <c r="D1918"/>
      <c r="F1918"/>
    </row>
    <row r="1919" spans="4:6" x14ac:dyDescent="0.2">
      <c r="D1919"/>
      <c r="F1919"/>
    </row>
    <row r="1920" spans="4:6" x14ac:dyDescent="0.2">
      <c r="D1920"/>
      <c r="F1920"/>
    </row>
    <row r="3707" ht="12" customHeight="1"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MigrationWizId xmlns="5fe4324c-65b2-4aa2-bf04-7c0a4ffe72fe" xsi:nil="true"/>
    <MigrationWizIdPermissionLevels xmlns="5fe4324c-65b2-4aa2-bf04-7c0a4ffe72fe" xsi:nil="true"/>
    <MigrationWizIdPermissions xmlns="5fe4324c-65b2-4aa2-bf04-7c0a4ffe72fe" xsi:nil="true"/>
    <MigrationWizIdSecurityGroups xmlns="5fe4324c-65b2-4aa2-bf04-7c0a4ffe72fe" xsi:nil="true"/>
    <MigrationWizIdDocumentLibraryPermissions xmlns="5fe4324c-65b2-4aa2-bf04-7c0a4ffe72f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2C28BB23FC16F24BA02DADF9E88CBB24" ma:contentTypeVersion="18" ma:contentTypeDescription="Crear nuevo documento." ma:contentTypeScope="" ma:versionID="2e50a1b67f2a084d09216fef535e3bff">
  <xsd:schema xmlns:xsd="http://www.w3.org/2001/XMLSchema" xmlns:xs="http://www.w3.org/2001/XMLSchema" xmlns:p="http://schemas.microsoft.com/office/2006/metadata/properties" xmlns:ns3="5fe4324c-65b2-4aa2-bf04-7c0a4ffe72fe" xmlns:ns4="eadf0ecb-744e-45f2-b457-4f64ef4c51e4" targetNamespace="http://schemas.microsoft.com/office/2006/metadata/properties" ma:root="true" ma:fieldsID="d5f9c07f21b4556e096509165efad3c5" ns3:_="" ns4:_="">
    <xsd:import namespace="5fe4324c-65b2-4aa2-bf04-7c0a4ffe72fe"/>
    <xsd:import namespace="eadf0ecb-744e-45f2-b457-4f64ef4c51e4"/>
    <xsd:element name="properties">
      <xsd:complexType>
        <xsd:sequence>
          <xsd:element name="documentManagement">
            <xsd:complexType>
              <xsd:all>
                <xsd:element ref="ns3:MigrationWizId" minOccurs="0"/>
                <xsd:element ref="ns3:MigrationWizIdPermissions" minOccurs="0"/>
                <xsd:element ref="ns3:MigrationWizIdPermissionLevels" minOccurs="0"/>
                <xsd:element ref="ns3:MigrationWizIdDocumentLibraryPermissions" minOccurs="0"/>
                <xsd:element ref="ns3:MigrationWizIdSecurityGroup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e4324c-65b2-4aa2-bf04-7c0a4ffe72fe"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PermissionLevels" ma:index="10" nillable="true" ma:displayName="MigrationWizIdPermissionLevels" ma:internalName="MigrationWizIdPermissionLevels">
      <xsd:simpleType>
        <xsd:restriction base="dms:Text"/>
      </xsd:simpleType>
    </xsd:element>
    <xsd:element name="MigrationWizIdDocumentLibraryPermissions" ma:index="11" nillable="true" ma:displayName="MigrationWizIdDocumentLibraryPermissions" ma:internalName="MigrationWizIdDocumentLibraryPermissions">
      <xsd:simpleType>
        <xsd:restriction base="dms:Text"/>
      </xsd:simpleType>
    </xsd:element>
    <xsd:element name="MigrationWizIdSecurityGroups" ma:index="12" nillable="true" ma:displayName="MigrationWizIdSecurityGroups" ma:internalName="MigrationWizIdSecurityGroups">
      <xsd:simpleType>
        <xsd:restriction base="dms:Text"/>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adf0ecb-744e-45f2-b457-4f64ef4c51e4" elementFormDefault="qualified">
    <xsd:import namespace="http://schemas.microsoft.com/office/2006/documentManagement/types"/>
    <xsd:import namespace="http://schemas.microsoft.com/office/infopath/2007/PartnerControls"/>
    <xsd:element name="SharedWithUsers" ma:index="2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Detalles de uso compartido" ma:internalName="SharedWithDetails" ma:readOnly="true">
      <xsd:simpleType>
        <xsd:restriction base="dms:Note">
          <xsd:maxLength value="255"/>
        </xsd:restriction>
      </xsd:simpleType>
    </xsd:element>
    <xsd:element name="SharingHintHash" ma:index="25"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A6F6DD0-542E-436D-B0DE-7BC64910B74C}">
  <ds:schemaRefs>
    <ds:schemaRef ds:uri="http://schemas.microsoft.com/sharepoint/v3/contenttype/forms"/>
  </ds:schemaRefs>
</ds:datastoreItem>
</file>

<file path=customXml/itemProps2.xml><?xml version="1.0" encoding="utf-8"?>
<ds:datastoreItem xmlns:ds="http://schemas.openxmlformats.org/officeDocument/2006/customXml" ds:itemID="{1A1A9038-DA19-4EBF-A814-D6F517C4F60D}">
  <ds:schemaRefs>
    <ds:schemaRef ds:uri="http://www.w3.org/XML/1998/namespace"/>
    <ds:schemaRef ds:uri="eadf0ecb-744e-45f2-b457-4f64ef4c51e4"/>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elements/1.1/"/>
    <ds:schemaRef ds:uri="http://purl.org/dc/terms/"/>
    <ds:schemaRef ds:uri="http://schemas.microsoft.com/office/infopath/2007/PartnerControls"/>
    <ds:schemaRef ds:uri="5fe4324c-65b2-4aa2-bf04-7c0a4ffe72fe"/>
  </ds:schemaRefs>
</ds:datastoreItem>
</file>

<file path=customXml/itemProps3.xml><?xml version="1.0" encoding="utf-8"?>
<ds:datastoreItem xmlns:ds="http://schemas.openxmlformats.org/officeDocument/2006/customXml" ds:itemID="{36B5110C-FF8A-4861-B6A3-C53A9EF7C8AB}">
  <ds:schemaRefs>
    <ds:schemaRef ds:uri="http://schemas.microsoft.com/office/2006/metadata/contentType"/>
    <ds:schemaRef ds:uri="http://schemas.microsoft.com/office/2006/metadata/properties/metaAttributes"/>
    <ds:schemaRef ds:uri="http://www.w3.org/2000/xmlns/"/>
    <ds:schemaRef ds:uri="http://www.w3.org/2001/XMLSchema"/>
    <ds:schemaRef ds:uri="5fe4324c-65b2-4aa2-bf04-7c0a4ffe72fe"/>
    <ds:schemaRef ds:uri="eadf0ecb-744e-45f2-b457-4f64ef4c51e4"/>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39</vt:i4>
      </vt:variant>
    </vt:vector>
  </HeadingPairs>
  <TitlesOfParts>
    <vt:vector size="66" baseType="lpstr">
      <vt:lpstr>o.c.</vt:lpstr>
      <vt:lpstr>Grafico de o.c.</vt:lpstr>
      <vt:lpstr>Pagos pendientes</vt:lpstr>
      <vt:lpstr>Brasil</vt:lpstr>
      <vt:lpstr>Colombia</vt:lpstr>
      <vt:lpstr>Vzla</vt:lpstr>
      <vt:lpstr>Bolivia</vt:lpstr>
      <vt:lpstr>Ecuador</vt:lpstr>
      <vt:lpstr>Peru</vt:lpstr>
      <vt:lpstr>Mexico</vt:lpstr>
      <vt:lpstr>T&amp;T</vt:lpstr>
      <vt:lpstr>Indonesia</vt:lpstr>
      <vt:lpstr>España</vt:lpstr>
      <vt:lpstr>Chile</vt:lpstr>
      <vt:lpstr>Egipto</vt:lpstr>
      <vt:lpstr>Turquia</vt:lpstr>
      <vt:lpstr>Arg.</vt:lpstr>
      <vt:lpstr>Polonia</vt:lpstr>
      <vt:lpstr>USA</vt:lpstr>
      <vt:lpstr>Myanmar</vt:lpstr>
      <vt:lpstr>Bielorrusia</vt:lpstr>
      <vt:lpstr>India</vt:lpstr>
      <vt:lpstr>Grafico</vt:lpstr>
      <vt:lpstr>Grafico de o.c.(2007 a 2024)</vt:lpstr>
      <vt:lpstr>T.Dinam.(U$S)</vt:lpstr>
      <vt:lpstr>T.Dinam.(promedio adel.-atraso)</vt:lpstr>
      <vt:lpstr>T.Dinam.(Suma PO en termino)</vt:lpstr>
      <vt:lpstr>Arg.!Área_de_impresión</vt:lpstr>
      <vt:lpstr>Bielorrusia!Área_de_impresión</vt:lpstr>
      <vt:lpstr>Bolivia!Área_de_impresión</vt:lpstr>
      <vt:lpstr>Brasil!Área_de_impresión</vt:lpstr>
      <vt:lpstr>Chile!Área_de_impresión</vt:lpstr>
      <vt:lpstr>Colombia!Área_de_impresión</vt:lpstr>
      <vt:lpstr>Ecuador!Área_de_impresión</vt:lpstr>
      <vt:lpstr>Egipto!Área_de_impresión</vt:lpstr>
      <vt:lpstr>España!Área_de_impresión</vt:lpstr>
      <vt:lpstr>Grafico!Área_de_impresión</vt:lpstr>
      <vt:lpstr>'Grafico de o.c.(2007 a 2024)'!Área_de_impresión</vt:lpstr>
      <vt:lpstr>India!Área_de_impresión</vt:lpstr>
      <vt:lpstr>Indonesia!Área_de_impresión</vt:lpstr>
      <vt:lpstr>Mexico!Área_de_impresión</vt:lpstr>
      <vt:lpstr>Myanmar!Área_de_impresión</vt:lpstr>
      <vt:lpstr>o.c.!Área_de_impresión</vt:lpstr>
      <vt:lpstr>Peru!Área_de_impresión</vt:lpstr>
      <vt:lpstr>Polonia!Área_de_impresión</vt:lpstr>
      <vt:lpstr>'T&amp;T'!Área_de_impresión</vt:lpstr>
      <vt:lpstr>USA!Área_de_impresión</vt:lpstr>
      <vt:lpstr>Vzla!Área_de_impresión</vt:lpstr>
      <vt:lpstr>Arg.!Títulos_a_imprimir</vt:lpstr>
      <vt:lpstr>Bielorrusia!Títulos_a_imprimir</vt:lpstr>
      <vt:lpstr>Bolivia!Títulos_a_imprimir</vt:lpstr>
      <vt:lpstr>Brasil!Títulos_a_imprimir</vt:lpstr>
      <vt:lpstr>Chile!Títulos_a_imprimir</vt:lpstr>
      <vt:lpstr>Colombia!Títulos_a_imprimir</vt:lpstr>
      <vt:lpstr>Ecuador!Títulos_a_imprimir</vt:lpstr>
      <vt:lpstr>Egipto!Títulos_a_imprimir</vt:lpstr>
      <vt:lpstr>España!Títulos_a_imprimir</vt:lpstr>
      <vt:lpstr>India!Títulos_a_imprimir</vt:lpstr>
      <vt:lpstr>Mexico!Títulos_a_imprimir</vt:lpstr>
      <vt:lpstr>Myanmar!Títulos_a_imprimir</vt:lpstr>
      <vt:lpstr>o.c.!Títulos_a_imprimir</vt:lpstr>
      <vt:lpstr>Peru!Títulos_a_imprimir</vt:lpstr>
      <vt:lpstr>Polonia!Títulos_a_imprimir</vt:lpstr>
      <vt:lpstr>'T&amp;T'!Títulos_a_imprimir</vt:lpstr>
      <vt:lpstr>USA!Títulos_a_imprimir</vt:lpstr>
      <vt:lpstr>Vzla!Títulos_a_imprimir</vt:lpstr>
    </vt:vector>
  </TitlesOfParts>
  <Manager>Mariela Melamed</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Planilla Pendientes</dc:title>
  <dc:subject>Ordenes de Compra Pendientes</dc:subject>
  <dc:creator>Mercados Externos</dc:creator>
  <cp:keywords/>
  <dc:description/>
  <cp:lastModifiedBy>Piro, Veronica Fernanda</cp:lastModifiedBy>
  <cp:revision/>
  <cp:lastPrinted>2024-06-14T18:14:06Z</cp:lastPrinted>
  <dcterms:created xsi:type="dcterms:W3CDTF">2004-06-14T20:32:14Z</dcterms:created>
  <dcterms:modified xsi:type="dcterms:W3CDTF">2024-06-14T18:17:46Z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0x0101002C28BB23FC16F24BA02DADF9E88CBB24</vt:lpwstr>
  </property>
</Properties>
</file>